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omments1.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Strategy_Management\Local Departments, Data\Profiles\Profile Report SFY 2017\"/>
    </mc:Choice>
  </mc:AlternateContent>
  <bookViews>
    <workbookView xWindow="0" yWindow="0" windowWidth="18780" windowHeight="6990" tabRatio="590"/>
  </bookViews>
  <sheets>
    <sheet name="Profile" sheetId="1" r:id="rId1"/>
    <sheet name="Data for Graphs" sheetId="108" r:id="rId2"/>
    <sheet name="Spending By Region" sheetId="123" r:id="rId3"/>
    <sheet name="Agency Level &amp; HR Policy" sheetId="69" r:id="rId4"/>
    <sheet name="IT Support" sheetId="68" r:id="rId5"/>
    <sheet name="2016 Population" sheetId="84" r:id="rId6"/>
    <sheet name="Poverty Estimates" sheetId="100" r:id="rId7"/>
    <sheet name="Poverty_All ages" sheetId="86" r:id="rId8"/>
    <sheet name="Poverty_Child" sheetId="87" r:id="rId9"/>
    <sheet name="Income to Poverty Ratio" sheetId="97" state="hidden" r:id="rId10"/>
    <sheet name="Unemployment" sheetId="24" r:id="rId11"/>
    <sheet name="Non-marital births" sheetId="73" r:id="rId12"/>
    <sheet name="Teen births" sheetId="114" r:id="rId13"/>
    <sheet name="NM Births_Trend" sheetId="109" r:id="rId14"/>
    <sheet name="Teen Births_Trend" sheetId="113" r:id="rId15"/>
    <sheet name="Children in Single Parent Homes" sheetId="115" r:id="rId16"/>
    <sheet name="SNAP Clients by SFY-2005-2015" sheetId="31" state="hidden" r:id="rId17"/>
    <sheet name="SNAP Applications Received" sheetId="133" r:id="rId18"/>
    <sheet name="SNAP Applications Disposed" sheetId="129" r:id="rId19"/>
    <sheet name="TANF Applications Received" sheetId="134" r:id="rId20"/>
    <sheet name="TANF Applications Disposed" sheetId="128" r:id="rId21"/>
    <sheet name="Medicaid Applications Received" sheetId="135" r:id="rId22"/>
    <sheet name="Medicaid Applications Disposed" sheetId="130" r:id="rId23"/>
    <sheet name="Child Care Application Received" sheetId="136" r:id="rId24"/>
    <sheet name="Child Care Application Disposed" sheetId="131" r:id="rId25"/>
    <sheet name="SNAP Clients_Annual" sheetId="125" r:id="rId26"/>
    <sheet name="TANF Clients by SFY" sheetId="32" state="hidden" r:id="rId27"/>
    <sheet name="TANF Clients_Annual" sheetId="126" r:id="rId28"/>
    <sheet name="Medicaid Clients by SFY" sheetId="89" state="hidden" r:id="rId29"/>
    <sheet name="Medicaid Clients_Annual" sheetId="127" r:id="rId30"/>
    <sheet name="Benefit Clients_Annual" sheetId="94" r:id="rId31"/>
    <sheet name="Child Care_CY" sheetId="138" r:id="rId32"/>
    <sheet name="TANF Cases - Annual" sheetId="110" r:id="rId33"/>
    <sheet name="SNAP Cases - Annual" sheetId="111" r:id="rId34"/>
    <sheet name="Medicaid Cases- Annual" sheetId="112" r:id="rId35"/>
    <sheet name="EA Cases - Annual" sheetId="106" r:id="rId36"/>
    <sheet name="Child Care Cases - Annual" sheetId="120" r:id="rId37"/>
    <sheet name="SNAP Client Demographics" sheetId="49" r:id="rId38"/>
    <sheet name="TANF Client Demographics" sheetId="102" r:id="rId39"/>
    <sheet name="MA Client Demographics" sheetId="103" r:id="rId40"/>
    <sheet name="Hispanic Adjustment" sheetId="95" state="hidden" r:id="rId41"/>
    <sheet name="Child Care Client Demographics" sheetId="137" r:id="rId42"/>
    <sheet name="Benefit Client Demographics" sheetId="104" r:id="rId43"/>
    <sheet name="Child Welfare Caseload" sheetId="132" state="hidden" r:id="rId44"/>
    <sheet name="Children in Foster Care" sheetId="6" r:id="rId45"/>
    <sheet name="Adoption Child by Race" sheetId="63" state="hidden" r:id="rId46"/>
    <sheet name="Adopted Children" sheetId="122" r:id="rId47"/>
    <sheet name="Adoption Subsidies" sheetId="96" r:id="rId48"/>
    <sheet name="APS Reports" sheetId="91" r:id="rId49"/>
    <sheet name="CPS Referrals" sheetId="92" r:id="rId50"/>
    <sheet name="Compare Recipients Census Med" sheetId="39" state="hidden" r:id="rId51"/>
    <sheet name="Compare Recipients Census SNAP" sheetId="40" state="hidden" r:id="rId52"/>
    <sheet name="Compare Recipients Census TANF" sheetId="41" state="hidden" r:id="rId53"/>
    <sheet name="Adoption Counts Summed SFY 2010" sheetId="38" state="hidden" r:id="rId54"/>
    <sheet name="CPS Ref Child Demo 2010 (2)" sheetId="36" state="hidden" r:id="rId55"/>
    <sheet name="Administration LASER" sheetId="53" r:id="rId56"/>
    <sheet name="Other Oper Exp. LASER" sheetId="55" r:id="rId57"/>
    <sheet name="Client Services LASER" sheetId="56" r:id="rId58"/>
    <sheet name="CSA LASER" sheetId="117" r:id="rId59"/>
    <sheet name="Medicaid &amp; FAMIS - LASER" sheetId="57" r:id="rId60"/>
    <sheet name="SNAP LASER" sheetId="58" r:id="rId61"/>
    <sheet name="Energy Assistance LASER" sheetId="59" r:id="rId62"/>
    <sheet name="TANF LASER" sheetId="61" r:id="rId63"/>
    <sheet name="ChildCare LASER" sheetId="101" r:id="rId64"/>
    <sheet name="FC &amp; Adoptions LASER" sheetId="60" r:id="rId65"/>
    <sheet name="Other Benefits LASER" sheetId="62" r:id="rId66"/>
    <sheet name="Statewide Benefits" sheetId="118" r:id="rId67"/>
    <sheet name="Social Svcs Spending Summary" sheetId="79" r:id="rId68"/>
    <sheet name="Medicaid Clients" sheetId="46" state="hidden" r:id="rId69"/>
    <sheet name="Staffing" sheetId="85" r:id="rId70"/>
    <sheet name="Children in Single-Parent Homes" sheetId="72" state="hidden" r:id="rId71"/>
    <sheet name="Married Parent Households" sheetId="75" state="hidden" r:id="rId72"/>
    <sheet name="SNAP Participation Rate" sheetId="10" state="hidden" r:id="rId73"/>
    <sheet name="AuxGrant" sheetId="90" state="hidden" r:id="rId74"/>
    <sheet name="Locality Name" sheetId="4" r:id="rId75"/>
    <sheet name="Password" sheetId="42" state="hidden" r:id="rId76"/>
    <sheet name="Region Name" sheetId="124" r:id="rId77"/>
  </sheets>
  <definedNames>
    <definedName name="_xlnm._FilterDatabase" localSheetId="5" hidden="1">'2016 Population'!$A$4:$D$125</definedName>
    <definedName name="_xlnm._FilterDatabase" localSheetId="55" hidden="1">'Administration LASER'!$A$3:$C$124</definedName>
    <definedName name="_xlnm._FilterDatabase" localSheetId="45" hidden="1">'Adoption Child by Race'!$A$3:$C$3</definedName>
    <definedName name="_xlnm._FilterDatabase" localSheetId="53" hidden="1">'Adoption Counts Summed SFY 2010'!$A$1:$F$125</definedName>
    <definedName name="_xlnm._FilterDatabase" localSheetId="47" hidden="1">'Adoption Subsidies'!$A$3:$C$3</definedName>
    <definedName name="_xlnm._FilterDatabase" localSheetId="3" hidden="1">'Agency Level &amp; HR Policy'!$A$3:$I$123</definedName>
    <definedName name="_xlnm._FilterDatabase" localSheetId="48" hidden="1">'APS Reports'!$A$4:$C$125</definedName>
    <definedName name="_xlnm._FilterDatabase" localSheetId="73" hidden="1">AuxGrant!$A$4:$C$4</definedName>
    <definedName name="_xlnm._FilterDatabase" localSheetId="30" hidden="1">'Benefit Clients_Annual'!$A$3:$C$3</definedName>
    <definedName name="_xlnm._FilterDatabase" localSheetId="63" hidden="1">'ChildCare LASER'!$A$3:$C$124</definedName>
    <definedName name="_xlnm._FilterDatabase" localSheetId="44" hidden="1">'Children in Foster Care'!$A$4:$C$4</definedName>
    <definedName name="_xlnm._FilterDatabase" localSheetId="15" hidden="1">'Children in Single Parent Homes'!$A$3:$C$124</definedName>
    <definedName name="_xlnm._FilterDatabase" localSheetId="57" hidden="1">'Client Services LASER'!$A$3:$B$3</definedName>
    <definedName name="_xlnm._FilterDatabase" localSheetId="50" hidden="1">'Compare Recipients Census Med'!$A$3:$Y$127</definedName>
    <definedName name="_xlnm._FilterDatabase" localSheetId="51" hidden="1">'Compare Recipients Census SNAP'!$A$3:$Y$127</definedName>
    <definedName name="_xlnm._FilterDatabase" localSheetId="52" hidden="1">'Compare Recipients Census TANF'!$A$3:$Y$127</definedName>
    <definedName name="_xlnm._FilterDatabase" localSheetId="54" hidden="1">'CPS Ref Child Demo 2010 (2)'!$B$4:$X$125</definedName>
    <definedName name="_xlnm._FilterDatabase" localSheetId="49" hidden="1">'CPS Referrals'!$A$3:$C$3</definedName>
    <definedName name="_xlnm._FilterDatabase" localSheetId="58" hidden="1">'CSA LASER'!$A$3:$I$124</definedName>
    <definedName name="_xlnm._FilterDatabase" localSheetId="35" hidden="1">'EA Cases - Annual'!$A$4:$C$125</definedName>
    <definedName name="_xlnm._FilterDatabase" localSheetId="61" hidden="1">'Energy Assistance LASER'!$A$3:$C$124</definedName>
    <definedName name="_xlnm._FilterDatabase" localSheetId="64" hidden="1">'FC &amp; Adoptions LASER'!$A$3:$C$124</definedName>
    <definedName name="_xlnm._FilterDatabase" localSheetId="4" hidden="1">'IT Support'!$A$3:$D$123</definedName>
    <definedName name="_xlnm._FilterDatabase" localSheetId="39" hidden="1">'MA Client Demographics'!$A$4:$C$4</definedName>
    <definedName name="_xlnm._FilterDatabase" localSheetId="59" hidden="1">'Medicaid &amp; FAMIS - LASER'!$A$3:$C$124</definedName>
    <definedName name="_xlnm._FilterDatabase" localSheetId="34" hidden="1">'Medicaid Cases- Annual'!$A$3:$C$3</definedName>
    <definedName name="_xlnm._FilterDatabase" localSheetId="28" hidden="1">'Medicaid Clients by SFY'!$A$3:$C$3</definedName>
    <definedName name="_xlnm._FilterDatabase" localSheetId="13" hidden="1">'NM Births_Trend'!$A$4:$C$125</definedName>
    <definedName name="_xlnm._FilterDatabase" localSheetId="11" hidden="1">'Non-marital births'!$A$4:$C$126</definedName>
    <definedName name="_xlnm._FilterDatabase" localSheetId="65" hidden="1">'Other Benefits LASER'!$A$3:$C$124</definedName>
    <definedName name="_xlnm._FilterDatabase" localSheetId="56" hidden="1">'Other Oper Exp. LASER'!$A$3:$C$124</definedName>
    <definedName name="_xlnm._FilterDatabase" localSheetId="6" hidden="1">'Poverty Estimates'!$A$4:$C$125</definedName>
    <definedName name="_xlnm._FilterDatabase" localSheetId="7" hidden="1">'Poverty_All ages'!$A$3:$C$3</definedName>
    <definedName name="_xlnm._FilterDatabase" localSheetId="8" hidden="1">Poverty_Child!$A$4:$C$4</definedName>
    <definedName name="_xlnm._FilterDatabase" localSheetId="33" hidden="1">'SNAP Cases - Annual'!$A$3:$C$3</definedName>
    <definedName name="_xlnm._FilterDatabase" localSheetId="37" hidden="1">'SNAP Client Demographics'!$A$4:$C$4</definedName>
    <definedName name="_xlnm._FilterDatabase" localSheetId="16" hidden="1">'SNAP Clients by SFY-2005-2015'!$A$3:$C$3</definedName>
    <definedName name="_xlnm._FilterDatabase" localSheetId="60" hidden="1">'SNAP LASER'!$A$3:$C$124</definedName>
    <definedName name="_xlnm._FilterDatabase" localSheetId="72" hidden="1">'SNAP Participation Rate'!$A$3:$C$3</definedName>
    <definedName name="_xlnm._FilterDatabase" localSheetId="67" hidden="1">'Social Svcs Spending Summary'!$A$4:$C$4</definedName>
    <definedName name="_xlnm._FilterDatabase" localSheetId="69" hidden="1">Staffing!$A$5:$C$5</definedName>
    <definedName name="_xlnm._FilterDatabase" localSheetId="32" hidden="1">'TANF Cases - Annual'!$A$3:$C$3</definedName>
    <definedName name="_xlnm._FilterDatabase" localSheetId="38" hidden="1">'TANF Client Demographics'!$A$4:$C$4</definedName>
    <definedName name="_xlnm._FilterDatabase" localSheetId="26" hidden="1">'TANF Clients by SFY'!$A$3:$C$3</definedName>
    <definedName name="_xlnm._FilterDatabase" localSheetId="62" hidden="1">'TANF LASER'!$A$3:$C$124</definedName>
    <definedName name="_xlnm._FilterDatabase" localSheetId="12" hidden="1">'Teen births'!$A$4:$C$125</definedName>
    <definedName name="_xlnm._FilterDatabase" localSheetId="14" hidden="1">'Teen Births_Trend'!$A$4:$C$125</definedName>
    <definedName name="_xlnm._FilterDatabase" localSheetId="10" hidden="1">Unemployment!$A$3:$C$124</definedName>
    <definedName name="Admin_Costs_LASER">'Administration LASER'!$A$4:$AU$131</definedName>
    <definedName name="ADOP_AVG" localSheetId="50">'Compare Recipients Census Med'!$A$4:$M$124</definedName>
    <definedName name="ADOP_AVG" localSheetId="51">'Compare Recipients Census SNAP'!$A$4:$M$124</definedName>
    <definedName name="ADOP_AVG" localSheetId="52">'Compare Recipients Census TANF'!$A$4:$M$124</definedName>
    <definedName name="ADOP_AVG">'Adoption Counts Summed SFY 2010'!$A$2:$F$122</definedName>
    <definedName name="Adoption_Child_Demo" comment="Source: OASIS, VCWOR. For federal fiscal year (October through September).">'Adopted Children'!$A$4:AA$124</definedName>
    <definedName name="adoption_race" comment="Number of Foster Children Adopted, by Race of Child, FFY 2012">'Adoption Child by Race'!$A$3:$G$124</definedName>
    <definedName name="AdoptionServices" comment="As of February 1, 2015.">'Adoption Subsidies'!$A$4:$R$124</definedName>
    <definedName name="Agency_Level" comment="Agency Level (or Size), Board Type, and HR Policy/Practice Deviation">'Agency Level &amp; HR Policy'!$A$3:$I$123</definedName>
    <definedName name="APS_Reports" comment="Number of unduplicated APS reports, SFY 2015">'APS Reports'!$A$3:$P$125</definedName>
    <definedName name="AuxGrant" comment="Auxiliary Grant Recipients, SFY 2012">AuxGrant!$A$3:$J$125</definedName>
    <definedName name="BenefitClient_Demo" comment="Source: VaCMS, Client Cross Program Locality Yearly Analysis. Unique count of clients who received SNAP, TANF, and/or Medicaid, by gender, age group, and race/ethnicity, CY 2017.">'Benefit Client Demographics'!$A$5:$Q$125</definedName>
    <definedName name="BenefitClnts_Annual" comment="Source: Data Warehouse, &quot;Client Cross Program Yearly Analysis&quot; (20112-2016 data comes from ADAPT, 2017 data from VaCMS). Refers to participating (&quot;F00&quot;, &quot;A00&quot;) or eligible clients from SNAP, TANF and/or Medicaid.">'Benefit Clients_Annual'!$A$4:$I$123</definedName>
    <definedName name="cc_apps_disp" comment="Source: VDSS, Data Warehouse, &quot;Application Program Monthly Status Analysis.&quot; Data source is VaCMS. ">'Child Care Application Disposed'!$A$4:$W$124</definedName>
    <definedName name="cc_apps_recvd" comment="Source: VDSS, Data Warehouse, &quot;Application Program Monthly Status Analysis.&quot; Data source is VaCMS. ">'Child Care Application Received'!$A$4:$W$124</definedName>
    <definedName name="CCClient_Demo" comment="Source: VaCMS, Data Warehouse, &quot;Client Cross Program Yearly Analysis&quot;. Unduplicated count of clients with &quot;eligible&quot; status for CY 2017.">'Child Care Client Demographics'!$A$5:$Q$125</definedName>
    <definedName name="Child_SingleParentHH" comment="Source: U.S. Census Bureau, ACS 2009-2013 (5-Year Estimate)">'Children in Single Parent Homes'!$A$4:$X$124</definedName>
    <definedName name="ChildCareClients" comment="Source: VaCMS, &quot;Children and Family Counts - Expenditure by Budget Line&quot;. Refers to calendar year.">'Child Care_CY'!$A$3:$G$123</definedName>
    <definedName name="ChildCareFamilies" comment="Source: VaCMS. For 2014-2016, counts for state fiscal year are reported; for 2017, counts are for the calendar year.">'Child Care Cases - Annual'!$A$4:$G$124</definedName>
    <definedName name="ChildCareLASER">'ChildCare LASER'!$A$4:$K$131</definedName>
    <definedName name="Children_CPS_Referrals">'CPS Referrals'!$A$4:AA$124</definedName>
    <definedName name="Client_Svcs_LASER">'Client Services LASER'!$A$4:$EA$131</definedName>
    <definedName name="CPSReferrals" comment="Number of children in CPS referrals by race and locality, SFY 2017.">'CPS Referrals'!$A$4:$AE$124</definedName>
    <definedName name="CSA_LASER">'CSA LASER'!$A$4:$I$131</definedName>
    <definedName name="EA_LASER">'Energy Assistance LASER'!$A$4:$I$131</definedName>
    <definedName name="EACases_Annual" comment="Energy Assistance Program Reports (from Data Warehouse, &quot;Case Counts Agency Summary Report&quot;). Reported by federal fiscal year for each program component (2013-2016); across all programs for calendar year (2017 only).">'EA Cases - Annual'!$A$5:$Q$125</definedName>
    <definedName name="EAClients_FFY" comment="Unduplicated number of Energy Assistance clients served in each federal fiscal year.">#REF!</definedName>
    <definedName name="Employment" comment="Annual employment data for CY 2000 - 2016. Source: Virginia Employment Commission. Rates are not seasonally adjusted.">Unemployment!$A$4:$BC$130</definedName>
    <definedName name="FC_Adop_LASER">'FC &amp; Adoptions LASER'!$A$3:$BE$131</definedName>
    <definedName name="FC_DEMO">'Children in Foster Care'!$A$5:$AG$125</definedName>
    <definedName name="FCMAP">'Children in Foster Care'!$A$6:$S$125</definedName>
    <definedName name="FIPS">'Locality Name'!$D$7:$E$128</definedName>
    <definedName name="FIPS_NUM">'Locality Name'!$C$8:$E$128</definedName>
    <definedName name="FIPSN">'Locality Name'!$C$9:$E$128</definedName>
    <definedName name="fs_caseload" comment="Source: VDSS, OASIS, &quot;Caseload&quot; Analysis (Data as of 8/1/2017). Includes CPS, CPS ongoing, early prevention, prevention &amp; support for families, foster care, adoption, post-adoption, and independent living cases.">'Child Welfare Caseload'!$A$5:$AX$125</definedName>
    <definedName name="IT_Support" comment="Level of IT Support">'IT Support'!$A$3:$D$123</definedName>
    <definedName name="Loc_Name">'Locality Name'!$D$9:$E$128</definedName>
    <definedName name="Locality">'Locality Name'!$D$9:$D$128</definedName>
    <definedName name="ma_apps_disp" comment="Source: VDSS, Data Warehouse, &quot;Application Program Monthly Status Analysis.&quot; Data source is VaCMS. ">'Medicaid Applications Disposed'!$A$4:$W$124</definedName>
    <definedName name="ma_apps_recvd" comment="Source: VDSS, Data Warehouse, &quot;Application Program Monthly Status Analysis.&quot; Data source is VaCMS. ">'Medicaid Applications Received'!$A$4:$W$124</definedName>
    <definedName name="MAClnts_Annual" comment="Source: Data Warehouse, Client Cross Program Yearly Analysis (2012-2016 data comes from ADAPT; 2017 data from VaCMS). Refers to clients served in the calendar year.">'Medicaid Clients_Annual'!$A$3:$I$123</definedName>
    <definedName name="marriedcouples" comment="Percentage of households with couples with or without children who are married vs. cohabiting. Source: U.S. Census Bureau, 2010 Census, Summary File 1. Excludes same-sex couples.">'Married Parent Households'!$A$6:$Q$133</definedName>
    <definedName name="MarriedParentHouseholds" comment="Percentage of Couples who are Married vs. Cohabitating. Source: US Census Bureau, 2010 Census, Summary File 1. Excludes same-sex couple households.">'Married Parent Households'!$A$6:$Q$133</definedName>
    <definedName name="Medicaid_FAMIS_LASER">'Medicaid &amp; FAMIS - LASER'!$A$4:$O$131</definedName>
    <definedName name="MedicaidCases_Annual" comment="Source: MMIS (2010-2016 per state fiscal year); VaCMS (2017 - calendar year only). Unduplicated counts within locality and statewide. Statewide totals include enrollees from state mental hospitals. ">'Medicaid Cases- Annual'!$A$4:$K$124</definedName>
    <definedName name="MedicaidClient_Demo" comment="Source: VaCMS, Data Warehouse, &quot;Client Cross Program Yearly Analysis&quot;. Unduplicated count of clients with &quot;eligible&quot; status for CY 2017.">'MA Client Demographics'!$A$5:$Q$125</definedName>
    <definedName name="MedicaidClients" comment="Number of Medicaid Clients by State Fiscal Year. Unique counts are reported. Source: Data Warehouse Client Cross-Program Locality Yearly Analysis.">'Medicaid Clients by SFY'!$A$4:$J$124</definedName>
    <definedName name="NMBirths_Trend" comment="Percentage of live births that are non-marital, 1998-2015. Source: VDH, Center for Health Statistics.">'NM Births_Trend'!$A$5:$BG$131</definedName>
    <definedName name="NonMaritalBirths" comment="Non-marital births and percentage rate, 2016. Source: Virginia Department of Health, Vital Records data.">'Non-marital births'!$A$6:$O$132</definedName>
    <definedName name="OT_BENE_LASER">'Other Benefits LASER'!$A$5:$AY$131</definedName>
    <definedName name="OT_EXP_LASER_2013">'Other Oper Exp. LASER'!$A$4:$W$131</definedName>
    <definedName name="Other_Oper_Exp_LASER">'Other Oper Exp. LASER'!$A$4:$K$131</definedName>
    <definedName name="Pop_Estimates" comment="Source: U.S. Census Bureau, Population Division. Estimates formated by the UVA Weldon Cooper Center, Demographics Research Group.">'2016 Population'!$A$3:$AG$131</definedName>
    <definedName name="Poverty" comment="Source: U.S. Census Bureau, Small Area Income and Poverty Estimates. Estimates come from model-based calculations using the 2009-2013 American Community Survey (5-Year Estimates). Universe excludes people living in group quarters.">'Poverty Estimates'!$A$5:$L$131</definedName>
    <definedName name="Poverty_AllAges" comment="Poverty rate (%) among people of all ages. Source: U.S. Census Bureau.">'Poverty_All ages'!$A$4:$AL$130</definedName>
    <definedName name="Poverty_Child" comment="Poverty rate (%) among children (0-17 years). Source: U.S. Census Bureau.">Poverty_Child!$A$5:$AL$132</definedName>
    <definedName name="_xlnm.Print_Area" localSheetId="44">'Children in Foster Care'!$A$6:$S$130</definedName>
    <definedName name="_xlnm.Print_Area" localSheetId="74">'Locality Name'!$B$9:$E$132</definedName>
    <definedName name="_xlnm.Print_Area" localSheetId="0">Profile!$A$1:$N$236</definedName>
    <definedName name="_xlnm.Print_Area" localSheetId="72">'SNAP Participation Rate'!$A$5:$J$131</definedName>
    <definedName name="_xlnm.Print_Area" localSheetId="2">'Spending By Region'!$A$1:$L$30</definedName>
    <definedName name="_xlnm.Print_Area" localSheetId="10">Unemployment!$A$5:$N$132</definedName>
    <definedName name="_xlnm.Print_Titles" localSheetId="44">'Children in Foster Care'!$1:$5</definedName>
    <definedName name="_xlnm.Print_Titles" localSheetId="0">Profile!$1:$4</definedName>
    <definedName name="_xlnm.Print_Titles" localSheetId="72">'SNAP Participation Rate'!$1:$4</definedName>
    <definedName name="_xlnm.Print_Titles" localSheetId="10">Unemployment!$3:$4</definedName>
    <definedName name="Region">'Region Name'!$A$1:$A$6</definedName>
    <definedName name="SingleParentHomes">'Children in Single-Parent Homes'!$A$6:$S$133</definedName>
    <definedName name="snap_apps_disp" comment="Source: VDSS, Data Warehouse, &quot;Application Program Monthly Status Analysis.&quot; Data source is VaCMS. ">'SNAP Applications Disposed'!$A$4:$W$124</definedName>
    <definedName name="snap_apps_recvd" comment="Source: VDSS, Data Warehouse, &quot;Application Program Monthly Status Analysis.&quot; Data source is VaCMS. ">'SNAP Applications Received'!$A$4:$W$124</definedName>
    <definedName name="SNAP_LASER">'SNAP LASER'!$A$4:$E$131</definedName>
    <definedName name="SNAP_RACE">'Locality Name'!$B$9:$E$129</definedName>
    <definedName name="SNAPCases_Annual" comment="Source: ADAPT (2010-2016, per state fiscal year); VaCMS (2017 - calendar year only). Unduplicated counts within locality and statewide.">'SNAP Cases - Annual'!$A$4:$K$124</definedName>
    <definedName name="SNAPClient_Demo" comment="Source: VaCMS, Data Warehouse, &quot;Client Cross Program Yearly Analysis&quot;. Unduplicated count of clients with &quot;eligible&quot; status for CY 2017.">'SNAP Client Demographics'!$A$5:$Q$125</definedName>
    <definedName name="SNAPClients">'SNAP Clients by SFY-2005-2015'!$A$4:$N$124</definedName>
    <definedName name="SNAPClnts_Yearly" comment="Source: Data Warehouse, &quot;Client Cross Program Yearly Analysis&quot; (2012-2016 comes from ADAPT; 2017 comes from VaCMS). By Calendar Year. Only participating or eligible SNAP clients are counted.">'SNAP Clients_Annual'!$A$3:$I$123</definedName>
    <definedName name="Staffing" comment="Number of filled and unfilled positions. Source: Human Resources, Local Employment Tracking System (LETS). Data as of 10/1/2013.">Staffing!$A$6:$Z$126</definedName>
    <definedName name="tanf_apps_disp" comment="Source: VDSS, Data Warehouse, &quot;Application Program Monthly Status Analysis.&quot; Data source is VaCMS. ">'TANF Applications Disposed'!$A$4:$W$124</definedName>
    <definedName name="tanf_apps_recvd" comment="Source: VDSS, Data Warehouse, &quot;Application Program Monthly Status Analysis.&quot; Data source is VaCMS. ">'TANF Applications Received'!$A$4:$W$124</definedName>
    <definedName name="TANF_LASER">'TANF LASER'!$A$4:$I$131</definedName>
    <definedName name="TANFCases_Annual" comment="Source: ADAPT (2010-2016 per state fiscal year); VaCMS (2017 - calendar year only). Unduplicated counts within locality and statewide.">'TANF Cases - Annual'!$A$4:$K$124</definedName>
    <definedName name="TANFClient_Demo" comment="Source: VaCMS, Data Warehouse, &quot;Client Cross Program Yearly Analysis&quot;. Unduplicated count of clients with &quot;eligible&quot; status for CY 2017.">'TANF Client Demographics'!$A$5:$Q$125</definedName>
    <definedName name="TANFClients" comment="TANF Client Caseload by SFY, 2005-2015. Source: ADAPT SFY Client Summary Analysis; Client Cross-Program Yearly Locality Count Analysis for 2009-2015.">'TANF Clients by SFY'!$A$4:$N$124</definedName>
    <definedName name="TANFClnts_Yearly" comment="Source: Data Warehouse, &quot;Client Cross Program Yearly Analysis&quot; (2012-2016 data comes from ADAPT; 2017 data from VaCMS). Refers to participating or eligible clients served in the calendar year.">'TANF Clients_Annual'!$A$3:$I$123</definedName>
    <definedName name="TeenBirths" comment="Teen births and birth rates (per 1,000 pop.). Source: VDH, Center for Health Statiistics. Rates are age-specific (not age-adjusted).">'Teen births'!$5:$131</definedName>
    <definedName name="TeenBirths_Trend" comment="Teen birth rate (per 1,000) among female teens 10-19 years. Source: VDH, Center for Health Statistics. Rates are age-specific, not age-adjusted.">'Teen Births_Trend'!$A$5:$BG$131</definedName>
    <definedName name="YTD_EMP">Unemployment!#REF!</definedName>
  </definedNames>
  <calcPr calcId="162913"/>
</workbook>
</file>

<file path=xl/calcChain.xml><?xml version="1.0" encoding="utf-8"?>
<calcChain xmlns="http://schemas.openxmlformats.org/spreadsheetml/2006/main">
  <c r="H131" i="56" l="1"/>
  <c r="H130" i="56"/>
  <c r="H129" i="56"/>
  <c r="H128" i="56"/>
  <c r="H127" i="56"/>
  <c r="H126" i="56"/>
  <c r="H124" i="56"/>
  <c r="H123" i="56"/>
  <c r="H122" i="56"/>
  <c r="H121" i="56"/>
  <c r="H120" i="56"/>
  <c r="H119" i="56"/>
  <c r="H118" i="56"/>
  <c r="H117" i="56"/>
  <c r="H116" i="56"/>
  <c r="H115" i="56"/>
  <c r="H114" i="56"/>
  <c r="H113" i="56"/>
  <c r="H112" i="56"/>
  <c r="H111" i="56"/>
  <c r="H110" i="56"/>
  <c r="H109" i="56"/>
  <c r="H108" i="56"/>
  <c r="H107" i="56"/>
  <c r="H106" i="56"/>
  <c r="H105" i="56"/>
  <c r="H104" i="56"/>
  <c r="H103" i="56"/>
  <c r="H102" i="56"/>
  <c r="H101" i="56"/>
  <c r="H100" i="56"/>
  <c r="H99" i="56"/>
  <c r="H98" i="56"/>
  <c r="H97" i="56"/>
  <c r="H96" i="56"/>
  <c r="H95" i="56"/>
  <c r="H94" i="56"/>
  <c r="H93" i="56"/>
  <c r="H92" i="56"/>
  <c r="H91" i="56"/>
  <c r="H90" i="56"/>
  <c r="H89" i="56"/>
  <c r="H88" i="56"/>
  <c r="H87" i="56"/>
  <c r="H86" i="56"/>
  <c r="H85" i="56"/>
  <c r="H84" i="56"/>
  <c r="H83" i="56"/>
  <c r="H82" i="56"/>
  <c r="H81" i="56"/>
  <c r="H80" i="56"/>
  <c r="H79" i="56"/>
  <c r="H78" i="56"/>
  <c r="H77" i="56"/>
  <c r="H76" i="56"/>
  <c r="H75" i="56"/>
  <c r="H74" i="56"/>
  <c r="H73" i="56"/>
  <c r="H72" i="56"/>
  <c r="H71" i="56"/>
  <c r="H70" i="56"/>
  <c r="H69" i="56"/>
  <c r="H68" i="56"/>
  <c r="H67" i="56"/>
  <c r="H66" i="56"/>
  <c r="H65" i="56"/>
  <c r="H64" i="56"/>
  <c r="H63" i="56"/>
  <c r="H62" i="56"/>
  <c r="H61" i="56"/>
  <c r="H60" i="56"/>
  <c r="H59" i="56"/>
  <c r="H58" i="56"/>
  <c r="H57" i="56"/>
  <c r="H56" i="56"/>
  <c r="H55" i="56"/>
  <c r="H54" i="56"/>
  <c r="H53" i="56"/>
  <c r="H52" i="56"/>
  <c r="H51" i="56"/>
  <c r="H50" i="56"/>
  <c r="H49" i="56"/>
  <c r="H48" i="56"/>
  <c r="H47" i="56"/>
  <c r="H46" i="56"/>
  <c r="H45" i="56"/>
  <c r="H44" i="56"/>
  <c r="H43" i="56"/>
  <c r="H42" i="56"/>
  <c r="H41" i="56"/>
  <c r="H40" i="56"/>
  <c r="H39" i="56"/>
  <c r="H38" i="56"/>
  <c r="H37" i="56"/>
  <c r="H36" i="56"/>
  <c r="H35" i="56"/>
  <c r="H34" i="56"/>
  <c r="H33" i="56"/>
  <c r="H32" i="56"/>
  <c r="H31" i="56"/>
  <c r="H30" i="56"/>
  <c r="H29" i="56"/>
  <c r="H28" i="56"/>
  <c r="H27" i="56"/>
  <c r="H26" i="56"/>
  <c r="H25" i="56"/>
  <c r="H24" i="56"/>
  <c r="H23" i="56"/>
  <c r="H22" i="56"/>
  <c r="H21" i="56"/>
  <c r="H20" i="56"/>
  <c r="H19" i="56"/>
  <c r="H18" i="56"/>
  <c r="H17" i="56"/>
  <c r="H16" i="56"/>
  <c r="H15" i="56"/>
  <c r="H14" i="56"/>
  <c r="H13" i="56"/>
  <c r="H12" i="56"/>
  <c r="H11" i="56"/>
  <c r="H10" i="56"/>
  <c r="H9" i="56"/>
  <c r="H8" i="56"/>
  <c r="H7" i="56"/>
  <c r="H6" i="56"/>
  <c r="H5" i="56"/>
  <c r="G131" i="56"/>
  <c r="G130" i="56"/>
  <c r="G129" i="56"/>
  <c r="G128" i="56"/>
  <c r="G127" i="56"/>
  <c r="G126"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F131" i="56"/>
  <c r="F130" i="56"/>
  <c r="F129" i="56"/>
  <c r="F128" i="56"/>
  <c r="F127" i="56"/>
  <c r="F126" i="56"/>
  <c r="F124" i="56"/>
  <c r="F123" i="56"/>
  <c r="F122" i="56"/>
  <c r="F121" i="56"/>
  <c r="F120" i="56"/>
  <c r="F119" i="56"/>
  <c r="F118" i="56"/>
  <c r="F117" i="56"/>
  <c r="F116" i="56"/>
  <c r="F115" i="56"/>
  <c r="F114" i="56"/>
  <c r="F113" i="56"/>
  <c r="F112" i="56"/>
  <c r="F111" i="56"/>
  <c r="F110" i="56"/>
  <c r="F109" i="56"/>
  <c r="F108" i="56"/>
  <c r="F107" i="56"/>
  <c r="F106" i="56"/>
  <c r="F105" i="56"/>
  <c r="F104" i="56"/>
  <c r="F103" i="56"/>
  <c r="F102" i="56"/>
  <c r="F101" i="56"/>
  <c r="F100" i="56"/>
  <c r="F99" i="56"/>
  <c r="F98" i="56"/>
  <c r="F97" i="56"/>
  <c r="F96" i="56"/>
  <c r="F95" i="56"/>
  <c r="F94" i="56"/>
  <c r="F93" i="56"/>
  <c r="F92" i="56"/>
  <c r="F91" i="56"/>
  <c r="F90" i="56"/>
  <c r="F89" i="56"/>
  <c r="F88" i="56"/>
  <c r="F87" i="56"/>
  <c r="F86" i="56"/>
  <c r="F85" i="56"/>
  <c r="F84" i="56"/>
  <c r="F83" i="56"/>
  <c r="F82" i="56"/>
  <c r="F81" i="56"/>
  <c r="F80" i="56"/>
  <c r="F79" i="56"/>
  <c r="F78" i="56"/>
  <c r="F77" i="56"/>
  <c r="F76" i="56"/>
  <c r="F75" i="56"/>
  <c r="F74" i="56"/>
  <c r="F73" i="56"/>
  <c r="F72" i="56"/>
  <c r="F71" i="56"/>
  <c r="F70" i="56"/>
  <c r="F69" i="56"/>
  <c r="F68" i="56"/>
  <c r="F67" i="56"/>
  <c r="F66" i="56"/>
  <c r="F65" i="56"/>
  <c r="F64" i="56"/>
  <c r="F63" i="56"/>
  <c r="F62" i="56"/>
  <c r="F61" i="56"/>
  <c r="F60" i="56"/>
  <c r="F59" i="56"/>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11" i="56"/>
  <c r="F10" i="56"/>
  <c r="F9" i="56"/>
  <c r="F8" i="56"/>
  <c r="F7" i="56"/>
  <c r="F6" i="56"/>
  <c r="F5" i="56"/>
  <c r="E131" i="56"/>
  <c r="E130" i="56"/>
  <c r="E129" i="56"/>
  <c r="E128" i="56"/>
  <c r="E127" i="56"/>
  <c r="E126"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E22" i="56"/>
  <c r="E21" i="56"/>
  <c r="E20" i="56"/>
  <c r="E19" i="56"/>
  <c r="E18" i="56"/>
  <c r="E17" i="56"/>
  <c r="E16" i="56"/>
  <c r="E15" i="56"/>
  <c r="E14" i="56"/>
  <c r="E13" i="56"/>
  <c r="E12" i="56"/>
  <c r="E11" i="56"/>
  <c r="E10" i="56"/>
  <c r="E9" i="56"/>
  <c r="E8" i="56"/>
  <c r="E7" i="56"/>
  <c r="E6" i="56"/>
  <c r="E5" i="56"/>
  <c r="D131" i="56"/>
  <c r="D130" i="56"/>
  <c r="D129" i="56"/>
  <c r="D128" i="56"/>
  <c r="D127" i="56"/>
  <c r="D126" i="56"/>
  <c r="D124" i="56"/>
  <c r="D123" i="56"/>
  <c r="D122" i="56"/>
  <c r="D121" i="56"/>
  <c r="D120" i="56"/>
  <c r="D119" i="56"/>
  <c r="D118" i="56"/>
  <c r="D117" i="56"/>
  <c r="D116" i="56"/>
  <c r="D115" i="56"/>
  <c r="D114" i="56"/>
  <c r="D113" i="56"/>
  <c r="D112" i="56"/>
  <c r="D111" i="56"/>
  <c r="D110" i="56"/>
  <c r="D109" i="56"/>
  <c r="D108" i="56"/>
  <c r="D107" i="56"/>
  <c r="D106" i="56"/>
  <c r="D105" i="56"/>
  <c r="D104" i="56"/>
  <c r="D103" i="56"/>
  <c r="D102" i="56"/>
  <c r="D101" i="56"/>
  <c r="D100" i="56"/>
  <c r="D99" i="56"/>
  <c r="D98" i="56"/>
  <c r="D97" i="56"/>
  <c r="D96" i="56"/>
  <c r="D95" i="56"/>
  <c r="D94" i="56"/>
  <c r="D93" i="56"/>
  <c r="D92" i="56"/>
  <c r="D91" i="56"/>
  <c r="D90" i="56"/>
  <c r="D89" i="56"/>
  <c r="D88" i="56"/>
  <c r="D87" i="56"/>
  <c r="D86" i="56"/>
  <c r="D85" i="56"/>
  <c r="D84" i="56"/>
  <c r="D83" i="56"/>
  <c r="D82" i="56"/>
  <c r="D81" i="56"/>
  <c r="D80" i="56"/>
  <c r="D79" i="56"/>
  <c r="D78" i="56"/>
  <c r="D77" i="56"/>
  <c r="D76" i="56"/>
  <c r="D75" i="56"/>
  <c r="D74" i="56"/>
  <c r="D73" i="56"/>
  <c r="D72" i="56"/>
  <c r="D71" i="56"/>
  <c r="D70" i="56"/>
  <c r="D69" i="56"/>
  <c r="D68" i="56"/>
  <c r="D67" i="56"/>
  <c r="D66" i="56"/>
  <c r="D65" i="56"/>
  <c r="D64" i="56"/>
  <c r="D63" i="56"/>
  <c r="D62" i="56"/>
  <c r="D61" i="56"/>
  <c r="D60" i="56"/>
  <c r="D59" i="56"/>
  <c r="D58" i="56"/>
  <c r="D57" i="56"/>
  <c r="D56" i="56"/>
  <c r="D55" i="56"/>
  <c r="D54" i="56"/>
  <c r="D53" i="56"/>
  <c r="D52" i="56"/>
  <c r="D51" i="56"/>
  <c r="D50" i="56"/>
  <c r="D49" i="56"/>
  <c r="D48" i="56"/>
  <c r="D47" i="56"/>
  <c r="D46" i="56"/>
  <c r="D45" i="56"/>
  <c r="D44" i="56"/>
  <c r="D43" i="56"/>
  <c r="D42" i="56"/>
  <c r="D41" i="56"/>
  <c r="D40" i="56"/>
  <c r="D39" i="56"/>
  <c r="D38" i="56"/>
  <c r="D37" i="56"/>
  <c r="D36" i="56"/>
  <c r="D35" i="56"/>
  <c r="D34" i="56"/>
  <c r="D33" i="56"/>
  <c r="D32" i="56"/>
  <c r="D31" i="56"/>
  <c r="D30" i="56"/>
  <c r="D29" i="56"/>
  <c r="D28" i="56"/>
  <c r="D27" i="56"/>
  <c r="D26" i="56"/>
  <c r="D25" i="56"/>
  <c r="D24" i="56"/>
  <c r="D23" i="56"/>
  <c r="D22" i="56"/>
  <c r="D21" i="56"/>
  <c r="D20" i="56"/>
  <c r="D19" i="56"/>
  <c r="D18" i="56"/>
  <c r="D17" i="56"/>
  <c r="D16" i="56"/>
  <c r="D15" i="56"/>
  <c r="D14" i="56"/>
  <c r="D13" i="56"/>
  <c r="D12" i="56"/>
  <c r="D11" i="56"/>
  <c r="D10" i="56"/>
  <c r="D9" i="56"/>
  <c r="D8" i="56"/>
  <c r="D7" i="56"/>
  <c r="D6" i="56"/>
  <c r="D5" i="56"/>
  <c r="L16" i="123"/>
  <c r="J16" i="123"/>
  <c r="L5" i="104" l="1"/>
  <c r="F5" i="104"/>
  <c r="I5" i="104"/>
  <c r="D5" i="104"/>
  <c r="Q5" i="104"/>
  <c r="D5" i="49" l="1"/>
  <c r="Q5" i="49"/>
  <c r="G5" i="49" l="1"/>
  <c r="D5" i="102" l="1"/>
  <c r="Q5" i="102"/>
  <c r="I5" i="102"/>
  <c r="H5" i="102"/>
  <c r="G5" i="102"/>
  <c r="L5" i="102"/>
  <c r="J5" i="102"/>
  <c r="K5" i="102"/>
  <c r="L5" i="103"/>
  <c r="G5" i="103"/>
  <c r="L5" i="137" l="1"/>
  <c r="I5" i="137"/>
  <c r="Q5" i="137" l="1"/>
  <c r="P5" i="137"/>
  <c r="O5" i="137"/>
  <c r="N5" i="137"/>
  <c r="M5" i="137"/>
  <c r="K5" i="137"/>
  <c r="J5" i="137"/>
  <c r="H5" i="137"/>
  <c r="G5" i="137"/>
  <c r="F5" i="137"/>
  <c r="E5" i="137"/>
  <c r="D5" i="137"/>
  <c r="Q5" i="103"/>
  <c r="I5" i="103" l="1"/>
  <c r="I5" i="49" l="1"/>
  <c r="L5" i="49"/>
  <c r="W6" i="136" l="1"/>
  <c r="W7" i="136"/>
  <c r="W8" i="136"/>
  <c r="W9" i="136"/>
  <c r="W10" i="136"/>
  <c r="W11" i="136"/>
  <c r="W12" i="136"/>
  <c r="W13" i="136"/>
  <c r="W14" i="136"/>
  <c r="W15" i="136"/>
  <c r="W16" i="136"/>
  <c r="W17" i="136"/>
  <c r="W18" i="136"/>
  <c r="W19" i="136"/>
  <c r="W20" i="136"/>
  <c r="W21" i="136"/>
  <c r="W22" i="136"/>
  <c r="W23" i="136"/>
  <c r="W24" i="136"/>
  <c r="W25" i="136"/>
  <c r="W26" i="136"/>
  <c r="W27" i="136"/>
  <c r="W28" i="136"/>
  <c r="W29" i="136"/>
  <c r="W30" i="136"/>
  <c r="W31" i="136"/>
  <c r="W32" i="136"/>
  <c r="W33" i="136"/>
  <c r="W34" i="136"/>
  <c r="W35" i="136"/>
  <c r="W36" i="136"/>
  <c r="W37" i="136"/>
  <c r="W38" i="136"/>
  <c r="W39" i="136"/>
  <c r="W40" i="136"/>
  <c r="W41" i="136"/>
  <c r="W42" i="136"/>
  <c r="W43" i="136"/>
  <c r="W44" i="136"/>
  <c r="W45" i="136"/>
  <c r="W46" i="136"/>
  <c r="W47" i="136"/>
  <c r="W48" i="136"/>
  <c r="W49" i="136"/>
  <c r="W50" i="136"/>
  <c r="W51" i="136"/>
  <c r="W52" i="136"/>
  <c r="W53" i="136"/>
  <c r="W54" i="136"/>
  <c r="W55" i="136"/>
  <c r="W56" i="136"/>
  <c r="W57" i="136"/>
  <c r="W58" i="136"/>
  <c r="W59" i="136"/>
  <c r="W60" i="136"/>
  <c r="W61" i="136"/>
  <c r="W62" i="136"/>
  <c r="W63" i="136"/>
  <c r="W64" i="136"/>
  <c r="W65" i="136"/>
  <c r="W66" i="136"/>
  <c r="W67" i="136"/>
  <c r="W68" i="136"/>
  <c r="W69" i="136"/>
  <c r="W70" i="136"/>
  <c r="W71" i="136"/>
  <c r="W72" i="136"/>
  <c r="W73" i="136"/>
  <c r="W74" i="136"/>
  <c r="W75" i="136"/>
  <c r="W76" i="136"/>
  <c r="W77" i="136"/>
  <c r="W78" i="136"/>
  <c r="W79" i="136"/>
  <c r="W80" i="136"/>
  <c r="W81" i="136"/>
  <c r="W82" i="136"/>
  <c r="W83" i="136"/>
  <c r="W84" i="136"/>
  <c r="W85" i="136"/>
  <c r="W86" i="136"/>
  <c r="W87" i="136"/>
  <c r="W88" i="136"/>
  <c r="W89" i="136"/>
  <c r="W90" i="136"/>
  <c r="W91" i="136"/>
  <c r="W92" i="136"/>
  <c r="W93" i="136"/>
  <c r="W94" i="136"/>
  <c r="W95" i="136"/>
  <c r="W96" i="136"/>
  <c r="W97" i="136"/>
  <c r="W98" i="136"/>
  <c r="W99" i="136"/>
  <c r="W100" i="136"/>
  <c r="W101" i="136"/>
  <c r="W102" i="136"/>
  <c r="W103" i="136"/>
  <c r="W104" i="136"/>
  <c r="W105" i="136"/>
  <c r="W106" i="136"/>
  <c r="W107" i="136"/>
  <c r="W108" i="136"/>
  <c r="W109" i="136"/>
  <c r="W110" i="136"/>
  <c r="W111" i="136"/>
  <c r="W112" i="136"/>
  <c r="W113" i="136"/>
  <c r="W114" i="136"/>
  <c r="W115" i="136"/>
  <c r="W116" i="136"/>
  <c r="W117" i="136"/>
  <c r="W118" i="136"/>
  <c r="W119" i="136"/>
  <c r="W120" i="136"/>
  <c r="W121" i="136"/>
  <c r="W122" i="136"/>
  <c r="W123" i="136"/>
  <c r="W124" i="136"/>
  <c r="W5" i="136"/>
  <c r="U4" i="136"/>
  <c r="T4" i="136"/>
  <c r="S4" i="136"/>
  <c r="R4" i="136"/>
  <c r="Q4" i="136"/>
  <c r="P4" i="136"/>
  <c r="W6" i="131"/>
  <c r="W7" i="131"/>
  <c r="W8" i="131"/>
  <c r="W9" i="131"/>
  <c r="W10" i="131"/>
  <c r="W11" i="131"/>
  <c r="W12" i="131"/>
  <c r="W13" i="131"/>
  <c r="W14" i="131"/>
  <c r="W15" i="131"/>
  <c r="W16" i="131"/>
  <c r="W17" i="131"/>
  <c r="W18" i="131"/>
  <c r="W19" i="131"/>
  <c r="W20" i="131"/>
  <c r="W21" i="131"/>
  <c r="W22" i="131"/>
  <c r="W23" i="131"/>
  <c r="W24" i="131"/>
  <c r="W25" i="131"/>
  <c r="W26" i="131"/>
  <c r="W27" i="131"/>
  <c r="W28" i="131"/>
  <c r="W29" i="131"/>
  <c r="W30" i="131"/>
  <c r="W31" i="131"/>
  <c r="W32" i="131"/>
  <c r="W33" i="131"/>
  <c r="W34" i="131"/>
  <c r="W35" i="131"/>
  <c r="W36" i="131"/>
  <c r="W37" i="131"/>
  <c r="W38" i="131"/>
  <c r="W39" i="131"/>
  <c r="W40" i="131"/>
  <c r="W41" i="131"/>
  <c r="W42" i="131"/>
  <c r="W43" i="131"/>
  <c r="W44" i="131"/>
  <c r="W45" i="131"/>
  <c r="W46" i="131"/>
  <c r="W47" i="131"/>
  <c r="W48" i="131"/>
  <c r="W49" i="131"/>
  <c r="W50" i="131"/>
  <c r="W51" i="131"/>
  <c r="W52" i="131"/>
  <c r="W53" i="131"/>
  <c r="W54" i="131"/>
  <c r="W55" i="131"/>
  <c r="W56" i="131"/>
  <c r="W57" i="131"/>
  <c r="W58" i="131"/>
  <c r="W59" i="131"/>
  <c r="W60" i="131"/>
  <c r="W61" i="131"/>
  <c r="W62" i="131"/>
  <c r="W63" i="131"/>
  <c r="W64" i="131"/>
  <c r="W65" i="131"/>
  <c r="W66" i="131"/>
  <c r="W67" i="131"/>
  <c r="W68" i="131"/>
  <c r="W69" i="131"/>
  <c r="W70" i="131"/>
  <c r="W71" i="131"/>
  <c r="W72" i="131"/>
  <c r="W73" i="131"/>
  <c r="W74" i="131"/>
  <c r="W75" i="131"/>
  <c r="W76" i="131"/>
  <c r="W77" i="131"/>
  <c r="W78" i="131"/>
  <c r="W79" i="131"/>
  <c r="W80" i="131"/>
  <c r="W81" i="131"/>
  <c r="W82" i="131"/>
  <c r="W83" i="131"/>
  <c r="W84" i="131"/>
  <c r="W85" i="131"/>
  <c r="W86" i="131"/>
  <c r="W87" i="131"/>
  <c r="W88" i="131"/>
  <c r="W89" i="131"/>
  <c r="W90" i="131"/>
  <c r="W91" i="131"/>
  <c r="W92" i="131"/>
  <c r="W93" i="131"/>
  <c r="W94" i="131"/>
  <c r="W95" i="131"/>
  <c r="W96" i="131"/>
  <c r="W97" i="131"/>
  <c r="W98" i="131"/>
  <c r="W99" i="131"/>
  <c r="W100" i="131"/>
  <c r="W101" i="131"/>
  <c r="W102" i="131"/>
  <c r="W103" i="131"/>
  <c r="W104" i="131"/>
  <c r="W105" i="131"/>
  <c r="W106" i="131"/>
  <c r="W107" i="131"/>
  <c r="W108" i="131"/>
  <c r="W109" i="131"/>
  <c r="W110" i="131"/>
  <c r="W111" i="131"/>
  <c r="W112" i="131"/>
  <c r="W113" i="131"/>
  <c r="W114" i="131"/>
  <c r="W115" i="131"/>
  <c r="W116" i="131"/>
  <c r="W117" i="131"/>
  <c r="W118" i="131"/>
  <c r="W119" i="131"/>
  <c r="W120" i="131"/>
  <c r="W121" i="131"/>
  <c r="W122" i="131"/>
  <c r="W123" i="131"/>
  <c r="W124" i="131"/>
  <c r="W5" i="131"/>
  <c r="U4" i="131"/>
  <c r="T4" i="131"/>
  <c r="S4" i="131"/>
  <c r="R4" i="131"/>
  <c r="Q4" i="131"/>
  <c r="P4" i="131"/>
  <c r="W6" i="130"/>
  <c r="W7" i="130"/>
  <c r="W8" i="130"/>
  <c r="W9" i="130"/>
  <c r="W10" i="130"/>
  <c r="W11" i="130"/>
  <c r="W12" i="130"/>
  <c r="W13" i="130"/>
  <c r="W14" i="130"/>
  <c r="W15" i="130"/>
  <c r="W16" i="130"/>
  <c r="W17" i="130"/>
  <c r="W18" i="130"/>
  <c r="W19" i="130"/>
  <c r="W20" i="130"/>
  <c r="W21" i="130"/>
  <c r="W22" i="130"/>
  <c r="W23" i="130"/>
  <c r="W24" i="130"/>
  <c r="W25" i="130"/>
  <c r="W26" i="130"/>
  <c r="W27" i="130"/>
  <c r="W28" i="130"/>
  <c r="W29" i="130"/>
  <c r="W30" i="130"/>
  <c r="W31" i="130"/>
  <c r="W32" i="130"/>
  <c r="W33" i="130"/>
  <c r="W34" i="130"/>
  <c r="W35" i="130"/>
  <c r="W36" i="130"/>
  <c r="W37" i="130"/>
  <c r="W38" i="130"/>
  <c r="W39" i="130"/>
  <c r="W40" i="130"/>
  <c r="W41" i="130"/>
  <c r="W42" i="130"/>
  <c r="W43" i="130"/>
  <c r="W44" i="130"/>
  <c r="W45" i="130"/>
  <c r="W46" i="130"/>
  <c r="W47" i="130"/>
  <c r="W48" i="130"/>
  <c r="W49" i="130"/>
  <c r="W50" i="130"/>
  <c r="W51" i="130"/>
  <c r="W52" i="130"/>
  <c r="W53" i="130"/>
  <c r="W54" i="130"/>
  <c r="W55" i="130"/>
  <c r="W56" i="130"/>
  <c r="W57" i="130"/>
  <c r="W58" i="130"/>
  <c r="W59" i="130"/>
  <c r="W60" i="130"/>
  <c r="W61" i="130"/>
  <c r="W62" i="130"/>
  <c r="W63" i="130"/>
  <c r="W64" i="130"/>
  <c r="W65" i="130"/>
  <c r="W66" i="130"/>
  <c r="W67" i="130"/>
  <c r="W68" i="130"/>
  <c r="W69" i="130"/>
  <c r="W70" i="130"/>
  <c r="W71" i="130"/>
  <c r="W72" i="130"/>
  <c r="W73" i="130"/>
  <c r="W74" i="130"/>
  <c r="W75" i="130"/>
  <c r="W76" i="130"/>
  <c r="W77" i="130"/>
  <c r="W78" i="130"/>
  <c r="W79" i="130"/>
  <c r="W80" i="130"/>
  <c r="W81" i="130"/>
  <c r="W82" i="130"/>
  <c r="W83" i="130"/>
  <c r="W84" i="130"/>
  <c r="W85" i="130"/>
  <c r="W86" i="130"/>
  <c r="W87" i="130"/>
  <c r="W88" i="130"/>
  <c r="W89" i="130"/>
  <c r="W90" i="130"/>
  <c r="W91" i="130"/>
  <c r="W92" i="130"/>
  <c r="W93" i="130"/>
  <c r="W94" i="130"/>
  <c r="W95" i="130"/>
  <c r="W96" i="130"/>
  <c r="W97" i="130"/>
  <c r="W98" i="130"/>
  <c r="W99" i="130"/>
  <c r="W100" i="130"/>
  <c r="W101" i="130"/>
  <c r="W102" i="130"/>
  <c r="W103" i="130"/>
  <c r="W104" i="130"/>
  <c r="W105" i="130"/>
  <c r="W106" i="130"/>
  <c r="W107" i="130"/>
  <c r="W108" i="130"/>
  <c r="W109" i="130"/>
  <c r="W110" i="130"/>
  <c r="W111" i="130"/>
  <c r="W112" i="130"/>
  <c r="W113" i="130"/>
  <c r="W114" i="130"/>
  <c r="W115" i="130"/>
  <c r="W116" i="130"/>
  <c r="W117" i="130"/>
  <c r="W118" i="130"/>
  <c r="W119" i="130"/>
  <c r="W120" i="130"/>
  <c r="W121" i="130"/>
  <c r="W122" i="130"/>
  <c r="W123" i="130"/>
  <c r="W124" i="130"/>
  <c r="W5" i="130"/>
  <c r="U4" i="130"/>
  <c r="T4" i="130"/>
  <c r="S4" i="130"/>
  <c r="R4" i="130"/>
  <c r="Q4" i="130"/>
  <c r="P4" i="130"/>
  <c r="W6" i="135"/>
  <c r="W7" i="135"/>
  <c r="W8" i="135"/>
  <c r="W9" i="135"/>
  <c r="W10" i="135"/>
  <c r="W11" i="135"/>
  <c r="W12" i="135"/>
  <c r="W13" i="135"/>
  <c r="W14" i="135"/>
  <c r="W15" i="135"/>
  <c r="W16" i="135"/>
  <c r="W17" i="135"/>
  <c r="W18" i="135"/>
  <c r="W19" i="135"/>
  <c r="W20" i="135"/>
  <c r="W21" i="135"/>
  <c r="W22" i="135"/>
  <c r="W23" i="135"/>
  <c r="W24" i="135"/>
  <c r="W25" i="135"/>
  <c r="W26" i="135"/>
  <c r="W27" i="135"/>
  <c r="W28" i="135"/>
  <c r="W29" i="135"/>
  <c r="W30" i="135"/>
  <c r="W31" i="135"/>
  <c r="W32" i="135"/>
  <c r="W33" i="135"/>
  <c r="W34" i="135"/>
  <c r="W35" i="135"/>
  <c r="W36" i="135"/>
  <c r="W37" i="135"/>
  <c r="W38" i="135"/>
  <c r="W39" i="135"/>
  <c r="W40" i="135"/>
  <c r="W41" i="135"/>
  <c r="W42" i="135"/>
  <c r="W43" i="135"/>
  <c r="W44" i="135"/>
  <c r="W45" i="135"/>
  <c r="W46" i="135"/>
  <c r="W47" i="135"/>
  <c r="W48" i="135"/>
  <c r="W49" i="135"/>
  <c r="W50" i="135"/>
  <c r="W51" i="135"/>
  <c r="W52" i="135"/>
  <c r="W53" i="135"/>
  <c r="W54" i="135"/>
  <c r="W55" i="135"/>
  <c r="W56" i="135"/>
  <c r="W57" i="135"/>
  <c r="W58" i="135"/>
  <c r="W59" i="135"/>
  <c r="W60" i="135"/>
  <c r="W61" i="135"/>
  <c r="W62" i="135"/>
  <c r="W63" i="135"/>
  <c r="W64" i="135"/>
  <c r="W65" i="135"/>
  <c r="W66" i="135"/>
  <c r="W67" i="135"/>
  <c r="W68" i="135"/>
  <c r="W69" i="135"/>
  <c r="W70" i="135"/>
  <c r="W71" i="135"/>
  <c r="W72" i="135"/>
  <c r="W73" i="135"/>
  <c r="W74" i="135"/>
  <c r="W75" i="135"/>
  <c r="W76" i="135"/>
  <c r="W77" i="135"/>
  <c r="W78" i="135"/>
  <c r="W79" i="135"/>
  <c r="W80" i="135"/>
  <c r="W81" i="135"/>
  <c r="W82" i="135"/>
  <c r="W83" i="135"/>
  <c r="W84" i="135"/>
  <c r="W85" i="135"/>
  <c r="W86" i="135"/>
  <c r="W87" i="135"/>
  <c r="W88" i="135"/>
  <c r="W89" i="135"/>
  <c r="W90" i="135"/>
  <c r="W91" i="135"/>
  <c r="W92" i="135"/>
  <c r="W93" i="135"/>
  <c r="W94" i="135"/>
  <c r="W95" i="135"/>
  <c r="W96" i="135"/>
  <c r="W97" i="135"/>
  <c r="W98" i="135"/>
  <c r="W99" i="135"/>
  <c r="W100" i="135"/>
  <c r="W101" i="135"/>
  <c r="W102" i="135"/>
  <c r="W103" i="135"/>
  <c r="W104" i="135"/>
  <c r="W105" i="135"/>
  <c r="W106" i="135"/>
  <c r="W107" i="135"/>
  <c r="W108" i="135"/>
  <c r="W109" i="135"/>
  <c r="W110" i="135"/>
  <c r="W111" i="135"/>
  <c r="W112" i="135"/>
  <c r="W113" i="135"/>
  <c r="W114" i="135"/>
  <c r="W115" i="135"/>
  <c r="W116" i="135"/>
  <c r="W117" i="135"/>
  <c r="W118" i="135"/>
  <c r="W119" i="135"/>
  <c r="W120" i="135"/>
  <c r="W121" i="135"/>
  <c r="W122" i="135"/>
  <c r="W123" i="135"/>
  <c r="W124" i="135"/>
  <c r="W5" i="135"/>
  <c r="U4" i="135"/>
  <c r="T4" i="135"/>
  <c r="S4" i="135"/>
  <c r="R4" i="135"/>
  <c r="Q4" i="135"/>
  <c r="P4" i="135"/>
  <c r="W6" i="134"/>
  <c r="W100" i="134"/>
  <c r="W7" i="134"/>
  <c r="W8" i="134"/>
  <c r="W9" i="134"/>
  <c r="W10" i="134"/>
  <c r="W11" i="134"/>
  <c r="W12" i="134"/>
  <c r="W13" i="134"/>
  <c r="W14" i="134"/>
  <c r="W15" i="134"/>
  <c r="W16" i="134"/>
  <c r="W101" i="134"/>
  <c r="W17" i="134"/>
  <c r="W18" i="134"/>
  <c r="W19" i="134"/>
  <c r="W20" i="134"/>
  <c r="W21" i="134"/>
  <c r="W22" i="134"/>
  <c r="W23" i="134"/>
  <c r="W24" i="134"/>
  <c r="W102" i="134"/>
  <c r="W103" i="134"/>
  <c r="W25" i="134"/>
  <c r="W26" i="134"/>
  <c r="W27" i="134"/>
  <c r="W28" i="134"/>
  <c r="W29" i="134"/>
  <c r="W104" i="134"/>
  <c r="W30" i="134"/>
  <c r="W31" i="134"/>
  <c r="W32" i="134"/>
  <c r="W33" i="134"/>
  <c r="W34" i="134"/>
  <c r="W35" i="134"/>
  <c r="W36" i="134"/>
  <c r="W105" i="134"/>
  <c r="W37" i="134"/>
  <c r="W38" i="134"/>
  <c r="W106" i="134"/>
  <c r="W107" i="134"/>
  <c r="W39" i="134"/>
  <c r="W40" i="134"/>
  <c r="W41" i="134"/>
  <c r="W42" i="134"/>
  <c r="W43" i="134"/>
  <c r="W44" i="134"/>
  <c r="W45" i="134"/>
  <c r="W108" i="134"/>
  <c r="W46" i="134"/>
  <c r="W47" i="134"/>
  <c r="W48" i="134"/>
  <c r="W49" i="134"/>
  <c r="W109" i="134"/>
  <c r="W50" i="134"/>
  <c r="W51" i="134"/>
  <c r="W52" i="134"/>
  <c r="W53" i="134"/>
  <c r="W54" i="134"/>
  <c r="W55" i="134"/>
  <c r="W56" i="134"/>
  <c r="W57" i="134"/>
  <c r="W58" i="134"/>
  <c r="W59" i="134"/>
  <c r="W110" i="134"/>
  <c r="W60" i="134"/>
  <c r="W111" i="134"/>
  <c r="W112" i="134"/>
  <c r="W61" i="134"/>
  <c r="W62" i="134"/>
  <c r="W63" i="134"/>
  <c r="W64" i="134"/>
  <c r="W65" i="134"/>
  <c r="W66" i="134"/>
  <c r="W113" i="134"/>
  <c r="W114" i="134"/>
  <c r="W67" i="134"/>
  <c r="W68" i="134"/>
  <c r="W115" i="134"/>
  <c r="W69" i="134"/>
  <c r="W70" i="134"/>
  <c r="W71" i="134"/>
  <c r="W72" i="134"/>
  <c r="W116" i="134"/>
  <c r="W73" i="134"/>
  <c r="W117" i="134"/>
  <c r="W74" i="134"/>
  <c r="W75" i="134"/>
  <c r="W76" i="134"/>
  <c r="W77" i="134"/>
  <c r="W78" i="134"/>
  <c r="W118" i="134"/>
  <c r="W79" i="134"/>
  <c r="W119" i="134"/>
  <c r="W80" i="134"/>
  <c r="W120" i="134"/>
  <c r="W81" i="134"/>
  <c r="W82" i="134"/>
  <c r="W83" i="134"/>
  <c r="W84" i="134"/>
  <c r="W85" i="134"/>
  <c r="W86" i="134"/>
  <c r="W87" i="134"/>
  <c r="W88" i="134"/>
  <c r="W89" i="134"/>
  <c r="W90" i="134"/>
  <c r="W121" i="134"/>
  <c r="W91" i="134"/>
  <c r="W92" i="134"/>
  <c r="W93" i="134"/>
  <c r="W122" i="134"/>
  <c r="W94" i="134"/>
  <c r="W95" i="134"/>
  <c r="W96" i="134"/>
  <c r="W123" i="134"/>
  <c r="W124" i="134"/>
  <c r="W97" i="134"/>
  <c r="W98" i="134"/>
  <c r="W99" i="134"/>
  <c r="W5" i="134"/>
  <c r="U4" i="134"/>
  <c r="T4" i="134"/>
  <c r="S4" i="134"/>
  <c r="R4" i="134"/>
  <c r="Q4" i="134"/>
  <c r="P4" i="134"/>
  <c r="W6" i="128"/>
  <c r="W100" i="128"/>
  <c r="W7" i="128"/>
  <c r="W8" i="128"/>
  <c r="W9" i="128"/>
  <c r="W10" i="128"/>
  <c r="W11" i="128"/>
  <c r="W12" i="128"/>
  <c r="W13" i="128"/>
  <c r="W14" i="128"/>
  <c r="W15" i="128"/>
  <c r="W16" i="128"/>
  <c r="W101" i="128"/>
  <c r="W17" i="128"/>
  <c r="W18" i="128"/>
  <c r="W19" i="128"/>
  <c r="W20" i="128"/>
  <c r="W21" i="128"/>
  <c r="W22" i="128"/>
  <c r="W23" i="128"/>
  <c r="W24" i="128"/>
  <c r="W102" i="128"/>
  <c r="W103" i="128"/>
  <c r="W25" i="128"/>
  <c r="W26" i="128"/>
  <c r="W27" i="128"/>
  <c r="W28" i="128"/>
  <c r="W29" i="128"/>
  <c r="W104" i="128"/>
  <c r="W30" i="128"/>
  <c r="W31" i="128"/>
  <c r="W32" i="128"/>
  <c r="W33" i="128"/>
  <c r="W34" i="128"/>
  <c r="W35" i="128"/>
  <c r="W36" i="128"/>
  <c r="W105" i="128"/>
  <c r="W37" i="128"/>
  <c r="W38" i="128"/>
  <c r="W106" i="128"/>
  <c r="W107" i="128"/>
  <c r="W39" i="128"/>
  <c r="W40" i="128"/>
  <c r="W41" i="128"/>
  <c r="W42" i="128"/>
  <c r="W43" i="128"/>
  <c r="W44" i="128"/>
  <c r="W45" i="128"/>
  <c r="W108" i="128"/>
  <c r="W46" i="128"/>
  <c r="W47" i="128"/>
  <c r="W48" i="128"/>
  <c r="W49" i="128"/>
  <c r="W109" i="128"/>
  <c r="W50" i="128"/>
  <c r="W51" i="128"/>
  <c r="W52" i="128"/>
  <c r="W53" i="128"/>
  <c r="W54" i="128"/>
  <c r="W55" i="128"/>
  <c r="W56" i="128"/>
  <c r="W57" i="128"/>
  <c r="W58" i="128"/>
  <c r="W59" i="128"/>
  <c r="W110" i="128"/>
  <c r="W60" i="128"/>
  <c r="W111" i="128"/>
  <c r="W112" i="128"/>
  <c r="W61" i="128"/>
  <c r="W62" i="128"/>
  <c r="W63" i="128"/>
  <c r="W64" i="128"/>
  <c r="W65" i="128"/>
  <c r="W66" i="128"/>
  <c r="W113" i="128"/>
  <c r="W114" i="128"/>
  <c r="W67" i="128"/>
  <c r="W68" i="128"/>
  <c r="W115" i="128"/>
  <c r="W69" i="128"/>
  <c r="W70" i="128"/>
  <c r="W71" i="128"/>
  <c r="W72" i="128"/>
  <c r="W116" i="128"/>
  <c r="W73" i="128"/>
  <c r="W117" i="128"/>
  <c r="W74" i="128"/>
  <c r="W75" i="128"/>
  <c r="W76" i="128"/>
  <c r="W77" i="128"/>
  <c r="W78" i="128"/>
  <c r="W118" i="128"/>
  <c r="W79" i="128"/>
  <c r="W119" i="128"/>
  <c r="W80" i="128"/>
  <c r="W120" i="128"/>
  <c r="W81" i="128"/>
  <c r="W82" i="128"/>
  <c r="W83" i="128"/>
  <c r="W84" i="128"/>
  <c r="W85" i="128"/>
  <c r="W86" i="128"/>
  <c r="W87" i="128"/>
  <c r="W88" i="128"/>
  <c r="W89" i="128"/>
  <c r="W90" i="128"/>
  <c r="W121" i="128"/>
  <c r="W91" i="128"/>
  <c r="W92" i="128"/>
  <c r="W93" i="128"/>
  <c r="W122" i="128"/>
  <c r="W94" i="128"/>
  <c r="W95" i="128"/>
  <c r="W96" i="128"/>
  <c r="W123" i="128"/>
  <c r="W124" i="128"/>
  <c r="W97" i="128"/>
  <c r="W98" i="128"/>
  <c r="W99" i="128"/>
  <c r="W5" i="128"/>
  <c r="U4" i="128"/>
  <c r="T4" i="128"/>
  <c r="S4" i="128"/>
  <c r="R4" i="128"/>
  <c r="Q4" i="128"/>
  <c r="P4" i="128"/>
  <c r="U4" i="133"/>
  <c r="T4" i="133"/>
  <c r="S4" i="133"/>
  <c r="R4" i="133"/>
  <c r="Q4" i="133"/>
  <c r="P4" i="133"/>
  <c r="U4" i="129"/>
  <c r="T4" i="129"/>
  <c r="S4" i="129"/>
  <c r="R4" i="129"/>
  <c r="Q4" i="129"/>
  <c r="P4" i="129"/>
  <c r="W6" i="129"/>
  <c r="W7" i="129"/>
  <c r="W8" i="129"/>
  <c r="W9" i="129"/>
  <c r="W10" i="129"/>
  <c r="W11" i="129"/>
  <c r="W12" i="129"/>
  <c r="W13" i="129"/>
  <c r="W14" i="129"/>
  <c r="W15" i="129"/>
  <c r="W16" i="129"/>
  <c r="W17" i="129"/>
  <c r="W18" i="129"/>
  <c r="W19" i="129"/>
  <c r="W20" i="129"/>
  <c r="W21" i="129"/>
  <c r="W22" i="129"/>
  <c r="W23" i="129"/>
  <c r="W24" i="129"/>
  <c r="W25" i="129"/>
  <c r="W26" i="129"/>
  <c r="W27" i="129"/>
  <c r="W28" i="129"/>
  <c r="W29" i="129"/>
  <c r="W30" i="129"/>
  <c r="W31" i="129"/>
  <c r="W32" i="129"/>
  <c r="W33" i="129"/>
  <c r="W34" i="129"/>
  <c r="W35" i="129"/>
  <c r="W36" i="129"/>
  <c r="W37" i="129"/>
  <c r="W38" i="129"/>
  <c r="W39" i="129"/>
  <c r="W40" i="129"/>
  <c r="W41" i="129"/>
  <c r="W42" i="129"/>
  <c r="W43" i="129"/>
  <c r="W44" i="129"/>
  <c r="W45" i="129"/>
  <c r="W46" i="129"/>
  <c r="W47" i="129"/>
  <c r="W48" i="129"/>
  <c r="W49" i="129"/>
  <c r="W50" i="129"/>
  <c r="W51" i="129"/>
  <c r="W52" i="129"/>
  <c r="W53" i="129"/>
  <c r="W54" i="129"/>
  <c r="W55" i="129"/>
  <c r="W56" i="129"/>
  <c r="W57" i="129"/>
  <c r="W58" i="129"/>
  <c r="W59" i="129"/>
  <c r="W60" i="129"/>
  <c r="W61" i="129"/>
  <c r="W62" i="129"/>
  <c r="W63" i="129"/>
  <c r="W64" i="129"/>
  <c r="W65" i="129"/>
  <c r="W66" i="129"/>
  <c r="W67" i="129"/>
  <c r="W68" i="129"/>
  <c r="W69" i="129"/>
  <c r="W70" i="129"/>
  <c r="W71" i="129"/>
  <c r="W72" i="129"/>
  <c r="W73" i="129"/>
  <c r="W74" i="129"/>
  <c r="W75" i="129"/>
  <c r="W76" i="129"/>
  <c r="W77" i="129"/>
  <c r="W78" i="129"/>
  <c r="W79" i="129"/>
  <c r="W80" i="129"/>
  <c r="W81" i="129"/>
  <c r="W82" i="129"/>
  <c r="W83" i="129"/>
  <c r="W84" i="129"/>
  <c r="W85" i="129"/>
  <c r="W86" i="129"/>
  <c r="W87" i="129"/>
  <c r="W88" i="129"/>
  <c r="W89" i="129"/>
  <c r="W90" i="129"/>
  <c r="W91" i="129"/>
  <c r="W92" i="129"/>
  <c r="W93" i="129"/>
  <c r="W94" i="129"/>
  <c r="W95" i="129"/>
  <c r="W96" i="129"/>
  <c r="W97" i="129"/>
  <c r="W98" i="129"/>
  <c r="W99" i="129"/>
  <c r="W100" i="129"/>
  <c r="W101" i="129"/>
  <c r="W102" i="129"/>
  <c r="W103" i="129"/>
  <c r="W104" i="129"/>
  <c r="W105" i="129"/>
  <c r="W106" i="129"/>
  <c r="W107" i="129"/>
  <c r="W108" i="129"/>
  <c r="W109" i="129"/>
  <c r="W110" i="129"/>
  <c r="W111" i="129"/>
  <c r="W112" i="129"/>
  <c r="W113" i="129"/>
  <c r="W114" i="129"/>
  <c r="W115" i="129"/>
  <c r="W116" i="129"/>
  <c r="W117" i="129"/>
  <c r="W118" i="129"/>
  <c r="W119" i="129"/>
  <c r="W120" i="129"/>
  <c r="W121" i="129"/>
  <c r="W122" i="129"/>
  <c r="W123" i="129"/>
  <c r="W124" i="129"/>
  <c r="W5" i="129"/>
  <c r="W6" i="133"/>
  <c r="W7" i="133"/>
  <c r="W8" i="133"/>
  <c r="W9" i="133"/>
  <c r="W10" i="133"/>
  <c r="W11" i="133"/>
  <c r="W12" i="133"/>
  <c r="W13" i="133"/>
  <c r="W14" i="133"/>
  <c r="W15" i="133"/>
  <c r="W16" i="133"/>
  <c r="W17" i="133"/>
  <c r="W18" i="133"/>
  <c r="W19" i="133"/>
  <c r="W20" i="133"/>
  <c r="W21" i="133"/>
  <c r="W22" i="133"/>
  <c r="W23" i="133"/>
  <c r="W24" i="133"/>
  <c r="W25" i="133"/>
  <c r="W26" i="133"/>
  <c r="W27" i="133"/>
  <c r="W28" i="133"/>
  <c r="W29" i="133"/>
  <c r="W30" i="133"/>
  <c r="W31" i="133"/>
  <c r="W32" i="133"/>
  <c r="W33" i="133"/>
  <c r="W34" i="133"/>
  <c r="W35" i="133"/>
  <c r="W36" i="133"/>
  <c r="W37" i="133"/>
  <c r="W38" i="133"/>
  <c r="W39" i="133"/>
  <c r="W40" i="133"/>
  <c r="W41" i="133"/>
  <c r="W42" i="133"/>
  <c r="W43" i="133"/>
  <c r="W44" i="133"/>
  <c r="W45" i="133"/>
  <c r="W46" i="133"/>
  <c r="W47" i="133"/>
  <c r="W48" i="133"/>
  <c r="W49" i="133"/>
  <c r="W50" i="133"/>
  <c r="W51" i="133"/>
  <c r="W52" i="133"/>
  <c r="W53" i="133"/>
  <c r="W54" i="133"/>
  <c r="W55" i="133"/>
  <c r="W56" i="133"/>
  <c r="W57" i="133"/>
  <c r="W58" i="133"/>
  <c r="W59" i="133"/>
  <c r="W60" i="133"/>
  <c r="W61" i="133"/>
  <c r="W62" i="133"/>
  <c r="W63" i="133"/>
  <c r="W64" i="133"/>
  <c r="W65" i="133"/>
  <c r="W66" i="133"/>
  <c r="W67" i="133"/>
  <c r="W68" i="133"/>
  <c r="W69" i="133"/>
  <c r="W70" i="133"/>
  <c r="W71" i="133"/>
  <c r="W72" i="133"/>
  <c r="W73" i="133"/>
  <c r="W74" i="133"/>
  <c r="W75" i="133"/>
  <c r="W76" i="133"/>
  <c r="W77" i="133"/>
  <c r="W78" i="133"/>
  <c r="W79" i="133"/>
  <c r="W80" i="133"/>
  <c r="W81" i="133"/>
  <c r="W82" i="133"/>
  <c r="W83" i="133"/>
  <c r="W84" i="133"/>
  <c r="W85" i="133"/>
  <c r="W86" i="133"/>
  <c r="W87" i="133"/>
  <c r="W88" i="133"/>
  <c r="W89" i="133"/>
  <c r="W90" i="133"/>
  <c r="W91" i="133"/>
  <c r="W92" i="133"/>
  <c r="W93" i="133"/>
  <c r="W94" i="133"/>
  <c r="W95" i="133"/>
  <c r="W96" i="133"/>
  <c r="W97" i="133"/>
  <c r="W98" i="133"/>
  <c r="W99" i="133"/>
  <c r="W100" i="133"/>
  <c r="W101" i="133"/>
  <c r="W102" i="133"/>
  <c r="W103" i="133"/>
  <c r="W104" i="133"/>
  <c r="W105" i="133"/>
  <c r="W106" i="133"/>
  <c r="W107" i="133"/>
  <c r="W108" i="133"/>
  <c r="W109" i="133"/>
  <c r="W110" i="133"/>
  <c r="W111" i="133"/>
  <c r="W112" i="133"/>
  <c r="W113" i="133"/>
  <c r="W114" i="133"/>
  <c r="W115" i="133"/>
  <c r="W116" i="133"/>
  <c r="W117" i="133"/>
  <c r="W118" i="133"/>
  <c r="W119" i="133"/>
  <c r="W120" i="133"/>
  <c r="W121" i="133"/>
  <c r="W122" i="133"/>
  <c r="W123" i="133"/>
  <c r="W124" i="133"/>
  <c r="W5" i="133"/>
  <c r="W4" i="136" l="1"/>
  <c r="W4" i="131"/>
  <c r="W4" i="130"/>
  <c r="W4" i="135"/>
  <c r="W4" i="134"/>
  <c r="W4" i="128"/>
  <c r="W4" i="129"/>
  <c r="W4" i="133"/>
  <c r="P7" i="91" l="1"/>
  <c r="P8" i="91"/>
  <c r="P9" i="91"/>
  <c r="P10" i="91"/>
  <c r="P11" i="91"/>
  <c r="P12" i="91"/>
  <c r="P13" i="91"/>
  <c r="P14" i="91"/>
  <c r="P15" i="91"/>
  <c r="P16" i="91"/>
  <c r="P17" i="91"/>
  <c r="P18" i="91"/>
  <c r="P19" i="91"/>
  <c r="P20" i="91"/>
  <c r="P21" i="91"/>
  <c r="P22" i="91"/>
  <c r="P23" i="91"/>
  <c r="P24" i="91"/>
  <c r="P25" i="91"/>
  <c r="P26" i="91"/>
  <c r="P27" i="91"/>
  <c r="P28" i="91"/>
  <c r="P29" i="91"/>
  <c r="P30" i="91"/>
  <c r="P31" i="91"/>
  <c r="P32" i="91"/>
  <c r="P33" i="91"/>
  <c r="P34" i="91"/>
  <c r="P35" i="91"/>
  <c r="P36" i="91"/>
  <c r="P37" i="91"/>
  <c r="P38" i="91"/>
  <c r="P39" i="91"/>
  <c r="P40" i="91"/>
  <c r="P41" i="91"/>
  <c r="P42" i="91"/>
  <c r="P43" i="91"/>
  <c r="P44" i="91"/>
  <c r="P45" i="91"/>
  <c r="P46" i="91"/>
  <c r="P47" i="91"/>
  <c r="P48" i="91"/>
  <c r="P49" i="91"/>
  <c r="P50" i="91"/>
  <c r="P51" i="91"/>
  <c r="P52" i="91"/>
  <c r="P53" i="91"/>
  <c r="P54" i="91"/>
  <c r="P55" i="91"/>
  <c r="P56" i="91"/>
  <c r="P57" i="91"/>
  <c r="P58" i="91"/>
  <c r="P59" i="91"/>
  <c r="P60" i="91"/>
  <c r="P61" i="91"/>
  <c r="P62" i="91"/>
  <c r="P63" i="91"/>
  <c r="P64" i="91"/>
  <c r="P65" i="91"/>
  <c r="P66" i="91"/>
  <c r="P67" i="91"/>
  <c r="P68" i="91"/>
  <c r="P69" i="91"/>
  <c r="P70" i="91"/>
  <c r="P71" i="91"/>
  <c r="P72" i="91"/>
  <c r="P73" i="91"/>
  <c r="P74" i="91"/>
  <c r="P75" i="91"/>
  <c r="P76" i="91"/>
  <c r="P77" i="91"/>
  <c r="P78" i="91"/>
  <c r="P79" i="91"/>
  <c r="P80" i="91"/>
  <c r="P81" i="91"/>
  <c r="P82" i="91"/>
  <c r="P83" i="91"/>
  <c r="P84" i="91"/>
  <c r="P85" i="91"/>
  <c r="P86" i="91"/>
  <c r="P87" i="91"/>
  <c r="P88" i="91"/>
  <c r="P89" i="91"/>
  <c r="P90" i="91"/>
  <c r="P91" i="91"/>
  <c r="P92" i="91"/>
  <c r="P93" i="91"/>
  <c r="P94" i="91"/>
  <c r="P95" i="91"/>
  <c r="P96" i="91"/>
  <c r="P97" i="91"/>
  <c r="P98" i="91"/>
  <c r="P99" i="91"/>
  <c r="P100" i="91"/>
  <c r="P101" i="91"/>
  <c r="P102" i="91"/>
  <c r="P103" i="91"/>
  <c r="P104" i="91"/>
  <c r="P105" i="91"/>
  <c r="P106" i="91"/>
  <c r="P107" i="91"/>
  <c r="P108" i="91"/>
  <c r="P109" i="91"/>
  <c r="P110" i="91"/>
  <c r="P111" i="91"/>
  <c r="P112" i="91"/>
  <c r="P113" i="91"/>
  <c r="P114" i="91"/>
  <c r="P115" i="91"/>
  <c r="P116" i="91"/>
  <c r="P117" i="91"/>
  <c r="P118" i="91"/>
  <c r="P119" i="91"/>
  <c r="P120" i="91"/>
  <c r="P121" i="91"/>
  <c r="P122" i="91"/>
  <c r="P123" i="91"/>
  <c r="P124" i="91"/>
  <c r="P125" i="91"/>
  <c r="P6" i="91"/>
  <c r="L7" i="91"/>
  <c r="L8" i="91"/>
  <c r="L9" i="91"/>
  <c r="L10" i="91"/>
  <c r="L11" i="91"/>
  <c r="L12" i="91"/>
  <c r="L13" i="91"/>
  <c r="L14" i="91"/>
  <c r="L15" i="91"/>
  <c r="L16" i="91"/>
  <c r="L17" i="91"/>
  <c r="L18" i="91"/>
  <c r="L19" i="91"/>
  <c r="L20" i="91"/>
  <c r="L21" i="91"/>
  <c r="L22" i="91"/>
  <c r="L23" i="91"/>
  <c r="L24" i="91"/>
  <c r="L25" i="91"/>
  <c r="L26" i="91"/>
  <c r="L27" i="91"/>
  <c r="L28" i="91"/>
  <c r="L29" i="91"/>
  <c r="L30" i="91"/>
  <c r="L31" i="91"/>
  <c r="L32" i="91"/>
  <c r="L33" i="91"/>
  <c r="L34" i="91"/>
  <c r="L35" i="91"/>
  <c r="L36" i="91"/>
  <c r="L37" i="91"/>
  <c r="L38" i="91"/>
  <c r="L39" i="91"/>
  <c r="L40" i="91"/>
  <c r="L41" i="91"/>
  <c r="L42" i="91"/>
  <c r="L43" i="91"/>
  <c r="L44" i="91"/>
  <c r="L45" i="91"/>
  <c r="L46" i="91"/>
  <c r="L47" i="91"/>
  <c r="L48" i="91"/>
  <c r="L49" i="91"/>
  <c r="L50" i="91"/>
  <c r="L51" i="91"/>
  <c r="L52" i="91"/>
  <c r="L53" i="91"/>
  <c r="L54" i="91"/>
  <c r="L55" i="91"/>
  <c r="L56" i="91"/>
  <c r="L57" i="91"/>
  <c r="L58" i="91"/>
  <c r="L59" i="91"/>
  <c r="L60" i="91"/>
  <c r="L61" i="91"/>
  <c r="L62" i="91"/>
  <c r="L63" i="91"/>
  <c r="L64" i="91"/>
  <c r="L65" i="91"/>
  <c r="L66" i="91"/>
  <c r="L67" i="91"/>
  <c r="L68" i="91"/>
  <c r="L69" i="91"/>
  <c r="L70" i="91"/>
  <c r="L71" i="91"/>
  <c r="L72" i="91"/>
  <c r="L73" i="91"/>
  <c r="L74" i="91"/>
  <c r="L75" i="91"/>
  <c r="L76" i="91"/>
  <c r="L77" i="91"/>
  <c r="L78" i="91"/>
  <c r="L79" i="91"/>
  <c r="L80" i="91"/>
  <c r="L81" i="91"/>
  <c r="L82" i="91"/>
  <c r="L83" i="91"/>
  <c r="L84" i="91"/>
  <c r="L85" i="91"/>
  <c r="L86" i="91"/>
  <c r="L87" i="91"/>
  <c r="L88" i="91"/>
  <c r="L89" i="91"/>
  <c r="L90" i="91"/>
  <c r="L91" i="91"/>
  <c r="L92" i="91"/>
  <c r="L93" i="91"/>
  <c r="L94" i="91"/>
  <c r="L95" i="91"/>
  <c r="L96" i="91"/>
  <c r="L97" i="91"/>
  <c r="L98" i="91"/>
  <c r="L99" i="91"/>
  <c r="L100" i="91"/>
  <c r="L101" i="91"/>
  <c r="L102" i="91"/>
  <c r="L103" i="91"/>
  <c r="L104" i="91"/>
  <c r="L105" i="91"/>
  <c r="L106" i="91"/>
  <c r="L107" i="91"/>
  <c r="L108" i="91"/>
  <c r="L109" i="91"/>
  <c r="L110" i="91"/>
  <c r="L111" i="91"/>
  <c r="L112" i="91"/>
  <c r="L113" i="91"/>
  <c r="L114" i="91"/>
  <c r="L115" i="91"/>
  <c r="L116" i="91"/>
  <c r="L117" i="91"/>
  <c r="L118" i="91"/>
  <c r="L119" i="91"/>
  <c r="L120" i="91"/>
  <c r="L121" i="91"/>
  <c r="L122" i="91"/>
  <c r="L123" i="91"/>
  <c r="L124" i="91"/>
  <c r="L125" i="91"/>
  <c r="L6" i="91"/>
  <c r="I7" i="91"/>
  <c r="I8" i="91"/>
  <c r="I9" i="91"/>
  <c r="I10" i="91"/>
  <c r="I11" i="91"/>
  <c r="I12" i="91"/>
  <c r="I13" i="91"/>
  <c r="I14" i="91"/>
  <c r="I15" i="91"/>
  <c r="I16" i="91"/>
  <c r="I17" i="91"/>
  <c r="I18" i="91"/>
  <c r="I19" i="91"/>
  <c r="I20" i="91"/>
  <c r="I21" i="91"/>
  <c r="I22" i="91"/>
  <c r="I23" i="91"/>
  <c r="I24" i="91"/>
  <c r="I25" i="91"/>
  <c r="I26" i="91"/>
  <c r="I27" i="91"/>
  <c r="I28" i="91"/>
  <c r="I29" i="91"/>
  <c r="I30" i="91"/>
  <c r="I31" i="91"/>
  <c r="I32" i="91"/>
  <c r="I33" i="91"/>
  <c r="I34" i="91"/>
  <c r="I35" i="91"/>
  <c r="I36" i="91"/>
  <c r="I37" i="91"/>
  <c r="I38" i="91"/>
  <c r="I39" i="91"/>
  <c r="I40" i="91"/>
  <c r="I41" i="91"/>
  <c r="I42" i="91"/>
  <c r="I43" i="91"/>
  <c r="I44" i="91"/>
  <c r="I45" i="91"/>
  <c r="I46" i="91"/>
  <c r="I47" i="91"/>
  <c r="I48" i="91"/>
  <c r="I49" i="91"/>
  <c r="I50" i="91"/>
  <c r="I51" i="91"/>
  <c r="I52" i="91"/>
  <c r="I53" i="91"/>
  <c r="I54" i="91"/>
  <c r="I55" i="91"/>
  <c r="I56" i="91"/>
  <c r="I57" i="91"/>
  <c r="I58" i="91"/>
  <c r="I59" i="91"/>
  <c r="I60" i="91"/>
  <c r="I61" i="91"/>
  <c r="I62" i="91"/>
  <c r="I63" i="91"/>
  <c r="I64" i="91"/>
  <c r="I65" i="91"/>
  <c r="I66" i="91"/>
  <c r="I67" i="91"/>
  <c r="I68" i="91"/>
  <c r="I69" i="91"/>
  <c r="I70" i="91"/>
  <c r="I71" i="91"/>
  <c r="I72" i="91"/>
  <c r="I73" i="91"/>
  <c r="I74" i="91"/>
  <c r="I75" i="91"/>
  <c r="I76" i="91"/>
  <c r="I77" i="91"/>
  <c r="I78" i="91"/>
  <c r="I79" i="91"/>
  <c r="I80" i="91"/>
  <c r="I81" i="91"/>
  <c r="I82" i="91"/>
  <c r="I83" i="91"/>
  <c r="I84" i="91"/>
  <c r="I85" i="91"/>
  <c r="I86" i="91"/>
  <c r="I87" i="91"/>
  <c r="I88" i="91"/>
  <c r="I89" i="91"/>
  <c r="I90" i="91"/>
  <c r="I91" i="91"/>
  <c r="I92" i="91"/>
  <c r="I93" i="91"/>
  <c r="I94" i="91"/>
  <c r="I95" i="91"/>
  <c r="I96" i="91"/>
  <c r="I97" i="91"/>
  <c r="I98" i="91"/>
  <c r="I99" i="91"/>
  <c r="I100" i="91"/>
  <c r="I101" i="91"/>
  <c r="I102" i="91"/>
  <c r="I103" i="91"/>
  <c r="I104" i="91"/>
  <c r="I105" i="91"/>
  <c r="I106" i="91"/>
  <c r="I107" i="91"/>
  <c r="I108" i="91"/>
  <c r="I109" i="91"/>
  <c r="I110" i="91"/>
  <c r="I111" i="91"/>
  <c r="I112" i="91"/>
  <c r="I113" i="91"/>
  <c r="I114" i="91"/>
  <c r="I115" i="91"/>
  <c r="I116" i="91"/>
  <c r="I117" i="91"/>
  <c r="I118" i="91"/>
  <c r="I119" i="91"/>
  <c r="I120" i="91"/>
  <c r="I121" i="91"/>
  <c r="I122" i="91"/>
  <c r="I123" i="91"/>
  <c r="I124" i="91"/>
  <c r="I125" i="91"/>
  <c r="I6" i="91"/>
  <c r="AB131" i="84" l="1"/>
  <c r="AA131" i="84"/>
  <c r="Z131" i="84"/>
  <c r="Y131" i="84"/>
  <c r="X131" i="84"/>
  <c r="AB130" i="84"/>
  <c r="AA130" i="84"/>
  <c r="Z130" i="84"/>
  <c r="Y130" i="84"/>
  <c r="X130" i="84"/>
  <c r="AB129" i="84"/>
  <c r="AA129" i="84"/>
  <c r="Z129" i="84"/>
  <c r="Y129" i="84"/>
  <c r="X129" i="84"/>
  <c r="AB128" i="84"/>
  <c r="AA128" i="84"/>
  <c r="Z128" i="84"/>
  <c r="Y128" i="84"/>
  <c r="X128" i="84"/>
  <c r="AB127" i="84"/>
  <c r="AA127" i="84"/>
  <c r="Z127" i="84"/>
  <c r="Y127" i="84"/>
  <c r="X127" i="84"/>
  <c r="AB100" i="84"/>
  <c r="AA100" i="84"/>
  <c r="Z100" i="84"/>
  <c r="Y100" i="84"/>
  <c r="X100" i="84"/>
  <c r="AB99" i="84"/>
  <c r="AA99" i="84"/>
  <c r="Z99" i="84"/>
  <c r="Y99" i="84"/>
  <c r="X99" i="84"/>
  <c r="AB98" i="84"/>
  <c r="AA98" i="84"/>
  <c r="Z98" i="84"/>
  <c r="Y98" i="84"/>
  <c r="X98" i="84"/>
  <c r="AB125" i="84"/>
  <c r="AA125" i="84"/>
  <c r="Z125" i="84"/>
  <c r="Y125" i="84"/>
  <c r="X125" i="84"/>
  <c r="AB124" i="84"/>
  <c r="AA124" i="84"/>
  <c r="Z124" i="84"/>
  <c r="Y124" i="84"/>
  <c r="X124" i="84"/>
  <c r="AB97" i="84"/>
  <c r="AA97" i="84"/>
  <c r="Z97" i="84"/>
  <c r="Y97" i="84"/>
  <c r="X97" i="84"/>
  <c r="AB96" i="84"/>
  <c r="AA96" i="84"/>
  <c r="Z96" i="84"/>
  <c r="Y96" i="84"/>
  <c r="X96" i="84"/>
  <c r="AB95" i="84"/>
  <c r="AA95" i="84"/>
  <c r="Z95" i="84"/>
  <c r="Y95" i="84"/>
  <c r="X95" i="84"/>
  <c r="AB123" i="84"/>
  <c r="AA123" i="84"/>
  <c r="Z123" i="84"/>
  <c r="Y123" i="84"/>
  <c r="X123" i="84"/>
  <c r="AB94" i="84"/>
  <c r="AA94" i="84"/>
  <c r="Z94" i="84"/>
  <c r="Y94" i="84"/>
  <c r="X94" i="84"/>
  <c r="AB93" i="84"/>
  <c r="AA93" i="84"/>
  <c r="Z93" i="84"/>
  <c r="Y93" i="84"/>
  <c r="X93" i="84"/>
  <c r="AB92" i="84"/>
  <c r="AA92" i="84"/>
  <c r="Z92" i="84"/>
  <c r="Y92" i="84"/>
  <c r="X92" i="84"/>
  <c r="AB122" i="84"/>
  <c r="AA122" i="84"/>
  <c r="Z122" i="84"/>
  <c r="Y122" i="84"/>
  <c r="X122" i="84"/>
  <c r="AB91" i="84"/>
  <c r="AA91" i="84"/>
  <c r="Z91" i="84"/>
  <c r="Y91" i="84"/>
  <c r="X91" i="84"/>
  <c r="AB90" i="84"/>
  <c r="AA90" i="84"/>
  <c r="Z90" i="84"/>
  <c r="Y90" i="84"/>
  <c r="X90" i="84"/>
  <c r="AB89" i="84"/>
  <c r="AA89" i="84"/>
  <c r="Z89" i="84"/>
  <c r="Y89" i="84"/>
  <c r="X89" i="84"/>
  <c r="AB88" i="84"/>
  <c r="AA88" i="84"/>
  <c r="Z88" i="84"/>
  <c r="Y88" i="84"/>
  <c r="X88" i="84"/>
  <c r="AB87" i="84"/>
  <c r="AA87" i="84"/>
  <c r="Z87" i="84"/>
  <c r="Y87" i="84"/>
  <c r="X87" i="84"/>
  <c r="AB86" i="84"/>
  <c r="AA86" i="84"/>
  <c r="Z86" i="84"/>
  <c r="Y86" i="84"/>
  <c r="X86" i="84"/>
  <c r="AB85" i="84"/>
  <c r="AA85" i="84"/>
  <c r="Z85" i="84"/>
  <c r="Y85" i="84"/>
  <c r="X85" i="84"/>
  <c r="AB84" i="84"/>
  <c r="AA84" i="84"/>
  <c r="Z84" i="84"/>
  <c r="Y84" i="84"/>
  <c r="X84" i="84"/>
  <c r="AB83" i="84"/>
  <c r="AA83" i="84"/>
  <c r="Z83" i="84"/>
  <c r="Y83" i="84"/>
  <c r="X83" i="84"/>
  <c r="AB82" i="84"/>
  <c r="AA82" i="84"/>
  <c r="Z82" i="84"/>
  <c r="Y82" i="84"/>
  <c r="X82" i="84"/>
  <c r="AB121" i="84"/>
  <c r="AA121" i="84"/>
  <c r="Z121" i="84"/>
  <c r="Y121" i="84"/>
  <c r="X121" i="84"/>
  <c r="AB81" i="84"/>
  <c r="AA81" i="84"/>
  <c r="Z81" i="84"/>
  <c r="Y81" i="84"/>
  <c r="X81" i="84"/>
  <c r="AB120" i="84"/>
  <c r="AA120" i="84"/>
  <c r="Z120" i="84"/>
  <c r="Y120" i="84"/>
  <c r="X120" i="84"/>
  <c r="AB80" i="84"/>
  <c r="AA80" i="84"/>
  <c r="Z80" i="84"/>
  <c r="Y80" i="84"/>
  <c r="X80" i="84"/>
  <c r="AB119" i="84"/>
  <c r="AA119" i="84"/>
  <c r="Z119" i="84"/>
  <c r="Y119" i="84"/>
  <c r="X119" i="84"/>
  <c r="AB79" i="84"/>
  <c r="AA79" i="84"/>
  <c r="Z79" i="84"/>
  <c r="Y79" i="84"/>
  <c r="X79" i="84"/>
  <c r="AB78" i="84"/>
  <c r="AA78" i="84"/>
  <c r="Z78" i="84"/>
  <c r="Y78" i="84"/>
  <c r="X78" i="84"/>
  <c r="AB77" i="84"/>
  <c r="AA77" i="84"/>
  <c r="Z77" i="84"/>
  <c r="Y77" i="84"/>
  <c r="X77" i="84"/>
  <c r="AB76" i="84"/>
  <c r="AA76" i="84"/>
  <c r="Z76" i="84"/>
  <c r="Y76" i="84"/>
  <c r="X76" i="84"/>
  <c r="AB75" i="84"/>
  <c r="AA75" i="84"/>
  <c r="Z75" i="84"/>
  <c r="Y75" i="84"/>
  <c r="X75" i="84"/>
  <c r="AB118" i="84"/>
  <c r="AA118" i="84"/>
  <c r="Z118" i="84"/>
  <c r="Y118" i="84"/>
  <c r="X118" i="84"/>
  <c r="AB74" i="84"/>
  <c r="AA74" i="84"/>
  <c r="Z74" i="84"/>
  <c r="Y74" i="84"/>
  <c r="X74" i="84"/>
  <c r="AB117" i="84"/>
  <c r="AA117" i="84"/>
  <c r="Z117" i="84"/>
  <c r="Y117" i="84"/>
  <c r="X117" i="84"/>
  <c r="AB73" i="84"/>
  <c r="AA73" i="84"/>
  <c r="Z73" i="84"/>
  <c r="Y73" i="84"/>
  <c r="X73" i="84"/>
  <c r="AB72" i="84"/>
  <c r="AA72" i="84"/>
  <c r="Z72" i="84"/>
  <c r="Y72" i="84"/>
  <c r="X72" i="84"/>
  <c r="AB71" i="84"/>
  <c r="AA71" i="84"/>
  <c r="Z71" i="84"/>
  <c r="Y71" i="84"/>
  <c r="X71" i="84"/>
  <c r="AB70" i="84"/>
  <c r="AA70" i="84"/>
  <c r="Z70" i="84"/>
  <c r="Y70" i="84"/>
  <c r="X70" i="84"/>
  <c r="AB116" i="84"/>
  <c r="AA116" i="84"/>
  <c r="Z116" i="84"/>
  <c r="Y116" i="84"/>
  <c r="X116" i="84"/>
  <c r="AB69" i="84"/>
  <c r="AA69" i="84"/>
  <c r="Z69" i="84"/>
  <c r="Y69" i="84"/>
  <c r="X69" i="84"/>
  <c r="AB68" i="84"/>
  <c r="AA68" i="84"/>
  <c r="Z68" i="84"/>
  <c r="Y68" i="84"/>
  <c r="X68" i="84"/>
  <c r="AB115" i="84"/>
  <c r="AA115" i="84"/>
  <c r="Z115" i="84"/>
  <c r="Y115" i="84"/>
  <c r="X115" i="84"/>
  <c r="AB114" i="84"/>
  <c r="AA114" i="84"/>
  <c r="Z114" i="84"/>
  <c r="Y114" i="84"/>
  <c r="X114" i="84"/>
  <c r="AB67" i="84"/>
  <c r="AA67" i="84"/>
  <c r="Z67" i="84"/>
  <c r="Y67" i="84"/>
  <c r="X67" i="84"/>
  <c r="AB66" i="84"/>
  <c r="AA66" i="84"/>
  <c r="Z66" i="84"/>
  <c r="Y66" i="84"/>
  <c r="X66" i="84"/>
  <c r="AB65" i="84"/>
  <c r="AA65" i="84"/>
  <c r="Z65" i="84"/>
  <c r="Y65" i="84"/>
  <c r="X65" i="84"/>
  <c r="AB64" i="84"/>
  <c r="AA64" i="84"/>
  <c r="Z64" i="84"/>
  <c r="Y64" i="84"/>
  <c r="X64" i="84"/>
  <c r="AB63" i="84"/>
  <c r="AA63" i="84"/>
  <c r="Z63" i="84"/>
  <c r="Y63" i="84"/>
  <c r="X63" i="84"/>
  <c r="AB62" i="84"/>
  <c r="AA62" i="84"/>
  <c r="Z62" i="84"/>
  <c r="Y62" i="84"/>
  <c r="X62" i="84"/>
  <c r="AB113" i="84"/>
  <c r="AA113" i="84"/>
  <c r="Z113" i="84"/>
  <c r="Y113" i="84"/>
  <c r="X113" i="84"/>
  <c r="AB112" i="84"/>
  <c r="AA112" i="84"/>
  <c r="Z112" i="84"/>
  <c r="Y112" i="84"/>
  <c r="X112" i="84"/>
  <c r="AB61" i="84"/>
  <c r="AA61" i="84"/>
  <c r="Z61" i="84"/>
  <c r="Y61" i="84"/>
  <c r="X61" i="84"/>
  <c r="AB111" i="84"/>
  <c r="AA111" i="84"/>
  <c r="Z111" i="84"/>
  <c r="Y111" i="84"/>
  <c r="X111" i="84"/>
  <c r="AB60" i="84"/>
  <c r="AA60" i="84"/>
  <c r="Z60" i="84"/>
  <c r="Y60" i="84"/>
  <c r="X60" i="84"/>
  <c r="AB59" i="84"/>
  <c r="AA59" i="84"/>
  <c r="Z59" i="84"/>
  <c r="Y59" i="84"/>
  <c r="X59" i="84"/>
  <c r="AB58" i="84"/>
  <c r="AA58" i="84"/>
  <c r="Z58" i="84"/>
  <c r="Y58" i="84"/>
  <c r="X58" i="84"/>
  <c r="AB57" i="84"/>
  <c r="AA57" i="84"/>
  <c r="Z57" i="84"/>
  <c r="Y57" i="84"/>
  <c r="X57" i="84"/>
  <c r="AB56" i="84"/>
  <c r="AA56" i="84"/>
  <c r="Z56" i="84"/>
  <c r="Y56" i="84"/>
  <c r="X56" i="84"/>
  <c r="AB55" i="84"/>
  <c r="AA55" i="84"/>
  <c r="Z55" i="84"/>
  <c r="Y55" i="84"/>
  <c r="X55" i="84"/>
  <c r="AB54" i="84"/>
  <c r="AA54" i="84"/>
  <c r="Z54" i="84"/>
  <c r="Y54" i="84"/>
  <c r="X54" i="84"/>
  <c r="AB53" i="84"/>
  <c r="AA53" i="84"/>
  <c r="Z53" i="84"/>
  <c r="Y53" i="84"/>
  <c r="X53" i="84"/>
  <c r="AB52" i="84"/>
  <c r="AA52" i="84"/>
  <c r="Z52" i="84"/>
  <c r="Y52" i="84"/>
  <c r="X52" i="84"/>
  <c r="AB51" i="84"/>
  <c r="AA51" i="84"/>
  <c r="Z51" i="84"/>
  <c r="Y51" i="84"/>
  <c r="X51" i="84"/>
  <c r="AB110" i="84"/>
  <c r="AA110" i="84"/>
  <c r="Z110" i="84"/>
  <c r="Y110" i="84"/>
  <c r="X110" i="84"/>
  <c r="AB50" i="84"/>
  <c r="AA50" i="84"/>
  <c r="Z50" i="84"/>
  <c r="Y50" i="84"/>
  <c r="X50" i="84"/>
  <c r="AB49" i="84"/>
  <c r="AA49" i="84"/>
  <c r="Z49" i="84"/>
  <c r="Y49" i="84"/>
  <c r="X49" i="84"/>
  <c r="AB48" i="84"/>
  <c r="AA48" i="84"/>
  <c r="Z48" i="84"/>
  <c r="Y48" i="84"/>
  <c r="X48" i="84"/>
  <c r="AB47" i="84"/>
  <c r="AA47" i="84"/>
  <c r="Z47" i="84"/>
  <c r="Y47" i="84"/>
  <c r="X47" i="84"/>
  <c r="AB109" i="84"/>
  <c r="AA109" i="84"/>
  <c r="Z109" i="84"/>
  <c r="Y109" i="84"/>
  <c r="X109" i="84"/>
  <c r="AB46" i="84"/>
  <c r="AA46" i="84"/>
  <c r="Z46" i="84"/>
  <c r="Y46" i="84"/>
  <c r="X46" i="84"/>
  <c r="AB45" i="84"/>
  <c r="AA45" i="84"/>
  <c r="Z45" i="84"/>
  <c r="Y45" i="84"/>
  <c r="X45" i="84"/>
  <c r="AB44" i="84"/>
  <c r="AA44" i="84"/>
  <c r="Z44" i="84"/>
  <c r="Y44" i="84"/>
  <c r="X44" i="84"/>
  <c r="AB43" i="84"/>
  <c r="AA43" i="84"/>
  <c r="Z43" i="84"/>
  <c r="Y43" i="84"/>
  <c r="X43" i="84"/>
  <c r="AB42" i="84"/>
  <c r="AA42" i="84"/>
  <c r="Z42" i="84"/>
  <c r="Y42" i="84"/>
  <c r="X42" i="84"/>
  <c r="AB41" i="84"/>
  <c r="AA41" i="84"/>
  <c r="Z41" i="84"/>
  <c r="Y41" i="84"/>
  <c r="X41" i="84"/>
  <c r="AB40" i="84"/>
  <c r="AA40" i="84"/>
  <c r="Z40" i="84"/>
  <c r="Y40" i="84"/>
  <c r="X40" i="84"/>
  <c r="AB108" i="84"/>
  <c r="AA108" i="84"/>
  <c r="Z108" i="84"/>
  <c r="Y108" i="84"/>
  <c r="X108" i="84"/>
  <c r="AB107" i="84"/>
  <c r="AA107" i="84"/>
  <c r="Z107" i="84"/>
  <c r="Y107" i="84"/>
  <c r="X107" i="84"/>
  <c r="AB39" i="84"/>
  <c r="AA39" i="84"/>
  <c r="Z39" i="84"/>
  <c r="Y39" i="84"/>
  <c r="X39" i="84"/>
  <c r="AB38" i="84"/>
  <c r="AA38" i="84"/>
  <c r="Z38" i="84"/>
  <c r="Y38" i="84"/>
  <c r="X38" i="84"/>
  <c r="AB106" i="84"/>
  <c r="AA106" i="84"/>
  <c r="Z106" i="84"/>
  <c r="Y106" i="84"/>
  <c r="X106" i="84"/>
  <c r="AB37" i="84"/>
  <c r="AA37" i="84"/>
  <c r="Z37" i="84"/>
  <c r="Y37" i="84"/>
  <c r="X37" i="84"/>
  <c r="AB36" i="84"/>
  <c r="AA36" i="84"/>
  <c r="Z36" i="84"/>
  <c r="Y36" i="84"/>
  <c r="X36" i="84"/>
  <c r="AB35" i="84"/>
  <c r="AA35" i="84"/>
  <c r="Z35" i="84"/>
  <c r="Y35" i="84"/>
  <c r="X35" i="84"/>
  <c r="AB34" i="84"/>
  <c r="AA34" i="84"/>
  <c r="Z34" i="84"/>
  <c r="Y34" i="84"/>
  <c r="X34" i="84"/>
  <c r="AB33" i="84"/>
  <c r="AA33" i="84"/>
  <c r="Z33" i="84"/>
  <c r="Y33" i="84"/>
  <c r="X33" i="84"/>
  <c r="AB32" i="84"/>
  <c r="AA32" i="84"/>
  <c r="Z32" i="84"/>
  <c r="Y32" i="84"/>
  <c r="X32" i="84"/>
  <c r="AB31" i="84"/>
  <c r="AA31" i="84"/>
  <c r="Z31" i="84"/>
  <c r="Y31" i="84"/>
  <c r="X31" i="84"/>
  <c r="AB105" i="84"/>
  <c r="AA105" i="84"/>
  <c r="Z105" i="84"/>
  <c r="Y105" i="84"/>
  <c r="X105" i="84"/>
  <c r="AB30" i="84"/>
  <c r="AA30" i="84"/>
  <c r="Z30" i="84"/>
  <c r="Y30" i="84"/>
  <c r="X30" i="84"/>
  <c r="AB29" i="84"/>
  <c r="AA29" i="84"/>
  <c r="Z29" i="84"/>
  <c r="Y29" i="84"/>
  <c r="X29" i="84"/>
  <c r="AB28" i="84"/>
  <c r="AA28" i="84"/>
  <c r="Z28" i="84"/>
  <c r="Y28" i="84"/>
  <c r="X28" i="84"/>
  <c r="AB27" i="84"/>
  <c r="AA27" i="84"/>
  <c r="Z27" i="84"/>
  <c r="Y27" i="84"/>
  <c r="X27" i="84"/>
  <c r="AB26" i="84"/>
  <c r="AA26" i="84"/>
  <c r="Z26" i="84"/>
  <c r="Y26" i="84"/>
  <c r="X26" i="84"/>
  <c r="AB104" i="84"/>
  <c r="AA104" i="84"/>
  <c r="Z104" i="84"/>
  <c r="Y104" i="84"/>
  <c r="X104" i="84"/>
  <c r="AB103" i="84"/>
  <c r="AA103" i="84"/>
  <c r="Z103" i="84"/>
  <c r="Y103" i="84"/>
  <c r="X103" i="84"/>
  <c r="AB25" i="84"/>
  <c r="AA25" i="84"/>
  <c r="Z25" i="84"/>
  <c r="Y25" i="84"/>
  <c r="X25" i="84"/>
  <c r="AB24" i="84"/>
  <c r="AA24" i="84"/>
  <c r="Z24" i="84"/>
  <c r="Y24" i="84"/>
  <c r="X24" i="84"/>
  <c r="AB23" i="84"/>
  <c r="AA23" i="84"/>
  <c r="Z23" i="84"/>
  <c r="Y23" i="84"/>
  <c r="X23" i="84"/>
  <c r="AB22" i="84"/>
  <c r="AA22" i="84"/>
  <c r="Z22" i="84"/>
  <c r="Y22" i="84"/>
  <c r="X22" i="84"/>
  <c r="AB21" i="84"/>
  <c r="AA21" i="84"/>
  <c r="Z21" i="84"/>
  <c r="Y21" i="84"/>
  <c r="X21" i="84"/>
  <c r="AB20" i="84"/>
  <c r="AA20" i="84"/>
  <c r="Z20" i="84"/>
  <c r="Y20" i="84"/>
  <c r="X20" i="84"/>
  <c r="AB19" i="84"/>
  <c r="AA19" i="84"/>
  <c r="Z19" i="84"/>
  <c r="Y19" i="84"/>
  <c r="X19" i="84"/>
  <c r="AB18" i="84"/>
  <c r="AA18" i="84"/>
  <c r="Z18" i="84"/>
  <c r="Y18" i="84"/>
  <c r="X18" i="84"/>
  <c r="AB102" i="84"/>
  <c r="AA102" i="84"/>
  <c r="Z102" i="84"/>
  <c r="Y102" i="84"/>
  <c r="X102" i="84"/>
  <c r="AB17" i="84"/>
  <c r="AA17" i="84"/>
  <c r="Z17" i="84"/>
  <c r="Y17" i="84"/>
  <c r="X17" i="84"/>
  <c r="AB16" i="84"/>
  <c r="AA16" i="84"/>
  <c r="Z16" i="84"/>
  <c r="Y16" i="84"/>
  <c r="X16" i="84"/>
  <c r="AB15" i="84"/>
  <c r="AA15" i="84"/>
  <c r="Z15" i="84"/>
  <c r="Y15" i="84"/>
  <c r="X15" i="84"/>
  <c r="AB14" i="84"/>
  <c r="AA14" i="84"/>
  <c r="Z14" i="84"/>
  <c r="Y14" i="84"/>
  <c r="X14" i="84"/>
  <c r="AB13" i="84"/>
  <c r="AA13" i="84"/>
  <c r="Z13" i="84"/>
  <c r="Y13" i="84"/>
  <c r="X13" i="84"/>
  <c r="AB12" i="84"/>
  <c r="AA12" i="84"/>
  <c r="Z12" i="84"/>
  <c r="Y12" i="84"/>
  <c r="X12" i="84"/>
  <c r="AB11" i="84"/>
  <c r="AA11" i="84"/>
  <c r="Z11" i="84"/>
  <c r="Y11" i="84"/>
  <c r="X11" i="84"/>
  <c r="AB10" i="84"/>
  <c r="AA10" i="84"/>
  <c r="Z10" i="84"/>
  <c r="Y10" i="84"/>
  <c r="X10" i="84"/>
  <c r="AB9" i="84"/>
  <c r="AA9" i="84"/>
  <c r="Z9" i="84"/>
  <c r="Y9" i="84"/>
  <c r="X9" i="84"/>
  <c r="AB8" i="84"/>
  <c r="AA8" i="84"/>
  <c r="Z8" i="84"/>
  <c r="Y8" i="84"/>
  <c r="X8" i="84"/>
  <c r="AB101" i="84"/>
  <c r="AA101" i="84"/>
  <c r="Z101" i="84"/>
  <c r="Y101" i="84"/>
  <c r="X101" i="84"/>
  <c r="AB7" i="84"/>
  <c r="AA7" i="84"/>
  <c r="Z7" i="84"/>
  <c r="Y7" i="84"/>
  <c r="X7" i="84"/>
  <c r="AB6" i="84"/>
  <c r="AA6" i="84"/>
  <c r="Z6" i="84"/>
  <c r="Y6" i="84"/>
  <c r="X6" i="84"/>
  <c r="W131" i="84"/>
  <c r="V131" i="84"/>
  <c r="W130" i="84"/>
  <c r="V130" i="84"/>
  <c r="W129" i="84"/>
  <c r="V129" i="84"/>
  <c r="W128" i="84"/>
  <c r="V128" i="84"/>
  <c r="W127" i="84"/>
  <c r="V127" i="84"/>
  <c r="W100" i="84"/>
  <c r="V100" i="84"/>
  <c r="W99" i="84"/>
  <c r="V99" i="84"/>
  <c r="W98" i="84"/>
  <c r="V98" i="84"/>
  <c r="W125" i="84"/>
  <c r="V125" i="84"/>
  <c r="W124" i="84"/>
  <c r="V124" i="84"/>
  <c r="W97" i="84"/>
  <c r="V97" i="84"/>
  <c r="W96" i="84"/>
  <c r="V96" i="84"/>
  <c r="W95" i="84"/>
  <c r="V95" i="84"/>
  <c r="W123" i="84"/>
  <c r="V123" i="84"/>
  <c r="W94" i="84"/>
  <c r="V94" i="84"/>
  <c r="W93" i="84"/>
  <c r="V93" i="84"/>
  <c r="W92" i="84"/>
  <c r="V92" i="84"/>
  <c r="W122" i="84"/>
  <c r="V122" i="84"/>
  <c r="W91" i="84"/>
  <c r="V91" i="84"/>
  <c r="W90" i="84"/>
  <c r="V90" i="84"/>
  <c r="W89" i="84"/>
  <c r="V89" i="84"/>
  <c r="W88" i="84"/>
  <c r="V88" i="84"/>
  <c r="W87" i="84"/>
  <c r="V87" i="84"/>
  <c r="W86" i="84"/>
  <c r="V86" i="84"/>
  <c r="W85" i="84"/>
  <c r="V85" i="84"/>
  <c r="W84" i="84"/>
  <c r="V84" i="84"/>
  <c r="W83" i="84"/>
  <c r="V83" i="84"/>
  <c r="W82" i="84"/>
  <c r="V82" i="84"/>
  <c r="W121" i="84"/>
  <c r="V121" i="84"/>
  <c r="W81" i="84"/>
  <c r="V81" i="84"/>
  <c r="W120" i="84"/>
  <c r="V120" i="84"/>
  <c r="W80" i="84"/>
  <c r="V80" i="84"/>
  <c r="W119" i="84"/>
  <c r="V119" i="84"/>
  <c r="W79" i="84"/>
  <c r="V79" i="84"/>
  <c r="W78" i="84"/>
  <c r="V78" i="84"/>
  <c r="W77" i="84"/>
  <c r="V77" i="84"/>
  <c r="W76" i="84"/>
  <c r="V76" i="84"/>
  <c r="W75" i="84"/>
  <c r="V75" i="84"/>
  <c r="W118" i="84"/>
  <c r="V118" i="84"/>
  <c r="W74" i="84"/>
  <c r="V74" i="84"/>
  <c r="W117" i="84"/>
  <c r="V117" i="84"/>
  <c r="W73" i="84"/>
  <c r="V73" i="84"/>
  <c r="W72" i="84"/>
  <c r="V72" i="84"/>
  <c r="W71" i="84"/>
  <c r="V71" i="84"/>
  <c r="W70" i="84"/>
  <c r="V70" i="84"/>
  <c r="W116" i="84"/>
  <c r="V116" i="84"/>
  <c r="W69" i="84"/>
  <c r="V69" i="84"/>
  <c r="W68" i="84"/>
  <c r="V68" i="84"/>
  <c r="W115" i="84"/>
  <c r="V115" i="84"/>
  <c r="W114" i="84"/>
  <c r="V114" i="84"/>
  <c r="W67" i="84"/>
  <c r="V67" i="84"/>
  <c r="W66" i="84"/>
  <c r="V66" i="84"/>
  <c r="W65" i="84"/>
  <c r="V65" i="84"/>
  <c r="W64" i="84"/>
  <c r="V64" i="84"/>
  <c r="W63" i="84"/>
  <c r="V63" i="84"/>
  <c r="W62" i="84"/>
  <c r="V62" i="84"/>
  <c r="W113" i="84"/>
  <c r="V113" i="84"/>
  <c r="W112" i="84"/>
  <c r="V112" i="84"/>
  <c r="W61" i="84"/>
  <c r="V61" i="84"/>
  <c r="W111" i="84"/>
  <c r="V111" i="84"/>
  <c r="W60" i="84"/>
  <c r="V60" i="84"/>
  <c r="W59" i="84"/>
  <c r="V59" i="84"/>
  <c r="W58" i="84"/>
  <c r="V58" i="84"/>
  <c r="W57" i="84"/>
  <c r="V57" i="84"/>
  <c r="W56" i="84"/>
  <c r="V56" i="84"/>
  <c r="W55" i="84"/>
  <c r="V55" i="84"/>
  <c r="W54" i="84"/>
  <c r="V54" i="84"/>
  <c r="W53" i="84"/>
  <c r="V53" i="84"/>
  <c r="W52" i="84"/>
  <c r="V52" i="84"/>
  <c r="W51" i="84"/>
  <c r="V51" i="84"/>
  <c r="W110" i="84"/>
  <c r="V110" i="84"/>
  <c r="W50" i="84"/>
  <c r="V50" i="84"/>
  <c r="W49" i="84"/>
  <c r="V49" i="84"/>
  <c r="W48" i="84"/>
  <c r="V48" i="84"/>
  <c r="W47" i="84"/>
  <c r="V47" i="84"/>
  <c r="W109" i="84"/>
  <c r="V109" i="84"/>
  <c r="W46" i="84"/>
  <c r="V46" i="84"/>
  <c r="W45" i="84"/>
  <c r="V45" i="84"/>
  <c r="W44" i="84"/>
  <c r="V44" i="84"/>
  <c r="W43" i="84"/>
  <c r="V43" i="84"/>
  <c r="W42" i="84"/>
  <c r="V42" i="84"/>
  <c r="W41" i="84"/>
  <c r="V41" i="84"/>
  <c r="W40" i="84"/>
  <c r="V40" i="84"/>
  <c r="W108" i="84"/>
  <c r="V108" i="84"/>
  <c r="W107" i="84"/>
  <c r="V107" i="84"/>
  <c r="W39" i="84"/>
  <c r="V39" i="84"/>
  <c r="W38" i="84"/>
  <c r="V38" i="84"/>
  <c r="W106" i="84"/>
  <c r="V106" i="84"/>
  <c r="W37" i="84"/>
  <c r="V37" i="84"/>
  <c r="W36" i="84"/>
  <c r="V36" i="84"/>
  <c r="W35" i="84"/>
  <c r="V35" i="84"/>
  <c r="W34" i="84"/>
  <c r="V34" i="84"/>
  <c r="W33" i="84"/>
  <c r="V33" i="84"/>
  <c r="W32" i="84"/>
  <c r="V32" i="84"/>
  <c r="W31" i="84"/>
  <c r="V31" i="84"/>
  <c r="W105" i="84"/>
  <c r="V105" i="84"/>
  <c r="W30" i="84"/>
  <c r="V30" i="84"/>
  <c r="W29" i="84"/>
  <c r="V29" i="84"/>
  <c r="W28" i="84"/>
  <c r="V28" i="84"/>
  <c r="W27" i="84"/>
  <c r="V27" i="84"/>
  <c r="W26" i="84"/>
  <c r="V26" i="84"/>
  <c r="W104" i="84"/>
  <c r="V104" i="84"/>
  <c r="W103" i="84"/>
  <c r="V103" i="84"/>
  <c r="W25" i="84"/>
  <c r="V25" i="84"/>
  <c r="W24" i="84"/>
  <c r="V24" i="84"/>
  <c r="W23" i="84"/>
  <c r="V23" i="84"/>
  <c r="W22" i="84"/>
  <c r="V22" i="84"/>
  <c r="W21" i="84"/>
  <c r="V21" i="84"/>
  <c r="W20" i="84"/>
  <c r="V20" i="84"/>
  <c r="W19" i="84"/>
  <c r="V19" i="84"/>
  <c r="W18" i="84"/>
  <c r="V18" i="84"/>
  <c r="W102" i="84"/>
  <c r="V102" i="84"/>
  <c r="W17" i="84"/>
  <c r="V17" i="84"/>
  <c r="W16" i="84"/>
  <c r="V16" i="84"/>
  <c r="W15" i="84"/>
  <c r="V15" i="84"/>
  <c r="W14" i="84"/>
  <c r="V14" i="84"/>
  <c r="W13" i="84"/>
  <c r="V13" i="84"/>
  <c r="W12" i="84"/>
  <c r="V12" i="84"/>
  <c r="W11" i="84"/>
  <c r="V11" i="84"/>
  <c r="W10" i="84"/>
  <c r="V10" i="84"/>
  <c r="W9" i="84"/>
  <c r="V9" i="84"/>
  <c r="W8" i="84"/>
  <c r="V8" i="84"/>
  <c r="W101" i="84"/>
  <c r="V101" i="84"/>
  <c r="W7" i="84"/>
  <c r="V7" i="84"/>
  <c r="W6" i="84"/>
  <c r="V6" i="84"/>
  <c r="M127" i="84"/>
  <c r="M128" i="84"/>
  <c r="M129" i="84"/>
  <c r="M130" i="84"/>
  <c r="M131" i="84"/>
  <c r="U5" i="84"/>
  <c r="T5" i="84"/>
  <c r="S5" i="84"/>
  <c r="R5" i="84"/>
  <c r="Q5" i="84"/>
  <c r="P5" i="84"/>
  <c r="O131" i="84"/>
  <c r="N131" i="84"/>
  <c r="O130" i="84"/>
  <c r="N130" i="84"/>
  <c r="O129" i="84"/>
  <c r="N129" i="84"/>
  <c r="O128" i="84"/>
  <c r="N128" i="84"/>
  <c r="O127" i="84"/>
  <c r="N127" i="84"/>
  <c r="O100" i="84"/>
  <c r="N100" i="84"/>
  <c r="M100" i="84"/>
  <c r="O99" i="84"/>
  <c r="N99" i="84"/>
  <c r="M99" i="84"/>
  <c r="O98" i="84"/>
  <c r="N98" i="84"/>
  <c r="M98" i="84"/>
  <c r="O125" i="84"/>
  <c r="N125" i="84"/>
  <c r="M125" i="84"/>
  <c r="O124" i="84"/>
  <c r="N124" i="84"/>
  <c r="M124" i="84"/>
  <c r="O97" i="84"/>
  <c r="N97" i="84"/>
  <c r="M97" i="84"/>
  <c r="O96" i="84"/>
  <c r="N96" i="84"/>
  <c r="M96" i="84"/>
  <c r="O95" i="84"/>
  <c r="N95" i="84"/>
  <c r="M95" i="84"/>
  <c r="O123" i="84"/>
  <c r="N123" i="84"/>
  <c r="M123" i="84"/>
  <c r="O94" i="84"/>
  <c r="N94" i="84"/>
  <c r="M94" i="84"/>
  <c r="O93" i="84"/>
  <c r="N93" i="84"/>
  <c r="M93" i="84"/>
  <c r="O92" i="84"/>
  <c r="N92" i="84"/>
  <c r="M92" i="84"/>
  <c r="O122" i="84"/>
  <c r="N122" i="84"/>
  <c r="M122" i="84"/>
  <c r="O91" i="84"/>
  <c r="N91" i="84"/>
  <c r="M91" i="84"/>
  <c r="O90" i="84"/>
  <c r="N90" i="84"/>
  <c r="M90" i="84"/>
  <c r="O89" i="84"/>
  <c r="N89" i="84"/>
  <c r="M89" i="84"/>
  <c r="O88" i="84"/>
  <c r="N88" i="84"/>
  <c r="M88" i="84"/>
  <c r="O87" i="84"/>
  <c r="N87" i="84"/>
  <c r="M87" i="84"/>
  <c r="O86" i="84"/>
  <c r="N86" i="84"/>
  <c r="M86" i="84"/>
  <c r="O85" i="84"/>
  <c r="N85" i="84"/>
  <c r="M85" i="84"/>
  <c r="O84" i="84"/>
  <c r="N84" i="84"/>
  <c r="M84" i="84"/>
  <c r="O83" i="84"/>
  <c r="N83" i="84"/>
  <c r="M83" i="84"/>
  <c r="O82" i="84"/>
  <c r="N82" i="84"/>
  <c r="M82" i="84"/>
  <c r="O121" i="84"/>
  <c r="N121" i="84"/>
  <c r="M121" i="84"/>
  <c r="O81" i="84"/>
  <c r="N81" i="84"/>
  <c r="M81" i="84"/>
  <c r="M7" i="84"/>
  <c r="N7" i="84"/>
  <c r="O7" i="84"/>
  <c r="M101" i="84"/>
  <c r="N101" i="84"/>
  <c r="O101" i="84"/>
  <c r="M8" i="84"/>
  <c r="N8" i="84"/>
  <c r="O8" i="84"/>
  <c r="M9" i="84"/>
  <c r="N9" i="84"/>
  <c r="O9" i="84"/>
  <c r="M10" i="84"/>
  <c r="N10" i="84"/>
  <c r="O10" i="84"/>
  <c r="M11" i="84"/>
  <c r="N11" i="84"/>
  <c r="O11" i="84"/>
  <c r="M12" i="84"/>
  <c r="N12" i="84"/>
  <c r="O12" i="84"/>
  <c r="M13" i="84"/>
  <c r="N13" i="84"/>
  <c r="O13" i="84"/>
  <c r="M14" i="84"/>
  <c r="N14" i="84"/>
  <c r="O14" i="84"/>
  <c r="M15" i="84"/>
  <c r="N15" i="84"/>
  <c r="O15" i="84"/>
  <c r="M16" i="84"/>
  <c r="N16" i="84"/>
  <c r="O16" i="84"/>
  <c r="M17" i="84"/>
  <c r="N17" i="84"/>
  <c r="O17" i="84"/>
  <c r="M102" i="84"/>
  <c r="N102" i="84"/>
  <c r="O102" i="84"/>
  <c r="M18" i="84"/>
  <c r="N18" i="84"/>
  <c r="O18" i="84"/>
  <c r="M19" i="84"/>
  <c r="N19" i="84"/>
  <c r="O19" i="84"/>
  <c r="M20" i="84"/>
  <c r="N20" i="84"/>
  <c r="O20" i="84"/>
  <c r="M21" i="84"/>
  <c r="N21" i="84"/>
  <c r="O21" i="84"/>
  <c r="M22" i="84"/>
  <c r="N22" i="84"/>
  <c r="O22" i="84"/>
  <c r="M23" i="84"/>
  <c r="N23" i="84"/>
  <c r="O23" i="84"/>
  <c r="M24" i="84"/>
  <c r="N24" i="84"/>
  <c r="O24" i="84"/>
  <c r="M25" i="84"/>
  <c r="N25" i="84"/>
  <c r="O25" i="84"/>
  <c r="M103" i="84"/>
  <c r="N103" i="84"/>
  <c r="O103" i="84"/>
  <c r="M104" i="84"/>
  <c r="N104" i="84"/>
  <c r="O104" i="84"/>
  <c r="M26" i="84"/>
  <c r="N26" i="84"/>
  <c r="O26" i="84"/>
  <c r="M27" i="84"/>
  <c r="N27" i="84"/>
  <c r="O27" i="84"/>
  <c r="M28" i="84"/>
  <c r="N28" i="84"/>
  <c r="O28" i="84"/>
  <c r="M29" i="84"/>
  <c r="N29" i="84"/>
  <c r="O29" i="84"/>
  <c r="M30" i="84"/>
  <c r="N30" i="84"/>
  <c r="O30" i="84"/>
  <c r="M105" i="84"/>
  <c r="N105" i="84"/>
  <c r="O105" i="84"/>
  <c r="M31" i="84"/>
  <c r="N31" i="84"/>
  <c r="O31" i="84"/>
  <c r="M32" i="84"/>
  <c r="N32" i="84"/>
  <c r="O32" i="84"/>
  <c r="M33" i="84"/>
  <c r="N33" i="84"/>
  <c r="O33" i="84"/>
  <c r="M34" i="84"/>
  <c r="N34" i="84"/>
  <c r="O34" i="84"/>
  <c r="M35" i="84"/>
  <c r="N35" i="84"/>
  <c r="O35" i="84"/>
  <c r="M36" i="84"/>
  <c r="N36" i="84"/>
  <c r="O36" i="84"/>
  <c r="M37" i="84"/>
  <c r="N37" i="84"/>
  <c r="O37" i="84"/>
  <c r="M106" i="84"/>
  <c r="N106" i="84"/>
  <c r="O106" i="84"/>
  <c r="M38" i="84"/>
  <c r="N38" i="84"/>
  <c r="O38" i="84"/>
  <c r="M39" i="84"/>
  <c r="N39" i="84"/>
  <c r="O39" i="84"/>
  <c r="M107" i="84"/>
  <c r="N107" i="84"/>
  <c r="O107" i="84"/>
  <c r="M108" i="84"/>
  <c r="N108" i="84"/>
  <c r="O108" i="84"/>
  <c r="M40" i="84"/>
  <c r="N40" i="84"/>
  <c r="O40" i="84"/>
  <c r="M41" i="84"/>
  <c r="N41" i="84"/>
  <c r="O41" i="84"/>
  <c r="M42" i="84"/>
  <c r="N42" i="84"/>
  <c r="O42" i="84"/>
  <c r="M43" i="84"/>
  <c r="N43" i="84"/>
  <c r="O43" i="84"/>
  <c r="M44" i="84"/>
  <c r="N44" i="84"/>
  <c r="O44" i="84"/>
  <c r="M45" i="84"/>
  <c r="N45" i="84"/>
  <c r="O45" i="84"/>
  <c r="M46" i="84"/>
  <c r="N46" i="84"/>
  <c r="O46" i="84"/>
  <c r="M109" i="84"/>
  <c r="N109" i="84"/>
  <c r="O109" i="84"/>
  <c r="M47" i="84"/>
  <c r="N47" i="84"/>
  <c r="O47" i="84"/>
  <c r="M48" i="84"/>
  <c r="N48" i="84"/>
  <c r="O48" i="84"/>
  <c r="M49" i="84"/>
  <c r="N49" i="84"/>
  <c r="O49" i="84"/>
  <c r="M50" i="84"/>
  <c r="N50" i="84"/>
  <c r="O50" i="84"/>
  <c r="M110" i="84"/>
  <c r="N110" i="84"/>
  <c r="O110" i="84"/>
  <c r="M51" i="84"/>
  <c r="N51" i="84"/>
  <c r="O51" i="84"/>
  <c r="M52" i="84"/>
  <c r="N52" i="84"/>
  <c r="O52" i="84"/>
  <c r="M53" i="84"/>
  <c r="N53" i="84"/>
  <c r="O53" i="84"/>
  <c r="M54" i="84"/>
  <c r="N54" i="84"/>
  <c r="O54" i="84"/>
  <c r="M55" i="84"/>
  <c r="N55" i="84"/>
  <c r="O55" i="84"/>
  <c r="M56" i="84"/>
  <c r="N56" i="84"/>
  <c r="O56" i="84"/>
  <c r="M57" i="84"/>
  <c r="N57" i="84"/>
  <c r="O57" i="84"/>
  <c r="M58" i="84"/>
  <c r="N58" i="84"/>
  <c r="O58" i="84"/>
  <c r="M59" i="84"/>
  <c r="N59" i="84"/>
  <c r="O59" i="84"/>
  <c r="M60" i="84"/>
  <c r="N60" i="84"/>
  <c r="O60" i="84"/>
  <c r="M111" i="84"/>
  <c r="N111" i="84"/>
  <c r="O111" i="84"/>
  <c r="M61" i="84"/>
  <c r="N61" i="84"/>
  <c r="O61" i="84"/>
  <c r="M112" i="84"/>
  <c r="N112" i="84"/>
  <c r="O112" i="84"/>
  <c r="M113" i="84"/>
  <c r="N113" i="84"/>
  <c r="O113" i="84"/>
  <c r="M62" i="84"/>
  <c r="N62" i="84"/>
  <c r="O62" i="84"/>
  <c r="M63" i="84"/>
  <c r="N63" i="84"/>
  <c r="O63" i="84"/>
  <c r="M64" i="84"/>
  <c r="N64" i="84"/>
  <c r="O64" i="84"/>
  <c r="M65" i="84"/>
  <c r="N65" i="84"/>
  <c r="O65" i="84"/>
  <c r="M66" i="84"/>
  <c r="N66" i="84"/>
  <c r="O66" i="84"/>
  <c r="M67" i="84"/>
  <c r="N67" i="84"/>
  <c r="O67" i="84"/>
  <c r="M114" i="84"/>
  <c r="N114" i="84"/>
  <c r="O114" i="84"/>
  <c r="M115" i="84"/>
  <c r="N115" i="84"/>
  <c r="O115" i="84"/>
  <c r="M68" i="84"/>
  <c r="N68" i="84"/>
  <c r="O68" i="84"/>
  <c r="M69" i="84"/>
  <c r="N69" i="84"/>
  <c r="O69" i="84"/>
  <c r="M116" i="84"/>
  <c r="N116" i="84"/>
  <c r="O116" i="84"/>
  <c r="M70" i="84"/>
  <c r="N70" i="84"/>
  <c r="O70" i="84"/>
  <c r="M71" i="84"/>
  <c r="N71" i="84"/>
  <c r="O71" i="84"/>
  <c r="M72" i="84"/>
  <c r="N72" i="84"/>
  <c r="O72" i="84"/>
  <c r="M73" i="84"/>
  <c r="N73" i="84"/>
  <c r="O73" i="84"/>
  <c r="M117" i="84"/>
  <c r="N117" i="84"/>
  <c r="O117" i="84"/>
  <c r="M74" i="84"/>
  <c r="N74" i="84"/>
  <c r="O74" i="84"/>
  <c r="M118" i="84"/>
  <c r="N118" i="84"/>
  <c r="O118" i="84"/>
  <c r="M75" i="84"/>
  <c r="N75" i="84"/>
  <c r="O75" i="84"/>
  <c r="M76" i="84"/>
  <c r="N76" i="84"/>
  <c r="O76" i="84"/>
  <c r="M77" i="84"/>
  <c r="N77" i="84"/>
  <c r="O77" i="84"/>
  <c r="M78" i="84"/>
  <c r="N78" i="84"/>
  <c r="O78" i="84"/>
  <c r="M79" i="84"/>
  <c r="N79" i="84"/>
  <c r="O79" i="84"/>
  <c r="M119" i="84"/>
  <c r="N119" i="84"/>
  <c r="O119" i="84"/>
  <c r="M80" i="84"/>
  <c r="N80" i="84"/>
  <c r="O80" i="84"/>
  <c r="M120" i="84"/>
  <c r="N120" i="84"/>
  <c r="O120" i="84"/>
  <c r="O6" i="84"/>
  <c r="N6" i="84"/>
  <c r="M6" i="84"/>
  <c r="G5" i="84"/>
  <c r="F5" i="84"/>
  <c r="G4" i="92" l="1"/>
  <c r="F4" i="92"/>
  <c r="E4" i="92"/>
  <c r="AB5"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6" i="6"/>
  <c r="M5" i="6"/>
  <c r="P5" i="6" l="1"/>
  <c r="O130" i="115"/>
  <c r="O129" i="115"/>
  <c r="O128" i="115"/>
  <c r="O127" i="115"/>
  <c r="O126" i="115"/>
  <c r="H38" i="1" l="1"/>
  <c r="H37" i="1"/>
  <c r="H36" i="1"/>
  <c r="H35" i="1"/>
  <c r="H34" i="1"/>
  <c r="H33" i="1"/>
  <c r="H32" i="1"/>
  <c r="H31" i="1"/>
  <c r="H30" i="1"/>
  <c r="H29" i="1"/>
  <c r="H28" i="1"/>
  <c r="G38" i="1"/>
  <c r="G37" i="1"/>
  <c r="G36" i="1"/>
  <c r="G35" i="1"/>
  <c r="G34" i="1"/>
  <c r="G33" i="1"/>
  <c r="G32" i="1"/>
  <c r="G31" i="1"/>
  <c r="G30" i="1"/>
  <c r="G29" i="1"/>
  <c r="G28" i="1"/>
  <c r="K17" i="123" l="1"/>
  <c r="G131" i="118" l="1"/>
  <c r="G130" i="118"/>
  <c r="G129" i="118"/>
  <c r="G128" i="118"/>
  <c r="G132" i="118" s="1"/>
  <c r="G127" i="118"/>
  <c r="G7" i="118"/>
  <c r="G8" i="118"/>
  <c r="G9" i="118"/>
  <c r="G10" i="118"/>
  <c r="G11" i="118"/>
  <c r="G12" i="118"/>
  <c r="G13" i="118"/>
  <c r="G14" i="118"/>
  <c r="G15" i="118"/>
  <c r="G16" i="118"/>
  <c r="G17" i="118"/>
  <c r="G18" i="118"/>
  <c r="G19" i="118"/>
  <c r="G20" i="118"/>
  <c r="G21" i="118"/>
  <c r="G22" i="118"/>
  <c r="G23" i="118"/>
  <c r="G24" i="118"/>
  <c r="G25" i="118"/>
  <c r="G26" i="118"/>
  <c r="G27" i="118"/>
  <c r="G28" i="118"/>
  <c r="G29" i="118"/>
  <c r="G30" i="118"/>
  <c r="G31" i="118"/>
  <c r="G32" i="118"/>
  <c r="G33" i="118"/>
  <c r="G34" i="118"/>
  <c r="G35" i="118"/>
  <c r="G36" i="118"/>
  <c r="G37" i="118"/>
  <c r="G38" i="118"/>
  <c r="G39" i="118"/>
  <c r="G40" i="118"/>
  <c r="G41" i="118"/>
  <c r="G42" i="118"/>
  <c r="G43" i="118"/>
  <c r="G44" i="118"/>
  <c r="G45" i="118"/>
  <c r="G46" i="118"/>
  <c r="G47" i="118"/>
  <c r="G48" i="118"/>
  <c r="G49" i="118"/>
  <c r="G50" i="118"/>
  <c r="G51" i="118"/>
  <c r="G52" i="118"/>
  <c r="G53" i="118"/>
  <c r="G54" i="118"/>
  <c r="G55" i="118"/>
  <c r="G56" i="118"/>
  <c r="G57" i="118"/>
  <c r="G58" i="118"/>
  <c r="G59" i="118"/>
  <c r="G60" i="118"/>
  <c r="G61" i="118"/>
  <c r="G62" i="118"/>
  <c r="G63" i="118"/>
  <c r="G64" i="118"/>
  <c r="G65" i="118"/>
  <c r="G66" i="118"/>
  <c r="G67" i="118"/>
  <c r="G68" i="118"/>
  <c r="G69" i="118"/>
  <c r="G70" i="118"/>
  <c r="G71" i="118"/>
  <c r="G72" i="118"/>
  <c r="G73" i="118"/>
  <c r="G74" i="118"/>
  <c r="G75" i="118"/>
  <c r="G76" i="118"/>
  <c r="G77" i="118"/>
  <c r="G78" i="118"/>
  <c r="G79" i="118"/>
  <c r="G80" i="118"/>
  <c r="G81" i="118"/>
  <c r="G82" i="118"/>
  <c r="G83" i="118"/>
  <c r="G84" i="118"/>
  <c r="G85" i="118"/>
  <c r="G86" i="118"/>
  <c r="G87" i="118"/>
  <c r="G88" i="118"/>
  <c r="G89" i="118"/>
  <c r="G90" i="118"/>
  <c r="G91" i="118"/>
  <c r="G92" i="118"/>
  <c r="G93" i="118"/>
  <c r="G94" i="118"/>
  <c r="G95" i="118"/>
  <c r="G96" i="118"/>
  <c r="G97" i="118"/>
  <c r="G98" i="118"/>
  <c r="G99" i="118"/>
  <c r="G100" i="118"/>
  <c r="G101" i="118"/>
  <c r="G102" i="118"/>
  <c r="G103" i="118"/>
  <c r="G104" i="118"/>
  <c r="G105" i="118"/>
  <c r="G106" i="118"/>
  <c r="G107" i="118"/>
  <c r="G108" i="118"/>
  <c r="G109" i="118"/>
  <c r="G110" i="118"/>
  <c r="G111" i="118"/>
  <c r="G112" i="118"/>
  <c r="G113" i="118"/>
  <c r="G114" i="118"/>
  <c r="G115" i="118"/>
  <c r="G116" i="118"/>
  <c r="G117" i="118"/>
  <c r="G118" i="118"/>
  <c r="G119" i="118"/>
  <c r="G120" i="118"/>
  <c r="G121" i="118"/>
  <c r="G122" i="118"/>
  <c r="G123" i="118"/>
  <c r="G124" i="118"/>
  <c r="G125" i="118"/>
  <c r="G6" i="118"/>
  <c r="H130" i="55"/>
  <c r="G130" i="55"/>
  <c r="F130" i="55"/>
  <c r="E130" i="55"/>
  <c r="D130" i="55"/>
  <c r="H129" i="55"/>
  <c r="G129" i="55"/>
  <c r="F129" i="55"/>
  <c r="E129" i="55"/>
  <c r="D129" i="55"/>
  <c r="H128" i="55"/>
  <c r="G128" i="55"/>
  <c r="F128" i="55"/>
  <c r="E128" i="55"/>
  <c r="D128" i="55"/>
  <c r="H127" i="55"/>
  <c r="G127" i="55"/>
  <c r="F127" i="55"/>
  <c r="E127" i="55"/>
  <c r="D127" i="55"/>
  <c r="H126" i="55"/>
  <c r="G126" i="55"/>
  <c r="F126" i="55"/>
  <c r="E126" i="55"/>
  <c r="D126" i="55"/>
  <c r="H130" i="62"/>
  <c r="G130" i="62"/>
  <c r="G129" i="62"/>
  <c r="G128" i="62"/>
  <c r="G127" i="62"/>
  <c r="G126" i="62"/>
  <c r="H126" i="62" s="1"/>
  <c r="F130" i="62"/>
  <c r="F129" i="62"/>
  <c r="H129" i="62" s="1"/>
  <c r="F128" i="62"/>
  <c r="H128" i="62" s="1"/>
  <c r="F127" i="62"/>
  <c r="H127" i="62" s="1"/>
  <c r="F126" i="62"/>
  <c r="E130" i="62"/>
  <c r="E129" i="62"/>
  <c r="E128" i="62"/>
  <c r="I128" i="62" s="1"/>
  <c r="E127" i="62"/>
  <c r="E126" i="62"/>
  <c r="D130" i="62"/>
  <c r="I130" i="62" s="1"/>
  <c r="D129" i="62"/>
  <c r="I129" i="62" s="1"/>
  <c r="D128" i="62"/>
  <c r="D127" i="62"/>
  <c r="D126" i="62"/>
  <c r="G130" i="60"/>
  <c r="H130" i="60" s="1"/>
  <c r="G129" i="60"/>
  <c r="G128" i="60"/>
  <c r="G127" i="60"/>
  <c r="G126" i="60"/>
  <c r="G99" i="60"/>
  <c r="G98" i="60"/>
  <c r="H98" i="60" s="1"/>
  <c r="G97" i="60"/>
  <c r="G124" i="60"/>
  <c r="G123" i="60"/>
  <c r="G96" i="60"/>
  <c r="G95" i="60"/>
  <c r="G94" i="60"/>
  <c r="G122" i="60"/>
  <c r="G93" i="60"/>
  <c r="G92" i="60"/>
  <c r="G91" i="60"/>
  <c r="G121" i="60"/>
  <c r="G90" i="60"/>
  <c r="G89" i="60"/>
  <c r="G88" i="60"/>
  <c r="G87" i="60"/>
  <c r="G86" i="60"/>
  <c r="G85" i="60"/>
  <c r="G84" i="60"/>
  <c r="G83" i="60"/>
  <c r="G82" i="60"/>
  <c r="G81" i="60"/>
  <c r="G120" i="60"/>
  <c r="G80" i="60"/>
  <c r="G119" i="60"/>
  <c r="G79" i="60"/>
  <c r="G118" i="60"/>
  <c r="G78" i="60"/>
  <c r="G77" i="60"/>
  <c r="G76" i="60"/>
  <c r="G75" i="60"/>
  <c r="G74" i="60"/>
  <c r="G117" i="60"/>
  <c r="G73" i="60"/>
  <c r="G116" i="60"/>
  <c r="G72" i="60"/>
  <c r="G71" i="60"/>
  <c r="G70" i="60"/>
  <c r="G69" i="60"/>
  <c r="G115" i="60"/>
  <c r="G68" i="60"/>
  <c r="G67" i="60"/>
  <c r="G114" i="60"/>
  <c r="G113" i="60"/>
  <c r="G66" i="60"/>
  <c r="H66" i="60" s="1"/>
  <c r="G65" i="60"/>
  <c r="G64" i="60"/>
  <c r="G63" i="60"/>
  <c r="G62" i="60"/>
  <c r="G61" i="60"/>
  <c r="G112" i="60"/>
  <c r="G111" i="60"/>
  <c r="G60" i="60"/>
  <c r="G110" i="60"/>
  <c r="G59" i="60"/>
  <c r="G58" i="60"/>
  <c r="G57" i="60"/>
  <c r="G56" i="60"/>
  <c r="G55" i="60"/>
  <c r="G54" i="60"/>
  <c r="G53" i="60"/>
  <c r="G52" i="60"/>
  <c r="G51" i="60"/>
  <c r="G50" i="60"/>
  <c r="G109" i="60"/>
  <c r="G49" i="60"/>
  <c r="G48" i="60"/>
  <c r="G47" i="60"/>
  <c r="G46" i="60"/>
  <c r="G108" i="60"/>
  <c r="G45" i="60"/>
  <c r="G44" i="60"/>
  <c r="G43" i="60"/>
  <c r="G42" i="60"/>
  <c r="G41" i="60"/>
  <c r="G40" i="60"/>
  <c r="G39" i="60"/>
  <c r="G107" i="60"/>
  <c r="G106" i="60"/>
  <c r="G38" i="60"/>
  <c r="G37" i="60"/>
  <c r="G105" i="60"/>
  <c r="G36" i="60"/>
  <c r="G35" i="60"/>
  <c r="G34" i="60"/>
  <c r="G33" i="60"/>
  <c r="G32" i="60"/>
  <c r="G31" i="60"/>
  <c r="G30" i="60"/>
  <c r="G104" i="60"/>
  <c r="G29" i="60"/>
  <c r="G28" i="60"/>
  <c r="G27" i="60"/>
  <c r="G26" i="60"/>
  <c r="G25" i="60"/>
  <c r="G103" i="60"/>
  <c r="G102" i="60"/>
  <c r="G24" i="60"/>
  <c r="G23" i="60"/>
  <c r="G22" i="60"/>
  <c r="G21" i="60"/>
  <c r="G20" i="60"/>
  <c r="G19" i="60"/>
  <c r="G18" i="60"/>
  <c r="G17" i="60"/>
  <c r="G101" i="60"/>
  <c r="G16" i="60"/>
  <c r="G15" i="60"/>
  <c r="G14" i="60"/>
  <c r="G13" i="60"/>
  <c r="G12" i="60"/>
  <c r="G11" i="60"/>
  <c r="G10" i="60"/>
  <c r="G9" i="60"/>
  <c r="G8" i="60"/>
  <c r="G7" i="60"/>
  <c r="G100" i="60"/>
  <c r="G6" i="60"/>
  <c r="H100" i="60"/>
  <c r="H37" i="60"/>
  <c r="H60" i="60"/>
  <c r="H71" i="60"/>
  <c r="H86" i="60"/>
  <c r="G5" i="60"/>
  <c r="D130" i="60"/>
  <c r="I130" i="60" s="1"/>
  <c r="D129" i="60"/>
  <c r="D128" i="60"/>
  <c r="D127" i="60"/>
  <c r="D126" i="60"/>
  <c r="I126" i="60" s="1"/>
  <c r="H126" i="60"/>
  <c r="F130" i="60"/>
  <c r="F129" i="60"/>
  <c r="F128" i="60"/>
  <c r="F127" i="60"/>
  <c r="F126" i="60"/>
  <c r="E130" i="60"/>
  <c r="E129" i="60"/>
  <c r="E128" i="60"/>
  <c r="E127" i="60"/>
  <c r="E126" i="60"/>
  <c r="H17" i="60"/>
  <c r="H33" i="60"/>
  <c r="H43" i="60"/>
  <c r="H67" i="60"/>
  <c r="H77" i="60"/>
  <c r="H90" i="60"/>
  <c r="E6" i="60"/>
  <c r="E100" i="60"/>
  <c r="E7" i="60"/>
  <c r="E8" i="60"/>
  <c r="E9" i="60"/>
  <c r="E10" i="60"/>
  <c r="E11" i="60"/>
  <c r="E12" i="60"/>
  <c r="E13" i="60"/>
  <c r="E14" i="60"/>
  <c r="E15" i="60"/>
  <c r="E16" i="60"/>
  <c r="E101" i="60"/>
  <c r="E17" i="60"/>
  <c r="E18" i="60"/>
  <c r="E19" i="60"/>
  <c r="E20" i="60"/>
  <c r="E21" i="60"/>
  <c r="E22" i="60"/>
  <c r="E23" i="60"/>
  <c r="E24" i="60"/>
  <c r="E102" i="60"/>
  <c r="E103" i="60"/>
  <c r="E25" i="60"/>
  <c r="E26" i="60"/>
  <c r="E27" i="60"/>
  <c r="E28" i="60"/>
  <c r="E29" i="60"/>
  <c r="E104" i="60"/>
  <c r="E30" i="60"/>
  <c r="E31" i="60"/>
  <c r="E32" i="60"/>
  <c r="E33" i="60"/>
  <c r="E34" i="60"/>
  <c r="E35" i="60"/>
  <c r="E36" i="60"/>
  <c r="E105" i="60"/>
  <c r="E37" i="60"/>
  <c r="E38" i="60"/>
  <c r="E106" i="60"/>
  <c r="E107" i="60"/>
  <c r="E39" i="60"/>
  <c r="E40" i="60"/>
  <c r="E41" i="60"/>
  <c r="E42" i="60"/>
  <c r="E43" i="60"/>
  <c r="E44" i="60"/>
  <c r="E45" i="60"/>
  <c r="E108" i="60"/>
  <c r="E46" i="60"/>
  <c r="E47" i="60"/>
  <c r="E48" i="60"/>
  <c r="E49" i="60"/>
  <c r="E109" i="60"/>
  <c r="E50" i="60"/>
  <c r="E51" i="60"/>
  <c r="E52" i="60"/>
  <c r="E53" i="60"/>
  <c r="E54" i="60"/>
  <c r="E55" i="60"/>
  <c r="E56" i="60"/>
  <c r="E57" i="60"/>
  <c r="E58" i="60"/>
  <c r="E59" i="60"/>
  <c r="E110" i="60"/>
  <c r="E60" i="60"/>
  <c r="E111" i="60"/>
  <c r="E112" i="60"/>
  <c r="E61" i="60"/>
  <c r="E62" i="60"/>
  <c r="E63" i="60"/>
  <c r="E64" i="60"/>
  <c r="E65" i="60"/>
  <c r="E66" i="60"/>
  <c r="E113" i="60"/>
  <c r="E114" i="60"/>
  <c r="E67" i="60"/>
  <c r="E68" i="60"/>
  <c r="E115" i="60"/>
  <c r="E69" i="60"/>
  <c r="E70" i="60"/>
  <c r="E71" i="60"/>
  <c r="E72" i="60"/>
  <c r="E116" i="60"/>
  <c r="E73" i="60"/>
  <c r="E117" i="60"/>
  <c r="E74" i="60"/>
  <c r="E75" i="60"/>
  <c r="E76" i="60"/>
  <c r="E77" i="60"/>
  <c r="E78" i="60"/>
  <c r="E118" i="60"/>
  <c r="E79" i="60"/>
  <c r="E119" i="60"/>
  <c r="E80" i="60"/>
  <c r="E120" i="60"/>
  <c r="E81" i="60"/>
  <c r="E82" i="60"/>
  <c r="E83" i="60"/>
  <c r="E84" i="60"/>
  <c r="E85" i="60"/>
  <c r="E86" i="60"/>
  <c r="E87" i="60"/>
  <c r="E88" i="60"/>
  <c r="E89" i="60"/>
  <c r="E90" i="60"/>
  <c r="E121" i="60"/>
  <c r="E91" i="60"/>
  <c r="E92" i="60"/>
  <c r="E93" i="60"/>
  <c r="E122" i="60"/>
  <c r="E94" i="60"/>
  <c r="E95" i="60"/>
  <c r="E96" i="60"/>
  <c r="E123" i="60"/>
  <c r="E124" i="60"/>
  <c r="E97" i="60"/>
  <c r="E98" i="60"/>
  <c r="E99" i="60"/>
  <c r="E5" i="60"/>
  <c r="D6" i="60"/>
  <c r="D100" i="60"/>
  <c r="D7" i="60"/>
  <c r="D8" i="60"/>
  <c r="D9" i="60"/>
  <c r="D10" i="60"/>
  <c r="D11" i="60"/>
  <c r="D12" i="60"/>
  <c r="D13" i="60"/>
  <c r="D14" i="60"/>
  <c r="D15" i="60"/>
  <c r="D16" i="60"/>
  <c r="D101" i="60"/>
  <c r="D17" i="60"/>
  <c r="D18" i="60"/>
  <c r="D19" i="60"/>
  <c r="D20" i="60"/>
  <c r="D21" i="60"/>
  <c r="D22" i="60"/>
  <c r="D23" i="60"/>
  <c r="D24" i="60"/>
  <c r="D102" i="60"/>
  <c r="D103" i="60"/>
  <c r="D25" i="60"/>
  <c r="D26" i="60"/>
  <c r="D27" i="60"/>
  <c r="D28" i="60"/>
  <c r="D29" i="60"/>
  <c r="D104" i="60"/>
  <c r="D30" i="60"/>
  <c r="D31" i="60"/>
  <c r="D32" i="60"/>
  <c r="D33" i="60"/>
  <c r="D34" i="60"/>
  <c r="D35" i="60"/>
  <c r="D36" i="60"/>
  <c r="D105" i="60"/>
  <c r="D37" i="60"/>
  <c r="D38" i="60"/>
  <c r="D106" i="60"/>
  <c r="D107" i="60"/>
  <c r="D39" i="60"/>
  <c r="D40" i="60"/>
  <c r="D41" i="60"/>
  <c r="D42" i="60"/>
  <c r="D43" i="60"/>
  <c r="D44" i="60"/>
  <c r="D45" i="60"/>
  <c r="D108" i="60"/>
  <c r="D46" i="60"/>
  <c r="D47" i="60"/>
  <c r="D48" i="60"/>
  <c r="D49" i="60"/>
  <c r="D109" i="60"/>
  <c r="D50" i="60"/>
  <c r="D51" i="60"/>
  <c r="D52" i="60"/>
  <c r="D53" i="60"/>
  <c r="D54" i="60"/>
  <c r="D55" i="60"/>
  <c r="D56" i="60"/>
  <c r="D57" i="60"/>
  <c r="D58" i="60"/>
  <c r="D59" i="60"/>
  <c r="D110" i="60"/>
  <c r="D60" i="60"/>
  <c r="D111" i="60"/>
  <c r="D112" i="60"/>
  <c r="D61" i="60"/>
  <c r="D62" i="60"/>
  <c r="D63" i="60"/>
  <c r="D64" i="60"/>
  <c r="D65" i="60"/>
  <c r="D66" i="60"/>
  <c r="D113" i="60"/>
  <c r="D114" i="60"/>
  <c r="D67" i="60"/>
  <c r="D68" i="60"/>
  <c r="D115" i="60"/>
  <c r="D69" i="60"/>
  <c r="D70" i="60"/>
  <c r="D71" i="60"/>
  <c r="D72" i="60"/>
  <c r="D116" i="60"/>
  <c r="D73" i="60"/>
  <c r="D117" i="60"/>
  <c r="D74" i="60"/>
  <c r="D75" i="60"/>
  <c r="D76" i="60"/>
  <c r="D77" i="60"/>
  <c r="D78" i="60"/>
  <c r="D118" i="60"/>
  <c r="D79" i="60"/>
  <c r="D119" i="60"/>
  <c r="D80" i="60"/>
  <c r="D120" i="60"/>
  <c r="D81" i="60"/>
  <c r="D82" i="60"/>
  <c r="D83" i="60"/>
  <c r="D84" i="60"/>
  <c r="D85" i="60"/>
  <c r="D86" i="60"/>
  <c r="D87" i="60"/>
  <c r="D88" i="60"/>
  <c r="D89" i="60"/>
  <c r="D90" i="60"/>
  <c r="D121" i="60"/>
  <c r="D91" i="60"/>
  <c r="D92" i="60"/>
  <c r="D93" i="60"/>
  <c r="D122" i="60"/>
  <c r="D94" i="60"/>
  <c r="D95" i="60"/>
  <c r="D96" i="60"/>
  <c r="D123" i="60"/>
  <c r="D124" i="60"/>
  <c r="D97" i="60"/>
  <c r="D98" i="60"/>
  <c r="D99" i="60"/>
  <c r="D5" i="60"/>
  <c r="F6" i="60"/>
  <c r="H6" i="60" s="1"/>
  <c r="F100" i="60"/>
  <c r="F7" i="60"/>
  <c r="H7" i="60" s="1"/>
  <c r="F8" i="60"/>
  <c r="F9" i="60"/>
  <c r="F10" i="60"/>
  <c r="F11" i="60"/>
  <c r="H11" i="60" s="1"/>
  <c r="F12" i="60"/>
  <c r="F13" i="60"/>
  <c r="H13" i="60" s="1"/>
  <c r="F14" i="60"/>
  <c r="F15" i="60"/>
  <c r="H15" i="60" s="1"/>
  <c r="F16" i="60"/>
  <c r="F101" i="60"/>
  <c r="H101" i="60" s="1"/>
  <c r="F17" i="60"/>
  <c r="F18" i="60"/>
  <c r="H18" i="60" s="1"/>
  <c r="F19" i="60"/>
  <c r="F20" i="60"/>
  <c r="F21" i="60"/>
  <c r="F22" i="60"/>
  <c r="F23" i="60"/>
  <c r="F24" i="60"/>
  <c r="H24" i="60" s="1"/>
  <c r="F102" i="60"/>
  <c r="F103" i="60"/>
  <c r="H103" i="60" s="1"/>
  <c r="F25" i="60"/>
  <c r="F26" i="60"/>
  <c r="F27" i="60"/>
  <c r="F28" i="60"/>
  <c r="H28" i="60" s="1"/>
  <c r="F29" i="60"/>
  <c r="F104" i="60"/>
  <c r="F30" i="60"/>
  <c r="H30" i="60" s="1"/>
  <c r="F31" i="60"/>
  <c r="H31" i="60" s="1"/>
  <c r="F32" i="60"/>
  <c r="F33" i="60"/>
  <c r="F34" i="60"/>
  <c r="F35" i="60"/>
  <c r="H35" i="60" s="1"/>
  <c r="F36" i="60"/>
  <c r="F105" i="60"/>
  <c r="F37" i="60"/>
  <c r="F38" i="60"/>
  <c r="H38" i="60" s="1"/>
  <c r="F106" i="60"/>
  <c r="F107" i="60"/>
  <c r="H107" i="60" s="1"/>
  <c r="F39" i="60"/>
  <c r="F40" i="60"/>
  <c r="H40" i="60" s="1"/>
  <c r="F41" i="60"/>
  <c r="F42" i="60"/>
  <c r="H42" i="60" s="1"/>
  <c r="F43" i="60"/>
  <c r="F44" i="60"/>
  <c r="H44" i="60" s="1"/>
  <c r="F45" i="60"/>
  <c r="F108" i="60"/>
  <c r="F46" i="60"/>
  <c r="F47" i="60"/>
  <c r="H47" i="60" s="1"/>
  <c r="F48" i="60"/>
  <c r="F49" i="60"/>
  <c r="H49" i="60" s="1"/>
  <c r="F109" i="60"/>
  <c r="H109" i="60" s="1"/>
  <c r="F50" i="60"/>
  <c r="H50" i="60" s="1"/>
  <c r="F51" i="60"/>
  <c r="F52" i="60"/>
  <c r="F53" i="60"/>
  <c r="F54" i="60"/>
  <c r="H54" i="60" s="1"/>
  <c r="F55" i="60"/>
  <c r="F56" i="60"/>
  <c r="F57" i="60"/>
  <c r="H57" i="60" s="1"/>
  <c r="F58" i="60"/>
  <c r="H58" i="60" s="1"/>
  <c r="F59" i="60"/>
  <c r="F110" i="60"/>
  <c r="H110" i="60" s="1"/>
  <c r="F60" i="60"/>
  <c r="F111" i="60"/>
  <c r="H111" i="60" s="1"/>
  <c r="F112" i="60"/>
  <c r="F61" i="60"/>
  <c r="F62" i="60"/>
  <c r="F63" i="60"/>
  <c r="H63" i="60" s="1"/>
  <c r="F64" i="60"/>
  <c r="F65" i="60"/>
  <c r="H65" i="60" s="1"/>
  <c r="F66" i="60"/>
  <c r="F113" i="60"/>
  <c r="H113" i="60" s="1"/>
  <c r="F114" i="60"/>
  <c r="F67" i="60"/>
  <c r="F68" i="60"/>
  <c r="F115" i="60"/>
  <c r="H115" i="60" s="1"/>
  <c r="F69" i="60"/>
  <c r="F70" i="60"/>
  <c r="F71" i="60"/>
  <c r="F72" i="60"/>
  <c r="H72" i="60" s="1"/>
  <c r="F116" i="60"/>
  <c r="F73" i="60"/>
  <c r="H73" i="60" s="1"/>
  <c r="F117" i="60"/>
  <c r="F74" i="60"/>
  <c r="H74" i="60" s="1"/>
  <c r="F75" i="60"/>
  <c r="F76" i="60"/>
  <c r="F77" i="60"/>
  <c r="F78" i="60"/>
  <c r="H78" i="60" s="1"/>
  <c r="F118" i="60"/>
  <c r="F79" i="60"/>
  <c r="F119" i="60"/>
  <c r="F80" i="60"/>
  <c r="H80" i="60" s="1"/>
  <c r="F120" i="60"/>
  <c r="F81" i="60"/>
  <c r="H81" i="60" s="1"/>
  <c r="F82" i="60"/>
  <c r="F83" i="60"/>
  <c r="H83" i="60" s="1"/>
  <c r="F84" i="60"/>
  <c r="F85" i="60"/>
  <c r="F86" i="60"/>
  <c r="F87" i="60"/>
  <c r="H87" i="60" s="1"/>
  <c r="F88" i="60"/>
  <c r="F89" i="60"/>
  <c r="H89" i="60" s="1"/>
  <c r="F90" i="60"/>
  <c r="F121" i="60"/>
  <c r="H121" i="60" s="1"/>
  <c r="F91" i="60"/>
  <c r="F92" i="60"/>
  <c r="H92" i="60" s="1"/>
  <c r="F93" i="60"/>
  <c r="F122" i="60"/>
  <c r="H122" i="60" s="1"/>
  <c r="F94" i="60"/>
  <c r="F95" i="60"/>
  <c r="F96" i="60"/>
  <c r="F123" i="60"/>
  <c r="H123" i="60" s="1"/>
  <c r="F124" i="60"/>
  <c r="F97" i="60"/>
  <c r="H97" i="60" s="1"/>
  <c r="F98" i="60"/>
  <c r="F99" i="60"/>
  <c r="H99" i="60" s="1"/>
  <c r="F5" i="60"/>
  <c r="I126" i="62" l="1"/>
  <c r="H9" i="60"/>
  <c r="H20" i="60"/>
  <c r="H26" i="60"/>
  <c r="H104" i="60"/>
  <c r="H105" i="60"/>
  <c r="H108" i="60"/>
  <c r="H52" i="60"/>
  <c r="H56" i="60"/>
  <c r="H61" i="60"/>
  <c r="H70" i="60"/>
  <c r="H76" i="60"/>
  <c r="H79" i="60"/>
  <c r="H85" i="60"/>
  <c r="H127" i="60"/>
  <c r="H129" i="60"/>
  <c r="I129" i="60"/>
  <c r="I128" i="60"/>
  <c r="I127" i="62"/>
  <c r="H5" i="60"/>
  <c r="H118" i="60"/>
  <c r="H55" i="60"/>
  <c r="H29" i="60"/>
  <c r="H96" i="60"/>
  <c r="H93" i="60"/>
  <c r="H82" i="60"/>
  <c r="H119" i="60"/>
  <c r="H117" i="60"/>
  <c r="H68" i="60"/>
  <c r="H62" i="60"/>
  <c r="H53" i="60"/>
  <c r="H46" i="60"/>
  <c r="H39" i="60"/>
  <c r="H34" i="60"/>
  <c r="H27" i="60"/>
  <c r="H102" i="60"/>
  <c r="H21" i="60"/>
  <c r="H14" i="60"/>
  <c r="H10" i="60"/>
  <c r="H8" i="60"/>
  <c r="H16" i="60"/>
  <c r="H19" i="60"/>
  <c r="H25" i="60"/>
  <c r="H32" i="60"/>
  <c r="H106" i="60"/>
  <c r="H41" i="60"/>
  <c r="H51" i="60"/>
  <c r="H59" i="60"/>
  <c r="H64" i="60"/>
  <c r="H69" i="60"/>
  <c r="H75" i="60"/>
  <c r="H88" i="60"/>
  <c r="H91" i="60"/>
  <c r="H124" i="60"/>
  <c r="H95" i="60"/>
  <c r="H12" i="60"/>
  <c r="H23" i="60"/>
  <c r="H36" i="60"/>
  <c r="H45" i="60"/>
  <c r="H48" i="60"/>
  <c r="H112" i="60"/>
  <c r="H114" i="60"/>
  <c r="H116" i="60"/>
  <c r="H120" i="60"/>
  <c r="H84" i="60"/>
  <c r="H94" i="60"/>
  <c r="H22" i="60"/>
  <c r="H128" i="60"/>
  <c r="I127" i="60"/>
  <c r="AX131" i="60"/>
  <c r="AW131" i="60"/>
  <c r="AV131" i="60"/>
  <c r="AU131" i="60"/>
  <c r="AT131" i="60"/>
  <c r="AY130" i="60"/>
  <c r="AY129" i="60"/>
  <c r="AY128" i="60"/>
  <c r="AY127" i="60"/>
  <c r="AY126" i="60"/>
  <c r="AY124" i="60"/>
  <c r="AY123" i="60"/>
  <c r="AY122" i="60"/>
  <c r="AY121" i="60"/>
  <c r="AY120" i="60"/>
  <c r="AY119" i="60"/>
  <c r="AY118" i="60"/>
  <c r="AY117" i="60"/>
  <c r="AY116" i="60"/>
  <c r="AY115" i="60"/>
  <c r="AY114" i="60"/>
  <c r="AY113" i="60"/>
  <c r="AY112" i="60"/>
  <c r="AY111" i="60"/>
  <c r="AY110" i="60"/>
  <c r="AY109" i="60"/>
  <c r="AY108" i="60"/>
  <c r="AY107" i="60"/>
  <c r="AY106" i="60"/>
  <c r="AY105" i="60"/>
  <c r="AY104" i="60"/>
  <c r="AY103" i="60"/>
  <c r="AY102" i="60"/>
  <c r="AY101" i="60"/>
  <c r="AY100" i="60"/>
  <c r="AY99" i="60"/>
  <c r="AY98" i="60"/>
  <c r="AY97" i="60"/>
  <c r="AY96" i="60"/>
  <c r="AY95" i="60"/>
  <c r="AY94" i="60"/>
  <c r="AY93" i="60"/>
  <c r="AY92" i="60"/>
  <c r="AY91" i="60"/>
  <c r="AY90" i="60"/>
  <c r="AY89" i="60"/>
  <c r="AY88" i="60"/>
  <c r="AY87" i="60"/>
  <c r="AY86" i="60"/>
  <c r="AY85" i="60"/>
  <c r="AY84" i="60"/>
  <c r="AY83" i="60"/>
  <c r="AY82" i="60"/>
  <c r="AY81" i="60"/>
  <c r="AY80" i="60"/>
  <c r="AY79" i="60"/>
  <c r="AY78" i="60"/>
  <c r="AY77" i="60"/>
  <c r="AY76" i="60"/>
  <c r="AY75" i="60"/>
  <c r="AY74" i="60"/>
  <c r="AY73" i="60"/>
  <c r="AY72" i="60"/>
  <c r="AY71" i="60"/>
  <c r="AY70" i="60"/>
  <c r="AY69" i="60"/>
  <c r="AY68" i="60"/>
  <c r="AY67" i="60"/>
  <c r="AY66" i="60"/>
  <c r="AY65" i="60"/>
  <c r="AY64" i="60"/>
  <c r="AY63" i="60"/>
  <c r="AY62" i="60"/>
  <c r="AY61" i="60"/>
  <c r="AY60" i="60"/>
  <c r="AY59" i="60"/>
  <c r="AY58" i="60"/>
  <c r="AY57" i="60"/>
  <c r="AY56" i="60"/>
  <c r="AY55" i="60"/>
  <c r="AY54" i="60"/>
  <c r="AY53" i="60"/>
  <c r="AY52" i="60"/>
  <c r="AY51" i="60"/>
  <c r="AY50" i="60"/>
  <c r="AY49" i="60"/>
  <c r="AY48" i="60"/>
  <c r="AY47" i="60"/>
  <c r="AY46" i="60"/>
  <c r="AY45" i="60"/>
  <c r="AY44" i="60"/>
  <c r="AY43" i="60"/>
  <c r="AY42" i="60"/>
  <c r="AY41" i="60"/>
  <c r="AY40" i="60"/>
  <c r="AY39" i="60"/>
  <c r="AY38" i="60"/>
  <c r="AY37" i="60"/>
  <c r="AY36" i="60"/>
  <c r="AY35" i="60"/>
  <c r="AY34" i="60"/>
  <c r="AY33" i="60"/>
  <c r="AY32" i="60"/>
  <c r="AY31" i="60"/>
  <c r="AY30" i="60"/>
  <c r="AY29" i="60"/>
  <c r="AY28" i="60"/>
  <c r="AY27" i="60"/>
  <c r="AY26" i="60"/>
  <c r="AY25" i="60"/>
  <c r="AY24" i="60"/>
  <c r="AY23" i="60"/>
  <c r="AY22" i="60"/>
  <c r="AY21" i="60"/>
  <c r="AY20" i="60"/>
  <c r="AY19" i="60"/>
  <c r="AY18" i="60"/>
  <c r="AY17" i="60"/>
  <c r="AY16" i="60"/>
  <c r="AY15" i="60"/>
  <c r="AY14" i="60"/>
  <c r="AY13" i="60"/>
  <c r="AY12" i="60"/>
  <c r="AY11" i="60"/>
  <c r="AY10" i="60"/>
  <c r="AY9" i="60"/>
  <c r="AY8" i="60"/>
  <c r="AY7" i="60"/>
  <c r="AY6" i="60"/>
  <c r="AY5" i="60"/>
  <c r="AX4" i="60"/>
  <c r="AW4" i="60"/>
  <c r="AV4" i="60"/>
  <c r="AU4" i="60"/>
  <c r="AT4" i="60"/>
  <c r="Z131" i="60"/>
  <c r="Y131" i="60"/>
  <c r="X131" i="60"/>
  <c r="W131" i="60"/>
  <c r="V131" i="60"/>
  <c r="AA130" i="60"/>
  <c r="AA129" i="60"/>
  <c r="AA128" i="60"/>
  <c r="AA127" i="60"/>
  <c r="AA126" i="60"/>
  <c r="AA124" i="60"/>
  <c r="AA123" i="60"/>
  <c r="AA122" i="60"/>
  <c r="AA121" i="60"/>
  <c r="AA120" i="60"/>
  <c r="AA119" i="60"/>
  <c r="AA118" i="60"/>
  <c r="AA117" i="60"/>
  <c r="AA116" i="60"/>
  <c r="AA115" i="60"/>
  <c r="AA114" i="60"/>
  <c r="AA113" i="60"/>
  <c r="AA112" i="60"/>
  <c r="AA111" i="60"/>
  <c r="AA110" i="60"/>
  <c r="AA109" i="60"/>
  <c r="AA108" i="60"/>
  <c r="AA107" i="60"/>
  <c r="AA106" i="60"/>
  <c r="AA105" i="60"/>
  <c r="AA104" i="60"/>
  <c r="AA103" i="60"/>
  <c r="AA102" i="60"/>
  <c r="AA101" i="60"/>
  <c r="AA100" i="60"/>
  <c r="AA99" i="60"/>
  <c r="AA98" i="60"/>
  <c r="AA97" i="60"/>
  <c r="AA96" i="60"/>
  <c r="AA95" i="60"/>
  <c r="AA94" i="60"/>
  <c r="AA93" i="60"/>
  <c r="AA92" i="60"/>
  <c r="AA91" i="60"/>
  <c r="AA90" i="60"/>
  <c r="AA89" i="60"/>
  <c r="AA88" i="60"/>
  <c r="AA87" i="60"/>
  <c r="AA86" i="60"/>
  <c r="AA85" i="60"/>
  <c r="AA84" i="60"/>
  <c r="AA83" i="60"/>
  <c r="AA82" i="60"/>
  <c r="AA81" i="60"/>
  <c r="AA80" i="60"/>
  <c r="AA79" i="60"/>
  <c r="AA78" i="60"/>
  <c r="AA77" i="60"/>
  <c r="AA76" i="60"/>
  <c r="AA75" i="60"/>
  <c r="AA74" i="60"/>
  <c r="AA73" i="60"/>
  <c r="AA72" i="60"/>
  <c r="AA71" i="60"/>
  <c r="AA70" i="60"/>
  <c r="AA69" i="60"/>
  <c r="AA68" i="60"/>
  <c r="AA67" i="60"/>
  <c r="AA66" i="60"/>
  <c r="AA65" i="60"/>
  <c r="AA64" i="60"/>
  <c r="AA63" i="60"/>
  <c r="AA62" i="60"/>
  <c r="AA61" i="60"/>
  <c r="AA60" i="60"/>
  <c r="AA59" i="60"/>
  <c r="AA58" i="60"/>
  <c r="AA57" i="60"/>
  <c r="AA56" i="60"/>
  <c r="AA55" i="60"/>
  <c r="AA54" i="60"/>
  <c r="AA53" i="60"/>
  <c r="AA52" i="60"/>
  <c r="AA51" i="60"/>
  <c r="AA50" i="60"/>
  <c r="AA49" i="60"/>
  <c r="AA48" i="60"/>
  <c r="AA47" i="60"/>
  <c r="AA46" i="60"/>
  <c r="AA45" i="60"/>
  <c r="AA44" i="60"/>
  <c r="AA43" i="60"/>
  <c r="AA42" i="60"/>
  <c r="AA41" i="60"/>
  <c r="AA40" i="60"/>
  <c r="AA39" i="60"/>
  <c r="AA38" i="60"/>
  <c r="AA37" i="60"/>
  <c r="AA36" i="60"/>
  <c r="AA35" i="60"/>
  <c r="AA34" i="60"/>
  <c r="AA33" i="60"/>
  <c r="AA32" i="60"/>
  <c r="AA31" i="60"/>
  <c r="AA30" i="60"/>
  <c r="AA29" i="60"/>
  <c r="AA28" i="60"/>
  <c r="AA27" i="60"/>
  <c r="AA26" i="60"/>
  <c r="AA25" i="60"/>
  <c r="AA24" i="60"/>
  <c r="AA23" i="60"/>
  <c r="AA22" i="60"/>
  <c r="AA21" i="60"/>
  <c r="AA20" i="60"/>
  <c r="AA19" i="60"/>
  <c r="AA18" i="60"/>
  <c r="AA17" i="60"/>
  <c r="AA16" i="60"/>
  <c r="AA15" i="60"/>
  <c r="AA14" i="60"/>
  <c r="AA13" i="60"/>
  <c r="AA12" i="60"/>
  <c r="AA11" i="60"/>
  <c r="AA10" i="60"/>
  <c r="AA9" i="60"/>
  <c r="AA8" i="60"/>
  <c r="AA7" i="60"/>
  <c r="AA6" i="60"/>
  <c r="AA5" i="60"/>
  <c r="Z4" i="60"/>
  <c r="Y4" i="60"/>
  <c r="X4" i="60"/>
  <c r="W4" i="60"/>
  <c r="V4" i="60"/>
  <c r="AG126" i="60"/>
  <c r="AF131" i="60"/>
  <c r="AE131" i="60"/>
  <c r="AD131" i="60"/>
  <c r="AC131" i="60"/>
  <c r="AB131" i="60"/>
  <c r="AG130" i="60"/>
  <c r="AG129" i="60"/>
  <c r="AG128" i="60"/>
  <c r="AG127" i="60"/>
  <c r="AG124" i="60"/>
  <c r="AG123" i="60"/>
  <c r="AG122" i="60"/>
  <c r="AG121" i="60"/>
  <c r="AG120" i="60"/>
  <c r="AG119" i="60"/>
  <c r="AG118" i="60"/>
  <c r="AG117" i="60"/>
  <c r="AG116" i="60"/>
  <c r="AG115" i="60"/>
  <c r="AG114" i="60"/>
  <c r="AG113" i="60"/>
  <c r="AG112" i="60"/>
  <c r="AG111" i="60"/>
  <c r="AG110" i="60"/>
  <c r="AG109" i="60"/>
  <c r="AG108" i="60"/>
  <c r="AG107" i="60"/>
  <c r="AG106" i="60"/>
  <c r="AG105" i="60"/>
  <c r="AG104" i="60"/>
  <c r="AG103" i="60"/>
  <c r="AG102" i="60"/>
  <c r="AG101" i="60"/>
  <c r="AG100" i="60"/>
  <c r="AG99" i="60"/>
  <c r="AG98" i="60"/>
  <c r="AG97" i="60"/>
  <c r="AG96" i="60"/>
  <c r="AG95" i="60"/>
  <c r="AG94" i="60"/>
  <c r="AG93" i="60"/>
  <c r="AG92" i="60"/>
  <c r="AG91" i="60"/>
  <c r="AG90" i="60"/>
  <c r="AG89" i="60"/>
  <c r="AG88" i="60"/>
  <c r="AG87" i="60"/>
  <c r="AG86" i="60"/>
  <c r="AG85" i="60"/>
  <c r="AG84" i="60"/>
  <c r="AG83" i="60"/>
  <c r="AG82" i="60"/>
  <c r="AG81" i="60"/>
  <c r="AG80" i="60"/>
  <c r="AG79" i="60"/>
  <c r="AG78" i="60"/>
  <c r="AG77" i="60"/>
  <c r="AG76" i="60"/>
  <c r="AG75" i="60"/>
  <c r="AG74" i="60"/>
  <c r="AG73" i="60"/>
  <c r="AG72" i="60"/>
  <c r="AG71" i="60"/>
  <c r="AG70" i="60"/>
  <c r="AG69" i="60"/>
  <c r="AG68" i="60"/>
  <c r="AG67" i="60"/>
  <c r="AG66" i="60"/>
  <c r="AG65" i="60"/>
  <c r="AG64" i="60"/>
  <c r="AG63" i="60"/>
  <c r="AG62" i="60"/>
  <c r="AG61" i="60"/>
  <c r="AG60" i="60"/>
  <c r="AG59" i="60"/>
  <c r="AG58" i="60"/>
  <c r="AG57" i="60"/>
  <c r="AG56" i="60"/>
  <c r="AG55" i="60"/>
  <c r="AG54" i="60"/>
  <c r="AG53" i="60"/>
  <c r="AG52" i="60"/>
  <c r="AG51" i="60"/>
  <c r="AG50" i="60"/>
  <c r="AG49" i="60"/>
  <c r="AG48" i="60"/>
  <c r="AG47" i="60"/>
  <c r="AG46" i="60"/>
  <c r="AG45" i="60"/>
  <c r="AG44" i="60"/>
  <c r="AG43" i="60"/>
  <c r="AG42" i="60"/>
  <c r="AG41" i="60"/>
  <c r="AG40" i="60"/>
  <c r="AG39" i="60"/>
  <c r="AG38" i="60"/>
  <c r="AG37" i="60"/>
  <c r="AG36" i="60"/>
  <c r="AG35" i="60"/>
  <c r="AG34" i="60"/>
  <c r="AG33" i="60"/>
  <c r="AG32" i="60"/>
  <c r="AG31" i="60"/>
  <c r="AG30" i="60"/>
  <c r="AG29" i="60"/>
  <c r="AG28" i="60"/>
  <c r="AG27" i="60"/>
  <c r="AG26" i="60"/>
  <c r="AG25" i="60"/>
  <c r="AG24" i="60"/>
  <c r="AG23" i="60"/>
  <c r="AG22" i="60"/>
  <c r="AG21" i="60"/>
  <c r="AG20" i="60"/>
  <c r="AG19" i="60"/>
  <c r="AG18" i="60"/>
  <c r="AG17" i="60"/>
  <c r="AG16" i="60"/>
  <c r="AG15" i="60"/>
  <c r="AG14" i="60"/>
  <c r="AG13" i="60"/>
  <c r="AG12" i="60"/>
  <c r="AG11" i="60"/>
  <c r="AG10" i="60"/>
  <c r="AG9" i="60"/>
  <c r="AG8" i="60"/>
  <c r="AG7" i="60"/>
  <c r="AG6" i="60"/>
  <c r="AG5" i="60"/>
  <c r="AF4" i="60"/>
  <c r="AE4" i="60"/>
  <c r="AD4" i="60"/>
  <c r="AC4" i="60"/>
  <c r="AB4" i="60"/>
  <c r="AY131" i="60" l="1"/>
  <c r="AY4" i="60"/>
  <c r="AA4" i="60"/>
  <c r="AA131" i="60"/>
  <c r="AG131" i="60"/>
  <c r="AG4" i="60"/>
  <c r="J130" i="56" l="1"/>
  <c r="J129" i="56"/>
  <c r="J128" i="56"/>
  <c r="J126" i="56"/>
  <c r="I129" i="56"/>
  <c r="I128" i="56"/>
  <c r="I127" i="56"/>
  <c r="K128" i="56" l="1"/>
  <c r="J127" i="56"/>
  <c r="K127" i="56" s="1"/>
  <c r="I126" i="56"/>
  <c r="I130" i="56"/>
  <c r="K129" i="56"/>
  <c r="K126" i="56"/>
  <c r="K130" i="56"/>
  <c r="J99" i="56"/>
  <c r="EA130" i="56"/>
  <c r="EA129" i="56"/>
  <c r="EA128" i="56"/>
  <c r="EA127" i="56"/>
  <c r="EA126" i="56"/>
  <c r="DU130" i="56"/>
  <c r="DU129" i="56"/>
  <c r="DU128" i="56"/>
  <c r="DU127" i="56"/>
  <c r="DU126" i="56"/>
  <c r="DO130" i="56"/>
  <c r="DO129" i="56"/>
  <c r="DO128" i="56"/>
  <c r="DO127" i="56"/>
  <c r="DO126" i="56"/>
  <c r="DI130" i="56"/>
  <c r="DI129" i="56"/>
  <c r="DI128" i="56"/>
  <c r="DI127" i="56"/>
  <c r="DI126" i="56"/>
  <c r="DC130" i="56"/>
  <c r="DC129" i="56"/>
  <c r="DC128" i="56"/>
  <c r="DC127" i="56"/>
  <c r="DC126" i="56"/>
  <c r="CW130" i="56"/>
  <c r="CW129" i="56"/>
  <c r="CW128" i="56"/>
  <c r="CW127" i="56"/>
  <c r="CW126" i="56"/>
  <c r="CQ130" i="56"/>
  <c r="CQ129" i="56"/>
  <c r="CQ128" i="56"/>
  <c r="CQ127" i="56"/>
  <c r="CQ126" i="56"/>
  <c r="CK130" i="56"/>
  <c r="CK129" i="56"/>
  <c r="CK128" i="56"/>
  <c r="CK127" i="56"/>
  <c r="CK126" i="56"/>
  <c r="CE130" i="56"/>
  <c r="CE129" i="56"/>
  <c r="CE128" i="56"/>
  <c r="CE127" i="56"/>
  <c r="CE126" i="56"/>
  <c r="BY130" i="56"/>
  <c r="BY129" i="56"/>
  <c r="BY128" i="56"/>
  <c r="BY127" i="56"/>
  <c r="BY126" i="56"/>
  <c r="BS130" i="56" l="1"/>
  <c r="BS129" i="56"/>
  <c r="BS128" i="56"/>
  <c r="BS127" i="56"/>
  <c r="BS126" i="56"/>
  <c r="BM130" i="56"/>
  <c r="BM129" i="56"/>
  <c r="BM128" i="56"/>
  <c r="BM127" i="56"/>
  <c r="BM126" i="56"/>
  <c r="BG130" i="56"/>
  <c r="BG129" i="56"/>
  <c r="BG128" i="56"/>
  <c r="BG127" i="56"/>
  <c r="BG126" i="56"/>
  <c r="BA130" i="56"/>
  <c r="BA129" i="56"/>
  <c r="BA128" i="56"/>
  <c r="BA127" i="56"/>
  <c r="BA126" i="56"/>
  <c r="AU130" i="56"/>
  <c r="AU129" i="56"/>
  <c r="AU128" i="56"/>
  <c r="AU127" i="56"/>
  <c r="AU126" i="56"/>
  <c r="AO130" i="56"/>
  <c r="AO129" i="56"/>
  <c r="AO128" i="56"/>
  <c r="AO127" i="56"/>
  <c r="AO126" i="56"/>
  <c r="AI130" i="56"/>
  <c r="AI129" i="56"/>
  <c r="AI128" i="56"/>
  <c r="AI127" i="56"/>
  <c r="AI126" i="56"/>
  <c r="AC130" i="56"/>
  <c r="AC129" i="56"/>
  <c r="AC128" i="56"/>
  <c r="AC127" i="56"/>
  <c r="AC126" i="56"/>
  <c r="Q130" i="56"/>
  <c r="Q129" i="56"/>
  <c r="Q128" i="56"/>
  <c r="Q127" i="56"/>
  <c r="Q126" i="56"/>
  <c r="W130" i="56"/>
  <c r="W129" i="56"/>
  <c r="W128" i="56"/>
  <c r="W127" i="56"/>
  <c r="W126" i="56"/>
  <c r="H130" i="53"/>
  <c r="H129" i="53"/>
  <c r="H128" i="53"/>
  <c r="H127" i="53"/>
  <c r="H126"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5" i="53"/>
  <c r="H66" i="53"/>
  <c r="H67" i="53"/>
  <c r="H68" i="53"/>
  <c r="H69" i="53"/>
  <c r="H70" i="53"/>
  <c r="H71" i="53"/>
  <c r="H72" i="53"/>
  <c r="H73" i="53"/>
  <c r="H74" i="53"/>
  <c r="H75" i="53"/>
  <c r="H76" i="53"/>
  <c r="H77" i="53"/>
  <c r="H78" i="53"/>
  <c r="H79" i="53"/>
  <c r="H80" i="53"/>
  <c r="H81" i="53"/>
  <c r="H82" i="53"/>
  <c r="H83" i="53"/>
  <c r="H84" i="53"/>
  <c r="H85" i="53"/>
  <c r="H86" i="53"/>
  <c r="H87" i="53"/>
  <c r="H88" i="53"/>
  <c r="H89" i="53"/>
  <c r="H90" i="53"/>
  <c r="H91" i="53"/>
  <c r="H92" i="53"/>
  <c r="H93" i="53"/>
  <c r="H94" i="53"/>
  <c r="H95" i="53"/>
  <c r="H96" i="53"/>
  <c r="H97" i="53"/>
  <c r="H98" i="53"/>
  <c r="H99" i="53"/>
  <c r="H100" i="53"/>
  <c r="H101" i="53"/>
  <c r="H102" i="53"/>
  <c r="H103" i="53"/>
  <c r="H104" i="53"/>
  <c r="H105" i="53"/>
  <c r="H106" i="53"/>
  <c r="H107" i="53"/>
  <c r="H108" i="53"/>
  <c r="H109" i="53"/>
  <c r="H110" i="53"/>
  <c r="H111" i="53"/>
  <c r="H112" i="53"/>
  <c r="H113" i="53"/>
  <c r="H114" i="53"/>
  <c r="H115" i="53"/>
  <c r="H116" i="53"/>
  <c r="H117" i="53"/>
  <c r="H118" i="53"/>
  <c r="H119" i="53"/>
  <c r="H120" i="53"/>
  <c r="H121" i="53"/>
  <c r="H122" i="53"/>
  <c r="H123" i="53"/>
  <c r="H124" i="53"/>
  <c r="H5" i="53"/>
  <c r="G130" i="53"/>
  <c r="G129" i="53"/>
  <c r="G128" i="53"/>
  <c r="G127" i="53"/>
  <c r="G126" i="53"/>
  <c r="G6" i="53"/>
  <c r="G7" i="53"/>
  <c r="G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G59" i="53"/>
  <c r="G60" i="53"/>
  <c r="G61" i="53"/>
  <c r="G62" i="53"/>
  <c r="G63" i="53"/>
  <c r="G64" i="53"/>
  <c r="G65" i="53"/>
  <c r="G66" i="53"/>
  <c r="G67" i="53"/>
  <c r="G68" i="53"/>
  <c r="G69" i="53"/>
  <c r="G70" i="53"/>
  <c r="G71" i="53"/>
  <c r="G72" i="53"/>
  <c r="G73" i="53"/>
  <c r="G74" i="53"/>
  <c r="G75" i="53"/>
  <c r="G76" i="53"/>
  <c r="G77" i="53"/>
  <c r="G78" i="53"/>
  <c r="G79" i="53"/>
  <c r="G80" i="53"/>
  <c r="G81" i="53"/>
  <c r="G82" i="53"/>
  <c r="G83" i="53"/>
  <c r="G84" i="53"/>
  <c r="G85" i="53"/>
  <c r="G86" i="53"/>
  <c r="G87" i="53"/>
  <c r="G88" i="53"/>
  <c r="G89" i="53"/>
  <c r="G90" i="53"/>
  <c r="G91" i="53"/>
  <c r="G92" i="53"/>
  <c r="G93" i="53"/>
  <c r="G94" i="53"/>
  <c r="G95" i="53"/>
  <c r="G96" i="53"/>
  <c r="G97" i="53"/>
  <c r="G98" i="53"/>
  <c r="G99" i="53"/>
  <c r="G100" i="53"/>
  <c r="G101" i="53"/>
  <c r="G102" i="53"/>
  <c r="G103" i="53"/>
  <c r="G104" i="53"/>
  <c r="G105" i="53"/>
  <c r="G106" i="53"/>
  <c r="G107" i="53"/>
  <c r="G108" i="53"/>
  <c r="G109" i="53"/>
  <c r="G110" i="53"/>
  <c r="G111" i="53"/>
  <c r="G112" i="53"/>
  <c r="G113" i="53"/>
  <c r="G114" i="53"/>
  <c r="G115" i="53"/>
  <c r="G116" i="53"/>
  <c r="G117" i="53"/>
  <c r="G118" i="53"/>
  <c r="G119" i="53"/>
  <c r="G120" i="53"/>
  <c r="G121" i="53"/>
  <c r="G122" i="53"/>
  <c r="G123" i="53"/>
  <c r="G124" i="53"/>
  <c r="G5" i="53"/>
  <c r="F130" i="53"/>
  <c r="F129" i="53"/>
  <c r="F128" i="53"/>
  <c r="F127" i="53"/>
  <c r="F126" i="53"/>
  <c r="F6" i="53"/>
  <c r="F7" i="53"/>
  <c r="F8" i="53"/>
  <c r="F9" i="53"/>
  <c r="F10" i="53"/>
  <c r="F11" i="53"/>
  <c r="F12" i="53"/>
  <c r="F13" i="53"/>
  <c r="F14" i="53"/>
  <c r="F15" i="53"/>
  <c r="F16" i="53"/>
  <c r="F17" i="53"/>
  <c r="F18" i="53"/>
  <c r="F19" i="53"/>
  <c r="F20" i="53"/>
  <c r="F21" i="53"/>
  <c r="F22" i="53"/>
  <c r="F23" i="53"/>
  <c r="F24" i="53"/>
  <c r="F25" i="53"/>
  <c r="F26" i="53"/>
  <c r="F27" i="53"/>
  <c r="F28" i="53"/>
  <c r="F29" i="53"/>
  <c r="F30" i="53"/>
  <c r="F31" i="53"/>
  <c r="F32" i="53"/>
  <c r="F33" i="53"/>
  <c r="F34" i="53"/>
  <c r="F35" i="53"/>
  <c r="F36" i="53"/>
  <c r="F37" i="53"/>
  <c r="F38" i="53"/>
  <c r="F39" i="53"/>
  <c r="F40" i="53"/>
  <c r="F41" i="53"/>
  <c r="F42" i="53"/>
  <c r="F43" i="53"/>
  <c r="F44" i="53"/>
  <c r="F45" i="53"/>
  <c r="F46" i="53"/>
  <c r="F47" i="53"/>
  <c r="F48" i="53"/>
  <c r="F49" i="53"/>
  <c r="F50" i="53"/>
  <c r="F51" i="53"/>
  <c r="F52" i="53"/>
  <c r="F53" i="53"/>
  <c r="F54" i="53"/>
  <c r="F55" i="53"/>
  <c r="F56" i="53"/>
  <c r="F57" i="53"/>
  <c r="F58" i="53"/>
  <c r="F59" i="53"/>
  <c r="F60" i="53"/>
  <c r="F61" i="53"/>
  <c r="F62" i="53"/>
  <c r="F63" i="53"/>
  <c r="F64" i="53"/>
  <c r="F65" i="53"/>
  <c r="F66" i="53"/>
  <c r="F67" i="53"/>
  <c r="F68" i="53"/>
  <c r="F69" i="53"/>
  <c r="F70" i="53"/>
  <c r="F71" i="53"/>
  <c r="F72" i="53"/>
  <c r="F73" i="53"/>
  <c r="F74" i="53"/>
  <c r="F75" i="53"/>
  <c r="F76" i="53"/>
  <c r="F77" i="53"/>
  <c r="F78" i="53"/>
  <c r="F79" i="53"/>
  <c r="F80" i="53"/>
  <c r="F81" i="53"/>
  <c r="F82" i="53"/>
  <c r="F83" i="53"/>
  <c r="F84" i="53"/>
  <c r="F85" i="53"/>
  <c r="F86" i="53"/>
  <c r="F87" i="53"/>
  <c r="F88" i="53"/>
  <c r="F89" i="53"/>
  <c r="F90" i="53"/>
  <c r="F91" i="53"/>
  <c r="F92" i="53"/>
  <c r="F93" i="53"/>
  <c r="F94" i="53"/>
  <c r="F95" i="53"/>
  <c r="F96" i="53"/>
  <c r="F97" i="53"/>
  <c r="F98" i="53"/>
  <c r="F99" i="53"/>
  <c r="F100" i="53"/>
  <c r="F101" i="53"/>
  <c r="F102" i="53"/>
  <c r="F103" i="53"/>
  <c r="F104" i="53"/>
  <c r="F105" i="53"/>
  <c r="F106" i="53"/>
  <c r="F107" i="53"/>
  <c r="F108" i="53"/>
  <c r="F109" i="53"/>
  <c r="F110" i="53"/>
  <c r="F111" i="53"/>
  <c r="F112" i="53"/>
  <c r="F113" i="53"/>
  <c r="F114" i="53"/>
  <c r="F115" i="53"/>
  <c r="F116" i="53"/>
  <c r="F117" i="53"/>
  <c r="F118" i="53"/>
  <c r="F119" i="53"/>
  <c r="F120" i="53"/>
  <c r="F121" i="53"/>
  <c r="F122" i="53"/>
  <c r="F123" i="53"/>
  <c r="F124" i="53"/>
  <c r="F5" i="53"/>
  <c r="E130" i="53"/>
  <c r="E129" i="53"/>
  <c r="J6" i="123" s="1"/>
  <c r="E128" i="53"/>
  <c r="E127" i="53"/>
  <c r="E126" i="53"/>
  <c r="E6" i="53"/>
  <c r="E7" i="53"/>
  <c r="E8" i="53"/>
  <c r="E9" i="53"/>
  <c r="E10" i="53"/>
  <c r="E11" i="53"/>
  <c r="E12" i="53"/>
  <c r="E13" i="53"/>
  <c r="E14" i="53"/>
  <c r="E15" i="53"/>
  <c r="E16" i="53"/>
  <c r="E17" i="53"/>
  <c r="E18" i="53"/>
  <c r="E19" i="53"/>
  <c r="E20" i="53"/>
  <c r="E21" i="53"/>
  <c r="E22" i="53"/>
  <c r="E23" i="53"/>
  <c r="E24" i="53"/>
  <c r="E25" i="53"/>
  <c r="E26" i="53"/>
  <c r="E27" i="53"/>
  <c r="E28" i="53"/>
  <c r="E29" i="53"/>
  <c r="E30" i="53"/>
  <c r="E31" i="53"/>
  <c r="E32" i="53"/>
  <c r="E33" i="53"/>
  <c r="E34" i="53"/>
  <c r="E35" i="53"/>
  <c r="E36" i="53"/>
  <c r="E37" i="53"/>
  <c r="E38" i="53"/>
  <c r="E39" i="53"/>
  <c r="E40" i="53"/>
  <c r="E41" i="53"/>
  <c r="E42" i="53"/>
  <c r="E43" i="53"/>
  <c r="E44" i="53"/>
  <c r="E45" i="53"/>
  <c r="E46" i="53"/>
  <c r="E47" i="53"/>
  <c r="E48" i="53"/>
  <c r="E49" i="53"/>
  <c r="E50" i="53"/>
  <c r="E51" i="53"/>
  <c r="E52" i="53"/>
  <c r="E53" i="53"/>
  <c r="E54" i="53"/>
  <c r="E55" i="53"/>
  <c r="E56" i="53"/>
  <c r="E57" i="53"/>
  <c r="E58" i="53"/>
  <c r="E59" i="53"/>
  <c r="E60" i="53"/>
  <c r="E61" i="53"/>
  <c r="E62" i="53"/>
  <c r="E63" i="53"/>
  <c r="E64" i="53"/>
  <c r="E65" i="53"/>
  <c r="E66" i="53"/>
  <c r="E67" i="53"/>
  <c r="E68" i="53"/>
  <c r="E69" i="53"/>
  <c r="E70" i="53"/>
  <c r="E71" i="53"/>
  <c r="E72" i="53"/>
  <c r="E73" i="53"/>
  <c r="E74" i="53"/>
  <c r="E75" i="53"/>
  <c r="E76" i="53"/>
  <c r="E77" i="53"/>
  <c r="E78" i="53"/>
  <c r="E79" i="53"/>
  <c r="E80" i="53"/>
  <c r="E81" i="53"/>
  <c r="E82" i="53"/>
  <c r="E83" i="53"/>
  <c r="E84" i="53"/>
  <c r="E85" i="53"/>
  <c r="E86" i="53"/>
  <c r="E87" i="53"/>
  <c r="E88" i="53"/>
  <c r="E89" i="53"/>
  <c r="E90" i="53"/>
  <c r="E91" i="53"/>
  <c r="E92" i="53"/>
  <c r="E93" i="53"/>
  <c r="E94" i="53"/>
  <c r="E95" i="53"/>
  <c r="E96" i="53"/>
  <c r="E97" i="53"/>
  <c r="E98" i="53"/>
  <c r="E99" i="53"/>
  <c r="E100" i="53"/>
  <c r="E101" i="53"/>
  <c r="E102" i="53"/>
  <c r="E103" i="53"/>
  <c r="E104" i="53"/>
  <c r="E105" i="53"/>
  <c r="E106" i="53"/>
  <c r="E107" i="53"/>
  <c r="E108" i="53"/>
  <c r="E109" i="53"/>
  <c r="E110" i="53"/>
  <c r="E111" i="53"/>
  <c r="E112" i="53"/>
  <c r="E113" i="53"/>
  <c r="E114" i="53"/>
  <c r="E115" i="53"/>
  <c r="E116" i="53"/>
  <c r="E117" i="53"/>
  <c r="E118" i="53"/>
  <c r="E119" i="53"/>
  <c r="E120" i="53"/>
  <c r="E121" i="53"/>
  <c r="E122" i="53"/>
  <c r="E123" i="53"/>
  <c r="E124" i="53"/>
  <c r="E5" i="53"/>
  <c r="D130" i="53"/>
  <c r="D129" i="53"/>
  <c r="I6" i="123" s="1"/>
  <c r="D128" i="53"/>
  <c r="D127" i="53"/>
  <c r="D126" i="53"/>
  <c r="D124" i="53"/>
  <c r="D123" i="53"/>
  <c r="D122" i="53"/>
  <c r="D121" i="53"/>
  <c r="D120" i="53"/>
  <c r="D119" i="53"/>
  <c r="D118" i="53"/>
  <c r="D117" i="53"/>
  <c r="D116" i="53"/>
  <c r="D115" i="53"/>
  <c r="D114" i="53"/>
  <c r="D113" i="53"/>
  <c r="D112" i="53"/>
  <c r="D111" i="53"/>
  <c r="D110" i="53"/>
  <c r="D109" i="53"/>
  <c r="D108" i="53"/>
  <c r="D107" i="53"/>
  <c r="D106" i="53"/>
  <c r="D105" i="53"/>
  <c r="D104" i="53"/>
  <c r="D103" i="53"/>
  <c r="D102" i="53"/>
  <c r="D101" i="53"/>
  <c r="D100" i="53"/>
  <c r="D99" i="53"/>
  <c r="D98" i="53"/>
  <c r="D97" i="53"/>
  <c r="D96" i="53"/>
  <c r="D95" i="53"/>
  <c r="D94" i="53"/>
  <c r="D93" i="53"/>
  <c r="D92" i="53"/>
  <c r="D91" i="53"/>
  <c r="D90" i="53"/>
  <c r="D89" i="53"/>
  <c r="D88" i="53"/>
  <c r="D87" i="53"/>
  <c r="D86" i="53"/>
  <c r="D85" i="53"/>
  <c r="D84" i="53"/>
  <c r="D83" i="53"/>
  <c r="D82" i="53"/>
  <c r="D81" i="53"/>
  <c r="D80" i="53"/>
  <c r="D79" i="53"/>
  <c r="D78" i="53"/>
  <c r="D77" i="53"/>
  <c r="D76" i="53"/>
  <c r="D75" i="53"/>
  <c r="D74" i="53"/>
  <c r="D73" i="53"/>
  <c r="D72" i="53"/>
  <c r="D71" i="53"/>
  <c r="D70" i="53"/>
  <c r="D69" i="53"/>
  <c r="D68" i="53"/>
  <c r="D67" i="53"/>
  <c r="D66" i="53"/>
  <c r="D65" i="53"/>
  <c r="D64" i="53"/>
  <c r="D63" i="53"/>
  <c r="D62" i="53"/>
  <c r="D61" i="53"/>
  <c r="D60" i="53"/>
  <c r="D59" i="53"/>
  <c r="D58" i="53"/>
  <c r="D57" i="53"/>
  <c r="D56" i="53"/>
  <c r="D55" i="53"/>
  <c r="D54" i="53"/>
  <c r="D53" i="53"/>
  <c r="D52" i="53"/>
  <c r="D51" i="53"/>
  <c r="D50" i="53"/>
  <c r="D49" i="53"/>
  <c r="D48" i="53"/>
  <c r="D47" i="53"/>
  <c r="D46" i="53"/>
  <c r="D45" i="53"/>
  <c r="D44" i="53"/>
  <c r="D43" i="53"/>
  <c r="D42" i="53"/>
  <c r="D41" i="53"/>
  <c r="D40" i="53"/>
  <c r="D39" i="53"/>
  <c r="D38" i="53"/>
  <c r="D37" i="53"/>
  <c r="D36" i="53"/>
  <c r="D35" i="53"/>
  <c r="D34" i="53"/>
  <c r="D33" i="53"/>
  <c r="D32" i="53"/>
  <c r="D31" i="53"/>
  <c r="D30" i="53"/>
  <c r="D29" i="53"/>
  <c r="D28" i="53"/>
  <c r="D27" i="53"/>
  <c r="D26" i="53"/>
  <c r="D25" i="53"/>
  <c r="D24" i="53"/>
  <c r="D23" i="53"/>
  <c r="D22" i="53"/>
  <c r="D21" i="53"/>
  <c r="D20" i="53"/>
  <c r="D19" i="53"/>
  <c r="D18" i="53"/>
  <c r="D17" i="53"/>
  <c r="D16" i="53"/>
  <c r="D15" i="53"/>
  <c r="D14" i="53"/>
  <c r="D13" i="53"/>
  <c r="D12" i="53"/>
  <c r="D11" i="53"/>
  <c r="D10" i="53"/>
  <c r="D9" i="53"/>
  <c r="D8" i="53"/>
  <c r="D7" i="53"/>
  <c r="D6" i="53"/>
  <c r="D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V131" i="53"/>
  <c r="U131" i="53"/>
  <c r="T131" i="53"/>
  <c r="S131" i="53"/>
  <c r="R131" i="53"/>
  <c r="W130" i="53"/>
  <c r="W129" i="53"/>
  <c r="W128" i="53"/>
  <c r="W127" i="53"/>
  <c r="W126" i="53"/>
  <c r="V4" i="53"/>
  <c r="U4" i="53"/>
  <c r="T4" i="53"/>
  <c r="S4" i="53"/>
  <c r="R4" i="53"/>
  <c r="W4" i="53" l="1"/>
  <c r="W131" i="53"/>
  <c r="O130" i="62"/>
  <c r="O129" i="62"/>
  <c r="O128" i="62"/>
  <c r="O127" i="62"/>
  <c r="O126" i="62"/>
  <c r="U130" i="62"/>
  <c r="U129" i="62"/>
  <c r="U128" i="62"/>
  <c r="U127" i="62"/>
  <c r="U126" i="62"/>
  <c r="AA130" i="62"/>
  <c r="AA129" i="62"/>
  <c r="AA128" i="62"/>
  <c r="AA127" i="62"/>
  <c r="AA126" i="62"/>
  <c r="AG130" i="62"/>
  <c r="AG129" i="62"/>
  <c r="AG128" i="62"/>
  <c r="AG127" i="62"/>
  <c r="AG126" i="62"/>
  <c r="AM130" i="62"/>
  <c r="AM129" i="62"/>
  <c r="AM128" i="62"/>
  <c r="AM127" i="62"/>
  <c r="AM126" i="62"/>
  <c r="AS130" i="62"/>
  <c r="AS129" i="62"/>
  <c r="AS128" i="62"/>
  <c r="AS127" i="62"/>
  <c r="AS126" i="62"/>
  <c r="AY130" i="62"/>
  <c r="AY129" i="62"/>
  <c r="AY128" i="62"/>
  <c r="AY127" i="62"/>
  <c r="AY126" i="62"/>
  <c r="AZ131" i="60"/>
  <c r="BA131" i="60"/>
  <c r="BB131" i="60"/>
  <c r="BC131" i="60"/>
  <c r="BD131" i="60"/>
  <c r="O130" i="60" l="1"/>
  <c r="O129" i="60"/>
  <c r="O128" i="60"/>
  <c r="O127" i="60"/>
  <c r="O126" i="60"/>
  <c r="U130" i="60"/>
  <c r="U129" i="60"/>
  <c r="U128" i="60"/>
  <c r="U127" i="60"/>
  <c r="U126" i="60"/>
  <c r="AM130" i="60"/>
  <c r="AM129" i="60"/>
  <c r="AM128" i="60"/>
  <c r="AM127" i="60"/>
  <c r="AS130" i="60"/>
  <c r="AS129" i="60"/>
  <c r="AS128" i="60"/>
  <c r="AS127" i="60"/>
  <c r="AS126" i="60"/>
  <c r="BE130" i="60"/>
  <c r="BE129" i="60"/>
  <c r="BE128" i="60"/>
  <c r="BE127" i="60"/>
  <c r="BE126" i="60"/>
  <c r="J131" i="60"/>
  <c r="K131" i="60"/>
  <c r="L131" i="60"/>
  <c r="M131" i="60"/>
  <c r="N131" i="60"/>
  <c r="K130" i="101" l="1"/>
  <c r="K129" i="101"/>
  <c r="K128" i="101"/>
  <c r="K127" i="101"/>
  <c r="K126" i="101"/>
  <c r="J131" i="101"/>
  <c r="I131" i="101"/>
  <c r="G131" i="101"/>
  <c r="F131" i="101"/>
  <c r="E131" i="101"/>
  <c r="D131" i="101"/>
  <c r="H130" i="101"/>
  <c r="H129" i="101"/>
  <c r="H128" i="101"/>
  <c r="H127" i="101"/>
  <c r="H126" i="101"/>
  <c r="I130" i="117"/>
  <c r="H130" i="117"/>
  <c r="I129" i="117"/>
  <c r="H129" i="117"/>
  <c r="I128" i="117"/>
  <c r="H128" i="117"/>
  <c r="I127" i="117"/>
  <c r="H127" i="117"/>
  <c r="I126" i="117"/>
  <c r="H126" i="117"/>
  <c r="I130" i="61"/>
  <c r="I129" i="61"/>
  <c r="K16" i="123" s="1"/>
  <c r="I128" i="61"/>
  <c r="I127" i="61"/>
  <c r="I126" i="61"/>
  <c r="H130" i="61"/>
  <c r="H129" i="61"/>
  <c r="H128" i="61"/>
  <c r="H127" i="61"/>
  <c r="H126" i="61"/>
  <c r="F130" i="24" l="1"/>
  <c r="F129" i="24"/>
  <c r="F128" i="24"/>
  <c r="F127" i="24"/>
  <c r="F126"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R1" i="108" l="1"/>
  <c r="P1" i="108"/>
  <c r="N1" i="108"/>
  <c r="L1" i="108"/>
  <c r="V124" i="136"/>
  <c r="V123" i="136"/>
  <c r="V122" i="136"/>
  <c r="V121" i="136"/>
  <c r="V120" i="136"/>
  <c r="V119" i="136"/>
  <c r="V118" i="136"/>
  <c r="V117" i="136"/>
  <c r="V116" i="136"/>
  <c r="V115" i="136"/>
  <c r="V114" i="136"/>
  <c r="V113" i="136"/>
  <c r="V112" i="136"/>
  <c r="V111" i="136"/>
  <c r="V110" i="136"/>
  <c r="V109" i="136"/>
  <c r="V108" i="136"/>
  <c r="V107" i="136"/>
  <c r="V106" i="136"/>
  <c r="V105" i="136"/>
  <c r="V104" i="136"/>
  <c r="V103" i="136"/>
  <c r="V102" i="136"/>
  <c r="V101" i="136"/>
  <c r="V100" i="136"/>
  <c r="V99" i="136"/>
  <c r="V98" i="136"/>
  <c r="V97" i="136"/>
  <c r="V96" i="136"/>
  <c r="V95" i="136"/>
  <c r="V94" i="136"/>
  <c r="V93" i="136"/>
  <c r="V92" i="136"/>
  <c r="V91" i="136"/>
  <c r="V90" i="136"/>
  <c r="V89" i="136"/>
  <c r="V88" i="136"/>
  <c r="V87" i="136"/>
  <c r="V86" i="136"/>
  <c r="V85" i="136"/>
  <c r="V84" i="136"/>
  <c r="V83" i="136"/>
  <c r="V82" i="136"/>
  <c r="V81" i="136"/>
  <c r="V80" i="136"/>
  <c r="V79" i="136"/>
  <c r="V78" i="136"/>
  <c r="V77" i="136"/>
  <c r="V76" i="136"/>
  <c r="V75" i="136"/>
  <c r="V74" i="136"/>
  <c r="V73" i="136"/>
  <c r="V72" i="136"/>
  <c r="V71" i="136"/>
  <c r="V70" i="136"/>
  <c r="V69" i="136"/>
  <c r="V68" i="136"/>
  <c r="V67" i="136"/>
  <c r="V66" i="136"/>
  <c r="V65" i="136"/>
  <c r="V64" i="136"/>
  <c r="V63" i="136"/>
  <c r="V62" i="136"/>
  <c r="V61" i="136"/>
  <c r="V60" i="136"/>
  <c r="V59" i="136"/>
  <c r="V58" i="136"/>
  <c r="V57" i="136"/>
  <c r="V56" i="136"/>
  <c r="V55" i="136"/>
  <c r="V54" i="136"/>
  <c r="V53" i="136"/>
  <c r="V52" i="136"/>
  <c r="V51" i="136"/>
  <c r="V50" i="136"/>
  <c r="V49" i="136"/>
  <c r="V48" i="136"/>
  <c r="V47" i="136"/>
  <c r="V46" i="136"/>
  <c r="V45" i="136"/>
  <c r="V44" i="136"/>
  <c r="V43" i="136"/>
  <c r="V42" i="136"/>
  <c r="V41" i="136"/>
  <c r="V40" i="136"/>
  <c r="V39" i="136"/>
  <c r="V38" i="136"/>
  <c r="V37" i="136"/>
  <c r="V36" i="136"/>
  <c r="V35" i="136"/>
  <c r="V34" i="136"/>
  <c r="V33" i="136"/>
  <c r="V32" i="136"/>
  <c r="V31" i="136"/>
  <c r="V30" i="136"/>
  <c r="V29" i="136"/>
  <c r="V28" i="136"/>
  <c r="V27" i="136"/>
  <c r="V26" i="136"/>
  <c r="V25" i="136"/>
  <c r="V24" i="136"/>
  <c r="V23" i="136"/>
  <c r="V22" i="136"/>
  <c r="V21" i="136"/>
  <c r="V20" i="136"/>
  <c r="V19" i="136"/>
  <c r="V18" i="136"/>
  <c r="V17" i="136"/>
  <c r="V16" i="136"/>
  <c r="V15" i="136"/>
  <c r="V14" i="136"/>
  <c r="V13" i="136"/>
  <c r="V12" i="136"/>
  <c r="V11" i="136"/>
  <c r="V10" i="136"/>
  <c r="V9" i="136"/>
  <c r="V8" i="136"/>
  <c r="V7" i="136"/>
  <c r="V6" i="136"/>
  <c r="V5" i="136"/>
  <c r="O4" i="136"/>
  <c r="N4" i="136"/>
  <c r="M4" i="136"/>
  <c r="L4" i="136"/>
  <c r="K4" i="136"/>
  <c r="J4" i="136"/>
  <c r="I4" i="136"/>
  <c r="H4" i="136"/>
  <c r="G4" i="136"/>
  <c r="F4" i="136"/>
  <c r="E4" i="136"/>
  <c r="D4" i="136"/>
  <c r="V124" i="135"/>
  <c r="V123" i="135"/>
  <c r="V122" i="135"/>
  <c r="V121" i="135"/>
  <c r="V120" i="135"/>
  <c r="V119" i="135"/>
  <c r="V118" i="135"/>
  <c r="V117" i="135"/>
  <c r="V116" i="135"/>
  <c r="V115" i="135"/>
  <c r="V114" i="135"/>
  <c r="V113" i="135"/>
  <c r="V112" i="135"/>
  <c r="V111" i="135"/>
  <c r="V110" i="135"/>
  <c r="V109" i="135"/>
  <c r="V108" i="135"/>
  <c r="V107" i="135"/>
  <c r="V106" i="135"/>
  <c r="V105" i="135"/>
  <c r="V104" i="135"/>
  <c r="V103" i="135"/>
  <c r="V102" i="135"/>
  <c r="V101" i="135"/>
  <c r="V100" i="135"/>
  <c r="V99" i="135"/>
  <c r="V98" i="135"/>
  <c r="V97" i="135"/>
  <c r="V96" i="135"/>
  <c r="V95" i="135"/>
  <c r="V94" i="135"/>
  <c r="V93" i="135"/>
  <c r="V92" i="135"/>
  <c r="V91" i="135"/>
  <c r="V90" i="135"/>
  <c r="V89" i="135"/>
  <c r="V88" i="135"/>
  <c r="V87" i="135"/>
  <c r="V86" i="135"/>
  <c r="V85" i="135"/>
  <c r="V84" i="135"/>
  <c r="V83" i="135"/>
  <c r="V82" i="135"/>
  <c r="V81" i="135"/>
  <c r="V80" i="135"/>
  <c r="V79" i="135"/>
  <c r="V78" i="135"/>
  <c r="V77" i="135"/>
  <c r="V76" i="135"/>
  <c r="V75" i="135"/>
  <c r="V74" i="135"/>
  <c r="V73" i="135"/>
  <c r="V72" i="135"/>
  <c r="V71" i="135"/>
  <c r="V70" i="135"/>
  <c r="V69" i="135"/>
  <c r="V68" i="135"/>
  <c r="V67" i="135"/>
  <c r="V66" i="135"/>
  <c r="V65" i="135"/>
  <c r="V64" i="135"/>
  <c r="V63" i="135"/>
  <c r="V62" i="135"/>
  <c r="V61" i="135"/>
  <c r="V60" i="135"/>
  <c r="V59" i="135"/>
  <c r="V58" i="135"/>
  <c r="V57" i="135"/>
  <c r="V56" i="135"/>
  <c r="V55" i="135"/>
  <c r="V54" i="135"/>
  <c r="V53" i="135"/>
  <c r="V52" i="135"/>
  <c r="V51" i="135"/>
  <c r="V50" i="135"/>
  <c r="V49" i="135"/>
  <c r="V48" i="135"/>
  <c r="V47" i="135"/>
  <c r="V46" i="135"/>
  <c r="V45" i="135"/>
  <c r="V44" i="135"/>
  <c r="V43" i="135"/>
  <c r="V42" i="135"/>
  <c r="V41" i="135"/>
  <c r="V40" i="135"/>
  <c r="V39" i="135"/>
  <c r="V38" i="135"/>
  <c r="V37" i="135"/>
  <c r="V36" i="135"/>
  <c r="V35" i="135"/>
  <c r="V34" i="135"/>
  <c r="V33" i="135"/>
  <c r="V32" i="135"/>
  <c r="V31" i="135"/>
  <c r="V30" i="135"/>
  <c r="V29" i="135"/>
  <c r="V28" i="135"/>
  <c r="V27" i="135"/>
  <c r="V26" i="135"/>
  <c r="V25" i="135"/>
  <c r="V24" i="135"/>
  <c r="V23" i="135"/>
  <c r="V22" i="135"/>
  <c r="V21" i="135"/>
  <c r="V20" i="135"/>
  <c r="V19" i="135"/>
  <c r="V18" i="135"/>
  <c r="V17" i="135"/>
  <c r="V16" i="135"/>
  <c r="V15" i="135"/>
  <c r="V14" i="135"/>
  <c r="V13" i="135"/>
  <c r="V12" i="135"/>
  <c r="V11" i="135"/>
  <c r="V10" i="135"/>
  <c r="V9" i="135"/>
  <c r="V8" i="135"/>
  <c r="V7" i="135"/>
  <c r="V6" i="135"/>
  <c r="V5" i="135"/>
  <c r="O4" i="135"/>
  <c r="N4" i="135"/>
  <c r="M4" i="135"/>
  <c r="L4" i="135"/>
  <c r="K4" i="135"/>
  <c r="J4" i="135"/>
  <c r="I4" i="135"/>
  <c r="H4" i="135"/>
  <c r="G4" i="135"/>
  <c r="F4" i="135"/>
  <c r="E4" i="135"/>
  <c r="D4" i="135"/>
  <c r="V124" i="134"/>
  <c r="V123" i="134"/>
  <c r="V122" i="134"/>
  <c r="V121" i="134"/>
  <c r="V120" i="134"/>
  <c r="V119" i="134"/>
  <c r="V118" i="134"/>
  <c r="V117" i="134"/>
  <c r="V116" i="134"/>
  <c r="V115" i="134"/>
  <c r="V114" i="134"/>
  <c r="V113" i="134"/>
  <c r="V112" i="134"/>
  <c r="V111" i="134"/>
  <c r="V110" i="134"/>
  <c r="V109" i="134"/>
  <c r="V108" i="134"/>
  <c r="V107" i="134"/>
  <c r="V106" i="134"/>
  <c r="V105" i="134"/>
  <c r="V104" i="134"/>
  <c r="V103" i="134"/>
  <c r="V102" i="134"/>
  <c r="V101" i="134"/>
  <c r="V100" i="134"/>
  <c r="V99" i="134"/>
  <c r="V98" i="134"/>
  <c r="V97" i="134"/>
  <c r="V96" i="134"/>
  <c r="V95" i="134"/>
  <c r="V94" i="134"/>
  <c r="V93" i="134"/>
  <c r="V92" i="134"/>
  <c r="V91" i="134"/>
  <c r="V90" i="134"/>
  <c r="V89" i="134"/>
  <c r="V88" i="134"/>
  <c r="V87" i="134"/>
  <c r="V86" i="134"/>
  <c r="V85" i="134"/>
  <c r="V84" i="134"/>
  <c r="V83" i="134"/>
  <c r="V82" i="134"/>
  <c r="V81" i="134"/>
  <c r="V80" i="134"/>
  <c r="V79" i="134"/>
  <c r="V78" i="134"/>
  <c r="V77" i="134"/>
  <c r="V76" i="134"/>
  <c r="V75" i="134"/>
  <c r="V74" i="134"/>
  <c r="V73" i="134"/>
  <c r="V72" i="134"/>
  <c r="V71" i="134"/>
  <c r="V70" i="134"/>
  <c r="V69" i="134"/>
  <c r="V68" i="134"/>
  <c r="V67" i="134"/>
  <c r="V66" i="134"/>
  <c r="V65" i="134"/>
  <c r="V64" i="134"/>
  <c r="V63" i="134"/>
  <c r="V62" i="134"/>
  <c r="V61" i="134"/>
  <c r="V60" i="134"/>
  <c r="V59" i="134"/>
  <c r="V58" i="134"/>
  <c r="V57" i="134"/>
  <c r="V56" i="134"/>
  <c r="V55" i="134"/>
  <c r="V54" i="134"/>
  <c r="V53" i="134"/>
  <c r="V52" i="134"/>
  <c r="V51" i="134"/>
  <c r="V50" i="134"/>
  <c r="V49" i="134"/>
  <c r="V48" i="134"/>
  <c r="V47" i="134"/>
  <c r="V46" i="134"/>
  <c r="V45" i="134"/>
  <c r="V44" i="134"/>
  <c r="V43" i="134"/>
  <c r="V42" i="134"/>
  <c r="V41" i="134"/>
  <c r="V40" i="134"/>
  <c r="V39" i="134"/>
  <c r="V38" i="134"/>
  <c r="V37" i="134"/>
  <c r="V36" i="134"/>
  <c r="V35" i="134"/>
  <c r="V34" i="134"/>
  <c r="V33" i="134"/>
  <c r="V32" i="134"/>
  <c r="V31" i="134"/>
  <c r="V30" i="134"/>
  <c r="V29" i="134"/>
  <c r="V28" i="134"/>
  <c r="V27" i="134"/>
  <c r="V26" i="134"/>
  <c r="V25" i="134"/>
  <c r="V24" i="134"/>
  <c r="V23" i="134"/>
  <c r="V22" i="134"/>
  <c r="V21" i="134"/>
  <c r="V20" i="134"/>
  <c r="V19" i="134"/>
  <c r="V18" i="134"/>
  <c r="V17" i="134"/>
  <c r="V16" i="134"/>
  <c r="V15" i="134"/>
  <c r="V14" i="134"/>
  <c r="V13" i="134"/>
  <c r="V12" i="134"/>
  <c r="V11" i="134"/>
  <c r="V10" i="134"/>
  <c r="V9" i="134"/>
  <c r="V8" i="134"/>
  <c r="V7" i="134"/>
  <c r="V6" i="134"/>
  <c r="V5" i="134"/>
  <c r="O4" i="134"/>
  <c r="N4" i="134"/>
  <c r="M4" i="134"/>
  <c r="L4" i="134"/>
  <c r="K4" i="134"/>
  <c r="J4" i="134"/>
  <c r="I4" i="134"/>
  <c r="H4" i="134"/>
  <c r="G4" i="134"/>
  <c r="F4" i="134"/>
  <c r="E4" i="134"/>
  <c r="D4" i="134"/>
  <c r="V124" i="133"/>
  <c r="V123" i="133"/>
  <c r="V122" i="133"/>
  <c r="V121" i="133"/>
  <c r="V120" i="133"/>
  <c r="V119" i="133"/>
  <c r="V118" i="133"/>
  <c r="V117" i="133"/>
  <c r="V116" i="133"/>
  <c r="V115" i="133"/>
  <c r="V114" i="133"/>
  <c r="V113" i="133"/>
  <c r="V112" i="133"/>
  <c r="V111" i="133"/>
  <c r="V110" i="133"/>
  <c r="V109" i="133"/>
  <c r="V108" i="133"/>
  <c r="V107" i="133"/>
  <c r="V106" i="133"/>
  <c r="V105" i="133"/>
  <c r="V104" i="133"/>
  <c r="V103" i="133"/>
  <c r="V102" i="133"/>
  <c r="V101" i="133"/>
  <c r="V100" i="133"/>
  <c r="V99" i="133"/>
  <c r="V98" i="133"/>
  <c r="V97" i="133"/>
  <c r="V96" i="133"/>
  <c r="V95" i="133"/>
  <c r="V94" i="133"/>
  <c r="V93" i="133"/>
  <c r="V92" i="133"/>
  <c r="V91" i="133"/>
  <c r="V90" i="133"/>
  <c r="V89" i="133"/>
  <c r="V88" i="133"/>
  <c r="V87" i="133"/>
  <c r="V86" i="133"/>
  <c r="V85" i="133"/>
  <c r="V84" i="133"/>
  <c r="V83" i="133"/>
  <c r="V82" i="133"/>
  <c r="V81" i="133"/>
  <c r="V80" i="133"/>
  <c r="V79" i="133"/>
  <c r="V78" i="133"/>
  <c r="V77" i="133"/>
  <c r="V76" i="133"/>
  <c r="V75" i="133"/>
  <c r="V74" i="133"/>
  <c r="V73" i="133"/>
  <c r="V72" i="133"/>
  <c r="V71" i="133"/>
  <c r="V70" i="133"/>
  <c r="V69" i="133"/>
  <c r="V68" i="133"/>
  <c r="V67" i="133"/>
  <c r="V66" i="133"/>
  <c r="V65" i="133"/>
  <c r="V64" i="133"/>
  <c r="V63" i="133"/>
  <c r="V62" i="133"/>
  <c r="V61" i="133"/>
  <c r="V60" i="133"/>
  <c r="V59" i="133"/>
  <c r="V58" i="133"/>
  <c r="V57" i="133"/>
  <c r="V56" i="133"/>
  <c r="V55" i="133"/>
  <c r="V54" i="133"/>
  <c r="V53" i="133"/>
  <c r="V52" i="133"/>
  <c r="V51" i="133"/>
  <c r="V50" i="133"/>
  <c r="V49" i="133"/>
  <c r="V48" i="133"/>
  <c r="V47" i="133"/>
  <c r="V46" i="133"/>
  <c r="V45" i="133"/>
  <c r="V44" i="133"/>
  <c r="V43" i="133"/>
  <c r="V42" i="133"/>
  <c r="V41" i="133"/>
  <c r="V40" i="133"/>
  <c r="V39" i="133"/>
  <c r="V38" i="133"/>
  <c r="V37" i="133"/>
  <c r="V36" i="133"/>
  <c r="V35" i="133"/>
  <c r="V34" i="133"/>
  <c r="V33" i="133"/>
  <c r="V32" i="133"/>
  <c r="V31" i="133"/>
  <c r="V30" i="133"/>
  <c r="V29" i="133"/>
  <c r="V28" i="133"/>
  <c r="V27" i="133"/>
  <c r="V26" i="133"/>
  <c r="V25" i="133"/>
  <c r="V24" i="133"/>
  <c r="V23" i="133"/>
  <c r="V22" i="133"/>
  <c r="V21" i="133"/>
  <c r="V20" i="133"/>
  <c r="V19" i="133"/>
  <c r="V18" i="133"/>
  <c r="V17" i="133"/>
  <c r="V16" i="133"/>
  <c r="V15" i="133"/>
  <c r="V14" i="133"/>
  <c r="V13" i="133"/>
  <c r="V12" i="133"/>
  <c r="V11" i="133"/>
  <c r="V10" i="133"/>
  <c r="V9" i="133"/>
  <c r="V8" i="133"/>
  <c r="V7" i="133"/>
  <c r="V6" i="133"/>
  <c r="V5" i="133"/>
  <c r="O4" i="133"/>
  <c r="N4" i="133"/>
  <c r="M4" i="133"/>
  <c r="L4" i="133"/>
  <c r="K4" i="133"/>
  <c r="J4" i="133"/>
  <c r="I4" i="133"/>
  <c r="H4" i="133"/>
  <c r="G4" i="133"/>
  <c r="F4" i="133"/>
  <c r="E4" i="133"/>
  <c r="D4" i="133"/>
  <c r="V4" i="136" l="1"/>
  <c r="V4" i="134"/>
  <c r="V4" i="135"/>
  <c r="V4" i="133"/>
  <c r="BG131" i="113"/>
  <c r="BG130" i="113"/>
  <c r="BG129" i="113"/>
  <c r="BG128" i="113"/>
  <c r="BG127" i="113"/>
  <c r="BG125" i="113"/>
  <c r="BG124" i="113"/>
  <c r="BG123" i="113"/>
  <c r="BG122" i="113"/>
  <c r="BG121" i="113"/>
  <c r="BG120" i="113"/>
  <c r="BG119" i="113"/>
  <c r="BG118" i="113"/>
  <c r="BG117" i="113"/>
  <c r="BG116" i="113"/>
  <c r="BG115" i="113"/>
  <c r="BG114" i="113"/>
  <c r="BG113" i="113"/>
  <c r="BG112" i="113"/>
  <c r="BG111" i="113"/>
  <c r="BG110" i="113"/>
  <c r="BG109" i="113"/>
  <c r="BG108" i="113"/>
  <c r="BG107" i="113"/>
  <c r="BG106" i="113"/>
  <c r="BG105" i="113"/>
  <c r="BG104" i="113"/>
  <c r="BG103" i="113"/>
  <c r="BG102" i="113"/>
  <c r="BG101" i="113"/>
  <c r="BG100" i="113"/>
  <c r="BG99" i="113"/>
  <c r="BG98" i="113"/>
  <c r="BG97" i="113"/>
  <c r="BG96" i="113"/>
  <c r="BG95" i="113"/>
  <c r="BG94" i="113"/>
  <c r="BG93" i="113"/>
  <c r="BG92" i="113"/>
  <c r="BG91" i="113"/>
  <c r="BG90" i="113"/>
  <c r="BG89" i="113"/>
  <c r="BG88" i="113"/>
  <c r="BG87" i="113"/>
  <c r="BG86" i="113"/>
  <c r="BG85" i="113"/>
  <c r="BG84" i="113"/>
  <c r="BG83" i="113"/>
  <c r="BG82" i="113"/>
  <c r="BG81" i="113"/>
  <c r="BG80" i="113"/>
  <c r="BG79" i="113"/>
  <c r="BG78" i="113"/>
  <c r="BG77" i="113"/>
  <c r="BG76" i="113"/>
  <c r="BG75" i="113"/>
  <c r="BG74" i="113"/>
  <c r="BG73" i="113"/>
  <c r="BG72" i="113"/>
  <c r="BG71" i="113"/>
  <c r="BG70" i="113"/>
  <c r="BG69" i="113"/>
  <c r="BG68" i="113"/>
  <c r="BG67" i="113"/>
  <c r="BG66" i="113"/>
  <c r="BG65" i="113"/>
  <c r="BG64" i="113"/>
  <c r="BG63" i="113"/>
  <c r="BG62" i="113"/>
  <c r="BG61" i="113"/>
  <c r="BG60" i="113"/>
  <c r="BG59" i="113"/>
  <c r="BG58" i="113"/>
  <c r="BG57" i="113"/>
  <c r="BG56" i="113"/>
  <c r="BG55" i="113"/>
  <c r="BG54" i="113"/>
  <c r="BG53" i="113"/>
  <c r="BG52" i="113"/>
  <c r="BG51" i="113"/>
  <c r="BG50" i="113"/>
  <c r="BG49" i="113"/>
  <c r="BG48" i="113"/>
  <c r="BG47" i="113"/>
  <c r="BG46" i="113"/>
  <c r="BG45" i="113"/>
  <c r="BG44" i="113"/>
  <c r="BG43" i="113"/>
  <c r="BG42" i="113"/>
  <c r="BG41" i="113"/>
  <c r="BG40" i="113"/>
  <c r="BG39" i="113"/>
  <c r="BG38" i="113"/>
  <c r="BG37" i="113"/>
  <c r="BG36" i="113"/>
  <c r="BG35" i="113"/>
  <c r="BG34" i="113"/>
  <c r="BG33" i="113"/>
  <c r="BG32" i="113"/>
  <c r="BG31" i="113"/>
  <c r="BG30" i="113"/>
  <c r="BG29" i="113"/>
  <c r="BG28" i="113"/>
  <c r="BG27" i="113"/>
  <c r="BG26" i="113"/>
  <c r="BG25" i="113"/>
  <c r="BG24" i="113"/>
  <c r="BG23" i="113"/>
  <c r="BG22" i="113"/>
  <c r="BG21" i="113"/>
  <c r="BG20" i="113"/>
  <c r="BG19" i="113"/>
  <c r="BG18" i="113"/>
  <c r="BG17" i="113"/>
  <c r="BG16" i="113"/>
  <c r="BG15" i="113"/>
  <c r="BG14" i="113"/>
  <c r="BG13" i="113"/>
  <c r="BG12" i="113"/>
  <c r="BG11" i="113"/>
  <c r="BG10" i="113"/>
  <c r="BG9" i="113"/>
  <c r="BG8" i="113"/>
  <c r="BG7" i="113"/>
  <c r="BG6" i="113"/>
  <c r="BG5" i="113"/>
  <c r="I20" i="108" s="1"/>
  <c r="T130" i="24" l="1"/>
  <c r="T129" i="24"/>
  <c r="T128" i="24"/>
  <c r="T127" i="24"/>
  <c r="T126" i="24"/>
  <c r="T124" i="24"/>
  <c r="T123" i="24"/>
  <c r="T122" i="24"/>
  <c r="T121" i="24"/>
  <c r="T120" i="24"/>
  <c r="T119" i="24"/>
  <c r="T118" i="24"/>
  <c r="T117" i="24"/>
  <c r="T116" i="24"/>
  <c r="T115" i="24"/>
  <c r="T114" i="24"/>
  <c r="T113" i="24"/>
  <c r="T112" i="24"/>
  <c r="T111" i="24"/>
  <c r="T110" i="24"/>
  <c r="T109" i="24"/>
  <c r="T108" i="24"/>
  <c r="T107" i="24"/>
  <c r="T106" i="24"/>
  <c r="T105" i="24"/>
  <c r="T104" i="24"/>
  <c r="T103" i="24"/>
  <c r="T102" i="24"/>
  <c r="T101" i="24"/>
  <c r="T100" i="24"/>
  <c r="T99" i="24"/>
  <c r="T98" i="24"/>
  <c r="T97" i="24"/>
  <c r="T96" i="24"/>
  <c r="T95" i="24"/>
  <c r="T94" i="24"/>
  <c r="T93" i="24"/>
  <c r="T92" i="24"/>
  <c r="T91" i="24"/>
  <c r="T90" i="24"/>
  <c r="T89" i="24"/>
  <c r="T88" i="24"/>
  <c r="T87" i="24"/>
  <c r="T86" i="24"/>
  <c r="T85" i="24"/>
  <c r="T84" i="24"/>
  <c r="T83" i="24"/>
  <c r="T82" i="24"/>
  <c r="T81" i="24"/>
  <c r="T80" i="24"/>
  <c r="T79" i="24"/>
  <c r="T78" i="24"/>
  <c r="T77" i="24"/>
  <c r="T76" i="24"/>
  <c r="T75" i="24"/>
  <c r="T74" i="24"/>
  <c r="T73" i="24"/>
  <c r="T72" i="24"/>
  <c r="T71" i="24"/>
  <c r="T70" i="24"/>
  <c r="T69" i="24"/>
  <c r="T68" i="24"/>
  <c r="T67" i="24"/>
  <c r="T66" i="24"/>
  <c r="T65" i="24"/>
  <c r="T64" i="24"/>
  <c r="T63" i="24"/>
  <c r="T62" i="24"/>
  <c r="T61" i="24"/>
  <c r="T60" i="24"/>
  <c r="T59" i="24"/>
  <c r="T58" i="24"/>
  <c r="T57" i="24"/>
  <c r="T56" i="24"/>
  <c r="T55" i="24"/>
  <c r="T54" i="24"/>
  <c r="T53" i="24"/>
  <c r="T52" i="24"/>
  <c r="T51" i="24"/>
  <c r="T50" i="24"/>
  <c r="T49" i="24"/>
  <c r="T48" i="24"/>
  <c r="T47" i="24"/>
  <c r="T46" i="24"/>
  <c r="T45" i="24"/>
  <c r="T44" i="24"/>
  <c r="T43" i="24"/>
  <c r="T42" i="24"/>
  <c r="T41" i="24"/>
  <c r="T40" i="24"/>
  <c r="T39" i="24"/>
  <c r="T38" i="24"/>
  <c r="T37" i="24"/>
  <c r="T36" i="24"/>
  <c r="T35" i="24"/>
  <c r="T34" i="24"/>
  <c r="T33" i="24"/>
  <c r="T32" i="24"/>
  <c r="T31" i="24"/>
  <c r="T30" i="24"/>
  <c r="T29" i="24"/>
  <c r="T28" i="24"/>
  <c r="T27" i="24"/>
  <c r="T26" i="24"/>
  <c r="T25" i="24"/>
  <c r="T24" i="24"/>
  <c r="T23" i="24"/>
  <c r="T22" i="24"/>
  <c r="T21" i="24"/>
  <c r="T20" i="24"/>
  <c r="T19" i="24"/>
  <c r="T18" i="24"/>
  <c r="T17" i="24"/>
  <c r="T16" i="24"/>
  <c r="T15" i="24"/>
  <c r="T14" i="24"/>
  <c r="T13" i="24"/>
  <c r="T12" i="24"/>
  <c r="T11" i="24"/>
  <c r="T10" i="24"/>
  <c r="T9" i="24"/>
  <c r="T8" i="24"/>
  <c r="T7" i="24"/>
  <c r="T6" i="24"/>
  <c r="T5" i="24"/>
  <c r="BC4" i="24" l="1"/>
  <c r="BB4" i="24"/>
  <c r="T4" i="24" l="1"/>
  <c r="F53" i="1" s="1"/>
  <c r="F5" i="132"/>
  <c r="F7" i="132" l="1"/>
  <c r="F8" i="132"/>
  <c r="F9" i="132"/>
  <c r="F10" i="132"/>
  <c r="F11" i="132"/>
  <c r="F12" i="132"/>
  <c r="F13" i="132"/>
  <c r="F14" i="132"/>
  <c r="F15" i="132"/>
  <c r="F16" i="132"/>
  <c r="F17" i="132"/>
  <c r="F18" i="132"/>
  <c r="F19" i="132"/>
  <c r="F20" i="132"/>
  <c r="F21" i="132"/>
  <c r="F22" i="132"/>
  <c r="F23" i="132"/>
  <c r="F24" i="132"/>
  <c r="F25" i="132"/>
  <c r="F26" i="132"/>
  <c r="F27" i="132"/>
  <c r="F28" i="132"/>
  <c r="F29" i="132"/>
  <c r="F30" i="132"/>
  <c r="F31" i="132"/>
  <c r="F32" i="132"/>
  <c r="F33" i="132"/>
  <c r="F34" i="132"/>
  <c r="F35" i="132"/>
  <c r="F36" i="132"/>
  <c r="F37" i="132"/>
  <c r="F38" i="132"/>
  <c r="F39" i="132"/>
  <c r="F40" i="132"/>
  <c r="F41" i="132"/>
  <c r="F42" i="132"/>
  <c r="F43" i="132"/>
  <c r="F44" i="132"/>
  <c r="F45" i="132"/>
  <c r="F46" i="132"/>
  <c r="F47" i="132"/>
  <c r="F48" i="132"/>
  <c r="F49" i="132"/>
  <c r="F50" i="132"/>
  <c r="F51" i="132"/>
  <c r="F52" i="132"/>
  <c r="F53" i="132"/>
  <c r="F54" i="132"/>
  <c r="F55" i="132"/>
  <c r="F56" i="132"/>
  <c r="F57" i="132"/>
  <c r="F58" i="132"/>
  <c r="F59" i="132"/>
  <c r="F60" i="132"/>
  <c r="F61" i="132"/>
  <c r="F62" i="132"/>
  <c r="F63" i="132"/>
  <c r="F64" i="132"/>
  <c r="F65" i="132"/>
  <c r="F66" i="132"/>
  <c r="F67" i="132"/>
  <c r="F68" i="132"/>
  <c r="F69" i="132"/>
  <c r="F70" i="132"/>
  <c r="F71" i="132"/>
  <c r="F72" i="132"/>
  <c r="F73" i="132"/>
  <c r="F74" i="132"/>
  <c r="F75" i="132"/>
  <c r="F76" i="132"/>
  <c r="F77" i="132"/>
  <c r="F78" i="132"/>
  <c r="F79" i="132"/>
  <c r="F80" i="132"/>
  <c r="F81" i="132"/>
  <c r="F82" i="132"/>
  <c r="F83" i="132"/>
  <c r="F84" i="132"/>
  <c r="F85" i="132"/>
  <c r="F86" i="132"/>
  <c r="F87" i="132"/>
  <c r="F88" i="132"/>
  <c r="F89" i="132"/>
  <c r="F90" i="132"/>
  <c r="F91" i="132"/>
  <c r="F92" i="132"/>
  <c r="F93" i="132"/>
  <c r="F94" i="132"/>
  <c r="F95" i="132"/>
  <c r="F96" i="132"/>
  <c r="F97" i="132"/>
  <c r="F98" i="132"/>
  <c r="F99" i="132"/>
  <c r="F100" i="132"/>
  <c r="F101" i="132"/>
  <c r="F102" i="132"/>
  <c r="F103" i="132"/>
  <c r="F104" i="132"/>
  <c r="F105" i="132"/>
  <c r="F106" i="132"/>
  <c r="F107" i="132"/>
  <c r="F108" i="132"/>
  <c r="F109" i="132"/>
  <c r="F110" i="132"/>
  <c r="F111" i="132"/>
  <c r="F112" i="132"/>
  <c r="F113" i="132"/>
  <c r="F114" i="132"/>
  <c r="F115" i="132"/>
  <c r="F116" i="132"/>
  <c r="F117" i="132"/>
  <c r="F118" i="132"/>
  <c r="F119" i="132"/>
  <c r="F120" i="132"/>
  <c r="F121" i="132"/>
  <c r="F122" i="132"/>
  <c r="F123" i="132"/>
  <c r="F124" i="132"/>
  <c r="F125" i="132"/>
  <c r="F6" i="132"/>
  <c r="V99" i="131" l="1"/>
  <c r="V98" i="131"/>
  <c r="V97" i="131"/>
  <c r="V124" i="131"/>
  <c r="V123" i="131"/>
  <c r="V96" i="131"/>
  <c r="V95" i="131"/>
  <c r="V94" i="131"/>
  <c r="V122" i="131"/>
  <c r="V93" i="131"/>
  <c r="V92" i="131"/>
  <c r="V91" i="131"/>
  <c r="V121" i="131"/>
  <c r="V90" i="131"/>
  <c r="V89" i="131"/>
  <c r="V88" i="131"/>
  <c r="V87" i="131"/>
  <c r="V86" i="131"/>
  <c r="V85" i="131"/>
  <c r="V84" i="131"/>
  <c r="V83" i="131"/>
  <c r="V82" i="131"/>
  <c r="V81" i="131"/>
  <c r="V120" i="131"/>
  <c r="V80" i="131"/>
  <c r="V119" i="131"/>
  <c r="V79" i="131"/>
  <c r="V118" i="131"/>
  <c r="V78" i="131"/>
  <c r="V77" i="131"/>
  <c r="V76" i="131"/>
  <c r="V75" i="131"/>
  <c r="V74" i="131"/>
  <c r="V117" i="131"/>
  <c r="V73" i="131"/>
  <c r="V116" i="131"/>
  <c r="V72" i="131"/>
  <c r="V71" i="131"/>
  <c r="V70" i="131"/>
  <c r="V69" i="131"/>
  <c r="V115" i="131"/>
  <c r="V68" i="131"/>
  <c r="V67" i="131"/>
  <c r="V114" i="131"/>
  <c r="V113" i="131"/>
  <c r="V66" i="131"/>
  <c r="V65" i="131"/>
  <c r="V64" i="131"/>
  <c r="V63" i="131"/>
  <c r="V62" i="131"/>
  <c r="V61" i="131"/>
  <c r="V112" i="131"/>
  <c r="V111" i="131"/>
  <c r="V60" i="131"/>
  <c r="V110" i="131"/>
  <c r="V59" i="131"/>
  <c r="V58" i="131"/>
  <c r="V57" i="131"/>
  <c r="V56" i="131"/>
  <c r="V55" i="131"/>
  <c r="V54" i="131"/>
  <c r="V53" i="131"/>
  <c r="V52" i="131"/>
  <c r="V51" i="131"/>
  <c r="V50" i="131"/>
  <c r="V109" i="131"/>
  <c r="V49" i="131"/>
  <c r="V48" i="131"/>
  <c r="V47" i="131"/>
  <c r="V46" i="131"/>
  <c r="V108" i="131"/>
  <c r="V45" i="131"/>
  <c r="V44" i="131"/>
  <c r="V43" i="131"/>
  <c r="V42" i="131"/>
  <c r="V41" i="131"/>
  <c r="V40" i="131"/>
  <c r="V39" i="131"/>
  <c r="V107" i="131"/>
  <c r="V106" i="131"/>
  <c r="V38" i="131"/>
  <c r="V37" i="131"/>
  <c r="V105" i="131"/>
  <c r="V36" i="131"/>
  <c r="V35" i="131"/>
  <c r="V34" i="131"/>
  <c r="V33" i="131"/>
  <c r="V32" i="131"/>
  <c r="V31" i="131"/>
  <c r="V30" i="131"/>
  <c r="V104" i="131"/>
  <c r="V29" i="131"/>
  <c r="V28" i="131"/>
  <c r="V27" i="131"/>
  <c r="V26" i="131"/>
  <c r="V25" i="131"/>
  <c r="V103" i="131"/>
  <c r="V102" i="131"/>
  <c r="V24" i="131"/>
  <c r="V23" i="131"/>
  <c r="V22" i="131"/>
  <c r="V21" i="131"/>
  <c r="V20" i="131"/>
  <c r="V19" i="131"/>
  <c r="V18" i="131"/>
  <c r="V17" i="131"/>
  <c r="V101" i="131"/>
  <c r="V16" i="131"/>
  <c r="V15" i="131"/>
  <c r="V14" i="131"/>
  <c r="V13" i="131"/>
  <c r="V12" i="131"/>
  <c r="V11" i="131"/>
  <c r="V10" i="131"/>
  <c r="V9" i="131"/>
  <c r="V8" i="131"/>
  <c r="V7" i="131"/>
  <c r="V100" i="131"/>
  <c r="V6" i="131"/>
  <c r="V5" i="131"/>
  <c r="O4" i="131"/>
  <c r="N4" i="131"/>
  <c r="M4" i="131"/>
  <c r="L4" i="131"/>
  <c r="K4" i="131"/>
  <c r="J4" i="131"/>
  <c r="I4" i="131"/>
  <c r="H4" i="131"/>
  <c r="G4" i="131"/>
  <c r="F4" i="131"/>
  <c r="E4" i="131"/>
  <c r="D4" i="131"/>
  <c r="V99" i="130"/>
  <c r="V98" i="130"/>
  <c r="V97" i="130"/>
  <c r="V124" i="130"/>
  <c r="V123" i="130"/>
  <c r="V96" i="130"/>
  <c r="V95" i="130"/>
  <c r="V94" i="130"/>
  <c r="V122" i="130"/>
  <c r="V93" i="130"/>
  <c r="V92" i="130"/>
  <c r="V91" i="130"/>
  <c r="V121" i="130"/>
  <c r="V90" i="130"/>
  <c r="V89" i="130"/>
  <c r="V88" i="130"/>
  <c r="V87" i="130"/>
  <c r="V86" i="130"/>
  <c r="V85" i="130"/>
  <c r="V84" i="130"/>
  <c r="V83" i="130"/>
  <c r="V82" i="130"/>
  <c r="V81" i="130"/>
  <c r="V120" i="130"/>
  <c r="V80" i="130"/>
  <c r="V119" i="130"/>
  <c r="V79" i="130"/>
  <c r="V118" i="130"/>
  <c r="V78" i="130"/>
  <c r="V77" i="130"/>
  <c r="V76" i="130"/>
  <c r="V75" i="130"/>
  <c r="V74" i="130"/>
  <c r="V117" i="130"/>
  <c r="V73" i="130"/>
  <c r="V116" i="130"/>
  <c r="V72" i="130"/>
  <c r="V71" i="130"/>
  <c r="V70" i="130"/>
  <c r="V69" i="130"/>
  <c r="V115" i="130"/>
  <c r="V68" i="130"/>
  <c r="V67" i="130"/>
  <c r="V114" i="130"/>
  <c r="V113" i="130"/>
  <c r="V66" i="130"/>
  <c r="V65" i="130"/>
  <c r="V64" i="130"/>
  <c r="V63" i="130"/>
  <c r="V62" i="130"/>
  <c r="V61" i="130"/>
  <c r="V112" i="130"/>
  <c r="V111" i="130"/>
  <c r="V60" i="130"/>
  <c r="V110" i="130"/>
  <c r="V59" i="130"/>
  <c r="V58" i="130"/>
  <c r="V57" i="130"/>
  <c r="V56" i="130"/>
  <c r="V55" i="130"/>
  <c r="V54" i="130"/>
  <c r="V53" i="130"/>
  <c r="V52" i="130"/>
  <c r="V51" i="130"/>
  <c r="V50" i="130"/>
  <c r="V109" i="130"/>
  <c r="V49" i="130"/>
  <c r="V48" i="130"/>
  <c r="V47" i="130"/>
  <c r="V46" i="130"/>
  <c r="V108" i="130"/>
  <c r="V45" i="130"/>
  <c r="V44" i="130"/>
  <c r="V43" i="130"/>
  <c r="V42" i="130"/>
  <c r="V41" i="130"/>
  <c r="V40" i="130"/>
  <c r="V39" i="130"/>
  <c r="V107" i="130"/>
  <c r="V106" i="130"/>
  <c r="V38" i="130"/>
  <c r="V37" i="130"/>
  <c r="V105" i="130"/>
  <c r="V36" i="130"/>
  <c r="V35" i="130"/>
  <c r="V34" i="130"/>
  <c r="V33" i="130"/>
  <c r="V32" i="130"/>
  <c r="V31" i="130"/>
  <c r="V30" i="130"/>
  <c r="V104" i="130"/>
  <c r="V29" i="130"/>
  <c r="V28" i="130"/>
  <c r="V27" i="130"/>
  <c r="V26" i="130"/>
  <c r="V25" i="130"/>
  <c r="V103" i="130"/>
  <c r="V102" i="130"/>
  <c r="V24" i="130"/>
  <c r="V23" i="130"/>
  <c r="V22" i="130"/>
  <c r="V21" i="130"/>
  <c r="V20" i="130"/>
  <c r="V19" i="130"/>
  <c r="V18" i="130"/>
  <c r="V17" i="130"/>
  <c r="V101" i="130"/>
  <c r="V16" i="130"/>
  <c r="V15" i="130"/>
  <c r="V14" i="130"/>
  <c r="V13" i="130"/>
  <c r="V12" i="130"/>
  <c r="V11" i="130"/>
  <c r="V10" i="130"/>
  <c r="V9" i="130"/>
  <c r="V8" i="130"/>
  <c r="V7" i="130"/>
  <c r="V100" i="130"/>
  <c r="V6" i="130"/>
  <c r="V5" i="130"/>
  <c r="O4" i="130"/>
  <c r="N4" i="130"/>
  <c r="M4" i="130"/>
  <c r="L4" i="130"/>
  <c r="K4" i="130"/>
  <c r="J4" i="130"/>
  <c r="I4" i="130"/>
  <c r="H4" i="130"/>
  <c r="G4" i="130"/>
  <c r="F4" i="130"/>
  <c r="E4" i="130"/>
  <c r="D4" i="130"/>
  <c r="V124" i="128"/>
  <c r="V123" i="128"/>
  <c r="V122" i="128"/>
  <c r="V121" i="128"/>
  <c r="V120" i="128"/>
  <c r="V119" i="128"/>
  <c r="V118" i="128"/>
  <c r="V117" i="128"/>
  <c r="V116" i="128"/>
  <c r="V115" i="128"/>
  <c r="V114" i="128"/>
  <c r="V113" i="128"/>
  <c r="V112" i="128"/>
  <c r="V111" i="128"/>
  <c r="V110" i="128"/>
  <c r="V109" i="128"/>
  <c r="V108" i="128"/>
  <c r="V107" i="128"/>
  <c r="V106" i="128"/>
  <c r="V105" i="128"/>
  <c r="V104" i="128"/>
  <c r="V103" i="128"/>
  <c r="V102" i="128"/>
  <c r="V101" i="128"/>
  <c r="V100" i="128"/>
  <c r="V99" i="128"/>
  <c r="V98" i="128"/>
  <c r="V97" i="128"/>
  <c r="V96" i="128"/>
  <c r="V95" i="128"/>
  <c r="V94" i="128"/>
  <c r="V93" i="128"/>
  <c r="V92" i="128"/>
  <c r="V91" i="128"/>
  <c r="V90" i="128"/>
  <c r="V89" i="128"/>
  <c r="V88" i="128"/>
  <c r="V87" i="128"/>
  <c r="V86" i="128"/>
  <c r="V85" i="128"/>
  <c r="V84" i="128"/>
  <c r="V83" i="128"/>
  <c r="V82" i="128"/>
  <c r="V81" i="128"/>
  <c r="V80" i="128"/>
  <c r="V79" i="128"/>
  <c r="V78" i="128"/>
  <c r="V77" i="128"/>
  <c r="V76" i="128"/>
  <c r="V75" i="128"/>
  <c r="V74" i="128"/>
  <c r="V73" i="128"/>
  <c r="V72" i="128"/>
  <c r="V71" i="128"/>
  <c r="V70" i="128"/>
  <c r="V69" i="128"/>
  <c r="V68" i="128"/>
  <c r="V67" i="128"/>
  <c r="V66" i="128"/>
  <c r="V65" i="128"/>
  <c r="V64" i="128"/>
  <c r="V63" i="128"/>
  <c r="V62" i="128"/>
  <c r="V61" i="128"/>
  <c r="V60" i="128"/>
  <c r="V59" i="128"/>
  <c r="V58" i="128"/>
  <c r="V57" i="128"/>
  <c r="V56" i="128"/>
  <c r="V55" i="128"/>
  <c r="V54" i="128"/>
  <c r="V53" i="128"/>
  <c r="V52" i="128"/>
  <c r="V51" i="128"/>
  <c r="V50" i="128"/>
  <c r="V49" i="128"/>
  <c r="V48" i="128"/>
  <c r="V47" i="128"/>
  <c r="V46" i="128"/>
  <c r="V45" i="128"/>
  <c r="V44" i="128"/>
  <c r="V43" i="128"/>
  <c r="V42" i="128"/>
  <c r="V41" i="128"/>
  <c r="V40" i="128"/>
  <c r="V39" i="128"/>
  <c r="V38" i="128"/>
  <c r="V37" i="128"/>
  <c r="V36" i="128"/>
  <c r="V35" i="128"/>
  <c r="V34" i="128"/>
  <c r="V33" i="128"/>
  <c r="V32" i="128"/>
  <c r="V31" i="128"/>
  <c r="V30" i="128"/>
  <c r="V29" i="128"/>
  <c r="V28" i="128"/>
  <c r="V27" i="128"/>
  <c r="V26" i="128"/>
  <c r="V25" i="128"/>
  <c r="V24" i="128"/>
  <c r="V23" i="128"/>
  <c r="V22" i="128"/>
  <c r="V21" i="128"/>
  <c r="V20" i="128"/>
  <c r="V19" i="128"/>
  <c r="V18" i="128"/>
  <c r="V17" i="128"/>
  <c r="V16" i="128"/>
  <c r="V15" i="128"/>
  <c r="V14" i="128"/>
  <c r="V13" i="128"/>
  <c r="V12" i="128"/>
  <c r="V11" i="128"/>
  <c r="V10" i="128"/>
  <c r="V9" i="128"/>
  <c r="V8" i="128"/>
  <c r="V7" i="128"/>
  <c r="V6" i="128"/>
  <c r="V5" i="128"/>
  <c r="O4" i="128"/>
  <c r="N4" i="128"/>
  <c r="M4" i="128"/>
  <c r="L4" i="128"/>
  <c r="K4" i="128"/>
  <c r="J4" i="128"/>
  <c r="I4" i="128"/>
  <c r="H4" i="128"/>
  <c r="G4" i="128"/>
  <c r="F4" i="128"/>
  <c r="E4" i="128"/>
  <c r="D4" i="128"/>
  <c r="V6" i="129"/>
  <c r="V100" i="129"/>
  <c r="V7" i="129"/>
  <c r="V8" i="129"/>
  <c r="V9" i="129"/>
  <c r="V10" i="129"/>
  <c r="V11" i="129"/>
  <c r="V12" i="129"/>
  <c r="V13" i="129"/>
  <c r="V14" i="129"/>
  <c r="V15" i="129"/>
  <c r="V16" i="129"/>
  <c r="V101" i="129"/>
  <c r="V17" i="129"/>
  <c r="V18" i="129"/>
  <c r="V19" i="129"/>
  <c r="V20" i="129"/>
  <c r="V21" i="129"/>
  <c r="V22" i="129"/>
  <c r="V23" i="129"/>
  <c r="V24" i="129"/>
  <c r="V102" i="129"/>
  <c r="V103" i="129"/>
  <c r="V25" i="129"/>
  <c r="V26" i="129"/>
  <c r="V27" i="129"/>
  <c r="V28" i="129"/>
  <c r="V29" i="129"/>
  <c r="V104" i="129"/>
  <c r="V30" i="129"/>
  <c r="V31" i="129"/>
  <c r="V32" i="129"/>
  <c r="V33" i="129"/>
  <c r="V34" i="129"/>
  <c r="V35" i="129"/>
  <c r="V36" i="129"/>
  <c r="V105" i="129"/>
  <c r="V37" i="129"/>
  <c r="V38" i="129"/>
  <c r="V106" i="129"/>
  <c r="V107" i="129"/>
  <c r="V39" i="129"/>
  <c r="V40" i="129"/>
  <c r="V41" i="129"/>
  <c r="V42" i="129"/>
  <c r="V43" i="129"/>
  <c r="V44" i="129"/>
  <c r="V45" i="129"/>
  <c r="V108" i="129"/>
  <c r="V46" i="129"/>
  <c r="V47" i="129"/>
  <c r="V48" i="129"/>
  <c r="V49" i="129"/>
  <c r="V109" i="129"/>
  <c r="V50" i="129"/>
  <c r="V51" i="129"/>
  <c r="V52" i="129"/>
  <c r="V53" i="129"/>
  <c r="V54" i="129"/>
  <c r="V55" i="129"/>
  <c r="V56" i="129"/>
  <c r="V57" i="129"/>
  <c r="V58" i="129"/>
  <c r="V59" i="129"/>
  <c r="V110" i="129"/>
  <c r="V60" i="129"/>
  <c r="V111" i="129"/>
  <c r="V112" i="129"/>
  <c r="V61" i="129"/>
  <c r="V62" i="129"/>
  <c r="V63" i="129"/>
  <c r="V64" i="129"/>
  <c r="V65" i="129"/>
  <c r="V66" i="129"/>
  <c r="V113" i="129"/>
  <c r="V114" i="129"/>
  <c r="V67" i="129"/>
  <c r="V68" i="129"/>
  <c r="V115" i="129"/>
  <c r="V69" i="129"/>
  <c r="V70" i="129"/>
  <c r="V71" i="129"/>
  <c r="V72" i="129"/>
  <c r="V116" i="129"/>
  <c r="V73" i="129"/>
  <c r="V117" i="129"/>
  <c r="V74" i="129"/>
  <c r="V75" i="129"/>
  <c r="V76" i="129"/>
  <c r="V77" i="129"/>
  <c r="V78" i="129"/>
  <c r="V118" i="129"/>
  <c r="V79" i="129"/>
  <c r="V119" i="129"/>
  <c r="V80" i="129"/>
  <c r="V120" i="129"/>
  <c r="V81" i="129"/>
  <c r="V82" i="129"/>
  <c r="V83" i="129"/>
  <c r="V84" i="129"/>
  <c r="V85" i="129"/>
  <c r="V86" i="129"/>
  <c r="V87" i="129"/>
  <c r="V88" i="129"/>
  <c r="V89" i="129"/>
  <c r="V90" i="129"/>
  <c r="V121" i="129"/>
  <c r="V91" i="129"/>
  <c r="V92" i="129"/>
  <c r="V93" i="129"/>
  <c r="V122" i="129"/>
  <c r="V94" i="129"/>
  <c r="V95" i="129"/>
  <c r="V96" i="129"/>
  <c r="V123" i="129"/>
  <c r="V124" i="129"/>
  <c r="V97" i="129"/>
  <c r="V98" i="129"/>
  <c r="V99" i="129"/>
  <c r="V5" i="129"/>
  <c r="O4" i="129"/>
  <c r="N4" i="129"/>
  <c r="M4" i="129"/>
  <c r="L4" i="129"/>
  <c r="K4" i="129"/>
  <c r="J4" i="129"/>
  <c r="I4" i="129"/>
  <c r="H4" i="129"/>
  <c r="G4" i="129"/>
  <c r="F4" i="129"/>
  <c r="E4" i="129"/>
  <c r="D4" i="129"/>
  <c r="V4" i="131" l="1"/>
  <c r="V4" i="128"/>
  <c r="V4" i="129"/>
  <c r="V4" i="130"/>
  <c r="BG131" i="109"/>
  <c r="BG130" i="109"/>
  <c r="BG129" i="109"/>
  <c r="BG128" i="109"/>
  <c r="BG127" i="109"/>
  <c r="BG125" i="109"/>
  <c r="BG124" i="109"/>
  <c r="BG123" i="109"/>
  <c r="BG122" i="109"/>
  <c r="BG121" i="109"/>
  <c r="BG120" i="109"/>
  <c r="BG119" i="109"/>
  <c r="BG118" i="109"/>
  <c r="BG117" i="109"/>
  <c r="BG116" i="109"/>
  <c r="BG115" i="109"/>
  <c r="BG114" i="109"/>
  <c r="BG113" i="109"/>
  <c r="BG112" i="109"/>
  <c r="BG111" i="109"/>
  <c r="BG110" i="109"/>
  <c r="BG109" i="109"/>
  <c r="BG108" i="109"/>
  <c r="BG107" i="109"/>
  <c r="BG106" i="109"/>
  <c r="BG105" i="109"/>
  <c r="BG104" i="109"/>
  <c r="BG103" i="109"/>
  <c r="BG102" i="109"/>
  <c r="BG101" i="109"/>
  <c r="BG100" i="109"/>
  <c r="BG99" i="109"/>
  <c r="BG98" i="109"/>
  <c r="BG97" i="109"/>
  <c r="BG96" i="109"/>
  <c r="BG95" i="109"/>
  <c r="BG94" i="109"/>
  <c r="BG93" i="109"/>
  <c r="BG92" i="109"/>
  <c r="BG91" i="109"/>
  <c r="BG90" i="109"/>
  <c r="BG89" i="109"/>
  <c r="BG88" i="109"/>
  <c r="BG87" i="109"/>
  <c r="BG86" i="109"/>
  <c r="BG85" i="109"/>
  <c r="BG84" i="109"/>
  <c r="BG83" i="109"/>
  <c r="BG82" i="109"/>
  <c r="BG81" i="109"/>
  <c r="BG80" i="109"/>
  <c r="BG79" i="109"/>
  <c r="BG78" i="109"/>
  <c r="BG77" i="109"/>
  <c r="BG76" i="109"/>
  <c r="BG75" i="109"/>
  <c r="BG74" i="109"/>
  <c r="BG73" i="109"/>
  <c r="BG72" i="109"/>
  <c r="BG71" i="109"/>
  <c r="BG70" i="109"/>
  <c r="BG69" i="109"/>
  <c r="BG68" i="109"/>
  <c r="BG67" i="109"/>
  <c r="BG66" i="109"/>
  <c r="BG65" i="109"/>
  <c r="BG64" i="109"/>
  <c r="BG63" i="109"/>
  <c r="BG62" i="109"/>
  <c r="BG61" i="109"/>
  <c r="BG60" i="109"/>
  <c r="BG59" i="109"/>
  <c r="BG58" i="109"/>
  <c r="BG57" i="109"/>
  <c r="BG56" i="109"/>
  <c r="BG55" i="109"/>
  <c r="BG54" i="109"/>
  <c r="BG53" i="109"/>
  <c r="BG52" i="109"/>
  <c r="BG51" i="109"/>
  <c r="BG50" i="109"/>
  <c r="BG49" i="109"/>
  <c r="BG48" i="109"/>
  <c r="BG47" i="109"/>
  <c r="BG46" i="109"/>
  <c r="BG45" i="109"/>
  <c r="BG44" i="109"/>
  <c r="BG43" i="109"/>
  <c r="BG42" i="109"/>
  <c r="BG41" i="109"/>
  <c r="BG40" i="109"/>
  <c r="BG39" i="109"/>
  <c r="BG38" i="109"/>
  <c r="BG37" i="109"/>
  <c r="BG36" i="109"/>
  <c r="BG35" i="109"/>
  <c r="BG34" i="109"/>
  <c r="BG33" i="109"/>
  <c r="BG32" i="109"/>
  <c r="BG31" i="109"/>
  <c r="BG30" i="109"/>
  <c r="BG29" i="109"/>
  <c r="BG28" i="109"/>
  <c r="BG27" i="109"/>
  <c r="BG26" i="109"/>
  <c r="BG25" i="109"/>
  <c r="BG24" i="109"/>
  <c r="BG23" i="109"/>
  <c r="BG22" i="109"/>
  <c r="BG21" i="109"/>
  <c r="BG20" i="109"/>
  <c r="BG19" i="109"/>
  <c r="BG18" i="109"/>
  <c r="BG17" i="109"/>
  <c r="BG16" i="109"/>
  <c r="BG15" i="109"/>
  <c r="BG14" i="109"/>
  <c r="BG13" i="109"/>
  <c r="BG12" i="109"/>
  <c r="BG11" i="109"/>
  <c r="BG10" i="109"/>
  <c r="BG9" i="109"/>
  <c r="BG8" i="109"/>
  <c r="BG7" i="109"/>
  <c r="BG6" i="109"/>
  <c r="BG5" i="109"/>
  <c r="D20" i="108" s="1"/>
  <c r="Y6" i="122" l="1"/>
  <c r="Z6" i="122"/>
  <c r="Y100" i="122"/>
  <c r="Z100" i="122"/>
  <c r="Y7" i="122"/>
  <c r="Z7" i="122"/>
  <c r="Y8" i="122"/>
  <c r="Z8" i="122"/>
  <c r="Y9" i="122"/>
  <c r="Z9" i="122"/>
  <c r="Y10" i="122"/>
  <c r="Z10" i="122"/>
  <c r="Y11" i="122"/>
  <c r="Z11" i="122"/>
  <c r="Y12" i="122"/>
  <c r="Z12" i="122"/>
  <c r="Y13" i="122"/>
  <c r="Z13" i="122"/>
  <c r="Y14" i="122"/>
  <c r="Z14" i="122"/>
  <c r="Y15" i="122"/>
  <c r="Z15" i="122"/>
  <c r="Y16" i="122"/>
  <c r="Z16" i="122"/>
  <c r="Y101" i="122"/>
  <c r="Z101" i="122"/>
  <c r="Y17" i="122"/>
  <c r="Z17" i="122"/>
  <c r="Y18" i="122"/>
  <c r="Z18" i="122"/>
  <c r="Y19" i="122"/>
  <c r="Z19" i="122"/>
  <c r="Y20" i="122"/>
  <c r="Z20" i="122"/>
  <c r="Y21" i="122"/>
  <c r="Z21" i="122"/>
  <c r="Y22" i="122"/>
  <c r="Z22" i="122"/>
  <c r="Y23" i="122"/>
  <c r="Z23" i="122"/>
  <c r="Y24" i="122"/>
  <c r="Z24" i="122"/>
  <c r="Y102" i="122"/>
  <c r="Z102" i="122"/>
  <c r="Y103" i="122"/>
  <c r="Z103" i="122"/>
  <c r="Y25" i="122"/>
  <c r="Z25" i="122"/>
  <c r="Y26" i="122"/>
  <c r="Z26" i="122"/>
  <c r="Y27" i="122"/>
  <c r="Z27" i="122"/>
  <c r="Y28" i="122"/>
  <c r="Z28" i="122"/>
  <c r="Y29" i="122"/>
  <c r="Z29" i="122"/>
  <c r="Y104" i="122"/>
  <c r="Z104" i="122"/>
  <c r="Y30" i="122"/>
  <c r="Z30" i="122"/>
  <c r="Y31" i="122"/>
  <c r="Z31" i="122"/>
  <c r="Y32" i="122"/>
  <c r="Z32" i="122"/>
  <c r="Y33" i="122"/>
  <c r="Z33" i="122"/>
  <c r="Y34" i="122"/>
  <c r="Z34" i="122"/>
  <c r="Y35" i="122"/>
  <c r="Z35" i="122"/>
  <c r="Y36" i="122"/>
  <c r="Z36" i="122"/>
  <c r="Y105" i="122"/>
  <c r="Z105" i="122"/>
  <c r="Y37" i="122"/>
  <c r="Z37" i="122"/>
  <c r="Y38" i="122"/>
  <c r="Z38" i="122"/>
  <c r="Y106" i="122"/>
  <c r="Z106" i="122"/>
  <c r="Y107" i="122"/>
  <c r="Z107" i="122"/>
  <c r="Y39" i="122"/>
  <c r="Z39" i="122"/>
  <c r="Y40" i="122"/>
  <c r="Z40" i="122"/>
  <c r="Y41" i="122"/>
  <c r="Z41" i="122"/>
  <c r="Y42" i="122"/>
  <c r="Z42" i="122"/>
  <c r="Y43" i="122"/>
  <c r="Z43" i="122"/>
  <c r="Y44" i="122"/>
  <c r="Z44" i="122"/>
  <c r="Y45" i="122"/>
  <c r="Z45" i="122"/>
  <c r="Y108" i="122"/>
  <c r="Z108" i="122"/>
  <c r="Y46" i="122"/>
  <c r="Z46" i="122"/>
  <c r="Y47" i="122"/>
  <c r="Z47" i="122"/>
  <c r="Y48" i="122"/>
  <c r="Z48" i="122"/>
  <c r="Y49" i="122"/>
  <c r="Z49" i="122"/>
  <c r="Y109" i="122"/>
  <c r="Z109" i="122"/>
  <c r="Y50" i="122"/>
  <c r="Z50" i="122"/>
  <c r="Y51" i="122"/>
  <c r="Z51" i="122"/>
  <c r="Y52" i="122"/>
  <c r="Z52" i="122"/>
  <c r="Y53" i="122"/>
  <c r="Z53" i="122"/>
  <c r="Y54" i="122"/>
  <c r="Z54" i="122"/>
  <c r="Y55" i="122"/>
  <c r="Z55" i="122"/>
  <c r="Y56" i="122"/>
  <c r="Z56" i="122"/>
  <c r="Y57" i="122"/>
  <c r="Z57" i="122"/>
  <c r="Y58" i="122"/>
  <c r="Z58" i="122"/>
  <c r="Y59" i="122"/>
  <c r="Z59" i="122"/>
  <c r="Y110" i="122"/>
  <c r="Z110" i="122"/>
  <c r="Y60" i="122"/>
  <c r="Z60" i="122"/>
  <c r="Y111" i="122"/>
  <c r="Z111" i="122"/>
  <c r="Y112" i="122"/>
  <c r="Z112" i="122"/>
  <c r="Y61" i="122"/>
  <c r="Z61" i="122"/>
  <c r="Y62" i="122"/>
  <c r="Z62" i="122"/>
  <c r="Y63" i="122"/>
  <c r="Z63" i="122"/>
  <c r="Y64" i="122"/>
  <c r="Z64" i="122"/>
  <c r="Y65" i="122"/>
  <c r="Z65" i="122"/>
  <c r="Y66" i="122"/>
  <c r="Z66" i="122"/>
  <c r="Y113" i="122"/>
  <c r="Z113" i="122"/>
  <c r="Y114" i="122"/>
  <c r="Z114" i="122"/>
  <c r="Y67" i="122"/>
  <c r="Z67" i="122"/>
  <c r="Y68" i="122"/>
  <c r="Z68" i="122"/>
  <c r="Y115" i="122"/>
  <c r="Z115" i="122"/>
  <c r="Y69" i="122"/>
  <c r="Z69" i="122"/>
  <c r="Y70" i="122"/>
  <c r="Z70" i="122"/>
  <c r="Y71" i="122"/>
  <c r="Z71" i="122"/>
  <c r="Y72" i="122"/>
  <c r="Z72" i="122"/>
  <c r="Y116" i="122"/>
  <c r="Z116" i="122"/>
  <c r="Y73" i="122"/>
  <c r="Z73" i="122"/>
  <c r="Y117" i="122"/>
  <c r="Z117" i="122"/>
  <c r="Y74" i="122"/>
  <c r="Z74" i="122"/>
  <c r="Y75" i="122"/>
  <c r="Z75" i="122"/>
  <c r="Y76" i="122"/>
  <c r="Z76" i="122"/>
  <c r="Y77" i="122"/>
  <c r="Z77" i="122"/>
  <c r="Y78" i="122"/>
  <c r="Z78" i="122"/>
  <c r="Y118" i="122"/>
  <c r="Z118" i="122"/>
  <c r="Y79" i="122"/>
  <c r="Z79" i="122"/>
  <c r="Y119" i="122"/>
  <c r="Z119" i="122"/>
  <c r="Y80" i="122"/>
  <c r="Z80" i="122"/>
  <c r="Y120" i="122"/>
  <c r="Z120" i="122"/>
  <c r="Y81" i="122"/>
  <c r="Z81" i="122"/>
  <c r="Y82" i="122"/>
  <c r="Z82" i="122"/>
  <c r="Y83" i="122"/>
  <c r="Z83" i="122"/>
  <c r="Y84" i="122"/>
  <c r="Z84" i="122"/>
  <c r="Y85" i="122"/>
  <c r="Z85" i="122"/>
  <c r="Y86" i="122"/>
  <c r="Z86" i="122"/>
  <c r="Y87" i="122"/>
  <c r="Z87" i="122"/>
  <c r="Y88" i="122"/>
  <c r="Z88" i="122"/>
  <c r="Y89" i="122"/>
  <c r="Z89" i="122"/>
  <c r="Y90" i="122"/>
  <c r="Z90" i="122"/>
  <c r="Y121" i="122"/>
  <c r="Z121" i="122"/>
  <c r="Y91" i="122"/>
  <c r="Z91" i="122"/>
  <c r="Y92" i="122"/>
  <c r="Z92" i="122"/>
  <c r="Y93" i="122"/>
  <c r="Z93" i="122"/>
  <c r="Y122" i="122"/>
  <c r="Z122" i="122"/>
  <c r="Y94" i="122"/>
  <c r="Z94" i="122"/>
  <c r="Y95" i="122"/>
  <c r="Z95" i="122"/>
  <c r="Y96" i="122"/>
  <c r="Z96" i="122"/>
  <c r="Y123" i="122"/>
  <c r="Z123" i="122"/>
  <c r="Y124" i="122"/>
  <c r="Z124" i="122"/>
  <c r="Y97" i="122"/>
  <c r="Z97" i="122"/>
  <c r="Y98" i="122"/>
  <c r="Z98" i="122"/>
  <c r="Y99" i="122"/>
  <c r="Z99" i="122"/>
  <c r="Z5" i="122"/>
  <c r="Y5" i="122"/>
  <c r="Y4" i="122" l="1"/>
  <c r="AF125" i="6"/>
  <c r="AE125" i="6"/>
  <c r="AF124" i="6"/>
  <c r="AE124" i="6"/>
  <c r="AF123" i="6"/>
  <c r="AE123" i="6"/>
  <c r="AF122" i="6"/>
  <c r="AE122" i="6"/>
  <c r="AF121" i="6"/>
  <c r="AE121" i="6"/>
  <c r="AF120" i="6"/>
  <c r="AE120" i="6"/>
  <c r="AF119" i="6"/>
  <c r="AE119" i="6"/>
  <c r="AF118" i="6"/>
  <c r="AE118" i="6"/>
  <c r="AF117" i="6"/>
  <c r="AE117" i="6"/>
  <c r="AF116" i="6"/>
  <c r="AE116" i="6"/>
  <c r="AF115" i="6"/>
  <c r="AE115" i="6"/>
  <c r="AF114" i="6"/>
  <c r="AE114" i="6"/>
  <c r="AF113" i="6"/>
  <c r="AE113" i="6"/>
  <c r="AF112" i="6"/>
  <c r="AE112" i="6"/>
  <c r="AF111" i="6"/>
  <c r="AE111" i="6"/>
  <c r="AF110" i="6"/>
  <c r="AE110" i="6"/>
  <c r="AF109" i="6"/>
  <c r="AE109" i="6"/>
  <c r="AF108" i="6"/>
  <c r="AE108" i="6"/>
  <c r="AF107" i="6"/>
  <c r="AE107" i="6"/>
  <c r="AF106" i="6"/>
  <c r="AE106" i="6"/>
  <c r="AF105" i="6"/>
  <c r="AE105" i="6"/>
  <c r="AF104" i="6"/>
  <c r="AE104" i="6"/>
  <c r="AF103" i="6"/>
  <c r="AE103" i="6"/>
  <c r="AF102" i="6"/>
  <c r="AE102" i="6"/>
  <c r="AF101" i="6"/>
  <c r="AE101" i="6"/>
  <c r="AF100" i="6"/>
  <c r="AE100" i="6"/>
  <c r="AF99" i="6"/>
  <c r="AE99" i="6"/>
  <c r="AF98" i="6"/>
  <c r="AE98" i="6"/>
  <c r="AF97" i="6"/>
  <c r="AE97" i="6"/>
  <c r="AF96" i="6"/>
  <c r="AE96" i="6"/>
  <c r="AF95" i="6"/>
  <c r="AE95" i="6"/>
  <c r="AF94" i="6"/>
  <c r="AE94" i="6"/>
  <c r="AF93" i="6"/>
  <c r="AE93" i="6"/>
  <c r="AF92" i="6"/>
  <c r="AE92" i="6"/>
  <c r="AF91" i="6"/>
  <c r="AE91" i="6"/>
  <c r="AF90" i="6"/>
  <c r="AE90" i="6"/>
  <c r="AF89" i="6"/>
  <c r="AE89" i="6"/>
  <c r="AF88" i="6"/>
  <c r="AE88" i="6"/>
  <c r="AF87" i="6"/>
  <c r="AE87" i="6"/>
  <c r="AF86" i="6"/>
  <c r="AE86" i="6"/>
  <c r="AF85" i="6"/>
  <c r="AE85" i="6"/>
  <c r="AF84" i="6"/>
  <c r="AE84" i="6"/>
  <c r="AF83" i="6"/>
  <c r="AE83" i="6"/>
  <c r="AF82" i="6"/>
  <c r="AE82" i="6"/>
  <c r="AF81" i="6"/>
  <c r="AE81" i="6"/>
  <c r="AF80" i="6"/>
  <c r="AE80" i="6"/>
  <c r="AF79" i="6"/>
  <c r="AE79" i="6"/>
  <c r="AF78" i="6"/>
  <c r="AE78" i="6"/>
  <c r="AF77" i="6"/>
  <c r="AE77" i="6"/>
  <c r="AF76" i="6"/>
  <c r="AE76" i="6"/>
  <c r="AF75" i="6"/>
  <c r="AE75" i="6"/>
  <c r="AF74" i="6"/>
  <c r="AE74" i="6"/>
  <c r="AF73" i="6"/>
  <c r="AE73" i="6"/>
  <c r="AF72" i="6"/>
  <c r="AE72" i="6"/>
  <c r="AF71" i="6"/>
  <c r="AE71" i="6"/>
  <c r="AF70" i="6"/>
  <c r="AE70" i="6"/>
  <c r="AF69" i="6"/>
  <c r="AE69" i="6"/>
  <c r="AF68" i="6"/>
  <c r="AE68" i="6"/>
  <c r="AF67" i="6"/>
  <c r="AE67" i="6"/>
  <c r="AF66" i="6"/>
  <c r="AE66" i="6"/>
  <c r="AF65" i="6"/>
  <c r="AE65" i="6"/>
  <c r="AF64" i="6"/>
  <c r="AE64" i="6"/>
  <c r="AF63" i="6"/>
  <c r="AE63" i="6"/>
  <c r="AF62" i="6"/>
  <c r="AE62" i="6"/>
  <c r="AF61" i="6"/>
  <c r="AE61" i="6"/>
  <c r="AF60" i="6"/>
  <c r="AE60" i="6"/>
  <c r="AF59" i="6"/>
  <c r="AE59" i="6"/>
  <c r="AF58" i="6"/>
  <c r="AE58" i="6"/>
  <c r="AF57" i="6"/>
  <c r="AE57" i="6"/>
  <c r="AF56" i="6"/>
  <c r="AE56" i="6"/>
  <c r="AF55" i="6"/>
  <c r="AE55" i="6"/>
  <c r="AF54" i="6"/>
  <c r="AE54" i="6"/>
  <c r="AF53" i="6"/>
  <c r="AE53" i="6"/>
  <c r="AF52" i="6"/>
  <c r="AE52" i="6"/>
  <c r="AF51" i="6"/>
  <c r="AE51" i="6"/>
  <c r="AF50" i="6"/>
  <c r="AE50" i="6"/>
  <c r="AF49" i="6"/>
  <c r="AE49" i="6"/>
  <c r="AF48" i="6"/>
  <c r="AE48" i="6"/>
  <c r="AF47" i="6"/>
  <c r="AE47" i="6"/>
  <c r="AF46" i="6"/>
  <c r="AE46" i="6"/>
  <c r="AF45" i="6"/>
  <c r="AE45" i="6"/>
  <c r="AF44" i="6"/>
  <c r="AE44" i="6"/>
  <c r="AF43" i="6"/>
  <c r="AE43" i="6"/>
  <c r="AF42" i="6"/>
  <c r="AE42" i="6"/>
  <c r="AF41" i="6"/>
  <c r="AE41" i="6"/>
  <c r="AF40" i="6"/>
  <c r="AE40" i="6"/>
  <c r="AF39" i="6"/>
  <c r="AE39" i="6"/>
  <c r="AF38" i="6"/>
  <c r="AE38" i="6"/>
  <c r="AF37" i="6"/>
  <c r="AE37" i="6"/>
  <c r="AF36" i="6"/>
  <c r="AE36" i="6"/>
  <c r="AF35" i="6"/>
  <c r="AE35" i="6"/>
  <c r="AF34" i="6"/>
  <c r="AE34" i="6"/>
  <c r="AF33" i="6"/>
  <c r="AE33" i="6"/>
  <c r="AF32" i="6"/>
  <c r="AE32" i="6"/>
  <c r="AF31" i="6"/>
  <c r="AE31" i="6"/>
  <c r="AF30" i="6"/>
  <c r="AE30" i="6"/>
  <c r="AF29" i="6"/>
  <c r="AE29" i="6"/>
  <c r="AF28" i="6"/>
  <c r="AE28" i="6"/>
  <c r="AF27" i="6"/>
  <c r="AE27" i="6"/>
  <c r="AF26" i="6"/>
  <c r="AE26" i="6"/>
  <c r="AF25" i="6"/>
  <c r="AE25" i="6"/>
  <c r="AF24" i="6"/>
  <c r="AE24" i="6"/>
  <c r="AF23" i="6"/>
  <c r="AE23" i="6"/>
  <c r="AF22" i="6"/>
  <c r="AE22" i="6"/>
  <c r="AF21" i="6"/>
  <c r="AE21" i="6"/>
  <c r="AF20" i="6"/>
  <c r="AE20" i="6"/>
  <c r="AF19" i="6"/>
  <c r="AE19" i="6"/>
  <c r="AF18" i="6"/>
  <c r="AE18" i="6"/>
  <c r="AF17" i="6"/>
  <c r="AE17" i="6"/>
  <c r="AF16" i="6"/>
  <c r="AE16" i="6"/>
  <c r="AF15" i="6"/>
  <c r="AE15" i="6"/>
  <c r="AF14" i="6"/>
  <c r="AE14" i="6"/>
  <c r="AF13" i="6"/>
  <c r="AE13" i="6"/>
  <c r="AF12" i="6"/>
  <c r="AE12" i="6"/>
  <c r="AF11" i="6"/>
  <c r="AE11" i="6"/>
  <c r="AF10" i="6"/>
  <c r="AE10" i="6"/>
  <c r="AF9" i="6"/>
  <c r="AE9" i="6"/>
  <c r="AF8" i="6"/>
  <c r="AE8" i="6"/>
  <c r="AF7" i="6"/>
  <c r="AE7" i="6"/>
  <c r="AF6" i="6"/>
  <c r="AE6" i="6"/>
  <c r="AE5" i="6" l="1"/>
  <c r="G183" i="1"/>
  <c r="F4" i="123"/>
  <c r="L131" i="100" l="1"/>
  <c r="L130" i="100"/>
  <c r="L129" i="100"/>
  <c r="L128" i="100"/>
  <c r="L127" i="100"/>
  <c r="I131" i="100"/>
  <c r="I130" i="100"/>
  <c r="I129" i="100"/>
  <c r="I128" i="100"/>
  <c r="I127" i="100"/>
  <c r="F131" i="100"/>
  <c r="F130" i="100"/>
  <c r="F129" i="100"/>
  <c r="F128" i="100"/>
  <c r="F127" i="100"/>
  <c r="L5" i="100"/>
  <c r="I5" i="100"/>
  <c r="F5" i="100"/>
  <c r="L7" i="100"/>
  <c r="L101" i="100"/>
  <c r="L8" i="100"/>
  <c r="L9" i="100"/>
  <c r="L10" i="100"/>
  <c r="L11" i="100"/>
  <c r="L12" i="100"/>
  <c r="L13" i="100"/>
  <c r="L14" i="100"/>
  <c r="L15" i="100"/>
  <c r="L16" i="100"/>
  <c r="L17" i="100"/>
  <c r="L102" i="100"/>
  <c r="L18" i="100"/>
  <c r="L19" i="100"/>
  <c r="L20" i="100"/>
  <c r="L21" i="100"/>
  <c r="L22" i="100"/>
  <c r="L23" i="100"/>
  <c r="L24" i="100"/>
  <c r="L25" i="100"/>
  <c r="L103" i="100"/>
  <c r="L104" i="100"/>
  <c r="L26" i="100"/>
  <c r="L27" i="100"/>
  <c r="L28" i="100"/>
  <c r="L29" i="100"/>
  <c r="L30" i="100"/>
  <c r="L105" i="100"/>
  <c r="L31" i="100"/>
  <c r="L32" i="100"/>
  <c r="L33" i="100"/>
  <c r="L34" i="100"/>
  <c r="L35" i="100"/>
  <c r="L36" i="100"/>
  <c r="L37" i="100"/>
  <c r="L106" i="100"/>
  <c r="L38" i="100"/>
  <c r="L39" i="100"/>
  <c r="L107" i="100"/>
  <c r="L108" i="100"/>
  <c r="L40" i="100"/>
  <c r="L41" i="100"/>
  <c r="L42" i="100"/>
  <c r="L43" i="100"/>
  <c r="L44" i="100"/>
  <c r="L45" i="100"/>
  <c r="L46" i="100"/>
  <c r="L109" i="100"/>
  <c r="L47" i="100"/>
  <c r="L48" i="100"/>
  <c r="L49" i="100"/>
  <c r="L50" i="100"/>
  <c r="L110" i="100"/>
  <c r="L51" i="100"/>
  <c r="L52" i="100"/>
  <c r="L53" i="100"/>
  <c r="L54" i="100"/>
  <c r="L55" i="100"/>
  <c r="L56" i="100"/>
  <c r="L57" i="100"/>
  <c r="L58" i="100"/>
  <c r="L59" i="100"/>
  <c r="L60" i="100"/>
  <c r="L111" i="100"/>
  <c r="L61" i="100"/>
  <c r="L112" i="100"/>
  <c r="L113" i="100"/>
  <c r="L62" i="100"/>
  <c r="L63" i="100"/>
  <c r="L64" i="100"/>
  <c r="L65" i="100"/>
  <c r="L66" i="100"/>
  <c r="L67" i="100"/>
  <c r="L114" i="100"/>
  <c r="L115" i="100"/>
  <c r="L68" i="100"/>
  <c r="L69" i="100"/>
  <c r="L116" i="100"/>
  <c r="L70" i="100"/>
  <c r="L71" i="100"/>
  <c r="L72" i="100"/>
  <c r="L73" i="100"/>
  <c r="L117" i="100"/>
  <c r="L74" i="100"/>
  <c r="L118" i="100"/>
  <c r="L75" i="100"/>
  <c r="L76" i="100"/>
  <c r="L77" i="100"/>
  <c r="L78" i="100"/>
  <c r="L79" i="100"/>
  <c r="L119" i="100"/>
  <c r="L80" i="100"/>
  <c r="L120" i="100"/>
  <c r="L81" i="100"/>
  <c r="L121" i="100"/>
  <c r="L82" i="100"/>
  <c r="L83" i="100"/>
  <c r="L84" i="100"/>
  <c r="L85" i="100"/>
  <c r="L86" i="100"/>
  <c r="L87" i="100"/>
  <c r="L88" i="100"/>
  <c r="L89" i="100"/>
  <c r="L90" i="100"/>
  <c r="L91" i="100"/>
  <c r="L122" i="100"/>
  <c r="L92" i="100"/>
  <c r="L93" i="100"/>
  <c r="L94" i="100"/>
  <c r="L123" i="100"/>
  <c r="L95" i="100"/>
  <c r="L96" i="100"/>
  <c r="L97" i="100"/>
  <c r="L124" i="100"/>
  <c r="L125" i="100"/>
  <c r="L98" i="100"/>
  <c r="L99" i="100"/>
  <c r="L100" i="100"/>
  <c r="L6" i="100"/>
  <c r="I7" i="100"/>
  <c r="I101" i="100"/>
  <c r="I8" i="100"/>
  <c r="I9" i="100"/>
  <c r="I10" i="100"/>
  <c r="I11" i="100"/>
  <c r="I12" i="100"/>
  <c r="I13" i="100"/>
  <c r="I14" i="100"/>
  <c r="I15" i="100"/>
  <c r="I16" i="100"/>
  <c r="I17" i="100"/>
  <c r="I102" i="100"/>
  <c r="I18" i="100"/>
  <c r="I19" i="100"/>
  <c r="I20" i="100"/>
  <c r="I21" i="100"/>
  <c r="I22" i="100"/>
  <c r="I23" i="100"/>
  <c r="I24" i="100"/>
  <c r="I25" i="100"/>
  <c r="I103" i="100"/>
  <c r="I104" i="100"/>
  <c r="I26" i="100"/>
  <c r="I27" i="100"/>
  <c r="I28" i="100"/>
  <c r="I29" i="100"/>
  <c r="I30" i="100"/>
  <c r="I105" i="100"/>
  <c r="I31" i="100"/>
  <c r="I32" i="100"/>
  <c r="I33" i="100"/>
  <c r="I34" i="100"/>
  <c r="I35" i="100"/>
  <c r="I36" i="100"/>
  <c r="I37" i="100"/>
  <c r="I106" i="100"/>
  <c r="I38" i="100"/>
  <c r="I39" i="100"/>
  <c r="I107" i="100"/>
  <c r="I108" i="100"/>
  <c r="I40" i="100"/>
  <c r="I41" i="100"/>
  <c r="I42" i="100"/>
  <c r="I43" i="100"/>
  <c r="I44" i="100"/>
  <c r="I45" i="100"/>
  <c r="I46" i="100"/>
  <c r="I109" i="100"/>
  <c r="I47" i="100"/>
  <c r="I48" i="100"/>
  <c r="I49" i="100"/>
  <c r="I50" i="100"/>
  <c r="I110" i="100"/>
  <c r="I51" i="100"/>
  <c r="I52" i="100"/>
  <c r="I53" i="100"/>
  <c r="I54" i="100"/>
  <c r="I55" i="100"/>
  <c r="I56" i="100"/>
  <c r="I57" i="100"/>
  <c r="I58" i="100"/>
  <c r="I59" i="100"/>
  <c r="I60" i="100"/>
  <c r="I111" i="100"/>
  <c r="I61" i="100"/>
  <c r="I112" i="100"/>
  <c r="I113" i="100"/>
  <c r="I62" i="100"/>
  <c r="I63" i="100"/>
  <c r="I64" i="100"/>
  <c r="I65" i="100"/>
  <c r="I66" i="100"/>
  <c r="I67" i="100"/>
  <c r="I114" i="100"/>
  <c r="I115" i="100"/>
  <c r="I68" i="100"/>
  <c r="I69" i="100"/>
  <c r="I116" i="100"/>
  <c r="I70" i="100"/>
  <c r="I71" i="100"/>
  <c r="I72" i="100"/>
  <c r="I73" i="100"/>
  <c r="I117" i="100"/>
  <c r="I74" i="100"/>
  <c r="I118" i="100"/>
  <c r="I75" i="100"/>
  <c r="I76" i="100"/>
  <c r="I77" i="100"/>
  <c r="I78" i="100"/>
  <c r="I79" i="100"/>
  <c r="I119" i="100"/>
  <c r="I80" i="100"/>
  <c r="I120" i="100"/>
  <c r="I81" i="100"/>
  <c r="I121" i="100"/>
  <c r="I82" i="100"/>
  <c r="I83" i="100"/>
  <c r="I84" i="100"/>
  <c r="I85" i="100"/>
  <c r="I86" i="100"/>
  <c r="I87" i="100"/>
  <c r="I88" i="100"/>
  <c r="I89" i="100"/>
  <c r="I90" i="100"/>
  <c r="I91" i="100"/>
  <c r="I122" i="100"/>
  <c r="I92" i="100"/>
  <c r="I93" i="100"/>
  <c r="I94" i="100"/>
  <c r="I123" i="100"/>
  <c r="I95" i="100"/>
  <c r="I96" i="100"/>
  <c r="I97" i="100"/>
  <c r="I124" i="100"/>
  <c r="I125" i="100"/>
  <c r="I98" i="100"/>
  <c r="I99" i="100"/>
  <c r="I100" i="100"/>
  <c r="I6" i="100"/>
  <c r="F7" i="100"/>
  <c r="F101" i="100"/>
  <c r="F8" i="100"/>
  <c r="F9" i="100"/>
  <c r="F10" i="100"/>
  <c r="F11" i="100"/>
  <c r="F12" i="100"/>
  <c r="F13" i="100"/>
  <c r="F14" i="100"/>
  <c r="F15" i="100"/>
  <c r="F16" i="100"/>
  <c r="F17" i="100"/>
  <c r="F102" i="100"/>
  <c r="F18" i="100"/>
  <c r="F19" i="100"/>
  <c r="F20" i="100"/>
  <c r="F21" i="100"/>
  <c r="F22" i="100"/>
  <c r="F23" i="100"/>
  <c r="F24" i="100"/>
  <c r="F25" i="100"/>
  <c r="F103" i="100"/>
  <c r="F104" i="100"/>
  <c r="F26" i="100"/>
  <c r="F27" i="100"/>
  <c r="F28" i="100"/>
  <c r="F29" i="100"/>
  <c r="F30" i="100"/>
  <c r="F105" i="100"/>
  <c r="F31" i="100"/>
  <c r="F32" i="100"/>
  <c r="F33" i="100"/>
  <c r="F34" i="100"/>
  <c r="F35" i="100"/>
  <c r="F36" i="100"/>
  <c r="F37" i="100"/>
  <c r="F106" i="100"/>
  <c r="F38" i="100"/>
  <c r="F39" i="100"/>
  <c r="F107" i="100"/>
  <c r="F108" i="100"/>
  <c r="F40" i="100"/>
  <c r="F41" i="100"/>
  <c r="F42" i="100"/>
  <c r="F43" i="100"/>
  <c r="F44" i="100"/>
  <c r="F45" i="100"/>
  <c r="F46" i="100"/>
  <c r="F109" i="100"/>
  <c r="F47" i="100"/>
  <c r="F48" i="100"/>
  <c r="F49" i="100"/>
  <c r="F50" i="100"/>
  <c r="F110" i="100"/>
  <c r="F51" i="100"/>
  <c r="F52" i="100"/>
  <c r="F53" i="100"/>
  <c r="F54" i="100"/>
  <c r="F55" i="100"/>
  <c r="F56" i="100"/>
  <c r="F57" i="100"/>
  <c r="F58" i="100"/>
  <c r="F59" i="100"/>
  <c r="F60" i="100"/>
  <c r="F111" i="100"/>
  <c r="F61" i="100"/>
  <c r="F112" i="100"/>
  <c r="F113" i="100"/>
  <c r="F62" i="100"/>
  <c r="F63" i="100"/>
  <c r="F64" i="100"/>
  <c r="F65" i="100"/>
  <c r="F66" i="100"/>
  <c r="F67" i="100"/>
  <c r="F114" i="100"/>
  <c r="F115" i="100"/>
  <c r="F68" i="100"/>
  <c r="F69" i="100"/>
  <c r="F116" i="100"/>
  <c r="F70" i="100"/>
  <c r="F71" i="100"/>
  <c r="F72" i="100"/>
  <c r="F73" i="100"/>
  <c r="F117" i="100"/>
  <c r="F74" i="100"/>
  <c r="F118" i="100"/>
  <c r="F75" i="100"/>
  <c r="F76" i="100"/>
  <c r="F77" i="100"/>
  <c r="F78" i="100"/>
  <c r="F79" i="100"/>
  <c r="F119" i="100"/>
  <c r="F80" i="100"/>
  <c r="F120" i="100"/>
  <c r="F81" i="100"/>
  <c r="F121" i="100"/>
  <c r="F82" i="100"/>
  <c r="F83" i="100"/>
  <c r="F84" i="100"/>
  <c r="F85" i="100"/>
  <c r="F86" i="100"/>
  <c r="F87" i="100"/>
  <c r="F88" i="100"/>
  <c r="F89" i="100"/>
  <c r="F90" i="100"/>
  <c r="F91" i="100"/>
  <c r="F122" i="100"/>
  <c r="F92" i="100"/>
  <c r="F93" i="100"/>
  <c r="F94" i="100"/>
  <c r="F123" i="100"/>
  <c r="F95" i="100"/>
  <c r="F96" i="100"/>
  <c r="F97" i="100"/>
  <c r="F124" i="100"/>
  <c r="F125" i="100"/>
  <c r="F98" i="100"/>
  <c r="F99" i="100"/>
  <c r="F100" i="100"/>
  <c r="F6" i="100"/>
  <c r="K5" i="114" l="1"/>
  <c r="J5" i="114"/>
  <c r="I5" i="114"/>
  <c r="H5" i="114"/>
  <c r="G5" i="114"/>
  <c r="F5" i="114"/>
  <c r="E5" i="114"/>
  <c r="D5" i="114"/>
  <c r="M5" i="91" l="1"/>
  <c r="O5" i="91"/>
  <c r="N5" i="91"/>
  <c r="Z4" i="122" l="1"/>
  <c r="AA99" i="122"/>
  <c r="X99" i="122"/>
  <c r="W99" i="122"/>
  <c r="AA98" i="122"/>
  <c r="X98" i="122"/>
  <c r="W98" i="122"/>
  <c r="AA97" i="122"/>
  <c r="X97" i="122"/>
  <c r="W97" i="122"/>
  <c r="AA124" i="122"/>
  <c r="X124" i="122"/>
  <c r="W124" i="122"/>
  <c r="AA123" i="122"/>
  <c r="X123" i="122"/>
  <c r="W123" i="122"/>
  <c r="AA96" i="122"/>
  <c r="X96" i="122"/>
  <c r="W96" i="122"/>
  <c r="AA95" i="122"/>
  <c r="X95" i="122"/>
  <c r="W95" i="122"/>
  <c r="AA94" i="122"/>
  <c r="X94" i="122"/>
  <c r="W94" i="122"/>
  <c r="AA122" i="122"/>
  <c r="X122" i="122"/>
  <c r="W122" i="122"/>
  <c r="AA93" i="122"/>
  <c r="X93" i="122"/>
  <c r="W93" i="122"/>
  <c r="AA92" i="122"/>
  <c r="X92" i="122"/>
  <c r="W92" i="122"/>
  <c r="AA91" i="122"/>
  <c r="X91" i="122"/>
  <c r="W91" i="122"/>
  <c r="AA121" i="122"/>
  <c r="X121" i="122"/>
  <c r="W121" i="122"/>
  <c r="AA90" i="122"/>
  <c r="X90" i="122"/>
  <c r="W90" i="122"/>
  <c r="AA89" i="122"/>
  <c r="X89" i="122"/>
  <c r="W89" i="122"/>
  <c r="AA88" i="122"/>
  <c r="X88" i="122"/>
  <c r="W88" i="122"/>
  <c r="AA87" i="122"/>
  <c r="X87" i="122"/>
  <c r="W87" i="122"/>
  <c r="AA86" i="122"/>
  <c r="X86" i="122"/>
  <c r="W86" i="122"/>
  <c r="AA85" i="122"/>
  <c r="X85" i="122"/>
  <c r="W85" i="122"/>
  <c r="AA84" i="122"/>
  <c r="X84" i="122"/>
  <c r="W84" i="122"/>
  <c r="AA83" i="122"/>
  <c r="X83" i="122"/>
  <c r="W83" i="122"/>
  <c r="AA82" i="122"/>
  <c r="X82" i="122"/>
  <c r="W82" i="122"/>
  <c r="AA81" i="122"/>
  <c r="X81" i="122"/>
  <c r="W81" i="122"/>
  <c r="AA120" i="122"/>
  <c r="X120" i="122"/>
  <c r="W120" i="122"/>
  <c r="AA80" i="122"/>
  <c r="X80" i="122"/>
  <c r="W80" i="122"/>
  <c r="AA119" i="122"/>
  <c r="X119" i="122"/>
  <c r="W119" i="122"/>
  <c r="AA79" i="122"/>
  <c r="X79" i="122"/>
  <c r="W79" i="122"/>
  <c r="AA118" i="122"/>
  <c r="X118" i="122"/>
  <c r="W118" i="122"/>
  <c r="AA78" i="122"/>
  <c r="X78" i="122"/>
  <c r="W78" i="122"/>
  <c r="AA77" i="122"/>
  <c r="X77" i="122"/>
  <c r="W77" i="122"/>
  <c r="AA76" i="122"/>
  <c r="X76" i="122"/>
  <c r="W76" i="122"/>
  <c r="AA75" i="122"/>
  <c r="X75" i="122"/>
  <c r="W75" i="122"/>
  <c r="AA74" i="122"/>
  <c r="X74" i="122"/>
  <c r="W74" i="122"/>
  <c r="AA117" i="122"/>
  <c r="X117" i="122"/>
  <c r="W117" i="122"/>
  <c r="AA73" i="122"/>
  <c r="X73" i="122"/>
  <c r="W73" i="122"/>
  <c r="AA116" i="122"/>
  <c r="X116" i="122"/>
  <c r="W116" i="122"/>
  <c r="AA72" i="122"/>
  <c r="X72" i="122"/>
  <c r="W72" i="122"/>
  <c r="AA71" i="122"/>
  <c r="X71" i="122"/>
  <c r="W71" i="122"/>
  <c r="AA70" i="122"/>
  <c r="X70" i="122"/>
  <c r="W70" i="122"/>
  <c r="AA69" i="122"/>
  <c r="X69" i="122"/>
  <c r="W69" i="122"/>
  <c r="AA115" i="122"/>
  <c r="X115" i="122"/>
  <c r="W115" i="122"/>
  <c r="AA68" i="122"/>
  <c r="X68" i="122"/>
  <c r="W68" i="122"/>
  <c r="AA67" i="122"/>
  <c r="X67" i="122"/>
  <c r="W67" i="122"/>
  <c r="AA114" i="122"/>
  <c r="X114" i="122"/>
  <c r="W114" i="122"/>
  <c r="AA113" i="122"/>
  <c r="X113" i="122"/>
  <c r="W113" i="122"/>
  <c r="AA66" i="122"/>
  <c r="X66" i="122"/>
  <c r="W66" i="122"/>
  <c r="AA65" i="122"/>
  <c r="X65" i="122"/>
  <c r="W65" i="122"/>
  <c r="AA64" i="122"/>
  <c r="X64" i="122"/>
  <c r="W64" i="122"/>
  <c r="AA63" i="122"/>
  <c r="X63" i="122"/>
  <c r="W63" i="122"/>
  <c r="AA62" i="122"/>
  <c r="X62" i="122"/>
  <c r="W62" i="122"/>
  <c r="AA61" i="122"/>
  <c r="X61" i="122"/>
  <c r="W61" i="122"/>
  <c r="AA112" i="122"/>
  <c r="X112" i="122"/>
  <c r="W112" i="122"/>
  <c r="AA111" i="122"/>
  <c r="X111" i="122"/>
  <c r="W111" i="122"/>
  <c r="AA60" i="122"/>
  <c r="X60" i="122"/>
  <c r="W60" i="122"/>
  <c r="AA110" i="122"/>
  <c r="X110" i="122"/>
  <c r="W110" i="122"/>
  <c r="AA59" i="122"/>
  <c r="X59" i="122"/>
  <c r="W59" i="122"/>
  <c r="AA58" i="122"/>
  <c r="X58" i="122"/>
  <c r="W58" i="122"/>
  <c r="AA57" i="122"/>
  <c r="X57" i="122"/>
  <c r="W57" i="122"/>
  <c r="AA56" i="122"/>
  <c r="X56" i="122"/>
  <c r="W56" i="122"/>
  <c r="AA55" i="122"/>
  <c r="X55" i="122"/>
  <c r="W55" i="122"/>
  <c r="AA54" i="122"/>
  <c r="X54" i="122"/>
  <c r="W54" i="122"/>
  <c r="AA53" i="122"/>
  <c r="X53" i="122"/>
  <c r="W53" i="122"/>
  <c r="AA52" i="122"/>
  <c r="X52" i="122"/>
  <c r="W52" i="122"/>
  <c r="AA51" i="122"/>
  <c r="X51" i="122"/>
  <c r="W51" i="122"/>
  <c r="AA50" i="122"/>
  <c r="X50" i="122"/>
  <c r="W50" i="122"/>
  <c r="AA109" i="122"/>
  <c r="X109" i="122"/>
  <c r="W109" i="122"/>
  <c r="AA49" i="122"/>
  <c r="X49" i="122"/>
  <c r="W49" i="122"/>
  <c r="AA48" i="122"/>
  <c r="X48" i="122"/>
  <c r="W48" i="122"/>
  <c r="AA47" i="122"/>
  <c r="X47" i="122"/>
  <c r="W47" i="122"/>
  <c r="AA46" i="122"/>
  <c r="X46" i="122"/>
  <c r="W46" i="122"/>
  <c r="AA108" i="122"/>
  <c r="X108" i="122"/>
  <c r="W108" i="122"/>
  <c r="AA45" i="122"/>
  <c r="X45" i="122"/>
  <c r="W45" i="122"/>
  <c r="AA44" i="122"/>
  <c r="X44" i="122"/>
  <c r="W44" i="122"/>
  <c r="AA43" i="122"/>
  <c r="X43" i="122"/>
  <c r="W43" i="122"/>
  <c r="AA42" i="122"/>
  <c r="X42" i="122"/>
  <c r="W42" i="122"/>
  <c r="AA41" i="122"/>
  <c r="X41" i="122"/>
  <c r="W41" i="122"/>
  <c r="AA40" i="122"/>
  <c r="X40" i="122"/>
  <c r="W40" i="122"/>
  <c r="AA39" i="122"/>
  <c r="X39" i="122"/>
  <c r="W39" i="122"/>
  <c r="AA107" i="122"/>
  <c r="X107" i="122"/>
  <c r="W107" i="122"/>
  <c r="AA106" i="122"/>
  <c r="X106" i="122"/>
  <c r="W106" i="122"/>
  <c r="AA38" i="122"/>
  <c r="X38" i="122"/>
  <c r="W38" i="122"/>
  <c r="AA37" i="122"/>
  <c r="X37" i="122"/>
  <c r="W37" i="122"/>
  <c r="AA105" i="122"/>
  <c r="X105" i="122"/>
  <c r="W105" i="122"/>
  <c r="AA36" i="122"/>
  <c r="X36" i="122"/>
  <c r="W36" i="122"/>
  <c r="AA35" i="122"/>
  <c r="X35" i="122"/>
  <c r="W35" i="122"/>
  <c r="AA34" i="122"/>
  <c r="X34" i="122"/>
  <c r="W34" i="122"/>
  <c r="AA33" i="122"/>
  <c r="X33" i="122"/>
  <c r="W33" i="122"/>
  <c r="AA32" i="122"/>
  <c r="X32" i="122"/>
  <c r="W32" i="122"/>
  <c r="AA31" i="122"/>
  <c r="X31" i="122"/>
  <c r="W31" i="122"/>
  <c r="AA30" i="122"/>
  <c r="X30" i="122"/>
  <c r="W30" i="122"/>
  <c r="AA104" i="122"/>
  <c r="X104" i="122"/>
  <c r="W104" i="122"/>
  <c r="AA29" i="122"/>
  <c r="X29" i="122"/>
  <c r="W29" i="122"/>
  <c r="AA28" i="122"/>
  <c r="X28" i="122"/>
  <c r="W28" i="122"/>
  <c r="AA27" i="122"/>
  <c r="X27" i="122"/>
  <c r="W27" i="122"/>
  <c r="AA26" i="122"/>
  <c r="X26" i="122"/>
  <c r="W26" i="122"/>
  <c r="AA25" i="122"/>
  <c r="X25" i="122"/>
  <c r="W25" i="122"/>
  <c r="AA103" i="122"/>
  <c r="X103" i="122"/>
  <c r="W103" i="122"/>
  <c r="AA102" i="122"/>
  <c r="X102" i="122"/>
  <c r="W102" i="122"/>
  <c r="AA24" i="122"/>
  <c r="X24" i="122"/>
  <c r="W24" i="122"/>
  <c r="AA23" i="122"/>
  <c r="X23" i="122"/>
  <c r="W23" i="122"/>
  <c r="AA22" i="122"/>
  <c r="X22" i="122"/>
  <c r="W22" i="122"/>
  <c r="AA21" i="122"/>
  <c r="X21" i="122"/>
  <c r="W21" i="122"/>
  <c r="AA20" i="122"/>
  <c r="X20" i="122"/>
  <c r="W20" i="122"/>
  <c r="AA19" i="122"/>
  <c r="X19" i="122"/>
  <c r="W19" i="122"/>
  <c r="AA18" i="122"/>
  <c r="X18" i="122"/>
  <c r="W18" i="122"/>
  <c r="AA17" i="122"/>
  <c r="X17" i="122"/>
  <c r="W17" i="122"/>
  <c r="AA101" i="122"/>
  <c r="X101" i="122"/>
  <c r="W101" i="122"/>
  <c r="AA16" i="122"/>
  <c r="X16" i="122"/>
  <c r="W16" i="122"/>
  <c r="AA15" i="122"/>
  <c r="X15" i="122"/>
  <c r="W15" i="122"/>
  <c r="AA14" i="122"/>
  <c r="X14" i="122"/>
  <c r="W14" i="122"/>
  <c r="AA13" i="122"/>
  <c r="X13" i="122"/>
  <c r="W13" i="122"/>
  <c r="AA12" i="122"/>
  <c r="X12" i="122"/>
  <c r="W12" i="122"/>
  <c r="AA11" i="122"/>
  <c r="X11" i="122"/>
  <c r="W11" i="122"/>
  <c r="AA10" i="122"/>
  <c r="X10" i="122"/>
  <c r="W10" i="122"/>
  <c r="AA9" i="122"/>
  <c r="X9" i="122"/>
  <c r="W9" i="122"/>
  <c r="AA8" i="122"/>
  <c r="X8" i="122"/>
  <c r="W8" i="122"/>
  <c r="AA7" i="122"/>
  <c r="X7" i="122"/>
  <c r="W7" i="122"/>
  <c r="AA100" i="122"/>
  <c r="X100" i="122"/>
  <c r="W100" i="122"/>
  <c r="AA6" i="122"/>
  <c r="X6" i="122"/>
  <c r="W6" i="122"/>
  <c r="AA5" i="122"/>
  <c r="X5" i="122"/>
  <c r="W5" i="122"/>
  <c r="P4" i="122"/>
  <c r="U4" i="122"/>
  <c r="AF5" i="6"/>
  <c r="AG125" i="6"/>
  <c r="AD125" i="6"/>
  <c r="AC125" i="6"/>
  <c r="AG124" i="6"/>
  <c r="AD124" i="6"/>
  <c r="AC124" i="6"/>
  <c r="AG123" i="6"/>
  <c r="AD123" i="6"/>
  <c r="AC123" i="6"/>
  <c r="AG122" i="6"/>
  <c r="AD122" i="6"/>
  <c r="AC122" i="6"/>
  <c r="AG121" i="6"/>
  <c r="AD121" i="6"/>
  <c r="AC121" i="6"/>
  <c r="AG120" i="6"/>
  <c r="AD120" i="6"/>
  <c r="AC120" i="6"/>
  <c r="AG119" i="6"/>
  <c r="AD119" i="6"/>
  <c r="AC119" i="6"/>
  <c r="AG118" i="6"/>
  <c r="AD118" i="6"/>
  <c r="AC118" i="6"/>
  <c r="AG117" i="6"/>
  <c r="AD117" i="6"/>
  <c r="AC117" i="6"/>
  <c r="AG116" i="6"/>
  <c r="AD116" i="6"/>
  <c r="AC116" i="6"/>
  <c r="AG115" i="6"/>
  <c r="AD115" i="6"/>
  <c r="AC115" i="6"/>
  <c r="AG114" i="6"/>
  <c r="AD114" i="6"/>
  <c r="AC114" i="6"/>
  <c r="AG113" i="6"/>
  <c r="AD113" i="6"/>
  <c r="AC113" i="6"/>
  <c r="AG112" i="6"/>
  <c r="AD112" i="6"/>
  <c r="AC112" i="6"/>
  <c r="AG111" i="6"/>
  <c r="AD111" i="6"/>
  <c r="AC111" i="6"/>
  <c r="AG110" i="6"/>
  <c r="AD110" i="6"/>
  <c r="AC110" i="6"/>
  <c r="AG109" i="6"/>
  <c r="AD109" i="6"/>
  <c r="AC109" i="6"/>
  <c r="AG108" i="6"/>
  <c r="AD108" i="6"/>
  <c r="AC108" i="6"/>
  <c r="AG107" i="6"/>
  <c r="AD107" i="6"/>
  <c r="AC107" i="6"/>
  <c r="AG106" i="6"/>
  <c r="AD106" i="6"/>
  <c r="AC106" i="6"/>
  <c r="AG105" i="6"/>
  <c r="AD105" i="6"/>
  <c r="AC105" i="6"/>
  <c r="AG104" i="6"/>
  <c r="AD104" i="6"/>
  <c r="AC104" i="6"/>
  <c r="AG103" i="6"/>
  <c r="AD103" i="6"/>
  <c r="AC103" i="6"/>
  <c r="AG102" i="6"/>
  <c r="AD102" i="6"/>
  <c r="AC102" i="6"/>
  <c r="AG101" i="6"/>
  <c r="AD101" i="6"/>
  <c r="AC101" i="6"/>
  <c r="AG100" i="6"/>
  <c r="AD100" i="6"/>
  <c r="AC100" i="6"/>
  <c r="AG99" i="6"/>
  <c r="AD99" i="6"/>
  <c r="AC99" i="6"/>
  <c r="AG98" i="6"/>
  <c r="AD98" i="6"/>
  <c r="AC98" i="6"/>
  <c r="AG97" i="6"/>
  <c r="AD97" i="6"/>
  <c r="AC97" i="6"/>
  <c r="AG96" i="6"/>
  <c r="AD96" i="6"/>
  <c r="AC96" i="6"/>
  <c r="AG95" i="6"/>
  <c r="AD95" i="6"/>
  <c r="AC95" i="6"/>
  <c r="AG94" i="6"/>
  <c r="AD94" i="6"/>
  <c r="AC94" i="6"/>
  <c r="AG93" i="6"/>
  <c r="AD93" i="6"/>
  <c r="AC93" i="6"/>
  <c r="AG92" i="6"/>
  <c r="AD92" i="6"/>
  <c r="AC92" i="6"/>
  <c r="AG91" i="6"/>
  <c r="AD91" i="6"/>
  <c r="AC91" i="6"/>
  <c r="AG90" i="6"/>
  <c r="AD90" i="6"/>
  <c r="AC90" i="6"/>
  <c r="AG89" i="6"/>
  <c r="AD89" i="6"/>
  <c r="AC89" i="6"/>
  <c r="AG88" i="6"/>
  <c r="AD88" i="6"/>
  <c r="AC88" i="6"/>
  <c r="AG87" i="6"/>
  <c r="AD87" i="6"/>
  <c r="AC87" i="6"/>
  <c r="AG86" i="6"/>
  <c r="AD86" i="6"/>
  <c r="AC86" i="6"/>
  <c r="AG85" i="6"/>
  <c r="AD85" i="6"/>
  <c r="AC85" i="6"/>
  <c r="AG84" i="6"/>
  <c r="AD84" i="6"/>
  <c r="AC84" i="6"/>
  <c r="AG83" i="6"/>
  <c r="AD83" i="6"/>
  <c r="AC83" i="6"/>
  <c r="AG82" i="6"/>
  <c r="AD82" i="6"/>
  <c r="AC82" i="6"/>
  <c r="AG81" i="6"/>
  <c r="AD81" i="6"/>
  <c r="AC81" i="6"/>
  <c r="AG80" i="6"/>
  <c r="AD80" i="6"/>
  <c r="AC80" i="6"/>
  <c r="AG79" i="6"/>
  <c r="AD79" i="6"/>
  <c r="AC79" i="6"/>
  <c r="AG78" i="6"/>
  <c r="AD78" i="6"/>
  <c r="AC78" i="6"/>
  <c r="AG77" i="6"/>
  <c r="AD77" i="6"/>
  <c r="AC77" i="6"/>
  <c r="AG76" i="6"/>
  <c r="AD76" i="6"/>
  <c r="AC76" i="6"/>
  <c r="AG75" i="6"/>
  <c r="AD75" i="6"/>
  <c r="AC75" i="6"/>
  <c r="AG74" i="6"/>
  <c r="AD74" i="6"/>
  <c r="AC74" i="6"/>
  <c r="AG73" i="6"/>
  <c r="AD73" i="6"/>
  <c r="AC73" i="6"/>
  <c r="AG72" i="6"/>
  <c r="AD72" i="6"/>
  <c r="AC72" i="6"/>
  <c r="AG71" i="6"/>
  <c r="AD71" i="6"/>
  <c r="AC71" i="6"/>
  <c r="AG70" i="6"/>
  <c r="AD70" i="6"/>
  <c r="AC70" i="6"/>
  <c r="AG69" i="6"/>
  <c r="AD69" i="6"/>
  <c r="AC69" i="6"/>
  <c r="AG68" i="6"/>
  <c r="AD68" i="6"/>
  <c r="AC68" i="6"/>
  <c r="AG67" i="6"/>
  <c r="AD67" i="6"/>
  <c r="AC67" i="6"/>
  <c r="AG66" i="6"/>
  <c r="AD66" i="6"/>
  <c r="AC66" i="6"/>
  <c r="AG65" i="6"/>
  <c r="AD65" i="6"/>
  <c r="AC65" i="6"/>
  <c r="AG64" i="6"/>
  <c r="AD64" i="6"/>
  <c r="AC64" i="6"/>
  <c r="AG63" i="6"/>
  <c r="AD63" i="6"/>
  <c r="AC63" i="6"/>
  <c r="AG62" i="6"/>
  <c r="AD62" i="6"/>
  <c r="AC62" i="6"/>
  <c r="AG61" i="6"/>
  <c r="AD61" i="6"/>
  <c r="AC61" i="6"/>
  <c r="AG60" i="6"/>
  <c r="AD60" i="6"/>
  <c r="AC60" i="6"/>
  <c r="AG59" i="6"/>
  <c r="AD59" i="6"/>
  <c r="AC59" i="6"/>
  <c r="AG58" i="6"/>
  <c r="AD58" i="6"/>
  <c r="AC58" i="6"/>
  <c r="AG57" i="6"/>
  <c r="AD57" i="6"/>
  <c r="AC57" i="6"/>
  <c r="AG56" i="6"/>
  <c r="AD56" i="6"/>
  <c r="AC56" i="6"/>
  <c r="AG55" i="6"/>
  <c r="AD55" i="6"/>
  <c r="AC55" i="6"/>
  <c r="AG54" i="6"/>
  <c r="AD54" i="6"/>
  <c r="AC54" i="6"/>
  <c r="AG53" i="6"/>
  <c r="AD53" i="6"/>
  <c r="AC53" i="6"/>
  <c r="AG52" i="6"/>
  <c r="AD52" i="6"/>
  <c r="AC52" i="6"/>
  <c r="AG51" i="6"/>
  <c r="AD51" i="6"/>
  <c r="AC51" i="6"/>
  <c r="AG50" i="6"/>
  <c r="AD50" i="6"/>
  <c r="AC50" i="6"/>
  <c r="AG49" i="6"/>
  <c r="AD49" i="6"/>
  <c r="AC49" i="6"/>
  <c r="AG48" i="6"/>
  <c r="AD48" i="6"/>
  <c r="AC48" i="6"/>
  <c r="AG47" i="6"/>
  <c r="AD47" i="6"/>
  <c r="AC47" i="6"/>
  <c r="AG46" i="6"/>
  <c r="AD46" i="6"/>
  <c r="AC46" i="6"/>
  <c r="AG45" i="6"/>
  <c r="AD45" i="6"/>
  <c r="AC45" i="6"/>
  <c r="AG44" i="6"/>
  <c r="AD44" i="6"/>
  <c r="AC44" i="6"/>
  <c r="AG43" i="6"/>
  <c r="AD43" i="6"/>
  <c r="AC43" i="6"/>
  <c r="AG42" i="6"/>
  <c r="AD42" i="6"/>
  <c r="AC42" i="6"/>
  <c r="AG41" i="6"/>
  <c r="AD41" i="6"/>
  <c r="AC41" i="6"/>
  <c r="AG40" i="6"/>
  <c r="AD40" i="6"/>
  <c r="AC40" i="6"/>
  <c r="AG39" i="6"/>
  <c r="AD39" i="6"/>
  <c r="AC39" i="6"/>
  <c r="AG38" i="6"/>
  <c r="AD38" i="6"/>
  <c r="AC38" i="6"/>
  <c r="AG37" i="6"/>
  <c r="AD37" i="6"/>
  <c r="AC37" i="6"/>
  <c r="AG36" i="6"/>
  <c r="AD36" i="6"/>
  <c r="AC36" i="6"/>
  <c r="AG35" i="6"/>
  <c r="AD35" i="6"/>
  <c r="AC35" i="6"/>
  <c r="AG34" i="6"/>
  <c r="AD34" i="6"/>
  <c r="AC34" i="6"/>
  <c r="AG33" i="6"/>
  <c r="AD33" i="6"/>
  <c r="AC33" i="6"/>
  <c r="AG32" i="6"/>
  <c r="AD32" i="6"/>
  <c r="AC32" i="6"/>
  <c r="AG31" i="6"/>
  <c r="AD31" i="6"/>
  <c r="AC31" i="6"/>
  <c r="AG30" i="6"/>
  <c r="AD30" i="6"/>
  <c r="AC30" i="6"/>
  <c r="AG29" i="6"/>
  <c r="AD29" i="6"/>
  <c r="AC29" i="6"/>
  <c r="AG28" i="6"/>
  <c r="AD28" i="6"/>
  <c r="AC28" i="6"/>
  <c r="AG27" i="6"/>
  <c r="AD27" i="6"/>
  <c r="AC27" i="6"/>
  <c r="AG26" i="6"/>
  <c r="AD26" i="6"/>
  <c r="AC26" i="6"/>
  <c r="AG25" i="6"/>
  <c r="AD25" i="6"/>
  <c r="AC25" i="6"/>
  <c r="AG24" i="6"/>
  <c r="AD24" i="6"/>
  <c r="AC24" i="6"/>
  <c r="AG23" i="6"/>
  <c r="AD23" i="6"/>
  <c r="AC23" i="6"/>
  <c r="AG22" i="6"/>
  <c r="AD22" i="6"/>
  <c r="AC22" i="6"/>
  <c r="AG21" i="6"/>
  <c r="AD21" i="6"/>
  <c r="AC21" i="6"/>
  <c r="AG20" i="6"/>
  <c r="AD20" i="6"/>
  <c r="AC20" i="6"/>
  <c r="AG19" i="6"/>
  <c r="AD19" i="6"/>
  <c r="AC19" i="6"/>
  <c r="AG18" i="6"/>
  <c r="AD18" i="6"/>
  <c r="AC18" i="6"/>
  <c r="AG17" i="6"/>
  <c r="AD17" i="6"/>
  <c r="AC17" i="6"/>
  <c r="AG16" i="6"/>
  <c r="AD16" i="6"/>
  <c r="AC16" i="6"/>
  <c r="AG15" i="6"/>
  <c r="AD15" i="6"/>
  <c r="AC15" i="6"/>
  <c r="AG14" i="6"/>
  <c r="AD14" i="6"/>
  <c r="AC14" i="6"/>
  <c r="AG13" i="6"/>
  <c r="AD13" i="6"/>
  <c r="AC13" i="6"/>
  <c r="AG12" i="6"/>
  <c r="AD12" i="6"/>
  <c r="AC12" i="6"/>
  <c r="AG11" i="6"/>
  <c r="AD11" i="6"/>
  <c r="AC11" i="6"/>
  <c r="AG10" i="6"/>
  <c r="AD10" i="6"/>
  <c r="AC10" i="6"/>
  <c r="AG9" i="6"/>
  <c r="AD9" i="6"/>
  <c r="AC9" i="6"/>
  <c r="AG8" i="6"/>
  <c r="AD8" i="6"/>
  <c r="AC8" i="6"/>
  <c r="AG7" i="6"/>
  <c r="AD7" i="6"/>
  <c r="AC7" i="6"/>
  <c r="AG6" i="6"/>
  <c r="AD6" i="6"/>
  <c r="AC6" i="6"/>
  <c r="AA5" i="6"/>
  <c r="Z5" i="6"/>
  <c r="V5" i="6"/>
  <c r="AA4" i="122" l="1"/>
  <c r="W4" i="122"/>
  <c r="X4" i="122"/>
  <c r="AC5" i="6"/>
  <c r="AD5" i="6"/>
  <c r="AG5" i="6"/>
  <c r="AD6" i="92"/>
  <c r="AE6" i="92"/>
  <c r="AD7" i="92"/>
  <c r="AE7" i="92"/>
  <c r="AD8" i="92"/>
  <c r="AE8" i="92"/>
  <c r="AD9" i="92"/>
  <c r="AE9" i="92"/>
  <c r="AD10" i="92"/>
  <c r="AE10" i="92"/>
  <c r="AD11" i="92"/>
  <c r="AE11" i="92"/>
  <c r="AD12" i="92"/>
  <c r="AE12" i="92"/>
  <c r="AD13" i="92"/>
  <c r="AE13" i="92"/>
  <c r="AD14" i="92"/>
  <c r="AE14" i="92"/>
  <c r="AD15" i="92"/>
  <c r="AE15" i="92"/>
  <c r="AD16" i="92"/>
  <c r="AE16" i="92"/>
  <c r="AD17" i="92"/>
  <c r="AE17" i="92"/>
  <c r="AD18" i="92"/>
  <c r="AE18" i="92"/>
  <c r="AD19" i="92"/>
  <c r="AE19" i="92"/>
  <c r="AD20" i="92"/>
  <c r="AE20" i="92"/>
  <c r="AD21" i="92"/>
  <c r="AE21" i="92"/>
  <c r="AD22" i="92"/>
  <c r="AE22" i="92"/>
  <c r="AD23" i="92"/>
  <c r="AE23" i="92"/>
  <c r="AD24" i="92"/>
  <c r="AE24" i="92"/>
  <c r="AD25" i="92"/>
  <c r="AE25" i="92"/>
  <c r="AD26" i="92"/>
  <c r="AE26" i="92"/>
  <c r="AD27" i="92"/>
  <c r="AE27" i="92"/>
  <c r="AD28" i="92"/>
  <c r="AE28" i="92"/>
  <c r="AD29" i="92"/>
  <c r="AE29" i="92"/>
  <c r="AD30" i="92"/>
  <c r="AE30" i="92"/>
  <c r="AD31" i="92"/>
  <c r="AE31" i="92"/>
  <c r="AD32" i="92"/>
  <c r="AE32" i="92"/>
  <c r="AD33" i="92"/>
  <c r="AE33" i="92"/>
  <c r="AD34" i="92"/>
  <c r="AE34" i="92"/>
  <c r="AD35" i="92"/>
  <c r="AE35" i="92"/>
  <c r="AD36" i="92"/>
  <c r="AE36" i="92"/>
  <c r="AD37" i="92"/>
  <c r="AE37" i="92"/>
  <c r="AD38" i="92"/>
  <c r="AE38" i="92"/>
  <c r="AD39" i="92"/>
  <c r="AE39" i="92"/>
  <c r="AD40" i="92"/>
  <c r="AE40" i="92"/>
  <c r="AD41" i="92"/>
  <c r="AE41" i="92"/>
  <c r="AD42" i="92"/>
  <c r="AE42" i="92"/>
  <c r="AD43" i="92"/>
  <c r="AE43" i="92"/>
  <c r="AD44" i="92"/>
  <c r="AE44" i="92"/>
  <c r="AD45" i="92"/>
  <c r="AE45" i="92"/>
  <c r="AD46" i="92"/>
  <c r="AE46" i="92"/>
  <c r="AD47" i="92"/>
  <c r="AE47" i="92"/>
  <c r="AD48" i="92"/>
  <c r="AE48" i="92"/>
  <c r="AD49" i="92"/>
  <c r="AE49" i="92"/>
  <c r="AD50" i="92"/>
  <c r="AE50" i="92"/>
  <c r="AD51" i="92"/>
  <c r="AE51" i="92"/>
  <c r="AD52" i="92"/>
  <c r="AE52" i="92"/>
  <c r="AD53" i="92"/>
  <c r="AE53" i="92"/>
  <c r="AD54" i="92"/>
  <c r="AE54" i="92"/>
  <c r="AD55" i="92"/>
  <c r="AE55" i="92"/>
  <c r="AD56" i="92"/>
  <c r="AE56" i="92"/>
  <c r="AD57" i="92"/>
  <c r="AE57" i="92"/>
  <c r="AD58" i="92"/>
  <c r="AE58" i="92"/>
  <c r="AD59" i="92"/>
  <c r="AE59" i="92"/>
  <c r="AD60" i="92"/>
  <c r="AE60" i="92"/>
  <c r="AD61" i="92"/>
  <c r="AE61" i="92"/>
  <c r="AD62" i="92"/>
  <c r="AE62" i="92"/>
  <c r="AD63" i="92"/>
  <c r="AE63" i="92"/>
  <c r="AD64" i="92"/>
  <c r="AE64" i="92"/>
  <c r="AD65" i="92"/>
  <c r="AE65" i="92"/>
  <c r="AD66" i="92"/>
  <c r="AE66" i="92"/>
  <c r="AD67" i="92"/>
  <c r="AE67" i="92"/>
  <c r="AD68" i="92"/>
  <c r="AE68" i="92"/>
  <c r="AD69" i="92"/>
  <c r="AE69" i="92"/>
  <c r="AD70" i="92"/>
  <c r="AE70" i="92"/>
  <c r="AD71" i="92"/>
  <c r="AE71" i="92"/>
  <c r="AD72" i="92"/>
  <c r="AE72" i="92"/>
  <c r="AD73" i="92"/>
  <c r="AE73" i="92"/>
  <c r="AD74" i="92"/>
  <c r="AE74" i="92"/>
  <c r="AD75" i="92"/>
  <c r="AE75" i="92"/>
  <c r="AD76" i="92"/>
  <c r="AE76" i="92"/>
  <c r="AD77" i="92"/>
  <c r="AE77" i="92"/>
  <c r="AD78" i="92"/>
  <c r="AE78" i="92"/>
  <c r="AD79" i="92"/>
  <c r="AE79" i="92"/>
  <c r="AD80" i="92"/>
  <c r="AE80" i="92"/>
  <c r="AD81" i="92"/>
  <c r="AE81" i="92"/>
  <c r="AD82" i="92"/>
  <c r="AE82" i="92"/>
  <c r="AD83" i="92"/>
  <c r="AE83" i="92"/>
  <c r="AD84" i="92"/>
  <c r="AE84" i="92"/>
  <c r="AD85" i="92"/>
  <c r="AE85" i="92"/>
  <c r="AD86" i="92"/>
  <c r="AE86" i="92"/>
  <c r="AD87" i="92"/>
  <c r="AE87" i="92"/>
  <c r="AD88" i="92"/>
  <c r="AE88" i="92"/>
  <c r="AD89" i="92"/>
  <c r="AE89" i="92"/>
  <c r="AD90" i="92"/>
  <c r="AE90" i="92"/>
  <c r="AD91" i="92"/>
  <c r="AE91" i="92"/>
  <c r="AD92" i="92"/>
  <c r="AE92" i="92"/>
  <c r="AD93" i="92"/>
  <c r="AE93" i="92"/>
  <c r="AD94" i="92"/>
  <c r="AE94" i="92"/>
  <c r="AD95" i="92"/>
  <c r="AE95" i="92"/>
  <c r="AD96" i="92"/>
  <c r="AE96" i="92"/>
  <c r="AD97" i="92"/>
  <c r="AE97" i="92"/>
  <c r="AD98" i="92"/>
  <c r="AE98" i="92"/>
  <c r="AD99" i="92"/>
  <c r="AE99" i="92"/>
  <c r="AD100" i="92"/>
  <c r="AE100" i="92"/>
  <c r="AD101" i="92"/>
  <c r="AE101" i="92"/>
  <c r="AD102" i="92"/>
  <c r="AE102" i="92"/>
  <c r="AD103" i="92"/>
  <c r="AE103" i="92"/>
  <c r="AD104" i="92"/>
  <c r="AE104" i="92"/>
  <c r="AD105" i="92"/>
  <c r="AE105" i="92"/>
  <c r="AD106" i="92"/>
  <c r="AE106" i="92"/>
  <c r="AD107" i="92"/>
  <c r="AE107" i="92"/>
  <c r="AD108" i="92"/>
  <c r="AE108" i="92"/>
  <c r="AD109" i="92"/>
  <c r="AE109" i="92"/>
  <c r="AD110" i="92"/>
  <c r="AE110" i="92"/>
  <c r="AD111" i="92"/>
  <c r="AE111" i="92"/>
  <c r="AD112" i="92"/>
  <c r="AE112" i="92"/>
  <c r="AD113" i="92"/>
  <c r="AE113" i="92"/>
  <c r="AD114" i="92"/>
  <c r="AE114" i="92"/>
  <c r="AD115" i="92"/>
  <c r="AE115" i="92"/>
  <c r="AD116" i="92"/>
  <c r="AE116" i="92"/>
  <c r="AD117" i="92"/>
  <c r="AE117" i="92"/>
  <c r="AD118" i="92"/>
  <c r="AE118" i="92"/>
  <c r="AD119" i="92"/>
  <c r="AE119" i="92"/>
  <c r="AD120" i="92"/>
  <c r="AE120" i="92"/>
  <c r="AD121" i="92"/>
  <c r="AE121" i="92"/>
  <c r="AD122" i="92"/>
  <c r="AE122" i="92"/>
  <c r="AD123" i="92"/>
  <c r="AE123" i="92"/>
  <c r="AD124" i="92"/>
  <c r="AE124" i="92"/>
  <c r="AE5" i="92"/>
  <c r="AD5" i="92"/>
  <c r="AD4" i="92" l="1"/>
  <c r="AE4" i="92"/>
  <c r="F4" i="120"/>
  <c r="O5" i="106" l="1"/>
  <c r="G5" i="106"/>
  <c r="K5" i="106"/>
  <c r="J5" i="106"/>
  <c r="E5" i="106"/>
  <c r="BF131" i="113" l="1"/>
  <c r="BF130" i="113"/>
  <c r="BF129" i="113"/>
  <c r="BF128" i="113"/>
  <c r="BF127" i="113"/>
  <c r="BF125" i="113"/>
  <c r="BF124" i="113"/>
  <c r="BF123" i="113"/>
  <c r="BF122" i="113"/>
  <c r="BF121" i="113"/>
  <c r="BF120" i="113"/>
  <c r="BF119" i="113"/>
  <c r="BF118" i="113"/>
  <c r="BF117" i="113"/>
  <c r="BF116" i="113"/>
  <c r="BF115" i="113"/>
  <c r="BF114" i="113"/>
  <c r="BF113" i="113"/>
  <c r="BF112" i="113"/>
  <c r="BF111" i="113"/>
  <c r="BF110" i="113"/>
  <c r="BF109" i="113"/>
  <c r="BF108" i="113"/>
  <c r="BF107" i="113"/>
  <c r="BF106" i="113"/>
  <c r="BF105" i="113"/>
  <c r="BF104" i="113"/>
  <c r="BF103" i="113"/>
  <c r="BF102" i="113"/>
  <c r="BF101" i="113"/>
  <c r="BF100" i="113"/>
  <c r="BF99" i="113"/>
  <c r="BF98" i="113"/>
  <c r="BF97" i="113"/>
  <c r="BF96" i="113"/>
  <c r="BF95" i="113"/>
  <c r="BF94" i="113"/>
  <c r="BF93" i="113"/>
  <c r="BF92" i="113"/>
  <c r="BF91" i="113"/>
  <c r="BF90" i="113"/>
  <c r="BF89" i="113"/>
  <c r="BF88" i="113"/>
  <c r="BF87" i="113"/>
  <c r="BF86" i="113"/>
  <c r="BF85" i="113"/>
  <c r="BF84" i="113"/>
  <c r="BF83" i="113"/>
  <c r="BF82" i="113"/>
  <c r="BF81" i="113"/>
  <c r="BF80" i="113"/>
  <c r="BF79" i="113"/>
  <c r="BF78" i="113"/>
  <c r="BF77" i="113"/>
  <c r="BF76" i="113"/>
  <c r="BF75" i="113"/>
  <c r="BF74" i="113"/>
  <c r="BF73" i="113"/>
  <c r="BF72" i="113"/>
  <c r="BF71" i="113"/>
  <c r="BF70" i="113"/>
  <c r="BF69" i="113"/>
  <c r="BF68" i="113"/>
  <c r="BF67" i="113"/>
  <c r="BF66" i="113"/>
  <c r="BF65" i="113"/>
  <c r="BF64" i="113"/>
  <c r="BF63" i="113"/>
  <c r="BF62" i="113"/>
  <c r="BF61" i="113"/>
  <c r="BF60" i="113"/>
  <c r="BF59" i="113"/>
  <c r="BF58" i="113"/>
  <c r="BF57" i="113"/>
  <c r="BF56" i="113"/>
  <c r="BF55" i="113"/>
  <c r="BF54" i="113"/>
  <c r="BF53" i="113"/>
  <c r="BF52" i="113"/>
  <c r="BF51" i="113"/>
  <c r="BF50" i="113"/>
  <c r="BF49" i="113"/>
  <c r="BF48" i="113"/>
  <c r="BF47" i="113"/>
  <c r="BF46" i="113"/>
  <c r="BF45" i="113"/>
  <c r="BF44" i="113"/>
  <c r="BF43" i="113"/>
  <c r="BF42" i="113"/>
  <c r="BF41" i="113"/>
  <c r="BF40" i="113"/>
  <c r="BF39" i="113"/>
  <c r="BF38" i="113"/>
  <c r="BF37" i="113"/>
  <c r="BF36" i="113"/>
  <c r="BF35" i="113"/>
  <c r="BF34" i="113"/>
  <c r="BF33" i="113"/>
  <c r="BF32" i="113"/>
  <c r="BF31" i="113"/>
  <c r="BF30" i="113"/>
  <c r="BF29" i="113"/>
  <c r="BF28" i="113"/>
  <c r="BF27" i="113"/>
  <c r="BF26" i="113"/>
  <c r="BF25" i="113"/>
  <c r="BF24" i="113"/>
  <c r="BF23" i="113"/>
  <c r="BF22" i="113"/>
  <c r="BF21" i="113"/>
  <c r="BF20" i="113"/>
  <c r="BF19" i="113"/>
  <c r="BF18" i="113"/>
  <c r="BF17" i="113"/>
  <c r="BF16" i="113"/>
  <c r="BF15" i="113"/>
  <c r="BF14" i="113"/>
  <c r="BF13" i="113"/>
  <c r="BF12" i="113"/>
  <c r="BF11" i="113"/>
  <c r="BF10" i="113"/>
  <c r="BF9" i="113"/>
  <c r="BF8" i="113"/>
  <c r="BF7" i="113"/>
  <c r="BF6" i="113"/>
  <c r="BF5" i="113"/>
  <c r="I19" i="108" s="1"/>
  <c r="D19" i="108" l="1"/>
  <c r="AB4" i="53" l="1"/>
  <c r="J4" i="60"/>
  <c r="K4" i="60"/>
  <c r="L4" i="60"/>
  <c r="M4" i="60"/>
  <c r="N4" i="60"/>
  <c r="G6" i="62" l="1"/>
  <c r="G7" i="62"/>
  <c r="G8" i="62"/>
  <c r="G9" i="62"/>
  <c r="G10" i="62"/>
  <c r="G11" i="62"/>
  <c r="G12" i="62"/>
  <c r="G13" i="62"/>
  <c r="G14" i="62"/>
  <c r="G15" i="62"/>
  <c r="G16" i="62"/>
  <c r="G17" i="62"/>
  <c r="G18" i="62"/>
  <c r="G19" i="62"/>
  <c r="G20" i="62"/>
  <c r="G21" i="62"/>
  <c r="G22" i="62"/>
  <c r="G23" i="62"/>
  <c r="G24" i="62"/>
  <c r="G25" i="62"/>
  <c r="G26" i="62"/>
  <c r="G27" i="62"/>
  <c r="G28" i="62"/>
  <c r="G29" i="62"/>
  <c r="G30" i="62"/>
  <c r="G31" i="62"/>
  <c r="G32" i="62"/>
  <c r="G33" i="62"/>
  <c r="G34" i="62"/>
  <c r="G35" i="62"/>
  <c r="G36" i="62"/>
  <c r="G37" i="62"/>
  <c r="G38" i="62"/>
  <c r="G39" i="62"/>
  <c r="G40" i="62"/>
  <c r="G41" i="62"/>
  <c r="G42" i="62"/>
  <c r="G43" i="62"/>
  <c r="G44" i="62"/>
  <c r="G45" i="62"/>
  <c r="G46" i="62"/>
  <c r="G47" i="62"/>
  <c r="G48" i="62"/>
  <c r="G49" i="62"/>
  <c r="G50" i="62"/>
  <c r="G51" i="62"/>
  <c r="G52" i="62"/>
  <c r="G53" i="62"/>
  <c r="G54" i="62"/>
  <c r="G55" i="62"/>
  <c r="G56" i="62"/>
  <c r="G57" i="62"/>
  <c r="G58" i="62"/>
  <c r="G59" i="62"/>
  <c r="G60" i="62"/>
  <c r="G61" i="62"/>
  <c r="G62" i="62"/>
  <c r="G63" i="62"/>
  <c r="G64" i="62"/>
  <c r="G65" i="62"/>
  <c r="G66" i="62"/>
  <c r="G67" i="62"/>
  <c r="G68" i="62"/>
  <c r="G69" i="62"/>
  <c r="G70" i="62"/>
  <c r="G71" i="62"/>
  <c r="G72" i="62"/>
  <c r="G73" i="62"/>
  <c r="G74" i="62"/>
  <c r="G75" i="62"/>
  <c r="G76" i="62"/>
  <c r="G77" i="62"/>
  <c r="G78" i="62"/>
  <c r="G79" i="62"/>
  <c r="G80" i="62"/>
  <c r="G81" i="62"/>
  <c r="G82" i="62"/>
  <c r="G83" i="62"/>
  <c r="G84" i="62"/>
  <c r="G85" i="62"/>
  <c r="G86" i="62"/>
  <c r="G87" i="62"/>
  <c r="G88" i="62"/>
  <c r="G89" i="62"/>
  <c r="G90" i="62"/>
  <c r="G91" i="62"/>
  <c r="G92" i="62"/>
  <c r="G93" i="62"/>
  <c r="G94" i="62"/>
  <c r="G95" i="62"/>
  <c r="G96" i="62"/>
  <c r="G97" i="62"/>
  <c r="G98" i="62"/>
  <c r="G99" i="62"/>
  <c r="G100" i="62"/>
  <c r="G101" i="62"/>
  <c r="G102" i="62"/>
  <c r="G103" i="62"/>
  <c r="G104" i="62"/>
  <c r="G105" i="62"/>
  <c r="G106" i="62"/>
  <c r="G107" i="62"/>
  <c r="G108" i="62"/>
  <c r="G109" i="62"/>
  <c r="G110" i="62"/>
  <c r="G111" i="62"/>
  <c r="G112" i="62"/>
  <c r="G113" i="62"/>
  <c r="G114" i="62"/>
  <c r="G115" i="62"/>
  <c r="G116" i="62"/>
  <c r="G117" i="62"/>
  <c r="G118" i="62"/>
  <c r="G119" i="62"/>
  <c r="G120" i="62"/>
  <c r="G121" i="62"/>
  <c r="G122" i="62"/>
  <c r="G123" i="62"/>
  <c r="G124" i="62"/>
  <c r="G5" i="62"/>
  <c r="F6" i="62"/>
  <c r="F7" i="62"/>
  <c r="F8" i="62"/>
  <c r="F9" i="62"/>
  <c r="F10" i="62"/>
  <c r="F11" i="62"/>
  <c r="F12" i="62"/>
  <c r="F13" i="62"/>
  <c r="F14" i="62"/>
  <c r="F15" i="62"/>
  <c r="F16" i="62"/>
  <c r="F17" i="62"/>
  <c r="F18" i="62"/>
  <c r="F19" i="62"/>
  <c r="F20" i="62"/>
  <c r="F21" i="62"/>
  <c r="F22" i="62"/>
  <c r="F23" i="62"/>
  <c r="F24" i="62"/>
  <c r="F25" i="62"/>
  <c r="F26" i="62"/>
  <c r="F27" i="62"/>
  <c r="F28" i="62"/>
  <c r="F29" i="62"/>
  <c r="F30" i="62"/>
  <c r="F31" i="62"/>
  <c r="F32" i="62"/>
  <c r="F33" i="62"/>
  <c r="F34" i="62"/>
  <c r="F35" i="62"/>
  <c r="F36" i="62"/>
  <c r="F37" i="62"/>
  <c r="F38" i="62"/>
  <c r="F39" i="62"/>
  <c r="F40" i="62"/>
  <c r="F41" i="62"/>
  <c r="F42" i="62"/>
  <c r="F43" i="62"/>
  <c r="F44" i="62"/>
  <c r="F45" i="62"/>
  <c r="F46" i="62"/>
  <c r="F47" i="62"/>
  <c r="F48" i="62"/>
  <c r="F49" i="62"/>
  <c r="F50" i="62"/>
  <c r="F51" i="62"/>
  <c r="F52" i="62"/>
  <c r="F53" i="62"/>
  <c r="F54" i="62"/>
  <c r="F55" i="62"/>
  <c r="F56" i="62"/>
  <c r="F57" i="62"/>
  <c r="F58" i="62"/>
  <c r="F59" i="62"/>
  <c r="F60" i="62"/>
  <c r="F61" i="62"/>
  <c r="F62" i="62"/>
  <c r="F63" i="62"/>
  <c r="F64" i="62"/>
  <c r="F65" i="62"/>
  <c r="F66" i="62"/>
  <c r="F67" i="62"/>
  <c r="F68" i="62"/>
  <c r="F69" i="62"/>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5" i="62"/>
  <c r="E6" i="62"/>
  <c r="Q7" i="79" s="1"/>
  <c r="E7" i="62"/>
  <c r="Q8" i="79" s="1"/>
  <c r="E8" i="62"/>
  <c r="Q9" i="79" s="1"/>
  <c r="E9" i="62"/>
  <c r="Q10" i="79" s="1"/>
  <c r="E10" i="62"/>
  <c r="Q11" i="79" s="1"/>
  <c r="E11" i="62"/>
  <c r="Q12" i="79" s="1"/>
  <c r="E12" i="62"/>
  <c r="Q13" i="79" s="1"/>
  <c r="E13" i="62"/>
  <c r="Q14" i="79" s="1"/>
  <c r="E14" i="62"/>
  <c r="Q15" i="79" s="1"/>
  <c r="E15" i="62"/>
  <c r="Q16" i="79" s="1"/>
  <c r="E16" i="62"/>
  <c r="Q17" i="79" s="1"/>
  <c r="E17" i="62"/>
  <c r="Q18" i="79" s="1"/>
  <c r="E18" i="62"/>
  <c r="Q19" i="79" s="1"/>
  <c r="E19" i="62"/>
  <c r="Q20" i="79" s="1"/>
  <c r="E20" i="62"/>
  <c r="Q21" i="79" s="1"/>
  <c r="E21" i="62"/>
  <c r="Q22" i="79" s="1"/>
  <c r="E22" i="62"/>
  <c r="Q23" i="79" s="1"/>
  <c r="E23" i="62"/>
  <c r="Q24" i="79" s="1"/>
  <c r="E24" i="62"/>
  <c r="Q25" i="79" s="1"/>
  <c r="E25" i="62"/>
  <c r="Q26" i="79" s="1"/>
  <c r="E26" i="62"/>
  <c r="Q27" i="79" s="1"/>
  <c r="E27" i="62"/>
  <c r="Q28" i="79" s="1"/>
  <c r="E28" i="62"/>
  <c r="Q29" i="79" s="1"/>
  <c r="E29" i="62"/>
  <c r="Q30" i="79" s="1"/>
  <c r="E30" i="62"/>
  <c r="Q31" i="79" s="1"/>
  <c r="E31" i="62"/>
  <c r="Q32" i="79" s="1"/>
  <c r="E32" i="62"/>
  <c r="Q33" i="79" s="1"/>
  <c r="E33" i="62"/>
  <c r="Q34" i="79" s="1"/>
  <c r="E34" i="62"/>
  <c r="Q35" i="79" s="1"/>
  <c r="E35" i="62"/>
  <c r="Q36" i="79" s="1"/>
  <c r="E36" i="62"/>
  <c r="Q37" i="79" s="1"/>
  <c r="E37" i="62"/>
  <c r="Q38" i="79" s="1"/>
  <c r="E38" i="62"/>
  <c r="Q39" i="79" s="1"/>
  <c r="E39" i="62"/>
  <c r="Q40" i="79" s="1"/>
  <c r="E40" i="62"/>
  <c r="Q41" i="79" s="1"/>
  <c r="E41" i="62"/>
  <c r="Q42" i="79" s="1"/>
  <c r="E42" i="62"/>
  <c r="Q43" i="79" s="1"/>
  <c r="E43" i="62"/>
  <c r="Q44" i="79" s="1"/>
  <c r="E44" i="62"/>
  <c r="Q45" i="79" s="1"/>
  <c r="E45" i="62"/>
  <c r="Q46" i="79" s="1"/>
  <c r="E46" i="62"/>
  <c r="Q47" i="79" s="1"/>
  <c r="E47" i="62"/>
  <c r="Q48" i="79" s="1"/>
  <c r="E48" i="62"/>
  <c r="Q49" i="79" s="1"/>
  <c r="E49" i="62"/>
  <c r="Q50" i="79" s="1"/>
  <c r="E50" i="62"/>
  <c r="Q51" i="79" s="1"/>
  <c r="E51" i="62"/>
  <c r="Q52" i="79" s="1"/>
  <c r="E52" i="62"/>
  <c r="Q53" i="79" s="1"/>
  <c r="E53" i="62"/>
  <c r="Q54" i="79" s="1"/>
  <c r="E54" i="62"/>
  <c r="Q55" i="79" s="1"/>
  <c r="E55" i="62"/>
  <c r="Q56" i="79" s="1"/>
  <c r="E56" i="62"/>
  <c r="Q57" i="79" s="1"/>
  <c r="E57" i="62"/>
  <c r="Q58" i="79" s="1"/>
  <c r="E58" i="62"/>
  <c r="Q59" i="79" s="1"/>
  <c r="E59" i="62"/>
  <c r="Q60" i="79" s="1"/>
  <c r="E60" i="62"/>
  <c r="Q61" i="79" s="1"/>
  <c r="E61" i="62"/>
  <c r="Q62" i="79" s="1"/>
  <c r="E62" i="62"/>
  <c r="Q63" i="79" s="1"/>
  <c r="E63" i="62"/>
  <c r="Q64" i="79" s="1"/>
  <c r="E64" i="62"/>
  <c r="Q65" i="79" s="1"/>
  <c r="E65" i="62"/>
  <c r="Q66" i="79" s="1"/>
  <c r="E66" i="62"/>
  <c r="Q67" i="79" s="1"/>
  <c r="E67" i="62"/>
  <c r="Q68" i="79" s="1"/>
  <c r="E68" i="62"/>
  <c r="Q69" i="79" s="1"/>
  <c r="E69" i="62"/>
  <c r="Q70" i="79" s="1"/>
  <c r="E70" i="62"/>
  <c r="Q71" i="79" s="1"/>
  <c r="E71" i="62"/>
  <c r="Q72" i="79" s="1"/>
  <c r="E72" i="62"/>
  <c r="Q73" i="79" s="1"/>
  <c r="E73" i="62"/>
  <c r="Q74" i="79" s="1"/>
  <c r="E74" i="62"/>
  <c r="Q75" i="79" s="1"/>
  <c r="E75" i="62"/>
  <c r="Q76" i="79" s="1"/>
  <c r="E76" i="62"/>
  <c r="Q77" i="79" s="1"/>
  <c r="E77" i="62"/>
  <c r="Q78" i="79" s="1"/>
  <c r="E78" i="62"/>
  <c r="Q79" i="79" s="1"/>
  <c r="E79" i="62"/>
  <c r="Q80" i="79" s="1"/>
  <c r="E80" i="62"/>
  <c r="Q81" i="79" s="1"/>
  <c r="E81" i="62"/>
  <c r="Q82" i="79" s="1"/>
  <c r="E82" i="62"/>
  <c r="Q83" i="79" s="1"/>
  <c r="E83" i="62"/>
  <c r="Q84" i="79" s="1"/>
  <c r="E84" i="62"/>
  <c r="Q85" i="79" s="1"/>
  <c r="E85" i="62"/>
  <c r="Q86" i="79" s="1"/>
  <c r="E86" i="62"/>
  <c r="Q87" i="79" s="1"/>
  <c r="E87" i="62"/>
  <c r="Q88" i="79" s="1"/>
  <c r="E88" i="62"/>
  <c r="Q89" i="79" s="1"/>
  <c r="E89" i="62"/>
  <c r="Q90" i="79" s="1"/>
  <c r="E90" i="62"/>
  <c r="Q91" i="79" s="1"/>
  <c r="E91" i="62"/>
  <c r="Q92" i="79" s="1"/>
  <c r="E92" i="62"/>
  <c r="Q93" i="79" s="1"/>
  <c r="E93" i="62"/>
  <c r="Q94" i="79" s="1"/>
  <c r="E94" i="62"/>
  <c r="Q95" i="79" s="1"/>
  <c r="E95" i="62"/>
  <c r="Q96" i="79" s="1"/>
  <c r="E96" i="62"/>
  <c r="Q97" i="79" s="1"/>
  <c r="E97" i="62"/>
  <c r="Q98" i="79" s="1"/>
  <c r="E98" i="62"/>
  <c r="Q99" i="79" s="1"/>
  <c r="E99" i="62"/>
  <c r="Q100" i="79" s="1"/>
  <c r="E100" i="62"/>
  <c r="Q101" i="79" s="1"/>
  <c r="E101" i="62"/>
  <c r="Q102" i="79" s="1"/>
  <c r="E102" i="62"/>
  <c r="Q103" i="79" s="1"/>
  <c r="E103" i="62"/>
  <c r="Q104" i="79" s="1"/>
  <c r="E104" i="62"/>
  <c r="Q105" i="79" s="1"/>
  <c r="E105" i="62"/>
  <c r="Q106" i="79" s="1"/>
  <c r="E106" i="62"/>
  <c r="Q107" i="79" s="1"/>
  <c r="E107" i="62"/>
  <c r="Q108" i="79" s="1"/>
  <c r="E108" i="62"/>
  <c r="Q109" i="79" s="1"/>
  <c r="E109" i="62"/>
  <c r="Q110" i="79" s="1"/>
  <c r="E110" i="62"/>
  <c r="Q111" i="79" s="1"/>
  <c r="E111" i="62"/>
  <c r="Q112" i="79" s="1"/>
  <c r="E112" i="62"/>
  <c r="Q113" i="79" s="1"/>
  <c r="E113" i="62"/>
  <c r="Q114" i="79" s="1"/>
  <c r="E114" i="62"/>
  <c r="Q115" i="79" s="1"/>
  <c r="E115" i="62"/>
  <c r="Q116" i="79" s="1"/>
  <c r="E116" i="62"/>
  <c r="Q117" i="79" s="1"/>
  <c r="E117" i="62"/>
  <c r="Q118" i="79" s="1"/>
  <c r="E118" i="62"/>
  <c r="Q119" i="79" s="1"/>
  <c r="E119" i="62"/>
  <c r="Q120" i="79" s="1"/>
  <c r="E120" i="62"/>
  <c r="Q121" i="79" s="1"/>
  <c r="E121" i="62"/>
  <c r="Q122" i="79" s="1"/>
  <c r="E122" i="62"/>
  <c r="Q123" i="79" s="1"/>
  <c r="E123" i="62"/>
  <c r="Q124" i="79" s="1"/>
  <c r="E124" i="62"/>
  <c r="Q125" i="79" s="1"/>
  <c r="E5" i="62"/>
  <c r="Q6" i="79" s="1"/>
  <c r="D6" i="62"/>
  <c r="P7" i="79" s="1"/>
  <c r="D7" i="62"/>
  <c r="P8" i="79" s="1"/>
  <c r="D8" i="62"/>
  <c r="P9" i="79" s="1"/>
  <c r="D9" i="62"/>
  <c r="P10" i="79" s="1"/>
  <c r="D10" i="62"/>
  <c r="P11" i="79" s="1"/>
  <c r="D11" i="62"/>
  <c r="P12" i="79" s="1"/>
  <c r="D12" i="62"/>
  <c r="P13" i="79" s="1"/>
  <c r="D13" i="62"/>
  <c r="P14" i="79" s="1"/>
  <c r="D14" i="62"/>
  <c r="P15" i="79" s="1"/>
  <c r="D15" i="62"/>
  <c r="P16" i="79" s="1"/>
  <c r="D16" i="62"/>
  <c r="P17" i="79" s="1"/>
  <c r="D17" i="62"/>
  <c r="D18" i="62"/>
  <c r="P19" i="79" s="1"/>
  <c r="D19" i="62"/>
  <c r="P20" i="79" s="1"/>
  <c r="D20" i="62"/>
  <c r="P21" i="79" s="1"/>
  <c r="D21" i="62"/>
  <c r="D22" i="62"/>
  <c r="P23" i="79" s="1"/>
  <c r="D23" i="62"/>
  <c r="P24" i="79" s="1"/>
  <c r="D24" i="62"/>
  <c r="P25" i="79" s="1"/>
  <c r="D25" i="62"/>
  <c r="P26" i="79" s="1"/>
  <c r="D26" i="62"/>
  <c r="P27" i="79" s="1"/>
  <c r="D27" i="62"/>
  <c r="P28" i="79" s="1"/>
  <c r="D28" i="62"/>
  <c r="P29" i="79" s="1"/>
  <c r="D29" i="62"/>
  <c r="P30" i="79" s="1"/>
  <c r="D30" i="62"/>
  <c r="P31" i="79" s="1"/>
  <c r="D31" i="62"/>
  <c r="P32" i="79" s="1"/>
  <c r="D32" i="62"/>
  <c r="P33" i="79" s="1"/>
  <c r="D33" i="62"/>
  <c r="D34" i="62"/>
  <c r="P35" i="79" s="1"/>
  <c r="D35" i="62"/>
  <c r="P36" i="79" s="1"/>
  <c r="D36" i="62"/>
  <c r="P37" i="79" s="1"/>
  <c r="D37" i="62"/>
  <c r="D38" i="62"/>
  <c r="P39" i="79" s="1"/>
  <c r="D39" i="62"/>
  <c r="P40" i="79" s="1"/>
  <c r="D40" i="62"/>
  <c r="P41" i="79" s="1"/>
  <c r="D41" i="62"/>
  <c r="P42" i="79" s="1"/>
  <c r="D42" i="62"/>
  <c r="P43" i="79" s="1"/>
  <c r="D43" i="62"/>
  <c r="P44" i="79" s="1"/>
  <c r="D44" i="62"/>
  <c r="P45" i="79" s="1"/>
  <c r="D45" i="62"/>
  <c r="P46" i="79" s="1"/>
  <c r="D46" i="62"/>
  <c r="P47" i="79" s="1"/>
  <c r="D47" i="62"/>
  <c r="P48" i="79" s="1"/>
  <c r="D48" i="62"/>
  <c r="P49" i="79" s="1"/>
  <c r="D49" i="62"/>
  <c r="D50" i="62"/>
  <c r="P51" i="79" s="1"/>
  <c r="D51" i="62"/>
  <c r="P52" i="79" s="1"/>
  <c r="D52" i="62"/>
  <c r="P53" i="79" s="1"/>
  <c r="D53" i="62"/>
  <c r="D54" i="62"/>
  <c r="P55" i="79" s="1"/>
  <c r="D55" i="62"/>
  <c r="P56" i="79" s="1"/>
  <c r="D56" i="62"/>
  <c r="P57" i="79" s="1"/>
  <c r="D57" i="62"/>
  <c r="P58" i="79" s="1"/>
  <c r="D58" i="62"/>
  <c r="P59" i="79" s="1"/>
  <c r="D59" i="62"/>
  <c r="P60" i="79" s="1"/>
  <c r="D60" i="62"/>
  <c r="P61" i="79" s="1"/>
  <c r="D61" i="62"/>
  <c r="P62" i="79" s="1"/>
  <c r="D62" i="62"/>
  <c r="P63" i="79" s="1"/>
  <c r="D63" i="62"/>
  <c r="P64" i="79" s="1"/>
  <c r="D64" i="62"/>
  <c r="P65" i="79" s="1"/>
  <c r="D65" i="62"/>
  <c r="D66" i="62"/>
  <c r="P67" i="79" s="1"/>
  <c r="D67" i="62"/>
  <c r="P68" i="79" s="1"/>
  <c r="D68" i="62"/>
  <c r="P69" i="79" s="1"/>
  <c r="D69" i="62"/>
  <c r="D70" i="62"/>
  <c r="P71" i="79" s="1"/>
  <c r="D71" i="62"/>
  <c r="P72" i="79" s="1"/>
  <c r="D72" i="62"/>
  <c r="P73" i="79" s="1"/>
  <c r="D73" i="62"/>
  <c r="P74" i="79" s="1"/>
  <c r="D74" i="62"/>
  <c r="P75" i="79" s="1"/>
  <c r="D75" i="62"/>
  <c r="P76" i="79" s="1"/>
  <c r="D76" i="62"/>
  <c r="P77" i="79" s="1"/>
  <c r="D77" i="62"/>
  <c r="P78" i="79" s="1"/>
  <c r="D78" i="62"/>
  <c r="P79" i="79" s="1"/>
  <c r="D79" i="62"/>
  <c r="P80" i="79" s="1"/>
  <c r="D80" i="62"/>
  <c r="P81" i="79" s="1"/>
  <c r="D81" i="62"/>
  <c r="D82" i="62"/>
  <c r="P83" i="79" s="1"/>
  <c r="D83" i="62"/>
  <c r="P84" i="79" s="1"/>
  <c r="D84" i="62"/>
  <c r="P85" i="79" s="1"/>
  <c r="D85" i="62"/>
  <c r="D86" i="62"/>
  <c r="P87" i="79" s="1"/>
  <c r="D87" i="62"/>
  <c r="P88" i="79" s="1"/>
  <c r="D88" i="62"/>
  <c r="P89" i="79" s="1"/>
  <c r="D89" i="62"/>
  <c r="P90" i="79" s="1"/>
  <c r="D90" i="62"/>
  <c r="P91" i="79" s="1"/>
  <c r="D91" i="62"/>
  <c r="P92" i="79" s="1"/>
  <c r="D92" i="62"/>
  <c r="P93" i="79" s="1"/>
  <c r="D93" i="62"/>
  <c r="P94" i="79" s="1"/>
  <c r="D94" i="62"/>
  <c r="P95" i="79" s="1"/>
  <c r="D95" i="62"/>
  <c r="P96" i="79" s="1"/>
  <c r="D96" i="62"/>
  <c r="P97" i="79" s="1"/>
  <c r="D97" i="62"/>
  <c r="D98" i="62"/>
  <c r="P99" i="79" s="1"/>
  <c r="D99" i="62"/>
  <c r="P100" i="79" s="1"/>
  <c r="D100" i="62"/>
  <c r="P101" i="79" s="1"/>
  <c r="D101" i="62"/>
  <c r="D102" i="62"/>
  <c r="P103" i="79" s="1"/>
  <c r="D103" i="62"/>
  <c r="P104" i="79" s="1"/>
  <c r="D104" i="62"/>
  <c r="P105" i="79" s="1"/>
  <c r="D105" i="62"/>
  <c r="P106" i="79" s="1"/>
  <c r="D106" i="62"/>
  <c r="P107" i="79" s="1"/>
  <c r="D107" i="62"/>
  <c r="P108" i="79" s="1"/>
  <c r="D108" i="62"/>
  <c r="P109" i="79" s="1"/>
  <c r="D109" i="62"/>
  <c r="P110" i="79" s="1"/>
  <c r="D110" i="62"/>
  <c r="P111" i="79" s="1"/>
  <c r="D111" i="62"/>
  <c r="P112" i="79" s="1"/>
  <c r="D112" i="62"/>
  <c r="P113" i="79" s="1"/>
  <c r="D113" i="62"/>
  <c r="D114" i="62"/>
  <c r="P115" i="79" s="1"/>
  <c r="D115" i="62"/>
  <c r="P116" i="79" s="1"/>
  <c r="D116" i="62"/>
  <c r="P117" i="79" s="1"/>
  <c r="D117" i="62"/>
  <c r="D118" i="62"/>
  <c r="P119" i="79" s="1"/>
  <c r="D119" i="62"/>
  <c r="P120" i="79" s="1"/>
  <c r="D120" i="62"/>
  <c r="P121" i="79" s="1"/>
  <c r="D121" i="62"/>
  <c r="P122" i="79" s="1"/>
  <c r="D122" i="62"/>
  <c r="P123" i="79" s="1"/>
  <c r="D123" i="62"/>
  <c r="P124" i="79" s="1"/>
  <c r="D124" i="62"/>
  <c r="P125" i="79" s="1"/>
  <c r="D5" i="62"/>
  <c r="P6" i="79" s="1"/>
  <c r="I117" i="62" l="1"/>
  <c r="P118" i="79"/>
  <c r="I113" i="62"/>
  <c r="P114" i="79"/>
  <c r="I101" i="62"/>
  <c r="P102" i="79"/>
  <c r="I97" i="62"/>
  <c r="P98" i="79"/>
  <c r="I85" i="62"/>
  <c r="P86" i="79"/>
  <c r="I81" i="62"/>
  <c r="P82" i="79"/>
  <c r="I69" i="62"/>
  <c r="P70" i="79"/>
  <c r="I65" i="62"/>
  <c r="P66" i="79"/>
  <c r="I53" i="62"/>
  <c r="P54" i="79"/>
  <c r="I49" i="62"/>
  <c r="P50" i="79"/>
  <c r="I37" i="62"/>
  <c r="P38" i="79"/>
  <c r="I33" i="62"/>
  <c r="P34" i="79"/>
  <c r="I21" i="62"/>
  <c r="P22" i="79"/>
  <c r="I17" i="62"/>
  <c r="P18" i="79"/>
  <c r="Q5" i="79"/>
  <c r="I109" i="62"/>
  <c r="I93" i="62"/>
  <c r="I77" i="62"/>
  <c r="I61" i="62"/>
  <c r="I45" i="62"/>
  <c r="I29" i="62"/>
  <c r="I13" i="62"/>
  <c r="I121" i="62"/>
  <c r="I105" i="62"/>
  <c r="I89" i="62"/>
  <c r="I73" i="62"/>
  <c r="I57" i="62"/>
  <c r="I41" i="62"/>
  <c r="I25" i="62"/>
  <c r="I9" i="62"/>
  <c r="I123" i="62"/>
  <c r="I115" i="62"/>
  <c r="I107" i="62"/>
  <c r="I99" i="62"/>
  <c r="I91" i="62"/>
  <c r="I83" i="62"/>
  <c r="I75" i="62"/>
  <c r="I67" i="62"/>
  <c r="I59" i="62"/>
  <c r="I51" i="62"/>
  <c r="I43" i="62"/>
  <c r="I35" i="62"/>
  <c r="I27" i="62"/>
  <c r="I19" i="62"/>
  <c r="I11" i="62"/>
  <c r="I119" i="62"/>
  <c r="I111" i="62"/>
  <c r="I103" i="62"/>
  <c r="I95" i="62"/>
  <c r="I87" i="62"/>
  <c r="I79" i="62"/>
  <c r="I71" i="62"/>
  <c r="I63" i="62"/>
  <c r="I55" i="62"/>
  <c r="I47" i="62"/>
  <c r="I39" i="62"/>
  <c r="I31" i="62"/>
  <c r="I23" i="62"/>
  <c r="I15" i="62"/>
  <c r="I7" i="62"/>
  <c r="I122" i="62"/>
  <c r="I118" i="62"/>
  <c r="I114" i="62"/>
  <c r="I110" i="62"/>
  <c r="I106" i="62"/>
  <c r="I102" i="62"/>
  <c r="I98" i="62"/>
  <c r="I94" i="62"/>
  <c r="I90" i="62"/>
  <c r="I86" i="62"/>
  <c r="I82" i="62"/>
  <c r="I78" i="62"/>
  <c r="I74" i="62"/>
  <c r="I70" i="62"/>
  <c r="I66" i="62"/>
  <c r="I62" i="62"/>
  <c r="I58" i="62"/>
  <c r="I54" i="62"/>
  <c r="I50" i="62"/>
  <c r="I46" i="62"/>
  <c r="I42" i="62"/>
  <c r="I38" i="62"/>
  <c r="I34" i="62"/>
  <c r="I30" i="62"/>
  <c r="I26" i="62"/>
  <c r="I22" i="62"/>
  <c r="I18" i="62"/>
  <c r="I14" i="62"/>
  <c r="I10" i="62"/>
  <c r="I6" i="62"/>
  <c r="I124" i="62"/>
  <c r="I120" i="62"/>
  <c r="I116" i="62"/>
  <c r="I112" i="62"/>
  <c r="I108" i="62"/>
  <c r="I104" i="62"/>
  <c r="I100" i="62"/>
  <c r="I96" i="62"/>
  <c r="I92" i="62"/>
  <c r="I88" i="62"/>
  <c r="I84" i="62"/>
  <c r="I80" i="62"/>
  <c r="I76" i="62"/>
  <c r="I72" i="62"/>
  <c r="I68" i="62"/>
  <c r="I64" i="62"/>
  <c r="I60" i="62"/>
  <c r="I56" i="62"/>
  <c r="I52" i="62"/>
  <c r="I48" i="62"/>
  <c r="I44" i="62"/>
  <c r="I40" i="62"/>
  <c r="I36" i="62"/>
  <c r="I32" i="62"/>
  <c r="I28" i="62"/>
  <c r="I24" i="62"/>
  <c r="I20" i="62"/>
  <c r="I16" i="62"/>
  <c r="I12" i="62"/>
  <c r="I8" i="62"/>
  <c r="AU124" i="53"/>
  <c r="AU123" i="53"/>
  <c r="AU122" i="53"/>
  <c r="AU121" i="53"/>
  <c r="AU120" i="53"/>
  <c r="AU119" i="53"/>
  <c r="AU118" i="53"/>
  <c r="AU117" i="53"/>
  <c r="AU116" i="53"/>
  <c r="AU115" i="53"/>
  <c r="AU114" i="53"/>
  <c r="AU113" i="53"/>
  <c r="AU112" i="53"/>
  <c r="AU111" i="53"/>
  <c r="AU110" i="53"/>
  <c r="AU109" i="53"/>
  <c r="AU108" i="53"/>
  <c r="AU107" i="53"/>
  <c r="AU106" i="53"/>
  <c r="AU105" i="53"/>
  <c r="AU104" i="53"/>
  <c r="AU103" i="53"/>
  <c r="AU102" i="53"/>
  <c r="AU101" i="53"/>
  <c r="AU100" i="53"/>
  <c r="AU99" i="53"/>
  <c r="AU98" i="53"/>
  <c r="AU97" i="53"/>
  <c r="AU96" i="53"/>
  <c r="AU95" i="53"/>
  <c r="AU94" i="53"/>
  <c r="AU93" i="53"/>
  <c r="AU92" i="53"/>
  <c r="AU91" i="53"/>
  <c r="AU90" i="53"/>
  <c r="AU89" i="53"/>
  <c r="AU88" i="53"/>
  <c r="AU87" i="53"/>
  <c r="AU86" i="53"/>
  <c r="AU85" i="53"/>
  <c r="AU84" i="53"/>
  <c r="AU83" i="53"/>
  <c r="AU82" i="53"/>
  <c r="AU81" i="53"/>
  <c r="AU80" i="53"/>
  <c r="AU79" i="53"/>
  <c r="AU78" i="53"/>
  <c r="AU77" i="53"/>
  <c r="AU76" i="53"/>
  <c r="AU75" i="53"/>
  <c r="AU74" i="53"/>
  <c r="AU73" i="53"/>
  <c r="AU72" i="53"/>
  <c r="AU71" i="53"/>
  <c r="AU70" i="53"/>
  <c r="AU69" i="53"/>
  <c r="AU68" i="53"/>
  <c r="AU67" i="53"/>
  <c r="AU66" i="53"/>
  <c r="AU65" i="53"/>
  <c r="AU64" i="53"/>
  <c r="AU63" i="53"/>
  <c r="AU62" i="53"/>
  <c r="AU61" i="53"/>
  <c r="AU60" i="53"/>
  <c r="AU59" i="53"/>
  <c r="AU58" i="53"/>
  <c r="AU57" i="53"/>
  <c r="AU56" i="53"/>
  <c r="AU55" i="53"/>
  <c r="AU54" i="53"/>
  <c r="AU53" i="53"/>
  <c r="AU52" i="53"/>
  <c r="AU51" i="53"/>
  <c r="AU50" i="53"/>
  <c r="AU49" i="53"/>
  <c r="AU48" i="53"/>
  <c r="AU47" i="53"/>
  <c r="AU46" i="53"/>
  <c r="AU45" i="53"/>
  <c r="AU44" i="53"/>
  <c r="AU43" i="53"/>
  <c r="AU42" i="53"/>
  <c r="AU41" i="53"/>
  <c r="AU40" i="53"/>
  <c r="AU39" i="53"/>
  <c r="AU38" i="53"/>
  <c r="AU37" i="53"/>
  <c r="AU36" i="53"/>
  <c r="AU35" i="53"/>
  <c r="AU34" i="53"/>
  <c r="AU33" i="53"/>
  <c r="AU32" i="53"/>
  <c r="AU31" i="53"/>
  <c r="AU30" i="53"/>
  <c r="AU29" i="53"/>
  <c r="AU28" i="53"/>
  <c r="AU27" i="53"/>
  <c r="AU26" i="53"/>
  <c r="AU25" i="53"/>
  <c r="AU24" i="53"/>
  <c r="AU23" i="53"/>
  <c r="AU22" i="53"/>
  <c r="AU21" i="53"/>
  <c r="AU20" i="53"/>
  <c r="AU19" i="53"/>
  <c r="AU18" i="53"/>
  <c r="AU17" i="53"/>
  <c r="AU16" i="53"/>
  <c r="AU15" i="53"/>
  <c r="AU14" i="53"/>
  <c r="AU13" i="53"/>
  <c r="AU12" i="53"/>
  <c r="AU11" i="53"/>
  <c r="AU10" i="53"/>
  <c r="AU9" i="53"/>
  <c r="AU8" i="53"/>
  <c r="AU7" i="53"/>
  <c r="AU6" i="53"/>
  <c r="AU5" i="53"/>
  <c r="AT4" i="53"/>
  <c r="AS4" i="53"/>
  <c r="AR4" i="53"/>
  <c r="AQ4" i="53"/>
  <c r="AP4" i="53"/>
  <c r="I7" i="79"/>
  <c r="I30" i="79"/>
  <c r="I31" i="79"/>
  <c r="I33" i="79"/>
  <c r="I34" i="79"/>
  <c r="I48" i="79"/>
  <c r="I49" i="79"/>
  <c r="I50" i="79"/>
  <c r="I51" i="79"/>
  <c r="I52" i="79"/>
  <c r="I53" i="79"/>
  <c r="I54" i="79"/>
  <c r="I86" i="79"/>
  <c r="I87" i="79"/>
  <c r="I88" i="79"/>
  <c r="I89" i="79"/>
  <c r="I101" i="79"/>
  <c r="I6" i="79"/>
  <c r="H7" i="79"/>
  <c r="H30" i="79"/>
  <c r="H31" i="79"/>
  <c r="H33" i="79"/>
  <c r="H34" i="79"/>
  <c r="H48" i="79"/>
  <c r="H49" i="79"/>
  <c r="H50" i="79"/>
  <c r="H51" i="79"/>
  <c r="H53" i="79"/>
  <c r="H54" i="79"/>
  <c r="H86" i="79"/>
  <c r="H87" i="79"/>
  <c r="H89" i="79"/>
  <c r="H101" i="79"/>
  <c r="H6" i="79"/>
  <c r="AM89" i="60"/>
  <c r="P5" i="79" l="1"/>
  <c r="H120" i="79"/>
  <c r="H84" i="79"/>
  <c r="H72" i="79"/>
  <c r="I120" i="79"/>
  <c r="I84" i="79"/>
  <c r="H115" i="79"/>
  <c r="H67" i="79"/>
  <c r="H63" i="79"/>
  <c r="H27" i="79"/>
  <c r="H23" i="79"/>
  <c r="I115" i="79"/>
  <c r="I67" i="79"/>
  <c r="I63" i="79"/>
  <c r="I27" i="79"/>
  <c r="I23" i="79"/>
  <c r="H110" i="79"/>
  <c r="H106" i="79"/>
  <c r="H123" i="79"/>
  <c r="H111" i="79"/>
  <c r="H107" i="79"/>
  <c r="H103" i="79"/>
  <c r="H91" i="79"/>
  <c r="H79" i="79"/>
  <c r="H75" i="79"/>
  <c r="H59" i="79"/>
  <c r="H55" i="79"/>
  <c r="H43" i="79"/>
  <c r="H39" i="79"/>
  <c r="H35" i="79"/>
  <c r="H19" i="79"/>
  <c r="H15" i="79"/>
  <c r="H11" i="79"/>
  <c r="I123" i="79"/>
  <c r="I111" i="79"/>
  <c r="I107" i="79"/>
  <c r="I103" i="79"/>
  <c r="I91" i="79"/>
  <c r="I79" i="79"/>
  <c r="I75" i="79"/>
  <c r="I59" i="79"/>
  <c r="I55" i="79"/>
  <c r="I43" i="79"/>
  <c r="I39" i="79"/>
  <c r="I35" i="79"/>
  <c r="I19" i="79"/>
  <c r="I15" i="79"/>
  <c r="I11" i="79"/>
  <c r="H38" i="79"/>
  <c r="H18" i="79"/>
  <c r="H10" i="79"/>
  <c r="I110" i="79"/>
  <c r="I106" i="79"/>
  <c r="I78" i="79"/>
  <c r="I58" i="79"/>
  <c r="I42" i="79"/>
  <c r="I38" i="79"/>
  <c r="I14" i="79"/>
  <c r="I10" i="79"/>
  <c r="I72" i="79"/>
  <c r="H58" i="79"/>
  <c r="I32" i="79"/>
  <c r="H116" i="79"/>
  <c r="H108" i="79"/>
  <c r="H104" i="79"/>
  <c r="H96" i="79"/>
  <c r="H92" i="79"/>
  <c r="H80" i="79"/>
  <c r="H76" i="79"/>
  <c r="H68" i="79"/>
  <c r="H64" i="79"/>
  <c r="H60" i="79"/>
  <c r="H56" i="79"/>
  <c r="H44" i="79"/>
  <c r="H40" i="79"/>
  <c r="H36" i="79"/>
  <c r="H28" i="79"/>
  <c r="H24" i="79"/>
  <c r="H20" i="79"/>
  <c r="H16" i="79"/>
  <c r="H12" i="79"/>
  <c r="H8" i="79"/>
  <c r="I116" i="79"/>
  <c r="I108" i="79"/>
  <c r="I104" i="79"/>
  <c r="I96" i="79"/>
  <c r="I92" i="79"/>
  <c r="I80" i="79"/>
  <c r="I76" i="79"/>
  <c r="I68" i="79"/>
  <c r="I64" i="79"/>
  <c r="I60" i="79"/>
  <c r="I56" i="79"/>
  <c r="I44" i="79"/>
  <c r="I40" i="79"/>
  <c r="I36" i="79"/>
  <c r="I28" i="79"/>
  <c r="I24" i="79"/>
  <c r="I20" i="79"/>
  <c r="I16" i="79"/>
  <c r="I12" i="79"/>
  <c r="I8" i="79"/>
  <c r="H124" i="79"/>
  <c r="I124" i="79"/>
  <c r="H112" i="79"/>
  <c r="I112" i="79"/>
  <c r="H95" i="79"/>
  <c r="I95" i="79"/>
  <c r="H88" i="79"/>
  <c r="H78" i="79"/>
  <c r="H52" i="79"/>
  <c r="H42" i="79"/>
  <c r="H32" i="79"/>
  <c r="H100" i="79"/>
  <c r="I100" i="79"/>
  <c r="H99" i="79"/>
  <c r="H83" i="79"/>
  <c r="H71" i="79"/>
  <c r="H47" i="79"/>
  <c r="I83" i="79"/>
  <c r="I47" i="79"/>
  <c r="H122" i="79"/>
  <c r="H118" i="79"/>
  <c r="H114" i="79"/>
  <c r="H102" i="79"/>
  <c r="H98" i="79"/>
  <c r="H94" i="79"/>
  <c r="H90" i="79"/>
  <c r="H82" i="79"/>
  <c r="H74" i="79"/>
  <c r="H70" i="79"/>
  <c r="H66" i="79"/>
  <c r="H62" i="79"/>
  <c r="H46" i="79"/>
  <c r="H26" i="79"/>
  <c r="H22" i="79"/>
  <c r="H14" i="79"/>
  <c r="I122" i="79"/>
  <c r="I118" i="79"/>
  <c r="I114" i="79"/>
  <c r="I102" i="79"/>
  <c r="I98" i="79"/>
  <c r="I94" i="79"/>
  <c r="I90" i="79"/>
  <c r="I82" i="79"/>
  <c r="I74" i="79"/>
  <c r="I70" i="79"/>
  <c r="I66" i="79"/>
  <c r="I62" i="79"/>
  <c r="I46" i="79"/>
  <c r="I26" i="79"/>
  <c r="I22" i="79"/>
  <c r="I18" i="79"/>
  <c r="H119" i="79"/>
  <c r="I119" i="79"/>
  <c r="I99" i="79"/>
  <c r="I71" i="79"/>
  <c r="H125" i="79"/>
  <c r="H121" i="79"/>
  <c r="H117" i="79"/>
  <c r="H113" i="79"/>
  <c r="H109" i="79"/>
  <c r="H105" i="79"/>
  <c r="H97" i="79"/>
  <c r="H93" i="79"/>
  <c r="H85" i="79"/>
  <c r="H81" i="79"/>
  <c r="H77" i="79"/>
  <c r="H73" i="79"/>
  <c r="H69" i="79"/>
  <c r="H65" i="79"/>
  <c r="H61" i="79"/>
  <c r="H57" i="79"/>
  <c r="H45" i="79"/>
  <c r="H41" i="79"/>
  <c r="H37" i="79"/>
  <c r="H29" i="79"/>
  <c r="H25" i="79"/>
  <c r="H21" i="79"/>
  <c r="H17" i="79"/>
  <c r="H13" i="79"/>
  <c r="H9" i="79"/>
  <c r="I125" i="79"/>
  <c r="I121" i="79"/>
  <c r="I117" i="79"/>
  <c r="I113" i="79"/>
  <c r="I109" i="79"/>
  <c r="I105" i="79"/>
  <c r="I97" i="79"/>
  <c r="I93" i="79"/>
  <c r="I85" i="79"/>
  <c r="I81" i="79"/>
  <c r="I77" i="79"/>
  <c r="I73" i="79"/>
  <c r="I69" i="79"/>
  <c r="I65" i="79"/>
  <c r="I61" i="79"/>
  <c r="I57" i="79"/>
  <c r="I45" i="79"/>
  <c r="I41" i="79"/>
  <c r="I37" i="79"/>
  <c r="I29" i="79"/>
  <c r="I25" i="79"/>
  <c r="I21" i="79"/>
  <c r="I17" i="79"/>
  <c r="I13" i="79"/>
  <c r="I9" i="79"/>
  <c r="AU4" i="53"/>
  <c r="AS131" i="53"/>
  <c r="AR131" i="53"/>
  <c r="AQ131" i="53"/>
  <c r="AU128" i="53"/>
  <c r="AP131" i="53"/>
  <c r="AT131" i="53"/>
  <c r="AU129" i="53"/>
  <c r="AU130" i="53"/>
  <c r="AU126" i="53"/>
  <c r="AU127" i="53"/>
  <c r="AU131" i="53" l="1"/>
  <c r="G6" i="57"/>
  <c r="F7" i="118" s="1"/>
  <c r="G100" i="57"/>
  <c r="F101" i="118" s="1"/>
  <c r="G7" i="57"/>
  <c r="F8" i="118" s="1"/>
  <c r="G8" i="57"/>
  <c r="F9" i="118" s="1"/>
  <c r="G9" i="57"/>
  <c r="F10" i="118" s="1"/>
  <c r="G10" i="57"/>
  <c r="F11" i="118" s="1"/>
  <c r="G11" i="57"/>
  <c r="F12" i="118" s="1"/>
  <c r="G12" i="57"/>
  <c r="F13" i="118" s="1"/>
  <c r="G13" i="57"/>
  <c r="F14" i="118" s="1"/>
  <c r="G14" i="57"/>
  <c r="F15" i="118" s="1"/>
  <c r="G15" i="57"/>
  <c r="F16" i="118" s="1"/>
  <c r="G16" i="57"/>
  <c r="F17" i="118" s="1"/>
  <c r="G101" i="57"/>
  <c r="F102" i="118" s="1"/>
  <c r="G17" i="57"/>
  <c r="F18" i="118" s="1"/>
  <c r="G18" i="57"/>
  <c r="F19" i="118" s="1"/>
  <c r="G19" i="57"/>
  <c r="F20" i="118" s="1"/>
  <c r="G20" i="57"/>
  <c r="F21" i="118" s="1"/>
  <c r="G21" i="57"/>
  <c r="F22" i="118" s="1"/>
  <c r="G22" i="57"/>
  <c r="F23" i="118" s="1"/>
  <c r="G23" i="57"/>
  <c r="F24" i="118" s="1"/>
  <c r="G24" i="57"/>
  <c r="F25" i="118" s="1"/>
  <c r="G102" i="57"/>
  <c r="F103" i="118" s="1"/>
  <c r="G103" i="57"/>
  <c r="F104" i="118" s="1"/>
  <c r="G25" i="57"/>
  <c r="F26" i="118" s="1"/>
  <c r="G26" i="57"/>
  <c r="F27" i="118" s="1"/>
  <c r="G27" i="57"/>
  <c r="F28" i="118" s="1"/>
  <c r="G28" i="57"/>
  <c r="F29" i="118" s="1"/>
  <c r="G29" i="57"/>
  <c r="F30" i="118" s="1"/>
  <c r="G104" i="57"/>
  <c r="F105" i="118" s="1"/>
  <c r="G30" i="57"/>
  <c r="F31" i="118" s="1"/>
  <c r="G31" i="57"/>
  <c r="F32" i="118" s="1"/>
  <c r="G32" i="57"/>
  <c r="F33" i="118" s="1"/>
  <c r="G33" i="57"/>
  <c r="F34" i="118" s="1"/>
  <c r="G34" i="57"/>
  <c r="F35" i="118" s="1"/>
  <c r="G35" i="57"/>
  <c r="F36" i="118" s="1"/>
  <c r="G36" i="57"/>
  <c r="F37" i="118" s="1"/>
  <c r="G105" i="57"/>
  <c r="F106" i="118" s="1"/>
  <c r="G37" i="57"/>
  <c r="F38" i="118" s="1"/>
  <c r="G38" i="57"/>
  <c r="F39" i="118" s="1"/>
  <c r="G106" i="57"/>
  <c r="F107" i="118" s="1"/>
  <c r="G107" i="57"/>
  <c r="F108" i="118" s="1"/>
  <c r="G39" i="57"/>
  <c r="F40" i="118" s="1"/>
  <c r="G40" i="57"/>
  <c r="F41" i="118" s="1"/>
  <c r="G41" i="57"/>
  <c r="F42" i="118" s="1"/>
  <c r="G42" i="57"/>
  <c r="F43" i="118" s="1"/>
  <c r="G43" i="57"/>
  <c r="F44" i="118" s="1"/>
  <c r="G44" i="57"/>
  <c r="F45" i="118" s="1"/>
  <c r="G45" i="57"/>
  <c r="F46" i="118" s="1"/>
  <c r="G108" i="57"/>
  <c r="F109" i="118" s="1"/>
  <c r="G46" i="57"/>
  <c r="F47" i="118" s="1"/>
  <c r="G47" i="57"/>
  <c r="F48" i="118" s="1"/>
  <c r="G48" i="57"/>
  <c r="F49" i="118" s="1"/>
  <c r="G49" i="57"/>
  <c r="F50" i="118" s="1"/>
  <c r="G109" i="57"/>
  <c r="F110" i="118" s="1"/>
  <c r="G50" i="57"/>
  <c r="F51" i="118" s="1"/>
  <c r="G51" i="57"/>
  <c r="F52" i="118" s="1"/>
  <c r="G52" i="57"/>
  <c r="F53" i="118" s="1"/>
  <c r="G53" i="57"/>
  <c r="F54" i="118" s="1"/>
  <c r="G54" i="57"/>
  <c r="F55" i="118" s="1"/>
  <c r="G55" i="57"/>
  <c r="F56" i="118" s="1"/>
  <c r="G56" i="57"/>
  <c r="F57" i="118" s="1"/>
  <c r="G57" i="57"/>
  <c r="F58" i="118" s="1"/>
  <c r="G58" i="57"/>
  <c r="F59" i="118" s="1"/>
  <c r="G59" i="57"/>
  <c r="F60" i="118" s="1"/>
  <c r="G110" i="57"/>
  <c r="F111" i="118" s="1"/>
  <c r="G60" i="57"/>
  <c r="F61" i="118" s="1"/>
  <c r="G111" i="57"/>
  <c r="F112" i="118" s="1"/>
  <c r="G112" i="57"/>
  <c r="F113" i="118" s="1"/>
  <c r="G61" i="57"/>
  <c r="F62" i="118" s="1"/>
  <c r="G62" i="57"/>
  <c r="F63" i="118" s="1"/>
  <c r="G63" i="57"/>
  <c r="F64" i="118" s="1"/>
  <c r="G64" i="57"/>
  <c r="F65" i="118" s="1"/>
  <c r="G65" i="57"/>
  <c r="F66" i="118" s="1"/>
  <c r="G66" i="57"/>
  <c r="F67" i="118" s="1"/>
  <c r="G113" i="57"/>
  <c r="F114" i="118" s="1"/>
  <c r="G114" i="57"/>
  <c r="F115" i="118" s="1"/>
  <c r="G67" i="57"/>
  <c r="F68" i="118" s="1"/>
  <c r="G68" i="57"/>
  <c r="F69" i="118" s="1"/>
  <c r="G115" i="57"/>
  <c r="F116" i="118" s="1"/>
  <c r="G69" i="57"/>
  <c r="F70" i="118" s="1"/>
  <c r="G70" i="57"/>
  <c r="F71" i="118" s="1"/>
  <c r="G71" i="57"/>
  <c r="F72" i="118" s="1"/>
  <c r="G72" i="57"/>
  <c r="F73" i="118" s="1"/>
  <c r="G116" i="57"/>
  <c r="F117" i="118" s="1"/>
  <c r="G73" i="57"/>
  <c r="F74" i="118" s="1"/>
  <c r="G117" i="57"/>
  <c r="F118" i="118" s="1"/>
  <c r="G74" i="57"/>
  <c r="F75" i="118" s="1"/>
  <c r="G75" i="57"/>
  <c r="F76" i="118" s="1"/>
  <c r="G76" i="57"/>
  <c r="F77" i="118" s="1"/>
  <c r="G77" i="57"/>
  <c r="F78" i="118" s="1"/>
  <c r="G78" i="57"/>
  <c r="F79" i="118" s="1"/>
  <c r="G118" i="57"/>
  <c r="F119" i="118" s="1"/>
  <c r="G79" i="57"/>
  <c r="F80" i="118" s="1"/>
  <c r="G119" i="57"/>
  <c r="F120" i="118" s="1"/>
  <c r="G80" i="57"/>
  <c r="F81" i="118" s="1"/>
  <c r="G120" i="57"/>
  <c r="F121" i="118" s="1"/>
  <c r="G81" i="57"/>
  <c r="F82" i="118" s="1"/>
  <c r="G82" i="57"/>
  <c r="F83" i="118" s="1"/>
  <c r="G83" i="57"/>
  <c r="F84" i="118" s="1"/>
  <c r="G84" i="57"/>
  <c r="F85" i="118" s="1"/>
  <c r="G85" i="57"/>
  <c r="F86" i="118" s="1"/>
  <c r="G86" i="57"/>
  <c r="F87" i="118" s="1"/>
  <c r="G87" i="57"/>
  <c r="F88" i="118" s="1"/>
  <c r="G88" i="57"/>
  <c r="F89" i="118" s="1"/>
  <c r="G89" i="57"/>
  <c r="F90" i="118" s="1"/>
  <c r="G90" i="57"/>
  <c r="F91" i="118" s="1"/>
  <c r="G121" i="57"/>
  <c r="F122" i="118" s="1"/>
  <c r="G91" i="57"/>
  <c r="F92" i="118" s="1"/>
  <c r="G92" i="57"/>
  <c r="F93" i="118" s="1"/>
  <c r="G93" i="57"/>
  <c r="F94" i="118" s="1"/>
  <c r="G122" i="57"/>
  <c r="F123" i="118" s="1"/>
  <c r="G94" i="57"/>
  <c r="F95" i="118" s="1"/>
  <c r="G95" i="57"/>
  <c r="F96" i="118" s="1"/>
  <c r="G96" i="57"/>
  <c r="F97" i="118" s="1"/>
  <c r="G123" i="57"/>
  <c r="F124" i="118" s="1"/>
  <c r="G124" i="57"/>
  <c r="F125" i="118" s="1"/>
  <c r="G97" i="57"/>
  <c r="F98" i="118" s="1"/>
  <c r="G98" i="57"/>
  <c r="F99" i="118" s="1"/>
  <c r="G99" i="57"/>
  <c r="F100" i="118" s="1"/>
  <c r="G5" i="57"/>
  <c r="F6" i="118" s="1"/>
  <c r="H6" i="57"/>
  <c r="H100" i="57"/>
  <c r="H7" i="57"/>
  <c r="H8" i="57"/>
  <c r="H9" i="57"/>
  <c r="H10" i="57"/>
  <c r="H11" i="57"/>
  <c r="H12" i="57"/>
  <c r="H13" i="57"/>
  <c r="H14" i="57"/>
  <c r="H15" i="57"/>
  <c r="H16" i="57"/>
  <c r="H101" i="57"/>
  <c r="H17" i="57"/>
  <c r="H18" i="57"/>
  <c r="H19" i="57"/>
  <c r="H20" i="57"/>
  <c r="H21" i="57"/>
  <c r="H22" i="57"/>
  <c r="H23" i="57"/>
  <c r="H24" i="57"/>
  <c r="H102" i="57"/>
  <c r="H103" i="57"/>
  <c r="H25" i="57"/>
  <c r="H26" i="57"/>
  <c r="H27" i="57"/>
  <c r="H28" i="57"/>
  <c r="H29" i="57"/>
  <c r="H104" i="57"/>
  <c r="H30" i="57"/>
  <c r="H31" i="57"/>
  <c r="H32" i="57"/>
  <c r="H33" i="57"/>
  <c r="H34" i="57"/>
  <c r="H35" i="57"/>
  <c r="H36" i="57"/>
  <c r="H105" i="57"/>
  <c r="H37" i="57"/>
  <c r="H38" i="57"/>
  <c r="H106" i="57"/>
  <c r="H107" i="57"/>
  <c r="H39" i="57"/>
  <c r="H40" i="57"/>
  <c r="H41" i="57"/>
  <c r="H42" i="57"/>
  <c r="H43" i="57"/>
  <c r="H44" i="57"/>
  <c r="H45" i="57"/>
  <c r="H108" i="57"/>
  <c r="H46" i="57"/>
  <c r="H47" i="57"/>
  <c r="H48" i="57"/>
  <c r="H49" i="57"/>
  <c r="H109" i="57"/>
  <c r="H50" i="57"/>
  <c r="H51" i="57"/>
  <c r="H52" i="57"/>
  <c r="H53" i="57"/>
  <c r="H54" i="57"/>
  <c r="H55" i="57"/>
  <c r="H56" i="57"/>
  <c r="H57" i="57"/>
  <c r="H58" i="57"/>
  <c r="H59" i="57"/>
  <c r="H110" i="57"/>
  <c r="H60" i="57"/>
  <c r="H111" i="57"/>
  <c r="H112" i="57"/>
  <c r="H61" i="57"/>
  <c r="H62" i="57"/>
  <c r="H63" i="57"/>
  <c r="H64" i="57"/>
  <c r="H65" i="57"/>
  <c r="H66" i="57"/>
  <c r="H113" i="57"/>
  <c r="H114" i="57"/>
  <c r="H67" i="57"/>
  <c r="H68" i="57"/>
  <c r="H115" i="57"/>
  <c r="H69" i="57"/>
  <c r="H70" i="57"/>
  <c r="H71" i="57"/>
  <c r="H72" i="57"/>
  <c r="H116" i="57"/>
  <c r="H73" i="57"/>
  <c r="H117" i="57"/>
  <c r="H74" i="57"/>
  <c r="H75" i="57"/>
  <c r="H76" i="57"/>
  <c r="H77" i="57"/>
  <c r="H78" i="57"/>
  <c r="H118" i="57"/>
  <c r="H79" i="57"/>
  <c r="H119" i="57"/>
  <c r="H80" i="57"/>
  <c r="H120" i="57"/>
  <c r="H81" i="57"/>
  <c r="H82" i="57"/>
  <c r="H83" i="57"/>
  <c r="H84" i="57"/>
  <c r="H85" i="57"/>
  <c r="H86" i="57"/>
  <c r="H87" i="57"/>
  <c r="H88" i="57"/>
  <c r="H89" i="57"/>
  <c r="H90" i="57"/>
  <c r="H121" i="57"/>
  <c r="H91" i="57"/>
  <c r="H92" i="57"/>
  <c r="H93" i="57"/>
  <c r="H122" i="57"/>
  <c r="H94" i="57"/>
  <c r="H95" i="57"/>
  <c r="H96" i="57"/>
  <c r="H123" i="57"/>
  <c r="H124" i="57"/>
  <c r="H97" i="57"/>
  <c r="H98" i="57"/>
  <c r="H99" i="57"/>
  <c r="H5" i="57"/>
  <c r="K4" i="57"/>
  <c r="K131" i="57" l="1"/>
  <c r="S130" i="24"/>
  <c r="S129" i="24"/>
  <c r="S128" i="24"/>
  <c r="S127" i="24"/>
  <c r="S126" i="24"/>
  <c r="S99" i="24"/>
  <c r="S98" i="24"/>
  <c r="S97" i="24"/>
  <c r="S124" i="24"/>
  <c r="S123" i="24"/>
  <c r="S96" i="24"/>
  <c r="S95" i="24"/>
  <c r="S94" i="24"/>
  <c r="S122" i="24"/>
  <c r="S93" i="24"/>
  <c r="S92" i="24"/>
  <c r="S91" i="24"/>
  <c r="S121" i="24"/>
  <c r="S90" i="24"/>
  <c r="S89" i="24"/>
  <c r="S88" i="24"/>
  <c r="S87" i="24"/>
  <c r="S86" i="24"/>
  <c r="S85" i="24"/>
  <c r="S84" i="24"/>
  <c r="S83" i="24"/>
  <c r="S82" i="24"/>
  <c r="S81" i="24"/>
  <c r="S120" i="24"/>
  <c r="S80" i="24"/>
  <c r="S119" i="24"/>
  <c r="S79" i="24"/>
  <c r="S118" i="24"/>
  <c r="S78" i="24"/>
  <c r="S77" i="24"/>
  <c r="S76" i="24"/>
  <c r="S75" i="24"/>
  <c r="S74" i="24"/>
  <c r="S117" i="24"/>
  <c r="S73" i="24"/>
  <c r="S116" i="24"/>
  <c r="S72" i="24"/>
  <c r="S71" i="24"/>
  <c r="S70" i="24"/>
  <c r="S69" i="24"/>
  <c r="S115" i="24"/>
  <c r="S68" i="24"/>
  <c r="S67" i="24"/>
  <c r="S114" i="24"/>
  <c r="S113" i="24"/>
  <c r="S66" i="24"/>
  <c r="S65" i="24"/>
  <c r="S64" i="24"/>
  <c r="S63" i="24"/>
  <c r="S62" i="24"/>
  <c r="S61" i="24"/>
  <c r="S112" i="24"/>
  <c r="S111" i="24"/>
  <c r="S60" i="24"/>
  <c r="S110" i="24"/>
  <c r="S59" i="24"/>
  <c r="S58" i="24"/>
  <c r="S57" i="24"/>
  <c r="S56" i="24"/>
  <c r="S55" i="24"/>
  <c r="S54" i="24"/>
  <c r="S53" i="24"/>
  <c r="S52" i="24"/>
  <c r="S51" i="24"/>
  <c r="S50" i="24"/>
  <c r="S109" i="24"/>
  <c r="S49" i="24"/>
  <c r="S48" i="24"/>
  <c r="S47" i="24"/>
  <c r="S46" i="24"/>
  <c r="S108" i="24"/>
  <c r="S45" i="24"/>
  <c r="S44" i="24"/>
  <c r="S43" i="24"/>
  <c r="S42" i="24"/>
  <c r="S41" i="24"/>
  <c r="S40" i="24"/>
  <c r="S39" i="24"/>
  <c r="S107" i="24"/>
  <c r="S106" i="24"/>
  <c r="S38" i="24"/>
  <c r="S37" i="24"/>
  <c r="S105" i="24"/>
  <c r="S36" i="24"/>
  <c r="S35" i="24"/>
  <c r="S34" i="24"/>
  <c r="S33" i="24"/>
  <c r="S32" i="24"/>
  <c r="S31" i="24"/>
  <c r="S30" i="24"/>
  <c r="S104" i="24"/>
  <c r="S29" i="24"/>
  <c r="S28" i="24"/>
  <c r="S27" i="24"/>
  <c r="S26" i="24"/>
  <c r="S25" i="24"/>
  <c r="S103" i="24"/>
  <c r="S102" i="24"/>
  <c r="S24" i="24"/>
  <c r="S23" i="24"/>
  <c r="S22" i="24"/>
  <c r="S21" i="24"/>
  <c r="S20" i="24"/>
  <c r="S19" i="24"/>
  <c r="S18" i="24"/>
  <c r="S17" i="24"/>
  <c r="S101" i="24"/>
  <c r="S16" i="24"/>
  <c r="S15" i="24"/>
  <c r="S14" i="24"/>
  <c r="S13" i="24"/>
  <c r="S12" i="24"/>
  <c r="S11" i="24"/>
  <c r="S10" i="24"/>
  <c r="S9" i="24"/>
  <c r="S8" i="24"/>
  <c r="S7" i="24"/>
  <c r="S100" i="24"/>
  <c r="S6" i="24"/>
  <c r="S5" i="24"/>
  <c r="BA4" i="24"/>
  <c r="AZ4" i="24"/>
  <c r="S4" i="24" l="1"/>
  <c r="F52" i="1" s="1"/>
  <c r="O99" i="115"/>
  <c r="O98" i="115"/>
  <c r="O97" i="115"/>
  <c r="O124" i="115"/>
  <c r="O123" i="115"/>
  <c r="O96" i="115"/>
  <c r="O95" i="115"/>
  <c r="O94" i="115"/>
  <c r="O122" i="115"/>
  <c r="O93" i="115"/>
  <c r="O92" i="115"/>
  <c r="O91" i="115"/>
  <c r="O121" i="115"/>
  <c r="O90" i="115"/>
  <c r="O89" i="115"/>
  <c r="O88" i="115"/>
  <c r="O87" i="115"/>
  <c r="O86" i="115"/>
  <c r="O85" i="115"/>
  <c r="O84" i="115"/>
  <c r="O83" i="115"/>
  <c r="O82" i="115"/>
  <c r="O81" i="115"/>
  <c r="O120" i="115"/>
  <c r="O80" i="115"/>
  <c r="O119" i="115"/>
  <c r="O79" i="115"/>
  <c r="O118" i="115"/>
  <c r="O78" i="115"/>
  <c r="O77" i="115"/>
  <c r="O76" i="115"/>
  <c r="O75" i="115"/>
  <c r="O74" i="115"/>
  <c r="O117" i="115"/>
  <c r="O73" i="115"/>
  <c r="O116" i="115"/>
  <c r="O72" i="115"/>
  <c r="O71" i="115"/>
  <c r="O70" i="115"/>
  <c r="O69" i="115"/>
  <c r="O115" i="115"/>
  <c r="O68" i="115"/>
  <c r="O67" i="115"/>
  <c r="O114" i="115"/>
  <c r="O113" i="115"/>
  <c r="O66" i="115"/>
  <c r="O65" i="115"/>
  <c r="O64" i="115"/>
  <c r="O63" i="115"/>
  <c r="O62" i="115"/>
  <c r="O61" i="115"/>
  <c r="O112" i="115"/>
  <c r="O111" i="115"/>
  <c r="O60" i="115"/>
  <c r="O110" i="115"/>
  <c r="O59" i="115"/>
  <c r="O58" i="115"/>
  <c r="O57" i="115"/>
  <c r="O56" i="115"/>
  <c r="O55" i="115"/>
  <c r="O54" i="115"/>
  <c r="O53" i="115"/>
  <c r="O52" i="115"/>
  <c r="O51" i="115"/>
  <c r="O50" i="115"/>
  <c r="O109" i="115"/>
  <c r="O49" i="115"/>
  <c r="O48" i="115"/>
  <c r="O47" i="115"/>
  <c r="O46" i="115"/>
  <c r="O108" i="115"/>
  <c r="O45" i="115"/>
  <c r="O44" i="115"/>
  <c r="O43" i="115"/>
  <c r="O42" i="115"/>
  <c r="O41" i="115"/>
  <c r="O40" i="115"/>
  <c r="O39" i="115"/>
  <c r="O107" i="115"/>
  <c r="O106" i="115"/>
  <c r="O38" i="115"/>
  <c r="O37" i="115"/>
  <c r="O105" i="115"/>
  <c r="O36" i="115"/>
  <c r="O35" i="115"/>
  <c r="O34" i="115"/>
  <c r="O33" i="115"/>
  <c r="O32" i="115"/>
  <c r="O31" i="115"/>
  <c r="O30" i="115"/>
  <c r="O104" i="115"/>
  <c r="O29" i="115"/>
  <c r="O28" i="115"/>
  <c r="O27" i="115"/>
  <c r="O26" i="115"/>
  <c r="O25" i="115"/>
  <c r="O103" i="115"/>
  <c r="O102" i="115"/>
  <c r="O24" i="115"/>
  <c r="O23" i="115"/>
  <c r="O22" i="115"/>
  <c r="O21" i="115"/>
  <c r="O20" i="115"/>
  <c r="O19" i="115"/>
  <c r="O18" i="115"/>
  <c r="O17" i="115"/>
  <c r="O101" i="115"/>
  <c r="O16" i="115"/>
  <c r="O15" i="115"/>
  <c r="O14" i="115"/>
  <c r="O13" i="115"/>
  <c r="O12" i="115"/>
  <c r="O11" i="115"/>
  <c r="O10" i="115"/>
  <c r="O9" i="115"/>
  <c r="O8" i="115"/>
  <c r="O7" i="115"/>
  <c r="O100" i="115"/>
  <c r="O6" i="115"/>
  <c r="O5" i="115"/>
  <c r="S4" i="115"/>
  <c r="R4" i="115"/>
  <c r="P4" i="115"/>
  <c r="H4" i="115"/>
  <c r="G4" i="115"/>
  <c r="F4" i="115"/>
  <c r="E4" i="115"/>
  <c r="D4" i="115"/>
  <c r="Q4" i="115" l="1"/>
  <c r="O4" i="115"/>
  <c r="H5" i="91" l="1"/>
  <c r="AC124" i="92" l="1"/>
  <c r="AC123" i="92"/>
  <c r="AC122" i="92"/>
  <c r="AC121" i="92"/>
  <c r="AC120" i="92"/>
  <c r="AC119" i="92"/>
  <c r="AC118" i="92"/>
  <c r="AC117" i="92"/>
  <c r="AC116" i="92"/>
  <c r="AC115" i="92"/>
  <c r="AC114" i="92"/>
  <c r="AC113" i="92"/>
  <c r="AC112" i="92"/>
  <c r="AC111" i="92"/>
  <c r="AC110" i="92"/>
  <c r="AC109" i="92"/>
  <c r="AC108" i="92"/>
  <c r="AC107" i="92"/>
  <c r="AC106" i="92"/>
  <c r="AC105" i="92"/>
  <c r="AC104" i="92"/>
  <c r="AC103" i="92"/>
  <c r="AC102" i="92"/>
  <c r="AC101" i="92"/>
  <c r="AC100" i="92"/>
  <c r="AC99" i="92"/>
  <c r="AC98" i="92"/>
  <c r="AC97" i="92"/>
  <c r="AC96" i="92"/>
  <c r="AC95" i="92"/>
  <c r="AC94" i="92"/>
  <c r="AC93" i="92"/>
  <c r="AC92" i="92"/>
  <c r="AC91" i="92"/>
  <c r="AC90" i="92"/>
  <c r="AC89" i="92"/>
  <c r="AC88" i="92"/>
  <c r="AC87" i="92"/>
  <c r="AC86" i="92"/>
  <c r="AC85" i="92"/>
  <c r="AC84" i="92"/>
  <c r="AC83" i="92"/>
  <c r="AC82" i="92"/>
  <c r="AC81" i="92"/>
  <c r="AC80" i="92"/>
  <c r="AC79" i="92"/>
  <c r="AC78" i="92"/>
  <c r="AC77" i="92"/>
  <c r="AC76" i="92"/>
  <c r="AC75" i="92"/>
  <c r="AC74" i="92"/>
  <c r="AC73" i="92"/>
  <c r="AC72" i="92"/>
  <c r="AC71" i="92"/>
  <c r="AC70" i="92"/>
  <c r="AC69" i="92"/>
  <c r="AC68" i="92"/>
  <c r="AC67" i="92"/>
  <c r="AC66" i="92"/>
  <c r="AC65" i="92"/>
  <c r="AC64" i="92"/>
  <c r="AC63" i="92"/>
  <c r="AC62" i="92"/>
  <c r="AC61" i="92"/>
  <c r="AC60" i="92"/>
  <c r="AC59" i="92"/>
  <c r="AC58" i="92"/>
  <c r="AC57" i="92"/>
  <c r="AC56" i="92"/>
  <c r="AC55" i="92"/>
  <c r="AC54" i="92"/>
  <c r="AC53" i="92"/>
  <c r="AC52" i="92"/>
  <c r="AC51" i="92"/>
  <c r="AC50" i="92"/>
  <c r="AC49" i="92"/>
  <c r="AC48" i="92"/>
  <c r="AC47" i="92"/>
  <c r="AC46" i="92"/>
  <c r="AC45" i="92"/>
  <c r="AC44" i="92"/>
  <c r="AC43" i="92"/>
  <c r="AC42" i="92"/>
  <c r="AC41" i="92"/>
  <c r="AC40" i="92"/>
  <c r="AC39" i="92"/>
  <c r="AC38" i="92"/>
  <c r="AC37" i="92"/>
  <c r="AC36" i="92"/>
  <c r="AC35" i="92"/>
  <c r="AC34" i="92"/>
  <c r="AC33" i="92"/>
  <c r="AC32" i="92"/>
  <c r="AC31" i="92"/>
  <c r="AC30" i="92"/>
  <c r="AC29" i="92"/>
  <c r="AC28" i="92"/>
  <c r="AC27" i="92"/>
  <c r="AC26" i="92"/>
  <c r="AC25" i="92"/>
  <c r="AC24" i="92"/>
  <c r="AC23" i="92"/>
  <c r="AC22" i="92"/>
  <c r="AC21" i="92"/>
  <c r="AC20" i="92"/>
  <c r="AC19" i="92"/>
  <c r="AC18" i="92"/>
  <c r="AC17" i="92"/>
  <c r="AC16" i="92"/>
  <c r="AC15" i="92"/>
  <c r="AC14" i="92"/>
  <c r="AC13" i="92"/>
  <c r="AC12" i="92"/>
  <c r="AC11" i="92"/>
  <c r="AC10" i="92"/>
  <c r="AC9" i="92"/>
  <c r="AC8" i="92"/>
  <c r="AC7" i="92"/>
  <c r="AC6" i="92"/>
  <c r="AC5" i="92"/>
  <c r="AA4" i="92"/>
  <c r="Z4" i="92"/>
  <c r="Y4" i="92"/>
  <c r="O125" i="6"/>
  <c r="O124" i="6"/>
  <c r="O123" i="6"/>
  <c r="O122" i="6"/>
  <c r="O121" i="6"/>
  <c r="O120" i="6"/>
  <c r="O119" i="6"/>
  <c r="O118" i="6"/>
  <c r="O117" i="6"/>
  <c r="O116" i="6"/>
  <c r="O115" i="6"/>
  <c r="O114" i="6"/>
  <c r="O113" i="6"/>
  <c r="O112" i="6"/>
  <c r="O111" i="6"/>
  <c r="O110" i="6"/>
  <c r="O109" i="6"/>
  <c r="O108" i="6"/>
  <c r="O107" i="6"/>
  <c r="O106" i="6"/>
  <c r="O105" i="6"/>
  <c r="O104" i="6"/>
  <c r="O103" i="6"/>
  <c r="O102" i="6"/>
  <c r="O101" i="6"/>
  <c r="O100" i="6"/>
  <c r="O99" i="6"/>
  <c r="O98" i="6"/>
  <c r="O97" i="6"/>
  <c r="O96" i="6"/>
  <c r="O95" i="6"/>
  <c r="O94" i="6"/>
  <c r="O93" i="6"/>
  <c r="O92" i="6"/>
  <c r="O91" i="6"/>
  <c r="O90" i="6"/>
  <c r="O89" i="6"/>
  <c r="O88" i="6"/>
  <c r="O87" i="6"/>
  <c r="O86" i="6"/>
  <c r="O85" i="6"/>
  <c r="O84" i="6"/>
  <c r="O83" i="6"/>
  <c r="O82" i="6"/>
  <c r="O81" i="6"/>
  <c r="O80" i="6"/>
  <c r="O79" i="6"/>
  <c r="O78" i="6"/>
  <c r="O77" i="6"/>
  <c r="O76" i="6"/>
  <c r="O75" i="6"/>
  <c r="O74" i="6"/>
  <c r="O73" i="6"/>
  <c r="O72" i="6"/>
  <c r="O71" i="6"/>
  <c r="O70" i="6"/>
  <c r="O69" i="6"/>
  <c r="O68" i="6"/>
  <c r="O67" i="6"/>
  <c r="O66" i="6"/>
  <c r="O65" i="6"/>
  <c r="O64" i="6"/>
  <c r="O63" i="6"/>
  <c r="O62" i="6"/>
  <c r="O61" i="6"/>
  <c r="O60" i="6"/>
  <c r="O59" i="6"/>
  <c r="O58" i="6"/>
  <c r="O57" i="6"/>
  <c r="O56" i="6"/>
  <c r="O55" i="6"/>
  <c r="O54" i="6"/>
  <c r="O53" i="6"/>
  <c r="O52" i="6"/>
  <c r="O51" i="6"/>
  <c r="O50" i="6"/>
  <c r="O49" i="6"/>
  <c r="O48" i="6"/>
  <c r="O47" i="6"/>
  <c r="O46" i="6"/>
  <c r="O45" i="6"/>
  <c r="O44" i="6"/>
  <c r="O43" i="6"/>
  <c r="O42" i="6"/>
  <c r="O41" i="6"/>
  <c r="O40" i="6"/>
  <c r="O39" i="6"/>
  <c r="O38" i="6"/>
  <c r="O37" i="6"/>
  <c r="O36" i="6"/>
  <c r="O35" i="6"/>
  <c r="O34" i="6"/>
  <c r="O33" i="6"/>
  <c r="O32" i="6"/>
  <c r="O31" i="6"/>
  <c r="O30" i="6"/>
  <c r="O29" i="6"/>
  <c r="O28" i="6"/>
  <c r="O27" i="6"/>
  <c r="O26" i="6"/>
  <c r="O25" i="6"/>
  <c r="O24" i="6"/>
  <c r="O23" i="6"/>
  <c r="O22" i="6"/>
  <c r="O21" i="6"/>
  <c r="O20" i="6"/>
  <c r="O19" i="6"/>
  <c r="O18" i="6"/>
  <c r="O17" i="6"/>
  <c r="O16" i="6"/>
  <c r="O15" i="6"/>
  <c r="O14" i="6"/>
  <c r="O13" i="6"/>
  <c r="O12" i="6"/>
  <c r="O11" i="6"/>
  <c r="O10" i="6"/>
  <c r="O9" i="6"/>
  <c r="O8" i="6"/>
  <c r="O7" i="6"/>
  <c r="O6" i="6"/>
  <c r="H5" i="6"/>
  <c r="S124" i="92"/>
  <c r="S123" i="92"/>
  <c r="S122" i="92"/>
  <c r="S121" i="92"/>
  <c r="S120" i="92"/>
  <c r="S119" i="92"/>
  <c r="S118" i="92"/>
  <c r="S117" i="92"/>
  <c r="S116" i="92"/>
  <c r="S115" i="92"/>
  <c r="S114" i="92"/>
  <c r="S113" i="92"/>
  <c r="S112" i="92"/>
  <c r="S111" i="92"/>
  <c r="S110" i="92"/>
  <c r="S109" i="92"/>
  <c r="S108" i="92"/>
  <c r="S107" i="92"/>
  <c r="S106" i="92"/>
  <c r="S105" i="92"/>
  <c r="S104" i="92"/>
  <c r="S103" i="92"/>
  <c r="S102" i="92"/>
  <c r="S101" i="92"/>
  <c r="S100" i="92"/>
  <c r="S99" i="92"/>
  <c r="S98" i="92"/>
  <c r="S97" i="92"/>
  <c r="S96" i="92"/>
  <c r="S95" i="92"/>
  <c r="S94" i="92"/>
  <c r="S93" i="92"/>
  <c r="S92" i="92"/>
  <c r="S91" i="92"/>
  <c r="S90" i="92"/>
  <c r="S89" i="92"/>
  <c r="S88" i="92"/>
  <c r="S87" i="92"/>
  <c r="S86" i="92"/>
  <c r="S85" i="92"/>
  <c r="S84" i="92"/>
  <c r="S83" i="92"/>
  <c r="S82" i="92"/>
  <c r="S81" i="92"/>
  <c r="S80" i="92"/>
  <c r="S79" i="92"/>
  <c r="S78" i="92"/>
  <c r="S77" i="92"/>
  <c r="S76" i="92"/>
  <c r="S75" i="92"/>
  <c r="S74" i="92"/>
  <c r="S73" i="92"/>
  <c r="S72" i="92"/>
  <c r="S71" i="92"/>
  <c r="S70" i="92"/>
  <c r="S69" i="92"/>
  <c r="S68" i="92"/>
  <c r="S67" i="92"/>
  <c r="S66" i="92"/>
  <c r="S65" i="92"/>
  <c r="S64" i="92"/>
  <c r="S63" i="92"/>
  <c r="S62" i="92"/>
  <c r="S61" i="92"/>
  <c r="S60" i="92"/>
  <c r="S59" i="92"/>
  <c r="S58" i="92"/>
  <c r="S57" i="92"/>
  <c r="S56" i="92"/>
  <c r="S55" i="92"/>
  <c r="S54" i="92"/>
  <c r="S53" i="92"/>
  <c r="S52" i="92"/>
  <c r="S51" i="92"/>
  <c r="S50" i="92"/>
  <c r="S49" i="92"/>
  <c r="S48" i="92"/>
  <c r="S47" i="92"/>
  <c r="S46" i="92"/>
  <c r="S45" i="92"/>
  <c r="S44" i="92"/>
  <c r="S43" i="92"/>
  <c r="S42" i="92"/>
  <c r="S41" i="92"/>
  <c r="S40" i="92"/>
  <c r="S39" i="92"/>
  <c r="S38" i="92"/>
  <c r="S37" i="92"/>
  <c r="S36" i="92"/>
  <c r="S35" i="92"/>
  <c r="S34" i="92"/>
  <c r="S33" i="92"/>
  <c r="S32" i="92"/>
  <c r="S31" i="92"/>
  <c r="S30" i="92"/>
  <c r="S29" i="92"/>
  <c r="S28" i="92"/>
  <c r="S27" i="92"/>
  <c r="S26" i="92"/>
  <c r="S25" i="92"/>
  <c r="S24" i="92"/>
  <c r="S23" i="92"/>
  <c r="S22" i="92"/>
  <c r="S21" i="92"/>
  <c r="S20" i="92"/>
  <c r="S19" i="92"/>
  <c r="S18" i="92"/>
  <c r="S17" i="92"/>
  <c r="S16" i="92"/>
  <c r="S15" i="92"/>
  <c r="S14" i="92"/>
  <c r="S13" i="92"/>
  <c r="S12" i="92"/>
  <c r="S11" i="92"/>
  <c r="S10" i="92"/>
  <c r="S9" i="92"/>
  <c r="S8" i="92"/>
  <c r="S7" i="92"/>
  <c r="S6" i="92"/>
  <c r="S5" i="92"/>
  <c r="M124" i="122"/>
  <c r="M123" i="122"/>
  <c r="M122" i="122"/>
  <c r="M121" i="122"/>
  <c r="M120" i="122"/>
  <c r="M119" i="122"/>
  <c r="M118" i="122"/>
  <c r="M117" i="122"/>
  <c r="M116" i="122"/>
  <c r="M115" i="122"/>
  <c r="M114" i="122"/>
  <c r="M113" i="122"/>
  <c r="M112" i="122"/>
  <c r="M111" i="122"/>
  <c r="M110" i="122"/>
  <c r="M109" i="122"/>
  <c r="M108" i="122"/>
  <c r="M107" i="122"/>
  <c r="M106" i="122"/>
  <c r="M105" i="122"/>
  <c r="M104" i="122"/>
  <c r="M103" i="122"/>
  <c r="M102" i="122"/>
  <c r="M101" i="122"/>
  <c r="M100" i="122"/>
  <c r="M99" i="122"/>
  <c r="M98" i="122"/>
  <c r="M97" i="122"/>
  <c r="M96" i="122"/>
  <c r="M95" i="122"/>
  <c r="M94" i="122"/>
  <c r="M93" i="122"/>
  <c r="M92" i="122"/>
  <c r="M91" i="122"/>
  <c r="M90" i="122"/>
  <c r="M89" i="122"/>
  <c r="M88" i="122"/>
  <c r="M87" i="122"/>
  <c r="M86" i="122"/>
  <c r="M85" i="122"/>
  <c r="M84" i="122"/>
  <c r="M83" i="122"/>
  <c r="M82" i="122"/>
  <c r="M81" i="122"/>
  <c r="M80" i="122"/>
  <c r="M79" i="122"/>
  <c r="M78" i="122"/>
  <c r="M77" i="122"/>
  <c r="M76" i="122"/>
  <c r="M75" i="122"/>
  <c r="M74" i="122"/>
  <c r="M73" i="122"/>
  <c r="M72" i="122"/>
  <c r="M71" i="122"/>
  <c r="M70" i="122"/>
  <c r="M69" i="122"/>
  <c r="M68" i="122"/>
  <c r="M67" i="122"/>
  <c r="M66" i="122"/>
  <c r="M65" i="122"/>
  <c r="M64" i="122"/>
  <c r="M63" i="122"/>
  <c r="M62" i="122"/>
  <c r="M61" i="122"/>
  <c r="M60" i="122"/>
  <c r="M59" i="122"/>
  <c r="M58" i="122"/>
  <c r="M57" i="122"/>
  <c r="M56" i="122"/>
  <c r="M55" i="122"/>
  <c r="M54" i="122"/>
  <c r="M53" i="122"/>
  <c r="M52" i="122"/>
  <c r="M51" i="122"/>
  <c r="M50" i="122"/>
  <c r="M49" i="122"/>
  <c r="M48" i="122"/>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10" i="122"/>
  <c r="M9" i="122"/>
  <c r="M8" i="122"/>
  <c r="M7" i="122"/>
  <c r="M6" i="122"/>
  <c r="M5" i="122"/>
  <c r="D124" i="122"/>
  <c r="D123" i="122"/>
  <c r="D122" i="122"/>
  <c r="D121" i="122"/>
  <c r="D120" i="122"/>
  <c r="D119" i="122"/>
  <c r="D118" i="122"/>
  <c r="D117" i="122"/>
  <c r="D116" i="122"/>
  <c r="D115" i="122"/>
  <c r="D114" i="122"/>
  <c r="D113" i="122"/>
  <c r="D112" i="122"/>
  <c r="D111" i="122"/>
  <c r="D110" i="122"/>
  <c r="D109" i="122"/>
  <c r="D108" i="122"/>
  <c r="D107" i="122"/>
  <c r="D106" i="122"/>
  <c r="D105" i="122"/>
  <c r="D104" i="122"/>
  <c r="D103" i="122"/>
  <c r="D102" i="122"/>
  <c r="D101" i="122"/>
  <c r="D100" i="122"/>
  <c r="D99" i="122"/>
  <c r="D98" i="122"/>
  <c r="D97" i="122"/>
  <c r="D96" i="122"/>
  <c r="D95" i="122"/>
  <c r="D94" i="122"/>
  <c r="D93" i="122"/>
  <c r="D92" i="122"/>
  <c r="D91" i="122"/>
  <c r="D90" i="122"/>
  <c r="D89" i="122"/>
  <c r="D88" i="122"/>
  <c r="D87" i="122"/>
  <c r="D86" i="122"/>
  <c r="D85" i="122"/>
  <c r="D84" i="122"/>
  <c r="D83" i="122"/>
  <c r="D82" i="122"/>
  <c r="D81" i="122"/>
  <c r="D80" i="122"/>
  <c r="D79" i="122"/>
  <c r="D78" i="122"/>
  <c r="D77" i="122"/>
  <c r="D76" i="122"/>
  <c r="D75" i="122"/>
  <c r="D74" i="122"/>
  <c r="D73" i="122"/>
  <c r="D72" i="122"/>
  <c r="D71" i="122"/>
  <c r="D70" i="122"/>
  <c r="D69" i="122"/>
  <c r="D68" i="122"/>
  <c r="D67" i="122"/>
  <c r="D66" i="122"/>
  <c r="D65" i="122"/>
  <c r="D64" i="122"/>
  <c r="D63" i="122"/>
  <c r="D62" i="122"/>
  <c r="D61" i="122"/>
  <c r="D60" i="122"/>
  <c r="D59" i="122"/>
  <c r="D58" i="122"/>
  <c r="D57" i="122"/>
  <c r="D56" i="122"/>
  <c r="D55" i="122"/>
  <c r="D54" i="122"/>
  <c r="D53" i="122"/>
  <c r="D52" i="122"/>
  <c r="D51" i="122"/>
  <c r="D50" i="122"/>
  <c r="D49" i="122"/>
  <c r="D48" i="122"/>
  <c r="D47" i="122"/>
  <c r="D46" i="122"/>
  <c r="D45" i="122"/>
  <c r="D44" i="122"/>
  <c r="D43" i="122"/>
  <c r="D42" i="122"/>
  <c r="D41" i="122"/>
  <c r="D40" i="122"/>
  <c r="D39" i="122"/>
  <c r="D38" i="122"/>
  <c r="D37" i="122"/>
  <c r="D36" i="122"/>
  <c r="D35" i="122"/>
  <c r="D34" i="122"/>
  <c r="D33" i="122"/>
  <c r="D32" i="122"/>
  <c r="D31" i="122"/>
  <c r="D30" i="122"/>
  <c r="D29" i="122"/>
  <c r="D28" i="122"/>
  <c r="D27" i="122"/>
  <c r="D26" i="122"/>
  <c r="D25" i="122"/>
  <c r="D24" i="122"/>
  <c r="D23" i="122"/>
  <c r="D22" i="122"/>
  <c r="D21" i="122"/>
  <c r="D20" i="122"/>
  <c r="D19" i="122"/>
  <c r="D18" i="122"/>
  <c r="D17" i="122"/>
  <c r="D16" i="122"/>
  <c r="D15" i="122"/>
  <c r="D14" i="122"/>
  <c r="D13" i="122"/>
  <c r="D12" i="122"/>
  <c r="D11" i="122"/>
  <c r="D10" i="122"/>
  <c r="D9" i="122"/>
  <c r="D8" i="122"/>
  <c r="D7" i="122"/>
  <c r="D6" i="122"/>
  <c r="D5" i="122"/>
  <c r="L124" i="96"/>
  <c r="L123" i="96"/>
  <c r="L122" i="96"/>
  <c r="L121" i="96"/>
  <c r="L120" i="96"/>
  <c r="L119" i="96"/>
  <c r="L118" i="96"/>
  <c r="L117" i="96"/>
  <c r="L116" i="96"/>
  <c r="L115" i="96"/>
  <c r="L114" i="96"/>
  <c r="L113" i="96"/>
  <c r="L112" i="96"/>
  <c r="L111" i="96"/>
  <c r="L110" i="96"/>
  <c r="L109" i="96"/>
  <c r="L108" i="96"/>
  <c r="L107" i="96"/>
  <c r="L106" i="96"/>
  <c r="L105" i="96"/>
  <c r="L104" i="96"/>
  <c r="L103" i="96"/>
  <c r="L102" i="96"/>
  <c r="L101" i="96"/>
  <c r="L100" i="96"/>
  <c r="L99" i="96"/>
  <c r="L98" i="96"/>
  <c r="L97" i="96"/>
  <c r="L96" i="96"/>
  <c r="L95" i="96"/>
  <c r="L94" i="96"/>
  <c r="L93" i="96"/>
  <c r="L92" i="96"/>
  <c r="L91" i="96"/>
  <c r="L90" i="96"/>
  <c r="L89" i="96"/>
  <c r="L88" i="96"/>
  <c r="L87" i="96"/>
  <c r="L86" i="96"/>
  <c r="L85" i="96"/>
  <c r="L84" i="96"/>
  <c r="L83" i="96"/>
  <c r="L82" i="96"/>
  <c r="L81" i="96"/>
  <c r="L80" i="96"/>
  <c r="L79" i="96"/>
  <c r="L78" i="96"/>
  <c r="L77" i="96"/>
  <c r="L76" i="96"/>
  <c r="L75" i="96"/>
  <c r="L74" i="96"/>
  <c r="L73" i="96"/>
  <c r="L72" i="96"/>
  <c r="L71" i="96"/>
  <c r="L70" i="96"/>
  <c r="L69" i="96"/>
  <c r="L68" i="96"/>
  <c r="L67" i="96"/>
  <c r="L66" i="96"/>
  <c r="L65" i="96"/>
  <c r="L64" i="96"/>
  <c r="L63" i="96"/>
  <c r="L62" i="96"/>
  <c r="L61" i="96"/>
  <c r="L60" i="96"/>
  <c r="L59" i="96"/>
  <c r="L58" i="96"/>
  <c r="L57" i="96"/>
  <c r="L56" i="96"/>
  <c r="L55" i="96"/>
  <c r="L54" i="96"/>
  <c r="L53" i="96"/>
  <c r="L52" i="96"/>
  <c r="L51" i="96"/>
  <c r="L50" i="96"/>
  <c r="L49" i="96"/>
  <c r="L48" i="96"/>
  <c r="L47" i="96"/>
  <c r="L46" i="96"/>
  <c r="L45" i="96"/>
  <c r="L44" i="96"/>
  <c r="L43" i="96"/>
  <c r="L42" i="96"/>
  <c r="L41" i="96"/>
  <c r="L40" i="96"/>
  <c r="L39" i="96"/>
  <c r="L38" i="96"/>
  <c r="L37" i="96"/>
  <c r="L36" i="96"/>
  <c r="L35" i="96"/>
  <c r="L34" i="96"/>
  <c r="L33" i="96"/>
  <c r="L32" i="96"/>
  <c r="L31" i="96"/>
  <c r="L30" i="96"/>
  <c r="L29" i="96"/>
  <c r="L28" i="96"/>
  <c r="L27" i="96"/>
  <c r="L26" i="96"/>
  <c r="L25" i="96"/>
  <c r="L24" i="96"/>
  <c r="L23" i="96"/>
  <c r="L22" i="96"/>
  <c r="L21" i="96"/>
  <c r="L20" i="96"/>
  <c r="L19" i="96"/>
  <c r="L18" i="96"/>
  <c r="L17" i="96"/>
  <c r="L16" i="96"/>
  <c r="L15" i="96"/>
  <c r="L14" i="96"/>
  <c r="L13" i="96"/>
  <c r="L12" i="96"/>
  <c r="L11" i="96"/>
  <c r="L10" i="96"/>
  <c r="L9" i="96"/>
  <c r="L8" i="96"/>
  <c r="L7" i="96"/>
  <c r="L6" i="96"/>
  <c r="L5" i="96"/>
  <c r="D124" i="96"/>
  <c r="D123" i="96"/>
  <c r="D122" i="96"/>
  <c r="D121" i="96"/>
  <c r="D120" i="96"/>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AC4" i="92" l="1"/>
  <c r="P4" i="55"/>
  <c r="O4" i="55"/>
  <c r="N4" i="55"/>
  <c r="M4" i="55"/>
  <c r="L4" i="55"/>
  <c r="O124" i="62" l="1"/>
  <c r="O123" i="62"/>
  <c r="O122" i="62"/>
  <c r="O121" i="62"/>
  <c r="O120" i="62"/>
  <c r="O119" i="62"/>
  <c r="O118" i="62"/>
  <c r="O117" i="62"/>
  <c r="O116" i="62"/>
  <c r="O115" i="62"/>
  <c r="O114" i="62"/>
  <c r="O113" i="62"/>
  <c r="O112" i="62"/>
  <c r="O111" i="62"/>
  <c r="O110" i="62"/>
  <c r="O109" i="62"/>
  <c r="O108" i="62"/>
  <c r="O107" i="62"/>
  <c r="O106" i="62"/>
  <c r="O105" i="62"/>
  <c r="O104" i="62"/>
  <c r="O103" i="62"/>
  <c r="O102" i="62"/>
  <c r="O101" i="62"/>
  <c r="O100" i="62"/>
  <c r="O99" i="62"/>
  <c r="O98" i="62"/>
  <c r="O97" i="62"/>
  <c r="O96" i="62"/>
  <c r="O95" i="62"/>
  <c r="O94" i="62"/>
  <c r="O93" i="62"/>
  <c r="O92" i="62"/>
  <c r="O91" i="62"/>
  <c r="O90" i="62"/>
  <c r="O89" i="62"/>
  <c r="O88" i="62"/>
  <c r="O87" i="62"/>
  <c r="O86" i="62"/>
  <c r="O85" i="62"/>
  <c r="O84" i="62"/>
  <c r="O83" i="62"/>
  <c r="O82" i="62"/>
  <c r="O81" i="62"/>
  <c r="O80" i="62"/>
  <c r="O79" i="62"/>
  <c r="O78" i="62"/>
  <c r="O77" i="62"/>
  <c r="O76" i="62"/>
  <c r="O75" i="62"/>
  <c r="O74" i="62"/>
  <c r="O73" i="62"/>
  <c r="O72" i="62"/>
  <c r="O71" i="62"/>
  <c r="O70" i="62"/>
  <c r="O69" i="62"/>
  <c r="O68" i="62"/>
  <c r="O67" i="62"/>
  <c r="O66" i="62"/>
  <c r="O65" i="62"/>
  <c r="O64" i="62"/>
  <c r="O63" i="62"/>
  <c r="O62" i="62"/>
  <c r="O61" i="62"/>
  <c r="O60" i="62"/>
  <c r="O59" i="62"/>
  <c r="O58" i="62"/>
  <c r="O57" i="62"/>
  <c r="O56" i="62"/>
  <c r="O55" i="62"/>
  <c r="O54" i="62"/>
  <c r="O53" i="62"/>
  <c r="O52" i="62"/>
  <c r="O51" i="62"/>
  <c r="O50" i="62"/>
  <c r="O49" i="62"/>
  <c r="O48" i="62"/>
  <c r="O47" i="62"/>
  <c r="O46" i="62"/>
  <c r="O45" i="62"/>
  <c r="O44" i="62"/>
  <c r="O43" i="62"/>
  <c r="O42" i="62"/>
  <c r="O41" i="62"/>
  <c r="O40" i="62"/>
  <c r="O39" i="62"/>
  <c r="O38" i="62"/>
  <c r="O37" i="62"/>
  <c r="O36" i="62"/>
  <c r="O35" i="62"/>
  <c r="O34" i="62"/>
  <c r="O33" i="62"/>
  <c r="O32" i="62"/>
  <c r="O31" i="62"/>
  <c r="O30" i="62"/>
  <c r="O29" i="62"/>
  <c r="O28" i="62"/>
  <c r="O27" i="62"/>
  <c r="O26" i="62"/>
  <c r="O25" i="62"/>
  <c r="O24" i="62"/>
  <c r="O23" i="62"/>
  <c r="O22" i="62"/>
  <c r="O21" i="62"/>
  <c r="O20" i="62"/>
  <c r="O19" i="62"/>
  <c r="O18" i="62"/>
  <c r="O17" i="62"/>
  <c r="O16" i="62"/>
  <c r="O15" i="62"/>
  <c r="O14" i="62"/>
  <c r="O13" i="62"/>
  <c r="O12" i="62"/>
  <c r="O11" i="62"/>
  <c r="O10" i="62"/>
  <c r="O9" i="62"/>
  <c r="O8" i="62"/>
  <c r="O7" i="62"/>
  <c r="O6" i="62"/>
  <c r="BE124" i="60"/>
  <c r="BE123" i="60"/>
  <c r="BE122" i="60"/>
  <c r="BE121" i="60"/>
  <c r="BE120" i="60"/>
  <c r="BE119" i="60"/>
  <c r="BE118" i="60"/>
  <c r="BE117" i="60"/>
  <c r="BE116" i="60"/>
  <c r="BE115" i="60"/>
  <c r="BE114" i="60"/>
  <c r="BE113" i="60"/>
  <c r="BE112" i="60"/>
  <c r="BE111" i="60"/>
  <c r="BE110" i="60"/>
  <c r="BE109" i="60"/>
  <c r="BE108" i="60"/>
  <c r="BE107" i="60"/>
  <c r="BE106" i="60"/>
  <c r="BE105" i="60"/>
  <c r="BE104" i="60"/>
  <c r="BE103" i="60"/>
  <c r="BE102" i="60"/>
  <c r="BE101" i="60"/>
  <c r="BE100" i="60"/>
  <c r="BE99" i="60"/>
  <c r="BE98" i="60"/>
  <c r="BE97" i="60"/>
  <c r="BE96" i="60"/>
  <c r="BE95" i="60"/>
  <c r="BE94" i="60"/>
  <c r="BE93" i="60"/>
  <c r="BE92" i="60"/>
  <c r="BE91" i="60"/>
  <c r="BE90" i="60"/>
  <c r="BE89" i="60"/>
  <c r="BE88" i="60"/>
  <c r="BE87" i="60"/>
  <c r="BE86" i="60"/>
  <c r="BE85" i="60"/>
  <c r="BE84" i="60"/>
  <c r="BE83" i="60"/>
  <c r="BE82" i="60"/>
  <c r="BE81" i="60"/>
  <c r="BE80" i="60"/>
  <c r="BE79" i="60"/>
  <c r="BE78" i="60"/>
  <c r="BE77" i="60"/>
  <c r="BE76" i="60"/>
  <c r="BE75" i="60"/>
  <c r="BE74" i="60"/>
  <c r="BE73" i="60"/>
  <c r="BE72" i="60"/>
  <c r="BE71" i="60"/>
  <c r="BE70" i="60"/>
  <c r="BE69" i="60"/>
  <c r="BE68" i="60"/>
  <c r="BE67" i="60"/>
  <c r="BE66" i="60"/>
  <c r="BE65" i="60"/>
  <c r="BE64" i="60"/>
  <c r="BE63" i="60"/>
  <c r="BE62" i="60"/>
  <c r="BE61" i="60"/>
  <c r="BE60" i="60"/>
  <c r="BE59" i="60"/>
  <c r="BE58" i="60"/>
  <c r="BE57" i="60"/>
  <c r="BE56" i="60"/>
  <c r="BE55" i="60"/>
  <c r="BE54" i="60"/>
  <c r="BE53" i="60"/>
  <c r="BE52" i="60"/>
  <c r="BE51" i="60"/>
  <c r="BE50" i="60"/>
  <c r="BE49" i="60"/>
  <c r="BE48" i="60"/>
  <c r="BE47" i="60"/>
  <c r="BE46" i="60"/>
  <c r="BE45" i="60"/>
  <c r="BE44" i="60"/>
  <c r="BE43" i="60"/>
  <c r="BE42" i="60"/>
  <c r="BE41" i="60"/>
  <c r="BE40" i="60"/>
  <c r="BE39" i="60"/>
  <c r="BE38" i="60"/>
  <c r="BE37" i="60"/>
  <c r="BE36" i="60"/>
  <c r="BE35" i="60"/>
  <c r="BE34" i="60"/>
  <c r="BE33" i="60"/>
  <c r="BE32" i="60"/>
  <c r="BE31" i="60"/>
  <c r="BE30" i="60"/>
  <c r="BE29" i="60"/>
  <c r="BE28" i="60"/>
  <c r="BE27" i="60"/>
  <c r="BE26" i="60"/>
  <c r="BE25" i="60"/>
  <c r="BE24" i="60"/>
  <c r="BE23" i="60"/>
  <c r="BE22" i="60"/>
  <c r="BE21" i="60"/>
  <c r="BE20" i="60"/>
  <c r="BE19" i="60"/>
  <c r="BE18" i="60"/>
  <c r="BE17" i="60"/>
  <c r="BE16" i="60"/>
  <c r="BE15" i="60"/>
  <c r="BE14" i="60"/>
  <c r="BE13" i="60"/>
  <c r="BE12" i="60"/>
  <c r="BE11" i="60"/>
  <c r="BE10" i="60"/>
  <c r="BE9" i="60"/>
  <c r="BE8" i="60"/>
  <c r="BE7" i="60"/>
  <c r="BE6" i="60"/>
  <c r="BE5" i="60"/>
  <c r="BD4" i="60"/>
  <c r="BC4" i="60"/>
  <c r="BB4" i="60"/>
  <c r="BA4" i="60"/>
  <c r="AZ4" i="60"/>
  <c r="DO5" i="56"/>
  <c r="DN4" i="56"/>
  <c r="DM4" i="56"/>
  <c r="DL4" i="56"/>
  <c r="DK4" i="56"/>
  <c r="DJ4" i="56"/>
  <c r="DO124" i="56"/>
  <c r="DO123" i="56"/>
  <c r="DO122" i="56"/>
  <c r="DO121" i="56"/>
  <c r="DO120" i="56"/>
  <c r="DO119" i="56"/>
  <c r="DO118" i="56"/>
  <c r="DO117" i="56"/>
  <c r="DO116" i="56"/>
  <c r="DO115" i="56"/>
  <c r="DO114" i="56"/>
  <c r="DO113" i="56"/>
  <c r="DO112" i="56"/>
  <c r="DO111" i="56"/>
  <c r="DO110" i="56"/>
  <c r="DO109" i="56"/>
  <c r="DO108" i="56"/>
  <c r="DO107" i="56"/>
  <c r="DO106" i="56"/>
  <c r="DO105" i="56"/>
  <c r="DO104" i="56"/>
  <c r="DO103" i="56"/>
  <c r="DO102" i="56"/>
  <c r="DO101" i="56"/>
  <c r="DO100" i="56"/>
  <c r="DO99" i="56"/>
  <c r="DO98" i="56"/>
  <c r="DO97" i="56"/>
  <c r="DO96" i="56"/>
  <c r="DO95" i="56"/>
  <c r="DO94" i="56"/>
  <c r="DO93" i="56"/>
  <c r="DO92" i="56"/>
  <c r="DO91" i="56"/>
  <c r="DO90" i="56"/>
  <c r="DO89" i="56"/>
  <c r="DO88" i="56"/>
  <c r="DO87" i="56"/>
  <c r="DO86" i="56"/>
  <c r="DO85" i="56"/>
  <c r="DO84" i="56"/>
  <c r="DO83" i="56"/>
  <c r="DO82" i="56"/>
  <c r="DO81" i="56"/>
  <c r="DO80" i="56"/>
  <c r="DO79" i="56"/>
  <c r="DO78" i="56"/>
  <c r="DO77" i="56"/>
  <c r="DO76" i="56"/>
  <c r="DO75" i="56"/>
  <c r="DO74" i="56"/>
  <c r="DO73" i="56"/>
  <c r="DO72" i="56"/>
  <c r="DO71" i="56"/>
  <c r="DO70" i="56"/>
  <c r="DO69" i="56"/>
  <c r="DO68" i="56"/>
  <c r="DO67" i="56"/>
  <c r="DO66" i="56"/>
  <c r="DO65" i="56"/>
  <c r="DO64" i="56"/>
  <c r="DO63" i="56"/>
  <c r="DO62" i="56"/>
  <c r="DO61" i="56"/>
  <c r="DO60" i="56"/>
  <c r="DO59" i="56"/>
  <c r="DO58" i="56"/>
  <c r="DO57" i="56"/>
  <c r="DO56" i="56"/>
  <c r="DO55" i="56"/>
  <c r="DO54" i="56"/>
  <c r="DO53" i="56"/>
  <c r="DO52" i="56"/>
  <c r="DO51" i="56"/>
  <c r="DO50" i="56"/>
  <c r="DO49" i="56"/>
  <c r="DO48" i="56"/>
  <c r="DO47" i="56"/>
  <c r="DO46" i="56"/>
  <c r="DO45" i="56"/>
  <c r="DO44" i="56"/>
  <c r="DO43" i="56"/>
  <c r="DO42" i="56"/>
  <c r="DO41" i="56"/>
  <c r="DO40" i="56"/>
  <c r="DO39" i="56"/>
  <c r="DO38" i="56"/>
  <c r="DO37" i="56"/>
  <c r="DO36" i="56"/>
  <c r="DO35" i="56"/>
  <c r="DO34" i="56"/>
  <c r="DO33" i="56"/>
  <c r="DO32" i="56"/>
  <c r="DO31" i="56"/>
  <c r="DO30" i="56"/>
  <c r="DO29" i="56"/>
  <c r="DO28" i="56"/>
  <c r="DO27" i="56"/>
  <c r="DO26" i="56"/>
  <c r="DO25" i="56"/>
  <c r="DO24" i="56"/>
  <c r="DO23" i="56"/>
  <c r="DO22" i="56"/>
  <c r="DO21" i="56"/>
  <c r="DO20" i="56"/>
  <c r="DO19" i="56"/>
  <c r="DO18" i="56"/>
  <c r="DO17" i="56"/>
  <c r="DO16" i="56"/>
  <c r="DO15" i="56"/>
  <c r="DO14" i="56"/>
  <c r="DO13" i="56"/>
  <c r="DO12" i="56"/>
  <c r="DO11" i="56"/>
  <c r="DO10" i="56"/>
  <c r="DO9" i="56"/>
  <c r="DO8" i="56"/>
  <c r="DO7" i="56"/>
  <c r="DO6" i="56"/>
  <c r="H124" i="55"/>
  <c r="H123" i="55"/>
  <c r="H122" i="55"/>
  <c r="H121" i="55"/>
  <c r="H120" i="55"/>
  <c r="H119" i="55"/>
  <c r="H118" i="55"/>
  <c r="H117" i="55"/>
  <c r="H116" i="55"/>
  <c r="H115" i="55"/>
  <c r="H114" i="55"/>
  <c r="H113" i="55"/>
  <c r="H112" i="55"/>
  <c r="H111" i="55"/>
  <c r="H110" i="55"/>
  <c r="H109" i="55"/>
  <c r="H108" i="55"/>
  <c r="H107" i="55"/>
  <c r="H106" i="55"/>
  <c r="H105" i="55"/>
  <c r="H104" i="55"/>
  <c r="H103" i="55"/>
  <c r="H102" i="55"/>
  <c r="H101" i="55"/>
  <c r="H100" i="55"/>
  <c r="H99" i="55"/>
  <c r="H98" i="55"/>
  <c r="H97" i="55"/>
  <c r="H96" i="55"/>
  <c r="H95" i="55"/>
  <c r="H94" i="55"/>
  <c r="H93" i="55"/>
  <c r="H92" i="55"/>
  <c r="H91" i="55"/>
  <c r="H90" i="55"/>
  <c r="H89" i="55"/>
  <c r="H88" i="55"/>
  <c r="H87" i="55"/>
  <c r="H86" i="55"/>
  <c r="H85" i="55"/>
  <c r="H84" i="55"/>
  <c r="H83" i="55"/>
  <c r="H82" i="55"/>
  <c r="H81" i="55"/>
  <c r="H80" i="55"/>
  <c r="H79" i="55"/>
  <c r="H78" i="55"/>
  <c r="H77" i="55"/>
  <c r="H76" i="55"/>
  <c r="H75" i="55"/>
  <c r="H74" i="55"/>
  <c r="H73" i="55"/>
  <c r="H72" i="55"/>
  <c r="H71" i="55"/>
  <c r="H70" i="55"/>
  <c r="H69" i="55"/>
  <c r="H68" i="55"/>
  <c r="H67" i="55"/>
  <c r="H66" i="55"/>
  <c r="H65" i="55"/>
  <c r="H64" i="55"/>
  <c r="H63" i="55"/>
  <c r="H62" i="55"/>
  <c r="H61" i="55"/>
  <c r="H60" i="55"/>
  <c r="H59" i="55"/>
  <c r="H58" i="55"/>
  <c r="H57" i="55"/>
  <c r="H56" i="55"/>
  <c r="H55" i="55"/>
  <c r="H54" i="55"/>
  <c r="H53" i="55"/>
  <c r="H52" i="55"/>
  <c r="H51" i="55"/>
  <c r="H50" i="55"/>
  <c r="H49" i="55"/>
  <c r="H48" i="55"/>
  <c r="H47" i="55"/>
  <c r="H46" i="55"/>
  <c r="H45" i="55"/>
  <c r="H44" i="55"/>
  <c r="H43" i="55"/>
  <c r="H42" i="55"/>
  <c r="H41" i="55"/>
  <c r="H40" i="55"/>
  <c r="H39" i="55"/>
  <c r="H38" i="55"/>
  <c r="H37" i="55"/>
  <c r="H36" i="55"/>
  <c r="H35" i="55"/>
  <c r="H34" i="55"/>
  <c r="H33" i="55"/>
  <c r="H32" i="55"/>
  <c r="H31" i="55"/>
  <c r="H30" i="55"/>
  <c r="H29" i="55"/>
  <c r="H28" i="55"/>
  <c r="H27" i="55"/>
  <c r="H26" i="55"/>
  <c r="H25" i="55"/>
  <c r="H24" i="55"/>
  <c r="H23" i="55"/>
  <c r="H22" i="55"/>
  <c r="H21" i="55"/>
  <c r="H20" i="55"/>
  <c r="H19" i="55"/>
  <c r="H18" i="55"/>
  <c r="H17" i="55"/>
  <c r="H16" i="55"/>
  <c r="H15" i="55"/>
  <c r="H14" i="55"/>
  <c r="H13" i="55"/>
  <c r="H12" i="55"/>
  <c r="H11" i="55"/>
  <c r="H10" i="55"/>
  <c r="H9" i="55"/>
  <c r="H8" i="55"/>
  <c r="H7" i="55"/>
  <c r="H6" i="55"/>
  <c r="H5" i="55"/>
  <c r="G124" i="55"/>
  <c r="G123" i="55"/>
  <c r="G122" i="55"/>
  <c r="G121" i="55"/>
  <c r="G120" i="55"/>
  <c r="G119" i="55"/>
  <c r="G118" i="55"/>
  <c r="G117" i="55"/>
  <c r="G116" i="55"/>
  <c r="G115" i="55"/>
  <c r="G114" i="55"/>
  <c r="G113" i="55"/>
  <c r="G112" i="55"/>
  <c r="G111" i="55"/>
  <c r="G110" i="55"/>
  <c r="G109" i="55"/>
  <c r="G108" i="55"/>
  <c r="G107" i="55"/>
  <c r="G106" i="55"/>
  <c r="G105" i="55"/>
  <c r="G104" i="55"/>
  <c r="G103" i="55"/>
  <c r="G102" i="55"/>
  <c r="G101" i="55"/>
  <c r="G100" i="55"/>
  <c r="G99" i="55"/>
  <c r="G98" i="55"/>
  <c r="G97" i="55"/>
  <c r="G96" i="55"/>
  <c r="G95" i="55"/>
  <c r="G94" i="55"/>
  <c r="G93" i="55"/>
  <c r="G92" i="55"/>
  <c r="G91" i="55"/>
  <c r="G90" i="55"/>
  <c r="G89" i="55"/>
  <c r="G88" i="55"/>
  <c r="G87" i="55"/>
  <c r="G86" i="55"/>
  <c r="G85" i="55"/>
  <c r="G84" i="55"/>
  <c r="G83" i="55"/>
  <c r="G82" i="55"/>
  <c r="G81" i="55"/>
  <c r="G80" i="55"/>
  <c r="G79" i="55"/>
  <c r="G78" i="55"/>
  <c r="G77" i="55"/>
  <c r="G76" i="55"/>
  <c r="G75" i="55"/>
  <c r="G74" i="55"/>
  <c r="G73" i="55"/>
  <c r="G72" i="55"/>
  <c r="G71" i="55"/>
  <c r="G70" i="55"/>
  <c r="G69" i="55"/>
  <c r="G68" i="55"/>
  <c r="G67" i="55"/>
  <c r="G66" i="55"/>
  <c r="G65" i="55"/>
  <c r="G64" i="55"/>
  <c r="G63" i="55"/>
  <c r="G62" i="55"/>
  <c r="G61" i="55"/>
  <c r="G60" i="55"/>
  <c r="G59" i="55"/>
  <c r="G58" i="55"/>
  <c r="G57" i="55"/>
  <c r="G56" i="55"/>
  <c r="G55" i="55"/>
  <c r="G54" i="55"/>
  <c r="G53" i="55"/>
  <c r="G52" i="55"/>
  <c r="G51" i="55"/>
  <c r="G50" i="55"/>
  <c r="G49" i="55"/>
  <c r="G48" i="55"/>
  <c r="G47" i="55"/>
  <c r="G46" i="55"/>
  <c r="G45" i="55"/>
  <c r="G44" i="55"/>
  <c r="G43" i="55"/>
  <c r="G42" i="55"/>
  <c r="G41" i="55"/>
  <c r="G40" i="55"/>
  <c r="G39" i="55"/>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7" i="55"/>
  <c r="G6" i="55"/>
  <c r="G5" i="55"/>
  <c r="D124" i="55"/>
  <c r="D123" i="55"/>
  <c r="D122" i="55"/>
  <c r="D121" i="55"/>
  <c r="D120" i="55"/>
  <c r="D119" i="55"/>
  <c r="D118" i="55"/>
  <c r="D117" i="55"/>
  <c r="D116" i="55"/>
  <c r="D115" i="55"/>
  <c r="D114" i="55"/>
  <c r="D113" i="55"/>
  <c r="D112" i="55"/>
  <c r="D111" i="55"/>
  <c r="D110" i="55"/>
  <c r="D109" i="55"/>
  <c r="D108" i="55"/>
  <c r="D107" i="55"/>
  <c r="D106" i="55"/>
  <c r="D105" i="55"/>
  <c r="D104" i="55"/>
  <c r="D103" i="55"/>
  <c r="D102" i="55"/>
  <c r="D101" i="55"/>
  <c r="D100" i="55"/>
  <c r="D99" i="55"/>
  <c r="D98" i="55"/>
  <c r="D97" i="55"/>
  <c r="D96" i="55"/>
  <c r="D95" i="55"/>
  <c r="D94" i="55"/>
  <c r="D93" i="55"/>
  <c r="D92" i="55"/>
  <c r="D91" i="55"/>
  <c r="D90" i="55"/>
  <c r="D89" i="55"/>
  <c r="D88" i="55"/>
  <c r="D87" i="55"/>
  <c r="D86" i="55"/>
  <c r="D85" i="55"/>
  <c r="D84" i="55"/>
  <c r="D83" i="55"/>
  <c r="D82" i="55"/>
  <c r="D81" i="55"/>
  <c r="D80" i="55"/>
  <c r="D79" i="55"/>
  <c r="D78" i="55"/>
  <c r="D77" i="55"/>
  <c r="D76" i="55"/>
  <c r="D75" i="55"/>
  <c r="D74" i="55"/>
  <c r="D73" i="55"/>
  <c r="D72" i="55"/>
  <c r="D71" i="55"/>
  <c r="D70" i="55"/>
  <c r="D69" i="55"/>
  <c r="D68" i="55"/>
  <c r="D67" i="55"/>
  <c r="D66" i="55"/>
  <c r="D65" i="55"/>
  <c r="D64" i="55"/>
  <c r="D63" i="55"/>
  <c r="D62" i="55"/>
  <c r="D61" i="55"/>
  <c r="D60" i="55"/>
  <c r="D59" i="55"/>
  <c r="D58" i="55"/>
  <c r="D57" i="55"/>
  <c r="D56" i="55"/>
  <c r="D55" i="55"/>
  <c r="D54" i="55"/>
  <c r="D53" i="55"/>
  <c r="D52" i="55"/>
  <c r="D51" i="55"/>
  <c r="D50" i="55"/>
  <c r="D49" i="55"/>
  <c r="D48" i="55"/>
  <c r="D47" i="55"/>
  <c r="D46" i="55"/>
  <c r="D45" i="55"/>
  <c r="D44" i="55"/>
  <c r="D43" i="55"/>
  <c r="D42" i="55"/>
  <c r="D41" i="55"/>
  <c r="D40" i="55"/>
  <c r="D39" i="55"/>
  <c r="D38" i="55"/>
  <c r="D37" i="55"/>
  <c r="D36" i="55"/>
  <c r="D35" i="55"/>
  <c r="D34" i="55"/>
  <c r="D33" i="55"/>
  <c r="D32" i="55"/>
  <c r="D31" i="55"/>
  <c r="D30" i="55"/>
  <c r="D29" i="55"/>
  <c r="D28" i="55"/>
  <c r="D27" i="55"/>
  <c r="D26" i="55"/>
  <c r="D25" i="55"/>
  <c r="D24" i="55"/>
  <c r="D23" i="55"/>
  <c r="D22" i="55"/>
  <c r="D21" i="55"/>
  <c r="D20" i="55"/>
  <c r="D19" i="55"/>
  <c r="D18" i="55"/>
  <c r="D17" i="55"/>
  <c r="D16" i="55"/>
  <c r="D15" i="55"/>
  <c r="D14" i="55"/>
  <c r="D13" i="55"/>
  <c r="D12" i="55"/>
  <c r="D11" i="55"/>
  <c r="D10" i="55"/>
  <c r="D9" i="55"/>
  <c r="D8" i="55"/>
  <c r="D7" i="55"/>
  <c r="D6" i="55"/>
  <c r="D5" i="55"/>
  <c r="F124" i="55"/>
  <c r="F123" i="55"/>
  <c r="F122" i="55"/>
  <c r="F121" i="55"/>
  <c r="F120" i="55"/>
  <c r="F119" i="55"/>
  <c r="F118" i="55"/>
  <c r="F117" i="55"/>
  <c r="F116" i="55"/>
  <c r="F115" i="55"/>
  <c r="F114" i="55"/>
  <c r="F113" i="55"/>
  <c r="F112" i="55"/>
  <c r="F111" i="55"/>
  <c r="F110" i="55"/>
  <c r="F109" i="55"/>
  <c r="F108" i="55"/>
  <c r="F107" i="55"/>
  <c r="F106" i="55"/>
  <c r="F105" i="55"/>
  <c r="F104" i="55"/>
  <c r="F103" i="55"/>
  <c r="F102" i="55"/>
  <c r="F101" i="55"/>
  <c r="F100" i="55"/>
  <c r="F99" i="55"/>
  <c r="F98" i="55"/>
  <c r="F97" i="55"/>
  <c r="F96" i="55"/>
  <c r="F95" i="55"/>
  <c r="F94" i="55"/>
  <c r="F93" i="55"/>
  <c r="F92" i="55"/>
  <c r="F91" i="55"/>
  <c r="F90" i="55"/>
  <c r="F89" i="55"/>
  <c r="F88" i="55"/>
  <c r="F87" i="55"/>
  <c r="F86" i="55"/>
  <c r="F85" i="55"/>
  <c r="F84" i="55"/>
  <c r="F83" i="55"/>
  <c r="F82" i="55"/>
  <c r="F81" i="55"/>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E124" i="55"/>
  <c r="E123" i="55"/>
  <c r="E122" i="55"/>
  <c r="E121" i="55"/>
  <c r="E120" i="55"/>
  <c r="E119" i="55"/>
  <c r="E118" i="55"/>
  <c r="E117" i="55"/>
  <c r="E116" i="55"/>
  <c r="E115" i="55"/>
  <c r="E114" i="55"/>
  <c r="E113" i="55"/>
  <c r="E112" i="55"/>
  <c r="E111" i="55"/>
  <c r="E110" i="55"/>
  <c r="E109" i="55"/>
  <c r="E108" i="55"/>
  <c r="E107" i="55"/>
  <c r="E106" i="55"/>
  <c r="E105" i="55"/>
  <c r="E104" i="55"/>
  <c r="E103" i="55"/>
  <c r="E102" i="55"/>
  <c r="E101" i="55"/>
  <c r="E100" i="55"/>
  <c r="E99" i="55"/>
  <c r="E98" i="55"/>
  <c r="E97" i="55"/>
  <c r="E96" i="55"/>
  <c r="E95" i="55"/>
  <c r="E94" i="55"/>
  <c r="E93" i="55"/>
  <c r="E92" i="55"/>
  <c r="E91" i="55"/>
  <c r="E90" i="55"/>
  <c r="E89" i="55"/>
  <c r="E88" i="55"/>
  <c r="E87" i="55"/>
  <c r="E86" i="55"/>
  <c r="E85" i="55"/>
  <c r="E84" i="55"/>
  <c r="E83" i="55"/>
  <c r="E82" i="55"/>
  <c r="E81" i="55"/>
  <c r="E80" i="55"/>
  <c r="E79" i="55"/>
  <c r="E78" i="55"/>
  <c r="E77" i="55"/>
  <c r="E76" i="55"/>
  <c r="E75" i="55"/>
  <c r="E74" i="55"/>
  <c r="E73" i="55"/>
  <c r="E72" i="55"/>
  <c r="E71" i="55"/>
  <c r="E70" i="55"/>
  <c r="E69" i="55"/>
  <c r="E68" i="55"/>
  <c r="E67" i="55"/>
  <c r="E66" i="55"/>
  <c r="E65" i="55"/>
  <c r="E64" i="55"/>
  <c r="E63" i="55"/>
  <c r="E62" i="55"/>
  <c r="E61" i="55"/>
  <c r="E60" i="55"/>
  <c r="E59" i="55"/>
  <c r="E58" i="55"/>
  <c r="E57" i="55"/>
  <c r="E56" i="55"/>
  <c r="E55" i="55"/>
  <c r="E54" i="55"/>
  <c r="E53" i="55"/>
  <c r="E52" i="55"/>
  <c r="E51" i="55"/>
  <c r="E50" i="55"/>
  <c r="E49" i="55"/>
  <c r="E48" i="55"/>
  <c r="E47" i="55"/>
  <c r="E46" i="55"/>
  <c r="E45" i="55"/>
  <c r="E44" i="55"/>
  <c r="E43" i="55"/>
  <c r="E42" i="55"/>
  <c r="E41" i="55"/>
  <c r="E40" i="55"/>
  <c r="E39" i="55"/>
  <c r="E38" i="55"/>
  <c r="E37" i="55"/>
  <c r="E36" i="55"/>
  <c r="E35" i="55"/>
  <c r="E34" i="55"/>
  <c r="E33" i="55"/>
  <c r="E32" i="55"/>
  <c r="E31" i="55"/>
  <c r="E30" i="55"/>
  <c r="E29" i="55"/>
  <c r="E28" i="55"/>
  <c r="E27" i="55"/>
  <c r="E26" i="55"/>
  <c r="E25" i="55"/>
  <c r="E24" i="55"/>
  <c r="E23" i="55"/>
  <c r="E22" i="55"/>
  <c r="E21" i="55"/>
  <c r="E20" i="55"/>
  <c r="E19" i="55"/>
  <c r="E18" i="55"/>
  <c r="E17" i="55"/>
  <c r="E16" i="55"/>
  <c r="E15" i="55"/>
  <c r="E14" i="55"/>
  <c r="E13" i="55"/>
  <c r="E12" i="55"/>
  <c r="E11" i="55"/>
  <c r="E10" i="55"/>
  <c r="E9" i="55"/>
  <c r="E8" i="55"/>
  <c r="E7" i="55"/>
  <c r="E6" i="55"/>
  <c r="E5" i="55"/>
  <c r="AO124" i="53"/>
  <c r="AO123" i="53"/>
  <c r="AO122" i="53"/>
  <c r="AO121" i="53"/>
  <c r="AO120" i="53"/>
  <c r="AO119" i="53"/>
  <c r="AO118" i="53"/>
  <c r="AO117" i="53"/>
  <c r="AO116" i="53"/>
  <c r="AO115" i="53"/>
  <c r="AO114" i="53"/>
  <c r="AO113" i="53"/>
  <c r="AO112" i="53"/>
  <c r="AO111" i="53"/>
  <c r="AO110" i="53"/>
  <c r="AO109" i="53"/>
  <c r="AO108" i="53"/>
  <c r="AO107" i="53"/>
  <c r="AO106" i="53"/>
  <c r="AO105" i="53"/>
  <c r="AO104" i="53"/>
  <c r="AO103" i="53"/>
  <c r="AO102" i="53"/>
  <c r="AO101" i="53"/>
  <c r="AO100" i="53"/>
  <c r="AO99" i="53"/>
  <c r="AO98" i="53"/>
  <c r="AO97" i="53"/>
  <c r="AO96" i="53"/>
  <c r="AO95" i="53"/>
  <c r="AO94" i="53"/>
  <c r="AO93" i="53"/>
  <c r="AO92" i="53"/>
  <c r="AO91" i="53"/>
  <c r="AO90" i="53"/>
  <c r="AO89" i="53"/>
  <c r="AO88" i="53"/>
  <c r="AO87" i="53"/>
  <c r="AO86" i="53"/>
  <c r="AO85" i="53"/>
  <c r="AO84" i="53"/>
  <c r="AO83" i="53"/>
  <c r="AO82" i="53"/>
  <c r="AO81" i="53"/>
  <c r="AO80" i="53"/>
  <c r="AO79" i="53"/>
  <c r="AO78" i="53"/>
  <c r="AO77" i="53"/>
  <c r="AO76" i="53"/>
  <c r="AO75" i="53"/>
  <c r="AO74" i="53"/>
  <c r="AO73" i="53"/>
  <c r="AO72" i="53"/>
  <c r="AO71" i="53"/>
  <c r="AO70" i="53"/>
  <c r="AO69" i="53"/>
  <c r="AO68" i="53"/>
  <c r="AO67" i="53"/>
  <c r="AO66" i="53"/>
  <c r="AO65" i="53"/>
  <c r="AO64" i="53"/>
  <c r="AO63" i="53"/>
  <c r="AO62" i="53"/>
  <c r="AO61" i="53"/>
  <c r="AO60" i="53"/>
  <c r="AO59" i="53"/>
  <c r="AO58" i="53"/>
  <c r="AO57" i="53"/>
  <c r="AO56" i="53"/>
  <c r="AO55" i="53"/>
  <c r="AO54" i="53"/>
  <c r="AO53" i="53"/>
  <c r="AO52" i="53"/>
  <c r="AO51" i="53"/>
  <c r="AO50" i="53"/>
  <c r="AO49" i="53"/>
  <c r="AO48" i="53"/>
  <c r="AO47" i="53"/>
  <c r="AO46" i="53"/>
  <c r="AO45" i="53"/>
  <c r="AO44" i="53"/>
  <c r="AO43" i="53"/>
  <c r="AO42" i="53"/>
  <c r="AO41" i="53"/>
  <c r="AO40" i="53"/>
  <c r="AO39" i="53"/>
  <c r="AO38" i="53"/>
  <c r="AO37" i="53"/>
  <c r="AO36" i="53"/>
  <c r="AO35" i="53"/>
  <c r="AO34" i="53"/>
  <c r="AO33" i="53"/>
  <c r="AO32" i="53"/>
  <c r="AO31" i="53"/>
  <c r="AO30" i="53"/>
  <c r="AO29" i="53"/>
  <c r="AO28" i="53"/>
  <c r="AO27" i="53"/>
  <c r="AO26" i="53"/>
  <c r="AO25" i="53"/>
  <c r="AO24" i="53"/>
  <c r="AO23" i="53"/>
  <c r="AO22" i="53"/>
  <c r="AO21" i="53"/>
  <c r="AO20" i="53"/>
  <c r="AO19" i="53"/>
  <c r="AO18" i="53"/>
  <c r="AO17" i="53"/>
  <c r="AO16" i="53"/>
  <c r="AO15" i="53"/>
  <c r="AO14" i="53"/>
  <c r="AO13" i="53"/>
  <c r="AO12" i="53"/>
  <c r="AO11" i="53"/>
  <c r="AO10" i="53"/>
  <c r="AO9" i="53"/>
  <c r="AO8" i="53"/>
  <c r="AO7" i="53"/>
  <c r="AO6" i="53"/>
  <c r="AO5" i="53"/>
  <c r="AM131" i="53"/>
  <c r="AL131" i="53"/>
  <c r="AK131" i="53"/>
  <c r="V131" i="55"/>
  <c r="U131" i="55"/>
  <c r="S131" i="55"/>
  <c r="Q130" i="53" l="1"/>
  <c r="AO129" i="53"/>
  <c r="AO128" i="53"/>
  <c r="T131" i="55"/>
  <c r="AN131" i="53"/>
  <c r="AO130" i="53"/>
  <c r="DO4" i="56"/>
  <c r="AO126" i="53"/>
  <c r="AO127" i="53"/>
  <c r="AE131" i="53"/>
  <c r="AD131" i="53"/>
  <c r="AH131" i="53"/>
  <c r="AI130" i="53"/>
  <c r="AJ131" i="53"/>
  <c r="AI128" i="53"/>
  <c r="AI129" i="53"/>
  <c r="AG131" i="53"/>
  <c r="AF131" i="53"/>
  <c r="Z131" i="53"/>
  <c r="AC128" i="53"/>
  <c r="X131" i="53"/>
  <c r="AB131" i="53"/>
  <c r="AC130" i="53"/>
  <c r="Y131" i="53"/>
  <c r="AC126" i="53"/>
  <c r="AC129" i="53"/>
  <c r="AA131" i="53"/>
  <c r="Q126" i="53"/>
  <c r="L131" i="53"/>
  <c r="P131" i="53"/>
  <c r="N131" i="53"/>
  <c r="M131" i="53"/>
  <c r="Q128" i="53"/>
  <c r="O131" i="53"/>
  <c r="Q129" i="53"/>
  <c r="BE4" i="60"/>
  <c r="DM131" i="56"/>
  <c r="DL131" i="56"/>
  <c r="DK131" i="56"/>
  <c r="DJ131" i="56"/>
  <c r="DN131" i="56"/>
  <c r="W127" i="55"/>
  <c r="W128" i="55"/>
  <c r="Q130" i="55"/>
  <c r="Q127" i="53"/>
  <c r="AC127" i="53"/>
  <c r="AI126" i="53"/>
  <c r="AI127" i="53"/>
  <c r="W129" i="55"/>
  <c r="W130" i="55"/>
  <c r="O131" i="55"/>
  <c r="Q128" i="55"/>
  <c r="Q126" i="55"/>
  <c r="M131" i="55"/>
  <c r="N131" i="55"/>
  <c r="L131" i="55"/>
  <c r="P131" i="55"/>
  <c r="Q129" i="55"/>
  <c r="Q127" i="55"/>
  <c r="R131" i="55"/>
  <c r="W126" i="55"/>
  <c r="F131" i="60" l="1"/>
  <c r="E131" i="60"/>
  <c r="D131" i="60"/>
  <c r="AO131" i="53"/>
  <c r="AI131" i="53"/>
  <c r="AC131" i="53"/>
  <c r="Q131" i="53"/>
  <c r="BE131" i="60"/>
  <c r="DO131" i="56"/>
  <c r="W131" i="55"/>
  <c r="Q131" i="55"/>
  <c r="DY131" i="56" l="1"/>
  <c r="DX131" i="56"/>
  <c r="DW131" i="56"/>
  <c r="DV131" i="56"/>
  <c r="H130" i="57"/>
  <c r="H128" i="57"/>
  <c r="H126" i="57"/>
  <c r="G130" i="57"/>
  <c r="F131" i="118" s="1"/>
  <c r="I131" i="118" s="1"/>
  <c r="G129" i="57"/>
  <c r="F130" i="118" s="1"/>
  <c r="I130" i="118" s="1"/>
  <c r="G128" i="57"/>
  <c r="F129" i="118" s="1"/>
  <c r="I129" i="118" s="1"/>
  <c r="G127" i="57"/>
  <c r="F128" i="118" s="1"/>
  <c r="I128" i="118" s="1"/>
  <c r="G126" i="57"/>
  <c r="F127" i="118" s="1"/>
  <c r="H131" i="59"/>
  <c r="F131" i="59"/>
  <c r="F132" i="118" l="1"/>
  <c r="I127" i="118"/>
  <c r="I132" i="118" s="1"/>
  <c r="F131" i="61"/>
  <c r="H127" i="57"/>
  <c r="H129" i="57"/>
  <c r="J131" i="57"/>
  <c r="G131" i="59"/>
  <c r="AI131" i="60"/>
  <c r="AH131" i="60"/>
  <c r="AL131" i="60"/>
  <c r="AQ131" i="60"/>
  <c r="E131" i="59"/>
  <c r="E131" i="58"/>
  <c r="D131" i="58" s="1"/>
  <c r="AJ131" i="60"/>
  <c r="AO131" i="60"/>
  <c r="AR131" i="60"/>
  <c r="D131" i="61"/>
  <c r="AG131" i="56"/>
  <c r="E131" i="117"/>
  <c r="F131" i="117"/>
  <c r="Q131" i="60"/>
  <c r="AK131" i="60"/>
  <c r="N131" i="57"/>
  <c r="O131" i="57"/>
  <c r="G131" i="57" s="1"/>
  <c r="I131" i="57"/>
  <c r="CO131" i="56"/>
  <c r="M131" i="56"/>
  <c r="G131" i="117"/>
  <c r="R131" i="60"/>
  <c r="AN131" i="60"/>
  <c r="G131" i="61"/>
  <c r="CP131" i="56"/>
  <c r="BK131" i="56"/>
  <c r="AX131" i="56"/>
  <c r="D131" i="117"/>
  <c r="P131" i="60"/>
  <c r="T131" i="60"/>
  <c r="S131" i="60"/>
  <c r="AP131" i="60"/>
  <c r="E131" i="61"/>
  <c r="M131" i="57"/>
  <c r="CN131" i="56"/>
  <c r="CM131" i="56"/>
  <c r="CF131" i="56"/>
  <c r="CJ131" i="56"/>
  <c r="DZ131" i="56"/>
  <c r="DP131" i="56"/>
  <c r="DT131" i="56"/>
  <c r="DS131" i="56"/>
  <c r="DQ131" i="56"/>
  <c r="DR131" i="56"/>
  <c r="BD131" i="56"/>
  <c r="BE131" i="56"/>
  <c r="BB131" i="56"/>
  <c r="BF131" i="56"/>
  <c r="BI131" i="56"/>
  <c r="BL131" i="56"/>
  <c r="BJ131" i="56"/>
  <c r="BN131" i="56"/>
  <c r="BR131" i="56"/>
  <c r="BO131" i="56"/>
  <c r="BP131" i="56"/>
  <c r="BQ131" i="56"/>
  <c r="BV131" i="56"/>
  <c r="BU131" i="56"/>
  <c r="BT131" i="56"/>
  <c r="BX131" i="56"/>
  <c r="BW131" i="56"/>
  <c r="CC131" i="56"/>
  <c r="CA131" i="56"/>
  <c r="BZ131" i="56"/>
  <c r="CD131" i="56"/>
  <c r="CB131" i="56"/>
  <c r="CI131" i="56"/>
  <c r="CG131" i="56"/>
  <c r="CH131" i="56"/>
  <c r="CL131" i="56"/>
  <c r="CZ131" i="56"/>
  <c r="CY131" i="56"/>
  <c r="CU131" i="56"/>
  <c r="CT131" i="56"/>
  <c r="CS131" i="56"/>
  <c r="CR131" i="56"/>
  <c r="CV131" i="56"/>
  <c r="DB131" i="56"/>
  <c r="CX131" i="56"/>
  <c r="DA131" i="56"/>
  <c r="DF131" i="56"/>
  <c r="DE131" i="56"/>
  <c r="DG131" i="56"/>
  <c r="DH131" i="56"/>
  <c r="AV131" i="56"/>
  <c r="AZ131" i="56"/>
  <c r="AY131" i="56"/>
  <c r="AP131" i="56"/>
  <c r="AT131" i="56"/>
  <c r="AS131" i="56"/>
  <c r="AR131" i="56"/>
  <c r="AL131" i="56"/>
  <c r="AK131" i="56"/>
  <c r="AJ131" i="56"/>
  <c r="AN131" i="56"/>
  <c r="AM131" i="56"/>
  <c r="AE131" i="56"/>
  <c r="AD131" i="56"/>
  <c r="AH131" i="56"/>
  <c r="AF131" i="56"/>
  <c r="Z131" i="56"/>
  <c r="Y131" i="56"/>
  <c r="AA131" i="56"/>
  <c r="X131" i="56"/>
  <c r="AB131" i="56"/>
  <c r="T131" i="56"/>
  <c r="S131" i="56"/>
  <c r="R131" i="56"/>
  <c r="V131" i="56"/>
  <c r="U131" i="56"/>
  <c r="P131" i="56"/>
  <c r="L131" i="56"/>
  <c r="N131" i="56"/>
  <c r="O131" i="56"/>
  <c r="AQ131" i="56"/>
  <c r="AW131" i="56"/>
  <c r="BC131" i="56"/>
  <c r="BH131" i="56"/>
  <c r="DD131" i="56"/>
  <c r="I131" i="61" l="1"/>
  <c r="H131" i="57"/>
  <c r="CQ131" i="56"/>
  <c r="CK131" i="56"/>
  <c r="AC131" i="56"/>
  <c r="AI131" i="56"/>
  <c r="BA131" i="56"/>
  <c r="EA131" i="56"/>
  <c r="DU131" i="56"/>
  <c r="BG131" i="56"/>
  <c r="BM131" i="56"/>
  <c r="BS131" i="56"/>
  <c r="BY131" i="56"/>
  <c r="CE131" i="56"/>
  <c r="DC131" i="56"/>
  <c r="CW131" i="56"/>
  <c r="DI131" i="56"/>
  <c r="AU131" i="56"/>
  <c r="AO131" i="56"/>
  <c r="W131" i="56"/>
  <c r="Q131" i="56"/>
  <c r="J131" i="56" l="1"/>
  <c r="K131" i="56"/>
  <c r="AS131" i="60" l="1"/>
  <c r="AM131" i="60"/>
  <c r="F131" i="57" l="1"/>
  <c r="L131" i="57"/>
  <c r="L130" i="57"/>
  <c r="L129" i="57"/>
  <c r="L128" i="57"/>
  <c r="L127" i="57"/>
  <c r="E131" i="57"/>
  <c r="F130" i="57"/>
  <c r="E131" i="118" s="1"/>
  <c r="E130" i="57"/>
  <c r="D131" i="118" s="1"/>
  <c r="H131" i="118" s="1"/>
  <c r="F129" i="57"/>
  <c r="E130" i="118" s="1"/>
  <c r="E129" i="57"/>
  <c r="D130" i="118" s="1"/>
  <c r="H130" i="118" s="1"/>
  <c r="F128" i="57"/>
  <c r="E129" i="118" s="1"/>
  <c r="E128" i="57"/>
  <c r="D129" i="118" s="1"/>
  <c r="H129" i="118" s="1"/>
  <c r="F127" i="57"/>
  <c r="E128" i="118" s="1"/>
  <c r="E127" i="57"/>
  <c r="D128" i="118" s="1"/>
  <c r="H128" i="118" s="1"/>
  <c r="L126" i="57"/>
  <c r="F126" i="57"/>
  <c r="E127" i="118" s="1"/>
  <c r="E126" i="57"/>
  <c r="D127" i="118" s="1"/>
  <c r="E4" i="120"/>
  <c r="D132" i="118" l="1"/>
  <c r="H127" i="118"/>
  <c r="H132" i="118" s="1"/>
  <c r="E132" i="118"/>
  <c r="D126" i="57"/>
  <c r="D131" i="57"/>
  <c r="D130" i="57"/>
  <c r="D129" i="57"/>
  <c r="D128" i="57"/>
  <c r="D127" i="57"/>
  <c r="H131" i="101"/>
  <c r="H124" i="101"/>
  <c r="H123" i="101"/>
  <c r="H122" i="101"/>
  <c r="H121" i="101"/>
  <c r="H120" i="101"/>
  <c r="H119" i="101"/>
  <c r="H118" i="101"/>
  <c r="H117" i="101"/>
  <c r="H116" i="101"/>
  <c r="H115" i="101"/>
  <c r="H114" i="101"/>
  <c r="H113" i="101"/>
  <c r="H112" i="101"/>
  <c r="H111" i="101"/>
  <c r="H110" i="101"/>
  <c r="H109" i="101"/>
  <c r="H108"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4" i="101"/>
  <c r="H73" i="101"/>
  <c r="H72" i="101"/>
  <c r="H71" i="101"/>
  <c r="H70" i="101"/>
  <c r="H69" i="101"/>
  <c r="H68" i="101"/>
  <c r="H67" i="101"/>
  <c r="H66" i="101"/>
  <c r="H65" i="101"/>
  <c r="H64" i="101"/>
  <c r="H63" i="101"/>
  <c r="H62" i="101"/>
  <c r="H61" i="101"/>
  <c r="H60" i="101"/>
  <c r="H59" i="101"/>
  <c r="H58" i="101"/>
  <c r="H57" i="101"/>
  <c r="H56" i="101"/>
  <c r="H55" i="101"/>
  <c r="H54" i="101"/>
  <c r="H53" i="101"/>
  <c r="H52" i="101"/>
  <c r="H51" i="101"/>
  <c r="H50" i="101"/>
  <c r="H49" i="101"/>
  <c r="H48" i="101"/>
  <c r="H47" i="101"/>
  <c r="H46" i="101"/>
  <c r="H45" i="101"/>
  <c r="H44" i="101"/>
  <c r="H43" i="101"/>
  <c r="H42" i="101"/>
  <c r="H41" i="101"/>
  <c r="H40" i="101"/>
  <c r="H39" i="101"/>
  <c r="H38" i="101"/>
  <c r="H37" i="101"/>
  <c r="H36" i="10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6" i="101"/>
  <c r="H5" i="101"/>
  <c r="K131" i="101" l="1"/>
  <c r="K6" i="101"/>
  <c r="K10" i="101"/>
  <c r="K14" i="101"/>
  <c r="K22" i="101"/>
  <c r="K26" i="101"/>
  <c r="K30" i="101"/>
  <c r="K34" i="101"/>
  <c r="K38" i="101"/>
  <c r="K42" i="101"/>
  <c r="K46" i="101"/>
  <c r="K50" i="101"/>
  <c r="K54" i="101"/>
  <c r="K58" i="101"/>
  <c r="K62" i="101"/>
  <c r="K66" i="101"/>
  <c r="K70" i="101"/>
  <c r="K74" i="101"/>
  <c r="K78" i="101"/>
  <c r="K82" i="101"/>
  <c r="K86" i="101"/>
  <c r="K90" i="101"/>
  <c r="K94" i="101"/>
  <c r="K98" i="101"/>
  <c r="K102" i="101"/>
  <c r="K106" i="101"/>
  <c r="K110" i="101"/>
  <c r="K114" i="101"/>
  <c r="K118" i="101"/>
  <c r="K122" i="101"/>
  <c r="K18" i="101"/>
  <c r="K11" i="101"/>
  <c r="K27" i="101"/>
  <c r="K43" i="101"/>
  <c r="K59" i="101"/>
  <c r="K75" i="101"/>
  <c r="K91" i="101"/>
  <c r="K107" i="101"/>
  <c r="K123" i="101"/>
  <c r="K7" i="101"/>
  <c r="K15" i="101"/>
  <c r="K35" i="101"/>
  <c r="K39" i="101"/>
  <c r="K47" i="101"/>
  <c r="K67" i="101"/>
  <c r="K71" i="101"/>
  <c r="K95" i="101"/>
  <c r="K99" i="101"/>
  <c r="K103" i="101"/>
  <c r="K119" i="101"/>
  <c r="K19" i="101"/>
  <c r="K23" i="101"/>
  <c r="K31" i="101"/>
  <c r="K51" i="101"/>
  <c r="K55" i="101"/>
  <c r="K63" i="101"/>
  <c r="K79" i="101"/>
  <c r="K83" i="101"/>
  <c r="K87" i="101"/>
  <c r="K111" i="101"/>
  <c r="K115" i="101"/>
  <c r="K5" i="101"/>
  <c r="K9" i="101"/>
  <c r="K13" i="101"/>
  <c r="K17" i="101"/>
  <c r="K21" i="101"/>
  <c r="K25" i="101"/>
  <c r="K29" i="101"/>
  <c r="K33" i="101"/>
  <c r="K37" i="101"/>
  <c r="K41" i="101"/>
  <c r="K45" i="101"/>
  <c r="K49" i="101"/>
  <c r="K53" i="101"/>
  <c r="K57" i="101"/>
  <c r="K61" i="101"/>
  <c r="K65" i="101"/>
  <c r="K69" i="101"/>
  <c r="K73" i="101"/>
  <c r="K77" i="101"/>
  <c r="K81" i="101"/>
  <c r="K85" i="101"/>
  <c r="K89" i="101"/>
  <c r="K93" i="101"/>
  <c r="K97" i="101"/>
  <c r="K101" i="101"/>
  <c r="K105" i="101"/>
  <c r="K109" i="101"/>
  <c r="K113" i="101"/>
  <c r="K117" i="101"/>
  <c r="K121" i="101"/>
  <c r="K8" i="101"/>
  <c r="K12" i="101"/>
  <c r="K16" i="101"/>
  <c r="K20" i="101"/>
  <c r="K24" i="101"/>
  <c r="K28" i="101"/>
  <c r="K32" i="101"/>
  <c r="K36" i="101"/>
  <c r="K40" i="101"/>
  <c r="K44" i="101"/>
  <c r="K48" i="101"/>
  <c r="K52" i="101"/>
  <c r="K56" i="101"/>
  <c r="K60" i="101"/>
  <c r="K64" i="101"/>
  <c r="K68" i="101"/>
  <c r="K72" i="101"/>
  <c r="K76" i="101"/>
  <c r="K80" i="101"/>
  <c r="K84" i="101"/>
  <c r="K88" i="101"/>
  <c r="K92" i="101"/>
  <c r="K96" i="101"/>
  <c r="K100" i="101"/>
  <c r="K104" i="101"/>
  <c r="K108" i="101"/>
  <c r="K112" i="101"/>
  <c r="K116" i="101"/>
  <c r="K120" i="101"/>
  <c r="K124" i="101"/>
  <c r="I131" i="59"/>
  <c r="D130" i="59"/>
  <c r="D129" i="59"/>
  <c r="D128" i="59"/>
  <c r="D127" i="59"/>
  <c r="D126" i="59"/>
  <c r="H131" i="61"/>
  <c r="F5" i="106"/>
  <c r="N5" i="106"/>
  <c r="P5" i="104"/>
  <c r="O5" i="104"/>
  <c r="N5" i="104"/>
  <c r="M5" i="104"/>
  <c r="K5" i="104"/>
  <c r="J5" i="104"/>
  <c r="P5" i="103"/>
  <c r="P98" i="31"/>
  <c r="P97" i="31"/>
  <c r="P124" i="31"/>
  <c r="P123" i="31"/>
  <c r="P96" i="31"/>
  <c r="P95" i="31"/>
  <c r="P94" i="31"/>
  <c r="P122" i="31"/>
  <c r="P93" i="31"/>
  <c r="P92" i="31"/>
  <c r="P91" i="31"/>
  <c r="P121" i="31"/>
  <c r="P90" i="31"/>
  <c r="P89" i="31"/>
  <c r="P88" i="31"/>
  <c r="P87" i="31"/>
  <c r="P86" i="31"/>
  <c r="P85" i="31"/>
  <c r="P84" i="31"/>
  <c r="P83" i="31"/>
  <c r="P82" i="31"/>
  <c r="P81" i="31"/>
  <c r="P120" i="31"/>
  <c r="P80" i="31"/>
  <c r="P119" i="31"/>
  <c r="P79" i="31"/>
  <c r="P118" i="31"/>
  <c r="P78" i="31"/>
  <c r="P77" i="31"/>
  <c r="P76" i="31"/>
  <c r="P75" i="31"/>
  <c r="P74" i="31"/>
  <c r="P117" i="31"/>
  <c r="P73" i="31"/>
  <c r="P116" i="31"/>
  <c r="P72" i="31"/>
  <c r="P71" i="31"/>
  <c r="P70" i="31"/>
  <c r="P69" i="31"/>
  <c r="P115" i="31"/>
  <c r="P68" i="31"/>
  <c r="P67" i="31"/>
  <c r="P114" i="31"/>
  <c r="P113" i="31"/>
  <c r="P66" i="31"/>
  <c r="P65" i="31"/>
  <c r="P64" i="31"/>
  <c r="P63" i="31"/>
  <c r="P62" i="31"/>
  <c r="P61" i="31"/>
  <c r="P112" i="31"/>
  <c r="P111" i="31"/>
  <c r="P60" i="31"/>
  <c r="P110" i="31"/>
  <c r="P59" i="31"/>
  <c r="P58" i="31"/>
  <c r="P57" i="31"/>
  <c r="P56" i="31"/>
  <c r="P55" i="31"/>
  <c r="P54" i="31"/>
  <c r="P53" i="31"/>
  <c r="P52" i="31"/>
  <c r="P51" i="31"/>
  <c r="P50" i="31"/>
  <c r="P109" i="31"/>
  <c r="P49" i="31"/>
  <c r="P48" i="31"/>
  <c r="P47" i="31"/>
  <c r="P46" i="31"/>
  <c r="P108" i="31"/>
  <c r="P45" i="31"/>
  <c r="P44" i="31"/>
  <c r="P43" i="31"/>
  <c r="P42" i="31"/>
  <c r="P41" i="31"/>
  <c r="P40" i="31"/>
  <c r="P39" i="31"/>
  <c r="P107" i="31"/>
  <c r="P106" i="31"/>
  <c r="P38" i="31"/>
  <c r="P37" i="31"/>
  <c r="P105" i="31"/>
  <c r="P36" i="31"/>
  <c r="P35" i="31"/>
  <c r="P34" i="31"/>
  <c r="P33" i="31"/>
  <c r="P32" i="31"/>
  <c r="P31" i="31"/>
  <c r="P30" i="31"/>
  <c r="P104" i="31"/>
  <c r="P29" i="31"/>
  <c r="P28" i="31"/>
  <c r="P27" i="31"/>
  <c r="P26" i="31"/>
  <c r="P25" i="31"/>
  <c r="P103" i="31"/>
  <c r="P102" i="31"/>
  <c r="P24" i="31"/>
  <c r="P23" i="31"/>
  <c r="P22" i="31"/>
  <c r="P21" i="31"/>
  <c r="P20" i="31"/>
  <c r="P19" i="31"/>
  <c r="P18" i="31"/>
  <c r="P17" i="31"/>
  <c r="P101" i="31"/>
  <c r="P16" i="31"/>
  <c r="P15" i="31"/>
  <c r="P14" i="31"/>
  <c r="P13" i="31"/>
  <c r="P12" i="31"/>
  <c r="P11" i="31"/>
  <c r="P10" i="31"/>
  <c r="P9" i="31"/>
  <c r="P8" i="31"/>
  <c r="P7" i="31"/>
  <c r="P100" i="31"/>
  <c r="P6" i="31"/>
  <c r="P5" i="31"/>
  <c r="P99" i="31"/>
  <c r="R130" i="24"/>
  <c r="R129" i="24"/>
  <c r="R128" i="24"/>
  <c r="R127" i="24"/>
  <c r="R126" i="24"/>
  <c r="R99" i="24"/>
  <c r="R98" i="24"/>
  <c r="R97" i="24"/>
  <c r="R124" i="24"/>
  <c r="R123" i="24"/>
  <c r="R96" i="24"/>
  <c r="R95" i="24"/>
  <c r="R94" i="24"/>
  <c r="R122" i="24"/>
  <c r="R93" i="24"/>
  <c r="R92" i="24"/>
  <c r="R91" i="24"/>
  <c r="R121" i="24"/>
  <c r="R90" i="24"/>
  <c r="R89" i="24"/>
  <c r="R88" i="24"/>
  <c r="R87" i="24"/>
  <c r="R86" i="24"/>
  <c r="R85" i="24"/>
  <c r="R84" i="24"/>
  <c r="R83" i="24"/>
  <c r="R82" i="24"/>
  <c r="R81" i="24"/>
  <c r="R120" i="24"/>
  <c r="R80" i="24"/>
  <c r="R119" i="24"/>
  <c r="R79" i="24"/>
  <c r="R118" i="24"/>
  <c r="R78" i="24"/>
  <c r="R77" i="24"/>
  <c r="R76" i="24"/>
  <c r="R75" i="24"/>
  <c r="R74" i="24"/>
  <c r="R117" i="24"/>
  <c r="R73" i="24"/>
  <c r="R116" i="24"/>
  <c r="R72" i="24"/>
  <c r="R71" i="24"/>
  <c r="R70" i="24"/>
  <c r="R69" i="24"/>
  <c r="R115" i="24"/>
  <c r="R68" i="24"/>
  <c r="R67" i="24"/>
  <c r="R114" i="24"/>
  <c r="R113" i="24"/>
  <c r="R66" i="24"/>
  <c r="R65" i="24"/>
  <c r="R64" i="24"/>
  <c r="R63" i="24"/>
  <c r="R62" i="24"/>
  <c r="R61" i="24"/>
  <c r="R112" i="24"/>
  <c r="R111" i="24"/>
  <c r="R60" i="24"/>
  <c r="R110" i="24"/>
  <c r="R59" i="24"/>
  <c r="R58" i="24"/>
  <c r="R57" i="24"/>
  <c r="R56" i="24"/>
  <c r="R55" i="24"/>
  <c r="R54" i="24"/>
  <c r="R53" i="24"/>
  <c r="R52" i="24"/>
  <c r="R51" i="24"/>
  <c r="R50" i="24"/>
  <c r="R109" i="24"/>
  <c r="R49" i="24"/>
  <c r="R48" i="24"/>
  <c r="R47" i="24"/>
  <c r="R46" i="24"/>
  <c r="R108" i="24"/>
  <c r="R45" i="24"/>
  <c r="R44" i="24"/>
  <c r="R43" i="24"/>
  <c r="R42" i="24"/>
  <c r="R41" i="24"/>
  <c r="R40" i="24"/>
  <c r="R39" i="24"/>
  <c r="R107" i="24"/>
  <c r="R106" i="24"/>
  <c r="R38" i="24"/>
  <c r="R37" i="24"/>
  <c r="R105" i="24"/>
  <c r="R36" i="24"/>
  <c r="R35" i="24"/>
  <c r="R34" i="24"/>
  <c r="R33" i="24"/>
  <c r="R32" i="24"/>
  <c r="R31" i="24"/>
  <c r="R30" i="24"/>
  <c r="R104" i="24"/>
  <c r="R29" i="24"/>
  <c r="R28" i="24"/>
  <c r="R27" i="24"/>
  <c r="R26" i="24"/>
  <c r="R25" i="24"/>
  <c r="R103" i="24"/>
  <c r="R102" i="24"/>
  <c r="R24" i="24"/>
  <c r="R23" i="24"/>
  <c r="R22" i="24"/>
  <c r="R21" i="24"/>
  <c r="R20" i="24"/>
  <c r="R19" i="24"/>
  <c r="R18" i="24"/>
  <c r="R17" i="24"/>
  <c r="R101" i="24"/>
  <c r="R16" i="24"/>
  <c r="R15" i="24"/>
  <c r="R14" i="24"/>
  <c r="R13" i="24"/>
  <c r="R12" i="24"/>
  <c r="R11" i="24"/>
  <c r="R10" i="24"/>
  <c r="R9" i="24"/>
  <c r="R8" i="24"/>
  <c r="R7" i="24"/>
  <c r="R100" i="24"/>
  <c r="R6" i="24"/>
  <c r="R5" i="24"/>
  <c r="R4" i="24"/>
  <c r="F51" i="1" s="1"/>
  <c r="BD131" i="113"/>
  <c r="BC131" i="113"/>
  <c r="BB131" i="113"/>
  <c r="BA131" i="113"/>
  <c r="AZ131" i="113"/>
  <c r="AY131" i="113"/>
  <c r="AX131" i="113"/>
  <c r="AW131" i="113"/>
  <c r="AV131" i="113"/>
  <c r="AU131" i="113"/>
  <c r="AT131" i="113"/>
  <c r="AS131" i="113"/>
  <c r="AR131" i="113"/>
  <c r="AQ131" i="113"/>
  <c r="AP131" i="113"/>
  <c r="BD130" i="113"/>
  <c r="BC130" i="113"/>
  <c r="BB130" i="113"/>
  <c r="BA130" i="113"/>
  <c r="AZ130" i="113"/>
  <c r="AY130" i="113"/>
  <c r="AX130" i="113"/>
  <c r="AW130" i="113"/>
  <c r="AV130" i="113"/>
  <c r="AU130" i="113"/>
  <c r="AT130" i="113"/>
  <c r="AS130" i="113"/>
  <c r="AR130" i="113"/>
  <c r="AQ130" i="113"/>
  <c r="AP130" i="113"/>
  <c r="BD129" i="113"/>
  <c r="BC129" i="113"/>
  <c r="BB129" i="113"/>
  <c r="BA129" i="113"/>
  <c r="AZ129" i="113"/>
  <c r="AY129" i="113"/>
  <c r="AX129" i="113"/>
  <c r="AW129" i="113"/>
  <c r="AV129" i="113"/>
  <c r="AU129" i="113"/>
  <c r="AT129" i="113"/>
  <c r="AS129" i="113"/>
  <c r="AR129" i="113"/>
  <c r="AQ129" i="113"/>
  <c r="AP129" i="113"/>
  <c r="BD128" i="113"/>
  <c r="BC128" i="113"/>
  <c r="BB128" i="113"/>
  <c r="BA128" i="113"/>
  <c r="AZ128" i="113"/>
  <c r="AY128" i="113"/>
  <c r="AX128" i="113"/>
  <c r="AW128" i="113"/>
  <c r="AV128" i="113"/>
  <c r="AU128" i="113"/>
  <c r="AT128" i="113"/>
  <c r="AS128" i="113"/>
  <c r="AR128" i="113"/>
  <c r="AQ128" i="113"/>
  <c r="AP128" i="113"/>
  <c r="BD127" i="113"/>
  <c r="BC127" i="113"/>
  <c r="BB127" i="113"/>
  <c r="BA127" i="113"/>
  <c r="AZ127" i="113"/>
  <c r="AY127" i="113"/>
  <c r="AX127" i="113"/>
  <c r="AW127" i="113"/>
  <c r="AV127" i="113"/>
  <c r="AU127" i="113"/>
  <c r="AT127" i="113"/>
  <c r="AS127" i="113"/>
  <c r="AR127" i="113"/>
  <c r="AQ127" i="113"/>
  <c r="AP127" i="113"/>
  <c r="BD125" i="113"/>
  <c r="BC125" i="113"/>
  <c r="BB125" i="113"/>
  <c r="BA125" i="113"/>
  <c r="AZ125" i="113"/>
  <c r="AY125" i="113"/>
  <c r="AX125" i="113"/>
  <c r="AW125" i="113"/>
  <c r="AV125" i="113"/>
  <c r="AU125" i="113"/>
  <c r="AT125" i="113"/>
  <c r="AS125" i="113"/>
  <c r="AR125" i="113"/>
  <c r="AQ125" i="113"/>
  <c r="AP125" i="113"/>
  <c r="BD124" i="113"/>
  <c r="BC124" i="113"/>
  <c r="BB124" i="113"/>
  <c r="BA124" i="113"/>
  <c r="AZ124" i="113"/>
  <c r="AY124" i="113"/>
  <c r="AX124" i="113"/>
  <c r="AW124" i="113"/>
  <c r="AV124" i="113"/>
  <c r="AU124" i="113"/>
  <c r="AT124" i="113"/>
  <c r="AS124" i="113"/>
  <c r="AR124" i="113"/>
  <c r="AQ124" i="113"/>
  <c r="AP124" i="113"/>
  <c r="BD123" i="113"/>
  <c r="BC123" i="113"/>
  <c r="BB123" i="113"/>
  <c r="BA123" i="113"/>
  <c r="AZ123" i="113"/>
  <c r="AY123" i="113"/>
  <c r="AX123" i="113"/>
  <c r="AW123" i="113"/>
  <c r="AV123" i="113"/>
  <c r="AU123" i="113"/>
  <c r="AT123" i="113"/>
  <c r="AS123" i="113"/>
  <c r="AR123" i="113"/>
  <c r="AQ123" i="113"/>
  <c r="AP123" i="113"/>
  <c r="BD122" i="113"/>
  <c r="BC122" i="113"/>
  <c r="BB122" i="113"/>
  <c r="BA122" i="113"/>
  <c r="AZ122" i="113"/>
  <c r="AY122" i="113"/>
  <c r="AX122" i="113"/>
  <c r="AW122" i="113"/>
  <c r="AV122" i="113"/>
  <c r="AU122" i="113"/>
  <c r="AT122" i="113"/>
  <c r="AS122" i="113"/>
  <c r="AR122" i="113"/>
  <c r="AQ122" i="113"/>
  <c r="AP122" i="113"/>
  <c r="BD121" i="113"/>
  <c r="BC121" i="113"/>
  <c r="BB121" i="113"/>
  <c r="BA121" i="113"/>
  <c r="AZ121" i="113"/>
  <c r="AY121" i="113"/>
  <c r="AX121" i="113"/>
  <c r="AW121" i="113"/>
  <c r="AV121" i="113"/>
  <c r="AU121" i="113"/>
  <c r="AT121" i="113"/>
  <c r="AS121" i="113"/>
  <c r="AR121" i="113"/>
  <c r="AQ121" i="113"/>
  <c r="AP121" i="113"/>
  <c r="BD120" i="113"/>
  <c r="BC120" i="113"/>
  <c r="BB120" i="113"/>
  <c r="BA120" i="113"/>
  <c r="AZ120" i="113"/>
  <c r="AY120" i="113"/>
  <c r="AX120" i="113"/>
  <c r="AW120" i="113"/>
  <c r="AV120" i="113"/>
  <c r="AU120" i="113"/>
  <c r="AT120" i="113"/>
  <c r="AS120" i="113"/>
  <c r="AR120" i="113"/>
  <c r="AQ120" i="113"/>
  <c r="AP120" i="113"/>
  <c r="BD119" i="113"/>
  <c r="BC119" i="113"/>
  <c r="BB119" i="113"/>
  <c r="BA119" i="113"/>
  <c r="AZ119" i="113"/>
  <c r="AY119" i="113"/>
  <c r="AX119" i="113"/>
  <c r="AW119" i="113"/>
  <c r="AV119" i="113"/>
  <c r="AU119" i="113"/>
  <c r="AT119" i="113"/>
  <c r="AS119" i="113"/>
  <c r="AR119" i="113"/>
  <c r="AQ119" i="113"/>
  <c r="AP119" i="113"/>
  <c r="BD118" i="113"/>
  <c r="BC118" i="113"/>
  <c r="BB118" i="113"/>
  <c r="BA118" i="113"/>
  <c r="AZ118" i="113"/>
  <c r="AY118" i="113"/>
  <c r="AX118" i="113"/>
  <c r="AW118" i="113"/>
  <c r="AV118" i="113"/>
  <c r="AU118" i="113"/>
  <c r="AT118" i="113"/>
  <c r="AS118" i="113"/>
  <c r="AR118" i="113"/>
  <c r="AQ118" i="113"/>
  <c r="AP118" i="113"/>
  <c r="BD117" i="113"/>
  <c r="BC117" i="113"/>
  <c r="BB117" i="113"/>
  <c r="BA117" i="113"/>
  <c r="AZ117" i="113"/>
  <c r="AY117" i="113"/>
  <c r="AX117" i="113"/>
  <c r="AW117" i="113"/>
  <c r="AV117" i="113"/>
  <c r="AU117" i="113"/>
  <c r="AT117" i="113"/>
  <c r="AS117" i="113"/>
  <c r="AR117" i="113"/>
  <c r="AQ117" i="113"/>
  <c r="AP117" i="113"/>
  <c r="BD116" i="113"/>
  <c r="BC116" i="113"/>
  <c r="BB116" i="113"/>
  <c r="BA116" i="113"/>
  <c r="AZ116" i="113"/>
  <c r="AY116" i="113"/>
  <c r="AX116" i="113"/>
  <c r="AW116" i="113"/>
  <c r="AV116" i="113"/>
  <c r="AU116" i="113"/>
  <c r="AT116" i="113"/>
  <c r="AS116" i="113"/>
  <c r="AR116" i="113"/>
  <c r="AQ116" i="113"/>
  <c r="AP116" i="113"/>
  <c r="BD115" i="113"/>
  <c r="BC115" i="113"/>
  <c r="BB115" i="113"/>
  <c r="BA115" i="113"/>
  <c r="AZ115" i="113"/>
  <c r="AY115" i="113"/>
  <c r="AX115" i="113"/>
  <c r="AW115" i="113"/>
  <c r="AV115" i="113"/>
  <c r="AU115" i="113"/>
  <c r="AT115" i="113"/>
  <c r="AS115" i="113"/>
  <c r="AR115" i="113"/>
  <c r="AQ115" i="113"/>
  <c r="AP115" i="113"/>
  <c r="BD114" i="113"/>
  <c r="BC114" i="113"/>
  <c r="BB114" i="113"/>
  <c r="BA114" i="113"/>
  <c r="AZ114" i="113"/>
  <c r="AY114" i="113"/>
  <c r="AX114" i="113"/>
  <c r="AW114" i="113"/>
  <c r="AV114" i="113"/>
  <c r="AU114" i="113"/>
  <c r="AT114" i="113"/>
  <c r="AS114" i="113"/>
  <c r="AR114" i="113"/>
  <c r="AQ114" i="113"/>
  <c r="AP114" i="113"/>
  <c r="BD113" i="113"/>
  <c r="BC113" i="113"/>
  <c r="BB113" i="113"/>
  <c r="BA113" i="113"/>
  <c r="AZ113" i="113"/>
  <c r="AY113" i="113"/>
  <c r="AX113" i="113"/>
  <c r="AW113" i="113"/>
  <c r="AV113" i="113"/>
  <c r="AU113" i="113"/>
  <c r="AT113" i="113"/>
  <c r="AS113" i="113"/>
  <c r="AR113" i="113"/>
  <c r="AQ113" i="113"/>
  <c r="AP113" i="113"/>
  <c r="BD112" i="113"/>
  <c r="BC112" i="113"/>
  <c r="BB112" i="113"/>
  <c r="BA112" i="113"/>
  <c r="AZ112" i="113"/>
  <c r="AY112" i="113"/>
  <c r="AX112" i="113"/>
  <c r="AW112" i="113"/>
  <c r="AV112" i="113"/>
  <c r="AU112" i="113"/>
  <c r="AT112" i="113"/>
  <c r="AS112" i="113"/>
  <c r="AR112" i="113"/>
  <c r="AQ112" i="113"/>
  <c r="AP112" i="113"/>
  <c r="BD111" i="113"/>
  <c r="BC111" i="113"/>
  <c r="BB111" i="113"/>
  <c r="BA111" i="113"/>
  <c r="AZ111" i="113"/>
  <c r="AY111" i="113"/>
  <c r="AX111" i="113"/>
  <c r="AW111" i="113"/>
  <c r="AV111" i="113"/>
  <c r="AU111" i="113"/>
  <c r="AT111" i="113"/>
  <c r="AS111" i="113"/>
  <c r="AR111" i="113"/>
  <c r="AQ111" i="113"/>
  <c r="AP111" i="113"/>
  <c r="BD110" i="113"/>
  <c r="BC110" i="113"/>
  <c r="BB110" i="113"/>
  <c r="BA110" i="113"/>
  <c r="AZ110" i="113"/>
  <c r="AY110" i="113"/>
  <c r="AX110" i="113"/>
  <c r="AW110" i="113"/>
  <c r="AV110" i="113"/>
  <c r="AU110" i="113"/>
  <c r="AT110" i="113"/>
  <c r="AS110" i="113"/>
  <c r="AR110" i="113"/>
  <c r="AQ110" i="113"/>
  <c r="AP110" i="113"/>
  <c r="BD109" i="113"/>
  <c r="BC109" i="113"/>
  <c r="BB109" i="113"/>
  <c r="BA109" i="113"/>
  <c r="AZ109" i="113"/>
  <c r="AY109" i="113"/>
  <c r="AX109" i="113"/>
  <c r="AW109" i="113"/>
  <c r="AV109" i="113"/>
  <c r="AU109" i="113"/>
  <c r="AT109" i="113"/>
  <c r="AS109" i="113"/>
  <c r="AR109" i="113"/>
  <c r="AQ109" i="113"/>
  <c r="AP109" i="113"/>
  <c r="BD108" i="113"/>
  <c r="BC108" i="113"/>
  <c r="BB108" i="113"/>
  <c r="BA108" i="113"/>
  <c r="AZ108" i="113"/>
  <c r="AY108" i="113"/>
  <c r="AX108" i="113"/>
  <c r="AW108" i="113"/>
  <c r="AV108" i="113"/>
  <c r="AU108" i="113"/>
  <c r="AT108" i="113"/>
  <c r="AS108" i="113"/>
  <c r="AR108" i="113"/>
  <c r="AQ108" i="113"/>
  <c r="AP108" i="113"/>
  <c r="BD107" i="113"/>
  <c r="BC107" i="113"/>
  <c r="BB107" i="113"/>
  <c r="BA107" i="113"/>
  <c r="AZ107" i="113"/>
  <c r="AY107" i="113"/>
  <c r="AX107" i="113"/>
  <c r="AW107" i="113"/>
  <c r="AV107" i="113"/>
  <c r="AU107" i="113"/>
  <c r="AT107" i="113"/>
  <c r="AS107" i="113"/>
  <c r="AR107" i="113"/>
  <c r="AQ107" i="113"/>
  <c r="AP107" i="113"/>
  <c r="BD106" i="113"/>
  <c r="BC106" i="113"/>
  <c r="BB106" i="113"/>
  <c r="BA106" i="113"/>
  <c r="AZ106" i="113"/>
  <c r="AY106" i="113"/>
  <c r="AX106" i="113"/>
  <c r="AW106" i="113"/>
  <c r="AV106" i="113"/>
  <c r="AU106" i="113"/>
  <c r="AT106" i="113"/>
  <c r="AS106" i="113"/>
  <c r="AR106" i="113"/>
  <c r="AQ106" i="113"/>
  <c r="AP106" i="113"/>
  <c r="BD105" i="113"/>
  <c r="BC105" i="113"/>
  <c r="BB105" i="113"/>
  <c r="BA105" i="113"/>
  <c r="AZ105" i="113"/>
  <c r="AY105" i="113"/>
  <c r="AX105" i="113"/>
  <c r="AW105" i="113"/>
  <c r="AV105" i="113"/>
  <c r="AU105" i="113"/>
  <c r="AT105" i="113"/>
  <c r="AS105" i="113"/>
  <c r="AR105" i="113"/>
  <c r="AQ105" i="113"/>
  <c r="AP105" i="113"/>
  <c r="BD104" i="113"/>
  <c r="BC104" i="113"/>
  <c r="BB104" i="113"/>
  <c r="BA104" i="113"/>
  <c r="AZ104" i="113"/>
  <c r="AY104" i="113"/>
  <c r="AX104" i="113"/>
  <c r="AW104" i="113"/>
  <c r="AV104" i="113"/>
  <c r="AU104" i="113"/>
  <c r="AT104" i="113"/>
  <c r="AS104" i="113"/>
  <c r="AR104" i="113"/>
  <c r="AQ104" i="113"/>
  <c r="AP104" i="113"/>
  <c r="BD103" i="113"/>
  <c r="BC103" i="113"/>
  <c r="BB103" i="113"/>
  <c r="BA103" i="113"/>
  <c r="AZ103" i="113"/>
  <c r="AY103" i="113"/>
  <c r="AX103" i="113"/>
  <c r="AW103" i="113"/>
  <c r="AV103" i="113"/>
  <c r="AU103" i="113"/>
  <c r="AT103" i="113"/>
  <c r="AS103" i="113"/>
  <c r="AR103" i="113"/>
  <c r="AQ103" i="113"/>
  <c r="AP103" i="113"/>
  <c r="BD102" i="113"/>
  <c r="BC102" i="113"/>
  <c r="BB102" i="113"/>
  <c r="BA102" i="113"/>
  <c r="AZ102" i="113"/>
  <c r="AY102" i="113"/>
  <c r="AX102" i="113"/>
  <c r="AW102" i="113"/>
  <c r="AV102" i="113"/>
  <c r="AU102" i="113"/>
  <c r="AT102" i="113"/>
  <c r="AS102" i="113"/>
  <c r="AR102" i="113"/>
  <c r="AQ102" i="113"/>
  <c r="AP102" i="113"/>
  <c r="BD101" i="113"/>
  <c r="BC101" i="113"/>
  <c r="BB101" i="113"/>
  <c r="BA101" i="113"/>
  <c r="AZ101" i="113"/>
  <c r="AY101" i="113"/>
  <c r="AX101" i="113"/>
  <c r="AW101" i="113"/>
  <c r="AV101" i="113"/>
  <c r="AU101" i="113"/>
  <c r="AT101" i="113"/>
  <c r="AS101" i="113"/>
  <c r="AR101" i="113"/>
  <c r="AQ101" i="113"/>
  <c r="AP101" i="113"/>
  <c r="BD100" i="113"/>
  <c r="BC100" i="113"/>
  <c r="BB100" i="113"/>
  <c r="BA100" i="113"/>
  <c r="AZ100" i="113"/>
  <c r="AY100" i="113"/>
  <c r="AX100" i="113"/>
  <c r="AW100" i="113"/>
  <c r="AV100" i="113"/>
  <c r="AU100" i="113"/>
  <c r="AT100" i="113"/>
  <c r="AS100" i="113"/>
  <c r="AR100" i="113"/>
  <c r="AQ100" i="113"/>
  <c r="AP100" i="113"/>
  <c r="BD99" i="113"/>
  <c r="BC99" i="113"/>
  <c r="BB99" i="113"/>
  <c r="BA99" i="113"/>
  <c r="AZ99" i="113"/>
  <c r="AY99" i="113"/>
  <c r="AX99" i="113"/>
  <c r="AW99" i="113"/>
  <c r="AV99" i="113"/>
  <c r="AU99" i="113"/>
  <c r="AT99" i="113"/>
  <c r="AS99" i="113"/>
  <c r="AR99" i="113"/>
  <c r="AQ99" i="113"/>
  <c r="AP99" i="113"/>
  <c r="BD98" i="113"/>
  <c r="BC98" i="113"/>
  <c r="BB98" i="113"/>
  <c r="BA98" i="113"/>
  <c r="AZ98" i="113"/>
  <c r="AY98" i="113"/>
  <c r="AX98" i="113"/>
  <c r="AW98" i="113"/>
  <c r="AV98" i="113"/>
  <c r="AU98" i="113"/>
  <c r="AT98" i="113"/>
  <c r="AS98" i="113"/>
  <c r="AR98" i="113"/>
  <c r="AQ98" i="113"/>
  <c r="AP98" i="113"/>
  <c r="BD97" i="113"/>
  <c r="BC97" i="113"/>
  <c r="BB97" i="113"/>
  <c r="BA97" i="113"/>
  <c r="AZ97" i="113"/>
  <c r="AY97" i="113"/>
  <c r="AX97" i="113"/>
  <c r="AW97" i="113"/>
  <c r="AV97" i="113"/>
  <c r="AU97" i="113"/>
  <c r="AT97" i="113"/>
  <c r="AS97" i="113"/>
  <c r="AR97" i="113"/>
  <c r="AQ97" i="113"/>
  <c r="AP97" i="113"/>
  <c r="BD96" i="113"/>
  <c r="BC96" i="113"/>
  <c r="BB96" i="113"/>
  <c r="BA96" i="113"/>
  <c r="AZ96" i="113"/>
  <c r="AY96" i="113"/>
  <c r="AX96" i="113"/>
  <c r="AW96" i="113"/>
  <c r="AV96" i="113"/>
  <c r="AU96" i="113"/>
  <c r="AT96" i="113"/>
  <c r="AS96" i="113"/>
  <c r="AR96" i="113"/>
  <c r="AQ96" i="113"/>
  <c r="AP96" i="113"/>
  <c r="BD95" i="113"/>
  <c r="BC95" i="113"/>
  <c r="BB95" i="113"/>
  <c r="BA95" i="113"/>
  <c r="AZ95" i="113"/>
  <c r="AY95" i="113"/>
  <c r="AX95" i="113"/>
  <c r="AW95" i="113"/>
  <c r="AV95" i="113"/>
  <c r="AU95" i="113"/>
  <c r="AT95" i="113"/>
  <c r="AS95" i="113"/>
  <c r="AR95" i="113"/>
  <c r="AQ95" i="113"/>
  <c r="AP95" i="113"/>
  <c r="BD94" i="113"/>
  <c r="BC94" i="113"/>
  <c r="BB94" i="113"/>
  <c r="BA94" i="113"/>
  <c r="AZ94" i="113"/>
  <c r="AY94" i="113"/>
  <c r="AX94" i="113"/>
  <c r="AW94" i="113"/>
  <c r="AV94" i="113"/>
  <c r="AU94" i="113"/>
  <c r="AT94" i="113"/>
  <c r="AS94" i="113"/>
  <c r="AR94" i="113"/>
  <c r="AQ94" i="113"/>
  <c r="AP94" i="113"/>
  <c r="BD93" i="113"/>
  <c r="BC93" i="113"/>
  <c r="BB93" i="113"/>
  <c r="BA93" i="113"/>
  <c r="AZ93" i="113"/>
  <c r="AY93" i="113"/>
  <c r="AX93" i="113"/>
  <c r="AW93" i="113"/>
  <c r="AV93" i="113"/>
  <c r="AU93" i="113"/>
  <c r="AT93" i="113"/>
  <c r="AS93" i="113"/>
  <c r="AR93" i="113"/>
  <c r="AQ93" i="113"/>
  <c r="AP93" i="113"/>
  <c r="BD92" i="113"/>
  <c r="BC92" i="113"/>
  <c r="BB92" i="113"/>
  <c r="BA92" i="113"/>
  <c r="AZ92" i="113"/>
  <c r="AY92" i="113"/>
  <c r="AX92" i="113"/>
  <c r="AW92" i="113"/>
  <c r="AV92" i="113"/>
  <c r="AU92" i="113"/>
  <c r="AT92" i="113"/>
  <c r="AS92" i="113"/>
  <c r="AR92" i="113"/>
  <c r="AQ92" i="113"/>
  <c r="AP92" i="113"/>
  <c r="BD91" i="113"/>
  <c r="BC91" i="113"/>
  <c r="BB91" i="113"/>
  <c r="BA91" i="113"/>
  <c r="AZ91" i="113"/>
  <c r="AY91" i="113"/>
  <c r="AX91" i="113"/>
  <c r="AW91" i="113"/>
  <c r="AV91" i="113"/>
  <c r="AU91" i="113"/>
  <c r="AT91" i="113"/>
  <c r="AS91" i="113"/>
  <c r="AR91" i="113"/>
  <c r="AQ91" i="113"/>
  <c r="AP91" i="113"/>
  <c r="BD90" i="113"/>
  <c r="BC90" i="113"/>
  <c r="BB90" i="113"/>
  <c r="BA90" i="113"/>
  <c r="AZ90" i="113"/>
  <c r="AY90" i="113"/>
  <c r="AX90" i="113"/>
  <c r="AW90" i="113"/>
  <c r="AV90" i="113"/>
  <c r="AU90" i="113"/>
  <c r="AT90" i="113"/>
  <c r="AS90" i="113"/>
  <c r="AR90" i="113"/>
  <c r="AQ90" i="113"/>
  <c r="AP90" i="113"/>
  <c r="BD89" i="113"/>
  <c r="BC89" i="113"/>
  <c r="BB89" i="113"/>
  <c r="BA89" i="113"/>
  <c r="AZ89" i="113"/>
  <c r="AY89" i="113"/>
  <c r="AX89" i="113"/>
  <c r="AW89" i="113"/>
  <c r="AV89" i="113"/>
  <c r="AU89" i="113"/>
  <c r="AT89" i="113"/>
  <c r="AS89" i="113"/>
  <c r="AR89" i="113"/>
  <c r="AQ89" i="113"/>
  <c r="AP89" i="113"/>
  <c r="BD88" i="113"/>
  <c r="BC88" i="113"/>
  <c r="BB88" i="113"/>
  <c r="BA88" i="113"/>
  <c r="AZ88" i="113"/>
  <c r="AY88" i="113"/>
  <c r="AX88" i="113"/>
  <c r="AW88" i="113"/>
  <c r="AV88" i="113"/>
  <c r="AU88" i="113"/>
  <c r="AT88" i="113"/>
  <c r="AS88" i="113"/>
  <c r="AR88" i="113"/>
  <c r="AQ88" i="113"/>
  <c r="AP88" i="113"/>
  <c r="BD87" i="113"/>
  <c r="BC87" i="113"/>
  <c r="BB87" i="113"/>
  <c r="BA87" i="113"/>
  <c r="AZ87" i="113"/>
  <c r="AY87" i="113"/>
  <c r="AX87" i="113"/>
  <c r="AW87" i="113"/>
  <c r="AV87" i="113"/>
  <c r="AU87" i="113"/>
  <c r="AT87" i="113"/>
  <c r="AS87" i="113"/>
  <c r="AR87" i="113"/>
  <c r="AQ87" i="113"/>
  <c r="AP87" i="113"/>
  <c r="BD86" i="113"/>
  <c r="BC86" i="113"/>
  <c r="BB86" i="113"/>
  <c r="BA86" i="113"/>
  <c r="AZ86" i="113"/>
  <c r="AY86" i="113"/>
  <c r="AX86" i="113"/>
  <c r="AW86" i="113"/>
  <c r="AV86" i="113"/>
  <c r="AU86" i="113"/>
  <c r="AT86" i="113"/>
  <c r="AS86" i="113"/>
  <c r="AR86" i="113"/>
  <c r="AQ86" i="113"/>
  <c r="AP86" i="113"/>
  <c r="BD85" i="113"/>
  <c r="BC85" i="113"/>
  <c r="BB85" i="113"/>
  <c r="BA85" i="113"/>
  <c r="AZ85" i="113"/>
  <c r="AY85" i="113"/>
  <c r="AX85" i="113"/>
  <c r="AW85" i="113"/>
  <c r="AV85" i="113"/>
  <c r="AU85" i="113"/>
  <c r="AT85" i="113"/>
  <c r="AS85" i="113"/>
  <c r="AR85" i="113"/>
  <c r="AQ85" i="113"/>
  <c r="AP85" i="113"/>
  <c r="BD84" i="113"/>
  <c r="BC84" i="113"/>
  <c r="BB84" i="113"/>
  <c r="BA84" i="113"/>
  <c r="AZ84" i="113"/>
  <c r="AY84" i="113"/>
  <c r="AX84" i="113"/>
  <c r="AW84" i="113"/>
  <c r="AV84" i="113"/>
  <c r="AU84" i="113"/>
  <c r="AT84" i="113"/>
  <c r="AS84" i="113"/>
  <c r="AR84" i="113"/>
  <c r="AQ84" i="113"/>
  <c r="AP84" i="113"/>
  <c r="BD83" i="113"/>
  <c r="BC83" i="113"/>
  <c r="BB83" i="113"/>
  <c r="BA83" i="113"/>
  <c r="AZ83" i="113"/>
  <c r="AY83" i="113"/>
  <c r="AX83" i="113"/>
  <c r="AW83" i="113"/>
  <c r="AV83" i="113"/>
  <c r="AU83" i="113"/>
  <c r="AT83" i="113"/>
  <c r="AS83" i="113"/>
  <c r="AR83" i="113"/>
  <c r="AQ83" i="113"/>
  <c r="AP83" i="113"/>
  <c r="BD82" i="113"/>
  <c r="BC82" i="113"/>
  <c r="BB82" i="113"/>
  <c r="BA82" i="113"/>
  <c r="AZ82" i="113"/>
  <c r="AY82" i="113"/>
  <c r="AX82" i="113"/>
  <c r="AW82" i="113"/>
  <c r="AV82" i="113"/>
  <c r="AU82" i="113"/>
  <c r="AT82" i="113"/>
  <c r="AS82" i="113"/>
  <c r="AR82" i="113"/>
  <c r="AQ82" i="113"/>
  <c r="AP82" i="113"/>
  <c r="BD81" i="113"/>
  <c r="BC81" i="113"/>
  <c r="BB81" i="113"/>
  <c r="BA81" i="113"/>
  <c r="AZ81" i="113"/>
  <c r="AY81" i="113"/>
  <c r="AX81" i="113"/>
  <c r="AW81" i="113"/>
  <c r="AV81" i="113"/>
  <c r="AU81" i="113"/>
  <c r="AT81" i="113"/>
  <c r="AS81" i="113"/>
  <c r="AR81" i="113"/>
  <c r="AQ81" i="113"/>
  <c r="AP81" i="113"/>
  <c r="BD80" i="113"/>
  <c r="BC80" i="113"/>
  <c r="BB80" i="113"/>
  <c r="BA80" i="113"/>
  <c r="AZ80" i="113"/>
  <c r="AY80" i="113"/>
  <c r="AX80" i="113"/>
  <c r="AW80" i="113"/>
  <c r="AV80" i="113"/>
  <c r="AU80" i="113"/>
  <c r="AT80" i="113"/>
  <c r="AS80" i="113"/>
  <c r="AR80" i="113"/>
  <c r="AQ80" i="113"/>
  <c r="AP80" i="113"/>
  <c r="BD79" i="113"/>
  <c r="BC79" i="113"/>
  <c r="BB79" i="113"/>
  <c r="BA79" i="113"/>
  <c r="AZ79" i="113"/>
  <c r="AY79" i="113"/>
  <c r="AX79" i="113"/>
  <c r="AW79" i="113"/>
  <c r="AV79" i="113"/>
  <c r="AU79" i="113"/>
  <c r="AT79" i="113"/>
  <c r="AS79" i="113"/>
  <c r="AR79" i="113"/>
  <c r="AQ79" i="113"/>
  <c r="AP79" i="113"/>
  <c r="BD78" i="113"/>
  <c r="BC78" i="113"/>
  <c r="BB78" i="113"/>
  <c r="BA78" i="113"/>
  <c r="AZ78" i="113"/>
  <c r="AY78" i="113"/>
  <c r="AX78" i="113"/>
  <c r="AW78" i="113"/>
  <c r="AV78" i="113"/>
  <c r="AU78" i="113"/>
  <c r="AT78" i="113"/>
  <c r="AS78" i="113"/>
  <c r="AR78" i="113"/>
  <c r="AQ78" i="113"/>
  <c r="AP78" i="113"/>
  <c r="BD77" i="113"/>
  <c r="BC77" i="113"/>
  <c r="BB77" i="113"/>
  <c r="BA77" i="113"/>
  <c r="AZ77" i="113"/>
  <c r="AY77" i="113"/>
  <c r="AX77" i="113"/>
  <c r="AW77" i="113"/>
  <c r="AV77" i="113"/>
  <c r="AU77" i="113"/>
  <c r="AT77" i="113"/>
  <c r="AS77" i="113"/>
  <c r="AR77" i="113"/>
  <c r="AQ77" i="113"/>
  <c r="AP77" i="113"/>
  <c r="BD76" i="113"/>
  <c r="BC76" i="113"/>
  <c r="BB76" i="113"/>
  <c r="BA76" i="113"/>
  <c r="AZ76" i="113"/>
  <c r="AY76" i="113"/>
  <c r="AX76" i="113"/>
  <c r="AW76" i="113"/>
  <c r="AV76" i="113"/>
  <c r="AU76" i="113"/>
  <c r="AT76" i="113"/>
  <c r="AS76" i="113"/>
  <c r="AR76" i="113"/>
  <c r="AQ76" i="113"/>
  <c r="AP76" i="113"/>
  <c r="BD75" i="113"/>
  <c r="BC75" i="113"/>
  <c r="BB75" i="113"/>
  <c r="BA75" i="113"/>
  <c r="AZ75" i="113"/>
  <c r="AY75" i="113"/>
  <c r="AX75" i="113"/>
  <c r="AW75" i="113"/>
  <c r="AV75" i="113"/>
  <c r="AU75" i="113"/>
  <c r="AT75" i="113"/>
  <c r="AS75" i="113"/>
  <c r="AR75" i="113"/>
  <c r="AQ75" i="113"/>
  <c r="AP75" i="113"/>
  <c r="BD74" i="113"/>
  <c r="BC74" i="113"/>
  <c r="BB74" i="113"/>
  <c r="BA74" i="113"/>
  <c r="AZ74" i="113"/>
  <c r="AY74" i="113"/>
  <c r="AX74" i="113"/>
  <c r="AW74" i="113"/>
  <c r="AV74" i="113"/>
  <c r="AU74" i="113"/>
  <c r="AT74" i="113"/>
  <c r="AS74" i="113"/>
  <c r="AR74" i="113"/>
  <c r="AQ74" i="113"/>
  <c r="AP74" i="113"/>
  <c r="BD73" i="113"/>
  <c r="BC73" i="113"/>
  <c r="BB73" i="113"/>
  <c r="BA73" i="113"/>
  <c r="AZ73" i="113"/>
  <c r="AY73" i="113"/>
  <c r="AX73" i="113"/>
  <c r="AW73" i="113"/>
  <c r="AV73" i="113"/>
  <c r="AU73" i="113"/>
  <c r="AT73" i="113"/>
  <c r="AS73" i="113"/>
  <c r="AR73" i="113"/>
  <c r="AQ73" i="113"/>
  <c r="AP73" i="113"/>
  <c r="BD72" i="113"/>
  <c r="BC72" i="113"/>
  <c r="BB72" i="113"/>
  <c r="BA72" i="113"/>
  <c r="AZ72" i="113"/>
  <c r="AY72" i="113"/>
  <c r="AX72" i="113"/>
  <c r="AW72" i="113"/>
  <c r="AV72" i="113"/>
  <c r="AU72" i="113"/>
  <c r="AT72" i="113"/>
  <c r="AS72" i="113"/>
  <c r="AR72" i="113"/>
  <c r="AQ72" i="113"/>
  <c r="AP72" i="113"/>
  <c r="BD71" i="113"/>
  <c r="BC71" i="113"/>
  <c r="BB71" i="113"/>
  <c r="BA71" i="113"/>
  <c r="AZ71" i="113"/>
  <c r="AY71" i="113"/>
  <c r="AX71" i="113"/>
  <c r="AW71" i="113"/>
  <c r="AV71" i="113"/>
  <c r="AU71" i="113"/>
  <c r="AT71" i="113"/>
  <c r="AS71" i="113"/>
  <c r="AR71" i="113"/>
  <c r="AQ71" i="113"/>
  <c r="AP71" i="113"/>
  <c r="BD70" i="113"/>
  <c r="BC70" i="113"/>
  <c r="BB70" i="113"/>
  <c r="BA70" i="113"/>
  <c r="AZ70" i="113"/>
  <c r="AY70" i="113"/>
  <c r="AX70" i="113"/>
  <c r="AW70" i="113"/>
  <c r="AV70" i="113"/>
  <c r="AU70" i="113"/>
  <c r="AT70" i="113"/>
  <c r="AS70" i="113"/>
  <c r="AR70" i="113"/>
  <c r="AQ70" i="113"/>
  <c r="AP70" i="113"/>
  <c r="BD69" i="113"/>
  <c r="BC69" i="113"/>
  <c r="BB69" i="113"/>
  <c r="BA69" i="113"/>
  <c r="AZ69" i="113"/>
  <c r="AY69" i="113"/>
  <c r="AX69" i="113"/>
  <c r="AW69" i="113"/>
  <c r="AV69" i="113"/>
  <c r="AU69" i="113"/>
  <c r="AT69" i="113"/>
  <c r="AS69" i="113"/>
  <c r="AR69" i="113"/>
  <c r="AQ69" i="113"/>
  <c r="AP69" i="113"/>
  <c r="BD68" i="113"/>
  <c r="BC68" i="113"/>
  <c r="BB68" i="113"/>
  <c r="BA68" i="113"/>
  <c r="AZ68" i="113"/>
  <c r="AY68" i="113"/>
  <c r="AX68" i="113"/>
  <c r="AW68" i="113"/>
  <c r="AV68" i="113"/>
  <c r="AU68" i="113"/>
  <c r="AT68" i="113"/>
  <c r="AS68" i="113"/>
  <c r="AR68" i="113"/>
  <c r="AQ68" i="113"/>
  <c r="AP68" i="113"/>
  <c r="BD67" i="113"/>
  <c r="BC67" i="113"/>
  <c r="BB67" i="113"/>
  <c r="BA67" i="113"/>
  <c r="AZ67" i="113"/>
  <c r="AY67" i="113"/>
  <c r="AX67" i="113"/>
  <c r="AW67" i="113"/>
  <c r="AV67" i="113"/>
  <c r="AU67" i="113"/>
  <c r="AT67" i="113"/>
  <c r="AS67" i="113"/>
  <c r="AR67" i="113"/>
  <c r="AQ67" i="113"/>
  <c r="AP67" i="113"/>
  <c r="BD66" i="113"/>
  <c r="BC66" i="113"/>
  <c r="BB66" i="113"/>
  <c r="BA66" i="113"/>
  <c r="AZ66" i="113"/>
  <c r="AY66" i="113"/>
  <c r="AX66" i="113"/>
  <c r="AW66" i="113"/>
  <c r="AV66" i="113"/>
  <c r="AU66" i="113"/>
  <c r="AT66" i="113"/>
  <c r="AS66" i="113"/>
  <c r="AR66" i="113"/>
  <c r="AQ66" i="113"/>
  <c r="AP66" i="113"/>
  <c r="BD65" i="113"/>
  <c r="BC65" i="113"/>
  <c r="BB65" i="113"/>
  <c r="BA65" i="113"/>
  <c r="AZ65" i="113"/>
  <c r="AY65" i="113"/>
  <c r="AX65" i="113"/>
  <c r="AW65" i="113"/>
  <c r="AV65" i="113"/>
  <c r="AU65" i="113"/>
  <c r="AT65" i="113"/>
  <c r="AS65" i="113"/>
  <c r="AR65" i="113"/>
  <c r="AQ65" i="113"/>
  <c r="AP65" i="113"/>
  <c r="BD64" i="113"/>
  <c r="BC64" i="113"/>
  <c r="BB64" i="113"/>
  <c r="BA64" i="113"/>
  <c r="AZ64" i="113"/>
  <c r="AY64" i="113"/>
  <c r="AX64" i="113"/>
  <c r="AW64" i="113"/>
  <c r="AV64" i="113"/>
  <c r="AU64" i="113"/>
  <c r="AT64" i="113"/>
  <c r="AS64" i="113"/>
  <c r="AR64" i="113"/>
  <c r="AQ64" i="113"/>
  <c r="AP64" i="113"/>
  <c r="BD63" i="113"/>
  <c r="BC63" i="113"/>
  <c r="BB63" i="113"/>
  <c r="BA63" i="113"/>
  <c r="AZ63" i="113"/>
  <c r="AY63" i="113"/>
  <c r="AX63" i="113"/>
  <c r="AW63" i="113"/>
  <c r="AV63" i="113"/>
  <c r="AU63" i="113"/>
  <c r="AT63" i="113"/>
  <c r="AS63" i="113"/>
  <c r="AR63" i="113"/>
  <c r="AQ63" i="113"/>
  <c r="AP63" i="113"/>
  <c r="BD62" i="113"/>
  <c r="BC62" i="113"/>
  <c r="BB62" i="113"/>
  <c r="BA62" i="113"/>
  <c r="AZ62" i="113"/>
  <c r="AY62" i="113"/>
  <c r="AX62" i="113"/>
  <c r="AW62" i="113"/>
  <c r="AV62" i="113"/>
  <c r="AU62" i="113"/>
  <c r="AT62" i="113"/>
  <c r="AS62" i="113"/>
  <c r="AR62" i="113"/>
  <c r="AQ62" i="113"/>
  <c r="AP62" i="113"/>
  <c r="BD61" i="113"/>
  <c r="BC61" i="113"/>
  <c r="BB61" i="113"/>
  <c r="BA61" i="113"/>
  <c r="AZ61" i="113"/>
  <c r="AY61" i="113"/>
  <c r="AX61" i="113"/>
  <c r="AW61" i="113"/>
  <c r="AV61" i="113"/>
  <c r="AU61" i="113"/>
  <c r="AT61" i="113"/>
  <c r="AS61" i="113"/>
  <c r="AR61" i="113"/>
  <c r="AQ61" i="113"/>
  <c r="AP61" i="113"/>
  <c r="BD60" i="113"/>
  <c r="BC60" i="113"/>
  <c r="BB60" i="113"/>
  <c r="BA60" i="113"/>
  <c r="AZ60" i="113"/>
  <c r="AY60" i="113"/>
  <c r="AX60" i="113"/>
  <c r="AW60" i="113"/>
  <c r="AV60" i="113"/>
  <c r="AU60" i="113"/>
  <c r="AT60" i="113"/>
  <c r="AS60" i="113"/>
  <c r="AR60" i="113"/>
  <c r="AQ60" i="113"/>
  <c r="AP60" i="113"/>
  <c r="BD59" i="113"/>
  <c r="BC59" i="113"/>
  <c r="BB59" i="113"/>
  <c r="BA59" i="113"/>
  <c r="AZ59" i="113"/>
  <c r="AY59" i="113"/>
  <c r="AX59" i="113"/>
  <c r="AW59" i="113"/>
  <c r="AV59" i="113"/>
  <c r="AU59" i="113"/>
  <c r="AT59" i="113"/>
  <c r="AS59" i="113"/>
  <c r="AR59" i="113"/>
  <c r="AQ59" i="113"/>
  <c r="AP59" i="113"/>
  <c r="BD58" i="113"/>
  <c r="BC58" i="113"/>
  <c r="BB58" i="113"/>
  <c r="BA58" i="113"/>
  <c r="AZ58" i="113"/>
  <c r="AY58" i="113"/>
  <c r="AX58" i="113"/>
  <c r="AW58" i="113"/>
  <c r="AV58" i="113"/>
  <c r="AU58" i="113"/>
  <c r="AT58" i="113"/>
  <c r="AS58" i="113"/>
  <c r="AR58" i="113"/>
  <c r="AQ58" i="113"/>
  <c r="AP58" i="113"/>
  <c r="BD57" i="113"/>
  <c r="BC57" i="113"/>
  <c r="BB57" i="113"/>
  <c r="BA57" i="113"/>
  <c r="AZ57" i="113"/>
  <c r="AY57" i="113"/>
  <c r="AX57" i="113"/>
  <c r="AW57" i="113"/>
  <c r="AV57" i="113"/>
  <c r="AU57" i="113"/>
  <c r="AT57" i="113"/>
  <c r="AS57" i="113"/>
  <c r="AR57" i="113"/>
  <c r="AQ57" i="113"/>
  <c r="AP57" i="113"/>
  <c r="BD56" i="113"/>
  <c r="BC56" i="113"/>
  <c r="BB56" i="113"/>
  <c r="BA56" i="113"/>
  <c r="AZ56" i="113"/>
  <c r="AY56" i="113"/>
  <c r="AX56" i="113"/>
  <c r="AW56" i="113"/>
  <c r="AV56" i="113"/>
  <c r="AU56" i="113"/>
  <c r="AT56" i="113"/>
  <c r="AS56" i="113"/>
  <c r="AR56" i="113"/>
  <c r="AQ56" i="113"/>
  <c r="AP56" i="113"/>
  <c r="BD55" i="113"/>
  <c r="BC55" i="113"/>
  <c r="BB55" i="113"/>
  <c r="BA55" i="113"/>
  <c r="AZ55" i="113"/>
  <c r="AY55" i="113"/>
  <c r="AX55" i="113"/>
  <c r="AW55" i="113"/>
  <c r="AV55" i="113"/>
  <c r="AU55" i="113"/>
  <c r="AT55" i="113"/>
  <c r="AS55" i="113"/>
  <c r="AR55" i="113"/>
  <c r="AQ55" i="113"/>
  <c r="AP55" i="113"/>
  <c r="BD54" i="113"/>
  <c r="BC54" i="113"/>
  <c r="BB54" i="113"/>
  <c r="BA54" i="113"/>
  <c r="AZ54" i="113"/>
  <c r="AY54" i="113"/>
  <c r="AX54" i="113"/>
  <c r="AW54" i="113"/>
  <c r="AV54" i="113"/>
  <c r="AU54" i="113"/>
  <c r="AT54" i="113"/>
  <c r="AS54" i="113"/>
  <c r="AR54" i="113"/>
  <c r="AQ54" i="113"/>
  <c r="AP54" i="113"/>
  <c r="BD53" i="113"/>
  <c r="BC53" i="113"/>
  <c r="BB53" i="113"/>
  <c r="BA53" i="113"/>
  <c r="AZ53" i="113"/>
  <c r="AY53" i="113"/>
  <c r="AX53" i="113"/>
  <c r="AW53" i="113"/>
  <c r="AV53" i="113"/>
  <c r="AU53" i="113"/>
  <c r="AT53" i="113"/>
  <c r="AS53" i="113"/>
  <c r="AR53" i="113"/>
  <c r="AQ53" i="113"/>
  <c r="AP53" i="113"/>
  <c r="BD52" i="113"/>
  <c r="BC52" i="113"/>
  <c r="BB52" i="113"/>
  <c r="BA52" i="113"/>
  <c r="AZ52" i="113"/>
  <c r="AY52" i="113"/>
  <c r="AX52" i="113"/>
  <c r="AW52" i="113"/>
  <c r="AV52" i="113"/>
  <c r="AU52" i="113"/>
  <c r="AT52" i="113"/>
  <c r="AS52" i="113"/>
  <c r="AR52" i="113"/>
  <c r="AQ52" i="113"/>
  <c r="AP52" i="113"/>
  <c r="BD51" i="113"/>
  <c r="BC51" i="113"/>
  <c r="BB51" i="113"/>
  <c r="BA51" i="113"/>
  <c r="AZ51" i="113"/>
  <c r="AY51" i="113"/>
  <c r="AX51" i="113"/>
  <c r="AW51" i="113"/>
  <c r="AV51" i="113"/>
  <c r="AU51" i="113"/>
  <c r="AT51" i="113"/>
  <c r="AS51" i="113"/>
  <c r="AR51" i="113"/>
  <c r="AQ51" i="113"/>
  <c r="AP51" i="113"/>
  <c r="BD50" i="113"/>
  <c r="BC50" i="113"/>
  <c r="BB50" i="113"/>
  <c r="BA50" i="113"/>
  <c r="AZ50" i="113"/>
  <c r="AY50" i="113"/>
  <c r="AX50" i="113"/>
  <c r="AW50" i="113"/>
  <c r="AV50" i="113"/>
  <c r="AU50" i="113"/>
  <c r="AT50" i="113"/>
  <c r="AS50" i="113"/>
  <c r="AR50" i="113"/>
  <c r="AQ50" i="113"/>
  <c r="AP50" i="113"/>
  <c r="BD49" i="113"/>
  <c r="BC49" i="113"/>
  <c r="BB49" i="113"/>
  <c r="BA49" i="113"/>
  <c r="AZ49" i="113"/>
  <c r="AY49" i="113"/>
  <c r="AX49" i="113"/>
  <c r="AW49" i="113"/>
  <c r="AV49" i="113"/>
  <c r="AU49" i="113"/>
  <c r="AT49" i="113"/>
  <c r="AS49" i="113"/>
  <c r="AR49" i="113"/>
  <c r="AQ49" i="113"/>
  <c r="AP49" i="113"/>
  <c r="BD48" i="113"/>
  <c r="BC48" i="113"/>
  <c r="BB48" i="113"/>
  <c r="BA48" i="113"/>
  <c r="AZ48" i="113"/>
  <c r="AY48" i="113"/>
  <c r="AX48" i="113"/>
  <c r="AW48" i="113"/>
  <c r="AV48" i="113"/>
  <c r="AU48" i="113"/>
  <c r="AT48" i="113"/>
  <c r="AS48" i="113"/>
  <c r="AR48" i="113"/>
  <c r="AQ48" i="113"/>
  <c r="AP48" i="113"/>
  <c r="BD47" i="113"/>
  <c r="BC47" i="113"/>
  <c r="BB47" i="113"/>
  <c r="BA47" i="113"/>
  <c r="AZ47" i="113"/>
  <c r="AY47" i="113"/>
  <c r="AX47" i="113"/>
  <c r="AW47" i="113"/>
  <c r="AV47" i="113"/>
  <c r="AU47" i="113"/>
  <c r="AT47" i="113"/>
  <c r="AS47" i="113"/>
  <c r="AR47" i="113"/>
  <c r="AQ47" i="113"/>
  <c r="AP47" i="113"/>
  <c r="BD46" i="113"/>
  <c r="BC46" i="113"/>
  <c r="BB46" i="113"/>
  <c r="BA46" i="113"/>
  <c r="AZ46" i="113"/>
  <c r="AY46" i="113"/>
  <c r="AX46" i="113"/>
  <c r="AW46" i="113"/>
  <c r="AV46" i="113"/>
  <c r="AU46" i="113"/>
  <c r="AT46" i="113"/>
  <c r="AS46" i="113"/>
  <c r="AR46" i="113"/>
  <c r="AQ46" i="113"/>
  <c r="AP46" i="113"/>
  <c r="BD45" i="113"/>
  <c r="BC45" i="113"/>
  <c r="BB45" i="113"/>
  <c r="BA45" i="113"/>
  <c r="AZ45" i="113"/>
  <c r="AY45" i="113"/>
  <c r="AX45" i="113"/>
  <c r="AW45" i="113"/>
  <c r="AV45" i="113"/>
  <c r="AU45" i="113"/>
  <c r="AT45" i="113"/>
  <c r="AS45" i="113"/>
  <c r="AR45" i="113"/>
  <c r="AQ45" i="113"/>
  <c r="AP45" i="113"/>
  <c r="BD44" i="113"/>
  <c r="BC44" i="113"/>
  <c r="BB44" i="113"/>
  <c r="BA44" i="113"/>
  <c r="AZ44" i="113"/>
  <c r="AY44" i="113"/>
  <c r="AX44" i="113"/>
  <c r="AW44" i="113"/>
  <c r="AV44" i="113"/>
  <c r="AU44" i="113"/>
  <c r="AT44" i="113"/>
  <c r="AS44" i="113"/>
  <c r="AR44" i="113"/>
  <c r="AQ44" i="113"/>
  <c r="AP44" i="113"/>
  <c r="BD43" i="113"/>
  <c r="BC43" i="113"/>
  <c r="BB43" i="113"/>
  <c r="BA43" i="113"/>
  <c r="AZ43" i="113"/>
  <c r="AY43" i="113"/>
  <c r="AX43" i="113"/>
  <c r="AW43" i="113"/>
  <c r="AV43" i="113"/>
  <c r="AU43" i="113"/>
  <c r="AT43" i="113"/>
  <c r="AS43" i="113"/>
  <c r="AR43" i="113"/>
  <c r="AQ43" i="113"/>
  <c r="AP43" i="113"/>
  <c r="BD42" i="113"/>
  <c r="BC42" i="113"/>
  <c r="BB42" i="113"/>
  <c r="BA42" i="113"/>
  <c r="AZ42" i="113"/>
  <c r="AY42" i="113"/>
  <c r="AX42" i="113"/>
  <c r="AW42" i="113"/>
  <c r="AV42" i="113"/>
  <c r="AU42" i="113"/>
  <c r="AT42" i="113"/>
  <c r="AS42" i="113"/>
  <c r="AR42" i="113"/>
  <c r="AQ42" i="113"/>
  <c r="AP42" i="113"/>
  <c r="BD41" i="113"/>
  <c r="BC41" i="113"/>
  <c r="BB41" i="113"/>
  <c r="BA41" i="113"/>
  <c r="AZ41" i="113"/>
  <c r="AY41" i="113"/>
  <c r="AX41" i="113"/>
  <c r="AW41" i="113"/>
  <c r="AV41" i="113"/>
  <c r="AU41" i="113"/>
  <c r="AT41" i="113"/>
  <c r="AS41" i="113"/>
  <c r="AR41" i="113"/>
  <c r="AQ41" i="113"/>
  <c r="AP41" i="113"/>
  <c r="BD40" i="113"/>
  <c r="BC40" i="113"/>
  <c r="BB40" i="113"/>
  <c r="BA40" i="113"/>
  <c r="AZ40" i="113"/>
  <c r="AY40" i="113"/>
  <c r="AX40" i="113"/>
  <c r="AW40" i="113"/>
  <c r="AV40" i="113"/>
  <c r="AU40" i="113"/>
  <c r="AT40" i="113"/>
  <c r="AS40" i="113"/>
  <c r="AR40" i="113"/>
  <c r="AQ40" i="113"/>
  <c r="AP40" i="113"/>
  <c r="BD39" i="113"/>
  <c r="BC39" i="113"/>
  <c r="BB39" i="113"/>
  <c r="BA39" i="113"/>
  <c r="AZ39" i="113"/>
  <c r="AY39" i="113"/>
  <c r="AX39" i="113"/>
  <c r="AW39" i="113"/>
  <c r="AV39" i="113"/>
  <c r="AU39" i="113"/>
  <c r="AT39" i="113"/>
  <c r="AS39" i="113"/>
  <c r="AR39" i="113"/>
  <c r="AQ39" i="113"/>
  <c r="AP39" i="113"/>
  <c r="BD38" i="113"/>
  <c r="BC38" i="113"/>
  <c r="BB38" i="113"/>
  <c r="BA38" i="113"/>
  <c r="AZ38" i="113"/>
  <c r="AY38" i="113"/>
  <c r="AX38" i="113"/>
  <c r="AW38" i="113"/>
  <c r="AV38" i="113"/>
  <c r="AU38" i="113"/>
  <c r="AT38" i="113"/>
  <c r="AS38" i="113"/>
  <c r="AR38" i="113"/>
  <c r="AQ38" i="113"/>
  <c r="AP38" i="113"/>
  <c r="BD37" i="113"/>
  <c r="BC37" i="113"/>
  <c r="BB37" i="113"/>
  <c r="BA37" i="113"/>
  <c r="AZ37" i="113"/>
  <c r="AY37" i="113"/>
  <c r="AX37" i="113"/>
  <c r="AW37" i="113"/>
  <c r="AV37" i="113"/>
  <c r="AU37" i="113"/>
  <c r="AT37" i="113"/>
  <c r="AS37" i="113"/>
  <c r="AR37" i="113"/>
  <c r="AQ37" i="113"/>
  <c r="AP37" i="113"/>
  <c r="BD36" i="113"/>
  <c r="BC36" i="113"/>
  <c r="BB36" i="113"/>
  <c r="BA36" i="113"/>
  <c r="AZ36" i="113"/>
  <c r="AY36" i="113"/>
  <c r="AX36" i="113"/>
  <c r="AW36" i="113"/>
  <c r="AV36" i="113"/>
  <c r="AU36" i="113"/>
  <c r="AT36" i="113"/>
  <c r="AS36" i="113"/>
  <c r="AR36" i="113"/>
  <c r="AQ36" i="113"/>
  <c r="AP36" i="113"/>
  <c r="BD35" i="113"/>
  <c r="BC35" i="113"/>
  <c r="BB35" i="113"/>
  <c r="BA35" i="113"/>
  <c r="AZ35" i="113"/>
  <c r="AY35" i="113"/>
  <c r="AX35" i="113"/>
  <c r="AW35" i="113"/>
  <c r="AV35" i="113"/>
  <c r="AU35" i="113"/>
  <c r="AT35" i="113"/>
  <c r="AS35" i="113"/>
  <c r="AR35" i="113"/>
  <c r="AQ35" i="113"/>
  <c r="AP35" i="113"/>
  <c r="BD34" i="113"/>
  <c r="BC34" i="113"/>
  <c r="BB34" i="113"/>
  <c r="BA34" i="113"/>
  <c r="AZ34" i="113"/>
  <c r="AY34" i="113"/>
  <c r="AX34" i="113"/>
  <c r="AW34" i="113"/>
  <c r="AV34" i="113"/>
  <c r="AU34" i="113"/>
  <c r="AT34" i="113"/>
  <c r="AS34" i="113"/>
  <c r="AR34" i="113"/>
  <c r="AQ34" i="113"/>
  <c r="AP34" i="113"/>
  <c r="BD33" i="113"/>
  <c r="BC33" i="113"/>
  <c r="BB33" i="113"/>
  <c r="BA33" i="113"/>
  <c r="AZ33" i="113"/>
  <c r="AY33" i="113"/>
  <c r="AX33" i="113"/>
  <c r="AW33" i="113"/>
  <c r="AV33" i="113"/>
  <c r="AU33" i="113"/>
  <c r="AT33" i="113"/>
  <c r="AS33" i="113"/>
  <c r="AR33" i="113"/>
  <c r="AQ33" i="113"/>
  <c r="AP33" i="113"/>
  <c r="BD32" i="113"/>
  <c r="BC32" i="113"/>
  <c r="BB32" i="113"/>
  <c r="BA32" i="113"/>
  <c r="AZ32" i="113"/>
  <c r="AY32" i="113"/>
  <c r="AX32" i="113"/>
  <c r="AW32" i="113"/>
  <c r="AV32" i="113"/>
  <c r="AU32" i="113"/>
  <c r="AT32" i="113"/>
  <c r="AS32" i="113"/>
  <c r="AR32" i="113"/>
  <c r="AQ32" i="113"/>
  <c r="AP32" i="113"/>
  <c r="BD31" i="113"/>
  <c r="BC31" i="113"/>
  <c r="BB31" i="113"/>
  <c r="BA31" i="113"/>
  <c r="AZ31" i="113"/>
  <c r="AY31" i="113"/>
  <c r="AX31" i="113"/>
  <c r="AW31" i="113"/>
  <c r="AV31" i="113"/>
  <c r="AU31" i="113"/>
  <c r="AT31" i="113"/>
  <c r="AS31" i="113"/>
  <c r="AR31" i="113"/>
  <c r="AQ31" i="113"/>
  <c r="AP31" i="113"/>
  <c r="BD30" i="113"/>
  <c r="BC30" i="113"/>
  <c r="BB30" i="113"/>
  <c r="BA30" i="113"/>
  <c r="AZ30" i="113"/>
  <c r="AY30" i="113"/>
  <c r="AX30" i="113"/>
  <c r="AW30" i="113"/>
  <c r="AV30" i="113"/>
  <c r="AU30" i="113"/>
  <c r="AT30" i="113"/>
  <c r="AS30" i="113"/>
  <c r="AR30" i="113"/>
  <c r="AQ30" i="113"/>
  <c r="AP30" i="113"/>
  <c r="BD29" i="113"/>
  <c r="BC29" i="113"/>
  <c r="BB29" i="113"/>
  <c r="BA29" i="113"/>
  <c r="AZ29" i="113"/>
  <c r="AY29" i="113"/>
  <c r="AX29" i="113"/>
  <c r="AW29" i="113"/>
  <c r="AV29" i="113"/>
  <c r="AU29" i="113"/>
  <c r="AT29" i="113"/>
  <c r="AS29" i="113"/>
  <c r="AR29" i="113"/>
  <c r="AQ29" i="113"/>
  <c r="AP29" i="113"/>
  <c r="BD28" i="113"/>
  <c r="BC28" i="113"/>
  <c r="BB28" i="113"/>
  <c r="BA28" i="113"/>
  <c r="AZ28" i="113"/>
  <c r="AY28" i="113"/>
  <c r="AX28" i="113"/>
  <c r="AW28" i="113"/>
  <c r="AV28" i="113"/>
  <c r="AU28" i="113"/>
  <c r="AT28" i="113"/>
  <c r="AS28" i="113"/>
  <c r="AR28" i="113"/>
  <c r="AQ28" i="113"/>
  <c r="AP28" i="113"/>
  <c r="BD27" i="113"/>
  <c r="BC27" i="113"/>
  <c r="BB27" i="113"/>
  <c r="BA27" i="113"/>
  <c r="AZ27" i="113"/>
  <c r="AY27" i="113"/>
  <c r="AX27" i="113"/>
  <c r="AW27" i="113"/>
  <c r="AV27" i="113"/>
  <c r="AU27" i="113"/>
  <c r="AT27" i="113"/>
  <c r="AS27" i="113"/>
  <c r="AR27" i="113"/>
  <c r="AQ27" i="113"/>
  <c r="AP27" i="113"/>
  <c r="BD26" i="113"/>
  <c r="BC26" i="113"/>
  <c r="BB26" i="113"/>
  <c r="BA26" i="113"/>
  <c r="AZ26" i="113"/>
  <c r="AY26" i="113"/>
  <c r="AX26" i="113"/>
  <c r="AW26" i="113"/>
  <c r="AV26" i="113"/>
  <c r="AU26" i="113"/>
  <c r="AT26" i="113"/>
  <c r="AS26" i="113"/>
  <c r="AR26" i="113"/>
  <c r="AQ26" i="113"/>
  <c r="AP26" i="113"/>
  <c r="BD25" i="113"/>
  <c r="BC25" i="113"/>
  <c r="BB25" i="113"/>
  <c r="BA25" i="113"/>
  <c r="AZ25" i="113"/>
  <c r="AY25" i="113"/>
  <c r="AX25" i="113"/>
  <c r="AW25" i="113"/>
  <c r="AV25" i="113"/>
  <c r="AU25" i="113"/>
  <c r="AT25" i="113"/>
  <c r="AS25" i="113"/>
  <c r="AR25" i="113"/>
  <c r="AQ25" i="113"/>
  <c r="AP25" i="113"/>
  <c r="BD24" i="113"/>
  <c r="BC24" i="113"/>
  <c r="BB24" i="113"/>
  <c r="BA24" i="113"/>
  <c r="AZ24" i="113"/>
  <c r="AY24" i="113"/>
  <c r="AX24" i="113"/>
  <c r="AW24" i="113"/>
  <c r="AV24" i="113"/>
  <c r="AU24" i="113"/>
  <c r="AT24" i="113"/>
  <c r="AS24" i="113"/>
  <c r="AR24" i="113"/>
  <c r="AQ24" i="113"/>
  <c r="AP24" i="113"/>
  <c r="BD23" i="113"/>
  <c r="BC23" i="113"/>
  <c r="BB23" i="113"/>
  <c r="BA23" i="113"/>
  <c r="AZ23" i="113"/>
  <c r="AY23" i="113"/>
  <c r="AX23" i="113"/>
  <c r="AW23" i="113"/>
  <c r="AV23" i="113"/>
  <c r="AU23" i="113"/>
  <c r="AT23" i="113"/>
  <c r="AS23" i="113"/>
  <c r="AR23" i="113"/>
  <c r="AQ23" i="113"/>
  <c r="AP23" i="113"/>
  <c r="BD22" i="113"/>
  <c r="BC22" i="113"/>
  <c r="BB22" i="113"/>
  <c r="BA22" i="113"/>
  <c r="AZ22" i="113"/>
  <c r="AY22" i="113"/>
  <c r="AX22" i="113"/>
  <c r="AW22" i="113"/>
  <c r="AV22" i="113"/>
  <c r="AU22" i="113"/>
  <c r="AT22" i="113"/>
  <c r="AS22" i="113"/>
  <c r="AR22" i="113"/>
  <c r="AQ22" i="113"/>
  <c r="AP22" i="113"/>
  <c r="BD21" i="113"/>
  <c r="BC21" i="113"/>
  <c r="BB21" i="113"/>
  <c r="BA21" i="113"/>
  <c r="AZ21" i="113"/>
  <c r="AY21" i="113"/>
  <c r="AX21" i="113"/>
  <c r="AW21" i="113"/>
  <c r="AV21" i="113"/>
  <c r="AU21" i="113"/>
  <c r="AT21" i="113"/>
  <c r="AS21" i="113"/>
  <c r="AR21" i="113"/>
  <c r="AQ21" i="113"/>
  <c r="AP21" i="113"/>
  <c r="BD20" i="113"/>
  <c r="BC20" i="113"/>
  <c r="BB20" i="113"/>
  <c r="BA20" i="113"/>
  <c r="AZ20" i="113"/>
  <c r="AY20" i="113"/>
  <c r="AX20" i="113"/>
  <c r="AW20" i="113"/>
  <c r="AV20" i="113"/>
  <c r="AU20" i="113"/>
  <c r="AT20" i="113"/>
  <c r="AS20" i="113"/>
  <c r="AR20" i="113"/>
  <c r="AQ20" i="113"/>
  <c r="AP20" i="113"/>
  <c r="BD19" i="113"/>
  <c r="BC19" i="113"/>
  <c r="BB19" i="113"/>
  <c r="BA19" i="113"/>
  <c r="AZ19" i="113"/>
  <c r="AY19" i="113"/>
  <c r="AX19" i="113"/>
  <c r="AW19" i="113"/>
  <c r="AV19" i="113"/>
  <c r="AU19" i="113"/>
  <c r="AT19" i="113"/>
  <c r="AS19" i="113"/>
  <c r="AR19" i="113"/>
  <c r="AQ19" i="113"/>
  <c r="AP19" i="113"/>
  <c r="BD18" i="113"/>
  <c r="BC18" i="113"/>
  <c r="BB18" i="113"/>
  <c r="BA18" i="113"/>
  <c r="AZ18" i="113"/>
  <c r="AY18" i="113"/>
  <c r="AX18" i="113"/>
  <c r="AW18" i="113"/>
  <c r="AV18" i="113"/>
  <c r="AU18" i="113"/>
  <c r="AT18" i="113"/>
  <c r="AS18" i="113"/>
  <c r="AR18" i="113"/>
  <c r="AQ18" i="113"/>
  <c r="AP18" i="113"/>
  <c r="BD17" i="113"/>
  <c r="BC17" i="113"/>
  <c r="BB17" i="113"/>
  <c r="BA17" i="113"/>
  <c r="AZ17" i="113"/>
  <c r="AY17" i="113"/>
  <c r="AX17" i="113"/>
  <c r="AW17" i="113"/>
  <c r="AV17" i="113"/>
  <c r="AU17" i="113"/>
  <c r="AT17" i="113"/>
  <c r="AS17" i="113"/>
  <c r="AR17" i="113"/>
  <c r="AQ17" i="113"/>
  <c r="AP17" i="113"/>
  <c r="BD16" i="113"/>
  <c r="BC16" i="113"/>
  <c r="BB16" i="113"/>
  <c r="BA16" i="113"/>
  <c r="AZ16" i="113"/>
  <c r="AY16" i="113"/>
  <c r="AX16" i="113"/>
  <c r="AW16" i="113"/>
  <c r="AV16" i="113"/>
  <c r="AU16" i="113"/>
  <c r="AT16" i="113"/>
  <c r="AS16" i="113"/>
  <c r="AR16" i="113"/>
  <c r="AQ16" i="113"/>
  <c r="AP16" i="113"/>
  <c r="BD15" i="113"/>
  <c r="BC15" i="113"/>
  <c r="BB15" i="113"/>
  <c r="BA15" i="113"/>
  <c r="AZ15" i="113"/>
  <c r="AY15" i="113"/>
  <c r="AX15" i="113"/>
  <c r="AW15" i="113"/>
  <c r="AV15" i="113"/>
  <c r="AU15" i="113"/>
  <c r="AT15" i="113"/>
  <c r="AS15" i="113"/>
  <c r="AR15" i="113"/>
  <c r="AQ15" i="113"/>
  <c r="AP15" i="113"/>
  <c r="BD14" i="113"/>
  <c r="BC14" i="113"/>
  <c r="BB14" i="113"/>
  <c r="BA14" i="113"/>
  <c r="AZ14" i="113"/>
  <c r="AY14" i="113"/>
  <c r="AX14" i="113"/>
  <c r="AW14" i="113"/>
  <c r="AV14" i="113"/>
  <c r="AU14" i="113"/>
  <c r="AT14" i="113"/>
  <c r="AS14" i="113"/>
  <c r="AR14" i="113"/>
  <c r="AQ14" i="113"/>
  <c r="AP14" i="113"/>
  <c r="BD13" i="113"/>
  <c r="BC13" i="113"/>
  <c r="BB13" i="113"/>
  <c r="BA13" i="113"/>
  <c r="AZ13" i="113"/>
  <c r="AY13" i="113"/>
  <c r="AX13" i="113"/>
  <c r="AW13" i="113"/>
  <c r="AV13" i="113"/>
  <c r="AU13" i="113"/>
  <c r="AT13" i="113"/>
  <c r="AS13" i="113"/>
  <c r="AR13" i="113"/>
  <c r="AQ13" i="113"/>
  <c r="AP13" i="113"/>
  <c r="BD12" i="113"/>
  <c r="BC12" i="113"/>
  <c r="BB12" i="113"/>
  <c r="BA12" i="113"/>
  <c r="AZ12" i="113"/>
  <c r="AY12" i="113"/>
  <c r="AX12" i="113"/>
  <c r="AW12" i="113"/>
  <c r="AV12" i="113"/>
  <c r="AU12" i="113"/>
  <c r="AT12" i="113"/>
  <c r="AS12" i="113"/>
  <c r="AR12" i="113"/>
  <c r="AQ12" i="113"/>
  <c r="AP12" i="113"/>
  <c r="BD11" i="113"/>
  <c r="BC11" i="113"/>
  <c r="BB11" i="113"/>
  <c r="BA11" i="113"/>
  <c r="AZ11" i="113"/>
  <c r="AY11" i="113"/>
  <c r="AX11" i="113"/>
  <c r="AW11" i="113"/>
  <c r="AV11" i="113"/>
  <c r="AU11" i="113"/>
  <c r="AT11" i="113"/>
  <c r="AS11" i="113"/>
  <c r="AR11" i="113"/>
  <c r="AQ11" i="113"/>
  <c r="AP11" i="113"/>
  <c r="BD10" i="113"/>
  <c r="BC10" i="113"/>
  <c r="BB10" i="113"/>
  <c r="BA10" i="113"/>
  <c r="AZ10" i="113"/>
  <c r="AY10" i="113"/>
  <c r="AX10" i="113"/>
  <c r="AW10" i="113"/>
  <c r="AV10" i="113"/>
  <c r="AU10" i="113"/>
  <c r="AT10" i="113"/>
  <c r="AS10" i="113"/>
  <c r="AR10" i="113"/>
  <c r="AQ10" i="113"/>
  <c r="AP10" i="113"/>
  <c r="BD9" i="113"/>
  <c r="BC9" i="113"/>
  <c r="BB9" i="113"/>
  <c r="BA9" i="113"/>
  <c r="AZ9" i="113"/>
  <c r="AY9" i="113"/>
  <c r="AX9" i="113"/>
  <c r="AW9" i="113"/>
  <c r="AV9" i="113"/>
  <c r="AU9" i="113"/>
  <c r="AT9" i="113"/>
  <c r="AS9" i="113"/>
  <c r="AR9" i="113"/>
  <c r="AQ9" i="113"/>
  <c r="AP9" i="113"/>
  <c r="BD8" i="113"/>
  <c r="BC8" i="113"/>
  <c r="BB8" i="113"/>
  <c r="BA8" i="113"/>
  <c r="AZ8" i="113"/>
  <c r="AY8" i="113"/>
  <c r="AX8" i="113"/>
  <c r="AW8" i="113"/>
  <c r="AV8" i="113"/>
  <c r="AU8" i="113"/>
  <c r="AT8" i="113"/>
  <c r="AS8" i="113"/>
  <c r="AR8" i="113"/>
  <c r="AQ8" i="113"/>
  <c r="AP8" i="113"/>
  <c r="BD7" i="113"/>
  <c r="BC7" i="113"/>
  <c r="BB7" i="113"/>
  <c r="BA7" i="113"/>
  <c r="AZ7" i="113"/>
  <c r="AY7" i="113"/>
  <c r="AX7" i="113"/>
  <c r="AW7" i="113"/>
  <c r="AV7" i="113"/>
  <c r="AU7" i="113"/>
  <c r="AT7" i="113"/>
  <c r="AS7" i="113"/>
  <c r="AR7" i="113"/>
  <c r="AQ7" i="113"/>
  <c r="AP7" i="113"/>
  <c r="BD6" i="113"/>
  <c r="BC6" i="113"/>
  <c r="BB6" i="113"/>
  <c r="BA6" i="113"/>
  <c r="AZ6" i="113"/>
  <c r="AY6" i="113"/>
  <c r="AX6" i="113"/>
  <c r="AW6" i="113"/>
  <c r="AV6" i="113"/>
  <c r="AU6" i="113"/>
  <c r="AT6" i="113"/>
  <c r="AS6" i="113"/>
  <c r="AR6" i="113"/>
  <c r="AQ6" i="113"/>
  <c r="AP6" i="113"/>
  <c r="BD5" i="113"/>
  <c r="BC5" i="113"/>
  <c r="BB5" i="113"/>
  <c r="BA5" i="113"/>
  <c r="AZ5" i="113"/>
  <c r="AY5" i="113"/>
  <c r="AX5" i="113"/>
  <c r="AW5" i="113"/>
  <c r="AV5" i="113"/>
  <c r="AU5" i="113"/>
  <c r="AT5" i="113"/>
  <c r="AS5" i="113"/>
  <c r="AR5" i="113"/>
  <c r="AQ5" i="113"/>
  <c r="AP5" i="113"/>
  <c r="AL131" i="113"/>
  <c r="AL130" i="113"/>
  <c r="AL129" i="113"/>
  <c r="AL128" i="113"/>
  <c r="AL127" i="113"/>
  <c r="O131" i="114"/>
  <c r="N131" i="114"/>
  <c r="M131" i="114"/>
  <c r="L131" i="114"/>
  <c r="O130" i="114"/>
  <c r="N130" i="114"/>
  <c r="M130" i="114"/>
  <c r="L130" i="114"/>
  <c r="O129" i="114"/>
  <c r="N129" i="114"/>
  <c r="M129" i="114"/>
  <c r="L129" i="114"/>
  <c r="O128" i="114"/>
  <c r="N128" i="114"/>
  <c r="M128" i="114"/>
  <c r="L128" i="114"/>
  <c r="O127" i="114"/>
  <c r="N127" i="114"/>
  <c r="M127" i="114"/>
  <c r="L127" i="114"/>
  <c r="O100" i="114"/>
  <c r="N100" i="114"/>
  <c r="M100" i="114"/>
  <c r="L100" i="114"/>
  <c r="O99" i="114"/>
  <c r="N99" i="114"/>
  <c r="M99" i="114"/>
  <c r="L99" i="114"/>
  <c r="O98" i="114"/>
  <c r="N98" i="114"/>
  <c r="M98" i="114"/>
  <c r="L98" i="114"/>
  <c r="O125" i="114"/>
  <c r="N125" i="114"/>
  <c r="M125" i="114"/>
  <c r="L125" i="114"/>
  <c r="O124" i="114"/>
  <c r="N124" i="114"/>
  <c r="M124" i="114"/>
  <c r="L124" i="114"/>
  <c r="O97" i="114"/>
  <c r="N97" i="114"/>
  <c r="M97" i="114"/>
  <c r="L97" i="114"/>
  <c r="O96" i="114"/>
  <c r="N96" i="114"/>
  <c r="M96" i="114"/>
  <c r="L96" i="114"/>
  <c r="O95" i="114"/>
  <c r="N95" i="114"/>
  <c r="M95" i="114"/>
  <c r="L95" i="114"/>
  <c r="O123" i="114"/>
  <c r="N123" i="114"/>
  <c r="M123" i="114"/>
  <c r="L123" i="114"/>
  <c r="O94" i="114"/>
  <c r="N94" i="114"/>
  <c r="M94" i="114"/>
  <c r="L94" i="114"/>
  <c r="O93" i="114"/>
  <c r="N93" i="114"/>
  <c r="M93" i="114"/>
  <c r="L93" i="114"/>
  <c r="O92" i="114"/>
  <c r="N92" i="114"/>
  <c r="M92" i="114"/>
  <c r="L92" i="114"/>
  <c r="O122" i="114"/>
  <c r="N122" i="114"/>
  <c r="M122" i="114"/>
  <c r="L122" i="114"/>
  <c r="O91" i="114"/>
  <c r="N91" i="114"/>
  <c r="M91" i="114"/>
  <c r="L91" i="114"/>
  <c r="O90" i="114"/>
  <c r="N90" i="114"/>
  <c r="M90" i="114"/>
  <c r="L90" i="114"/>
  <c r="O89" i="114"/>
  <c r="N89" i="114"/>
  <c r="M89" i="114"/>
  <c r="L89" i="114"/>
  <c r="O88" i="114"/>
  <c r="N88" i="114"/>
  <c r="M88" i="114"/>
  <c r="L88" i="114"/>
  <c r="O87" i="114"/>
  <c r="N87" i="114"/>
  <c r="M87" i="114"/>
  <c r="L87" i="114"/>
  <c r="O86" i="114"/>
  <c r="N86" i="114"/>
  <c r="M86" i="114"/>
  <c r="L86" i="114"/>
  <c r="O85" i="114"/>
  <c r="N85" i="114"/>
  <c r="M85" i="114"/>
  <c r="L85" i="114"/>
  <c r="O84" i="114"/>
  <c r="N84" i="114"/>
  <c r="M84" i="114"/>
  <c r="L84" i="114"/>
  <c r="O83" i="114"/>
  <c r="N83" i="114"/>
  <c r="M83" i="114"/>
  <c r="L83" i="114"/>
  <c r="O82" i="114"/>
  <c r="N82" i="114"/>
  <c r="M82" i="114"/>
  <c r="L82" i="114"/>
  <c r="O121" i="114"/>
  <c r="N121" i="114"/>
  <c r="M121" i="114"/>
  <c r="L121" i="114"/>
  <c r="O81" i="114"/>
  <c r="N81" i="114"/>
  <c r="M81" i="114"/>
  <c r="L81" i="114"/>
  <c r="O120" i="114"/>
  <c r="N120" i="114"/>
  <c r="M120" i="114"/>
  <c r="L120" i="114"/>
  <c r="O80" i="114"/>
  <c r="N80" i="114"/>
  <c r="M80" i="114"/>
  <c r="L80" i="114"/>
  <c r="O119" i="114"/>
  <c r="N119" i="114"/>
  <c r="M119" i="114"/>
  <c r="L119" i="114"/>
  <c r="O79" i="114"/>
  <c r="N79" i="114"/>
  <c r="M79" i="114"/>
  <c r="L79" i="114"/>
  <c r="O78" i="114"/>
  <c r="N78" i="114"/>
  <c r="M78" i="114"/>
  <c r="L78" i="114"/>
  <c r="O77" i="114"/>
  <c r="N77" i="114"/>
  <c r="M77" i="114"/>
  <c r="L77" i="114"/>
  <c r="O76" i="114"/>
  <c r="N76" i="114"/>
  <c r="M76" i="114"/>
  <c r="L76" i="114"/>
  <c r="O75" i="114"/>
  <c r="N75" i="114"/>
  <c r="M75" i="114"/>
  <c r="L75" i="114"/>
  <c r="O118" i="114"/>
  <c r="N118" i="114"/>
  <c r="M118" i="114"/>
  <c r="L118" i="114"/>
  <c r="O74" i="114"/>
  <c r="N74" i="114"/>
  <c r="M74" i="114"/>
  <c r="L74" i="114"/>
  <c r="O117" i="114"/>
  <c r="N117" i="114"/>
  <c r="M117" i="114"/>
  <c r="L117" i="114"/>
  <c r="O73" i="114"/>
  <c r="N73" i="114"/>
  <c r="M73" i="114"/>
  <c r="L73" i="114"/>
  <c r="O72" i="114"/>
  <c r="N72" i="114"/>
  <c r="M72" i="114"/>
  <c r="L72" i="114"/>
  <c r="O71" i="114"/>
  <c r="N71" i="114"/>
  <c r="M71" i="114"/>
  <c r="L71" i="114"/>
  <c r="O70" i="114"/>
  <c r="N70" i="114"/>
  <c r="M70" i="114"/>
  <c r="L70" i="114"/>
  <c r="O116" i="114"/>
  <c r="N116" i="114"/>
  <c r="M116" i="114"/>
  <c r="L116" i="114"/>
  <c r="O69" i="114"/>
  <c r="N69" i="114"/>
  <c r="M69" i="114"/>
  <c r="L69" i="114"/>
  <c r="O68" i="114"/>
  <c r="N68" i="114"/>
  <c r="M68" i="114"/>
  <c r="L68" i="114"/>
  <c r="O115" i="114"/>
  <c r="N115" i="114"/>
  <c r="M115" i="114"/>
  <c r="L115" i="114"/>
  <c r="O114" i="114"/>
  <c r="N114" i="114"/>
  <c r="M114" i="114"/>
  <c r="L114" i="114"/>
  <c r="O67" i="114"/>
  <c r="N67" i="114"/>
  <c r="M67" i="114"/>
  <c r="L67" i="114"/>
  <c r="O66" i="114"/>
  <c r="N66" i="114"/>
  <c r="M66" i="114"/>
  <c r="L66" i="114"/>
  <c r="O65" i="114"/>
  <c r="N65" i="114"/>
  <c r="M65" i="114"/>
  <c r="L65" i="114"/>
  <c r="O64" i="114"/>
  <c r="N64" i="114"/>
  <c r="M64" i="114"/>
  <c r="L64" i="114"/>
  <c r="O63" i="114"/>
  <c r="N63" i="114"/>
  <c r="M63" i="114"/>
  <c r="L63" i="114"/>
  <c r="O62" i="114"/>
  <c r="N62" i="114"/>
  <c r="M62" i="114"/>
  <c r="L62" i="114"/>
  <c r="O113" i="114"/>
  <c r="N113" i="114"/>
  <c r="M113" i="114"/>
  <c r="L113" i="114"/>
  <c r="O112" i="114"/>
  <c r="N112" i="114"/>
  <c r="M112" i="114"/>
  <c r="L112" i="114"/>
  <c r="O61" i="114"/>
  <c r="N61" i="114"/>
  <c r="M61" i="114"/>
  <c r="L61" i="114"/>
  <c r="O111" i="114"/>
  <c r="N111" i="114"/>
  <c r="M111" i="114"/>
  <c r="L111" i="114"/>
  <c r="O60" i="114"/>
  <c r="N60" i="114"/>
  <c r="M60" i="114"/>
  <c r="L60" i="114"/>
  <c r="O59" i="114"/>
  <c r="N59" i="114"/>
  <c r="M59" i="114"/>
  <c r="L59" i="114"/>
  <c r="O58" i="114"/>
  <c r="N58" i="114"/>
  <c r="M58" i="114"/>
  <c r="L58" i="114"/>
  <c r="O57" i="114"/>
  <c r="N57" i="114"/>
  <c r="M57" i="114"/>
  <c r="L57" i="114"/>
  <c r="O56" i="114"/>
  <c r="N56" i="114"/>
  <c r="M56" i="114"/>
  <c r="L56" i="114"/>
  <c r="O55" i="114"/>
  <c r="N55" i="114"/>
  <c r="M55" i="114"/>
  <c r="L55" i="114"/>
  <c r="O54" i="114"/>
  <c r="N54" i="114"/>
  <c r="M54" i="114"/>
  <c r="L54" i="114"/>
  <c r="O53" i="114"/>
  <c r="N53" i="114"/>
  <c r="M53" i="114"/>
  <c r="L53" i="114"/>
  <c r="O52" i="114"/>
  <c r="N52" i="114"/>
  <c r="M52" i="114"/>
  <c r="L52" i="114"/>
  <c r="O51" i="114"/>
  <c r="N51" i="114"/>
  <c r="M51" i="114"/>
  <c r="L51" i="114"/>
  <c r="O110" i="114"/>
  <c r="N110" i="114"/>
  <c r="M110" i="114"/>
  <c r="L110" i="114"/>
  <c r="O50" i="114"/>
  <c r="N50" i="114"/>
  <c r="M50" i="114"/>
  <c r="L50" i="114"/>
  <c r="O49" i="114"/>
  <c r="N49" i="114"/>
  <c r="M49" i="114"/>
  <c r="L49" i="114"/>
  <c r="O48" i="114"/>
  <c r="N48" i="114"/>
  <c r="M48" i="114"/>
  <c r="L48" i="114"/>
  <c r="O47" i="114"/>
  <c r="N47" i="114"/>
  <c r="M47" i="114"/>
  <c r="L47" i="114"/>
  <c r="O109" i="114"/>
  <c r="N109" i="114"/>
  <c r="M109" i="114"/>
  <c r="L109" i="114"/>
  <c r="O46" i="114"/>
  <c r="N46" i="114"/>
  <c r="M46" i="114"/>
  <c r="L46" i="114"/>
  <c r="O45" i="114"/>
  <c r="N45" i="114"/>
  <c r="M45" i="114"/>
  <c r="L45" i="114"/>
  <c r="O44" i="114"/>
  <c r="N44" i="114"/>
  <c r="M44" i="114"/>
  <c r="L44" i="114"/>
  <c r="O43" i="114"/>
  <c r="N43" i="114"/>
  <c r="M43" i="114"/>
  <c r="L43" i="114"/>
  <c r="O42" i="114"/>
  <c r="N42" i="114"/>
  <c r="M42" i="114"/>
  <c r="L42" i="114"/>
  <c r="O41" i="114"/>
  <c r="N41" i="114"/>
  <c r="M41" i="114"/>
  <c r="L41" i="114"/>
  <c r="O40" i="114"/>
  <c r="N40" i="114"/>
  <c r="M40" i="114"/>
  <c r="L40" i="114"/>
  <c r="O108" i="114"/>
  <c r="N108" i="114"/>
  <c r="M108" i="114"/>
  <c r="L108" i="114"/>
  <c r="O107" i="114"/>
  <c r="N107" i="114"/>
  <c r="M107" i="114"/>
  <c r="L107" i="114"/>
  <c r="O39" i="114"/>
  <c r="N39" i="114"/>
  <c r="M39" i="114"/>
  <c r="L39" i="114"/>
  <c r="O38" i="114"/>
  <c r="N38" i="114"/>
  <c r="M38" i="114"/>
  <c r="L38" i="114"/>
  <c r="O106" i="114"/>
  <c r="N106" i="114"/>
  <c r="M106" i="114"/>
  <c r="L106" i="114"/>
  <c r="O37" i="114"/>
  <c r="N37" i="114"/>
  <c r="M37" i="114"/>
  <c r="L37" i="114"/>
  <c r="O36" i="114"/>
  <c r="N36" i="114"/>
  <c r="M36" i="114"/>
  <c r="L36" i="114"/>
  <c r="O35" i="114"/>
  <c r="N35" i="114"/>
  <c r="M35" i="114"/>
  <c r="L35" i="114"/>
  <c r="O34" i="114"/>
  <c r="N34" i="114"/>
  <c r="M34" i="114"/>
  <c r="L34" i="114"/>
  <c r="O33" i="114"/>
  <c r="N33" i="114"/>
  <c r="M33" i="114"/>
  <c r="L33" i="114"/>
  <c r="O32" i="114"/>
  <c r="N32" i="114"/>
  <c r="M32" i="114"/>
  <c r="L32" i="114"/>
  <c r="O31" i="114"/>
  <c r="N31" i="114"/>
  <c r="M31" i="114"/>
  <c r="L31" i="114"/>
  <c r="O105" i="114"/>
  <c r="N105" i="114"/>
  <c r="M105" i="114"/>
  <c r="L105" i="114"/>
  <c r="O30" i="114"/>
  <c r="N30" i="114"/>
  <c r="M30" i="114"/>
  <c r="L30" i="114"/>
  <c r="O29" i="114"/>
  <c r="N29" i="114"/>
  <c r="M29" i="114"/>
  <c r="L29" i="114"/>
  <c r="O28" i="114"/>
  <c r="N28" i="114"/>
  <c r="M28" i="114"/>
  <c r="L28" i="114"/>
  <c r="O27" i="114"/>
  <c r="N27" i="114"/>
  <c r="M27" i="114"/>
  <c r="L27" i="114"/>
  <c r="O26" i="114"/>
  <c r="N26" i="114"/>
  <c r="M26" i="114"/>
  <c r="L26" i="114"/>
  <c r="O104" i="114"/>
  <c r="N104" i="114"/>
  <c r="M104" i="114"/>
  <c r="L104" i="114"/>
  <c r="O103" i="114"/>
  <c r="N103" i="114"/>
  <c r="M103" i="114"/>
  <c r="L103" i="114"/>
  <c r="O25" i="114"/>
  <c r="N25" i="114"/>
  <c r="M25" i="114"/>
  <c r="L25" i="114"/>
  <c r="O24" i="114"/>
  <c r="N24" i="114"/>
  <c r="M24" i="114"/>
  <c r="L24" i="114"/>
  <c r="O23" i="114"/>
  <c r="N23" i="114"/>
  <c r="M23" i="114"/>
  <c r="L23" i="114"/>
  <c r="O22" i="114"/>
  <c r="N22" i="114"/>
  <c r="M22" i="114"/>
  <c r="L22" i="114"/>
  <c r="O21" i="114"/>
  <c r="N21" i="114"/>
  <c r="M21" i="114"/>
  <c r="L21" i="114"/>
  <c r="O20" i="114"/>
  <c r="N20" i="114"/>
  <c r="M20" i="114"/>
  <c r="L20" i="114"/>
  <c r="O19" i="114"/>
  <c r="N19" i="114"/>
  <c r="M19" i="114"/>
  <c r="L19" i="114"/>
  <c r="O18" i="114"/>
  <c r="N18" i="114"/>
  <c r="M18" i="114"/>
  <c r="L18" i="114"/>
  <c r="O102" i="114"/>
  <c r="N102" i="114"/>
  <c r="M102" i="114"/>
  <c r="L102" i="114"/>
  <c r="O17" i="114"/>
  <c r="N17" i="114"/>
  <c r="M17" i="114"/>
  <c r="L17" i="114"/>
  <c r="O16" i="114"/>
  <c r="N16" i="114"/>
  <c r="M16" i="114"/>
  <c r="L16" i="114"/>
  <c r="O15" i="114"/>
  <c r="N15" i="114"/>
  <c r="M15" i="114"/>
  <c r="L15" i="114"/>
  <c r="O14" i="114"/>
  <c r="N14" i="114"/>
  <c r="M14" i="114"/>
  <c r="L14" i="114"/>
  <c r="O13" i="114"/>
  <c r="N13" i="114"/>
  <c r="M13" i="114"/>
  <c r="L13" i="114"/>
  <c r="O12" i="114"/>
  <c r="N12" i="114"/>
  <c r="M12" i="114"/>
  <c r="L12" i="114"/>
  <c r="O11" i="114"/>
  <c r="N11" i="114"/>
  <c r="M11" i="114"/>
  <c r="L11" i="114"/>
  <c r="O10" i="114"/>
  <c r="N10" i="114"/>
  <c r="M10" i="114"/>
  <c r="L10" i="114"/>
  <c r="O9" i="114"/>
  <c r="N9" i="114"/>
  <c r="M9" i="114"/>
  <c r="L9" i="114"/>
  <c r="O8" i="114"/>
  <c r="N8" i="114"/>
  <c r="M8" i="114"/>
  <c r="L8" i="114"/>
  <c r="O101" i="114"/>
  <c r="N101" i="114"/>
  <c r="M101" i="114"/>
  <c r="L101" i="114"/>
  <c r="O7" i="114"/>
  <c r="N7" i="114"/>
  <c r="M7" i="114"/>
  <c r="L7" i="114"/>
  <c r="O6" i="114"/>
  <c r="N6" i="114"/>
  <c r="M6" i="114"/>
  <c r="L6" i="114"/>
  <c r="O5" i="114"/>
  <c r="N5" i="114"/>
  <c r="M5" i="114"/>
  <c r="L5" i="114"/>
  <c r="AL131" i="109"/>
  <c r="AL130" i="109"/>
  <c r="AL129" i="109"/>
  <c r="AL128" i="109"/>
  <c r="AL127" i="109"/>
  <c r="AL122" i="109"/>
  <c r="AL121" i="109"/>
  <c r="AL117" i="109"/>
  <c r="AL113" i="109"/>
  <c r="AL102" i="109"/>
  <c r="AL100" i="109"/>
  <c r="AL98" i="109"/>
  <c r="AL92" i="109"/>
  <c r="AL90" i="109"/>
  <c r="AL85" i="109"/>
  <c r="AL82" i="109"/>
  <c r="AL81" i="109"/>
  <c r="AL74" i="109"/>
  <c r="AL73" i="109"/>
  <c r="AL71" i="109"/>
  <c r="AL60" i="109"/>
  <c r="AL55" i="109"/>
  <c r="AL47" i="109"/>
  <c r="AL46" i="109"/>
  <c r="AL43" i="109"/>
  <c r="AL35" i="109"/>
  <c r="AL29" i="109"/>
  <c r="AL28" i="109"/>
  <c r="AL19" i="109"/>
  <c r="AL8" i="109"/>
  <c r="AL125" i="109"/>
  <c r="AL124" i="109"/>
  <c r="AL123" i="109"/>
  <c r="AL120" i="109"/>
  <c r="AL119" i="109"/>
  <c r="AL118" i="109"/>
  <c r="AL116" i="109"/>
  <c r="AL115" i="109"/>
  <c r="AL114" i="109"/>
  <c r="AL112" i="109"/>
  <c r="AL111" i="109"/>
  <c r="AL110" i="109"/>
  <c r="AL109" i="109"/>
  <c r="AL108" i="109"/>
  <c r="AL107" i="109"/>
  <c r="AL106" i="109"/>
  <c r="AL105" i="109"/>
  <c r="AL104" i="109"/>
  <c r="AL103" i="109"/>
  <c r="AL101" i="109"/>
  <c r="AL99" i="109"/>
  <c r="AL97" i="109"/>
  <c r="AL96" i="109"/>
  <c r="AL95" i="109"/>
  <c r="AL94" i="109"/>
  <c r="AL93" i="109"/>
  <c r="AL91" i="109"/>
  <c r="AL89" i="109"/>
  <c r="AL88" i="109"/>
  <c r="AL87" i="109"/>
  <c r="AL86" i="109"/>
  <c r="AL84" i="109"/>
  <c r="AL83" i="109"/>
  <c r="AL80" i="109"/>
  <c r="AL79" i="109"/>
  <c r="AL78" i="109"/>
  <c r="AL77" i="109"/>
  <c r="AL76" i="109"/>
  <c r="AL75" i="109"/>
  <c r="AL72" i="109"/>
  <c r="AL70" i="109"/>
  <c r="AL69" i="109"/>
  <c r="AL68" i="109"/>
  <c r="AL67" i="109"/>
  <c r="AL66" i="109"/>
  <c r="AL65" i="109"/>
  <c r="AL64" i="109"/>
  <c r="AL63" i="109"/>
  <c r="AL62" i="109"/>
  <c r="AL61" i="109"/>
  <c r="AL59" i="109"/>
  <c r="AL58" i="109"/>
  <c r="AL57" i="109"/>
  <c r="AL56" i="109"/>
  <c r="AL54" i="109"/>
  <c r="AL53" i="109"/>
  <c r="AL52" i="109"/>
  <c r="AL51" i="109"/>
  <c r="AL50" i="109"/>
  <c r="AL49" i="109"/>
  <c r="AL48" i="109"/>
  <c r="AL45" i="109"/>
  <c r="AL44" i="109"/>
  <c r="AL42" i="109"/>
  <c r="AL41" i="109"/>
  <c r="AL40" i="109"/>
  <c r="AL39" i="109"/>
  <c r="AL38" i="109"/>
  <c r="AL37" i="109"/>
  <c r="AL36" i="109"/>
  <c r="AL34" i="109"/>
  <c r="AL33" i="109"/>
  <c r="AL32" i="109"/>
  <c r="AL31" i="109"/>
  <c r="AL30" i="109"/>
  <c r="AL27" i="109"/>
  <c r="AL26" i="109"/>
  <c r="AL25" i="109"/>
  <c r="AL24" i="109"/>
  <c r="AL23" i="109"/>
  <c r="AL22" i="109"/>
  <c r="AL21" i="109"/>
  <c r="AL20" i="109"/>
  <c r="AL18" i="109"/>
  <c r="AL17" i="109"/>
  <c r="AL16" i="109"/>
  <c r="AL15" i="109"/>
  <c r="AL14" i="109"/>
  <c r="AL13" i="109"/>
  <c r="AL12" i="109"/>
  <c r="AL11" i="109"/>
  <c r="AL10" i="109"/>
  <c r="AL9" i="109"/>
  <c r="AL7" i="109"/>
  <c r="AL6" i="109"/>
  <c r="AL5" i="109"/>
  <c r="S131" i="109"/>
  <c r="S130" i="109"/>
  <c r="S129" i="109"/>
  <c r="S128" i="109"/>
  <c r="S127" i="109"/>
  <c r="S122" i="109"/>
  <c r="S121" i="109"/>
  <c r="S117" i="109"/>
  <c r="S113" i="109"/>
  <c r="S102" i="109"/>
  <c r="S100" i="109"/>
  <c r="S98" i="109"/>
  <c r="S92" i="109"/>
  <c r="S90" i="109"/>
  <c r="S85" i="109"/>
  <c r="S82" i="109"/>
  <c r="S81" i="109"/>
  <c r="S74" i="109"/>
  <c r="S73" i="109"/>
  <c r="S71" i="109"/>
  <c r="S60" i="109"/>
  <c r="S55" i="109"/>
  <c r="S47" i="109"/>
  <c r="S46" i="109"/>
  <c r="S43" i="109"/>
  <c r="S35" i="109"/>
  <c r="S29" i="109"/>
  <c r="S28" i="109"/>
  <c r="S19" i="109"/>
  <c r="S8" i="109"/>
  <c r="S125" i="109"/>
  <c r="S124" i="109"/>
  <c r="S123" i="109"/>
  <c r="S120" i="109"/>
  <c r="S119" i="109"/>
  <c r="S118" i="109"/>
  <c r="S116" i="109"/>
  <c r="S115" i="109"/>
  <c r="S114" i="109"/>
  <c r="S112" i="109"/>
  <c r="S111" i="109"/>
  <c r="S110" i="109"/>
  <c r="S109" i="109"/>
  <c r="S108" i="109"/>
  <c r="S107" i="109"/>
  <c r="S106" i="109"/>
  <c r="S105" i="109"/>
  <c r="S104" i="109"/>
  <c r="S103" i="109"/>
  <c r="S101" i="109"/>
  <c r="S99" i="109"/>
  <c r="S97" i="109"/>
  <c r="S96" i="109"/>
  <c r="S95" i="109"/>
  <c r="S94" i="109"/>
  <c r="S93" i="109"/>
  <c r="S91" i="109"/>
  <c r="S89" i="109"/>
  <c r="S88" i="109"/>
  <c r="S87" i="109"/>
  <c r="S86" i="109"/>
  <c r="S84" i="109"/>
  <c r="S83" i="109"/>
  <c r="S80" i="109"/>
  <c r="S79" i="109"/>
  <c r="S78" i="109"/>
  <c r="S77" i="109"/>
  <c r="S76" i="109"/>
  <c r="S75" i="109"/>
  <c r="S72" i="109"/>
  <c r="S70" i="109"/>
  <c r="S69" i="109"/>
  <c r="S68" i="109"/>
  <c r="S67" i="109"/>
  <c r="S66" i="109"/>
  <c r="S65" i="109"/>
  <c r="S64" i="109"/>
  <c r="S63" i="109"/>
  <c r="S62" i="109"/>
  <c r="S61" i="109"/>
  <c r="S59" i="109"/>
  <c r="S58" i="109"/>
  <c r="S57" i="109"/>
  <c r="S56" i="109"/>
  <c r="S54" i="109"/>
  <c r="S53" i="109"/>
  <c r="S52" i="109"/>
  <c r="S51" i="109"/>
  <c r="S50" i="109"/>
  <c r="S49" i="109"/>
  <c r="S48" i="109"/>
  <c r="S45" i="109"/>
  <c r="S44" i="109"/>
  <c r="S42" i="109"/>
  <c r="S41" i="109"/>
  <c r="S40" i="109"/>
  <c r="S39" i="109"/>
  <c r="S38" i="109"/>
  <c r="S37" i="109"/>
  <c r="S36" i="109"/>
  <c r="S34" i="109"/>
  <c r="S33" i="109"/>
  <c r="S32" i="109"/>
  <c r="S31" i="109"/>
  <c r="S30" i="109"/>
  <c r="S27" i="109"/>
  <c r="S26" i="109"/>
  <c r="S25" i="109"/>
  <c r="S24" i="109"/>
  <c r="S23" i="109"/>
  <c r="S22" i="109"/>
  <c r="S21" i="109"/>
  <c r="S20" i="109"/>
  <c r="S18" i="109"/>
  <c r="S17" i="109"/>
  <c r="S16" i="109"/>
  <c r="S15" i="109"/>
  <c r="S14" i="109"/>
  <c r="S13" i="109"/>
  <c r="S12" i="109"/>
  <c r="S11" i="109"/>
  <c r="S10" i="109"/>
  <c r="S9" i="109"/>
  <c r="S7" i="109"/>
  <c r="S5" i="109"/>
  <c r="S6" i="109"/>
  <c r="BE7" i="113" l="1"/>
  <c r="BE11" i="113"/>
  <c r="BE15" i="113"/>
  <c r="BE19" i="113"/>
  <c r="BE23" i="113"/>
  <c r="BE27" i="113"/>
  <c r="BE31" i="113"/>
  <c r="BE35" i="113"/>
  <c r="BE39" i="113"/>
  <c r="BE43" i="113"/>
  <c r="BE47" i="113"/>
  <c r="BE6" i="113"/>
  <c r="BE10" i="113"/>
  <c r="BE14" i="113"/>
  <c r="BE18" i="113"/>
  <c r="BE22" i="113"/>
  <c r="BE26" i="113"/>
  <c r="BE30" i="113"/>
  <c r="BE34" i="113"/>
  <c r="BE38" i="113"/>
  <c r="BE42" i="113"/>
  <c r="BE46" i="113"/>
  <c r="BE8" i="113"/>
  <c r="BE12" i="113"/>
  <c r="BE16" i="113"/>
  <c r="BE20" i="113"/>
  <c r="BE24" i="113"/>
  <c r="BE28" i="113"/>
  <c r="BE32" i="113"/>
  <c r="BE36" i="113"/>
  <c r="BE40" i="113"/>
  <c r="BE44" i="113"/>
  <c r="BE48" i="113"/>
  <c r="BE52" i="113"/>
  <c r="BE56" i="113"/>
  <c r="BE60" i="113"/>
  <c r="BE64" i="113"/>
  <c r="BE68" i="113"/>
  <c r="BE72" i="113"/>
  <c r="BE76" i="113"/>
  <c r="BE80" i="113"/>
  <c r="BE84" i="113"/>
  <c r="BE88" i="113"/>
  <c r="BE5" i="113"/>
  <c r="I18" i="108" s="1"/>
  <c r="BE9" i="113"/>
  <c r="BE13" i="113"/>
  <c r="BE17" i="113"/>
  <c r="BE21" i="113"/>
  <c r="BE25" i="113"/>
  <c r="BE29" i="113"/>
  <c r="BE33" i="113"/>
  <c r="BE37" i="113"/>
  <c r="BE41" i="113"/>
  <c r="BE45" i="113"/>
  <c r="BE49" i="113"/>
  <c r="BE53" i="113"/>
  <c r="BE57" i="113"/>
  <c r="BE61" i="113"/>
  <c r="BE65" i="113"/>
  <c r="BE69" i="113"/>
  <c r="BE73" i="113"/>
  <c r="BE77" i="113"/>
  <c r="BE81" i="113"/>
  <c r="BE85" i="113"/>
  <c r="BE89" i="113"/>
  <c r="D131" i="59"/>
  <c r="I131" i="117"/>
  <c r="H131" i="117"/>
  <c r="BE50" i="113"/>
  <c r="BE54" i="113"/>
  <c r="BE58" i="113"/>
  <c r="BE62" i="113"/>
  <c r="BE66" i="113"/>
  <c r="BE70" i="113"/>
  <c r="BE74" i="113"/>
  <c r="BE78" i="113"/>
  <c r="BE82" i="113"/>
  <c r="BE86" i="113"/>
  <c r="BE90" i="113"/>
  <c r="BE94" i="113"/>
  <c r="BE98" i="113"/>
  <c r="BE102" i="113"/>
  <c r="BE106" i="113"/>
  <c r="BE110" i="113"/>
  <c r="BE114" i="113"/>
  <c r="BE118" i="113"/>
  <c r="BE122" i="113"/>
  <c r="BE127" i="113"/>
  <c r="BE131" i="113"/>
  <c r="BE51" i="113"/>
  <c r="BE55" i="113"/>
  <c r="BE59" i="113"/>
  <c r="BE63" i="113"/>
  <c r="BE67" i="113"/>
  <c r="BE71" i="113"/>
  <c r="BE75" i="113"/>
  <c r="BE79" i="113"/>
  <c r="BE83" i="113"/>
  <c r="BE87" i="113"/>
  <c r="BE91" i="113"/>
  <c r="BE95" i="113"/>
  <c r="BE99" i="113"/>
  <c r="BE103" i="113"/>
  <c r="BE107" i="113"/>
  <c r="BE111" i="113"/>
  <c r="BE115" i="113"/>
  <c r="BE119" i="113"/>
  <c r="BE123" i="113"/>
  <c r="BE128" i="113"/>
  <c r="BE92" i="113"/>
  <c r="BE96" i="113"/>
  <c r="BE100" i="113"/>
  <c r="BE104" i="113"/>
  <c r="BE108" i="113"/>
  <c r="BE112" i="113"/>
  <c r="BE116" i="113"/>
  <c r="BE120" i="113"/>
  <c r="BE124" i="113"/>
  <c r="BE129" i="113"/>
  <c r="BE93" i="113"/>
  <c r="BE97" i="113"/>
  <c r="BE101" i="113"/>
  <c r="BE105" i="113"/>
  <c r="BE109" i="113"/>
  <c r="BE113" i="113"/>
  <c r="BE117" i="113"/>
  <c r="BE121" i="113"/>
  <c r="BE125" i="113"/>
  <c r="BE130" i="113"/>
  <c r="L17" i="123" l="1"/>
  <c r="J17" i="123"/>
  <c r="I17" i="123"/>
  <c r="I16" i="123"/>
  <c r="I15" i="123"/>
  <c r="L14" i="123"/>
  <c r="K14" i="123"/>
  <c r="J14" i="123"/>
  <c r="I14" i="123"/>
  <c r="K10" i="123"/>
  <c r="J10" i="123"/>
  <c r="I10" i="123"/>
  <c r="H4" i="111"/>
  <c r="G4" i="111"/>
  <c r="F4" i="111"/>
  <c r="E4" i="111"/>
  <c r="D4" i="111"/>
  <c r="R99" i="31"/>
  <c r="R98" i="31"/>
  <c r="R97" i="31"/>
  <c r="R124" i="31"/>
  <c r="R123" i="31"/>
  <c r="R96" i="31"/>
  <c r="R95" i="31"/>
  <c r="R94" i="31"/>
  <c r="R122" i="31"/>
  <c r="R93" i="31"/>
  <c r="R92" i="31"/>
  <c r="R91" i="31"/>
  <c r="R121" i="31"/>
  <c r="R90" i="31"/>
  <c r="R89" i="31"/>
  <c r="R88" i="31"/>
  <c r="R87" i="31"/>
  <c r="R86" i="31"/>
  <c r="R85" i="31"/>
  <c r="R84" i="31"/>
  <c r="R83" i="31"/>
  <c r="R82" i="31"/>
  <c r="R81" i="31"/>
  <c r="R120" i="31"/>
  <c r="R80" i="31"/>
  <c r="R119" i="31"/>
  <c r="R79" i="31"/>
  <c r="R118" i="31"/>
  <c r="R78" i="31"/>
  <c r="R77" i="31"/>
  <c r="R76" i="31"/>
  <c r="R75" i="31"/>
  <c r="R74" i="31"/>
  <c r="R117" i="31"/>
  <c r="R73" i="31"/>
  <c r="R116" i="31"/>
  <c r="R72" i="31"/>
  <c r="R71" i="31"/>
  <c r="R70" i="31"/>
  <c r="R69" i="31"/>
  <c r="R115" i="31"/>
  <c r="R68" i="31"/>
  <c r="R67" i="31"/>
  <c r="R114" i="31"/>
  <c r="R113" i="31"/>
  <c r="R66" i="31"/>
  <c r="R65" i="31"/>
  <c r="R64" i="31"/>
  <c r="R63" i="31"/>
  <c r="R62" i="31"/>
  <c r="R61" i="31"/>
  <c r="R112" i="31"/>
  <c r="R111" i="31"/>
  <c r="R60" i="31"/>
  <c r="R110" i="31"/>
  <c r="R59" i="31"/>
  <c r="R58" i="31"/>
  <c r="R57" i="31"/>
  <c r="R56" i="31"/>
  <c r="R55" i="31"/>
  <c r="R54" i="31"/>
  <c r="R53" i="31"/>
  <c r="R52" i="31"/>
  <c r="R51" i="31"/>
  <c r="R50" i="31"/>
  <c r="R109" i="31"/>
  <c r="R49" i="31"/>
  <c r="R48" i="31"/>
  <c r="R47" i="31"/>
  <c r="R46" i="31"/>
  <c r="R108" i="31"/>
  <c r="R45" i="31"/>
  <c r="R44" i="31"/>
  <c r="R43" i="31"/>
  <c r="R42" i="31"/>
  <c r="R41" i="31"/>
  <c r="R40" i="31"/>
  <c r="R39" i="31"/>
  <c r="R107" i="31"/>
  <c r="R106" i="31"/>
  <c r="R38" i="31"/>
  <c r="R37" i="31"/>
  <c r="R105" i="31"/>
  <c r="R36" i="31"/>
  <c r="R35" i="31"/>
  <c r="R34" i="31"/>
  <c r="R33" i="31"/>
  <c r="R32" i="31"/>
  <c r="R31" i="31"/>
  <c r="R30" i="31"/>
  <c r="R104" i="31"/>
  <c r="R29" i="31"/>
  <c r="R28" i="31"/>
  <c r="R27" i="31"/>
  <c r="R26" i="31"/>
  <c r="R25" i="31"/>
  <c r="R103" i="31"/>
  <c r="R102" i="31"/>
  <c r="R24" i="31"/>
  <c r="R23" i="31"/>
  <c r="R22" i="31"/>
  <c r="R21" i="31"/>
  <c r="R20" i="31"/>
  <c r="R19" i="31"/>
  <c r="R18" i="31"/>
  <c r="R17" i="31"/>
  <c r="R101" i="31"/>
  <c r="R16" i="31"/>
  <c r="R15" i="31"/>
  <c r="R14" i="31"/>
  <c r="R13" i="31"/>
  <c r="R12" i="31"/>
  <c r="R11" i="31"/>
  <c r="R10" i="31"/>
  <c r="R9" i="31"/>
  <c r="R8" i="31"/>
  <c r="R7" i="31"/>
  <c r="R100" i="31"/>
  <c r="R6" i="31"/>
  <c r="R5" i="31"/>
  <c r="Q99" i="31"/>
  <c r="Q98" i="31"/>
  <c r="Q97" i="31"/>
  <c r="Q124" i="31"/>
  <c r="Q123" i="31"/>
  <c r="Q96" i="31"/>
  <c r="Q95" i="31"/>
  <c r="Q94" i="31"/>
  <c r="Q122" i="31"/>
  <c r="Q93" i="31"/>
  <c r="Q92" i="31"/>
  <c r="Q91" i="31"/>
  <c r="Q121" i="31"/>
  <c r="Q90" i="31"/>
  <c r="Q89" i="31"/>
  <c r="Q88" i="31"/>
  <c r="Q87" i="31"/>
  <c r="Q86" i="31"/>
  <c r="Q85" i="31"/>
  <c r="Q84" i="31"/>
  <c r="Q83" i="31"/>
  <c r="Q82" i="31"/>
  <c r="Q81" i="31"/>
  <c r="Q120" i="31"/>
  <c r="Q80" i="31"/>
  <c r="Q119" i="31"/>
  <c r="Q79" i="31"/>
  <c r="Q118" i="31"/>
  <c r="Q78" i="31"/>
  <c r="Q77" i="31"/>
  <c r="Q76" i="31"/>
  <c r="Q75" i="31"/>
  <c r="Q74" i="31"/>
  <c r="Q117" i="31"/>
  <c r="Q73" i="31"/>
  <c r="Q116" i="31"/>
  <c r="Q72" i="31"/>
  <c r="Q71" i="31"/>
  <c r="Q70" i="31"/>
  <c r="Q69" i="31"/>
  <c r="Q115" i="31"/>
  <c r="Q68" i="31"/>
  <c r="Q67" i="31"/>
  <c r="Q114" i="31"/>
  <c r="Q113" i="31"/>
  <c r="Q66" i="31"/>
  <c r="Q65" i="31"/>
  <c r="Q64" i="31"/>
  <c r="Q63" i="31"/>
  <c r="Q62" i="31"/>
  <c r="Q61" i="31"/>
  <c r="Q112" i="31"/>
  <c r="Q111" i="31"/>
  <c r="Q60" i="31"/>
  <c r="Q110" i="31"/>
  <c r="Q59" i="31"/>
  <c r="Q58" i="31"/>
  <c r="Q57" i="31"/>
  <c r="Q56" i="31"/>
  <c r="Q55" i="31"/>
  <c r="Q54" i="31"/>
  <c r="Q53" i="31"/>
  <c r="Q52" i="31"/>
  <c r="Q51" i="31"/>
  <c r="Q50" i="31"/>
  <c r="Q109" i="31"/>
  <c r="Q49" i="31"/>
  <c r="Q48" i="31"/>
  <c r="Q47" i="31"/>
  <c r="Q46" i="31"/>
  <c r="Q108" i="31"/>
  <c r="Q45" i="31"/>
  <c r="Q44" i="31"/>
  <c r="Q43" i="31"/>
  <c r="Q42" i="31"/>
  <c r="Q41" i="31"/>
  <c r="Q40" i="31"/>
  <c r="Q39" i="31"/>
  <c r="Q107" i="31"/>
  <c r="Q106" i="31"/>
  <c r="Q38" i="31"/>
  <c r="Q37" i="31"/>
  <c r="Q105" i="31"/>
  <c r="Q36" i="31"/>
  <c r="Q35" i="31"/>
  <c r="Q34" i="31"/>
  <c r="Q33" i="31"/>
  <c r="Q32" i="31"/>
  <c r="Q31" i="31"/>
  <c r="Q30" i="31"/>
  <c r="Q104" i="31"/>
  <c r="Q29" i="31"/>
  <c r="Q28" i="31"/>
  <c r="Q27" i="31"/>
  <c r="Q26" i="31"/>
  <c r="Q25" i="31"/>
  <c r="Q103" i="31"/>
  <c r="Q102" i="31"/>
  <c r="Q24" i="31"/>
  <c r="Q23" i="31"/>
  <c r="Q22" i="31"/>
  <c r="Q21" i="31"/>
  <c r="Q20" i="31"/>
  <c r="Q19" i="31"/>
  <c r="Q18" i="31"/>
  <c r="Q17" i="31"/>
  <c r="Q101" i="31"/>
  <c r="Q16" i="31"/>
  <c r="Q15" i="31"/>
  <c r="Q14" i="31"/>
  <c r="Q13" i="31"/>
  <c r="Q12" i="31"/>
  <c r="Q11" i="31"/>
  <c r="Q10" i="31"/>
  <c r="Q9" i="31"/>
  <c r="Q8" i="31"/>
  <c r="Q7" i="31"/>
  <c r="Q100" i="31"/>
  <c r="Q6" i="31"/>
  <c r="Q5" i="31"/>
  <c r="M4" i="122"/>
  <c r="K4" i="122"/>
  <c r="T4" i="122"/>
  <c r="S4" i="122"/>
  <c r="R4" i="122"/>
  <c r="Q4" i="122"/>
  <c r="O4" i="122"/>
  <c r="L4" i="122"/>
  <c r="J4" i="122"/>
  <c r="I4" i="122"/>
  <c r="H4" i="122"/>
  <c r="G4" i="122"/>
  <c r="F4" i="122"/>
  <c r="E4" i="122"/>
  <c r="D4" i="122"/>
  <c r="R4" i="96"/>
  <c r="Q4" i="96"/>
  <c r="P4" i="96"/>
  <c r="O4" i="96"/>
  <c r="N4" i="96"/>
  <c r="Y5" i="6"/>
  <c r="X5" i="6"/>
  <c r="W5" i="6"/>
  <c r="U5" i="6"/>
  <c r="V131" i="62" l="1"/>
  <c r="Z131" i="62"/>
  <c r="AE131" i="62"/>
  <c r="AT131" i="62"/>
  <c r="AX131" i="62"/>
  <c r="J131" i="62"/>
  <c r="N131" i="62"/>
  <c r="K131" i="62"/>
  <c r="S131" i="62"/>
  <c r="R131" i="62"/>
  <c r="W131" i="62"/>
  <c r="AD131" i="62"/>
  <c r="AI131" i="62"/>
  <c r="AH131" i="62"/>
  <c r="AL131" i="62"/>
  <c r="AQ131" i="62"/>
  <c r="AP131" i="62"/>
  <c r="AU131" i="62"/>
  <c r="J19" i="123"/>
  <c r="I19" i="123"/>
  <c r="M131" i="62"/>
  <c r="Q131" i="62"/>
  <c r="Y131" i="62"/>
  <c r="AC131" i="62"/>
  <c r="AK131" i="62"/>
  <c r="AO131" i="62"/>
  <c r="AW131" i="62"/>
  <c r="L131" i="62"/>
  <c r="P131" i="62"/>
  <c r="T131" i="62"/>
  <c r="X131" i="62"/>
  <c r="AB131" i="62"/>
  <c r="AF131" i="62"/>
  <c r="AJ131" i="62"/>
  <c r="AN131" i="62"/>
  <c r="AR131" i="62"/>
  <c r="AV131" i="62"/>
  <c r="D4" i="120"/>
  <c r="X4" i="92" l="1"/>
  <c r="W4" i="92"/>
  <c r="V4" i="92"/>
  <c r="U4" i="92"/>
  <c r="I124" i="61"/>
  <c r="I123" i="61"/>
  <c r="I122" i="61"/>
  <c r="I121" i="61"/>
  <c r="I120" i="61"/>
  <c r="I119" i="61"/>
  <c r="I118" i="61"/>
  <c r="I117" i="61"/>
  <c r="I116" i="61"/>
  <c r="I115" i="61"/>
  <c r="I114" i="61"/>
  <c r="I113" i="61"/>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I51" i="61"/>
  <c r="I50" i="61"/>
  <c r="I49" i="61"/>
  <c r="I48" i="61"/>
  <c r="I47" i="61"/>
  <c r="I46" i="61"/>
  <c r="I45" i="61"/>
  <c r="I44" i="61"/>
  <c r="I43" i="61"/>
  <c r="I42" i="61"/>
  <c r="I41" i="61"/>
  <c r="I40" i="61"/>
  <c r="I39" i="61"/>
  <c r="I38" i="61"/>
  <c r="I37" i="61"/>
  <c r="I36" i="61"/>
  <c r="I35" i="61"/>
  <c r="I34" i="61"/>
  <c r="I33" i="61"/>
  <c r="I32" i="61"/>
  <c r="I31" i="61"/>
  <c r="I30" i="61"/>
  <c r="I29" i="61"/>
  <c r="I28" i="61"/>
  <c r="I27" i="61"/>
  <c r="I26" i="61"/>
  <c r="I25" i="61"/>
  <c r="I24" i="61"/>
  <c r="I23" i="61"/>
  <c r="I22" i="61"/>
  <c r="I21" i="61"/>
  <c r="I20" i="61"/>
  <c r="I19" i="61"/>
  <c r="I18" i="61"/>
  <c r="I17" i="61"/>
  <c r="I16" i="61"/>
  <c r="I15" i="61"/>
  <c r="I14" i="61"/>
  <c r="I13" i="61"/>
  <c r="I12" i="61"/>
  <c r="I11" i="61"/>
  <c r="I10" i="61"/>
  <c r="I9" i="61"/>
  <c r="I8" i="61"/>
  <c r="I7" i="61"/>
  <c r="I6" i="61"/>
  <c r="I5" i="61"/>
  <c r="AY124" i="62"/>
  <c r="AY123" i="62"/>
  <c r="AY122" i="62"/>
  <c r="AY121" i="62"/>
  <c r="AY120" i="62"/>
  <c r="AY119" i="62"/>
  <c r="AY118" i="62"/>
  <c r="AY117" i="62"/>
  <c r="AY116" i="62"/>
  <c r="AY115" i="62"/>
  <c r="AY114" i="62"/>
  <c r="AY113" i="62"/>
  <c r="AY112" i="62"/>
  <c r="AY111" i="62"/>
  <c r="AY110" i="62"/>
  <c r="AY109" i="62"/>
  <c r="AY108" i="62"/>
  <c r="AY107" i="62"/>
  <c r="AY106" i="62"/>
  <c r="AY105" i="62"/>
  <c r="AY104" i="62"/>
  <c r="AY103" i="62"/>
  <c r="AY102" i="62"/>
  <c r="AY101" i="62"/>
  <c r="AY100" i="62"/>
  <c r="AY99" i="62"/>
  <c r="AY98" i="62"/>
  <c r="AY97" i="62"/>
  <c r="AY96" i="62"/>
  <c r="AY95" i="62"/>
  <c r="AY94" i="62"/>
  <c r="AY93" i="62"/>
  <c r="AY92" i="62"/>
  <c r="AY91" i="62"/>
  <c r="AY90" i="62"/>
  <c r="AY89" i="62"/>
  <c r="AY88" i="62"/>
  <c r="AY87" i="62"/>
  <c r="AY86" i="62"/>
  <c r="AY85" i="62"/>
  <c r="AY84" i="62"/>
  <c r="AY83" i="62"/>
  <c r="AY82" i="62"/>
  <c r="AY81" i="62"/>
  <c r="AY80" i="62"/>
  <c r="AY79" i="62"/>
  <c r="AY78" i="62"/>
  <c r="AY77" i="62"/>
  <c r="AY76" i="62"/>
  <c r="AY75" i="62"/>
  <c r="AY74" i="62"/>
  <c r="AY73" i="62"/>
  <c r="AY72" i="62"/>
  <c r="AY71" i="62"/>
  <c r="AY70" i="62"/>
  <c r="AY69" i="62"/>
  <c r="AY68" i="62"/>
  <c r="AY67" i="62"/>
  <c r="AY66" i="62"/>
  <c r="AY65" i="62"/>
  <c r="AY64" i="62"/>
  <c r="AY63" i="62"/>
  <c r="AY62" i="62"/>
  <c r="AY61" i="62"/>
  <c r="AY60" i="62"/>
  <c r="AY59" i="62"/>
  <c r="AY58" i="62"/>
  <c r="AY57" i="62"/>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14" i="62"/>
  <c r="AY13" i="62"/>
  <c r="AY12" i="62"/>
  <c r="AY11" i="62"/>
  <c r="AY10" i="62"/>
  <c r="AY9" i="62"/>
  <c r="AY8" i="62"/>
  <c r="AY7" i="62"/>
  <c r="AY6" i="62"/>
  <c r="AY5" i="62"/>
  <c r="AX4" i="62"/>
  <c r="AW4" i="62"/>
  <c r="AV4" i="62"/>
  <c r="AU4" i="62"/>
  <c r="AT4"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R4" i="62"/>
  <c r="AQ4" i="62"/>
  <c r="AP4" i="62"/>
  <c r="AO4" i="62"/>
  <c r="AN4"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5" i="62"/>
  <c r="AA14" i="62"/>
  <c r="AA13" i="62"/>
  <c r="AA12" i="62"/>
  <c r="AA11" i="62"/>
  <c r="AA10" i="62"/>
  <c r="AA9" i="62"/>
  <c r="AA8" i="62"/>
  <c r="AA7" i="62"/>
  <c r="AA6" i="62"/>
  <c r="AA5" i="62"/>
  <c r="Z4" i="62"/>
  <c r="Y4" i="62"/>
  <c r="X4" i="62"/>
  <c r="W4" i="62"/>
  <c r="V4" i="62"/>
  <c r="U124" i="62"/>
  <c r="U123" i="62"/>
  <c r="U122" i="62"/>
  <c r="U121" i="62"/>
  <c r="U120" i="62"/>
  <c r="U119" i="62"/>
  <c r="U118" i="62"/>
  <c r="U117" i="62"/>
  <c r="U116" i="62"/>
  <c r="U115" i="62"/>
  <c r="U114" i="62"/>
  <c r="U113" i="62"/>
  <c r="U112" i="62"/>
  <c r="U111" i="62"/>
  <c r="U110" i="62"/>
  <c r="U109" i="62"/>
  <c r="U108" i="62"/>
  <c r="U107" i="62"/>
  <c r="U106" i="62"/>
  <c r="U105" i="62"/>
  <c r="U104" i="62"/>
  <c r="U103" i="62"/>
  <c r="U102" i="62"/>
  <c r="U101" i="62"/>
  <c r="U100" i="62"/>
  <c r="U99" i="62"/>
  <c r="U98" i="62"/>
  <c r="U97" i="62"/>
  <c r="U96" i="62"/>
  <c r="U95" i="62"/>
  <c r="U94" i="62"/>
  <c r="U93" i="62"/>
  <c r="U92" i="62"/>
  <c r="U91" i="62"/>
  <c r="U90" i="62"/>
  <c r="U89" i="62"/>
  <c r="U88" i="62"/>
  <c r="U87" i="62"/>
  <c r="U86" i="62"/>
  <c r="U85" i="62"/>
  <c r="U84" i="62"/>
  <c r="U83" i="62"/>
  <c r="U82" i="62"/>
  <c r="U81" i="62"/>
  <c r="U80" i="62"/>
  <c r="U79" i="62"/>
  <c r="U78" i="62"/>
  <c r="U77" i="62"/>
  <c r="U76" i="62"/>
  <c r="U75" i="62"/>
  <c r="U74" i="62"/>
  <c r="U73" i="62"/>
  <c r="U72" i="62"/>
  <c r="U71" i="62"/>
  <c r="U70" i="62"/>
  <c r="U69" i="62"/>
  <c r="U68" i="62"/>
  <c r="U67" i="62"/>
  <c r="U66" i="62"/>
  <c r="U65" i="62"/>
  <c r="U64" i="62"/>
  <c r="U63" i="62"/>
  <c r="U62" i="62"/>
  <c r="U61" i="62"/>
  <c r="U60" i="62"/>
  <c r="U59" i="62"/>
  <c r="U58" i="62"/>
  <c r="U57" i="62"/>
  <c r="U56" i="62"/>
  <c r="U55" i="62"/>
  <c r="U54" i="62"/>
  <c r="U53" i="62"/>
  <c r="U52" i="62"/>
  <c r="U51" i="62"/>
  <c r="U50" i="62"/>
  <c r="U49" i="62"/>
  <c r="U48" i="62"/>
  <c r="U47" i="62"/>
  <c r="U46" i="62"/>
  <c r="U45" i="62"/>
  <c r="U44" i="62"/>
  <c r="U43" i="62"/>
  <c r="U42" i="62"/>
  <c r="U41" i="62"/>
  <c r="U40" i="62"/>
  <c r="U39" i="62"/>
  <c r="U38" i="62"/>
  <c r="U37" i="62"/>
  <c r="U36" i="62"/>
  <c r="U35" i="62"/>
  <c r="U34" i="62"/>
  <c r="U33" i="62"/>
  <c r="U32" i="62"/>
  <c r="U31" i="62"/>
  <c r="U30" i="62"/>
  <c r="U29" i="62"/>
  <c r="U28" i="62"/>
  <c r="U27" i="62"/>
  <c r="U26" i="62"/>
  <c r="U25" i="62"/>
  <c r="U24" i="62"/>
  <c r="U23" i="62"/>
  <c r="U22" i="62"/>
  <c r="U21" i="62"/>
  <c r="U20" i="62"/>
  <c r="U19" i="62"/>
  <c r="U18" i="62"/>
  <c r="U17" i="62"/>
  <c r="U16" i="62"/>
  <c r="U15" i="62"/>
  <c r="U14" i="62"/>
  <c r="U13" i="62"/>
  <c r="U12" i="62"/>
  <c r="U11" i="62"/>
  <c r="U10" i="62"/>
  <c r="U9" i="62"/>
  <c r="U8" i="62"/>
  <c r="U7" i="62"/>
  <c r="U6" i="62"/>
  <c r="U5" i="62"/>
  <c r="T4" i="62"/>
  <c r="S4" i="62"/>
  <c r="R4" i="62"/>
  <c r="Q4" i="62"/>
  <c r="P4" i="62"/>
  <c r="AS4" i="62" l="1"/>
  <c r="G4" i="57"/>
  <c r="AY4" i="62"/>
  <c r="AA4" i="62"/>
  <c r="U4" i="62"/>
  <c r="D131" i="62" l="1"/>
  <c r="I21" i="123" s="1"/>
  <c r="E131" i="62"/>
  <c r="J21" i="123" s="1"/>
  <c r="F131" i="62"/>
  <c r="AS131" i="62"/>
  <c r="U131" i="62"/>
  <c r="G131" i="62"/>
  <c r="AY131" i="62"/>
  <c r="AA131" i="62"/>
  <c r="J123" i="56"/>
  <c r="K123" i="56" s="1"/>
  <c r="J122" i="56"/>
  <c r="K122" i="56" s="1"/>
  <c r="J121" i="56"/>
  <c r="K121" i="56" s="1"/>
  <c r="J120" i="56"/>
  <c r="K120" i="56" s="1"/>
  <c r="J119" i="56"/>
  <c r="J118" i="56"/>
  <c r="K118" i="56" s="1"/>
  <c r="J117" i="56"/>
  <c r="K117" i="56" s="1"/>
  <c r="J116" i="56"/>
  <c r="K116" i="56" s="1"/>
  <c r="J115" i="56"/>
  <c r="K115" i="56" s="1"/>
  <c r="J114" i="56"/>
  <c r="K114" i="56" s="1"/>
  <c r="J113" i="56"/>
  <c r="K113" i="56" s="1"/>
  <c r="J112" i="56"/>
  <c r="K112" i="56" s="1"/>
  <c r="J111" i="56"/>
  <c r="J110" i="56"/>
  <c r="K110" i="56" s="1"/>
  <c r="J109" i="56"/>
  <c r="K109" i="56" s="1"/>
  <c r="J108" i="56"/>
  <c r="K108" i="56" s="1"/>
  <c r="J107" i="56"/>
  <c r="K107" i="56" s="1"/>
  <c r="J106" i="56"/>
  <c r="K106" i="56" s="1"/>
  <c r="J105" i="56"/>
  <c r="K105" i="56" s="1"/>
  <c r="J104" i="56"/>
  <c r="K104" i="56" s="1"/>
  <c r="J103" i="56"/>
  <c r="J102" i="56"/>
  <c r="K102" i="56" s="1"/>
  <c r="J101" i="56"/>
  <c r="K101" i="56" s="1"/>
  <c r="J100" i="56"/>
  <c r="K100" i="56" s="1"/>
  <c r="K99" i="56"/>
  <c r="J98" i="56"/>
  <c r="K98" i="56" s="1"/>
  <c r="J97" i="56"/>
  <c r="K97" i="56" s="1"/>
  <c r="J96" i="56"/>
  <c r="K96" i="56" s="1"/>
  <c r="J95" i="56"/>
  <c r="J94" i="56"/>
  <c r="K94" i="56" s="1"/>
  <c r="J93" i="56"/>
  <c r="K93" i="56" s="1"/>
  <c r="J92" i="56"/>
  <c r="K92" i="56" s="1"/>
  <c r="J91" i="56"/>
  <c r="K91" i="56" s="1"/>
  <c r="J90" i="56"/>
  <c r="K90" i="56" s="1"/>
  <c r="J89" i="56"/>
  <c r="K89" i="56" s="1"/>
  <c r="J88" i="56"/>
  <c r="K88" i="56" s="1"/>
  <c r="J87" i="56"/>
  <c r="J86" i="56"/>
  <c r="K86" i="56" s="1"/>
  <c r="J85" i="56"/>
  <c r="K85" i="56" s="1"/>
  <c r="J84" i="56"/>
  <c r="K84" i="56" s="1"/>
  <c r="J83" i="56"/>
  <c r="K83" i="56" s="1"/>
  <c r="J82" i="56"/>
  <c r="K82" i="56" s="1"/>
  <c r="J81" i="56"/>
  <c r="K81" i="56" s="1"/>
  <c r="J80" i="56"/>
  <c r="K80" i="56" s="1"/>
  <c r="J79" i="56"/>
  <c r="J78" i="56"/>
  <c r="K78" i="56" s="1"/>
  <c r="J77" i="56"/>
  <c r="K77" i="56" s="1"/>
  <c r="J76" i="56"/>
  <c r="K76" i="56" s="1"/>
  <c r="J75" i="56"/>
  <c r="K75" i="56" s="1"/>
  <c r="J74" i="56"/>
  <c r="K74" i="56" s="1"/>
  <c r="J73" i="56"/>
  <c r="K73" i="56" s="1"/>
  <c r="J72" i="56"/>
  <c r="K72" i="56" s="1"/>
  <c r="J71" i="56"/>
  <c r="J70" i="56"/>
  <c r="K70" i="56" s="1"/>
  <c r="J71" i="79" s="1"/>
  <c r="J69" i="56"/>
  <c r="K69" i="56" s="1"/>
  <c r="J68" i="56"/>
  <c r="K68" i="56" s="1"/>
  <c r="J67" i="56"/>
  <c r="K67" i="56" s="1"/>
  <c r="J66" i="56"/>
  <c r="K66" i="56" s="1"/>
  <c r="J65" i="56"/>
  <c r="K65" i="56" s="1"/>
  <c r="J64" i="56"/>
  <c r="K64" i="56" s="1"/>
  <c r="J63" i="56"/>
  <c r="J62" i="56"/>
  <c r="K62" i="56" s="1"/>
  <c r="J61" i="56"/>
  <c r="K61" i="56" s="1"/>
  <c r="J60" i="56"/>
  <c r="K60" i="56" s="1"/>
  <c r="J59" i="56"/>
  <c r="K59" i="56" s="1"/>
  <c r="J58" i="56"/>
  <c r="K58" i="56" s="1"/>
  <c r="J57" i="56"/>
  <c r="J56" i="56"/>
  <c r="K56" i="56" s="1"/>
  <c r="J55" i="56"/>
  <c r="J54" i="56"/>
  <c r="K54" i="56" s="1"/>
  <c r="J53" i="56"/>
  <c r="K53" i="56" s="1"/>
  <c r="J52" i="56"/>
  <c r="K52" i="56" s="1"/>
  <c r="J51" i="56"/>
  <c r="K51" i="56" s="1"/>
  <c r="J50" i="56"/>
  <c r="K50" i="56" s="1"/>
  <c r="J49" i="56"/>
  <c r="K49" i="56" s="1"/>
  <c r="J48" i="56"/>
  <c r="K48" i="56" s="1"/>
  <c r="J47" i="56"/>
  <c r="J46" i="56"/>
  <c r="K46" i="56" s="1"/>
  <c r="J45" i="56"/>
  <c r="K45" i="56" s="1"/>
  <c r="J44" i="56"/>
  <c r="K44" i="56" s="1"/>
  <c r="J43" i="56"/>
  <c r="K43" i="56" s="1"/>
  <c r="J42" i="56"/>
  <c r="K42" i="56" s="1"/>
  <c r="J41" i="56"/>
  <c r="K41" i="56" s="1"/>
  <c r="J40" i="56"/>
  <c r="K40" i="56" s="1"/>
  <c r="J39" i="56"/>
  <c r="J38" i="56"/>
  <c r="K38" i="56" s="1"/>
  <c r="J37" i="56"/>
  <c r="K37" i="56" s="1"/>
  <c r="J36" i="56"/>
  <c r="K36" i="56" s="1"/>
  <c r="J35" i="56"/>
  <c r="K35" i="56" s="1"/>
  <c r="J34" i="56"/>
  <c r="K34" i="56" s="1"/>
  <c r="J33" i="56"/>
  <c r="K33" i="56" s="1"/>
  <c r="J32" i="56"/>
  <c r="K32" i="56" s="1"/>
  <c r="J31" i="56"/>
  <c r="J30" i="56"/>
  <c r="K30" i="56" s="1"/>
  <c r="J29" i="56"/>
  <c r="K29" i="56" s="1"/>
  <c r="J28" i="56"/>
  <c r="K28" i="56" s="1"/>
  <c r="J27" i="56"/>
  <c r="K27" i="56" s="1"/>
  <c r="J26" i="56"/>
  <c r="K26" i="56" s="1"/>
  <c r="J25" i="56"/>
  <c r="J24" i="56"/>
  <c r="K24" i="56" s="1"/>
  <c r="J23" i="56"/>
  <c r="J22" i="56"/>
  <c r="K22" i="56" s="1"/>
  <c r="J21" i="56"/>
  <c r="J20" i="56"/>
  <c r="J19" i="56"/>
  <c r="K19" i="56" s="1"/>
  <c r="J18" i="56"/>
  <c r="J17" i="56"/>
  <c r="J16" i="56"/>
  <c r="J15" i="56"/>
  <c r="K15" i="56" s="1"/>
  <c r="J14" i="56"/>
  <c r="J13" i="56"/>
  <c r="J12" i="56"/>
  <c r="J11" i="56"/>
  <c r="K11" i="56" s="1"/>
  <c r="J10" i="56"/>
  <c r="J9" i="56"/>
  <c r="J8" i="56"/>
  <c r="J7" i="56"/>
  <c r="J6" i="56"/>
  <c r="J5" i="56"/>
  <c r="I120" i="56"/>
  <c r="I104" i="56"/>
  <c r="I72" i="56"/>
  <c r="I56" i="56"/>
  <c r="I40" i="56"/>
  <c r="I8" i="56"/>
  <c r="I5" i="62"/>
  <c r="H116" i="62"/>
  <c r="R117" i="79" s="1"/>
  <c r="S117" i="79" s="1"/>
  <c r="H105" i="62"/>
  <c r="R106" i="79" s="1"/>
  <c r="S106" i="79" s="1"/>
  <c r="H104" i="62"/>
  <c r="R105" i="79" s="1"/>
  <c r="S105" i="79" s="1"/>
  <c r="H98" i="62"/>
  <c r="R99" i="79" s="1"/>
  <c r="S99" i="79" s="1"/>
  <c r="H97" i="62"/>
  <c r="R98" i="79" s="1"/>
  <c r="S98" i="79" s="1"/>
  <c r="H96" i="62"/>
  <c r="R97" i="79" s="1"/>
  <c r="S97" i="79" s="1"/>
  <c r="H94" i="62"/>
  <c r="R95" i="79" s="1"/>
  <c r="S95" i="79" s="1"/>
  <c r="H93" i="62"/>
  <c r="R94" i="79" s="1"/>
  <c r="S94" i="79" s="1"/>
  <c r="H92" i="62"/>
  <c r="R93" i="79" s="1"/>
  <c r="S93" i="79" s="1"/>
  <c r="H88" i="62"/>
  <c r="R89" i="79" s="1"/>
  <c r="S89" i="79" s="1"/>
  <c r="H85" i="62"/>
  <c r="R86" i="79" s="1"/>
  <c r="S86" i="79" s="1"/>
  <c r="H84" i="62"/>
  <c r="R85" i="79" s="1"/>
  <c r="S85" i="79" s="1"/>
  <c r="H76" i="62"/>
  <c r="R77" i="79" s="1"/>
  <c r="S77" i="79" s="1"/>
  <c r="H74" i="62"/>
  <c r="R75" i="79" s="1"/>
  <c r="S75" i="79" s="1"/>
  <c r="H72" i="62"/>
  <c r="R73" i="79" s="1"/>
  <c r="S73" i="79" s="1"/>
  <c r="H70" i="62"/>
  <c r="R71" i="79" s="1"/>
  <c r="S71" i="79" s="1"/>
  <c r="H69" i="62"/>
  <c r="R70" i="79" s="1"/>
  <c r="S70" i="79" s="1"/>
  <c r="H68" i="62"/>
  <c r="R69" i="79" s="1"/>
  <c r="S69" i="79" s="1"/>
  <c r="H66" i="62"/>
  <c r="R67" i="79" s="1"/>
  <c r="S67" i="79" s="1"/>
  <c r="H65" i="62"/>
  <c r="R66" i="79" s="1"/>
  <c r="S66" i="79" s="1"/>
  <c r="H64" i="62"/>
  <c r="R65" i="79" s="1"/>
  <c r="S65" i="79" s="1"/>
  <c r="H62" i="62"/>
  <c r="R63" i="79" s="1"/>
  <c r="S63" i="79" s="1"/>
  <c r="H61" i="62"/>
  <c r="R62" i="79" s="1"/>
  <c r="S62" i="79" s="1"/>
  <c r="H58" i="62"/>
  <c r="R59" i="79" s="1"/>
  <c r="S59" i="79" s="1"/>
  <c r="H57" i="62"/>
  <c r="R58" i="79" s="1"/>
  <c r="S58" i="79" s="1"/>
  <c r="H56" i="62"/>
  <c r="R57" i="79" s="1"/>
  <c r="S57" i="79" s="1"/>
  <c r="H54" i="62"/>
  <c r="R55" i="79" s="1"/>
  <c r="S55" i="79" s="1"/>
  <c r="H49" i="62"/>
  <c r="R50" i="79" s="1"/>
  <c r="S50" i="79" s="1"/>
  <c r="H48" i="62"/>
  <c r="R49" i="79" s="1"/>
  <c r="S49" i="79" s="1"/>
  <c r="H45" i="62"/>
  <c r="R46" i="79" s="1"/>
  <c r="S46" i="79" s="1"/>
  <c r="H44" i="62"/>
  <c r="R45" i="79" s="1"/>
  <c r="S45" i="79" s="1"/>
  <c r="H40" i="62"/>
  <c r="R41" i="79" s="1"/>
  <c r="S41" i="79" s="1"/>
  <c r="H36" i="62"/>
  <c r="R37" i="79" s="1"/>
  <c r="S37" i="79" s="1"/>
  <c r="H24" i="62"/>
  <c r="R25" i="79" s="1"/>
  <c r="S25" i="79" s="1"/>
  <c r="H22" i="62"/>
  <c r="R23" i="79" s="1"/>
  <c r="S23" i="79" s="1"/>
  <c r="H21" i="62"/>
  <c r="R22" i="79" s="1"/>
  <c r="S22" i="79" s="1"/>
  <c r="H18" i="62"/>
  <c r="R19" i="79" s="1"/>
  <c r="S19" i="79" s="1"/>
  <c r="H17" i="62"/>
  <c r="R18" i="79" s="1"/>
  <c r="S18" i="79" s="1"/>
  <c r="H16" i="62"/>
  <c r="R17" i="79" s="1"/>
  <c r="S17" i="79" s="1"/>
  <c r="H14" i="62"/>
  <c r="R15" i="79" s="1"/>
  <c r="S15" i="79" s="1"/>
  <c r="H13" i="62"/>
  <c r="R14" i="79" s="1"/>
  <c r="S14" i="79" s="1"/>
  <c r="H8" i="62"/>
  <c r="R9" i="79" s="1"/>
  <c r="H124" i="62"/>
  <c r="R125" i="79" s="1"/>
  <c r="S125" i="79" s="1"/>
  <c r="H123" i="62"/>
  <c r="R124" i="79" s="1"/>
  <c r="S124" i="79" s="1"/>
  <c r="H122" i="62"/>
  <c r="R123" i="79" s="1"/>
  <c r="S123" i="79" s="1"/>
  <c r="H121" i="62"/>
  <c r="R122" i="79" s="1"/>
  <c r="S122" i="79" s="1"/>
  <c r="H120" i="62"/>
  <c r="R121" i="79" s="1"/>
  <c r="S121" i="79" s="1"/>
  <c r="H119" i="62"/>
  <c r="R120" i="79" s="1"/>
  <c r="S120" i="79" s="1"/>
  <c r="H118" i="62"/>
  <c r="R119" i="79" s="1"/>
  <c r="S119" i="79" s="1"/>
  <c r="H117" i="62"/>
  <c r="R118" i="79" s="1"/>
  <c r="S118" i="79" s="1"/>
  <c r="H115" i="62"/>
  <c r="R116" i="79" s="1"/>
  <c r="S116" i="79" s="1"/>
  <c r="H114" i="62"/>
  <c r="R115" i="79" s="1"/>
  <c r="S115" i="79" s="1"/>
  <c r="H113" i="62"/>
  <c r="R114" i="79" s="1"/>
  <c r="S114" i="79" s="1"/>
  <c r="H112" i="62"/>
  <c r="R113" i="79" s="1"/>
  <c r="S113" i="79" s="1"/>
  <c r="H111" i="62"/>
  <c r="R112" i="79" s="1"/>
  <c r="S112" i="79" s="1"/>
  <c r="H110" i="62"/>
  <c r="R111" i="79" s="1"/>
  <c r="S111" i="79" s="1"/>
  <c r="H109" i="62"/>
  <c r="R110" i="79" s="1"/>
  <c r="S110" i="79" s="1"/>
  <c r="H108" i="62"/>
  <c r="R109" i="79" s="1"/>
  <c r="S109" i="79" s="1"/>
  <c r="H107" i="62"/>
  <c r="R108" i="79" s="1"/>
  <c r="S108" i="79" s="1"/>
  <c r="H106" i="62"/>
  <c r="R107" i="79" s="1"/>
  <c r="S107" i="79" s="1"/>
  <c r="H103" i="62"/>
  <c r="R104" i="79" s="1"/>
  <c r="S104" i="79" s="1"/>
  <c r="H102" i="62"/>
  <c r="R103" i="79" s="1"/>
  <c r="S103" i="79" s="1"/>
  <c r="H101" i="62"/>
  <c r="R102" i="79" s="1"/>
  <c r="S102" i="79" s="1"/>
  <c r="H100" i="62"/>
  <c r="R101" i="79" s="1"/>
  <c r="S101" i="79" s="1"/>
  <c r="H99" i="62"/>
  <c r="R100" i="79" s="1"/>
  <c r="S100" i="79" s="1"/>
  <c r="H95" i="62"/>
  <c r="R96" i="79" s="1"/>
  <c r="S96" i="79" s="1"/>
  <c r="H91" i="62"/>
  <c r="R92" i="79" s="1"/>
  <c r="S92" i="79" s="1"/>
  <c r="H90" i="62"/>
  <c r="R91" i="79" s="1"/>
  <c r="S91" i="79" s="1"/>
  <c r="H89" i="62"/>
  <c r="R90" i="79" s="1"/>
  <c r="S90" i="79" s="1"/>
  <c r="H87" i="62"/>
  <c r="R88" i="79" s="1"/>
  <c r="S88" i="79" s="1"/>
  <c r="H86" i="62"/>
  <c r="R87" i="79" s="1"/>
  <c r="S87" i="79" s="1"/>
  <c r="H83" i="62"/>
  <c r="R84" i="79" s="1"/>
  <c r="S84" i="79" s="1"/>
  <c r="H82" i="62"/>
  <c r="R83" i="79" s="1"/>
  <c r="S83" i="79" s="1"/>
  <c r="H81" i="62"/>
  <c r="R82" i="79" s="1"/>
  <c r="S82" i="79" s="1"/>
  <c r="H80" i="62"/>
  <c r="R81" i="79" s="1"/>
  <c r="S81" i="79" s="1"/>
  <c r="H79" i="62"/>
  <c r="R80" i="79" s="1"/>
  <c r="S80" i="79" s="1"/>
  <c r="H78" i="62"/>
  <c r="R79" i="79" s="1"/>
  <c r="S79" i="79" s="1"/>
  <c r="H77" i="62"/>
  <c r="R78" i="79" s="1"/>
  <c r="S78" i="79" s="1"/>
  <c r="H75" i="62"/>
  <c r="R76" i="79" s="1"/>
  <c r="S76" i="79" s="1"/>
  <c r="H73" i="62"/>
  <c r="R74" i="79" s="1"/>
  <c r="S74" i="79" s="1"/>
  <c r="H71" i="62"/>
  <c r="R72" i="79" s="1"/>
  <c r="S72" i="79" s="1"/>
  <c r="H67" i="62"/>
  <c r="R68" i="79" s="1"/>
  <c r="S68" i="79" s="1"/>
  <c r="H63" i="62"/>
  <c r="R64" i="79" s="1"/>
  <c r="S64" i="79" s="1"/>
  <c r="H60" i="62"/>
  <c r="R61" i="79" s="1"/>
  <c r="S61" i="79" s="1"/>
  <c r="H59" i="62"/>
  <c r="R60" i="79" s="1"/>
  <c r="S60" i="79" s="1"/>
  <c r="H55" i="62"/>
  <c r="R56" i="79" s="1"/>
  <c r="S56" i="79" s="1"/>
  <c r="H53" i="62"/>
  <c r="R54" i="79" s="1"/>
  <c r="S54" i="79" s="1"/>
  <c r="H52" i="62"/>
  <c r="R53" i="79" s="1"/>
  <c r="S53" i="79" s="1"/>
  <c r="H51" i="62"/>
  <c r="R52" i="79" s="1"/>
  <c r="S52" i="79" s="1"/>
  <c r="H50" i="62"/>
  <c r="R51" i="79" s="1"/>
  <c r="S51" i="79" s="1"/>
  <c r="H47" i="62"/>
  <c r="R48" i="79" s="1"/>
  <c r="S48" i="79" s="1"/>
  <c r="H46" i="62"/>
  <c r="R47" i="79" s="1"/>
  <c r="S47" i="79" s="1"/>
  <c r="H43" i="62"/>
  <c r="R44" i="79" s="1"/>
  <c r="S44" i="79" s="1"/>
  <c r="H42" i="62"/>
  <c r="R43" i="79" s="1"/>
  <c r="S43" i="79" s="1"/>
  <c r="H41" i="62"/>
  <c r="R42" i="79" s="1"/>
  <c r="S42" i="79" s="1"/>
  <c r="H39" i="62"/>
  <c r="R40" i="79" s="1"/>
  <c r="S40" i="79" s="1"/>
  <c r="H38" i="62"/>
  <c r="R39" i="79" s="1"/>
  <c r="S39" i="79" s="1"/>
  <c r="H37" i="62"/>
  <c r="R38" i="79" s="1"/>
  <c r="S38" i="79" s="1"/>
  <c r="H35" i="62"/>
  <c r="R36" i="79" s="1"/>
  <c r="S36" i="79" s="1"/>
  <c r="H34" i="62"/>
  <c r="R35" i="79" s="1"/>
  <c r="S35" i="79" s="1"/>
  <c r="H33" i="62"/>
  <c r="R34" i="79" s="1"/>
  <c r="S34" i="79" s="1"/>
  <c r="H32" i="62"/>
  <c r="R33" i="79" s="1"/>
  <c r="S33" i="79" s="1"/>
  <c r="H31" i="62"/>
  <c r="R32" i="79" s="1"/>
  <c r="S32" i="79" s="1"/>
  <c r="H30" i="62"/>
  <c r="R31" i="79" s="1"/>
  <c r="S31" i="79" s="1"/>
  <c r="H29" i="62"/>
  <c r="R30" i="79" s="1"/>
  <c r="S30" i="79" s="1"/>
  <c r="H28" i="62"/>
  <c r="R29" i="79" s="1"/>
  <c r="S29" i="79" s="1"/>
  <c r="H27" i="62"/>
  <c r="R28" i="79" s="1"/>
  <c r="S28" i="79" s="1"/>
  <c r="H26" i="62"/>
  <c r="R27" i="79" s="1"/>
  <c r="S27" i="79" s="1"/>
  <c r="H25" i="62"/>
  <c r="R26" i="79" s="1"/>
  <c r="S26" i="79" s="1"/>
  <c r="H23" i="62"/>
  <c r="R24" i="79" s="1"/>
  <c r="S24" i="79" s="1"/>
  <c r="H20" i="62"/>
  <c r="R21" i="79" s="1"/>
  <c r="S21" i="79" s="1"/>
  <c r="H19" i="62"/>
  <c r="R20" i="79" s="1"/>
  <c r="S20" i="79" s="1"/>
  <c r="H15" i="62"/>
  <c r="R16" i="79" s="1"/>
  <c r="S16" i="79" s="1"/>
  <c r="H12" i="62"/>
  <c r="R13" i="79" s="1"/>
  <c r="S13" i="79" s="1"/>
  <c r="H11" i="62"/>
  <c r="R12" i="79" s="1"/>
  <c r="S12" i="79" s="1"/>
  <c r="H10" i="62"/>
  <c r="R11" i="79" s="1"/>
  <c r="S11" i="79" s="1"/>
  <c r="H9" i="62"/>
  <c r="R10" i="79" s="1"/>
  <c r="S10" i="79" s="1"/>
  <c r="H7" i="62"/>
  <c r="R8" i="79" s="1"/>
  <c r="S8" i="79" s="1"/>
  <c r="H6" i="62"/>
  <c r="R7" i="79" s="1"/>
  <c r="S7" i="79" s="1"/>
  <c r="H5" i="62"/>
  <c r="R6" i="79" s="1"/>
  <c r="S6" i="79" s="1"/>
  <c r="I124" i="117"/>
  <c r="I123" i="117"/>
  <c r="I122" i="117"/>
  <c r="I121" i="117"/>
  <c r="I120" i="117"/>
  <c r="I119" i="117"/>
  <c r="I118" i="117"/>
  <c r="I117" i="117"/>
  <c r="I116" i="117"/>
  <c r="I115" i="117"/>
  <c r="I114" i="117"/>
  <c r="I113" i="117"/>
  <c r="I112" i="117"/>
  <c r="I111" i="117"/>
  <c r="I110" i="117"/>
  <c r="I109" i="117"/>
  <c r="I108" i="117"/>
  <c r="I107" i="117"/>
  <c r="I106" i="117"/>
  <c r="I105" i="117"/>
  <c r="I104" i="117"/>
  <c r="I103" i="117"/>
  <c r="I102" i="117"/>
  <c r="I101" i="117"/>
  <c r="I100" i="117"/>
  <c r="I99" i="117"/>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69" i="117"/>
  <c r="I68" i="117"/>
  <c r="I67" i="117"/>
  <c r="I66" i="117"/>
  <c r="I65" i="117"/>
  <c r="I64" i="117"/>
  <c r="I63" i="117"/>
  <c r="I62" i="117"/>
  <c r="I61" i="117"/>
  <c r="I60" i="117"/>
  <c r="I59" i="117"/>
  <c r="I58" i="117"/>
  <c r="I57" i="117"/>
  <c r="I56" i="117"/>
  <c r="I55" i="117"/>
  <c r="I54" i="117"/>
  <c r="I53" i="117"/>
  <c r="I52" i="117"/>
  <c r="I51" i="117"/>
  <c r="I50" i="117"/>
  <c r="I49" i="117"/>
  <c r="I48" i="117"/>
  <c r="I47" i="117"/>
  <c r="I46" i="117"/>
  <c r="I45" i="117"/>
  <c r="I44" i="117"/>
  <c r="I43" i="117"/>
  <c r="I42" i="117"/>
  <c r="I41" i="117"/>
  <c r="I40" i="117"/>
  <c r="I39" i="117"/>
  <c r="I38" i="117"/>
  <c r="I37" i="117"/>
  <c r="I36" i="117"/>
  <c r="I35" i="117"/>
  <c r="I34" i="117"/>
  <c r="I33" i="117"/>
  <c r="I32" i="117"/>
  <c r="I31" i="117"/>
  <c r="I30" i="117"/>
  <c r="I29" i="117"/>
  <c r="I28" i="117"/>
  <c r="I27" i="117"/>
  <c r="I26" i="117"/>
  <c r="I25" i="117"/>
  <c r="I24" i="117"/>
  <c r="I23" i="117"/>
  <c r="I22" i="117"/>
  <c r="I21" i="117"/>
  <c r="I20" i="117"/>
  <c r="I19" i="117"/>
  <c r="I18" i="117"/>
  <c r="I17" i="117"/>
  <c r="I16" i="117"/>
  <c r="I15" i="117"/>
  <c r="I14" i="117"/>
  <c r="I13" i="117"/>
  <c r="I12" i="117"/>
  <c r="I11" i="117"/>
  <c r="I10" i="117"/>
  <c r="I9" i="117"/>
  <c r="I8" i="117"/>
  <c r="I7" i="117"/>
  <c r="I6" i="117"/>
  <c r="I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O124" i="60"/>
  <c r="O123" i="60"/>
  <c r="O122" i="60"/>
  <c r="O121" i="60"/>
  <c r="O120" i="60"/>
  <c r="O119" i="60"/>
  <c r="O118" i="60"/>
  <c r="O117" i="60"/>
  <c r="O116" i="60"/>
  <c r="O115" i="60"/>
  <c r="O114" i="60"/>
  <c r="O113" i="60"/>
  <c r="O112" i="60"/>
  <c r="O111" i="60"/>
  <c r="O110" i="60"/>
  <c r="O109" i="60"/>
  <c r="O108" i="60"/>
  <c r="O107" i="60"/>
  <c r="O106" i="60"/>
  <c r="O105" i="60"/>
  <c r="O104" i="60"/>
  <c r="O103" i="60"/>
  <c r="O102" i="60"/>
  <c r="O101" i="60"/>
  <c r="O100" i="60"/>
  <c r="O99" i="60"/>
  <c r="O98" i="60"/>
  <c r="O97" i="60"/>
  <c r="O96" i="60"/>
  <c r="O95" i="60"/>
  <c r="O94" i="60"/>
  <c r="O93" i="60"/>
  <c r="O92" i="60"/>
  <c r="O91" i="60"/>
  <c r="O90" i="60"/>
  <c r="O89" i="60"/>
  <c r="O88" i="60"/>
  <c r="O87" i="60"/>
  <c r="O86" i="60"/>
  <c r="O85" i="60"/>
  <c r="O84" i="60"/>
  <c r="O83" i="60"/>
  <c r="O82" i="60"/>
  <c r="O81" i="60"/>
  <c r="O80" i="60"/>
  <c r="O79" i="60"/>
  <c r="O78" i="60"/>
  <c r="O77" i="60"/>
  <c r="O76" i="60"/>
  <c r="O75" i="60"/>
  <c r="O74" i="60"/>
  <c r="O73" i="60"/>
  <c r="O72" i="60"/>
  <c r="O71" i="60"/>
  <c r="O70" i="60"/>
  <c r="O69" i="60"/>
  <c r="O68" i="60"/>
  <c r="O67" i="60"/>
  <c r="O66" i="60"/>
  <c r="O65" i="60"/>
  <c r="O64" i="60"/>
  <c r="O63" i="60"/>
  <c r="O62" i="60"/>
  <c r="O61" i="60"/>
  <c r="O60" i="60"/>
  <c r="O59" i="60"/>
  <c r="O58" i="60"/>
  <c r="O57" i="60"/>
  <c r="O56" i="60"/>
  <c r="O55" i="60"/>
  <c r="O54" i="60"/>
  <c r="O53" i="60"/>
  <c r="O52" i="60"/>
  <c r="O51" i="60"/>
  <c r="O50" i="60"/>
  <c r="O49" i="60"/>
  <c r="O48" i="60"/>
  <c r="O47" i="60"/>
  <c r="O46" i="60"/>
  <c r="O45" i="60"/>
  <c r="O44" i="60"/>
  <c r="O43" i="60"/>
  <c r="O42" i="60"/>
  <c r="O41" i="60"/>
  <c r="O40" i="60"/>
  <c r="O39" i="60"/>
  <c r="O38" i="60"/>
  <c r="O37" i="60"/>
  <c r="O36" i="60"/>
  <c r="O35" i="60"/>
  <c r="O34" i="60"/>
  <c r="O33" i="60"/>
  <c r="O32" i="60"/>
  <c r="O31" i="60"/>
  <c r="O30" i="60"/>
  <c r="O29" i="60"/>
  <c r="O28" i="60"/>
  <c r="O27" i="60"/>
  <c r="O26" i="60"/>
  <c r="O25" i="60"/>
  <c r="O24" i="60"/>
  <c r="O23" i="60"/>
  <c r="O22" i="60"/>
  <c r="O21" i="60"/>
  <c r="O20" i="60"/>
  <c r="O19" i="60"/>
  <c r="O18" i="60"/>
  <c r="O17" i="60"/>
  <c r="O16" i="60"/>
  <c r="O15" i="60"/>
  <c r="O14" i="60"/>
  <c r="O13" i="60"/>
  <c r="O12" i="60"/>
  <c r="O11" i="60"/>
  <c r="O10" i="60"/>
  <c r="O9" i="60"/>
  <c r="O8" i="60"/>
  <c r="O7" i="60"/>
  <c r="O6" i="60"/>
  <c r="O5" i="60"/>
  <c r="G4" i="117"/>
  <c r="F4" i="117"/>
  <c r="E4" i="117"/>
  <c r="D4" i="117"/>
  <c r="W124" i="55"/>
  <c r="W123" i="55"/>
  <c r="W122" i="55"/>
  <c r="W121" i="55"/>
  <c r="W120" i="55"/>
  <c r="W119" i="55"/>
  <c r="W118" i="55"/>
  <c r="W117" i="55"/>
  <c r="W116" i="55"/>
  <c r="W115" i="55"/>
  <c r="W114" i="55"/>
  <c r="W113" i="55"/>
  <c r="W112" i="55"/>
  <c r="W111" i="55"/>
  <c r="W110" i="55"/>
  <c r="W109" i="55"/>
  <c r="W108" i="55"/>
  <c r="W107" i="55"/>
  <c r="W106" i="55"/>
  <c r="W105" i="55"/>
  <c r="W104" i="55"/>
  <c r="W103" i="55"/>
  <c r="W102" i="55"/>
  <c r="W101" i="55"/>
  <c r="W100" i="55"/>
  <c r="W99" i="55"/>
  <c r="W98" i="55"/>
  <c r="W97" i="55"/>
  <c r="W96" i="55"/>
  <c r="W95" i="55"/>
  <c r="W94" i="55"/>
  <c r="W93" i="55"/>
  <c r="W92" i="55"/>
  <c r="W91" i="55"/>
  <c r="W90" i="55"/>
  <c r="W89" i="55"/>
  <c r="W88" i="55"/>
  <c r="W87" i="55"/>
  <c r="W86" i="55"/>
  <c r="W85" i="55"/>
  <c r="W84" i="55"/>
  <c r="W83" i="55"/>
  <c r="W82" i="55"/>
  <c r="W81" i="55"/>
  <c r="W80" i="55"/>
  <c r="W79" i="55"/>
  <c r="W78" i="55"/>
  <c r="W77" i="55"/>
  <c r="W76" i="55"/>
  <c r="W75" i="55"/>
  <c r="W74" i="55"/>
  <c r="W73" i="55"/>
  <c r="W72" i="55"/>
  <c r="W71" i="55"/>
  <c r="W70" i="55"/>
  <c r="W69" i="55"/>
  <c r="W68" i="55"/>
  <c r="W67" i="55"/>
  <c r="W66" i="55"/>
  <c r="W65" i="55"/>
  <c r="W64" i="55"/>
  <c r="W63" i="55"/>
  <c r="W62" i="55"/>
  <c r="W61" i="55"/>
  <c r="W60" i="55"/>
  <c r="W59" i="55"/>
  <c r="W58" i="55"/>
  <c r="W57" i="55"/>
  <c r="W56" i="55"/>
  <c r="W55" i="55"/>
  <c r="W54" i="55"/>
  <c r="W53" i="55"/>
  <c r="W52" i="55"/>
  <c r="W51" i="55"/>
  <c r="W50" i="55"/>
  <c r="W49" i="55"/>
  <c r="W48" i="55"/>
  <c r="W47" i="55"/>
  <c r="W46" i="55"/>
  <c r="W45" i="55"/>
  <c r="W44" i="55"/>
  <c r="W43" i="55"/>
  <c r="W42" i="55"/>
  <c r="W41" i="55"/>
  <c r="W40" i="55"/>
  <c r="W39" i="55"/>
  <c r="W38" i="55"/>
  <c r="W37" i="55"/>
  <c r="W36" i="55"/>
  <c r="W35" i="55"/>
  <c r="W34" i="55"/>
  <c r="W33" i="55"/>
  <c r="W32" i="55"/>
  <c r="W31" i="55"/>
  <c r="W30" i="55"/>
  <c r="W29" i="55"/>
  <c r="W28" i="55"/>
  <c r="W27" i="55"/>
  <c r="W26" i="55"/>
  <c r="W25" i="55"/>
  <c r="W24" i="55"/>
  <c r="W23" i="55"/>
  <c r="W22" i="55"/>
  <c r="W21" i="55"/>
  <c r="W20" i="55"/>
  <c r="W19" i="55"/>
  <c r="W18" i="55"/>
  <c r="W17" i="55"/>
  <c r="W16" i="55"/>
  <c r="W15" i="55"/>
  <c r="W14" i="55"/>
  <c r="W13" i="55"/>
  <c r="W12" i="55"/>
  <c r="W11" i="55"/>
  <c r="W10" i="55"/>
  <c r="W9" i="55"/>
  <c r="W8" i="55"/>
  <c r="W7" i="55"/>
  <c r="W6" i="55"/>
  <c r="W5" i="55"/>
  <c r="V4" i="55"/>
  <c r="U4" i="55"/>
  <c r="T4" i="55"/>
  <c r="S4" i="55"/>
  <c r="R4" i="55"/>
  <c r="R5" i="79" l="1"/>
  <c r="S9" i="79"/>
  <c r="S5" i="79"/>
  <c r="I97" i="60"/>
  <c r="I69" i="60"/>
  <c r="I65" i="60"/>
  <c r="I81" i="60"/>
  <c r="I8" i="60"/>
  <c r="I28" i="60"/>
  <c r="I68" i="60"/>
  <c r="I116" i="60"/>
  <c r="I20" i="60"/>
  <c r="I40" i="60"/>
  <c r="I60" i="60"/>
  <c r="I80" i="60"/>
  <c r="I108" i="60"/>
  <c r="I120" i="60"/>
  <c r="J46" i="79"/>
  <c r="J82" i="79"/>
  <c r="J62" i="79"/>
  <c r="J70" i="79"/>
  <c r="J94" i="79"/>
  <c r="J114" i="79"/>
  <c r="J98" i="79"/>
  <c r="J118" i="79"/>
  <c r="J41" i="79"/>
  <c r="J85" i="79"/>
  <c r="J47" i="79"/>
  <c r="J25" i="79"/>
  <c r="J45" i="79"/>
  <c r="J61" i="79"/>
  <c r="J65" i="79"/>
  <c r="J69" i="79"/>
  <c r="J81" i="79"/>
  <c r="J93" i="79"/>
  <c r="J97" i="79"/>
  <c r="J105" i="79"/>
  <c r="J113" i="79"/>
  <c r="J117" i="79"/>
  <c r="J121" i="79"/>
  <c r="J28" i="79"/>
  <c r="J36" i="79"/>
  <c r="J76" i="79"/>
  <c r="J108" i="79"/>
  <c r="J124" i="79"/>
  <c r="J49" i="79"/>
  <c r="J101" i="79"/>
  <c r="J34" i="79"/>
  <c r="J42" i="79"/>
  <c r="J50" i="79"/>
  <c r="J78" i="79"/>
  <c r="J86" i="79"/>
  <c r="J90" i="79"/>
  <c r="J102" i="79"/>
  <c r="J106" i="79"/>
  <c r="J110" i="79"/>
  <c r="J27" i="79"/>
  <c r="J31" i="79"/>
  <c r="J35" i="79"/>
  <c r="J39" i="79"/>
  <c r="J43" i="79"/>
  <c r="J51" i="79"/>
  <c r="J55" i="79"/>
  <c r="J59" i="79"/>
  <c r="J63" i="79"/>
  <c r="J67" i="79"/>
  <c r="J75" i="79"/>
  <c r="J79" i="79"/>
  <c r="J83" i="79"/>
  <c r="J87" i="79"/>
  <c r="J91" i="79"/>
  <c r="J95" i="79"/>
  <c r="J103" i="79"/>
  <c r="J107" i="79"/>
  <c r="J111" i="79"/>
  <c r="J115" i="79"/>
  <c r="J123" i="79"/>
  <c r="J33" i="79"/>
  <c r="J53" i="79"/>
  <c r="J89" i="79"/>
  <c r="J38" i="79"/>
  <c r="J54" i="79"/>
  <c r="J74" i="79"/>
  <c r="J44" i="79"/>
  <c r="J52" i="79"/>
  <c r="J60" i="79"/>
  <c r="J84" i="79"/>
  <c r="J92" i="79"/>
  <c r="J116" i="79"/>
  <c r="I5" i="60"/>
  <c r="J124" i="56"/>
  <c r="K124" i="56" s="1"/>
  <c r="J125" i="79" s="1"/>
  <c r="K57" i="56"/>
  <c r="J58" i="79" s="1"/>
  <c r="I17" i="60"/>
  <c r="I121" i="60"/>
  <c r="I33" i="60"/>
  <c r="I113" i="60"/>
  <c r="K31" i="56"/>
  <c r="J32" i="79" s="1"/>
  <c r="K47" i="56"/>
  <c r="K63" i="56"/>
  <c r="J64" i="79" s="1"/>
  <c r="K79" i="56"/>
  <c r="J80" i="79" s="1"/>
  <c r="K95" i="56"/>
  <c r="J96" i="79" s="1"/>
  <c r="K111" i="56"/>
  <c r="J112" i="79" s="1"/>
  <c r="K7" i="56"/>
  <c r="J8" i="79" s="1"/>
  <c r="K23" i="56"/>
  <c r="K39" i="56"/>
  <c r="J40" i="79" s="1"/>
  <c r="K55" i="56"/>
  <c r="J56" i="79" s="1"/>
  <c r="K71" i="56"/>
  <c r="J72" i="79" s="1"/>
  <c r="K87" i="56"/>
  <c r="K103" i="56"/>
  <c r="J104" i="79" s="1"/>
  <c r="K119" i="56"/>
  <c r="J120" i="79" s="1"/>
  <c r="K9" i="56"/>
  <c r="K13" i="56"/>
  <c r="K21" i="56"/>
  <c r="J22" i="79" s="1"/>
  <c r="I5" i="56"/>
  <c r="K6" i="79" s="1"/>
  <c r="I9" i="56"/>
  <c r="K10" i="79" s="1"/>
  <c r="I13" i="56"/>
  <c r="I17" i="56"/>
  <c r="I21" i="56"/>
  <c r="I25" i="56"/>
  <c r="I29" i="56"/>
  <c r="I33" i="56"/>
  <c r="I37" i="56"/>
  <c r="I41" i="56"/>
  <c r="I45" i="56"/>
  <c r="I49" i="56"/>
  <c r="I53" i="56"/>
  <c r="I57" i="56"/>
  <c r="I61" i="56"/>
  <c r="I65" i="56"/>
  <c r="I69" i="56"/>
  <c r="I73" i="56"/>
  <c r="I77" i="56"/>
  <c r="I81" i="56"/>
  <c r="I85" i="56"/>
  <c r="K86" i="79" s="1"/>
  <c r="I89" i="56"/>
  <c r="I93" i="56"/>
  <c r="I97" i="56"/>
  <c r="I101" i="56"/>
  <c r="K102" i="79" s="1"/>
  <c r="I105" i="56"/>
  <c r="I109" i="56"/>
  <c r="I113" i="56"/>
  <c r="I117" i="56"/>
  <c r="I121" i="56"/>
  <c r="F5" i="118"/>
  <c r="K6" i="56"/>
  <c r="J7" i="79" s="1"/>
  <c r="K10" i="56"/>
  <c r="J11" i="79" s="1"/>
  <c r="K14" i="56"/>
  <c r="J15" i="79" s="1"/>
  <c r="K18" i="56"/>
  <c r="J19" i="79" s="1"/>
  <c r="I6" i="56"/>
  <c r="K7" i="79" s="1"/>
  <c r="I10" i="56"/>
  <c r="K11" i="79" s="1"/>
  <c r="I14" i="56"/>
  <c r="K15" i="79" s="1"/>
  <c r="I18" i="56"/>
  <c r="I22" i="56"/>
  <c r="I26" i="56"/>
  <c r="I30" i="56"/>
  <c r="I34" i="56"/>
  <c r="K35" i="79" s="1"/>
  <c r="I38" i="56"/>
  <c r="I42" i="56"/>
  <c r="I46" i="56"/>
  <c r="I50" i="56"/>
  <c r="I54" i="56"/>
  <c r="I58" i="56"/>
  <c r="I62" i="56"/>
  <c r="I66" i="56"/>
  <c r="K67" i="79" s="1"/>
  <c r="I70" i="56"/>
  <c r="I74" i="56"/>
  <c r="I78" i="56"/>
  <c r="I82" i="56"/>
  <c r="I86" i="56"/>
  <c r="K87" i="79" s="1"/>
  <c r="I90" i="56"/>
  <c r="I94" i="56"/>
  <c r="I98" i="56"/>
  <c r="I102" i="56"/>
  <c r="I106" i="56"/>
  <c r="I110" i="56"/>
  <c r="I114" i="56"/>
  <c r="I118" i="56"/>
  <c r="I122" i="56"/>
  <c r="K5" i="56"/>
  <c r="J6" i="79" s="1"/>
  <c r="K17" i="56"/>
  <c r="J20" i="79" s="1"/>
  <c r="K25" i="56"/>
  <c r="J26" i="79" s="1"/>
  <c r="I7" i="56"/>
  <c r="I11" i="56"/>
  <c r="K12" i="79" s="1"/>
  <c r="I15" i="56"/>
  <c r="I19" i="56"/>
  <c r="K20" i="79" s="1"/>
  <c r="I23" i="56"/>
  <c r="K24" i="79" s="1"/>
  <c r="I27" i="56"/>
  <c r="I31" i="56"/>
  <c r="I35" i="56"/>
  <c r="I39" i="56"/>
  <c r="I43" i="56"/>
  <c r="I47" i="56"/>
  <c r="K57" i="79" s="1"/>
  <c r="I51" i="56"/>
  <c r="I55" i="56"/>
  <c r="I59" i="56"/>
  <c r="I63" i="56"/>
  <c r="I67" i="56"/>
  <c r="I71" i="56"/>
  <c r="I75" i="56"/>
  <c r="I79" i="56"/>
  <c r="I83" i="56"/>
  <c r="K105" i="79" s="1"/>
  <c r="I87" i="56"/>
  <c r="I91" i="56"/>
  <c r="I95" i="56"/>
  <c r="I99" i="56"/>
  <c r="I103" i="56"/>
  <c r="I107" i="56"/>
  <c r="I111" i="56"/>
  <c r="K73" i="79" s="1"/>
  <c r="I115" i="56"/>
  <c r="I119" i="56"/>
  <c r="I123" i="56"/>
  <c r="K8" i="56"/>
  <c r="K12" i="56"/>
  <c r="J13" i="79" s="1"/>
  <c r="K16" i="56"/>
  <c r="J17" i="79" s="1"/>
  <c r="K20" i="56"/>
  <c r="I12" i="56"/>
  <c r="I16" i="56"/>
  <c r="I20" i="56"/>
  <c r="I24" i="56"/>
  <c r="I28" i="56"/>
  <c r="I32" i="56"/>
  <c r="I36" i="56"/>
  <c r="I44" i="56"/>
  <c r="I48" i="56"/>
  <c r="K49" i="79" s="1"/>
  <c r="I52" i="56"/>
  <c r="I60" i="56"/>
  <c r="I64" i="56"/>
  <c r="I68" i="56"/>
  <c r="I76" i="56"/>
  <c r="I80" i="56"/>
  <c r="I84" i="56"/>
  <c r="I88" i="56"/>
  <c r="K89" i="79" s="1"/>
  <c r="I92" i="56"/>
  <c r="I96" i="56"/>
  <c r="I100" i="56"/>
  <c r="I108" i="56"/>
  <c r="I112" i="56"/>
  <c r="I116" i="56"/>
  <c r="I124" i="56"/>
  <c r="G4" i="56"/>
  <c r="E4" i="62"/>
  <c r="H4" i="62"/>
  <c r="F4" i="62"/>
  <c r="I4" i="62"/>
  <c r="I4" i="117"/>
  <c r="H4" i="117"/>
  <c r="I12" i="60"/>
  <c r="I16" i="60"/>
  <c r="I24" i="60"/>
  <c r="I36" i="60"/>
  <c r="I44" i="60"/>
  <c r="I52" i="60"/>
  <c r="I56" i="60"/>
  <c r="I64" i="60"/>
  <c r="I72" i="60"/>
  <c r="I76" i="60"/>
  <c r="I84" i="60"/>
  <c r="I92" i="60"/>
  <c r="I96" i="60"/>
  <c r="I104" i="60"/>
  <c r="I112" i="60"/>
  <c r="I124" i="60"/>
  <c r="I25" i="60"/>
  <c r="I37" i="60"/>
  <c r="W4" i="55"/>
  <c r="I73" i="60" l="1"/>
  <c r="I101" i="60"/>
  <c r="I105" i="60"/>
  <c r="I32" i="60"/>
  <c r="I49" i="60"/>
  <c r="I41" i="60"/>
  <c r="I57" i="60"/>
  <c r="I9" i="60"/>
  <c r="I89" i="60"/>
  <c r="I88" i="60"/>
  <c r="I100" i="60"/>
  <c r="I48" i="60"/>
  <c r="K96" i="79"/>
  <c r="K88" i="79"/>
  <c r="K16" i="79"/>
  <c r="K97" i="79"/>
  <c r="K81" i="79"/>
  <c r="K61" i="79"/>
  <c r="K37" i="79"/>
  <c r="K21" i="79"/>
  <c r="K104" i="79"/>
  <c r="K56" i="79"/>
  <c r="K40" i="79"/>
  <c r="K103" i="79"/>
  <c r="K71" i="79"/>
  <c r="K55" i="79"/>
  <c r="K39" i="79"/>
  <c r="K118" i="79"/>
  <c r="K54" i="79"/>
  <c r="K38" i="79"/>
  <c r="K22" i="79"/>
  <c r="J24" i="79"/>
  <c r="K119" i="79"/>
  <c r="K91" i="79"/>
  <c r="J88" i="79"/>
  <c r="J77" i="79"/>
  <c r="K43" i="79"/>
  <c r="K80" i="79"/>
  <c r="K95" i="79"/>
  <c r="K63" i="79"/>
  <c r="K125" i="79"/>
  <c r="K101" i="79"/>
  <c r="K85" i="79"/>
  <c r="K65" i="79"/>
  <c r="K45" i="79"/>
  <c r="K25" i="79"/>
  <c r="J21" i="79"/>
  <c r="K124" i="79"/>
  <c r="K108" i="79"/>
  <c r="K92" i="79"/>
  <c r="K76" i="79"/>
  <c r="K60" i="79"/>
  <c r="K44" i="79"/>
  <c r="K28" i="79"/>
  <c r="K123" i="79"/>
  <c r="K107" i="79"/>
  <c r="K75" i="79"/>
  <c r="K59" i="79"/>
  <c r="K90" i="79"/>
  <c r="K74" i="79"/>
  <c r="K58" i="79"/>
  <c r="K42" i="79"/>
  <c r="K26" i="79"/>
  <c r="J10" i="79"/>
  <c r="J66" i="79"/>
  <c r="J109" i="79"/>
  <c r="J9" i="79"/>
  <c r="K79" i="79"/>
  <c r="K62" i="79"/>
  <c r="K122" i="79"/>
  <c r="K117" i="79"/>
  <c r="K8" i="79"/>
  <c r="K23" i="79"/>
  <c r="K70" i="79"/>
  <c r="J68" i="79"/>
  <c r="K9" i="79"/>
  <c r="J30" i="79"/>
  <c r="J119" i="79"/>
  <c r="J122" i="79"/>
  <c r="J37" i="79"/>
  <c r="K113" i="79"/>
  <c r="K93" i="79"/>
  <c r="K77" i="79"/>
  <c r="K53" i="79"/>
  <c r="K33" i="79"/>
  <c r="K17" i="79"/>
  <c r="K116" i="79"/>
  <c r="K100" i="79"/>
  <c r="K84" i="79"/>
  <c r="K68" i="79"/>
  <c r="K52" i="79"/>
  <c r="K36" i="79"/>
  <c r="J18" i="79"/>
  <c r="K115" i="79"/>
  <c r="K99" i="79"/>
  <c r="K83" i="79"/>
  <c r="K51" i="79"/>
  <c r="K19" i="79"/>
  <c r="K114" i="79"/>
  <c r="K98" i="79"/>
  <c r="K82" i="79"/>
  <c r="K66" i="79"/>
  <c r="K50" i="79"/>
  <c r="K34" i="79"/>
  <c r="K18" i="79"/>
  <c r="J100" i="79"/>
  <c r="J16" i="79"/>
  <c r="J99" i="79"/>
  <c r="J73" i="79"/>
  <c r="J29" i="79"/>
  <c r="K27" i="79"/>
  <c r="K106" i="79"/>
  <c r="K120" i="79"/>
  <c r="K72" i="79"/>
  <c r="K109" i="79"/>
  <c r="K69" i="79"/>
  <c r="K29" i="79"/>
  <c r="K13" i="79"/>
  <c r="K112" i="79"/>
  <c r="K64" i="79"/>
  <c r="K48" i="79"/>
  <c r="K32" i="79"/>
  <c r="K111" i="79"/>
  <c r="K47" i="79"/>
  <c r="K31" i="79"/>
  <c r="K110" i="79"/>
  <c r="K94" i="79"/>
  <c r="K78" i="79"/>
  <c r="K46" i="79"/>
  <c r="K30" i="79"/>
  <c r="K14" i="79"/>
  <c r="J14" i="79"/>
  <c r="J48" i="79"/>
  <c r="J12" i="79"/>
  <c r="K41" i="79"/>
  <c r="J23" i="79"/>
  <c r="J57" i="79"/>
  <c r="K121" i="79"/>
  <c r="I38" i="60"/>
  <c r="I54" i="60"/>
  <c r="I110" i="60"/>
  <c r="I70" i="60"/>
  <c r="I62" i="60"/>
  <c r="I6" i="60"/>
  <c r="I95" i="60"/>
  <c r="I63" i="60"/>
  <c r="I117" i="60"/>
  <c r="I77" i="60"/>
  <c r="I29" i="60"/>
  <c r="I115" i="60"/>
  <c r="I83" i="60"/>
  <c r="I51" i="60"/>
  <c r="I22" i="60"/>
  <c r="I93" i="60"/>
  <c r="I14" i="60"/>
  <c r="I122" i="60"/>
  <c r="I114" i="60"/>
  <c r="I106" i="60"/>
  <c r="I98" i="60"/>
  <c r="I90" i="60"/>
  <c r="I82" i="60"/>
  <c r="I74" i="60"/>
  <c r="I66" i="60"/>
  <c r="I58" i="60"/>
  <c r="I50" i="60"/>
  <c r="I42" i="60"/>
  <c r="I34" i="60"/>
  <c r="I26" i="60"/>
  <c r="I18" i="60"/>
  <c r="I10" i="60"/>
  <c r="I119" i="60"/>
  <c r="I103" i="60"/>
  <c r="I87" i="60"/>
  <c r="I71" i="60"/>
  <c r="I55" i="60"/>
  <c r="I35" i="60"/>
  <c r="I19" i="60"/>
  <c r="I7" i="60"/>
  <c r="I109" i="60"/>
  <c r="I85" i="60"/>
  <c r="I61" i="60"/>
  <c r="I45" i="60"/>
  <c r="I21" i="60"/>
  <c r="I123" i="60"/>
  <c r="I107" i="60"/>
  <c r="I91" i="60"/>
  <c r="I75" i="60"/>
  <c r="I59" i="60"/>
  <c r="I47" i="60"/>
  <c r="I11" i="60"/>
  <c r="I118" i="60"/>
  <c r="I102" i="60"/>
  <c r="I94" i="60"/>
  <c r="I78" i="60"/>
  <c r="I46" i="60"/>
  <c r="I30" i="60"/>
  <c r="I111" i="60"/>
  <c r="I79" i="60"/>
  <c r="I43" i="60"/>
  <c r="I27" i="60"/>
  <c r="I53" i="60"/>
  <c r="I13" i="60"/>
  <c r="I99" i="60"/>
  <c r="I67" i="60"/>
  <c r="I39" i="60"/>
  <c r="I23" i="60"/>
  <c r="I86" i="60"/>
  <c r="I31" i="60"/>
  <c r="I15" i="60"/>
  <c r="K128" i="55"/>
  <c r="I127" i="55"/>
  <c r="J127" i="55"/>
  <c r="J126" i="55"/>
  <c r="K130" i="55"/>
  <c r="J130" i="55"/>
  <c r="K127" i="55"/>
  <c r="J128" i="55"/>
  <c r="I130" i="55"/>
  <c r="F131" i="55"/>
  <c r="I128" i="55"/>
  <c r="I129" i="55"/>
  <c r="K126" i="55"/>
  <c r="I126" i="55"/>
  <c r="E131" i="55"/>
  <c r="J7" i="123" s="1"/>
  <c r="H131" i="55"/>
  <c r="D131" i="55"/>
  <c r="I7" i="123" s="1"/>
  <c r="J129" i="55"/>
  <c r="K129" i="55"/>
  <c r="G131" i="55"/>
  <c r="H131" i="62"/>
  <c r="K21" i="123" s="1"/>
  <c r="L19" i="123"/>
  <c r="K19" i="123"/>
  <c r="I131" i="62"/>
  <c r="L21" i="123" s="1"/>
  <c r="I4" i="56"/>
  <c r="K5" i="79" s="1"/>
  <c r="K4" i="56"/>
  <c r="J5" i="79" s="1"/>
  <c r="I4" i="60" l="1"/>
  <c r="G131" i="60"/>
  <c r="I131" i="56"/>
  <c r="L10" i="123" s="1"/>
  <c r="J131" i="55"/>
  <c r="I131" i="55"/>
  <c r="L7" i="123" s="1"/>
  <c r="K131" i="55"/>
  <c r="K7" i="123" s="1"/>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I10" i="59"/>
  <c r="I9" i="59"/>
  <c r="I8" i="59"/>
  <c r="I7" i="59"/>
  <c r="I6" i="59"/>
  <c r="I5" i="59"/>
  <c r="D124" i="59"/>
  <c r="D123" i="59"/>
  <c r="D122" i="59"/>
  <c r="D121" i="59"/>
  <c r="D120" i="59"/>
  <c r="D119" i="59"/>
  <c r="D118" i="59"/>
  <c r="D117" i="59"/>
  <c r="D116" i="59"/>
  <c r="D115" i="59"/>
  <c r="D114" i="59"/>
  <c r="D113" i="59"/>
  <c r="D112" i="59"/>
  <c r="D111" i="59"/>
  <c r="D110" i="59"/>
  <c r="D109" i="59"/>
  <c r="D108" i="59"/>
  <c r="D107" i="59"/>
  <c r="D106" i="59"/>
  <c r="D105" i="59"/>
  <c r="D104" i="59"/>
  <c r="D103" i="59"/>
  <c r="D102" i="59"/>
  <c r="D101" i="59"/>
  <c r="D100" i="59"/>
  <c r="D99" i="59"/>
  <c r="D98" i="59"/>
  <c r="D97" i="59"/>
  <c r="D96" i="59"/>
  <c r="D95" i="59"/>
  <c r="D94" i="59"/>
  <c r="D93" i="59"/>
  <c r="D92" i="59"/>
  <c r="D91" i="59"/>
  <c r="D90" i="59"/>
  <c r="D89" i="59"/>
  <c r="D88" i="59"/>
  <c r="D87" i="59"/>
  <c r="D86" i="59"/>
  <c r="D85" i="59"/>
  <c r="D84" i="59"/>
  <c r="D83" i="59"/>
  <c r="D82" i="59"/>
  <c r="D81" i="59"/>
  <c r="D80" i="59"/>
  <c r="D79" i="59"/>
  <c r="D78" i="59"/>
  <c r="D77" i="59"/>
  <c r="D76" i="59"/>
  <c r="D75" i="59"/>
  <c r="D74" i="59"/>
  <c r="D73" i="59"/>
  <c r="D72" i="59"/>
  <c r="D71" i="59"/>
  <c r="D70" i="59"/>
  <c r="D69" i="59"/>
  <c r="D68" i="59"/>
  <c r="D67" i="59"/>
  <c r="D66" i="59"/>
  <c r="D65" i="59"/>
  <c r="D64" i="59"/>
  <c r="D63" i="59"/>
  <c r="D62" i="59"/>
  <c r="D61" i="59"/>
  <c r="D60" i="59"/>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H4" i="59"/>
  <c r="G4" i="59"/>
  <c r="F4" i="59"/>
  <c r="I131" i="60" l="1"/>
  <c r="H131" i="60"/>
  <c r="I11" i="123"/>
  <c r="L11" i="123"/>
  <c r="J11" i="123"/>
  <c r="K11" i="123"/>
  <c r="I4" i="59"/>
  <c r="H124" i="61"/>
  <c r="H123" i="61"/>
  <c r="H122" i="61"/>
  <c r="H121" i="61"/>
  <c r="H120" i="61"/>
  <c r="H119" i="61"/>
  <c r="H118" i="61"/>
  <c r="H117" i="61"/>
  <c r="H116" i="61"/>
  <c r="H115" i="61"/>
  <c r="H114" i="61"/>
  <c r="H113" i="61"/>
  <c r="H112" i="61"/>
  <c r="H111" i="61"/>
  <c r="H110" i="61"/>
  <c r="H109" i="61"/>
  <c r="H108" i="61"/>
  <c r="H107" i="61"/>
  <c r="H106" i="61"/>
  <c r="H105" i="61"/>
  <c r="H104" i="61"/>
  <c r="H103" i="61"/>
  <c r="H102" i="61"/>
  <c r="H101" i="61"/>
  <c r="H100" i="61"/>
  <c r="H99" i="61"/>
  <c r="H98" i="61"/>
  <c r="H97" i="61"/>
  <c r="H96" i="61"/>
  <c r="H95" i="61"/>
  <c r="H94" i="61"/>
  <c r="H93" i="61"/>
  <c r="H92" i="61"/>
  <c r="H91" i="61"/>
  <c r="H90" i="61"/>
  <c r="H89" i="61"/>
  <c r="H88" i="61"/>
  <c r="H87" i="61"/>
  <c r="H86" i="61"/>
  <c r="H85" i="61"/>
  <c r="H84" i="61"/>
  <c r="H83" i="61"/>
  <c r="H82" i="61"/>
  <c r="H81" i="61"/>
  <c r="H80" i="61"/>
  <c r="H79" i="61"/>
  <c r="H78" i="61"/>
  <c r="H77" i="61"/>
  <c r="H76" i="61"/>
  <c r="H75" i="61"/>
  <c r="H74" i="61"/>
  <c r="H73" i="61"/>
  <c r="H72" i="61"/>
  <c r="H71" i="61"/>
  <c r="H70" i="61"/>
  <c r="H69" i="61"/>
  <c r="H68" i="61"/>
  <c r="H67" i="61"/>
  <c r="H66" i="61"/>
  <c r="H65" i="61"/>
  <c r="H64" i="61"/>
  <c r="H63" i="61"/>
  <c r="H62" i="61"/>
  <c r="H61" i="61"/>
  <c r="H60" i="61"/>
  <c r="H59" i="61"/>
  <c r="H58" i="61"/>
  <c r="H57" i="61"/>
  <c r="H56" i="61"/>
  <c r="H55" i="61"/>
  <c r="H54" i="61"/>
  <c r="H53" i="61"/>
  <c r="H52" i="61"/>
  <c r="H51" i="61"/>
  <c r="H50" i="61"/>
  <c r="H49" i="61"/>
  <c r="H48" i="61"/>
  <c r="H47" i="61"/>
  <c r="H46" i="61"/>
  <c r="H45" i="61"/>
  <c r="H44" i="61"/>
  <c r="H43" i="61"/>
  <c r="H42" i="61"/>
  <c r="H41" i="61"/>
  <c r="H40" i="61"/>
  <c r="H39" i="61"/>
  <c r="H38" i="61"/>
  <c r="H37" i="61"/>
  <c r="H36" i="61"/>
  <c r="H35" i="61"/>
  <c r="H34" i="61"/>
  <c r="H33" i="61"/>
  <c r="H32" i="61"/>
  <c r="H31" i="61"/>
  <c r="H30" i="61"/>
  <c r="H29" i="61"/>
  <c r="H28" i="61"/>
  <c r="H27" i="61"/>
  <c r="H26" i="61"/>
  <c r="H25" i="61"/>
  <c r="H24" i="61"/>
  <c r="H23" i="61"/>
  <c r="H22" i="61"/>
  <c r="H21" i="61"/>
  <c r="H20" i="61"/>
  <c r="H19" i="61"/>
  <c r="H18" i="61"/>
  <c r="H17" i="61"/>
  <c r="H16" i="61"/>
  <c r="H15" i="61"/>
  <c r="H14" i="61"/>
  <c r="H13" i="61"/>
  <c r="H12" i="61"/>
  <c r="H11" i="61"/>
  <c r="H10" i="61"/>
  <c r="H9" i="61"/>
  <c r="H8" i="61"/>
  <c r="H7" i="61"/>
  <c r="H6" i="61"/>
  <c r="H5" i="61"/>
  <c r="G4" i="61"/>
  <c r="F4" i="61"/>
  <c r="E4" i="61"/>
  <c r="D4" i="61"/>
  <c r="L124" i="57"/>
  <c r="L123" i="57"/>
  <c r="L122" i="57"/>
  <c r="L121" i="57"/>
  <c r="L120" i="57"/>
  <c r="L119" i="57"/>
  <c r="L118" i="57"/>
  <c r="L117" i="57"/>
  <c r="L116" i="57"/>
  <c r="L115" i="57"/>
  <c r="L114" i="57"/>
  <c r="L113" i="57"/>
  <c r="L112" i="57"/>
  <c r="L111" i="57"/>
  <c r="L110" i="57"/>
  <c r="L109" i="57"/>
  <c r="L108" i="57"/>
  <c r="L107" i="57"/>
  <c r="L106" i="57"/>
  <c r="L105" i="57"/>
  <c r="L104" i="57"/>
  <c r="L103" i="57"/>
  <c r="L102" i="57"/>
  <c r="L101" i="57"/>
  <c r="D101" i="57" s="1"/>
  <c r="L100" i="57"/>
  <c r="D100" i="57" s="1"/>
  <c r="L99" i="57"/>
  <c r="D99" i="57" s="1"/>
  <c r="L98" i="57"/>
  <c r="L97" i="57"/>
  <c r="D97" i="57" s="1"/>
  <c r="L96" i="57"/>
  <c r="D96" i="57" s="1"/>
  <c r="L95" i="57"/>
  <c r="D95" i="57" s="1"/>
  <c r="L94" i="57"/>
  <c r="L93" i="57"/>
  <c r="D93" i="57" s="1"/>
  <c r="L92" i="57"/>
  <c r="D92" i="57" s="1"/>
  <c r="L91" i="57"/>
  <c r="D91" i="57" s="1"/>
  <c r="L90" i="57"/>
  <c r="D90" i="57" s="1"/>
  <c r="L89" i="57"/>
  <c r="D89" i="57" s="1"/>
  <c r="L88" i="57"/>
  <c r="D88" i="57" s="1"/>
  <c r="L87" i="57"/>
  <c r="D87" i="57" s="1"/>
  <c r="L86" i="57"/>
  <c r="D86" i="57" s="1"/>
  <c r="L85" i="57"/>
  <c r="D85" i="57" s="1"/>
  <c r="L84" i="57"/>
  <c r="D84" i="57" s="1"/>
  <c r="L83" i="57"/>
  <c r="D83" i="57" s="1"/>
  <c r="L82" i="57"/>
  <c r="D82" i="57" s="1"/>
  <c r="L81" i="57"/>
  <c r="D81" i="57" s="1"/>
  <c r="L80" i="57"/>
  <c r="D80" i="57" s="1"/>
  <c r="L79" i="57"/>
  <c r="D79" i="57" s="1"/>
  <c r="L78" i="57"/>
  <c r="D78" i="57" s="1"/>
  <c r="L77" i="57"/>
  <c r="D77" i="57" s="1"/>
  <c r="L76" i="57"/>
  <c r="D76" i="57" s="1"/>
  <c r="L75" i="57"/>
  <c r="D75" i="57" s="1"/>
  <c r="L74" i="57"/>
  <c r="D74" i="57" s="1"/>
  <c r="L73" i="57"/>
  <c r="D73" i="57" s="1"/>
  <c r="L72" i="57"/>
  <c r="D72" i="57" s="1"/>
  <c r="L71" i="57"/>
  <c r="D71" i="57" s="1"/>
  <c r="L70" i="57"/>
  <c r="D70" i="57" s="1"/>
  <c r="L69" i="57"/>
  <c r="D69" i="57" s="1"/>
  <c r="L68" i="57"/>
  <c r="D68" i="57" s="1"/>
  <c r="L67" i="57"/>
  <c r="D67" i="57" s="1"/>
  <c r="L66" i="57"/>
  <c r="D66" i="57" s="1"/>
  <c r="L65" i="57"/>
  <c r="D65" i="57" s="1"/>
  <c r="L64" i="57"/>
  <c r="D64" i="57" s="1"/>
  <c r="L63" i="57"/>
  <c r="D63" i="57" s="1"/>
  <c r="L62" i="57"/>
  <c r="D62" i="57" s="1"/>
  <c r="L61" i="57"/>
  <c r="D61" i="57" s="1"/>
  <c r="L60" i="57"/>
  <c r="D60" i="57" s="1"/>
  <c r="L59" i="57"/>
  <c r="D59" i="57" s="1"/>
  <c r="L58" i="57"/>
  <c r="D58" i="57" s="1"/>
  <c r="L57" i="57"/>
  <c r="D57" i="57" s="1"/>
  <c r="L56" i="57"/>
  <c r="D56" i="57" s="1"/>
  <c r="L55" i="57"/>
  <c r="D55" i="57" s="1"/>
  <c r="L54" i="57"/>
  <c r="D54" i="57" s="1"/>
  <c r="L53" i="57"/>
  <c r="D53" i="57" s="1"/>
  <c r="L52" i="57"/>
  <c r="D52" i="57" s="1"/>
  <c r="L51" i="57"/>
  <c r="D51" i="57" s="1"/>
  <c r="L50" i="57"/>
  <c r="D50" i="57" s="1"/>
  <c r="L49" i="57"/>
  <c r="D49" i="57" s="1"/>
  <c r="L48" i="57"/>
  <c r="D48" i="57" s="1"/>
  <c r="L47" i="57"/>
  <c r="D47" i="57" s="1"/>
  <c r="L46" i="57"/>
  <c r="D46" i="57" s="1"/>
  <c r="L45" i="57"/>
  <c r="D45" i="57" s="1"/>
  <c r="L44" i="57"/>
  <c r="D44" i="57" s="1"/>
  <c r="L43" i="57"/>
  <c r="D43" i="57" s="1"/>
  <c r="L42" i="57"/>
  <c r="D42" i="57" s="1"/>
  <c r="L41" i="57"/>
  <c r="D41" i="57" s="1"/>
  <c r="L40" i="57"/>
  <c r="D40" i="57" s="1"/>
  <c r="L39" i="57"/>
  <c r="D39" i="57" s="1"/>
  <c r="L38" i="57"/>
  <c r="D38" i="57" s="1"/>
  <c r="L37" i="57"/>
  <c r="D37" i="57" s="1"/>
  <c r="L36" i="57"/>
  <c r="D36" i="57" s="1"/>
  <c r="L35" i="57"/>
  <c r="D35" i="57" s="1"/>
  <c r="L34" i="57"/>
  <c r="D34" i="57" s="1"/>
  <c r="L33" i="57"/>
  <c r="D33" i="57" s="1"/>
  <c r="L32" i="57"/>
  <c r="D32" i="57" s="1"/>
  <c r="L31" i="57"/>
  <c r="D31" i="57" s="1"/>
  <c r="L30" i="57"/>
  <c r="D30" i="57" s="1"/>
  <c r="L29" i="57"/>
  <c r="D29" i="57" s="1"/>
  <c r="L28" i="57"/>
  <c r="D28" i="57" s="1"/>
  <c r="L27" i="57"/>
  <c r="D27" i="57" s="1"/>
  <c r="L26" i="57"/>
  <c r="D26" i="57" s="1"/>
  <c r="L25" i="57"/>
  <c r="D25" i="57" s="1"/>
  <c r="L24" i="57"/>
  <c r="D24" i="57" s="1"/>
  <c r="L23" i="57"/>
  <c r="D23" i="57" s="1"/>
  <c r="L22" i="57"/>
  <c r="D22" i="57" s="1"/>
  <c r="L21" i="57"/>
  <c r="D21" i="57" s="1"/>
  <c r="L20" i="57"/>
  <c r="D20" i="57" s="1"/>
  <c r="L19" i="57"/>
  <c r="D19" i="57" s="1"/>
  <c r="L18" i="57"/>
  <c r="D18" i="57" s="1"/>
  <c r="L17" i="57"/>
  <c r="D17" i="57" s="1"/>
  <c r="L16" i="57"/>
  <c r="D16" i="57" s="1"/>
  <c r="L15" i="57"/>
  <c r="D15" i="57" s="1"/>
  <c r="L14" i="57"/>
  <c r="D14" i="57" s="1"/>
  <c r="L13" i="57"/>
  <c r="D13" i="57" s="1"/>
  <c r="L12" i="57"/>
  <c r="D12" i="57" s="1"/>
  <c r="L11" i="57"/>
  <c r="D11" i="57" s="1"/>
  <c r="L10" i="57"/>
  <c r="D10" i="57" s="1"/>
  <c r="L9" i="57"/>
  <c r="D9" i="57" s="1"/>
  <c r="L8" i="57"/>
  <c r="D8" i="57" s="1"/>
  <c r="L7" i="57"/>
  <c r="D7" i="57" s="1"/>
  <c r="L6" i="57"/>
  <c r="D6" i="57" s="1"/>
  <c r="L5" i="57"/>
  <c r="D124" i="57"/>
  <c r="D123" i="57"/>
  <c r="D122" i="57"/>
  <c r="D121" i="57"/>
  <c r="D120" i="57"/>
  <c r="D119" i="57"/>
  <c r="D118" i="57"/>
  <c r="D117" i="57"/>
  <c r="D116" i="57"/>
  <c r="D115" i="57"/>
  <c r="D114" i="57"/>
  <c r="D113" i="57"/>
  <c r="D112" i="57"/>
  <c r="D111" i="57"/>
  <c r="D110" i="57"/>
  <c r="D109" i="57"/>
  <c r="D108" i="57"/>
  <c r="D107" i="57"/>
  <c r="D106" i="57"/>
  <c r="D105" i="57"/>
  <c r="D104" i="57"/>
  <c r="D103" i="57"/>
  <c r="D98" i="57"/>
  <c r="D94" i="57"/>
  <c r="J124" i="55"/>
  <c r="K124" i="55" s="1"/>
  <c r="J123" i="55"/>
  <c r="K123" i="55" s="1"/>
  <c r="J122" i="55"/>
  <c r="K122" i="55" s="1"/>
  <c r="J121" i="55"/>
  <c r="K121" i="55" s="1"/>
  <c r="J120" i="55"/>
  <c r="K120" i="55" s="1"/>
  <c r="J118" i="55"/>
  <c r="K118" i="55" s="1"/>
  <c r="J116" i="55"/>
  <c r="K116" i="55" s="1"/>
  <c r="J115" i="55"/>
  <c r="K115" i="55" s="1"/>
  <c r="J114" i="55"/>
  <c r="K114" i="55" s="1"/>
  <c r="J112" i="55"/>
  <c r="K112" i="55" s="1"/>
  <c r="J111" i="55"/>
  <c r="K111" i="55" s="1"/>
  <c r="J110" i="55"/>
  <c r="K110" i="55" s="1"/>
  <c r="J109" i="55"/>
  <c r="K109" i="55" s="1"/>
  <c r="J108" i="55"/>
  <c r="K108" i="55" s="1"/>
  <c r="J107" i="55"/>
  <c r="K107" i="55" s="1"/>
  <c r="J106" i="55"/>
  <c r="K106" i="55" s="1"/>
  <c r="J105" i="55"/>
  <c r="K105" i="55" s="1"/>
  <c r="J104" i="55"/>
  <c r="K104" i="55" s="1"/>
  <c r="J103" i="55"/>
  <c r="K103" i="55" s="1"/>
  <c r="J102" i="55"/>
  <c r="K102" i="55" s="1"/>
  <c r="J101" i="55"/>
  <c r="K101" i="55" s="1"/>
  <c r="J100" i="55"/>
  <c r="K100" i="55" s="1"/>
  <c r="J99" i="55"/>
  <c r="K99" i="55" s="1"/>
  <c r="J98" i="55"/>
  <c r="K98" i="55" s="1"/>
  <c r="J97" i="55"/>
  <c r="K97" i="55" s="1"/>
  <c r="J96" i="55"/>
  <c r="K96" i="55" s="1"/>
  <c r="J94" i="55"/>
  <c r="K94" i="55" s="1"/>
  <c r="J92" i="55"/>
  <c r="K92" i="55" s="1"/>
  <c r="J91" i="55"/>
  <c r="K91" i="55" s="1"/>
  <c r="J90" i="55"/>
  <c r="K90" i="55" s="1"/>
  <c r="J89" i="55"/>
  <c r="K89" i="55" s="1"/>
  <c r="J88" i="55"/>
  <c r="K88" i="55" s="1"/>
  <c r="J87" i="55"/>
  <c r="K87" i="55" s="1"/>
  <c r="J86" i="55"/>
  <c r="K86" i="55" s="1"/>
  <c r="J85" i="55"/>
  <c r="K85" i="55" s="1"/>
  <c r="J84" i="55"/>
  <c r="K84" i="55" s="1"/>
  <c r="J83" i="55"/>
  <c r="K83" i="55" s="1"/>
  <c r="J82" i="55"/>
  <c r="K82" i="55" s="1"/>
  <c r="J81" i="55"/>
  <c r="K81" i="55" s="1"/>
  <c r="J80" i="55"/>
  <c r="K80" i="55" s="1"/>
  <c r="J79" i="55"/>
  <c r="K79" i="55" s="1"/>
  <c r="J78" i="55"/>
  <c r="K78" i="55" s="1"/>
  <c r="J77" i="55"/>
  <c r="K77" i="55" s="1"/>
  <c r="J76" i="55"/>
  <c r="K76" i="55" s="1"/>
  <c r="J75" i="55"/>
  <c r="K75" i="55" s="1"/>
  <c r="J74" i="55"/>
  <c r="K74" i="55" s="1"/>
  <c r="J73" i="55"/>
  <c r="K73" i="55" s="1"/>
  <c r="J72" i="55"/>
  <c r="K72" i="55" s="1"/>
  <c r="J71" i="55"/>
  <c r="K71" i="55" s="1"/>
  <c r="J70" i="55"/>
  <c r="K70" i="55" s="1"/>
  <c r="J69" i="55"/>
  <c r="K69" i="55" s="1"/>
  <c r="J68" i="55"/>
  <c r="K68" i="55" s="1"/>
  <c r="J67" i="55"/>
  <c r="K67" i="55" s="1"/>
  <c r="J65" i="55"/>
  <c r="K65" i="55" s="1"/>
  <c r="J64" i="55"/>
  <c r="K64" i="55" s="1"/>
  <c r="J63" i="55"/>
  <c r="K63" i="55" s="1"/>
  <c r="J61" i="55"/>
  <c r="K61" i="55" s="1"/>
  <c r="J60" i="55"/>
  <c r="K60" i="55" s="1"/>
  <c r="J59" i="55"/>
  <c r="K59" i="55" s="1"/>
  <c r="J58" i="55"/>
  <c r="K58" i="55" s="1"/>
  <c r="J57" i="55"/>
  <c r="K57" i="55" s="1"/>
  <c r="J56" i="55"/>
  <c r="K56" i="55" s="1"/>
  <c r="J55" i="55"/>
  <c r="K55" i="55" s="1"/>
  <c r="J54" i="55"/>
  <c r="K54" i="55" s="1"/>
  <c r="J53" i="55"/>
  <c r="K53" i="55" s="1"/>
  <c r="J52" i="55"/>
  <c r="K52" i="55" s="1"/>
  <c r="J50" i="55"/>
  <c r="K50" i="55" s="1"/>
  <c r="J49" i="55"/>
  <c r="K49" i="55" s="1"/>
  <c r="J46" i="55"/>
  <c r="K46" i="55" s="1"/>
  <c r="J45" i="55"/>
  <c r="K45" i="55" s="1"/>
  <c r="J44" i="55"/>
  <c r="K44" i="55" s="1"/>
  <c r="J43" i="55"/>
  <c r="K43" i="55" s="1"/>
  <c r="J42" i="55"/>
  <c r="K42" i="55" s="1"/>
  <c r="J41" i="55"/>
  <c r="K41" i="55" s="1"/>
  <c r="J40" i="55"/>
  <c r="K40" i="55" s="1"/>
  <c r="J39" i="55"/>
  <c r="K39" i="55" s="1"/>
  <c r="J38" i="55"/>
  <c r="K38" i="55" s="1"/>
  <c r="J37" i="55"/>
  <c r="K37" i="55" s="1"/>
  <c r="J36" i="55"/>
  <c r="K36" i="55" s="1"/>
  <c r="J35" i="55"/>
  <c r="K35" i="55" s="1"/>
  <c r="J33" i="55"/>
  <c r="K33" i="55" s="1"/>
  <c r="J32" i="55"/>
  <c r="K32" i="55" s="1"/>
  <c r="J30" i="55"/>
  <c r="K30" i="55" s="1"/>
  <c r="J29" i="55"/>
  <c r="K29" i="55" s="1"/>
  <c r="J28" i="55"/>
  <c r="K28" i="55" s="1"/>
  <c r="J27" i="55"/>
  <c r="K27" i="55" s="1"/>
  <c r="J26" i="55"/>
  <c r="K26" i="55" s="1"/>
  <c r="J24" i="55"/>
  <c r="K24" i="55" s="1"/>
  <c r="J23" i="55"/>
  <c r="K23" i="55" s="1"/>
  <c r="J22" i="55"/>
  <c r="K22" i="55" s="1"/>
  <c r="J19" i="55"/>
  <c r="K19" i="55" s="1"/>
  <c r="J18" i="55"/>
  <c r="K18" i="55" s="1"/>
  <c r="J17" i="55"/>
  <c r="K17" i="55" s="1"/>
  <c r="J16" i="55"/>
  <c r="K16" i="55" s="1"/>
  <c r="J15" i="55"/>
  <c r="K15" i="55" s="1"/>
  <c r="J14" i="55"/>
  <c r="K14" i="55" s="1"/>
  <c r="J13" i="55"/>
  <c r="K13" i="55" s="1"/>
  <c r="J11" i="55"/>
  <c r="K11" i="55" s="1"/>
  <c r="J10" i="55"/>
  <c r="K10" i="55" s="1"/>
  <c r="J9" i="55"/>
  <c r="K9" i="55" s="1"/>
  <c r="J8" i="55"/>
  <c r="K8" i="55" s="1"/>
  <c r="J7" i="55"/>
  <c r="K7" i="55" s="1"/>
  <c r="J5" i="55"/>
  <c r="K5" i="55" s="1"/>
  <c r="I124" i="55"/>
  <c r="I123" i="55"/>
  <c r="I122" i="55"/>
  <c r="I121" i="55"/>
  <c r="I120" i="55"/>
  <c r="I119" i="55"/>
  <c r="I118" i="55"/>
  <c r="I117" i="55"/>
  <c r="I116" i="55"/>
  <c r="I115" i="55"/>
  <c r="I114" i="55"/>
  <c r="I112" i="55"/>
  <c r="I111" i="55"/>
  <c r="I110" i="55"/>
  <c r="I109" i="55"/>
  <c r="I108" i="55"/>
  <c r="I107" i="55"/>
  <c r="I106" i="55"/>
  <c r="I105" i="55"/>
  <c r="I104" i="55"/>
  <c r="I103" i="55"/>
  <c r="I102" i="55"/>
  <c r="I101" i="55"/>
  <c r="I100" i="55"/>
  <c r="I99" i="55"/>
  <c r="I98" i="55"/>
  <c r="I97" i="55"/>
  <c r="I96" i="55"/>
  <c r="I94"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1" i="55"/>
  <c r="I60" i="55"/>
  <c r="I59" i="55"/>
  <c r="I58" i="55"/>
  <c r="I57" i="55"/>
  <c r="I56" i="55"/>
  <c r="I55" i="55"/>
  <c r="I54" i="55"/>
  <c r="I53" i="55"/>
  <c r="I52" i="55"/>
  <c r="I50" i="55"/>
  <c r="I49" i="55"/>
  <c r="I46" i="55"/>
  <c r="I45" i="55"/>
  <c r="I44" i="55"/>
  <c r="I43" i="55"/>
  <c r="I42" i="55"/>
  <c r="I41" i="55"/>
  <c r="I39" i="55"/>
  <c r="I38" i="55"/>
  <c r="I37" i="55"/>
  <c r="I36" i="55"/>
  <c r="I35" i="55"/>
  <c r="I33" i="55"/>
  <c r="I32" i="55"/>
  <c r="I30" i="55"/>
  <c r="I29" i="55"/>
  <c r="I28" i="55"/>
  <c r="I27" i="55"/>
  <c r="I26" i="55"/>
  <c r="I24" i="55"/>
  <c r="I23" i="55"/>
  <c r="I22" i="55"/>
  <c r="I20" i="55"/>
  <c r="I19" i="55"/>
  <c r="I18" i="55"/>
  <c r="I17" i="55"/>
  <c r="I16" i="55"/>
  <c r="I15" i="55"/>
  <c r="I14" i="55"/>
  <c r="I13" i="55"/>
  <c r="I11" i="55"/>
  <c r="I10" i="55"/>
  <c r="I9" i="55"/>
  <c r="I8" i="55"/>
  <c r="I7" i="55"/>
  <c r="I5" i="55"/>
  <c r="J119" i="55"/>
  <c r="K119" i="55" s="1"/>
  <c r="J117" i="55"/>
  <c r="K117" i="55" s="1"/>
  <c r="J113" i="55"/>
  <c r="K113" i="55" s="1"/>
  <c r="J95" i="55"/>
  <c r="K95" i="55" s="1"/>
  <c r="J93" i="55"/>
  <c r="K93" i="55" s="1"/>
  <c r="J66" i="55"/>
  <c r="K66" i="55" s="1"/>
  <c r="J62" i="55"/>
  <c r="K62" i="55" s="1"/>
  <c r="J51" i="55"/>
  <c r="K51" i="55" s="1"/>
  <c r="J48" i="55"/>
  <c r="K48" i="55" s="1"/>
  <c r="J47" i="55"/>
  <c r="K47" i="55" s="1"/>
  <c r="J34" i="55"/>
  <c r="K34" i="55" s="1"/>
  <c r="J31" i="55"/>
  <c r="K31" i="55" s="1"/>
  <c r="J25" i="55"/>
  <c r="K25" i="55" s="1"/>
  <c r="J21" i="55"/>
  <c r="K21" i="55" s="1"/>
  <c r="J20" i="55"/>
  <c r="K20" i="55" s="1"/>
  <c r="J12" i="55"/>
  <c r="K12" i="55" s="1"/>
  <c r="J6" i="55"/>
  <c r="K6" i="55" s="1"/>
  <c r="I113" i="55"/>
  <c r="I95" i="55"/>
  <c r="I93" i="55"/>
  <c r="I92" i="55"/>
  <c r="I62" i="55"/>
  <c r="I51" i="55"/>
  <c r="I48" i="55"/>
  <c r="I47" i="55"/>
  <c r="I40" i="55"/>
  <c r="I34" i="55"/>
  <c r="I31" i="55"/>
  <c r="I21" i="55"/>
  <c r="I12" i="55"/>
  <c r="I6" i="55"/>
  <c r="Q124" i="55"/>
  <c r="Q123" i="55"/>
  <c r="Q122" i="55"/>
  <c r="Q121" i="55"/>
  <c r="Q120" i="55"/>
  <c r="Q119" i="55"/>
  <c r="Q118" i="55"/>
  <c r="Q117" i="55"/>
  <c r="Q116" i="55"/>
  <c r="Q115" i="55"/>
  <c r="Q114" i="55"/>
  <c r="Q113" i="55"/>
  <c r="Q112" i="55"/>
  <c r="Q111" i="55"/>
  <c r="Q110" i="55"/>
  <c r="Q109" i="55"/>
  <c r="Q108" i="55"/>
  <c r="Q107" i="55"/>
  <c r="Q106" i="55"/>
  <c r="Q105" i="55"/>
  <c r="Q104" i="55"/>
  <c r="Q103" i="55"/>
  <c r="Q102" i="55"/>
  <c r="Q101" i="55"/>
  <c r="Q100" i="55"/>
  <c r="Q99" i="55"/>
  <c r="Q98" i="55"/>
  <c r="Q97" i="55"/>
  <c r="Q96" i="55"/>
  <c r="Q95" i="55"/>
  <c r="Q94" i="55"/>
  <c r="Q93" i="55"/>
  <c r="Q92" i="55"/>
  <c r="Q91" i="55"/>
  <c r="Q90" i="55"/>
  <c r="Q89" i="55"/>
  <c r="Q88" i="55"/>
  <c r="Q87" i="55"/>
  <c r="Q86" i="55"/>
  <c r="Q85" i="55"/>
  <c r="Q84" i="55"/>
  <c r="Q83" i="55"/>
  <c r="Q82" i="55"/>
  <c r="Q81" i="55"/>
  <c r="Q80" i="55"/>
  <c r="Q79" i="55"/>
  <c r="Q78" i="55"/>
  <c r="Q77" i="55"/>
  <c r="Q76" i="55"/>
  <c r="Q75" i="55"/>
  <c r="Q74" i="55"/>
  <c r="Q73" i="55"/>
  <c r="Q72" i="55"/>
  <c r="Q71" i="55"/>
  <c r="Q70" i="55"/>
  <c r="Q69" i="55"/>
  <c r="Q68" i="55"/>
  <c r="Q67" i="55"/>
  <c r="Q66" i="55"/>
  <c r="Q65" i="55"/>
  <c r="Q64" i="55"/>
  <c r="Q63" i="55"/>
  <c r="Q62" i="55"/>
  <c r="Q61" i="55"/>
  <c r="Q60" i="55"/>
  <c r="Q59" i="55"/>
  <c r="Q58" i="55"/>
  <c r="Q57" i="55"/>
  <c r="Q56" i="55"/>
  <c r="Q55" i="55"/>
  <c r="Q54" i="55"/>
  <c r="Q53" i="55"/>
  <c r="Q52" i="55"/>
  <c r="Q51" i="55"/>
  <c r="Q50" i="55"/>
  <c r="Q49" i="55"/>
  <c r="Q48" i="55"/>
  <c r="Q47" i="55"/>
  <c r="Q46" i="55"/>
  <c r="Q45" i="55"/>
  <c r="Q44" i="55"/>
  <c r="Q43" i="55"/>
  <c r="Q42" i="55"/>
  <c r="Q41" i="55"/>
  <c r="Q40" i="55"/>
  <c r="Q39" i="55"/>
  <c r="Q38" i="55"/>
  <c r="Q37" i="55"/>
  <c r="Q36" i="55"/>
  <c r="Q35" i="55"/>
  <c r="Q34" i="55"/>
  <c r="Q33" i="55"/>
  <c r="Q32" i="55"/>
  <c r="Q31" i="55"/>
  <c r="Q30" i="55"/>
  <c r="Q29" i="55"/>
  <c r="Q28" i="55"/>
  <c r="Q27" i="55"/>
  <c r="Q26" i="55"/>
  <c r="Q25" i="55"/>
  <c r="Q24" i="55"/>
  <c r="Q23" i="55"/>
  <c r="Q22" i="55"/>
  <c r="Q21" i="55"/>
  <c r="Q20" i="55"/>
  <c r="Q19" i="55"/>
  <c r="Q18" i="55"/>
  <c r="Q17" i="55"/>
  <c r="Q16" i="55"/>
  <c r="Q15" i="55"/>
  <c r="Q14" i="55"/>
  <c r="Q13" i="55"/>
  <c r="Q12" i="55"/>
  <c r="Q11" i="55"/>
  <c r="Q10" i="55"/>
  <c r="Q9" i="55"/>
  <c r="Q8" i="55"/>
  <c r="Q7" i="55"/>
  <c r="Q6" i="55"/>
  <c r="Q5" i="55"/>
  <c r="J124" i="53"/>
  <c r="J123" i="53"/>
  <c r="J122" i="53"/>
  <c r="K122" i="53" s="1"/>
  <c r="J121" i="53"/>
  <c r="K121" i="53" s="1"/>
  <c r="J120" i="53"/>
  <c r="K120" i="53" s="1"/>
  <c r="J119" i="53"/>
  <c r="J118" i="53"/>
  <c r="K118" i="53" s="1"/>
  <c r="J117" i="53"/>
  <c r="K117" i="53" s="1"/>
  <c r="J116" i="53"/>
  <c r="K116" i="53" s="1"/>
  <c r="J115" i="53"/>
  <c r="J113" i="53"/>
  <c r="K113" i="53" s="1"/>
  <c r="J112" i="53"/>
  <c r="K112" i="53" s="1"/>
  <c r="J111" i="53"/>
  <c r="J110" i="53"/>
  <c r="K110" i="53" s="1"/>
  <c r="J109" i="53"/>
  <c r="K109" i="53" s="1"/>
  <c r="J108" i="53"/>
  <c r="K108" i="53" s="1"/>
  <c r="J107" i="53"/>
  <c r="J106" i="53"/>
  <c r="K106" i="53" s="1"/>
  <c r="J105" i="53"/>
  <c r="K105" i="53" s="1"/>
  <c r="J104" i="53"/>
  <c r="K104" i="53" s="1"/>
  <c r="J103" i="53"/>
  <c r="J102" i="53"/>
  <c r="J101" i="53"/>
  <c r="K101" i="53" s="1"/>
  <c r="J100" i="53"/>
  <c r="J99" i="53"/>
  <c r="J98" i="53"/>
  <c r="J97" i="53"/>
  <c r="K97" i="53" s="1"/>
  <c r="J96" i="53"/>
  <c r="K96" i="53" s="1"/>
  <c r="J95" i="53"/>
  <c r="J94" i="53"/>
  <c r="K94" i="53" s="1"/>
  <c r="J93" i="53"/>
  <c r="K93" i="53" s="1"/>
  <c r="J92" i="53"/>
  <c r="K92" i="53" s="1"/>
  <c r="J91" i="53"/>
  <c r="J90" i="53"/>
  <c r="K90" i="53" s="1"/>
  <c r="J89" i="53"/>
  <c r="K89" i="53" s="1"/>
  <c r="J88" i="53"/>
  <c r="K88" i="53" s="1"/>
  <c r="J87" i="53"/>
  <c r="J86" i="53"/>
  <c r="K86" i="53" s="1"/>
  <c r="J85" i="53"/>
  <c r="K85" i="53" s="1"/>
  <c r="J84" i="53"/>
  <c r="K84" i="53" s="1"/>
  <c r="J83" i="53"/>
  <c r="J82" i="53"/>
  <c r="K82" i="53" s="1"/>
  <c r="J81" i="53"/>
  <c r="K81" i="53" s="1"/>
  <c r="J80" i="53"/>
  <c r="K80" i="53" s="1"/>
  <c r="J79" i="53"/>
  <c r="J78" i="53"/>
  <c r="K78" i="53" s="1"/>
  <c r="J77" i="53"/>
  <c r="K77" i="53" s="1"/>
  <c r="J76" i="53"/>
  <c r="K76" i="53" s="1"/>
  <c r="J75" i="53"/>
  <c r="J74" i="53"/>
  <c r="J73" i="53"/>
  <c r="K73" i="53" s="1"/>
  <c r="J72" i="53"/>
  <c r="K72" i="53" s="1"/>
  <c r="J71" i="53"/>
  <c r="J70" i="53"/>
  <c r="K70" i="53" s="1"/>
  <c r="J69" i="53"/>
  <c r="K69" i="53" s="1"/>
  <c r="J68" i="53"/>
  <c r="K68" i="53" s="1"/>
  <c r="J67" i="53"/>
  <c r="J66" i="53"/>
  <c r="J65" i="53"/>
  <c r="K65" i="53" s="1"/>
  <c r="J64" i="53"/>
  <c r="K64" i="53" s="1"/>
  <c r="J63" i="53"/>
  <c r="J62" i="53"/>
  <c r="K62" i="53" s="1"/>
  <c r="J61" i="53"/>
  <c r="K61" i="53" s="1"/>
  <c r="J60" i="53"/>
  <c r="K60" i="53" s="1"/>
  <c r="J59" i="53"/>
  <c r="J58" i="53"/>
  <c r="K58" i="53" s="1"/>
  <c r="J57" i="53"/>
  <c r="K57" i="53" s="1"/>
  <c r="J56" i="53"/>
  <c r="K56" i="53" s="1"/>
  <c r="J55" i="53"/>
  <c r="J54" i="53"/>
  <c r="J53" i="53"/>
  <c r="K53" i="53" s="1"/>
  <c r="J52" i="53"/>
  <c r="K52" i="53" s="1"/>
  <c r="J51" i="53"/>
  <c r="J50" i="53"/>
  <c r="K50" i="53" s="1"/>
  <c r="J49" i="53"/>
  <c r="K49" i="53" s="1"/>
  <c r="J48" i="53"/>
  <c r="K48" i="53" s="1"/>
  <c r="J47" i="53"/>
  <c r="J45" i="53"/>
  <c r="K45" i="53" s="1"/>
  <c r="J44" i="53"/>
  <c r="K44" i="53" s="1"/>
  <c r="J43" i="53"/>
  <c r="J42" i="53"/>
  <c r="K42" i="53" s="1"/>
  <c r="J41" i="53"/>
  <c r="K41" i="53" s="1"/>
  <c r="J40" i="53"/>
  <c r="K40" i="53" s="1"/>
  <c r="J39" i="53"/>
  <c r="J38" i="53"/>
  <c r="K38" i="53" s="1"/>
  <c r="J37" i="53"/>
  <c r="K37" i="53" s="1"/>
  <c r="J36" i="53"/>
  <c r="K36" i="53" s="1"/>
  <c r="J35" i="53"/>
  <c r="J34" i="53"/>
  <c r="K34" i="53" s="1"/>
  <c r="J33" i="53"/>
  <c r="K33" i="53" s="1"/>
  <c r="J32" i="53"/>
  <c r="K32" i="53" s="1"/>
  <c r="J31" i="53"/>
  <c r="J30" i="53"/>
  <c r="K30" i="53" s="1"/>
  <c r="J29" i="53"/>
  <c r="K29" i="53" s="1"/>
  <c r="J28" i="53"/>
  <c r="K28" i="53" s="1"/>
  <c r="J27" i="53"/>
  <c r="J26" i="53"/>
  <c r="K26" i="53" s="1"/>
  <c r="J25" i="53"/>
  <c r="J24" i="53"/>
  <c r="K24" i="53" s="1"/>
  <c r="J23" i="53"/>
  <c r="J21" i="53"/>
  <c r="K21" i="53" s="1"/>
  <c r="J20" i="53"/>
  <c r="K20" i="53" s="1"/>
  <c r="J19" i="53"/>
  <c r="J18" i="53"/>
  <c r="K18" i="53" s="1"/>
  <c r="J17" i="53"/>
  <c r="K17" i="53" s="1"/>
  <c r="J16" i="53"/>
  <c r="K16" i="53" s="1"/>
  <c r="J14" i="53"/>
  <c r="K14" i="53" s="1"/>
  <c r="J13" i="53"/>
  <c r="K13" i="53" s="1"/>
  <c r="J12" i="53"/>
  <c r="K12" i="53" s="1"/>
  <c r="J10" i="53"/>
  <c r="J9" i="53"/>
  <c r="K9" i="53" s="1"/>
  <c r="J7" i="53"/>
  <c r="K124" i="53"/>
  <c r="K102" i="53"/>
  <c r="K98" i="53"/>
  <c r="K74" i="53"/>
  <c r="K66" i="53"/>
  <c r="K54" i="53"/>
  <c r="K25" i="53"/>
  <c r="K10" i="53"/>
  <c r="E125" i="79"/>
  <c r="E121" i="79"/>
  <c r="E113" i="79"/>
  <c r="E109" i="79"/>
  <c r="E105" i="79"/>
  <c r="E100" i="79"/>
  <c r="E85" i="79"/>
  <c r="E81" i="79"/>
  <c r="E77" i="79"/>
  <c r="E73" i="79"/>
  <c r="E71" i="79"/>
  <c r="E57" i="79"/>
  <c r="E41" i="79"/>
  <c r="E37" i="79"/>
  <c r="E29" i="79"/>
  <c r="E17" i="79"/>
  <c r="E13" i="79"/>
  <c r="D125" i="79"/>
  <c r="D121" i="79"/>
  <c r="D113" i="79"/>
  <c r="D109" i="79"/>
  <c r="D105" i="79"/>
  <c r="D100" i="79"/>
  <c r="D85" i="79"/>
  <c r="D81" i="79"/>
  <c r="D77" i="79"/>
  <c r="D73" i="79"/>
  <c r="D71" i="79"/>
  <c r="D57" i="79"/>
  <c r="D41" i="79"/>
  <c r="D37" i="79"/>
  <c r="D29" i="79"/>
  <c r="D17" i="79"/>
  <c r="D13" i="79"/>
  <c r="AO4" i="53"/>
  <c r="AN4" i="53"/>
  <c r="AM4" i="53"/>
  <c r="AL4" i="53"/>
  <c r="AK4" i="53"/>
  <c r="AJ4" i="53"/>
  <c r="AH4" i="53"/>
  <c r="AI124" i="53"/>
  <c r="AI123" i="53"/>
  <c r="AI122" i="53"/>
  <c r="AI121" i="53"/>
  <c r="AI120" i="53"/>
  <c r="AI119" i="53"/>
  <c r="AI118" i="53"/>
  <c r="AI117" i="53"/>
  <c r="AI116" i="53"/>
  <c r="AI115" i="53"/>
  <c r="AI114" i="53"/>
  <c r="AI113" i="53"/>
  <c r="AI112" i="53"/>
  <c r="AI111" i="53"/>
  <c r="AI110" i="53"/>
  <c r="AI109" i="53"/>
  <c r="AI108" i="53"/>
  <c r="AI107" i="53"/>
  <c r="AI106" i="53"/>
  <c r="AI105" i="53"/>
  <c r="AI104" i="53"/>
  <c r="AI103" i="53"/>
  <c r="AI102" i="53"/>
  <c r="AI101" i="53"/>
  <c r="AI100" i="53"/>
  <c r="AI99" i="53"/>
  <c r="AI98" i="53"/>
  <c r="AI97" i="53"/>
  <c r="AI96" i="53"/>
  <c r="AI95" i="53"/>
  <c r="AI94" i="53"/>
  <c r="AI93" i="53"/>
  <c r="AI92" i="53"/>
  <c r="AI91" i="53"/>
  <c r="AI90" i="53"/>
  <c r="AI89" i="53"/>
  <c r="AI88" i="53"/>
  <c r="AI87" i="53"/>
  <c r="AI86" i="53"/>
  <c r="AI85" i="53"/>
  <c r="AI84" i="53"/>
  <c r="AI83" i="53"/>
  <c r="AI82" i="53"/>
  <c r="AI81" i="53"/>
  <c r="AI80" i="53"/>
  <c r="AI79" i="53"/>
  <c r="AI78" i="53"/>
  <c r="AI77" i="53"/>
  <c r="AI76" i="53"/>
  <c r="AI75" i="53"/>
  <c r="AI74" i="53"/>
  <c r="AI73" i="53"/>
  <c r="AI72" i="53"/>
  <c r="AI71" i="53"/>
  <c r="AI70" i="53"/>
  <c r="AI69" i="53"/>
  <c r="AI68" i="53"/>
  <c r="AI67" i="53"/>
  <c r="AI66" i="53"/>
  <c r="AI65" i="53"/>
  <c r="AI64" i="53"/>
  <c r="AI63" i="53"/>
  <c r="AI62" i="53"/>
  <c r="AI61" i="53"/>
  <c r="AI60" i="53"/>
  <c r="AI59" i="53"/>
  <c r="AI58" i="53"/>
  <c r="AI57" i="53"/>
  <c r="AI56" i="53"/>
  <c r="AI55" i="53"/>
  <c r="AI54" i="53"/>
  <c r="AI53" i="53"/>
  <c r="AI52" i="53"/>
  <c r="AI51" i="53"/>
  <c r="AI50" i="53"/>
  <c r="AI49" i="53"/>
  <c r="AI48" i="53"/>
  <c r="AI47" i="53"/>
  <c r="AI46" i="53"/>
  <c r="AI45" i="53"/>
  <c r="AI44" i="53"/>
  <c r="AI43" i="53"/>
  <c r="AI42" i="53"/>
  <c r="AI41" i="53"/>
  <c r="AI40" i="53"/>
  <c r="AI39" i="53"/>
  <c r="AI38" i="53"/>
  <c r="AI37" i="53"/>
  <c r="AI36" i="53"/>
  <c r="AI35" i="53"/>
  <c r="AI34" i="53"/>
  <c r="AI33" i="53"/>
  <c r="AI32" i="53"/>
  <c r="AI31" i="53"/>
  <c r="AI30" i="53"/>
  <c r="AI29" i="53"/>
  <c r="AI28" i="53"/>
  <c r="AI27" i="53"/>
  <c r="AI26" i="53"/>
  <c r="AI25" i="53"/>
  <c r="AI24" i="53"/>
  <c r="AI23" i="53"/>
  <c r="AI22" i="53"/>
  <c r="AI21" i="53"/>
  <c r="AI20" i="53"/>
  <c r="AI19" i="53"/>
  <c r="AI18" i="53"/>
  <c r="AI17" i="53"/>
  <c r="AI16" i="53"/>
  <c r="AI15" i="53"/>
  <c r="AI14" i="53"/>
  <c r="AI13" i="53"/>
  <c r="AI12" i="53"/>
  <c r="AI11" i="53"/>
  <c r="AI10" i="53"/>
  <c r="AI9" i="53"/>
  <c r="AI8" i="53"/>
  <c r="AI7" i="53"/>
  <c r="AI6" i="53"/>
  <c r="AI5" i="53"/>
  <c r="AD4" i="53"/>
  <c r="AG4" i="53"/>
  <c r="AF4" i="53"/>
  <c r="AE4" i="53"/>
  <c r="AC124" i="53"/>
  <c r="AC123" i="53"/>
  <c r="AC122" i="53"/>
  <c r="AC121" i="53"/>
  <c r="AC120" i="53"/>
  <c r="AC119" i="53"/>
  <c r="AC118" i="53"/>
  <c r="AC117" i="53"/>
  <c r="AC116" i="53"/>
  <c r="AC115" i="53"/>
  <c r="AC114" i="53"/>
  <c r="AC113" i="53"/>
  <c r="AC112" i="53"/>
  <c r="AC111" i="53"/>
  <c r="AC110" i="53"/>
  <c r="AC109" i="53"/>
  <c r="AC108" i="53"/>
  <c r="AC107" i="53"/>
  <c r="AC106" i="53"/>
  <c r="AC105" i="53"/>
  <c r="AC104" i="53"/>
  <c r="AC103" i="53"/>
  <c r="AC102" i="53"/>
  <c r="AC101" i="53"/>
  <c r="AC100" i="53"/>
  <c r="AC99" i="53"/>
  <c r="AC98" i="53"/>
  <c r="AC97" i="53"/>
  <c r="AC96" i="53"/>
  <c r="AC95" i="53"/>
  <c r="AC94" i="53"/>
  <c r="AC93" i="53"/>
  <c r="AC92" i="53"/>
  <c r="AC91" i="53"/>
  <c r="AC90" i="53"/>
  <c r="AC89" i="53"/>
  <c r="AC88" i="53"/>
  <c r="AC87" i="53"/>
  <c r="AC86" i="53"/>
  <c r="AC85" i="53"/>
  <c r="AC84" i="53"/>
  <c r="AC83" i="53"/>
  <c r="AC82" i="53"/>
  <c r="AC81" i="53"/>
  <c r="AC80" i="53"/>
  <c r="AC79" i="53"/>
  <c r="AC78" i="53"/>
  <c r="AC77" i="53"/>
  <c r="AC76" i="53"/>
  <c r="AC75" i="53"/>
  <c r="AC74" i="53"/>
  <c r="AC73" i="53"/>
  <c r="AC72" i="53"/>
  <c r="AC71" i="53"/>
  <c r="AC70" i="53"/>
  <c r="AC69" i="53"/>
  <c r="AC68" i="53"/>
  <c r="AC67" i="53"/>
  <c r="AC66" i="53"/>
  <c r="AC65" i="53"/>
  <c r="AC64" i="53"/>
  <c r="AC63" i="53"/>
  <c r="AC62" i="53"/>
  <c r="AC61" i="53"/>
  <c r="AC60" i="53"/>
  <c r="AC59" i="53"/>
  <c r="AC58" i="53"/>
  <c r="AC57" i="53"/>
  <c r="AC56" i="53"/>
  <c r="AC55" i="53"/>
  <c r="AC54" i="53"/>
  <c r="AC53" i="53"/>
  <c r="AC52" i="53"/>
  <c r="AC51" i="53"/>
  <c r="AC50" i="53"/>
  <c r="AC49" i="53"/>
  <c r="AC48" i="53"/>
  <c r="AC47" i="53"/>
  <c r="AC46" i="53"/>
  <c r="AC45" i="53"/>
  <c r="AC44" i="53"/>
  <c r="AC43" i="53"/>
  <c r="AC42" i="53"/>
  <c r="AC41" i="53"/>
  <c r="AC40" i="53"/>
  <c r="AC39" i="53"/>
  <c r="AC38" i="53"/>
  <c r="AC37" i="53"/>
  <c r="AC36" i="53"/>
  <c r="AC35" i="53"/>
  <c r="AC34" i="53"/>
  <c r="AC33" i="53"/>
  <c r="AC32" i="53"/>
  <c r="AC31" i="53"/>
  <c r="AC30" i="53"/>
  <c r="AC29" i="53"/>
  <c r="AC28" i="53"/>
  <c r="AC27" i="53"/>
  <c r="AC26" i="53"/>
  <c r="AC25" i="53"/>
  <c r="AC24" i="53"/>
  <c r="AC23" i="53"/>
  <c r="AC22" i="53"/>
  <c r="AC21" i="53"/>
  <c r="AC20" i="53"/>
  <c r="AC19" i="53"/>
  <c r="AC18" i="53"/>
  <c r="AC17" i="53"/>
  <c r="AC16" i="53"/>
  <c r="AC15" i="53"/>
  <c r="AC14" i="53"/>
  <c r="AC13" i="53"/>
  <c r="AC12" i="53"/>
  <c r="AC11" i="53"/>
  <c r="AC10" i="53"/>
  <c r="AC9" i="53"/>
  <c r="AC8" i="53"/>
  <c r="AC7" i="53"/>
  <c r="AC6" i="53"/>
  <c r="AC5" i="53"/>
  <c r="P4" i="53"/>
  <c r="O4" i="53"/>
  <c r="D11" i="79" l="1"/>
  <c r="D15" i="79"/>
  <c r="D55" i="79"/>
  <c r="D59" i="79"/>
  <c r="D79" i="79"/>
  <c r="D83" i="79"/>
  <c r="D91" i="79"/>
  <c r="D99" i="79"/>
  <c r="D103" i="79"/>
  <c r="D107" i="79"/>
  <c r="D111" i="79"/>
  <c r="D119" i="79"/>
  <c r="D123" i="79"/>
  <c r="E11" i="79"/>
  <c r="E15" i="79"/>
  <c r="E55" i="79"/>
  <c r="E59" i="79"/>
  <c r="E79" i="79"/>
  <c r="E83" i="79"/>
  <c r="E91" i="79"/>
  <c r="E99" i="79"/>
  <c r="E103" i="79"/>
  <c r="E107" i="79"/>
  <c r="E111" i="79"/>
  <c r="E119" i="79"/>
  <c r="E123" i="79"/>
  <c r="D60" i="79"/>
  <c r="D92" i="79"/>
  <c r="E60" i="79"/>
  <c r="E92" i="79"/>
  <c r="D21" i="79"/>
  <c r="D25" i="79"/>
  <c r="D45" i="79"/>
  <c r="D61" i="79"/>
  <c r="D65" i="79"/>
  <c r="D69" i="79"/>
  <c r="D93" i="79"/>
  <c r="D97" i="79"/>
  <c r="D117" i="79"/>
  <c r="E21" i="79"/>
  <c r="E25" i="79"/>
  <c r="E45" i="79"/>
  <c r="E61" i="79"/>
  <c r="E65" i="79"/>
  <c r="E69" i="79"/>
  <c r="E93" i="79"/>
  <c r="E97" i="79"/>
  <c r="E117" i="79"/>
  <c r="D22" i="79"/>
  <c r="D26" i="79"/>
  <c r="D62" i="79"/>
  <c r="D66" i="79"/>
  <c r="D70" i="79"/>
  <c r="D94" i="79"/>
  <c r="D114" i="79"/>
  <c r="E22" i="79"/>
  <c r="E26" i="79"/>
  <c r="E62" i="79"/>
  <c r="E66" i="79"/>
  <c r="E70" i="79"/>
  <c r="D75" i="79"/>
  <c r="E75" i="79"/>
  <c r="D43" i="79"/>
  <c r="E43" i="79"/>
  <c r="D35" i="79"/>
  <c r="E35" i="79"/>
  <c r="D19" i="79"/>
  <c r="E19" i="79"/>
  <c r="K100" i="53"/>
  <c r="F101" i="79" s="1"/>
  <c r="D39" i="79"/>
  <c r="E39" i="79"/>
  <c r="D33" i="79"/>
  <c r="D49" i="79"/>
  <c r="D53" i="79"/>
  <c r="D89" i="79"/>
  <c r="D101" i="79"/>
  <c r="E33" i="79"/>
  <c r="E49" i="79"/>
  <c r="E53" i="79"/>
  <c r="E89" i="79"/>
  <c r="E101" i="79"/>
  <c r="D10" i="79"/>
  <c r="D14" i="79"/>
  <c r="D18" i="79"/>
  <c r="D30" i="79"/>
  <c r="D34" i="79"/>
  <c r="D38" i="79"/>
  <c r="D42" i="79"/>
  <c r="D46" i="79"/>
  <c r="D50" i="79"/>
  <c r="D54" i="79"/>
  <c r="D58" i="79"/>
  <c r="D74" i="79"/>
  <c r="D78" i="79"/>
  <c r="D82" i="79"/>
  <c r="D86" i="79"/>
  <c r="D90" i="79"/>
  <c r="D98" i="79"/>
  <c r="D102" i="79"/>
  <c r="D106" i="79"/>
  <c r="D110" i="79"/>
  <c r="D118" i="79"/>
  <c r="D122" i="79"/>
  <c r="E10" i="79"/>
  <c r="E14" i="79"/>
  <c r="E18" i="79"/>
  <c r="E30" i="79"/>
  <c r="E34" i="79"/>
  <c r="E38" i="79"/>
  <c r="E42" i="79"/>
  <c r="E46" i="79"/>
  <c r="E50" i="79"/>
  <c r="E54" i="79"/>
  <c r="E58" i="79"/>
  <c r="E74" i="79"/>
  <c r="E78" i="79"/>
  <c r="E82" i="79"/>
  <c r="E86" i="79"/>
  <c r="E90" i="79"/>
  <c r="E94" i="79"/>
  <c r="E98" i="79"/>
  <c r="E102" i="79"/>
  <c r="E106" i="79"/>
  <c r="E110" i="79"/>
  <c r="E114" i="79"/>
  <c r="E118" i="79"/>
  <c r="E122" i="79"/>
  <c r="D27" i="79"/>
  <c r="D31" i="79"/>
  <c r="D51" i="79"/>
  <c r="D63" i="79"/>
  <c r="D67" i="79"/>
  <c r="D87" i="79"/>
  <c r="D95" i="79"/>
  <c r="E27" i="79"/>
  <c r="E31" i="79"/>
  <c r="E51" i="79"/>
  <c r="E63" i="79"/>
  <c r="E67" i="79"/>
  <c r="E87" i="79"/>
  <c r="E95" i="79"/>
  <c r="D8" i="79"/>
  <c r="D20" i="79"/>
  <c r="D24" i="79"/>
  <c r="D28" i="79"/>
  <c r="D32" i="79"/>
  <c r="D36" i="79"/>
  <c r="D40" i="79"/>
  <c r="D44" i="79"/>
  <c r="D48" i="79"/>
  <c r="D52" i="79"/>
  <c r="D56" i="79"/>
  <c r="D64" i="79"/>
  <c r="D68" i="79"/>
  <c r="D72" i="79"/>
  <c r="D76" i="79"/>
  <c r="D80" i="79"/>
  <c r="D84" i="79"/>
  <c r="D88" i="79"/>
  <c r="D96" i="79"/>
  <c r="D104" i="79"/>
  <c r="D108" i="79"/>
  <c r="D112" i="79"/>
  <c r="D116" i="79"/>
  <c r="D120" i="79"/>
  <c r="D124" i="79"/>
  <c r="E8" i="79"/>
  <c r="E20" i="79"/>
  <c r="E24" i="79"/>
  <c r="E28" i="79"/>
  <c r="E32" i="79"/>
  <c r="E36" i="79"/>
  <c r="E40" i="79"/>
  <c r="E44" i="79"/>
  <c r="E48" i="79"/>
  <c r="E52" i="79"/>
  <c r="E56" i="79"/>
  <c r="E64" i="79"/>
  <c r="E68" i="79"/>
  <c r="E72" i="79"/>
  <c r="E76" i="79"/>
  <c r="E80" i="79"/>
  <c r="E84" i="79"/>
  <c r="E88" i="79"/>
  <c r="E96" i="79"/>
  <c r="E104" i="79"/>
  <c r="E108" i="79"/>
  <c r="E112" i="79"/>
  <c r="E116" i="79"/>
  <c r="E120" i="79"/>
  <c r="E124" i="79"/>
  <c r="G5" i="118"/>
  <c r="F30" i="79"/>
  <c r="V30" i="79" s="1"/>
  <c r="F50" i="79"/>
  <c r="F122" i="79"/>
  <c r="E23" i="79"/>
  <c r="D23" i="79"/>
  <c r="J22" i="53"/>
  <c r="K22" i="53" s="1"/>
  <c r="F23" i="79" s="1"/>
  <c r="D115" i="79"/>
  <c r="E115" i="79"/>
  <c r="J114" i="53"/>
  <c r="K114" i="53" s="1"/>
  <c r="F115" i="79" s="1"/>
  <c r="D47" i="79"/>
  <c r="E47" i="79"/>
  <c r="J46" i="53"/>
  <c r="K46" i="53" s="1"/>
  <c r="F39" i="79"/>
  <c r="V39" i="79" s="1"/>
  <c r="F43" i="79"/>
  <c r="F14" i="79"/>
  <c r="F18" i="79"/>
  <c r="F34" i="79"/>
  <c r="V34" i="79" s="1"/>
  <c r="F54" i="79"/>
  <c r="F58" i="79"/>
  <c r="F98" i="79"/>
  <c r="F102" i="79"/>
  <c r="F106" i="79"/>
  <c r="F110" i="79"/>
  <c r="F49" i="79"/>
  <c r="F78" i="79"/>
  <c r="V78" i="79" s="1"/>
  <c r="F86" i="79"/>
  <c r="F74" i="79"/>
  <c r="F90" i="79"/>
  <c r="F21" i="79"/>
  <c r="F45" i="79"/>
  <c r="F65" i="79"/>
  <c r="F117" i="79"/>
  <c r="F11" i="79"/>
  <c r="V11" i="79" s="1"/>
  <c r="F27" i="79"/>
  <c r="F31" i="79"/>
  <c r="F51" i="79"/>
  <c r="F63" i="79"/>
  <c r="F67" i="79"/>
  <c r="F71" i="79"/>
  <c r="F75" i="79"/>
  <c r="F79" i="79"/>
  <c r="F87" i="79"/>
  <c r="F91" i="79"/>
  <c r="F95" i="79"/>
  <c r="F123" i="79"/>
  <c r="V123" i="79" s="1"/>
  <c r="D102" i="57"/>
  <c r="D5" i="57"/>
  <c r="I4" i="61"/>
  <c r="E7" i="79"/>
  <c r="J6" i="53"/>
  <c r="K6" i="53" s="1"/>
  <c r="D16" i="79"/>
  <c r="E12" i="79"/>
  <c r="E16" i="79"/>
  <c r="J11" i="53"/>
  <c r="J15" i="53"/>
  <c r="K15" i="53" s="1"/>
  <c r="F17" i="79" s="1"/>
  <c r="E9" i="79"/>
  <c r="J8" i="53"/>
  <c r="K8" i="53" s="1"/>
  <c r="F10" i="79" s="1"/>
  <c r="V10" i="79" s="1"/>
  <c r="E6" i="79"/>
  <c r="J5" i="53"/>
  <c r="K5" i="53" s="1"/>
  <c r="D7" i="79"/>
  <c r="D12" i="79"/>
  <c r="D6" i="79"/>
  <c r="D9" i="79"/>
  <c r="F69" i="79"/>
  <c r="F81" i="79"/>
  <c r="F89" i="79"/>
  <c r="F93" i="79"/>
  <c r="F15" i="79"/>
  <c r="F19" i="79"/>
  <c r="F35" i="79"/>
  <c r="F55" i="79"/>
  <c r="F59" i="79"/>
  <c r="F103" i="79"/>
  <c r="V103" i="79" s="1"/>
  <c r="F107" i="79"/>
  <c r="F111" i="79"/>
  <c r="F38" i="79"/>
  <c r="F42" i="79"/>
  <c r="V42" i="79" s="1"/>
  <c r="F46" i="79"/>
  <c r="F118" i="79"/>
  <c r="K19" i="53"/>
  <c r="F20" i="79" s="1"/>
  <c r="K27" i="53"/>
  <c r="F28" i="79" s="1"/>
  <c r="K35" i="53"/>
  <c r="F36" i="79" s="1"/>
  <c r="K43" i="53"/>
  <c r="F44" i="79" s="1"/>
  <c r="K51" i="53"/>
  <c r="K59" i="53"/>
  <c r="F60" i="79" s="1"/>
  <c r="K67" i="53"/>
  <c r="F68" i="79" s="1"/>
  <c r="K75" i="53"/>
  <c r="F76" i="79" s="1"/>
  <c r="K83" i="53"/>
  <c r="F84" i="79" s="1"/>
  <c r="K91" i="53"/>
  <c r="F92" i="79" s="1"/>
  <c r="K99" i="53"/>
  <c r="F125" i="79" s="1"/>
  <c r="K107" i="53"/>
  <c r="F108" i="79" s="1"/>
  <c r="K115" i="53"/>
  <c r="F116" i="79" s="1"/>
  <c r="K123" i="53"/>
  <c r="F124" i="79" s="1"/>
  <c r="F33" i="79"/>
  <c r="F53" i="79"/>
  <c r="F61" i="79"/>
  <c r="F97" i="79"/>
  <c r="F113" i="79"/>
  <c r="K7" i="53"/>
  <c r="K23" i="53"/>
  <c r="F24" i="79" s="1"/>
  <c r="K31" i="53"/>
  <c r="F37" i="79" s="1"/>
  <c r="K39" i="53"/>
  <c r="F40" i="79" s="1"/>
  <c r="K47" i="53"/>
  <c r="K55" i="53"/>
  <c r="F66" i="79" s="1"/>
  <c r="K63" i="53"/>
  <c r="F64" i="79" s="1"/>
  <c r="V64" i="79" s="1"/>
  <c r="K71" i="53"/>
  <c r="F72" i="79" s="1"/>
  <c r="K79" i="53"/>
  <c r="F80" i="79" s="1"/>
  <c r="K87" i="53"/>
  <c r="F109" i="79" s="1"/>
  <c r="K95" i="53"/>
  <c r="F96" i="79" s="1"/>
  <c r="V96" i="79" s="1"/>
  <c r="K103" i="53"/>
  <c r="F104" i="79" s="1"/>
  <c r="K111" i="53"/>
  <c r="F112" i="79" s="1"/>
  <c r="K119" i="53"/>
  <c r="F120" i="79" s="1"/>
  <c r="I6" i="118"/>
  <c r="N6" i="79" s="1"/>
  <c r="I10" i="118"/>
  <c r="N10" i="79" s="1"/>
  <c r="I14" i="118"/>
  <c r="N14" i="79" s="1"/>
  <c r="I18" i="118"/>
  <c r="N18" i="79" s="1"/>
  <c r="I22" i="118"/>
  <c r="N22" i="79" s="1"/>
  <c r="I26" i="118"/>
  <c r="N26" i="79" s="1"/>
  <c r="I30" i="118"/>
  <c r="N30" i="79" s="1"/>
  <c r="I34" i="118"/>
  <c r="N34" i="79" s="1"/>
  <c r="I38" i="118"/>
  <c r="N38" i="79" s="1"/>
  <c r="I42" i="118"/>
  <c r="N42" i="79" s="1"/>
  <c r="I46" i="118"/>
  <c r="N46" i="79" s="1"/>
  <c r="I50" i="118"/>
  <c r="N50" i="79" s="1"/>
  <c r="I54" i="118"/>
  <c r="N54" i="79" s="1"/>
  <c r="I58" i="118"/>
  <c r="N58" i="79" s="1"/>
  <c r="I62" i="118"/>
  <c r="N62" i="79" s="1"/>
  <c r="I66" i="118"/>
  <c r="N66" i="79" s="1"/>
  <c r="I70" i="118"/>
  <c r="N70" i="79" s="1"/>
  <c r="I74" i="118"/>
  <c r="N74" i="79" s="1"/>
  <c r="I78" i="118"/>
  <c r="N78" i="79" s="1"/>
  <c r="I82" i="118"/>
  <c r="N82" i="79" s="1"/>
  <c r="I86" i="118"/>
  <c r="N86" i="79" s="1"/>
  <c r="I90" i="118"/>
  <c r="N90" i="79" s="1"/>
  <c r="I94" i="118"/>
  <c r="N94" i="79" s="1"/>
  <c r="I98" i="118"/>
  <c r="N98" i="79" s="1"/>
  <c r="I102" i="118"/>
  <c r="N102" i="79" s="1"/>
  <c r="I106" i="118"/>
  <c r="N106" i="79" s="1"/>
  <c r="I110" i="118"/>
  <c r="N110" i="79" s="1"/>
  <c r="I114" i="118"/>
  <c r="N114" i="79" s="1"/>
  <c r="I118" i="118"/>
  <c r="N118" i="79" s="1"/>
  <c r="I122" i="118"/>
  <c r="N122" i="79" s="1"/>
  <c r="I9" i="118"/>
  <c r="N9" i="79" s="1"/>
  <c r="I13" i="118"/>
  <c r="N13" i="79" s="1"/>
  <c r="I17" i="118"/>
  <c r="N17" i="79" s="1"/>
  <c r="I21" i="118"/>
  <c r="N21" i="79" s="1"/>
  <c r="I25" i="118"/>
  <c r="N25" i="79" s="1"/>
  <c r="I29" i="118"/>
  <c r="N29" i="79" s="1"/>
  <c r="I33" i="118"/>
  <c r="N33" i="79" s="1"/>
  <c r="I37" i="118"/>
  <c r="N37" i="79" s="1"/>
  <c r="I41" i="118"/>
  <c r="N41" i="79" s="1"/>
  <c r="I45" i="118"/>
  <c r="N45" i="79" s="1"/>
  <c r="I49" i="118"/>
  <c r="N49" i="79" s="1"/>
  <c r="I53" i="118"/>
  <c r="N53" i="79" s="1"/>
  <c r="I57" i="118"/>
  <c r="N57" i="79" s="1"/>
  <c r="I61" i="118"/>
  <c r="N61" i="79" s="1"/>
  <c r="I65" i="118"/>
  <c r="N65" i="79" s="1"/>
  <c r="I69" i="118"/>
  <c r="N69" i="79" s="1"/>
  <c r="I73" i="118"/>
  <c r="N73" i="79" s="1"/>
  <c r="I77" i="118"/>
  <c r="N77" i="79" s="1"/>
  <c r="I81" i="118"/>
  <c r="N81" i="79" s="1"/>
  <c r="I85" i="118"/>
  <c r="N85" i="79" s="1"/>
  <c r="I89" i="118"/>
  <c r="N89" i="79" s="1"/>
  <c r="I93" i="118"/>
  <c r="N93" i="79" s="1"/>
  <c r="I97" i="118"/>
  <c r="N97" i="79" s="1"/>
  <c r="I101" i="118"/>
  <c r="N101" i="79" s="1"/>
  <c r="I105" i="118"/>
  <c r="N105" i="79" s="1"/>
  <c r="I109" i="118"/>
  <c r="N109" i="79" s="1"/>
  <c r="I113" i="118"/>
  <c r="N113" i="79" s="1"/>
  <c r="I117" i="118"/>
  <c r="N117" i="79" s="1"/>
  <c r="I121" i="118"/>
  <c r="N121" i="79" s="1"/>
  <c r="I125" i="118"/>
  <c r="N125" i="79" s="1"/>
  <c r="I8" i="118"/>
  <c r="N8" i="79" s="1"/>
  <c r="I12" i="118"/>
  <c r="N12" i="79" s="1"/>
  <c r="I16" i="118"/>
  <c r="N16" i="79" s="1"/>
  <c r="I20" i="118"/>
  <c r="N20" i="79" s="1"/>
  <c r="I24" i="118"/>
  <c r="N24" i="79" s="1"/>
  <c r="I28" i="118"/>
  <c r="N28" i="79" s="1"/>
  <c r="I32" i="118"/>
  <c r="N32" i="79" s="1"/>
  <c r="I36" i="118"/>
  <c r="N36" i="79" s="1"/>
  <c r="I40" i="118"/>
  <c r="N40" i="79" s="1"/>
  <c r="I44" i="118"/>
  <c r="N44" i="79" s="1"/>
  <c r="I48" i="118"/>
  <c r="N48" i="79" s="1"/>
  <c r="I52" i="118"/>
  <c r="N52" i="79" s="1"/>
  <c r="I56" i="118"/>
  <c r="N56" i="79" s="1"/>
  <c r="I60" i="118"/>
  <c r="N60" i="79" s="1"/>
  <c r="I64" i="118"/>
  <c r="N64" i="79" s="1"/>
  <c r="I68" i="118"/>
  <c r="N68" i="79" s="1"/>
  <c r="I72" i="118"/>
  <c r="N72" i="79" s="1"/>
  <c r="I76" i="118"/>
  <c r="N76" i="79" s="1"/>
  <c r="I80" i="118"/>
  <c r="N80" i="79" s="1"/>
  <c r="I84" i="118"/>
  <c r="N84" i="79" s="1"/>
  <c r="I88" i="118"/>
  <c r="N88" i="79" s="1"/>
  <c r="I92" i="118"/>
  <c r="N92" i="79" s="1"/>
  <c r="I96" i="118"/>
  <c r="N96" i="79" s="1"/>
  <c r="I100" i="118"/>
  <c r="N100" i="79" s="1"/>
  <c r="I104" i="118"/>
  <c r="N104" i="79" s="1"/>
  <c r="I108" i="118"/>
  <c r="N108" i="79" s="1"/>
  <c r="I112" i="118"/>
  <c r="N112" i="79" s="1"/>
  <c r="I116" i="118"/>
  <c r="N116" i="79" s="1"/>
  <c r="I120" i="118"/>
  <c r="N120" i="79" s="1"/>
  <c r="I124" i="118"/>
  <c r="N124" i="79" s="1"/>
  <c r="I7" i="118"/>
  <c r="N7" i="79" s="1"/>
  <c r="I11" i="118"/>
  <c r="N11" i="79" s="1"/>
  <c r="I15" i="118"/>
  <c r="N15" i="79" s="1"/>
  <c r="I19" i="118"/>
  <c r="N19" i="79" s="1"/>
  <c r="I23" i="118"/>
  <c r="N23" i="79" s="1"/>
  <c r="I27" i="118"/>
  <c r="N27" i="79" s="1"/>
  <c r="I31" i="118"/>
  <c r="N31" i="79" s="1"/>
  <c r="I35" i="118"/>
  <c r="N35" i="79" s="1"/>
  <c r="I39" i="118"/>
  <c r="N39" i="79" s="1"/>
  <c r="I43" i="118"/>
  <c r="N43" i="79" s="1"/>
  <c r="I47" i="118"/>
  <c r="N47" i="79" s="1"/>
  <c r="I51" i="118"/>
  <c r="N51" i="79" s="1"/>
  <c r="I55" i="118"/>
  <c r="N55" i="79" s="1"/>
  <c r="I59" i="118"/>
  <c r="N59" i="79" s="1"/>
  <c r="I63" i="118"/>
  <c r="N63" i="79" s="1"/>
  <c r="I67" i="118"/>
  <c r="N67" i="79" s="1"/>
  <c r="I71" i="118"/>
  <c r="N71" i="79" s="1"/>
  <c r="I75" i="118"/>
  <c r="N75" i="79" s="1"/>
  <c r="I79" i="118"/>
  <c r="N79" i="79" s="1"/>
  <c r="I83" i="118"/>
  <c r="N83" i="79" s="1"/>
  <c r="I87" i="118"/>
  <c r="N87" i="79" s="1"/>
  <c r="I91" i="118"/>
  <c r="N91" i="79" s="1"/>
  <c r="I95" i="118"/>
  <c r="N95" i="79" s="1"/>
  <c r="I99" i="118"/>
  <c r="N99" i="79" s="1"/>
  <c r="I103" i="118"/>
  <c r="N103" i="79" s="1"/>
  <c r="I107" i="118"/>
  <c r="N107" i="79" s="1"/>
  <c r="I111" i="118"/>
  <c r="N111" i="79" s="1"/>
  <c r="I115" i="118"/>
  <c r="N115" i="79" s="1"/>
  <c r="I119" i="118"/>
  <c r="N119" i="79" s="1"/>
  <c r="I123" i="118"/>
  <c r="N123" i="79" s="1"/>
  <c r="H4" i="61"/>
  <c r="I25" i="55"/>
  <c r="I4" i="55" s="1"/>
  <c r="H4" i="55"/>
  <c r="K4" i="55"/>
  <c r="H4" i="53"/>
  <c r="AI4" i="53"/>
  <c r="D5" i="103"/>
  <c r="O5" i="103"/>
  <c r="N5" i="103"/>
  <c r="M5" i="103"/>
  <c r="P5" i="102"/>
  <c r="O5" i="102"/>
  <c r="N5" i="102"/>
  <c r="M5" i="102"/>
  <c r="P5" i="49"/>
  <c r="O5" i="49"/>
  <c r="N5" i="49"/>
  <c r="M5" i="49"/>
  <c r="V124" i="79" l="1"/>
  <c r="AJ124" i="79" s="1"/>
  <c r="V92" i="79"/>
  <c r="V28" i="79"/>
  <c r="AJ28" i="79" s="1"/>
  <c r="V81" i="79"/>
  <c r="AJ81" i="79" s="1"/>
  <c r="V79" i="79"/>
  <c r="V115" i="79"/>
  <c r="AJ115" i="79" s="1"/>
  <c r="AJ92" i="79"/>
  <c r="AJ79" i="79"/>
  <c r="V37" i="79"/>
  <c r="AJ37" i="79" s="1"/>
  <c r="V97" i="79"/>
  <c r="AH97" i="79" s="1"/>
  <c r="V60" i="79"/>
  <c r="AJ60" i="79" s="1"/>
  <c r="V19" i="79"/>
  <c r="AJ19" i="79" s="1"/>
  <c r="V63" i="79"/>
  <c r="AJ63" i="79" s="1"/>
  <c r="V21" i="79"/>
  <c r="AJ21" i="79" s="1"/>
  <c r="V102" i="79"/>
  <c r="AJ102" i="79" s="1"/>
  <c r="V101" i="79"/>
  <c r="AJ101" i="79" s="1"/>
  <c r="AJ123" i="79"/>
  <c r="AJ11" i="79"/>
  <c r="V120" i="79"/>
  <c r="AI120" i="79" s="1"/>
  <c r="V66" i="79"/>
  <c r="AJ66" i="79" s="1"/>
  <c r="V116" i="79"/>
  <c r="V20" i="79"/>
  <c r="AJ20" i="79" s="1"/>
  <c r="V38" i="79"/>
  <c r="AJ38" i="79" s="1"/>
  <c r="V15" i="79"/>
  <c r="AJ15" i="79" s="1"/>
  <c r="V95" i="79"/>
  <c r="AJ95" i="79" s="1"/>
  <c r="V75" i="79"/>
  <c r="AJ75" i="79" s="1"/>
  <c r="V90" i="79"/>
  <c r="AJ90" i="79" s="1"/>
  <c r="V98" i="79"/>
  <c r="AJ98" i="79" s="1"/>
  <c r="V18" i="79"/>
  <c r="AJ18" i="79" s="1"/>
  <c r="AJ103" i="79"/>
  <c r="AJ39" i="79"/>
  <c r="AJ96" i="79"/>
  <c r="AJ64" i="79"/>
  <c r="AJ78" i="79"/>
  <c r="AJ30" i="79"/>
  <c r="V112" i="79"/>
  <c r="AJ112" i="79" s="1"/>
  <c r="V80" i="79"/>
  <c r="AJ80" i="79" s="1"/>
  <c r="V53" i="79"/>
  <c r="AJ53" i="79" s="1"/>
  <c r="V108" i="79"/>
  <c r="AJ108" i="79" s="1"/>
  <c r="V76" i="79"/>
  <c r="AJ76" i="79" s="1"/>
  <c r="V44" i="79"/>
  <c r="AJ44" i="79" s="1"/>
  <c r="V118" i="79"/>
  <c r="AH118" i="79" s="1"/>
  <c r="V111" i="79"/>
  <c r="AJ111" i="79" s="1"/>
  <c r="V55" i="79"/>
  <c r="AJ55" i="79" s="1"/>
  <c r="AJ116" i="79"/>
  <c r="AJ34" i="79"/>
  <c r="V109" i="79"/>
  <c r="AJ109" i="79" s="1"/>
  <c r="V24" i="79"/>
  <c r="AJ24" i="79" s="1"/>
  <c r="V61" i="79"/>
  <c r="AJ61" i="79" s="1"/>
  <c r="V84" i="79"/>
  <c r="AJ84" i="79" s="1"/>
  <c r="V59" i="79"/>
  <c r="AJ59" i="79" s="1"/>
  <c r="V69" i="79"/>
  <c r="AJ69" i="79" s="1"/>
  <c r="V51" i="79"/>
  <c r="AI51" i="79" s="1"/>
  <c r="V117" i="79"/>
  <c r="AI117" i="79" s="1"/>
  <c r="V49" i="79"/>
  <c r="AJ49" i="79" s="1"/>
  <c r="AJ42" i="79"/>
  <c r="AJ10" i="79"/>
  <c r="V104" i="79"/>
  <c r="AJ104" i="79" s="1"/>
  <c r="V72" i="79"/>
  <c r="AJ72" i="79" s="1"/>
  <c r="V40" i="79"/>
  <c r="AJ40" i="79" s="1"/>
  <c r="V113" i="79"/>
  <c r="AJ113" i="79" s="1"/>
  <c r="V33" i="79"/>
  <c r="AJ33" i="79" s="1"/>
  <c r="V125" i="79"/>
  <c r="AJ125" i="79" s="1"/>
  <c r="V68" i="79"/>
  <c r="AJ68" i="79" s="1"/>
  <c r="V36" i="79"/>
  <c r="AJ36" i="79" s="1"/>
  <c r="V46" i="79"/>
  <c r="AJ46" i="79" s="1"/>
  <c r="V107" i="79"/>
  <c r="AJ107" i="79" s="1"/>
  <c r="V35" i="79"/>
  <c r="AJ35" i="79" s="1"/>
  <c r="V89" i="79"/>
  <c r="AJ89" i="79" s="1"/>
  <c r="V87" i="79"/>
  <c r="AJ87" i="79" s="1"/>
  <c r="V67" i="79"/>
  <c r="AJ67" i="79" s="1"/>
  <c r="V27" i="79"/>
  <c r="AJ27" i="79" s="1"/>
  <c r="V45" i="79"/>
  <c r="AJ45" i="79" s="1"/>
  <c r="V86" i="79"/>
  <c r="AH86" i="79" s="1"/>
  <c r="V106" i="79"/>
  <c r="AI106" i="79" s="1"/>
  <c r="V54" i="79"/>
  <c r="AJ54" i="79" s="1"/>
  <c r="V43" i="79"/>
  <c r="AJ43" i="79" s="1"/>
  <c r="V23" i="79"/>
  <c r="AJ23" i="79" s="1"/>
  <c r="V50" i="79"/>
  <c r="AJ50" i="79" s="1"/>
  <c r="V93" i="79"/>
  <c r="AJ93" i="79" s="1"/>
  <c r="V17" i="79"/>
  <c r="AJ17" i="79" s="1"/>
  <c r="V91" i="79"/>
  <c r="AJ91" i="79" s="1"/>
  <c r="V71" i="79"/>
  <c r="AJ71" i="79" s="1"/>
  <c r="V31" i="79"/>
  <c r="AJ31" i="79" s="1"/>
  <c r="V65" i="79"/>
  <c r="AJ65" i="79" s="1"/>
  <c r="V74" i="79"/>
  <c r="AJ74" i="79" s="1"/>
  <c r="V110" i="79"/>
  <c r="AJ110" i="79" s="1"/>
  <c r="V58" i="79"/>
  <c r="AJ58" i="79" s="1"/>
  <c r="V14" i="79"/>
  <c r="AJ14" i="79" s="1"/>
  <c r="V122" i="79"/>
  <c r="AJ122" i="79" s="1"/>
  <c r="F25" i="79"/>
  <c r="V25" i="79" s="1"/>
  <c r="AJ25" i="79" s="1"/>
  <c r="F26" i="79"/>
  <c r="V26" i="79" s="1"/>
  <c r="AJ26" i="79" s="1"/>
  <c r="F47" i="79"/>
  <c r="F48" i="79"/>
  <c r="F8" i="79"/>
  <c r="F119" i="79"/>
  <c r="V119" i="79" s="1"/>
  <c r="AJ119" i="79" s="1"/>
  <c r="F83" i="79"/>
  <c r="F52" i="79"/>
  <c r="F77" i="79"/>
  <c r="F41" i="79"/>
  <c r="V41" i="79" s="1"/>
  <c r="AJ41" i="79" s="1"/>
  <c r="F70" i="79"/>
  <c r="V70" i="79" s="1"/>
  <c r="AJ70" i="79" s="1"/>
  <c r="F121" i="79"/>
  <c r="AH10" i="79"/>
  <c r="F73" i="79"/>
  <c r="V73" i="79" s="1"/>
  <c r="AJ73" i="79" s="1"/>
  <c r="F32" i="79"/>
  <c r="F100" i="79"/>
  <c r="V100" i="79" s="1"/>
  <c r="AJ100" i="79" s="1"/>
  <c r="F22" i="79"/>
  <c r="F99" i="79"/>
  <c r="F85" i="79"/>
  <c r="F82" i="79"/>
  <c r="V82" i="79" s="1"/>
  <c r="AJ82" i="79" s="1"/>
  <c r="F29" i="79"/>
  <c r="F62" i="79"/>
  <c r="V62" i="79" s="1"/>
  <c r="AJ62" i="79" s="1"/>
  <c r="F88" i="79"/>
  <c r="F56" i="79"/>
  <c r="F105" i="79"/>
  <c r="F57" i="79"/>
  <c r="F114" i="79"/>
  <c r="V114" i="79" s="1"/>
  <c r="AJ114" i="79" s="1"/>
  <c r="F94" i="79"/>
  <c r="V94" i="79" s="1"/>
  <c r="AJ94" i="79" s="1"/>
  <c r="AI14" i="79"/>
  <c r="AI41" i="79"/>
  <c r="AI74" i="79"/>
  <c r="K130" i="53"/>
  <c r="J130" i="53"/>
  <c r="AI43" i="79"/>
  <c r="I130" i="53"/>
  <c r="J127" i="53"/>
  <c r="K127" i="53"/>
  <c r="J126" i="53"/>
  <c r="J129" i="53"/>
  <c r="D131" i="53"/>
  <c r="K126" i="53"/>
  <c r="I127" i="53"/>
  <c r="AI115" i="79"/>
  <c r="J128" i="53"/>
  <c r="H131" i="53"/>
  <c r="K128" i="53"/>
  <c r="E131" i="53"/>
  <c r="G131" i="53"/>
  <c r="I126" i="53"/>
  <c r="F131" i="53"/>
  <c r="I128" i="53"/>
  <c r="I129" i="53"/>
  <c r="L6" i="123" s="1"/>
  <c r="K129" i="53"/>
  <c r="K6" i="123" s="1"/>
  <c r="AH58" i="79"/>
  <c r="AI21" i="79"/>
  <c r="AI90" i="79"/>
  <c r="AH111" i="79"/>
  <c r="AH23" i="79"/>
  <c r="AI91" i="79"/>
  <c r="AI84" i="79"/>
  <c r="F6" i="79"/>
  <c r="V6" i="79" s="1"/>
  <c r="AJ6" i="79" s="1"/>
  <c r="F9" i="79"/>
  <c r="V9" i="79" s="1"/>
  <c r="AJ9" i="79" s="1"/>
  <c r="K11" i="53"/>
  <c r="F13" i="79" s="1"/>
  <c r="V13" i="79" s="1"/>
  <c r="AJ13" i="79" s="1"/>
  <c r="F7" i="79"/>
  <c r="V7" i="79" s="1"/>
  <c r="AJ7" i="79" s="1"/>
  <c r="F16" i="79"/>
  <c r="AH108" i="79"/>
  <c r="AI28" i="79"/>
  <c r="AI116" i="79"/>
  <c r="AI92" i="79"/>
  <c r="AI42" i="79"/>
  <c r="AI96" i="79"/>
  <c r="AI64" i="79"/>
  <c r="I5" i="118"/>
  <c r="AI40" i="79" l="1"/>
  <c r="AI72" i="79"/>
  <c r="AI55" i="79"/>
  <c r="AI19" i="79"/>
  <c r="AI101" i="79"/>
  <c r="AI35" i="79"/>
  <c r="AI26" i="79"/>
  <c r="AJ86" i="79"/>
  <c r="AI24" i="79"/>
  <c r="AI37" i="79"/>
  <c r="AI44" i="79"/>
  <c r="AH87" i="79"/>
  <c r="AI110" i="79"/>
  <c r="AI20" i="79"/>
  <c r="AH69" i="79"/>
  <c r="AI59" i="79"/>
  <c r="AH67" i="79"/>
  <c r="AJ97" i="79"/>
  <c r="V29" i="79"/>
  <c r="AJ29" i="79" s="1"/>
  <c r="AJ120" i="79"/>
  <c r="AJ117" i="79"/>
  <c r="AI104" i="79"/>
  <c r="AI60" i="79"/>
  <c r="V16" i="79"/>
  <c r="AJ16" i="79" s="1"/>
  <c r="V121" i="79"/>
  <c r="AJ121" i="79" s="1"/>
  <c r="V48" i="79"/>
  <c r="AJ48" i="79" s="1"/>
  <c r="AJ118" i="79"/>
  <c r="AJ51" i="79"/>
  <c r="V57" i="79"/>
  <c r="AJ57" i="79" s="1"/>
  <c r="V99" i="79"/>
  <c r="AJ99" i="79" s="1"/>
  <c r="AJ106" i="79"/>
  <c r="V105" i="79"/>
  <c r="AJ105" i="79" s="1"/>
  <c r="V22" i="79"/>
  <c r="AJ22" i="79" s="1"/>
  <c r="V77" i="79"/>
  <c r="AJ77" i="79" s="1"/>
  <c r="V8" i="79"/>
  <c r="AJ8" i="79" s="1"/>
  <c r="V56" i="79"/>
  <c r="AJ56" i="79" s="1"/>
  <c r="V52" i="79"/>
  <c r="AJ52" i="79" s="1"/>
  <c r="AI17" i="79"/>
  <c r="V88" i="79"/>
  <c r="AJ88" i="79" s="1"/>
  <c r="V85" i="79"/>
  <c r="AJ85" i="79" s="1"/>
  <c r="V32" i="79"/>
  <c r="AJ32" i="79" s="1"/>
  <c r="V83" i="79"/>
  <c r="AJ83" i="79" s="1"/>
  <c r="V47" i="79"/>
  <c r="AJ47" i="79" s="1"/>
  <c r="AI10" i="79"/>
  <c r="AH14" i="79"/>
  <c r="AH41" i="79"/>
  <c r="AH110" i="79"/>
  <c r="AI58" i="79"/>
  <c r="AH119" i="79"/>
  <c r="AI87" i="79"/>
  <c r="AH74" i="79"/>
  <c r="AH115" i="79"/>
  <c r="AH43" i="79"/>
  <c r="J131" i="53"/>
  <c r="K131" i="53"/>
  <c r="I131" i="53"/>
  <c r="AI23" i="79"/>
  <c r="AI102" i="79"/>
  <c r="AH106" i="79"/>
  <c r="AH26" i="79"/>
  <c r="AH117" i="79"/>
  <c r="AH102" i="79"/>
  <c r="AI111" i="79"/>
  <c r="AH51" i="79"/>
  <c r="AH21" i="79"/>
  <c r="AI119" i="79"/>
  <c r="AI86" i="79"/>
  <c r="AH90" i="79"/>
  <c r="AI67" i="79"/>
  <c r="AH91" i="79"/>
  <c r="AI118" i="79"/>
  <c r="AH84" i="79"/>
  <c r="AH59" i="79"/>
  <c r="AI97" i="79"/>
  <c r="AH44" i="79"/>
  <c r="AH19" i="79"/>
  <c r="F12" i="79"/>
  <c r="V12" i="79" s="1"/>
  <c r="AJ12" i="79" s="1"/>
  <c r="AH55" i="79"/>
  <c r="AI108" i="79"/>
  <c r="AH124" i="79"/>
  <c r="AH60" i="79"/>
  <c r="AH35" i="79"/>
  <c r="AH42" i="79"/>
  <c r="AH101" i="79"/>
  <c r="AI124" i="79"/>
  <c r="AH28" i="79"/>
  <c r="AI69" i="79"/>
  <c r="AH116" i="79"/>
  <c r="AH37" i="79"/>
  <c r="AH99" i="79"/>
  <c r="AH92" i="79"/>
  <c r="AH17" i="79"/>
  <c r="AH20" i="79"/>
  <c r="AH104" i="79"/>
  <c r="AH24" i="79"/>
  <c r="AH120" i="79"/>
  <c r="AH40" i="79"/>
  <c r="AI25" i="79"/>
  <c r="AH25" i="79"/>
  <c r="AI46" i="79"/>
  <c r="AH46" i="79"/>
  <c r="AI76" i="79"/>
  <c r="AH76" i="79"/>
  <c r="AI6" i="79"/>
  <c r="AH6" i="79"/>
  <c r="AI100" i="79"/>
  <c r="AH100" i="79"/>
  <c r="AI53" i="79"/>
  <c r="AH53" i="79"/>
  <c r="AI33" i="79"/>
  <c r="AH33" i="79"/>
  <c r="AI70" i="79"/>
  <c r="AH70" i="79"/>
  <c r="AI7" i="79"/>
  <c r="AH7" i="79"/>
  <c r="AI107" i="79"/>
  <c r="AH107" i="79"/>
  <c r="AI98" i="79"/>
  <c r="AH98" i="79"/>
  <c r="AI27" i="79"/>
  <c r="AH27" i="79"/>
  <c r="AH34" i="79"/>
  <c r="AI34" i="79"/>
  <c r="AI68" i="79"/>
  <c r="AH68" i="79"/>
  <c r="AI15" i="79"/>
  <c r="AH15" i="79"/>
  <c r="AH80" i="79"/>
  <c r="AI80" i="79"/>
  <c r="AI122" i="79"/>
  <c r="AH122" i="79"/>
  <c r="AI9" i="79"/>
  <c r="AH9" i="79"/>
  <c r="AI103" i="79"/>
  <c r="AH103" i="79"/>
  <c r="AI11" i="79"/>
  <c r="AH11" i="79"/>
  <c r="AI113" i="79"/>
  <c r="AH113" i="79"/>
  <c r="AI82" i="79"/>
  <c r="AH82" i="79"/>
  <c r="AI62" i="79"/>
  <c r="AH62" i="79"/>
  <c r="AI31" i="79"/>
  <c r="AH31" i="79"/>
  <c r="AI81" i="79"/>
  <c r="AH81" i="79"/>
  <c r="AI94" i="79"/>
  <c r="AH94" i="79"/>
  <c r="AI63" i="79"/>
  <c r="AH63" i="79"/>
  <c r="AI49" i="79"/>
  <c r="AH49" i="79"/>
  <c r="AH64" i="79"/>
  <c r="AH96" i="79"/>
  <c r="AI39" i="79"/>
  <c r="AH39" i="79"/>
  <c r="AI30" i="79"/>
  <c r="AH30" i="79"/>
  <c r="AH114" i="79"/>
  <c r="AI114" i="79"/>
  <c r="AI75" i="79"/>
  <c r="AH75" i="79"/>
  <c r="AI45" i="79"/>
  <c r="AH45" i="79"/>
  <c r="AI36" i="79"/>
  <c r="AH36" i="79"/>
  <c r="AH88" i="79"/>
  <c r="AI54" i="79"/>
  <c r="AH54" i="79"/>
  <c r="AI18" i="79"/>
  <c r="AH18" i="79"/>
  <c r="AI79" i="79"/>
  <c r="AH79" i="79"/>
  <c r="AH50" i="79"/>
  <c r="AI50" i="79"/>
  <c r="AH89" i="79"/>
  <c r="AI89" i="79"/>
  <c r="AI78" i="79"/>
  <c r="AH78" i="79"/>
  <c r="AI125" i="79"/>
  <c r="AH125" i="79"/>
  <c r="AI109" i="79"/>
  <c r="AH109" i="79"/>
  <c r="AI95" i="79"/>
  <c r="AH95" i="79"/>
  <c r="AI65" i="79"/>
  <c r="AH65" i="79"/>
  <c r="AH32" i="79"/>
  <c r="AI71" i="79"/>
  <c r="AH71" i="79"/>
  <c r="AH66" i="79"/>
  <c r="AI66" i="79"/>
  <c r="AI93" i="79"/>
  <c r="AH93" i="79"/>
  <c r="AI123" i="79"/>
  <c r="AH123" i="79"/>
  <c r="AI73" i="79"/>
  <c r="AH73" i="79"/>
  <c r="AH56" i="79"/>
  <c r="AH72" i="79"/>
  <c r="AI38" i="79"/>
  <c r="AH38" i="79"/>
  <c r="AI61" i="79"/>
  <c r="AH61" i="79"/>
  <c r="AI13" i="79"/>
  <c r="AH13" i="79"/>
  <c r="AH112" i="79"/>
  <c r="AI112" i="79"/>
  <c r="AI32" i="79" l="1"/>
  <c r="AI99" i="79"/>
  <c r="AH29" i="79"/>
  <c r="AH47" i="79"/>
  <c r="AI47" i="79"/>
  <c r="AH8" i="79"/>
  <c r="AH105" i="79"/>
  <c r="AI77" i="79"/>
  <c r="AI121" i="79"/>
  <c r="AI105" i="79"/>
  <c r="AI29" i="79"/>
  <c r="AH121" i="79"/>
  <c r="AI88" i="79"/>
  <c r="AI56" i="79"/>
  <c r="AH85" i="79"/>
  <c r="AI57" i="79"/>
  <c r="AI48" i="79"/>
  <c r="AH22" i="79"/>
  <c r="AH77" i="79"/>
  <c r="AH57" i="79"/>
  <c r="AI52" i="79"/>
  <c r="AI8" i="79"/>
  <c r="AI22" i="79"/>
  <c r="AH48" i="79"/>
  <c r="AI83" i="79"/>
  <c r="AI85" i="79"/>
  <c r="AI16" i="79"/>
  <c r="AH16" i="79"/>
  <c r="AH52" i="79"/>
  <c r="AH83" i="79"/>
  <c r="V5" i="79"/>
  <c r="AI5" i="79" s="1"/>
  <c r="AI12" i="79"/>
  <c r="AI128" i="79" s="1"/>
  <c r="AH12" i="79"/>
  <c r="AJ127" i="79"/>
  <c r="AJ128" i="79"/>
  <c r="X130" i="115"/>
  <c r="W130" i="115"/>
  <c r="V130" i="115"/>
  <c r="U130" i="115"/>
  <c r="X129" i="115"/>
  <c r="W129" i="115"/>
  <c r="V129" i="115"/>
  <c r="U129" i="115"/>
  <c r="X128" i="115"/>
  <c r="W128" i="115"/>
  <c r="V128" i="115"/>
  <c r="U128" i="115"/>
  <c r="X127" i="115"/>
  <c r="W127" i="115"/>
  <c r="V127" i="115"/>
  <c r="U127" i="115"/>
  <c r="X126" i="115"/>
  <c r="W126" i="115"/>
  <c r="V126" i="115"/>
  <c r="U126" i="115"/>
  <c r="M130" i="115"/>
  <c r="L130" i="115"/>
  <c r="K130" i="115"/>
  <c r="J130" i="115"/>
  <c r="M129" i="115"/>
  <c r="L129" i="115"/>
  <c r="K129" i="115"/>
  <c r="J129" i="115"/>
  <c r="M128" i="115"/>
  <c r="L128" i="115"/>
  <c r="K128" i="115"/>
  <c r="J128" i="115"/>
  <c r="M127" i="115"/>
  <c r="L127" i="115"/>
  <c r="K127" i="115"/>
  <c r="J127" i="115"/>
  <c r="M126" i="115"/>
  <c r="L126" i="115"/>
  <c r="K126" i="115"/>
  <c r="J126" i="115"/>
  <c r="X99" i="115"/>
  <c r="W99" i="115"/>
  <c r="U99" i="115"/>
  <c r="X98" i="115"/>
  <c r="W98" i="115"/>
  <c r="U98" i="115"/>
  <c r="X97" i="115"/>
  <c r="W97" i="115"/>
  <c r="U97" i="115"/>
  <c r="X124" i="115"/>
  <c r="W124" i="115"/>
  <c r="U124" i="115"/>
  <c r="X123" i="115"/>
  <c r="W123" i="115"/>
  <c r="U123" i="115"/>
  <c r="X96" i="115"/>
  <c r="W96" i="115"/>
  <c r="U96" i="115"/>
  <c r="X95" i="115"/>
  <c r="W95" i="115"/>
  <c r="U95" i="115"/>
  <c r="X94" i="115"/>
  <c r="W94" i="115"/>
  <c r="U94" i="115"/>
  <c r="X122" i="115"/>
  <c r="W122" i="115"/>
  <c r="U122" i="115"/>
  <c r="X93" i="115"/>
  <c r="W93" i="115"/>
  <c r="U93" i="115"/>
  <c r="X92" i="115"/>
  <c r="W92" i="115"/>
  <c r="U92" i="115"/>
  <c r="X91" i="115"/>
  <c r="W91" i="115"/>
  <c r="U91" i="115"/>
  <c r="X121" i="115"/>
  <c r="W121" i="115"/>
  <c r="U121" i="115"/>
  <c r="X90" i="115"/>
  <c r="W90" i="115"/>
  <c r="U90" i="115"/>
  <c r="X89" i="115"/>
  <c r="W89" i="115"/>
  <c r="U89" i="115"/>
  <c r="X88" i="115"/>
  <c r="W88" i="115"/>
  <c r="U88" i="115"/>
  <c r="X87" i="115"/>
  <c r="W87" i="115"/>
  <c r="U87" i="115"/>
  <c r="X86" i="115"/>
  <c r="W86" i="115"/>
  <c r="U86" i="115"/>
  <c r="X85" i="115"/>
  <c r="W85" i="115"/>
  <c r="U85" i="115"/>
  <c r="X84" i="115"/>
  <c r="W84" i="115"/>
  <c r="U84" i="115"/>
  <c r="X83" i="115"/>
  <c r="W83" i="115"/>
  <c r="U83" i="115"/>
  <c r="X82" i="115"/>
  <c r="W82" i="115"/>
  <c r="U82" i="115"/>
  <c r="X81" i="115"/>
  <c r="W81" i="115"/>
  <c r="U81" i="115"/>
  <c r="X120" i="115"/>
  <c r="W120" i="115"/>
  <c r="U120" i="115"/>
  <c r="X80" i="115"/>
  <c r="W80" i="115"/>
  <c r="U80" i="115"/>
  <c r="X119" i="115"/>
  <c r="W119" i="115"/>
  <c r="U119" i="115"/>
  <c r="X79" i="115"/>
  <c r="W79" i="115"/>
  <c r="U79" i="115"/>
  <c r="X118" i="115"/>
  <c r="W118" i="115"/>
  <c r="U118" i="115"/>
  <c r="X78" i="115"/>
  <c r="W78" i="115"/>
  <c r="U78" i="115"/>
  <c r="X77" i="115"/>
  <c r="W77" i="115"/>
  <c r="U77" i="115"/>
  <c r="X76" i="115"/>
  <c r="W76" i="115"/>
  <c r="U76" i="115"/>
  <c r="X75" i="115"/>
  <c r="W75" i="115"/>
  <c r="U75" i="115"/>
  <c r="X74" i="115"/>
  <c r="W74" i="115"/>
  <c r="U74" i="115"/>
  <c r="X117" i="115"/>
  <c r="W117" i="115"/>
  <c r="U117" i="115"/>
  <c r="X73" i="115"/>
  <c r="W73" i="115"/>
  <c r="U73" i="115"/>
  <c r="X116" i="115"/>
  <c r="W116" i="115"/>
  <c r="U116" i="115"/>
  <c r="X72" i="115"/>
  <c r="W72" i="115"/>
  <c r="U72" i="115"/>
  <c r="X71" i="115"/>
  <c r="W71" i="115"/>
  <c r="U71" i="115"/>
  <c r="X70" i="115"/>
  <c r="W70" i="115"/>
  <c r="U70" i="115"/>
  <c r="X69" i="115"/>
  <c r="W69" i="115"/>
  <c r="U69" i="115"/>
  <c r="X115" i="115"/>
  <c r="W115" i="115"/>
  <c r="U115" i="115"/>
  <c r="X68" i="115"/>
  <c r="W68" i="115"/>
  <c r="U68" i="115"/>
  <c r="X67" i="115"/>
  <c r="W67" i="115"/>
  <c r="U67" i="115"/>
  <c r="X114" i="115"/>
  <c r="W114" i="115"/>
  <c r="U114" i="115"/>
  <c r="X113" i="115"/>
  <c r="W113" i="115"/>
  <c r="U113" i="115"/>
  <c r="X66" i="115"/>
  <c r="W66" i="115"/>
  <c r="U66" i="115"/>
  <c r="X65" i="115"/>
  <c r="W65" i="115"/>
  <c r="U65" i="115"/>
  <c r="X64" i="115"/>
  <c r="W64" i="115"/>
  <c r="U64" i="115"/>
  <c r="X63" i="115"/>
  <c r="W63" i="115"/>
  <c r="U63" i="115"/>
  <c r="X62" i="115"/>
  <c r="W62" i="115"/>
  <c r="U62" i="115"/>
  <c r="X61" i="115"/>
  <c r="W61" i="115"/>
  <c r="U61" i="115"/>
  <c r="X112" i="115"/>
  <c r="W112" i="115"/>
  <c r="U112" i="115"/>
  <c r="X111" i="115"/>
  <c r="W111" i="115"/>
  <c r="U111" i="115"/>
  <c r="X60" i="115"/>
  <c r="W60" i="115"/>
  <c r="U60" i="115"/>
  <c r="X110" i="115"/>
  <c r="W110" i="115"/>
  <c r="U110" i="115"/>
  <c r="X59" i="115"/>
  <c r="W59" i="115"/>
  <c r="U59" i="115"/>
  <c r="X58" i="115"/>
  <c r="W58" i="115"/>
  <c r="U58" i="115"/>
  <c r="X57" i="115"/>
  <c r="W57" i="115"/>
  <c r="U57" i="115"/>
  <c r="X56" i="115"/>
  <c r="W56" i="115"/>
  <c r="U56" i="115"/>
  <c r="X55" i="115"/>
  <c r="W55" i="115"/>
  <c r="U55" i="115"/>
  <c r="X54" i="115"/>
  <c r="W54" i="115"/>
  <c r="U54" i="115"/>
  <c r="X53" i="115"/>
  <c r="W53" i="115"/>
  <c r="U53" i="115"/>
  <c r="X52" i="115"/>
  <c r="W52" i="115"/>
  <c r="U52" i="115"/>
  <c r="X51" i="115"/>
  <c r="W51" i="115"/>
  <c r="U51" i="115"/>
  <c r="X50" i="115"/>
  <c r="W50" i="115"/>
  <c r="U50" i="115"/>
  <c r="X109" i="115"/>
  <c r="W109" i="115"/>
  <c r="U109" i="115"/>
  <c r="X49" i="115"/>
  <c r="W49" i="115"/>
  <c r="U49" i="115"/>
  <c r="X48" i="115"/>
  <c r="W48" i="115"/>
  <c r="U48" i="115"/>
  <c r="X47" i="115"/>
  <c r="W47" i="115"/>
  <c r="U47" i="115"/>
  <c r="X46" i="115"/>
  <c r="W46" i="115"/>
  <c r="U46" i="115"/>
  <c r="X108" i="115"/>
  <c r="W108" i="115"/>
  <c r="U108" i="115"/>
  <c r="X45" i="115"/>
  <c r="W45" i="115"/>
  <c r="U45" i="115"/>
  <c r="X44" i="115"/>
  <c r="W44" i="115"/>
  <c r="U44" i="115"/>
  <c r="X43" i="115"/>
  <c r="W43" i="115"/>
  <c r="U43" i="115"/>
  <c r="X42" i="115"/>
  <c r="W42" i="115"/>
  <c r="U42" i="115"/>
  <c r="X41" i="115"/>
  <c r="W41" i="115"/>
  <c r="U41" i="115"/>
  <c r="X40" i="115"/>
  <c r="W40" i="115"/>
  <c r="U40" i="115"/>
  <c r="X39" i="115"/>
  <c r="W39" i="115"/>
  <c r="U39" i="115"/>
  <c r="X107" i="115"/>
  <c r="W107" i="115"/>
  <c r="U107" i="115"/>
  <c r="X106" i="115"/>
  <c r="W106" i="115"/>
  <c r="U106" i="115"/>
  <c r="X38" i="115"/>
  <c r="W38" i="115"/>
  <c r="U38" i="115"/>
  <c r="X37" i="115"/>
  <c r="W37" i="115"/>
  <c r="U37" i="115"/>
  <c r="X105" i="115"/>
  <c r="W105" i="115"/>
  <c r="U105" i="115"/>
  <c r="X36" i="115"/>
  <c r="W36" i="115"/>
  <c r="U36" i="115"/>
  <c r="X35" i="115"/>
  <c r="W35" i="115"/>
  <c r="U35" i="115"/>
  <c r="X34" i="115"/>
  <c r="W34" i="115"/>
  <c r="U34" i="115"/>
  <c r="X33" i="115"/>
  <c r="W33" i="115"/>
  <c r="U33" i="115"/>
  <c r="X32" i="115"/>
  <c r="W32" i="115"/>
  <c r="U32" i="115"/>
  <c r="X31" i="115"/>
  <c r="W31" i="115"/>
  <c r="U31" i="115"/>
  <c r="X30" i="115"/>
  <c r="W30" i="115"/>
  <c r="U30" i="115"/>
  <c r="X104" i="115"/>
  <c r="W104" i="115"/>
  <c r="U104" i="115"/>
  <c r="X29" i="115"/>
  <c r="W29" i="115"/>
  <c r="U29" i="115"/>
  <c r="X28" i="115"/>
  <c r="W28" i="115"/>
  <c r="U28" i="115"/>
  <c r="X27" i="115"/>
  <c r="W27" i="115"/>
  <c r="U27" i="115"/>
  <c r="X26" i="115"/>
  <c r="W26" i="115"/>
  <c r="U26" i="115"/>
  <c r="X25" i="115"/>
  <c r="W25" i="115"/>
  <c r="U25" i="115"/>
  <c r="X103" i="115"/>
  <c r="W103" i="115"/>
  <c r="U103" i="115"/>
  <c r="X102" i="115"/>
  <c r="W102" i="115"/>
  <c r="U102" i="115"/>
  <c r="X24" i="115"/>
  <c r="W24" i="115"/>
  <c r="U24" i="115"/>
  <c r="X23" i="115"/>
  <c r="W23" i="115"/>
  <c r="U23" i="115"/>
  <c r="X22" i="115"/>
  <c r="W22" i="115"/>
  <c r="U22" i="115"/>
  <c r="X21" i="115"/>
  <c r="W21" i="115"/>
  <c r="U21" i="115"/>
  <c r="X20" i="115"/>
  <c r="W20" i="115"/>
  <c r="U20" i="115"/>
  <c r="X19" i="115"/>
  <c r="W19" i="115"/>
  <c r="U19" i="115"/>
  <c r="X18" i="115"/>
  <c r="W18" i="115"/>
  <c r="U18" i="115"/>
  <c r="X17" i="115"/>
  <c r="W17" i="115"/>
  <c r="U17" i="115"/>
  <c r="X101" i="115"/>
  <c r="W101" i="115"/>
  <c r="U101" i="115"/>
  <c r="X16" i="115"/>
  <c r="W16" i="115"/>
  <c r="U16" i="115"/>
  <c r="X15" i="115"/>
  <c r="W15" i="115"/>
  <c r="U15" i="115"/>
  <c r="X14" i="115"/>
  <c r="W14" i="115"/>
  <c r="U14" i="115"/>
  <c r="X13" i="115"/>
  <c r="W13" i="115"/>
  <c r="U13" i="115"/>
  <c r="X12" i="115"/>
  <c r="W12" i="115"/>
  <c r="U12" i="115"/>
  <c r="X11" i="115"/>
  <c r="W11" i="115"/>
  <c r="U11" i="115"/>
  <c r="X10" i="115"/>
  <c r="W10" i="115"/>
  <c r="U10" i="115"/>
  <c r="X9" i="115"/>
  <c r="W9" i="115"/>
  <c r="U9" i="115"/>
  <c r="X8" i="115"/>
  <c r="W8" i="115"/>
  <c r="U8" i="115"/>
  <c r="X7" i="115"/>
  <c r="W7" i="115"/>
  <c r="U7" i="115"/>
  <c r="X100" i="115"/>
  <c r="W100" i="115"/>
  <c r="U100" i="115"/>
  <c r="X6" i="115"/>
  <c r="W6" i="115"/>
  <c r="U6" i="115"/>
  <c r="X5" i="115"/>
  <c r="W5" i="115"/>
  <c r="U5" i="115"/>
  <c r="X4" i="115"/>
  <c r="W4" i="115"/>
  <c r="U4" i="115"/>
  <c r="V99" i="115"/>
  <c r="V98" i="115"/>
  <c r="V97" i="115"/>
  <c r="V124" i="115"/>
  <c r="V123" i="115"/>
  <c r="V96" i="115"/>
  <c r="V95" i="115"/>
  <c r="V94" i="115"/>
  <c r="V122" i="115"/>
  <c r="V93" i="115"/>
  <c r="V92" i="115"/>
  <c r="V91" i="115"/>
  <c r="V121" i="115"/>
  <c r="V90" i="115"/>
  <c r="V89" i="115"/>
  <c r="V88" i="115"/>
  <c r="V87" i="115"/>
  <c r="V86" i="115"/>
  <c r="V85" i="115"/>
  <c r="V84" i="115"/>
  <c r="V83" i="115"/>
  <c r="V82" i="115"/>
  <c r="V81" i="115"/>
  <c r="V120" i="115"/>
  <c r="V80" i="115"/>
  <c r="V119" i="115"/>
  <c r="V79" i="115"/>
  <c r="V118" i="115"/>
  <c r="V78" i="115"/>
  <c r="V77" i="115"/>
  <c r="V76" i="115"/>
  <c r="V75" i="115"/>
  <c r="V74" i="115"/>
  <c r="V117" i="115"/>
  <c r="V73" i="115"/>
  <c r="V116" i="115"/>
  <c r="V72" i="115"/>
  <c r="V71" i="115"/>
  <c r="V70" i="115"/>
  <c r="V69" i="115"/>
  <c r="V115" i="115"/>
  <c r="V68" i="115"/>
  <c r="V67" i="115"/>
  <c r="V114" i="115"/>
  <c r="V113" i="115"/>
  <c r="V66" i="115"/>
  <c r="V65" i="115"/>
  <c r="V64" i="115"/>
  <c r="V63" i="115"/>
  <c r="V62" i="115"/>
  <c r="V61" i="115"/>
  <c r="V112" i="115"/>
  <c r="V111" i="115"/>
  <c r="V60" i="115"/>
  <c r="V110" i="115"/>
  <c r="V59" i="115"/>
  <c r="V58" i="115"/>
  <c r="V57" i="115"/>
  <c r="V56" i="115"/>
  <c r="V55" i="115"/>
  <c r="V54" i="115"/>
  <c r="V53" i="115"/>
  <c r="V52" i="115"/>
  <c r="V51" i="115"/>
  <c r="V50" i="115"/>
  <c r="V109" i="115"/>
  <c r="V49" i="115"/>
  <c r="V48" i="115"/>
  <c r="V47" i="115"/>
  <c r="V46" i="115"/>
  <c r="V108" i="115"/>
  <c r="V45" i="115"/>
  <c r="V44" i="115"/>
  <c r="V43" i="115"/>
  <c r="V42" i="115"/>
  <c r="V41" i="115"/>
  <c r="V40" i="115"/>
  <c r="V39" i="115"/>
  <c r="V107" i="115"/>
  <c r="V106" i="115"/>
  <c r="V38" i="115"/>
  <c r="V37" i="115"/>
  <c r="V105" i="115"/>
  <c r="V36" i="115"/>
  <c r="V35" i="115"/>
  <c r="V34" i="115"/>
  <c r="V33" i="115"/>
  <c r="V32" i="115"/>
  <c r="V31" i="115"/>
  <c r="V30" i="115"/>
  <c r="V104" i="115"/>
  <c r="V29" i="115"/>
  <c r="V28" i="115"/>
  <c r="V27" i="115"/>
  <c r="V26" i="115"/>
  <c r="V25" i="115"/>
  <c r="V103" i="115"/>
  <c r="V102" i="115"/>
  <c r="V24" i="115"/>
  <c r="V23" i="115"/>
  <c r="V22" i="115"/>
  <c r="V21" i="115"/>
  <c r="V20" i="115"/>
  <c r="V19" i="115"/>
  <c r="V18" i="115"/>
  <c r="V17" i="115"/>
  <c r="V101" i="115"/>
  <c r="V16" i="115"/>
  <c r="V15" i="115"/>
  <c r="V14" i="115"/>
  <c r="V13" i="115"/>
  <c r="V12" i="115"/>
  <c r="V11" i="115"/>
  <c r="V10" i="115"/>
  <c r="V9" i="115"/>
  <c r="V8" i="115"/>
  <c r="V7" i="115"/>
  <c r="V100" i="115"/>
  <c r="V6" i="115"/>
  <c r="V5" i="115"/>
  <c r="V4" i="115"/>
  <c r="M99" i="115"/>
  <c r="M98" i="115"/>
  <c r="M97" i="115"/>
  <c r="M124" i="115"/>
  <c r="M123" i="115"/>
  <c r="M96" i="115"/>
  <c r="M95" i="115"/>
  <c r="M94" i="115"/>
  <c r="M122" i="115"/>
  <c r="M93" i="115"/>
  <c r="M92" i="115"/>
  <c r="M91" i="115"/>
  <c r="M121" i="115"/>
  <c r="M90" i="115"/>
  <c r="M89" i="115"/>
  <c r="M88" i="115"/>
  <c r="M87" i="115"/>
  <c r="M86" i="115"/>
  <c r="M85" i="115"/>
  <c r="M84" i="115"/>
  <c r="M83" i="115"/>
  <c r="M82" i="115"/>
  <c r="M81" i="115"/>
  <c r="M120" i="115"/>
  <c r="M80" i="115"/>
  <c r="M119" i="115"/>
  <c r="M79" i="115"/>
  <c r="M118" i="115"/>
  <c r="M78" i="115"/>
  <c r="M77" i="115"/>
  <c r="M76" i="115"/>
  <c r="M75" i="115"/>
  <c r="M74" i="115"/>
  <c r="M117" i="115"/>
  <c r="M73" i="115"/>
  <c r="M116" i="115"/>
  <c r="M72" i="115"/>
  <c r="M71" i="115"/>
  <c r="M70" i="115"/>
  <c r="M69" i="115"/>
  <c r="M115" i="115"/>
  <c r="M68" i="115"/>
  <c r="M67" i="115"/>
  <c r="M114" i="115"/>
  <c r="M113" i="115"/>
  <c r="M66" i="115"/>
  <c r="M65" i="115"/>
  <c r="M64" i="115"/>
  <c r="M63" i="115"/>
  <c r="M62" i="115"/>
  <c r="M61" i="115"/>
  <c r="M112" i="115"/>
  <c r="M111" i="115"/>
  <c r="M60" i="115"/>
  <c r="M110" i="115"/>
  <c r="M59" i="115"/>
  <c r="M58" i="115"/>
  <c r="M57" i="115"/>
  <c r="M56" i="115"/>
  <c r="M55" i="115"/>
  <c r="M54" i="115"/>
  <c r="M53" i="115"/>
  <c r="M52" i="115"/>
  <c r="M51" i="115"/>
  <c r="M50" i="115"/>
  <c r="M109" i="115"/>
  <c r="M49" i="115"/>
  <c r="M48" i="115"/>
  <c r="M47" i="115"/>
  <c r="M46" i="115"/>
  <c r="M108" i="115"/>
  <c r="M45" i="115"/>
  <c r="M44" i="115"/>
  <c r="M43" i="115"/>
  <c r="M42" i="115"/>
  <c r="M41" i="115"/>
  <c r="M40" i="115"/>
  <c r="M39" i="115"/>
  <c r="M107" i="115"/>
  <c r="M106" i="115"/>
  <c r="M38" i="115"/>
  <c r="M37" i="115"/>
  <c r="M105" i="115"/>
  <c r="M36" i="115"/>
  <c r="M35" i="115"/>
  <c r="M34" i="115"/>
  <c r="M33" i="115"/>
  <c r="M32" i="115"/>
  <c r="M31" i="115"/>
  <c r="M30" i="115"/>
  <c r="M104" i="115"/>
  <c r="M29" i="115"/>
  <c r="M28" i="115"/>
  <c r="M27" i="115"/>
  <c r="M26" i="115"/>
  <c r="M25" i="115"/>
  <c r="M103" i="115"/>
  <c r="M102" i="115"/>
  <c r="M24" i="115"/>
  <c r="M23" i="115"/>
  <c r="M22" i="115"/>
  <c r="M21" i="115"/>
  <c r="M20" i="115"/>
  <c r="M19" i="115"/>
  <c r="M18" i="115"/>
  <c r="M17" i="115"/>
  <c r="M101" i="115"/>
  <c r="M16" i="115"/>
  <c r="M15" i="115"/>
  <c r="M14" i="115"/>
  <c r="M13" i="115"/>
  <c r="M12" i="115"/>
  <c r="M11" i="115"/>
  <c r="M10" i="115"/>
  <c r="M9" i="115"/>
  <c r="M8" i="115"/>
  <c r="M7" i="115"/>
  <c r="M100" i="115"/>
  <c r="M6" i="115"/>
  <c r="M5" i="115"/>
  <c r="M4" i="115"/>
  <c r="L99" i="115"/>
  <c r="L98" i="115"/>
  <c r="L97" i="115"/>
  <c r="L124" i="115"/>
  <c r="L123" i="115"/>
  <c r="L96" i="115"/>
  <c r="L95" i="115"/>
  <c r="L94" i="115"/>
  <c r="L122" i="115"/>
  <c r="L93" i="115"/>
  <c r="L92" i="115"/>
  <c r="L91" i="115"/>
  <c r="L121" i="115"/>
  <c r="L90" i="115"/>
  <c r="L89" i="115"/>
  <c r="L88" i="115"/>
  <c r="L87" i="115"/>
  <c r="L86" i="115"/>
  <c r="L85" i="115"/>
  <c r="L84" i="115"/>
  <c r="L83" i="115"/>
  <c r="L82" i="115"/>
  <c r="L81" i="115"/>
  <c r="L120" i="115"/>
  <c r="L80" i="115"/>
  <c r="L119" i="115"/>
  <c r="L79" i="115"/>
  <c r="L118" i="115"/>
  <c r="L78" i="115"/>
  <c r="L77" i="115"/>
  <c r="L76" i="115"/>
  <c r="L75" i="115"/>
  <c r="L74" i="115"/>
  <c r="L117" i="115"/>
  <c r="L73" i="115"/>
  <c r="L116" i="115"/>
  <c r="L72" i="115"/>
  <c r="L71" i="115"/>
  <c r="L70" i="115"/>
  <c r="L69" i="115"/>
  <c r="L115" i="115"/>
  <c r="L68" i="115"/>
  <c r="L67" i="115"/>
  <c r="L114" i="115"/>
  <c r="L113" i="115"/>
  <c r="L66" i="115"/>
  <c r="L65" i="115"/>
  <c r="L64" i="115"/>
  <c r="L63" i="115"/>
  <c r="L62" i="115"/>
  <c r="L61" i="115"/>
  <c r="L112" i="115"/>
  <c r="L111" i="115"/>
  <c r="L60" i="115"/>
  <c r="L110" i="115"/>
  <c r="L59" i="115"/>
  <c r="L58" i="115"/>
  <c r="L57" i="115"/>
  <c r="L56" i="115"/>
  <c r="L55" i="115"/>
  <c r="L54" i="115"/>
  <c r="L53" i="115"/>
  <c r="L52" i="115"/>
  <c r="L51" i="115"/>
  <c r="L50" i="115"/>
  <c r="L109" i="115"/>
  <c r="L49" i="115"/>
  <c r="L48" i="115"/>
  <c r="L47" i="115"/>
  <c r="L46" i="115"/>
  <c r="L108" i="115"/>
  <c r="L45" i="115"/>
  <c r="L44" i="115"/>
  <c r="L43" i="115"/>
  <c r="L42" i="115"/>
  <c r="L41" i="115"/>
  <c r="L40" i="115"/>
  <c r="L39" i="115"/>
  <c r="L107" i="115"/>
  <c r="L106" i="115"/>
  <c r="L38" i="115"/>
  <c r="L37" i="115"/>
  <c r="L105" i="115"/>
  <c r="L36" i="115"/>
  <c r="L35" i="115"/>
  <c r="L34" i="115"/>
  <c r="L33" i="115"/>
  <c r="L32" i="115"/>
  <c r="L31" i="115"/>
  <c r="L30" i="115"/>
  <c r="L104" i="115"/>
  <c r="L29" i="115"/>
  <c r="L28" i="115"/>
  <c r="L27" i="115"/>
  <c r="L26" i="115"/>
  <c r="L25" i="115"/>
  <c r="L103" i="115"/>
  <c r="L102" i="115"/>
  <c r="L24" i="115"/>
  <c r="L23" i="115"/>
  <c r="L22" i="115"/>
  <c r="L21" i="115"/>
  <c r="L20" i="115"/>
  <c r="L19" i="115"/>
  <c r="L18" i="115"/>
  <c r="L17" i="115"/>
  <c r="L101" i="115"/>
  <c r="L16" i="115"/>
  <c r="L15" i="115"/>
  <c r="L14" i="115"/>
  <c r="L13" i="115"/>
  <c r="L12" i="115"/>
  <c r="L11" i="115"/>
  <c r="L10" i="115"/>
  <c r="L9" i="115"/>
  <c r="L8" i="115"/>
  <c r="L7" i="115"/>
  <c r="L100" i="115"/>
  <c r="L6" i="115"/>
  <c r="L5" i="115"/>
  <c r="L4" i="115"/>
  <c r="J99" i="115"/>
  <c r="J98" i="115"/>
  <c r="J97" i="115"/>
  <c r="J124" i="115"/>
  <c r="J123" i="115"/>
  <c r="J96" i="115"/>
  <c r="J95" i="115"/>
  <c r="J94" i="115"/>
  <c r="J122" i="115"/>
  <c r="J93" i="115"/>
  <c r="J92" i="115"/>
  <c r="J91" i="115"/>
  <c r="J121" i="115"/>
  <c r="J90" i="115"/>
  <c r="J89" i="115"/>
  <c r="J88" i="115"/>
  <c r="J87" i="115"/>
  <c r="J86" i="115"/>
  <c r="J85" i="115"/>
  <c r="J84" i="115"/>
  <c r="J83" i="115"/>
  <c r="J82" i="115"/>
  <c r="J81" i="115"/>
  <c r="J120" i="115"/>
  <c r="J80" i="115"/>
  <c r="J119" i="115"/>
  <c r="J79" i="115"/>
  <c r="J118" i="115"/>
  <c r="J78" i="115"/>
  <c r="J77" i="115"/>
  <c r="J76" i="115"/>
  <c r="J75" i="115"/>
  <c r="J74" i="115"/>
  <c r="J117" i="115"/>
  <c r="J73" i="115"/>
  <c r="J116" i="115"/>
  <c r="J72" i="115"/>
  <c r="J71" i="115"/>
  <c r="J70" i="115"/>
  <c r="J69" i="115"/>
  <c r="J115" i="115"/>
  <c r="J68" i="115"/>
  <c r="J67" i="115"/>
  <c r="J114" i="115"/>
  <c r="J113" i="115"/>
  <c r="J66" i="115"/>
  <c r="J65" i="115"/>
  <c r="J64" i="115"/>
  <c r="J63" i="115"/>
  <c r="J62" i="115"/>
  <c r="J61" i="115"/>
  <c r="J112" i="115"/>
  <c r="J111" i="115"/>
  <c r="J60" i="115"/>
  <c r="J110" i="115"/>
  <c r="J59" i="115"/>
  <c r="J58" i="115"/>
  <c r="J57" i="115"/>
  <c r="J56" i="115"/>
  <c r="J55" i="115"/>
  <c r="J54" i="115"/>
  <c r="J53" i="115"/>
  <c r="J52" i="115"/>
  <c r="J51" i="115"/>
  <c r="J50" i="115"/>
  <c r="J109" i="115"/>
  <c r="J49" i="115"/>
  <c r="J48" i="115"/>
  <c r="J47" i="115"/>
  <c r="J46" i="115"/>
  <c r="J108" i="115"/>
  <c r="J45" i="115"/>
  <c r="J44" i="115"/>
  <c r="J43" i="115"/>
  <c r="J42" i="115"/>
  <c r="J41" i="115"/>
  <c r="J40" i="115"/>
  <c r="J39" i="115"/>
  <c r="J107" i="115"/>
  <c r="J106" i="115"/>
  <c r="J38" i="115"/>
  <c r="J37" i="115"/>
  <c r="J105" i="115"/>
  <c r="J36" i="115"/>
  <c r="J35" i="115"/>
  <c r="J34" i="115"/>
  <c r="J33" i="115"/>
  <c r="J32" i="115"/>
  <c r="J31" i="115"/>
  <c r="J30" i="115"/>
  <c r="J104" i="115"/>
  <c r="J29" i="115"/>
  <c r="J28" i="115"/>
  <c r="J27" i="115"/>
  <c r="J26" i="115"/>
  <c r="J25" i="115"/>
  <c r="J103" i="115"/>
  <c r="J102" i="115"/>
  <c r="J24" i="115"/>
  <c r="J23" i="115"/>
  <c r="J22" i="115"/>
  <c r="J21" i="115"/>
  <c r="J20" i="115"/>
  <c r="J19" i="115"/>
  <c r="J18" i="115"/>
  <c r="J17" i="115"/>
  <c r="J101" i="115"/>
  <c r="J16" i="115"/>
  <c r="J15" i="115"/>
  <c r="J14" i="115"/>
  <c r="J13" i="115"/>
  <c r="J12" i="115"/>
  <c r="J11" i="115"/>
  <c r="J10" i="115"/>
  <c r="J9" i="115"/>
  <c r="J8" i="115"/>
  <c r="J7" i="115"/>
  <c r="J100" i="115"/>
  <c r="J6" i="115"/>
  <c r="J5" i="115"/>
  <c r="J4" i="115"/>
  <c r="K99" i="115"/>
  <c r="K98" i="115"/>
  <c r="K97" i="115"/>
  <c r="K124" i="115"/>
  <c r="K123" i="115"/>
  <c r="K96" i="115"/>
  <c r="K95" i="115"/>
  <c r="K94" i="115"/>
  <c r="K122" i="115"/>
  <c r="K93" i="115"/>
  <c r="K92" i="115"/>
  <c r="K91" i="115"/>
  <c r="K121" i="115"/>
  <c r="K90" i="115"/>
  <c r="K89" i="115"/>
  <c r="K88" i="115"/>
  <c r="K87" i="115"/>
  <c r="K86" i="115"/>
  <c r="K85" i="115"/>
  <c r="K84" i="115"/>
  <c r="K83" i="115"/>
  <c r="K82" i="115"/>
  <c r="K81" i="115"/>
  <c r="K120" i="115"/>
  <c r="K80" i="115"/>
  <c r="K119" i="115"/>
  <c r="K79" i="115"/>
  <c r="K118" i="115"/>
  <c r="K78" i="115"/>
  <c r="K77" i="115"/>
  <c r="K76" i="115"/>
  <c r="K75" i="115"/>
  <c r="K74" i="115"/>
  <c r="K117" i="115"/>
  <c r="K73" i="115"/>
  <c r="K116" i="115"/>
  <c r="K72" i="115"/>
  <c r="K71" i="115"/>
  <c r="K70" i="115"/>
  <c r="K69" i="115"/>
  <c r="K115" i="115"/>
  <c r="K68" i="115"/>
  <c r="K67" i="115"/>
  <c r="K114" i="115"/>
  <c r="K113" i="115"/>
  <c r="K66" i="115"/>
  <c r="K65" i="115"/>
  <c r="K64" i="115"/>
  <c r="K63" i="115"/>
  <c r="K62" i="115"/>
  <c r="K61" i="115"/>
  <c r="K112" i="115"/>
  <c r="K111" i="115"/>
  <c r="K60" i="115"/>
  <c r="K110" i="115"/>
  <c r="K59" i="115"/>
  <c r="K58" i="115"/>
  <c r="K57" i="115"/>
  <c r="K56" i="115"/>
  <c r="K55" i="115"/>
  <c r="K54" i="115"/>
  <c r="K53" i="115"/>
  <c r="K52" i="115"/>
  <c r="K51" i="115"/>
  <c r="K50" i="115"/>
  <c r="K109" i="115"/>
  <c r="K49" i="115"/>
  <c r="K48" i="115"/>
  <c r="K47" i="115"/>
  <c r="K46" i="115"/>
  <c r="K108" i="115"/>
  <c r="K45" i="115"/>
  <c r="K44" i="115"/>
  <c r="K43" i="115"/>
  <c r="K42" i="115"/>
  <c r="K41" i="115"/>
  <c r="K40" i="115"/>
  <c r="K39" i="115"/>
  <c r="K107" i="115"/>
  <c r="K106" i="115"/>
  <c r="K38" i="115"/>
  <c r="K37" i="115"/>
  <c r="K105" i="115"/>
  <c r="K36" i="115"/>
  <c r="K35" i="115"/>
  <c r="K34" i="115"/>
  <c r="K33" i="115"/>
  <c r="K32" i="115"/>
  <c r="K31" i="115"/>
  <c r="K30" i="115"/>
  <c r="K104" i="115"/>
  <c r="K29" i="115"/>
  <c r="K28" i="115"/>
  <c r="K27" i="115"/>
  <c r="K26" i="115"/>
  <c r="K25" i="115"/>
  <c r="K103" i="115"/>
  <c r="K102" i="115"/>
  <c r="K24" i="115"/>
  <c r="K23" i="115"/>
  <c r="K22" i="115"/>
  <c r="K21" i="115"/>
  <c r="K20" i="115"/>
  <c r="K19" i="115"/>
  <c r="K18" i="115"/>
  <c r="K17" i="115"/>
  <c r="K101" i="115"/>
  <c r="K16" i="115"/>
  <c r="K15" i="115"/>
  <c r="K14" i="115"/>
  <c r="K13" i="115"/>
  <c r="K12" i="115"/>
  <c r="K11" i="115"/>
  <c r="K10" i="115"/>
  <c r="K9" i="115"/>
  <c r="K8" i="115"/>
  <c r="K7" i="115"/>
  <c r="K100" i="115"/>
  <c r="K6" i="115"/>
  <c r="K5" i="115"/>
  <c r="K4" i="115"/>
  <c r="AH128" i="79" l="1"/>
  <c r="AH127" i="79"/>
  <c r="AI127" i="79"/>
  <c r="G56" i="1"/>
  <c r="J61" i="1"/>
  <c r="J60" i="1"/>
  <c r="J59" i="1"/>
  <c r="J58" i="1"/>
  <c r="G2" i="108" l="1"/>
  <c r="I17" i="108"/>
  <c r="I16" i="108"/>
  <c r="I15" i="108"/>
  <c r="I14" i="108"/>
  <c r="I13" i="108"/>
  <c r="I12" i="108"/>
  <c r="I11" i="108"/>
  <c r="I10" i="108"/>
  <c r="I9" i="108"/>
  <c r="I8" i="108"/>
  <c r="I7" i="108"/>
  <c r="I6" i="108"/>
  <c r="I5" i="108"/>
  <c r="I4" i="108"/>
  <c r="I3" i="108"/>
  <c r="B2" i="108" l="1"/>
  <c r="BD131" i="109"/>
  <c r="BC131" i="109"/>
  <c r="BB131" i="109"/>
  <c r="BA131" i="109"/>
  <c r="AZ131" i="109"/>
  <c r="AY131" i="109"/>
  <c r="AX131" i="109"/>
  <c r="AW131" i="109"/>
  <c r="AV131" i="109"/>
  <c r="AU131" i="109"/>
  <c r="AT131" i="109"/>
  <c r="AS131" i="109"/>
  <c r="AR131" i="109"/>
  <c r="AQ131" i="109"/>
  <c r="AP131" i="109"/>
  <c r="BD130" i="109"/>
  <c r="BC130" i="109"/>
  <c r="BB130" i="109"/>
  <c r="BA130" i="109"/>
  <c r="AZ130" i="109"/>
  <c r="AY130" i="109"/>
  <c r="AX130" i="109"/>
  <c r="AW130" i="109"/>
  <c r="AV130" i="109"/>
  <c r="AU130" i="109"/>
  <c r="AT130" i="109"/>
  <c r="AS130" i="109"/>
  <c r="AR130" i="109"/>
  <c r="AQ130" i="109"/>
  <c r="AP130" i="109"/>
  <c r="BD129" i="109"/>
  <c r="BC129" i="109"/>
  <c r="BB129" i="109"/>
  <c r="BA129" i="109"/>
  <c r="AZ129" i="109"/>
  <c r="AY129" i="109"/>
  <c r="AX129" i="109"/>
  <c r="AW129" i="109"/>
  <c r="AV129" i="109"/>
  <c r="AU129" i="109"/>
  <c r="AT129" i="109"/>
  <c r="AS129" i="109"/>
  <c r="AR129" i="109"/>
  <c r="AQ129" i="109"/>
  <c r="AP129" i="109"/>
  <c r="BD128" i="109"/>
  <c r="BC128" i="109"/>
  <c r="BB128" i="109"/>
  <c r="BA128" i="109"/>
  <c r="AZ128" i="109"/>
  <c r="AY128" i="109"/>
  <c r="AX128" i="109"/>
  <c r="AW128" i="109"/>
  <c r="AV128" i="109"/>
  <c r="AU128" i="109"/>
  <c r="AT128" i="109"/>
  <c r="AS128" i="109"/>
  <c r="AR128" i="109"/>
  <c r="AQ128" i="109"/>
  <c r="AP128" i="109"/>
  <c r="BD127" i="109"/>
  <c r="BC127" i="109"/>
  <c r="BB127" i="109"/>
  <c r="BA127" i="109"/>
  <c r="AZ127" i="109"/>
  <c r="AY127" i="109"/>
  <c r="AX127" i="109"/>
  <c r="AW127" i="109"/>
  <c r="AV127" i="109"/>
  <c r="AU127" i="109"/>
  <c r="AT127" i="109"/>
  <c r="AS127" i="109"/>
  <c r="AR127" i="109"/>
  <c r="AQ127" i="109"/>
  <c r="AP127" i="109"/>
  <c r="BD125" i="109"/>
  <c r="BC125" i="109"/>
  <c r="BB125" i="109"/>
  <c r="BA125" i="109"/>
  <c r="AZ125" i="109"/>
  <c r="AY125" i="109"/>
  <c r="AX125" i="109"/>
  <c r="AW125" i="109"/>
  <c r="AV125" i="109"/>
  <c r="AU125" i="109"/>
  <c r="AT125" i="109"/>
  <c r="AS125" i="109"/>
  <c r="AR125" i="109"/>
  <c r="AQ125" i="109"/>
  <c r="AP125" i="109"/>
  <c r="BD124" i="109"/>
  <c r="BC124" i="109"/>
  <c r="BB124" i="109"/>
  <c r="BA124" i="109"/>
  <c r="AZ124" i="109"/>
  <c r="AY124" i="109"/>
  <c r="AX124" i="109"/>
  <c r="AW124" i="109"/>
  <c r="AV124" i="109"/>
  <c r="AU124" i="109"/>
  <c r="AT124" i="109"/>
  <c r="AS124" i="109"/>
  <c r="AR124" i="109"/>
  <c r="AQ124" i="109"/>
  <c r="AP124" i="109"/>
  <c r="BD123" i="109"/>
  <c r="BC123" i="109"/>
  <c r="BB123" i="109"/>
  <c r="BA123" i="109"/>
  <c r="AZ123" i="109"/>
  <c r="AY123" i="109"/>
  <c r="AX123" i="109"/>
  <c r="AW123" i="109"/>
  <c r="AV123" i="109"/>
  <c r="AU123" i="109"/>
  <c r="AT123" i="109"/>
  <c r="AS123" i="109"/>
  <c r="AR123" i="109"/>
  <c r="AQ123" i="109"/>
  <c r="AP123" i="109"/>
  <c r="BD122" i="109"/>
  <c r="BC122" i="109"/>
  <c r="BB122" i="109"/>
  <c r="BA122" i="109"/>
  <c r="AZ122" i="109"/>
  <c r="AY122" i="109"/>
  <c r="AX122" i="109"/>
  <c r="AW122" i="109"/>
  <c r="AV122" i="109"/>
  <c r="AU122" i="109"/>
  <c r="AT122" i="109"/>
  <c r="AS122" i="109"/>
  <c r="AR122" i="109"/>
  <c r="AQ122" i="109"/>
  <c r="AP122" i="109"/>
  <c r="BD121" i="109"/>
  <c r="BC121" i="109"/>
  <c r="BB121" i="109"/>
  <c r="BA121" i="109"/>
  <c r="AZ121" i="109"/>
  <c r="AY121" i="109"/>
  <c r="AX121" i="109"/>
  <c r="AW121" i="109"/>
  <c r="AV121" i="109"/>
  <c r="AU121" i="109"/>
  <c r="AT121" i="109"/>
  <c r="AS121" i="109"/>
  <c r="AR121" i="109"/>
  <c r="AQ121" i="109"/>
  <c r="AP121" i="109"/>
  <c r="BD120" i="109"/>
  <c r="BC120" i="109"/>
  <c r="BB120" i="109"/>
  <c r="BA120" i="109"/>
  <c r="AZ120" i="109"/>
  <c r="AY120" i="109"/>
  <c r="AX120" i="109"/>
  <c r="AW120" i="109"/>
  <c r="AV120" i="109"/>
  <c r="AU120" i="109"/>
  <c r="AT120" i="109"/>
  <c r="AS120" i="109"/>
  <c r="AR120" i="109"/>
  <c r="AQ120" i="109"/>
  <c r="AP120" i="109"/>
  <c r="BD119" i="109"/>
  <c r="BC119" i="109"/>
  <c r="BB119" i="109"/>
  <c r="BA119" i="109"/>
  <c r="AZ119" i="109"/>
  <c r="AY119" i="109"/>
  <c r="AX119" i="109"/>
  <c r="AW119" i="109"/>
  <c r="AV119" i="109"/>
  <c r="AU119" i="109"/>
  <c r="AT119" i="109"/>
  <c r="AS119" i="109"/>
  <c r="AR119" i="109"/>
  <c r="AQ119" i="109"/>
  <c r="AP119" i="109"/>
  <c r="BD118" i="109"/>
  <c r="BC118" i="109"/>
  <c r="BB118" i="109"/>
  <c r="BA118" i="109"/>
  <c r="AZ118" i="109"/>
  <c r="AY118" i="109"/>
  <c r="AX118" i="109"/>
  <c r="AW118" i="109"/>
  <c r="AV118" i="109"/>
  <c r="AU118" i="109"/>
  <c r="AT118" i="109"/>
  <c r="AS118" i="109"/>
  <c r="AR118" i="109"/>
  <c r="AQ118" i="109"/>
  <c r="AP118" i="109"/>
  <c r="BD117" i="109"/>
  <c r="BC117" i="109"/>
  <c r="BB117" i="109"/>
  <c r="BA117" i="109"/>
  <c r="AZ117" i="109"/>
  <c r="AY117" i="109"/>
  <c r="AX117" i="109"/>
  <c r="AW117" i="109"/>
  <c r="AV117" i="109"/>
  <c r="AU117" i="109"/>
  <c r="AT117" i="109"/>
  <c r="AS117" i="109"/>
  <c r="AR117" i="109"/>
  <c r="AQ117" i="109"/>
  <c r="AP117" i="109"/>
  <c r="BD116" i="109"/>
  <c r="BC116" i="109"/>
  <c r="BB116" i="109"/>
  <c r="BA116" i="109"/>
  <c r="AZ116" i="109"/>
  <c r="AY116" i="109"/>
  <c r="AX116" i="109"/>
  <c r="AW116" i="109"/>
  <c r="AV116" i="109"/>
  <c r="AU116" i="109"/>
  <c r="AT116" i="109"/>
  <c r="AS116" i="109"/>
  <c r="AR116" i="109"/>
  <c r="AQ116" i="109"/>
  <c r="AP116" i="109"/>
  <c r="BD115" i="109"/>
  <c r="BC115" i="109"/>
  <c r="BB115" i="109"/>
  <c r="BA115" i="109"/>
  <c r="AZ115" i="109"/>
  <c r="AY115" i="109"/>
  <c r="AX115" i="109"/>
  <c r="AW115" i="109"/>
  <c r="AV115" i="109"/>
  <c r="AU115" i="109"/>
  <c r="AT115" i="109"/>
  <c r="AS115" i="109"/>
  <c r="AR115" i="109"/>
  <c r="AQ115" i="109"/>
  <c r="AP115" i="109"/>
  <c r="BD114" i="109"/>
  <c r="BC114" i="109"/>
  <c r="BB114" i="109"/>
  <c r="BA114" i="109"/>
  <c r="AZ114" i="109"/>
  <c r="AY114" i="109"/>
  <c r="AX114" i="109"/>
  <c r="AW114" i="109"/>
  <c r="AV114" i="109"/>
  <c r="AU114" i="109"/>
  <c r="AT114" i="109"/>
  <c r="AS114" i="109"/>
  <c r="AR114" i="109"/>
  <c r="AQ114" i="109"/>
  <c r="AP114" i="109"/>
  <c r="BD113" i="109"/>
  <c r="BC113" i="109"/>
  <c r="BB113" i="109"/>
  <c r="BA113" i="109"/>
  <c r="AZ113" i="109"/>
  <c r="AY113" i="109"/>
  <c r="AX113" i="109"/>
  <c r="AW113" i="109"/>
  <c r="AV113" i="109"/>
  <c r="AU113" i="109"/>
  <c r="AT113" i="109"/>
  <c r="AS113" i="109"/>
  <c r="AR113" i="109"/>
  <c r="AQ113" i="109"/>
  <c r="AP113" i="109"/>
  <c r="BD112" i="109"/>
  <c r="BC112" i="109"/>
  <c r="BB112" i="109"/>
  <c r="BA112" i="109"/>
  <c r="AZ112" i="109"/>
  <c r="AY112" i="109"/>
  <c r="AX112" i="109"/>
  <c r="AW112" i="109"/>
  <c r="AV112" i="109"/>
  <c r="AU112" i="109"/>
  <c r="AT112" i="109"/>
  <c r="AS112" i="109"/>
  <c r="AR112" i="109"/>
  <c r="AQ112" i="109"/>
  <c r="AP112" i="109"/>
  <c r="BD111" i="109"/>
  <c r="BC111" i="109"/>
  <c r="BB111" i="109"/>
  <c r="BA111" i="109"/>
  <c r="AZ111" i="109"/>
  <c r="AY111" i="109"/>
  <c r="AX111" i="109"/>
  <c r="AW111" i="109"/>
  <c r="AV111" i="109"/>
  <c r="AU111" i="109"/>
  <c r="AT111" i="109"/>
  <c r="AS111" i="109"/>
  <c r="AR111" i="109"/>
  <c r="AQ111" i="109"/>
  <c r="AP111" i="109"/>
  <c r="BD110" i="109"/>
  <c r="BC110" i="109"/>
  <c r="BB110" i="109"/>
  <c r="BA110" i="109"/>
  <c r="AZ110" i="109"/>
  <c r="AY110" i="109"/>
  <c r="AX110" i="109"/>
  <c r="AW110" i="109"/>
  <c r="AV110" i="109"/>
  <c r="AU110" i="109"/>
  <c r="AT110" i="109"/>
  <c r="AS110" i="109"/>
  <c r="AR110" i="109"/>
  <c r="AQ110" i="109"/>
  <c r="AP110" i="109"/>
  <c r="BD109" i="109"/>
  <c r="BC109" i="109"/>
  <c r="BB109" i="109"/>
  <c r="BA109" i="109"/>
  <c r="AZ109" i="109"/>
  <c r="AY109" i="109"/>
  <c r="AX109" i="109"/>
  <c r="AW109" i="109"/>
  <c r="AV109" i="109"/>
  <c r="AU109" i="109"/>
  <c r="AT109" i="109"/>
  <c r="AS109" i="109"/>
  <c r="AR109" i="109"/>
  <c r="AQ109" i="109"/>
  <c r="AP109" i="109"/>
  <c r="BD108" i="109"/>
  <c r="BC108" i="109"/>
  <c r="BB108" i="109"/>
  <c r="BA108" i="109"/>
  <c r="AZ108" i="109"/>
  <c r="AY108" i="109"/>
  <c r="AX108" i="109"/>
  <c r="AW108" i="109"/>
  <c r="AV108" i="109"/>
  <c r="AU108" i="109"/>
  <c r="AT108" i="109"/>
  <c r="AS108" i="109"/>
  <c r="AR108" i="109"/>
  <c r="AQ108" i="109"/>
  <c r="AP108" i="109"/>
  <c r="BD107" i="109"/>
  <c r="BC107" i="109"/>
  <c r="BB107" i="109"/>
  <c r="BA107" i="109"/>
  <c r="AZ107" i="109"/>
  <c r="AY107" i="109"/>
  <c r="AX107" i="109"/>
  <c r="AW107" i="109"/>
  <c r="AV107" i="109"/>
  <c r="AU107" i="109"/>
  <c r="AT107" i="109"/>
  <c r="AS107" i="109"/>
  <c r="AR107" i="109"/>
  <c r="AQ107" i="109"/>
  <c r="AP107" i="109"/>
  <c r="BD106" i="109"/>
  <c r="BC106" i="109"/>
  <c r="BB106" i="109"/>
  <c r="BA106" i="109"/>
  <c r="AZ106" i="109"/>
  <c r="AY106" i="109"/>
  <c r="AX106" i="109"/>
  <c r="AW106" i="109"/>
  <c r="AV106" i="109"/>
  <c r="AU106" i="109"/>
  <c r="AT106" i="109"/>
  <c r="AS106" i="109"/>
  <c r="AR106" i="109"/>
  <c r="AQ106" i="109"/>
  <c r="AP106" i="109"/>
  <c r="BD105" i="109"/>
  <c r="BC105" i="109"/>
  <c r="BB105" i="109"/>
  <c r="BA105" i="109"/>
  <c r="AZ105" i="109"/>
  <c r="AY105" i="109"/>
  <c r="AX105" i="109"/>
  <c r="AW105" i="109"/>
  <c r="AV105" i="109"/>
  <c r="AU105" i="109"/>
  <c r="AT105" i="109"/>
  <c r="AS105" i="109"/>
  <c r="AR105" i="109"/>
  <c r="AQ105" i="109"/>
  <c r="AP105" i="109"/>
  <c r="BD104" i="109"/>
  <c r="BC104" i="109"/>
  <c r="BB104" i="109"/>
  <c r="BA104" i="109"/>
  <c r="AZ104" i="109"/>
  <c r="AY104" i="109"/>
  <c r="AX104" i="109"/>
  <c r="AW104" i="109"/>
  <c r="AV104" i="109"/>
  <c r="AU104" i="109"/>
  <c r="AT104" i="109"/>
  <c r="AS104" i="109"/>
  <c r="AR104" i="109"/>
  <c r="AQ104" i="109"/>
  <c r="AP104" i="109"/>
  <c r="BD103" i="109"/>
  <c r="BC103" i="109"/>
  <c r="BB103" i="109"/>
  <c r="BA103" i="109"/>
  <c r="AZ103" i="109"/>
  <c r="AY103" i="109"/>
  <c r="AX103" i="109"/>
  <c r="AW103" i="109"/>
  <c r="AV103" i="109"/>
  <c r="AU103" i="109"/>
  <c r="AT103" i="109"/>
  <c r="AS103" i="109"/>
  <c r="AR103" i="109"/>
  <c r="AQ103" i="109"/>
  <c r="AP103" i="109"/>
  <c r="BD102" i="109"/>
  <c r="BC102" i="109"/>
  <c r="BB102" i="109"/>
  <c r="BA102" i="109"/>
  <c r="AZ102" i="109"/>
  <c r="AY102" i="109"/>
  <c r="AX102" i="109"/>
  <c r="AW102" i="109"/>
  <c r="AV102" i="109"/>
  <c r="AU102" i="109"/>
  <c r="AT102" i="109"/>
  <c r="AS102" i="109"/>
  <c r="AR102" i="109"/>
  <c r="AQ102" i="109"/>
  <c r="AP102" i="109"/>
  <c r="BD101" i="109"/>
  <c r="BC101" i="109"/>
  <c r="BB101" i="109"/>
  <c r="BA101" i="109"/>
  <c r="AZ101" i="109"/>
  <c r="AY101" i="109"/>
  <c r="AX101" i="109"/>
  <c r="AW101" i="109"/>
  <c r="AV101" i="109"/>
  <c r="AU101" i="109"/>
  <c r="AT101" i="109"/>
  <c r="AS101" i="109"/>
  <c r="AR101" i="109"/>
  <c r="AQ101" i="109"/>
  <c r="AP101" i="109"/>
  <c r="BD100" i="109"/>
  <c r="BC100" i="109"/>
  <c r="BB100" i="109"/>
  <c r="BA100" i="109"/>
  <c r="AZ100" i="109"/>
  <c r="AY100" i="109"/>
  <c r="AX100" i="109"/>
  <c r="AW100" i="109"/>
  <c r="AV100" i="109"/>
  <c r="AU100" i="109"/>
  <c r="AT100" i="109"/>
  <c r="AS100" i="109"/>
  <c r="AR100" i="109"/>
  <c r="AQ100" i="109"/>
  <c r="AP100" i="109"/>
  <c r="BD99" i="109"/>
  <c r="BC99" i="109"/>
  <c r="BB99" i="109"/>
  <c r="BA99" i="109"/>
  <c r="AZ99" i="109"/>
  <c r="AY99" i="109"/>
  <c r="AX99" i="109"/>
  <c r="AW99" i="109"/>
  <c r="AV99" i="109"/>
  <c r="AU99" i="109"/>
  <c r="AT99" i="109"/>
  <c r="AS99" i="109"/>
  <c r="AR99" i="109"/>
  <c r="AQ99" i="109"/>
  <c r="AP99" i="109"/>
  <c r="BD98" i="109"/>
  <c r="BC98" i="109"/>
  <c r="BB98" i="109"/>
  <c r="BA98" i="109"/>
  <c r="AZ98" i="109"/>
  <c r="AY98" i="109"/>
  <c r="AX98" i="109"/>
  <c r="AW98" i="109"/>
  <c r="AV98" i="109"/>
  <c r="AU98" i="109"/>
  <c r="AT98" i="109"/>
  <c r="AS98" i="109"/>
  <c r="AR98" i="109"/>
  <c r="AQ98" i="109"/>
  <c r="AP98" i="109"/>
  <c r="BD97" i="109"/>
  <c r="BC97" i="109"/>
  <c r="BB97" i="109"/>
  <c r="BA97" i="109"/>
  <c r="AZ97" i="109"/>
  <c r="AY97" i="109"/>
  <c r="AX97" i="109"/>
  <c r="AW97" i="109"/>
  <c r="AV97" i="109"/>
  <c r="AU97" i="109"/>
  <c r="AT97" i="109"/>
  <c r="AS97" i="109"/>
  <c r="AR97" i="109"/>
  <c r="AQ97" i="109"/>
  <c r="AP97" i="109"/>
  <c r="BD96" i="109"/>
  <c r="BC96" i="109"/>
  <c r="BB96" i="109"/>
  <c r="BA96" i="109"/>
  <c r="AZ96" i="109"/>
  <c r="AY96" i="109"/>
  <c r="AX96" i="109"/>
  <c r="AW96" i="109"/>
  <c r="AV96" i="109"/>
  <c r="AU96" i="109"/>
  <c r="AT96" i="109"/>
  <c r="AS96" i="109"/>
  <c r="AR96" i="109"/>
  <c r="AQ96" i="109"/>
  <c r="AP96" i="109"/>
  <c r="BD95" i="109"/>
  <c r="BC95" i="109"/>
  <c r="BB95" i="109"/>
  <c r="BA95" i="109"/>
  <c r="AZ95" i="109"/>
  <c r="AY95" i="109"/>
  <c r="AX95" i="109"/>
  <c r="AW95" i="109"/>
  <c r="AV95" i="109"/>
  <c r="AU95" i="109"/>
  <c r="AT95" i="109"/>
  <c r="AS95" i="109"/>
  <c r="AR95" i="109"/>
  <c r="AQ95" i="109"/>
  <c r="AP95" i="109"/>
  <c r="BD94" i="109"/>
  <c r="BC94" i="109"/>
  <c r="BB94" i="109"/>
  <c r="BA94" i="109"/>
  <c r="AZ94" i="109"/>
  <c r="AY94" i="109"/>
  <c r="AX94" i="109"/>
  <c r="AW94" i="109"/>
  <c r="AV94" i="109"/>
  <c r="AU94" i="109"/>
  <c r="AT94" i="109"/>
  <c r="AS94" i="109"/>
  <c r="AR94" i="109"/>
  <c r="AQ94" i="109"/>
  <c r="AP94" i="109"/>
  <c r="BD93" i="109"/>
  <c r="BC93" i="109"/>
  <c r="BB93" i="109"/>
  <c r="BA93" i="109"/>
  <c r="AZ93" i="109"/>
  <c r="AY93" i="109"/>
  <c r="AX93" i="109"/>
  <c r="AW93" i="109"/>
  <c r="AV93" i="109"/>
  <c r="AU93" i="109"/>
  <c r="AT93" i="109"/>
  <c r="AS93" i="109"/>
  <c r="AR93" i="109"/>
  <c r="AQ93" i="109"/>
  <c r="AP93" i="109"/>
  <c r="BD92" i="109"/>
  <c r="BC92" i="109"/>
  <c r="BB92" i="109"/>
  <c r="BA92" i="109"/>
  <c r="AZ92" i="109"/>
  <c r="AY92" i="109"/>
  <c r="AX92" i="109"/>
  <c r="AW92" i="109"/>
  <c r="AV92" i="109"/>
  <c r="AU92" i="109"/>
  <c r="AT92" i="109"/>
  <c r="AS92" i="109"/>
  <c r="AR92" i="109"/>
  <c r="AQ92" i="109"/>
  <c r="AP92" i="109"/>
  <c r="BD91" i="109"/>
  <c r="BC91" i="109"/>
  <c r="BB91" i="109"/>
  <c r="BA91" i="109"/>
  <c r="AZ91" i="109"/>
  <c r="AY91" i="109"/>
  <c r="AX91" i="109"/>
  <c r="AW91" i="109"/>
  <c r="AV91" i="109"/>
  <c r="AU91" i="109"/>
  <c r="AT91" i="109"/>
  <c r="AS91" i="109"/>
  <c r="AR91" i="109"/>
  <c r="AQ91" i="109"/>
  <c r="AP91" i="109"/>
  <c r="BD90" i="109"/>
  <c r="BC90" i="109"/>
  <c r="BB90" i="109"/>
  <c r="BA90" i="109"/>
  <c r="AZ90" i="109"/>
  <c r="AY90" i="109"/>
  <c r="AX90" i="109"/>
  <c r="AW90" i="109"/>
  <c r="AV90" i="109"/>
  <c r="AU90" i="109"/>
  <c r="AT90" i="109"/>
  <c r="AS90" i="109"/>
  <c r="AR90" i="109"/>
  <c r="AQ90" i="109"/>
  <c r="AP90" i="109"/>
  <c r="BD89" i="109"/>
  <c r="BC89" i="109"/>
  <c r="BB89" i="109"/>
  <c r="BA89" i="109"/>
  <c r="AZ89" i="109"/>
  <c r="AY89" i="109"/>
  <c r="AX89" i="109"/>
  <c r="AW89" i="109"/>
  <c r="AV89" i="109"/>
  <c r="AU89" i="109"/>
  <c r="AT89" i="109"/>
  <c r="AS89" i="109"/>
  <c r="AR89" i="109"/>
  <c r="AQ89" i="109"/>
  <c r="AP89" i="109"/>
  <c r="BD88" i="109"/>
  <c r="BC88" i="109"/>
  <c r="BB88" i="109"/>
  <c r="BA88" i="109"/>
  <c r="AZ88" i="109"/>
  <c r="AY88" i="109"/>
  <c r="AX88" i="109"/>
  <c r="AW88" i="109"/>
  <c r="AV88" i="109"/>
  <c r="AU88" i="109"/>
  <c r="AT88" i="109"/>
  <c r="AS88" i="109"/>
  <c r="AR88" i="109"/>
  <c r="AQ88" i="109"/>
  <c r="AP88" i="109"/>
  <c r="BD87" i="109"/>
  <c r="BC87" i="109"/>
  <c r="BB87" i="109"/>
  <c r="BA87" i="109"/>
  <c r="AZ87" i="109"/>
  <c r="AY87" i="109"/>
  <c r="AX87" i="109"/>
  <c r="AW87" i="109"/>
  <c r="AV87" i="109"/>
  <c r="AU87" i="109"/>
  <c r="AT87" i="109"/>
  <c r="AS87" i="109"/>
  <c r="AR87" i="109"/>
  <c r="AQ87" i="109"/>
  <c r="AP87" i="109"/>
  <c r="BD86" i="109"/>
  <c r="BC86" i="109"/>
  <c r="BB86" i="109"/>
  <c r="BA86" i="109"/>
  <c r="AZ86" i="109"/>
  <c r="AY86" i="109"/>
  <c r="AX86" i="109"/>
  <c r="AW86" i="109"/>
  <c r="AV86" i="109"/>
  <c r="AU86" i="109"/>
  <c r="AT86" i="109"/>
  <c r="AS86" i="109"/>
  <c r="AR86" i="109"/>
  <c r="AQ86" i="109"/>
  <c r="AP86" i="109"/>
  <c r="BD85" i="109"/>
  <c r="BC85" i="109"/>
  <c r="BB85" i="109"/>
  <c r="BA85" i="109"/>
  <c r="AZ85" i="109"/>
  <c r="AY85" i="109"/>
  <c r="AX85" i="109"/>
  <c r="AW85" i="109"/>
  <c r="AV85" i="109"/>
  <c r="AU85" i="109"/>
  <c r="AT85" i="109"/>
  <c r="AS85" i="109"/>
  <c r="AR85" i="109"/>
  <c r="AQ85" i="109"/>
  <c r="AP85" i="109"/>
  <c r="BD84" i="109"/>
  <c r="BC84" i="109"/>
  <c r="BB84" i="109"/>
  <c r="BA84" i="109"/>
  <c r="AZ84" i="109"/>
  <c r="AY84" i="109"/>
  <c r="AX84" i="109"/>
  <c r="AW84" i="109"/>
  <c r="AV84" i="109"/>
  <c r="AU84" i="109"/>
  <c r="AT84" i="109"/>
  <c r="AS84" i="109"/>
  <c r="AR84" i="109"/>
  <c r="AQ84" i="109"/>
  <c r="AP84" i="109"/>
  <c r="BD83" i="109"/>
  <c r="BC83" i="109"/>
  <c r="BB83" i="109"/>
  <c r="BA83" i="109"/>
  <c r="AZ83" i="109"/>
  <c r="AY83" i="109"/>
  <c r="AX83" i="109"/>
  <c r="AW83" i="109"/>
  <c r="AV83" i="109"/>
  <c r="AU83" i="109"/>
  <c r="AT83" i="109"/>
  <c r="AS83" i="109"/>
  <c r="AR83" i="109"/>
  <c r="AQ83" i="109"/>
  <c r="AP83" i="109"/>
  <c r="BD82" i="109"/>
  <c r="BC82" i="109"/>
  <c r="BB82" i="109"/>
  <c r="BA82" i="109"/>
  <c r="AZ82" i="109"/>
  <c r="AY82" i="109"/>
  <c r="AX82" i="109"/>
  <c r="AW82" i="109"/>
  <c r="AV82" i="109"/>
  <c r="AU82" i="109"/>
  <c r="AT82" i="109"/>
  <c r="AS82" i="109"/>
  <c r="AR82" i="109"/>
  <c r="AQ82" i="109"/>
  <c r="AP82" i="109"/>
  <c r="BD81" i="109"/>
  <c r="BC81" i="109"/>
  <c r="BB81" i="109"/>
  <c r="BA81" i="109"/>
  <c r="AZ81" i="109"/>
  <c r="AY81" i="109"/>
  <c r="AX81" i="109"/>
  <c r="AW81" i="109"/>
  <c r="AV81" i="109"/>
  <c r="AU81" i="109"/>
  <c r="AT81" i="109"/>
  <c r="AS81" i="109"/>
  <c r="AR81" i="109"/>
  <c r="AQ81" i="109"/>
  <c r="AP81" i="109"/>
  <c r="BD80" i="109"/>
  <c r="BC80" i="109"/>
  <c r="BB80" i="109"/>
  <c r="BA80" i="109"/>
  <c r="AZ80" i="109"/>
  <c r="AY80" i="109"/>
  <c r="AX80" i="109"/>
  <c r="AW80" i="109"/>
  <c r="AV80" i="109"/>
  <c r="AU80" i="109"/>
  <c r="AT80" i="109"/>
  <c r="AS80" i="109"/>
  <c r="AR80" i="109"/>
  <c r="AQ80" i="109"/>
  <c r="AP80" i="109"/>
  <c r="BD79" i="109"/>
  <c r="BC79" i="109"/>
  <c r="BB79" i="109"/>
  <c r="BA79" i="109"/>
  <c r="AZ79" i="109"/>
  <c r="AY79" i="109"/>
  <c r="AX79" i="109"/>
  <c r="AW79" i="109"/>
  <c r="AV79" i="109"/>
  <c r="AU79" i="109"/>
  <c r="AT79" i="109"/>
  <c r="AS79" i="109"/>
  <c r="AR79" i="109"/>
  <c r="AQ79" i="109"/>
  <c r="AP79" i="109"/>
  <c r="BD78" i="109"/>
  <c r="BC78" i="109"/>
  <c r="BB78" i="109"/>
  <c r="BA78" i="109"/>
  <c r="AZ78" i="109"/>
  <c r="AY78" i="109"/>
  <c r="AX78" i="109"/>
  <c r="AW78" i="109"/>
  <c r="AV78" i="109"/>
  <c r="AU78" i="109"/>
  <c r="AT78" i="109"/>
  <c r="AS78" i="109"/>
  <c r="AR78" i="109"/>
  <c r="AQ78" i="109"/>
  <c r="AP78" i="109"/>
  <c r="BD77" i="109"/>
  <c r="BC77" i="109"/>
  <c r="BB77" i="109"/>
  <c r="BA77" i="109"/>
  <c r="AZ77" i="109"/>
  <c r="AY77" i="109"/>
  <c r="AX77" i="109"/>
  <c r="AW77" i="109"/>
  <c r="AV77" i="109"/>
  <c r="AU77" i="109"/>
  <c r="AT77" i="109"/>
  <c r="AS77" i="109"/>
  <c r="AR77" i="109"/>
  <c r="AQ77" i="109"/>
  <c r="AP77" i="109"/>
  <c r="BD76" i="109"/>
  <c r="BC76" i="109"/>
  <c r="BB76" i="109"/>
  <c r="BA76" i="109"/>
  <c r="AZ76" i="109"/>
  <c r="AY76" i="109"/>
  <c r="AX76" i="109"/>
  <c r="AW76" i="109"/>
  <c r="AV76" i="109"/>
  <c r="AU76" i="109"/>
  <c r="AT76" i="109"/>
  <c r="AS76" i="109"/>
  <c r="AR76" i="109"/>
  <c r="AQ76" i="109"/>
  <c r="AP76" i="109"/>
  <c r="BD75" i="109"/>
  <c r="BC75" i="109"/>
  <c r="BB75" i="109"/>
  <c r="BA75" i="109"/>
  <c r="AZ75" i="109"/>
  <c r="AY75" i="109"/>
  <c r="AX75" i="109"/>
  <c r="AW75" i="109"/>
  <c r="AV75" i="109"/>
  <c r="AU75" i="109"/>
  <c r="AT75" i="109"/>
  <c r="AS75" i="109"/>
  <c r="AR75" i="109"/>
  <c r="AQ75" i="109"/>
  <c r="AP75" i="109"/>
  <c r="BD74" i="109"/>
  <c r="BC74" i="109"/>
  <c r="BB74" i="109"/>
  <c r="BA74" i="109"/>
  <c r="AZ74" i="109"/>
  <c r="AY74" i="109"/>
  <c r="AX74" i="109"/>
  <c r="AW74" i="109"/>
  <c r="AV74" i="109"/>
  <c r="AU74" i="109"/>
  <c r="AT74" i="109"/>
  <c r="AS74" i="109"/>
  <c r="AR74" i="109"/>
  <c r="AQ74" i="109"/>
  <c r="AP74" i="109"/>
  <c r="BD73" i="109"/>
  <c r="BC73" i="109"/>
  <c r="BB73" i="109"/>
  <c r="BA73" i="109"/>
  <c r="AZ73" i="109"/>
  <c r="AY73" i="109"/>
  <c r="AX73" i="109"/>
  <c r="AW73" i="109"/>
  <c r="AV73" i="109"/>
  <c r="AU73" i="109"/>
  <c r="AT73" i="109"/>
  <c r="AS73" i="109"/>
  <c r="AR73" i="109"/>
  <c r="AQ73" i="109"/>
  <c r="AP73" i="109"/>
  <c r="BD72" i="109"/>
  <c r="BC72" i="109"/>
  <c r="BB72" i="109"/>
  <c r="BA72" i="109"/>
  <c r="AZ72" i="109"/>
  <c r="AY72" i="109"/>
  <c r="AX72" i="109"/>
  <c r="AW72" i="109"/>
  <c r="AV72" i="109"/>
  <c r="AU72" i="109"/>
  <c r="AT72" i="109"/>
  <c r="AS72" i="109"/>
  <c r="AR72" i="109"/>
  <c r="AQ72" i="109"/>
  <c r="AP72" i="109"/>
  <c r="BD71" i="109"/>
  <c r="BC71" i="109"/>
  <c r="BB71" i="109"/>
  <c r="BA71" i="109"/>
  <c r="AZ71" i="109"/>
  <c r="AY71" i="109"/>
  <c r="AX71" i="109"/>
  <c r="AW71" i="109"/>
  <c r="AV71" i="109"/>
  <c r="AU71" i="109"/>
  <c r="AT71" i="109"/>
  <c r="AS71" i="109"/>
  <c r="AR71" i="109"/>
  <c r="AQ71" i="109"/>
  <c r="AP71" i="109"/>
  <c r="BD70" i="109"/>
  <c r="BC70" i="109"/>
  <c r="BB70" i="109"/>
  <c r="BA70" i="109"/>
  <c r="AZ70" i="109"/>
  <c r="AY70" i="109"/>
  <c r="AX70" i="109"/>
  <c r="AW70" i="109"/>
  <c r="AV70" i="109"/>
  <c r="AU70" i="109"/>
  <c r="AT70" i="109"/>
  <c r="AS70" i="109"/>
  <c r="AR70" i="109"/>
  <c r="AQ70" i="109"/>
  <c r="AP70" i="109"/>
  <c r="BD69" i="109"/>
  <c r="BC69" i="109"/>
  <c r="BB69" i="109"/>
  <c r="BA69" i="109"/>
  <c r="AZ69" i="109"/>
  <c r="AY69" i="109"/>
  <c r="AX69" i="109"/>
  <c r="AW69" i="109"/>
  <c r="AV69" i="109"/>
  <c r="AU69" i="109"/>
  <c r="AT69" i="109"/>
  <c r="AS69" i="109"/>
  <c r="AR69" i="109"/>
  <c r="AQ69" i="109"/>
  <c r="AP69" i="109"/>
  <c r="BD68" i="109"/>
  <c r="BC68" i="109"/>
  <c r="BB68" i="109"/>
  <c r="BA68" i="109"/>
  <c r="AZ68" i="109"/>
  <c r="AY68" i="109"/>
  <c r="AX68" i="109"/>
  <c r="AW68" i="109"/>
  <c r="AV68" i="109"/>
  <c r="AU68" i="109"/>
  <c r="AT68" i="109"/>
  <c r="AS68" i="109"/>
  <c r="AR68" i="109"/>
  <c r="AQ68" i="109"/>
  <c r="AP68" i="109"/>
  <c r="BD67" i="109"/>
  <c r="BC67" i="109"/>
  <c r="BB67" i="109"/>
  <c r="BA67" i="109"/>
  <c r="AZ67" i="109"/>
  <c r="AY67" i="109"/>
  <c r="AX67" i="109"/>
  <c r="AW67" i="109"/>
  <c r="AV67" i="109"/>
  <c r="AU67" i="109"/>
  <c r="AT67" i="109"/>
  <c r="AS67" i="109"/>
  <c r="AR67" i="109"/>
  <c r="AQ67" i="109"/>
  <c r="AP67" i="109"/>
  <c r="BD66" i="109"/>
  <c r="BC66" i="109"/>
  <c r="BB66" i="109"/>
  <c r="BA66" i="109"/>
  <c r="AZ66" i="109"/>
  <c r="AY66" i="109"/>
  <c r="AX66" i="109"/>
  <c r="AW66" i="109"/>
  <c r="AV66" i="109"/>
  <c r="AU66" i="109"/>
  <c r="AT66" i="109"/>
  <c r="AS66" i="109"/>
  <c r="AR66" i="109"/>
  <c r="AQ66" i="109"/>
  <c r="AP66" i="109"/>
  <c r="BD65" i="109"/>
  <c r="BC65" i="109"/>
  <c r="BB65" i="109"/>
  <c r="BA65" i="109"/>
  <c r="AZ65" i="109"/>
  <c r="AY65" i="109"/>
  <c r="AX65" i="109"/>
  <c r="AW65" i="109"/>
  <c r="AV65" i="109"/>
  <c r="AU65" i="109"/>
  <c r="AT65" i="109"/>
  <c r="AS65" i="109"/>
  <c r="AR65" i="109"/>
  <c r="AQ65" i="109"/>
  <c r="AP65" i="109"/>
  <c r="BD64" i="109"/>
  <c r="BC64" i="109"/>
  <c r="BB64" i="109"/>
  <c r="BA64" i="109"/>
  <c r="AZ64" i="109"/>
  <c r="AY64" i="109"/>
  <c r="AX64" i="109"/>
  <c r="AW64" i="109"/>
  <c r="AV64" i="109"/>
  <c r="AU64" i="109"/>
  <c r="AT64" i="109"/>
  <c r="AS64" i="109"/>
  <c r="AR64" i="109"/>
  <c r="AQ64" i="109"/>
  <c r="AP64" i="109"/>
  <c r="BD63" i="109"/>
  <c r="BC63" i="109"/>
  <c r="BB63" i="109"/>
  <c r="BA63" i="109"/>
  <c r="AZ63" i="109"/>
  <c r="AY63" i="109"/>
  <c r="AX63" i="109"/>
  <c r="AW63" i="109"/>
  <c r="AV63" i="109"/>
  <c r="AU63" i="109"/>
  <c r="AT63" i="109"/>
  <c r="AS63" i="109"/>
  <c r="AR63" i="109"/>
  <c r="AQ63" i="109"/>
  <c r="AP63" i="109"/>
  <c r="BD62" i="109"/>
  <c r="BC62" i="109"/>
  <c r="BB62" i="109"/>
  <c r="BA62" i="109"/>
  <c r="AZ62" i="109"/>
  <c r="AY62" i="109"/>
  <c r="AX62" i="109"/>
  <c r="AW62" i="109"/>
  <c r="AV62" i="109"/>
  <c r="AU62" i="109"/>
  <c r="AT62" i="109"/>
  <c r="AS62" i="109"/>
  <c r="AR62" i="109"/>
  <c r="AQ62" i="109"/>
  <c r="AP62" i="109"/>
  <c r="BD61" i="109"/>
  <c r="BC61" i="109"/>
  <c r="BB61" i="109"/>
  <c r="BA61" i="109"/>
  <c r="AZ61" i="109"/>
  <c r="AY61" i="109"/>
  <c r="AX61" i="109"/>
  <c r="AW61" i="109"/>
  <c r="AV61" i="109"/>
  <c r="AU61" i="109"/>
  <c r="AT61" i="109"/>
  <c r="AS61" i="109"/>
  <c r="AR61" i="109"/>
  <c r="AQ61" i="109"/>
  <c r="AP61" i="109"/>
  <c r="BD60" i="109"/>
  <c r="BC60" i="109"/>
  <c r="BB60" i="109"/>
  <c r="BA60" i="109"/>
  <c r="AZ60" i="109"/>
  <c r="AY60" i="109"/>
  <c r="AX60" i="109"/>
  <c r="AW60" i="109"/>
  <c r="AV60" i="109"/>
  <c r="AU60" i="109"/>
  <c r="AT60" i="109"/>
  <c r="AS60" i="109"/>
  <c r="AR60" i="109"/>
  <c r="AQ60" i="109"/>
  <c r="AP60" i="109"/>
  <c r="BD59" i="109"/>
  <c r="BC59" i="109"/>
  <c r="BB59" i="109"/>
  <c r="BA59" i="109"/>
  <c r="AZ59" i="109"/>
  <c r="AY59" i="109"/>
  <c r="AX59" i="109"/>
  <c r="AW59" i="109"/>
  <c r="AV59" i="109"/>
  <c r="AU59" i="109"/>
  <c r="AT59" i="109"/>
  <c r="AS59" i="109"/>
  <c r="AR59" i="109"/>
  <c r="AQ59" i="109"/>
  <c r="AP59" i="109"/>
  <c r="BD58" i="109"/>
  <c r="BC58" i="109"/>
  <c r="BB58" i="109"/>
  <c r="BA58" i="109"/>
  <c r="AZ58" i="109"/>
  <c r="AY58" i="109"/>
  <c r="AX58" i="109"/>
  <c r="AW58" i="109"/>
  <c r="AV58" i="109"/>
  <c r="AU58" i="109"/>
  <c r="AT58" i="109"/>
  <c r="AS58" i="109"/>
  <c r="AR58" i="109"/>
  <c r="AQ58" i="109"/>
  <c r="AP58" i="109"/>
  <c r="BD57" i="109"/>
  <c r="BC57" i="109"/>
  <c r="BB57" i="109"/>
  <c r="BA57" i="109"/>
  <c r="AZ57" i="109"/>
  <c r="AY57" i="109"/>
  <c r="AX57" i="109"/>
  <c r="AW57" i="109"/>
  <c r="AV57" i="109"/>
  <c r="AU57" i="109"/>
  <c r="AT57" i="109"/>
  <c r="AS57" i="109"/>
  <c r="AR57" i="109"/>
  <c r="AQ57" i="109"/>
  <c r="AP57" i="109"/>
  <c r="BD56" i="109"/>
  <c r="BC56" i="109"/>
  <c r="BB56" i="109"/>
  <c r="BA56" i="109"/>
  <c r="AZ56" i="109"/>
  <c r="AY56" i="109"/>
  <c r="AX56" i="109"/>
  <c r="AW56" i="109"/>
  <c r="AV56" i="109"/>
  <c r="AU56" i="109"/>
  <c r="AT56" i="109"/>
  <c r="AS56" i="109"/>
  <c r="AR56" i="109"/>
  <c r="AQ56" i="109"/>
  <c r="AP56" i="109"/>
  <c r="BD55" i="109"/>
  <c r="BC55" i="109"/>
  <c r="BB55" i="109"/>
  <c r="BA55" i="109"/>
  <c r="AZ55" i="109"/>
  <c r="AY55" i="109"/>
  <c r="AX55" i="109"/>
  <c r="AW55" i="109"/>
  <c r="AV55" i="109"/>
  <c r="AU55" i="109"/>
  <c r="AT55" i="109"/>
  <c r="AS55" i="109"/>
  <c r="AR55" i="109"/>
  <c r="AQ55" i="109"/>
  <c r="AP55" i="109"/>
  <c r="BD54" i="109"/>
  <c r="BC54" i="109"/>
  <c r="BB54" i="109"/>
  <c r="BA54" i="109"/>
  <c r="AZ54" i="109"/>
  <c r="AY54" i="109"/>
  <c r="AX54" i="109"/>
  <c r="AW54" i="109"/>
  <c r="AV54" i="109"/>
  <c r="AU54" i="109"/>
  <c r="AT54" i="109"/>
  <c r="AS54" i="109"/>
  <c r="AR54" i="109"/>
  <c r="AQ54" i="109"/>
  <c r="AP54" i="109"/>
  <c r="BD53" i="109"/>
  <c r="BC53" i="109"/>
  <c r="BB53" i="109"/>
  <c r="BA53" i="109"/>
  <c r="AZ53" i="109"/>
  <c r="AY53" i="109"/>
  <c r="AX53" i="109"/>
  <c r="AW53" i="109"/>
  <c r="AV53" i="109"/>
  <c r="AU53" i="109"/>
  <c r="AT53" i="109"/>
  <c r="AS53" i="109"/>
  <c r="AR53" i="109"/>
  <c r="AQ53" i="109"/>
  <c r="AP53" i="109"/>
  <c r="BD52" i="109"/>
  <c r="BC52" i="109"/>
  <c r="BB52" i="109"/>
  <c r="BA52" i="109"/>
  <c r="AZ52" i="109"/>
  <c r="AY52" i="109"/>
  <c r="AX52" i="109"/>
  <c r="AW52" i="109"/>
  <c r="AV52" i="109"/>
  <c r="AU52" i="109"/>
  <c r="AT52" i="109"/>
  <c r="AS52" i="109"/>
  <c r="AR52" i="109"/>
  <c r="AQ52" i="109"/>
  <c r="AP52" i="109"/>
  <c r="BD51" i="109"/>
  <c r="BC51" i="109"/>
  <c r="BB51" i="109"/>
  <c r="BA51" i="109"/>
  <c r="AZ51" i="109"/>
  <c r="AY51" i="109"/>
  <c r="AX51" i="109"/>
  <c r="AW51" i="109"/>
  <c r="AV51" i="109"/>
  <c r="AU51" i="109"/>
  <c r="AT51" i="109"/>
  <c r="AS51" i="109"/>
  <c r="AR51" i="109"/>
  <c r="AQ51" i="109"/>
  <c r="AP51" i="109"/>
  <c r="BD50" i="109"/>
  <c r="BC50" i="109"/>
  <c r="BB50" i="109"/>
  <c r="BA50" i="109"/>
  <c r="AZ50" i="109"/>
  <c r="AY50" i="109"/>
  <c r="AX50" i="109"/>
  <c r="AW50" i="109"/>
  <c r="AV50" i="109"/>
  <c r="AU50" i="109"/>
  <c r="AT50" i="109"/>
  <c r="AS50" i="109"/>
  <c r="AR50" i="109"/>
  <c r="AQ50" i="109"/>
  <c r="AP50" i="109"/>
  <c r="BD49" i="109"/>
  <c r="BC49" i="109"/>
  <c r="BB49" i="109"/>
  <c r="BA49" i="109"/>
  <c r="AZ49" i="109"/>
  <c r="AY49" i="109"/>
  <c r="AX49" i="109"/>
  <c r="AW49" i="109"/>
  <c r="AV49" i="109"/>
  <c r="AU49" i="109"/>
  <c r="AT49" i="109"/>
  <c r="AS49" i="109"/>
  <c r="AR49" i="109"/>
  <c r="AQ49" i="109"/>
  <c r="AP49" i="109"/>
  <c r="BD48" i="109"/>
  <c r="BC48" i="109"/>
  <c r="BB48" i="109"/>
  <c r="BA48" i="109"/>
  <c r="AZ48" i="109"/>
  <c r="AY48" i="109"/>
  <c r="AX48" i="109"/>
  <c r="AW48" i="109"/>
  <c r="AV48" i="109"/>
  <c r="AU48" i="109"/>
  <c r="AT48" i="109"/>
  <c r="AS48" i="109"/>
  <c r="AR48" i="109"/>
  <c r="AQ48" i="109"/>
  <c r="AP48" i="109"/>
  <c r="BD47" i="109"/>
  <c r="BC47" i="109"/>
  <c r="BB47" i="109"/>
  <c r="BA47" i="109"/>
  <c r="AZ47" i="109"/>
  <c r="AY47" i="109"/>
  <c r="AX47" i="109"/>
  <c r="AW47" i="109"/>
  <c r="AV47" i="109"/>
  <c r="AU47" i="109"/>
  <c r="AT47" i="109"/>
  <c r="AS47" i="109"/>
  <c r="AR47" i="109"/>
  <c r="AQ47" i="109"/>
  <c r="AP47" i="109"/>
  <c r="BD46" i="109"/>
  <c r="BC46" i="109"/>
  <c r="BB46" i="109"/>
  <c r="BA46" i="109"/>
  <c r="AZ46" i="109"/>
  <c r="AY46" i="109"/>
  <c r="AX46" i="109"/>
  <c r="AW46" i="109"/>
  <c r="AV46" i="109"/>
  <c r="AU46" i="109"/>
  <c r="AT46" i="109"/>
  <c r="AS46" i="109"/>
  <c r="AR46" i="109"/>
  <c r="AQ46" i="109"/>
  <c r="AP46" i="109"/>
  <c r="BD45" i="109"/>
  <c r="BC45" i="109"/>
  <c r="BB45" i="109"/>
  <c r="BA45" i="109"/>
  <c r="AZ45" i="109"/>
  <c r="AY45" i="109"/>
  <c r="AX45" i="109"/>
  <c r="AW45" i="109"/>
  <c r="AV45" i="109"/>
  <c r="AU45" i="109"/>
  <c r="AT45" i="109"/>
  <c r="AS45" i="109"/>
  <c r="AR45" i="109"/>
  <c r="AQ45" i="109"/>
  <c r="AP45" i="109"/>
  <c r="BD44" i="109"/>
  <c r="BC44" i="109"/>
  <c r="BB44" i="109"/>
  <c r="BA44" i="109"/>
  <c r="AZ44" i="109"/>
  <c r="AY44" i="109"/>
  <c r="AX44" i="109"/>
  <c r="AW44" i="109"/>
  <c r="AV44" i="109"/>
  <c r="AU44" i="109"/>
  <c r="AT44" i="109"/>
  <c r="AS44" i="109"/>
  <c r="AR44" i="109"/>
  <c r="AQ44" i="109"/>
  <c r="AP44" i="109"/>
  <c r="BD43" i="109"/>
  <c r="BC43" i="109"/>
  <c r="BB43" i="109"/>
  <c r="BA43" i="109"/>
  <c r="AZ43" i="109"/>
  <c r="AY43" i="109"/>
  <c r="AX43" i="109"/>
  <c r="AW43" i="109"/>
  <c r="AV43" i="109"/>
  <c r="AU43" i="109"/>
  <c r="AT43" i="109"/>
  <c r="AS43" i="109"/>
  <c r="AR43" i="109"/>
  <c r="AQ43" i="109"/>
  <c r="AP43" i="109"/>
  <c r="BD42" i="109"/>
  <c r="BC42" i="109"/>
  <c r="BB42" i="109"/>
  <c r="BA42" i="109"/>
  <c r="AZ42" i="109"/>
  <c r="AY42" i="109"/>
  <c r="AX42" i="109"/>
  <c r="AW42" i="109"/>
  <c r="AV42" i="109"/>
  <c r="AU42" i="109"/>
  <c r="AT42" i="109"/>
  <c r="AS42" i="109"/>
  <c r="AR42" i="109"/>
  <c r="AQ42" i="109"/>
  <c r="AP42" i="109"/>
  <c r="BD41" i="109"/>
  <c r="BC41" i="109"/>
  <c r="BB41" i="109"/>
  <c r="BA41" i="109"/>
  <c r="AZ41" i="109"/>
  <c r="AY41" i="109"/>
  <c r="AX41" i="109"/>
  <c r="AW41" i="109"/>
  <c r="AV41" i="109"/>
  <c r="AU41" i="109"/>
  <c r="AT41" i="109"/>
  <c r="AS41" i="109"/>
  <c r="AR41" i="109"/>
  <c r="AQ41" i="109"/>
  <c r="AP41" i="109"/>
  <c r="BD40" i="109"/>
  <c r="BC40" i="109"/>
  <c r="BB40" i="109"/>
  <c r="BA40" i="109"/>
  <c r="AZ40" i="109"/>
  <c r="AY40" i="109"/>
  <c r="AX40" i="109"/>
  <c r="AW40" i="109"/>
  <c r="AV40" i="109"/>
  <c r="AU40" i="109"/>
  <c r="AT40" i="109"/>
  <c r="AS40" i="109"/>
  <c r="AR40" i="109"/>
  <c r="AQ40" i="109"/>
  <c r="AP40" i="109"/>
  <c r="BD39" i="109"/>
  <c r="BC39" i="109"/>
  <c r="BB39" i="109"/>
  <c r="BA39" i="109"/>
  <c r="AZ39" i="109"/>
  <c r="AY39" i="109"/>
  <c r="AX39" i="109"/>
  <c r="AW39" i="109"/>
  <c r="AV39" i="109"/>
  <c r="AU39" i="109"/>
  <c r="AT39" i="109"/>
  <c r="AS39" i="109"/>
  <c r="AR39" i="109"/>
  <c r="AQ39" i="109"/>
  <c r="AP39" i="109"/>
  <c r="BD38" i="109"/>
  <c r="BC38" i="109"/>
  <c r="BB38" i="109"/>
  <c r="BA38" i="109"/>
  <c r="AZ38" i="109"/>
  <c r="AY38" i="109"/>
  <c r="AX38" i="109"/>
  <c r="AW38" i="109"/>
  <c r="AV38" i="109"/>
  <c r="AU38" i="109"/>
  <c r="AT38" i="109"/>
  <c r="AS38" i="109"/>
  <c r="AR38" i="109"/>
  <c r="AQ38" i="109"/>
  <c r="AP38" i="109"/>
  <c r="BD37" i="109"/>
  <c r="BC37" i="109"/>
  <c r="BB37" i="109"/>
  <c r="BA37" i="109"/>
  <c r="AZ37" i="109"/>
  <c r="AY37" i="109"/>
  <c r="AX37" i="109"/>
  <c r="AW37" i="109"/>
  <c r="AV37" i="109"/>
  <c r="AU37" i="109"/>
  <c r="AT37" i="109"/>
  <c r="AS37" i="109"/>
  <c r="AR37" i="109"/>
  <c r="AQ37" i="109"/>
  <c r="AP37" i="109"/>
  <c r="BD36" i="109"/>
  <c r="BC36" i="109"/>
  <c r="BB36" i="109"/>
  <c r="BA36" i="109"/>
  <c r="AZ36" i="109"/>
  <c r="AY36" i="109"/>
  <c r="AX36" i="109"/>
  <c r="AW36" i="109"/>
  <c r="AV36" i="109"/>
  <c r="AU36" i="109"/>
  <c r="AT36" i="109"/>
  <c r="AS36" i="109"/>
  <c r="AR36" i="109"/>
  <c r="AQ36" i="109"/>
  <c r="AP36" i="109"/>
  <c r="BD35" i="109"/>
  <c r="BC35" i="109"/>
  <c r="BB35" i="109"/>
  <c r="BA35" i="109"/>
  <c r="AZ35" i="109"/>
  <c r="AY35" i="109"/>
  <c r="AX35" i="109"/>
  <c r="AW35" i="109"/>
  <c r="AV35" i="109"/>
  <c r="AU35" i="109"/>
  <c r="AT35" i="109"/>
  <c r="AS35" i="109"/>
  <c r="AR35" i="109"/>
  <c r="AQ35" i="109"/>
  <c r="AP35" i="109"/>
  <c r="BD34" i="109"/>
  <c r="BC34" i="109"/>
  <c r="BB34" i="109"/>
  <c r="BA34" i="109"/>
  <c r="AZ34" i="109"/>
  <c r="AY34" i="109"/>
  <c r="AX34" i="109"/>
  <c r="AW34" i="109"/>
  <c r="AV34" i="109"/>
  <c r="AU34" i="109"/>
  <c r="AT34" i="109"/>
  <c r="AS34" i="109"/>
  <c r="AR34" i="109"/>
  <c r="AQ34" i="109"/>
  <c r="AP34" i="109"/>
  <c r="BD33" i="109"/>
  <c r="BC33" i="109"/>
  <c r="BB33" i="109"/>
  <c r="BA33" i="109"/>
  <c r="AZ33" i="109"/>
  <c r="AY33" i="109"/>
  <c r="AX33" i="109"/>
  <c r="AW33" i="109"/>
  <c r="AV33" i="109"/>
  <c r="AU33" i="109"/>
  <c r="AT33" i="109"/>
  <c r="AS33" i="109"/>
  <c r="AR33" i="109"/>
  <c r="AQ33" i="109"/>
  <c r="AP33" i="109"/>
  <c r="BD32" i="109"/>
  <c r="BC32" i="109"/>
  <c r="BB32" i="109"/>
  <c r="BA32" i="109"/>
  <c r="AZ32" i="109"/>
  <c r="AY32" i="109"/>
  <c r="AX32" i="109"/>
  <c r="AW32" i="109"/>
  <c r="AV32" i="109"/>
  <c r="AU32" i="109"/>
  <c r="AT32" i="109"/>
  <c r="AS32" i="109"/>
  <c r="AR32" i="109"/>
  <c r="AQ32" i="109"/>
  <c r="AP32" i="109"/>
  <c r="BD31" i="109"/>
  <c r="BC31" i="109"/>
  <c r="BB31" i="109"/>
  <c r="BA31" i="109"/>
  <c r="AZ31" i="109"/>
  <c r="AY31" i="109"/>
  <c r="AX31" i="109"/>
  <c r="AW31" i="109"/>
  <c r="AV31" i="109"/>
  <c r="AU31" i="109"/>
  <c r="AT31" i="109"/>
  <c r="AS31" i="109"/>
  <c r="AR31" i="109"/>
  <c r="AQ31" i="109"/>
  <c r="AP31" i="109"/>
  <c r="BD30" i="109"/>
  <c r="BC30" i="109"/>
  <c r="BB30" i="109"/>
  <c r="BA30" i="109"/>
  <c r="AZ30" i="109"/>
  <c r="AY30" i="109"/>
  <c r="AX30" i="109"/>
  <c r="AW30" i="109"/>
  <c r="AV30" i="109"/>
  <c r="AU30" i="109"/>
  <c r="AT30" i="109"/>
  <c r="AS30" i="109"/>
  <c r="AR30" i="109"/>
  <c r="AQ30" i="109"/>
  <c r="AP30" i="109"/>
  <c r="BD29" i="109"/>
  <c r="BC29" i="109"/>
  <c r="BB29" i="109"/>
  <c r="BA29" i="109"/>
  <c r="AZ29" i="109"/>
  <c r="AY29" i="109"/>
  <c r="AX29" i="109"/>
  <c r="AW29" i="109"/>
  <c r="AV29" i="109"/>
  <c r="AU29" i="109"/>
  <c r="AT29" i="109"/>
  <c r="AS29" i="109"/>
  <c r="AR29" i="109"/>
  <c r="AQ29" i="109"/>
  <c r="AP29" i="109"/>
  <c r="BD28" i="109"/>
  <c r="BC28" i="109"/>
  <c r="BB28" i="109"/>
  <c r="BA28" i="109"/>
  <c r="AZ28" i="109"/>
  <c r="AY28" i="109"/>
  <c r="AX28" i="109"/>
  <c r="AW28" i="109"/>
  <c r="AV28" i="109"/>
  <c r="AU28" i="109"/>
  <c r="AT28" i="109"/>
  <c r="AS28" i="109"/>
  <c r="AR28" i="109"/>
  <c r="AQ28" i="109"/>
  <c r="AP28" i="109"/>
  <c r="BD27" i="109"/>
  <c r="BC27" i="109"/>
  <c r="BB27" i="109"/>
  <c r="BA27" i="109"/>
  <c r="AZ27" i="109"/>
  <c r="AY27" i="109"/>
  <c r="AX27" i="109"/>
  <c r="AW27" i="109"/>
  <c r="AV27" i="109"/>
  <c r="AU27" i="109"/>
  <c r="AT27" i="109"/>
  <c r="AS27" i="109"/>
  <c r="AR27" i="109"/>
  <c r="AQ27" i="109"/>
  <c r="AP27" i="109"/>
  <c r="BD26" i="109"/>
  <c r="BC26" i="109"/>
  <c r="BB26" i="109"/>
  <c r="BA26" i="109"/>
  <c r="AZ26" i="109"/>
  <c r="AY26" i="109"/>
  <c r="AX26" i="109"/>
  <c r="AW26" i="109"/>
  <c r="AV26" i="109"/>
  <c r="AU26" i="109"/>
  <c r="AT26" i="109"/>
  <c r="AS26" i="109"/>
  <c r="AR26" i="109"/>
  <c r="AQ26" i="109"/>
  <c r="AP26" i="109"/>
  <c r="BD25" i="109"/>
  <c r="BC25" i="109"/>
  <c r="BB25" i="109"/>
  <c r="BA25" i="109"/>
  <c r="AZ25" i="109"/>
  <c r="AY25" i="109"/>
  <c r="AX25" i="109"/>
  <c r="AW25" i="109"/>
  <c r="AV25" i="109"/>
  <c r="AU25" i="109"/>
  <c r="AT25" i="109"/>
  <c r="AS25" i="109"/>
  <c r="AR25" i="109"/>
  <c r="AQ25" i="109"/>
  <c r="AP25" i="109"/>
  <c r="BD24" i="109"/>
  <c r="BC24" i="109"/>
  <c r="BB24" i="109"/>
  <c r="BA24" i="109"/>
  <c r="AZ24" i="109"/>
  <c r="AY24" i="109"/>
  <c r="AX24" i="109"/>
  <c r="AW24" i="109"/>
  <c r="AV24" i="109"/>
  <c r="AU24" i="109"/>
  <c r="AT24" i="109"/>
  <c r="AS24" i="109"/>
  <c r="AR24" i="109"/>
  <c r="AQ24" i="109"/>
  <c r="AP24" i="109"/>
  <c r="BD23" i="109"/>
  <c r="BC23" i="109"/>
  <c r="BB23" i="109"/>
  <c r="BA23" i="109"/>
  <c r="AZ23" i="109"/>
  <c r="AY23" i="109"/>
  <c r="AX23" i="109"/>
  <c r="AW23" i="109"/>
  <c r="AV23" i="109"/>
  <c r="AU23" i="109"/>
  <c r="AT23" i="109"/>
  <c r="AS23" i="109"/>
  <c r="AR23" i="109"/>
  <c r="AQ23" i="109"/>
  <c r="AP23" i="109"/>
  <c r="BD22" i="109"/>
  <c r="BC22" i="109"/>
  <c r="BB22" i="109"/>
  <c r="BA22" i="109"/>
  <c r="AZ22" i="109"/>
  <c r="AY22" i="109"/>
  <c r="AX22" i="109"/>
  <c r="AW22" i="109"/>
  <c r="AV22" i="109"/>
  <c r="AU22" i="109"/>
  <c r="AT22" i="109"/>
  <c r="AS22" i="109"/>
  <c r="AR22" i="109"/>
  <c r="AQ22" i="109"/>
  <c r="AP22" i="109"/>
  <c r="BD21" i="109"/>
  <c r="BC21" i="109"/>
  <c r="BB21" i="109"/>
  <c r="BA21" i="109"/>
  <c r="AZ21" i="109"/>
  <c r="AY21" i="109"/>
  <c r="AX21" i="109"/>
  <c r="AW21" i="109"/>
  <c r="AV21" i="109"/>
  <c r="AU21" i="109"/>
  <c r="AT21" i="109"/>
  <c r="AS21" i="109"/>
  <c r="AR21" i="109"/>
  <c r="AQ21" i="109"/>
  <c r="AP21" i="109"/>
  <c r="BD20" i="109"/>
  <c r="BC20" i="109"/>
  <c r="BB20" i="109"/>
  <c r="BA20" i="109"/>
  <c r="AZ20" i="109"/>
  <c r="AY20" i="109"/>
  <c r="AX20" i="109"/>
  <c r="AW20" i="109"/>
  <c r="AV20" i="109"/>
  <c r="AU20" i="109"/>
  <c r="AT20" i="109"/>
  <c r="AS20" i="109"/>
  <c r="AR20" i="109"/>
  <c r="AQ20" i="109"/>
  <c r="AP20" i="109"/>
  <c r="BD19" i="109"/>
  <c r="BC19" i="109"/>
  <c r="BB19" i="109"/>
  <c r="BA19" i="109"/>
  <c r="AZ19" i="109"/>
  <c r="AY19" i="109"/>
  <c r="AX19" i="109"/>
  <c r="AW19" i="109"/>
  <c r="AV19" i="109"/>
  <c r="AU19" i="109"/>
  <c r="AT19" i="109"/>
  <c r="AS19" i="109"/>
  <c r="AR19" i="109"/>
  <c r="AQ19" i="109"/>
  <c r="AP19" i="109"/>
  <c r="BD18" i="109"/>
  <c r="BC18" i="109"/>
  <c r="BB18" i="109"/>
  <c r="BA18" i="109"/>
  <c r="AZ18" i="109"/>
  <c r="AY18" i="109"/>
  <c r="AX18" i="109"/>
  <c r="AW18" i="109"/>
  <c r="AV18" i="109"/>
  <c r="AU18" i="109"/>
  <c r="AT18" i="109"/>
  <c r="AS18" i="109"/>
  <c r="AR18" i="109"/>
  <c r="AQ18" i="109"/>
  <c r="AP18" i="109"/>
  <c r="BD17" i="109"/>
  <c r="BC17" i="109"/>
  <c r="BB17" i="109"/>
  <c r="BA17" i="109"/>
  <c r="AZ17" i="109"/>
  <c r="AY17" i="109"/>
  <c r="AX17" i="109"/>
  <c r="AW17" i="109"/>
  <c r="AV17" i="109"/>
  <c r="AU17" i="109"/>
  <c r="AT17" i="109"/>
  <c r="AS17" i="109"/>
  <c r="AR17" i="109"/>
  <c r="AQ17" i="109"/>
  <c r="AP17" i="109"/>
  <c r="BD16" i="109"/>
  <c r="BC16" i="109"/>
  <c r="BB16" i="109"/>
  <c r="BA16" i="109"/>
  <c r="AZ16" i="109"/>
  <c r="AY16" i="109"/>
  <c r="AX16" i="109"/>
  <c r="AW16" i="109"/>
  <c r="AV16" i="109"/>
  <c r="AU16" i="109"/>
  <c r="AT16" i="109"/>
  <c r="AS16" i="109"/>
  <c r="AR16" i="109"/>
  <c r="AQ16" i="109"/>
  <c r="AP16" i="109"/>
  <c r="BD15" i="109"/>
  <c r="BC15" i="109"/>
  <c r="BB15" i="109"/>
  <c r="BA15" i="109"/>
  <c r="AZ15" i="109"/>
  <c r="AY15" i="109"/>
  <c r="AX15" i="109"/>
  <c r="AW15" i="109"/>
  <c r="AV15" i="109"/>
  <c r="AU15" i="109"/>
  <c r="AT15" i="109"/>
  <c r="AS15" i="109"/>
  <c r="AR15" i="109"/>
  <c r="AQ15" i="109"/>
  <c r="AP15" i="109"/>
  <c r="BD14" i="109"/>
  <c r="BC14" i="109"/>
  <c r="BB14" i="109"/>
  <c r="BA14" i="109"/>
  <c r="AZ14" i="109"/>
  <c r="AY14" i="109"/>
  <c r="AX14" i="109"/>
  <c r="AW14" i="109"/>
  <c r="AV14" i="109"/>
  <c r="AU14" i="109"/>
  <c r="AT14" i="109"/>
  <c r="AS14" i="109"/>
  <c r="AR14" i="109"/>
  <c r="AQ14" i="109"/>
  <c r="AP14" i="109"/>
  <c r="BD13" i="109"/>
  <c r="BC13" i="109"/>
  <c r="BB13" i="109"/>
  <c r="BA13" i="109"/>
  <c r="AZ13" i="109"/>
  <c r="AY13" i="109"/>
  <c r="AX13" i="109"/>
  <c r="AW13" i="109"/>
  <c r="AV13" i="109"/>
  <c r="AU13" i="109"/>
  <c r="AT13" i="109"/>
  <c r="AS13" i="109"/>
  <c r="AR13" i="109"/>
  <c r="AQ13" i="109"/>
  <c r="AP13" i="109"/>
  <c r="BD12" i="109"/>
  <c r="BC12" i="109"/>
  <c r="BB12" i="109"/>
  <c r="BA12" i="109"/>
  <c r="AZ12" i="109"/>
  <c r="AY12" i="109"/>
  <c r="AX12" i="109"/>
  <c r="AW12" i="109"/>
  <c r="AV12" i="109"/>
  <c r="AU12" i="109"/>
  <c r="AT12" i="109"/>
  <c r="AS12" i="109"/>
  <c r="AR12" i="109"/>
  <c r="AQ12" i="109"/>
  <c r="AP12" i="109"/>
  <c r="BD11" i="109"/>
  <c r="BC11" i="109"/>
  <c r="BB11" i="109"/>
  <c r="BA11" i="109"/>
  <c r="AZ11" i="109"/>
  <c r="AY11" i="109"/>
  <c r="AX11" i="109"/>
  <c r="AW11" i="109"/>
  <c r="AV11" i="109"/>
  <c r="AU11" i="109"/>
  <c r="AT11" i="109"/>
  <c r="AS11" i="109"/>
  <c r="AR11" i="109"/>
  <c r="AQ11" i="109"/>
  <c r="AP11" i="109"/>
  <c r="BD10" i="109"/>
  <c r="BC10" i="109"/>
  <c r="BB10" i="109"/>
  <c r="BA10" i="109"/>
  <c r="AZ10" i="109"/>
  <c r="AY10" i="109"/>
  <c r="AX10" i="109"/>
  <c r="AW10" i="109"/>
  <c r="AV10" i="109"/>
  <c r="AU10" i="109"/>
  <c r="AT10" i="109"/>
  <c r="AS10" i="109"/>
  <c r="AR10" i="109"/>
  <c r="AQ10" i="109"/>
  <c r="AP10" i="109"/>
  <c r="BD9" i="109"/>
  <c r="BC9" i="109"/>
  <c r="BB9" i="109"/>
  <c r="BA9" i="109"/>
  <c r="AZ9" i="109"/>
  <c r="AY9" i="109"/>
  <c r="AX9" i="109"/>
  <c r="AW9" i="109"/>
  <c r="AV9" i="109"/>
  <c r="AU9" i="109"/>
  <c r="AT9" i="109"/>
  <c r="AS9" i="109"/>
  <c r="AR9" i="109"/>
  <c r="AQ9" i="109"/>
  <c r="AP9" i="109"/>
  <c r="BD8" i="109"/>
  <c r="BC8" i="109"/>
  <c r="BB8" i="109"/>
  <c r="BA8" i="109"/>
  <c r="AZ8" i="109"/>
  <c r="AY8" i="109"/>
  <c r="AX8" i="109"/>
  <c r="AW8" i="109"/>
  <c r="AV8" i="109"/>
  <c r="AU8" i="109"/>
  <c r="AT8" i="109"/>
  <c r="AS8" i="109"/>
  <c r="AR8" i="109"/>
  <c r="AQ8" i="109"/>
  <c r="AP8" i="109"/>
  <c r="BD7" i="109"/>
  <c r="BC7" i="109"/>
  <c r="BB7" i="109"/>
  <c r="BA7" i="109"/>
  <c r="AZ7" i="109"/>
  <c r="AY7" i="109"/>
  <c r="AX7" i="109"/>
  <c r="AW7" i="109"/>
  <c r="AV7" i="109"/>
  <c r="AU7" i="109"/>
  <c r="AT7" i="109"/>
  <c r="AS7" i="109"/>
  <c r="AR7" i="109"/>
  <c r="AQ7" i="109"/>
  <c r="AP7" i="109"/>
  <c r="BD6" i="109"/>
  <c r="BC6" i="109"/>
  <c r="BB6" i="109"/>
  <c r="BA6" i="109"/>
  <c r="AZ6" i="109"/>
  <c r="AY6" i="109"/>
  <c r="AX6" i="109"/>
  <c r="AW6" i="109"/>
  <c r="AV6" i="109"/>
  <c r="AU6" i="109"/>
  <c r="AT6" i="109"/>
  <c r="AS6" i="109"/>
  <c r="AR6" i="109"/>
  <c r="AQ6" i="109"/>
  <c r="AP6" i="109"/>
  <c r="BD5" i="109"/>
  <c r="D17" i="108" s="1"/>
  <c r="BC5" i="109"/>
  <c r="D16" i="108" s="1"/>
  <c r="BB5" i="109"/>
  <c r="D15" i="108" s="1"/>
  <c r="BA5" i="109"/>
  <c r="D14" i="108" s="1"/>
  <c r="AZ5" i="109"/>
  <c r="D13" i="108" s="1"/>
  <c r="AY5" i="109"/>
  <c r="D12" i="108" s="1"/>
  <c r="AX5" i="109"/>
  <c r="D11" i="108" s="1"/>
  <c r="AW5" i="109"/>
  <c r="D10" i="108" s="1"/>
  <c r="AV5" i="109"/>
  <c r="D9" i="108" s="1"/>
  <c r="AU5" i="109"/>
  <c r="D8" i="108" s="1"/>
  <c r="AT5" i="109"/>
  <c r="D7" i="108" s="1"/>
  <c r="AS5" i="109"/>
  <c r="D6" i="108" s="1"/>
  <c r="AR5" i="109"/>
  <c r="D5" i="108" s="1"/>
  <c r="AQ5" i="109"/>
  <c r="D4" i="108" s="1"/>
  <c r="AP5" i="109"/>
  <c r="D3" i="108" s="1"/>
  <c r="C56" i="1" l="1"/>
  <c r="M5" i="106"/>
  <c r="L5" i="106"/>
  <c r="I5" i="106"/>
  <c r="H5" i="106"/>
  <c r="D5" i="106"/>
  <c r="K5" i="49" l="1"/>
  <c r="J5" i="49"/>
  <c r="K5" i="103"/>
  <c r="J5" i="103"/>
  <c r="H5" i="104"/>
  <c r="G5" i="104"/>
  <c r="E5" i="104"/>
  <c r="H5" i="103"/>
  <c r="F5" i="103"/>
  <c r="E5" i="103"/>
  <c r="F5" i="102"/>
  <c r="E5" i="102"/>
  <c r="H5" i="49"/>
  <c r="F5" i="49"/>
  <c r="E5" i="49"/>
  <c r="Q130" i="24" l="1"/>
  <c r="P130" i="24"/>
  <c r="O130" i="24"/>
  <c r="N130" i="24"/>
  <c r="M130" i="24"/>
  <c r="L130" i="24"/>
  <c r="K130" i="24"/>
  <c r="J130" i="24"/>
  <c r="I130" i="24"/>
  <c r="H130" i="24"/>
  <c r="G130" i="24"/>
  <c r="E130" i="24"/>
  <c r="D130" i="24"/>
  <c r="Q129" i="24"/>
  <c r="P129" i="24"/>
  <c r="O129" i="24"/>
  <c r="N129" i="24"/>
  <c r="M129" i="24"/>
  <c r="L129" i="24"/>
  <c r="K129" i="24"/>
  <c r="J129" i="24"/>
  <c r="I129" i="24"/>
  <c r="H129" i="24"/>
  <c r="G129" i="24"/>
  <c r="E129" i="24"/>
  <c r="D129" i="24"/>
  <c r="Q128" i="24"/>
  <c r="P128" i="24"/>
  <c r="O128" i="24"/>
  <c r="N128" i="24"/>
  <c r="M128" i="24"/>
  <c r="L128" i="24"/>
  <c r="K128" i="24"/>
  <c r="J128" i="24"/>
  <c r="I128" i="24"/>
  <c r="H128" i="24"/>
  <c r="G128" i="24"/>
  <c r="E128" i="24"/>
  <c r="D128" i="24"/>
  <c r="Q127" i="24"/>
  <c r="P127" i="24"/>
  <c r="O127" i="24"/>
  <c r="N127" i="24"/>
  <c r="M127" i="24"/>
  <c r="L127" i="24"/>
  <c r="K127" i="24"/>
  <c r="J127" i="24"/>
  <c r="I127" i="24"/>
  <c r="H127" i="24"/>
  <c r="G127" i="24"/>
  <c r="E127" i="24"/>
  <c r="D127" i="24"/>
  <c r="Q126" i="24"/>
  <c r="P126" i="24"/>
  <c r="O126" i="24"/>
  <c r="N126" i="24"/>
  <c r="M126" i="24"/>
  <c r="L126" i="24"/>
  <c r="K126" i="24"/>
  <c r="J126" i="24"/>
  <c r="I126" i="24"/>
  <c r="H126" i="24"/>
  <c r="G126" i="24"/>
  <c r="E126" i="24"/>
  <c r="D126" i="24"/>
  <c r="Q124" i="24"/>
  <c r="P124" i="24"/>
  <c r="O124" i="24"/>
  <c r="N124" i="24"/>
  <c r="M124" i="24"/>
  <c r="L124" i="24"/>
  <c r="K124" i="24"/>
  <c r="J124" i="24"/>
  <c r="I124" i="24"/>
  <c r="H124" i="24"/>
  <c r="G124" i="24"/>
  <c r="E124" i="24"/>
  <c r="D124" i="24"/>
  <c r="Q123" i="24"/>
  <c r="P123" i="24"/>
  <c r="O123" i="24"/>
  <c r="N123" i="24"/>
  <c r="M123" i="24"/>
  <c r="L123" i="24"/>
  <c r="K123" i="24"/>
  <c r="J123" i="24"/>
  <c r="I123" i="24"/>
  <c r="H123" i="24"/>
  <c r="G123" i="24"/>
  <c r="E123" i="24"/>
  <c r="D123" i="24"/>
  <c r="Q122" i="24"/>
  <c r="P122" i="24"/>
  <c r="O122" i="24"/>
  <c r="N122" i="24"/>
  <c r="M122" i="24"/>
  <c r="L122" i="24"/>
  <c r="K122" i="24"/>
  <c r="J122" i="24"/>
  <c r="I122" i="24"/>
  <c r="H122" i="24"/>
  <c r="G122" i="24"/>
  <c r="E122" i="24"/>
  <c r="D122" i="24"/>
  <c r="Q121" i="24"/>
  <c r="P121" i="24"/>
  <c r="O121" i="24"/>
  <c r="N121" i="24"/>
  <c r="M121" i="24"/>
  <c r="L121" i="24"/>
  <c r="K121" i="24"/>
  <c r="J121" i="24"/>
  <c r="I121" i="24"/>
  <c r="H121" i="24"/>
  <c r="G121" i="24"/>
  <c r="E121" i="24"/>
  <c r="D121" i="24"/>
  <c r="Q120" i="24"/>
  <c r="P120" i="24"/>
  <c r="O120" i="24"/>
  <c r="N120" i="24"/>
  <c r="M120" i="24"/>
  <c r="L120" i="24"/>
  <c r="K120" i="24"/>
  <c r="J120" i="24"/>
  <c r="I120" i="24"/>
  <c r="H120" i="24"/>
  <c r="G120" i="24"/>
  <c r="E120" i="24"/>
  <c r="D120" i="24"/>
  <c r="Q119" i="24"/>
  <c r="P119" i="24"/>
  <c r="O119" i="24"/>
  <c r="N119" i="24"/>
  <c r="M119" i="24"/>
  <c r="L119" i="24"/>
  <c r="K119" i="24"/>
  <c r="J119" i="24"/>
  <c r="I119" i="24"/>
  <c r="H119" i="24"/>
  <c r="G119" i="24"/>
  <c r="E119" i="24"/>
  <c r="D119" i="24"/>
  <c r="Q118" i="24"/>
  <c r="P118" i="24"/>
  <c r="O118" i="24"/>
  <c r="N118" i="24"/>
  <c r="M118" i="24"/>
  <c r="L118" i="24"/>
  <c r="K118" i="24"/>
  <c r="J118" i="24"/>
  <c r="I118" i="24"/>
  <c r="H118" i="24"/>
  <c r="G118" i="24"/>
  <c r="E118" i="24"/>
  <c r="D118" i="24"/>
  <c r="Q117" i="24"/>
  <c r="P117" i="24"/>
  <c r="O117" i="24"/>
  <c r="N117" i="24"/>
  <c r="M117" i="24"/>
  <c r="L117" i="24"/>
  <c r="K117" i="24"/>
  <c r="J117" i="24"/>
  <c r="I117" i="24"/>
  <c r="H117" i="24"/>
  <c r="G117" i="24"/>
  <c r="E117" i="24"/>
  <c r="D117" i="24"/>
  <c r="Q116" i="24"/>
  <c r="P116" i="24"/>
  <c r="O116" i="24"/>
  <c r="N116" i="24"/>
  <c r="M116" i="24"/>
  <c r="L116" i="24"/>
  <c r="K116" i="24"/>
  <c r="J116" i="24"/>
  <c r="I116" i="24"/>
  <c r="H116" i="24"/>
  <c r="G116" i="24"/>
  <c r="E116" i="24"/>
  <c r="D116" i="24"/>
  <c r="Q115" i="24"/>
  <c r="P115" i="24"/>
  <c r="O115" i="24"/>
  <c r="N115" i="24"/>
  <c r="M115" i="24"/>
  <c r="L115" i="24"/>
  <c r="K115" i="24"/>
  <c r="J115" i="24"/>
  <c r="I115" i="24"/>
  <c r="H115" i="24"/>
  <c r="G115" i="24"/>
  <c r="E115" i="24"/>
  <c r="D115" i="24"/>
  <c r="Q114" i="24"/>
  <c r="P114" i="24"/>
  <c r="O114" i="24"/>
  <c r="N114" i="24"/>
  <c r="M114" i="24"/>
  <c r="L114" i="24"/>
  <c r="K114" i="24"/>
  <c r="J114" i="24"/>
  <c r="I114" i="24"/>
  <c r="H114" i="24"/>
  <c r="G114" i="24"/>
  <c r="E114" i="24"/>
  <c r="D114" i="24"/>
  <c r="Q113" i="24"/>
  <c r="P113" i="24"/>
  <c r="O113" i="24"/>
  <c r="N113" i="24"/>
  <c r="M113" i="24"/>
  <c r="L113" i="24"/>
  <c r="K113" i="24"/>
  <c r="J113" i="24"/>
  <c r="I113" i="24"/>
  <c r="H113" i="24"/>
  <c r="G113" i="24"/>
  <c r="E113" i="24"/>
  <c r="D113" i="24"/>
  <c r="Q112" i="24"/>
  <c r="P112" i="24"/>
  <c r="O112" i="24"/>
  <c r="N112" i="24"/>
  <c r="M112" i="24"/>
  <c r="L112" i="24"/>
  <c r="K112" i="24"/>
  <c r="J112" i="24"/>
  <c r="I112" i="24"/>
  <c r="H112" i="24"/>
  <c r="G112" i="24"/>
  <c r="E112" i="24"/>
  <c r="D112" i="24"/>
  <c r="Q111" i="24"/>
  <c r="P111" i="24"/>
  <c r="O111" i="24"/>
  <c r="N111" i="24"/>
  <c r="M111" i="24"/>
  <c r="L111" i="24"/>
  <c r="K111" i="24"/>
  <c r="J111" i="24"/>
  <c r="I111" i="24"/>
  <c r="H111" i="24"/>
  <c r="G111" i="24"/>
  <c r="E111" i="24"/>
  <c r="D111" i="24"/>
  <c r="Q110" i="24"/>
  <c r="P110" i="24"/>
  <c r="O110" i="24"/>
  <c r="N110" i="24"/>
  <c r="M110" i="24"/>
  <c r="L110" i="24"/>
  <c r="K110" i="24"/>
  <c r="J110" i="24"/>
  <c r="I110" i="24"/>
  <c r="H110" i="24"/>
  <c r="G110" i="24"/>
  <c r="E110" i="24"/>
  <c r="D110" i="24"/>
  <c r="Q109" i="24"/>
  <c r="P109" i="24"/>
  <c r="O109" i="24"/>
  <c r="N109" i="24"/>
  <c r="M109" i="24"/>
  <c r="L109" i="24"/>
  <c r="K109" i="24"/>
  <c r="J109" i="24"/>
  <c r="I109" i="24"/>
  <c r="H109" i="24"/>
  <c r="G109" i="24"/>
  <c r="E109" i="24"/>
  <c r="D109" i="24"/>
  <c r="Q108" i="24"/>
  <c r="P108" i="24"/>
  <c r="O108" i="24"/>
  <c r="N108" i="24"/>
  <c r="M108" i="24"/>
  <c r="L108" i="24"/>
  <c r="K108" i="24"/>
  <c r="J108" i="24"/>
  <c r="I108" i="24"/>
  <c r="H108" i="24"/>
  <c r="G108" i="24"/>
  <c r="E108" i="24"/>
  <c r="D108" i="24"/>
  <c r="Q107" i="24"/>
  <c r="P107" i="24"/>
  <c r="O107" i="24"/>
  <c r="N107" i="24"/>
  <c r="M107" i="24"/>
  <c r="L107" i="24"/>
  <c r="K107" i="24"/>
  <c r="J107" i="24"/>
  <c r="I107" i="24"/>
  <c r="H107" i="24"/>
  <c r="G107" i="24"/>
  <c r="E107" i="24"/>
  <c r="D107" i="24"/>
  <c r="Q106" i="24"/>
  <c r="P106" i="24"/>
  <c r="O106" i="24"/>
  <c r="N106" i="24"/>
  <c r="M106" i="24"/>
  <c r="L106" i="24"/>
  <c r="K106" i="24"/>
  <c r="J106" i="24"/>
  <c r="I106" i="24"/>
  <c r="H106" i="24"/>
  <c r="G106" i="24"/>
  <c r="E106" i="24"/>
  <c r="D106" i="24"/>
  <c r="Q105" i="24"/>
  <c r="P105" i="24"/>
  <c r="O105" i="24"/>
  <c r="N105" i="24"/>
  <c r="M105" i="24"/>
  <c r="L105" i="24"/>
  <c r="K105" i="24"/>
  <c r="J105" i="24"/>
  <c r="I105" i="24"/>
  <c r="H105" i="24"/>
  <c r="G105" i="24"/>
  <c r="E105" i="24"/>
  <c r="D105" i="24"/>
  <c r="Q104" i="24"/>
  <c r="P104" i="24"/>
  <c r="O104" i="24"/>
  <c r="N104" i="24"/>
  <c r="M104" i="24"/>
  <c r="L104" i="24"/>
  <c r="K104" i="24"/>
  <c r="J104" i="24"/>
  <c r="I104" i="24"/>
  <c r="H104" i="24"/>
  <c r="G104" i="24"/>
  <c r="E104" i="24"/>
  <c r="D104" i="24"/>
  <c r="Q103" i="24"/>
  <c r="P103" i="24"/>
  <c r="O103" i="24"/>
  <c r="N103" i="24"/>
  <c r="M103" i="24"/>
  <c r="L103" i="24"/>
  <c r="K103" i="24"/>
  <c r="J103" i="24"/>
  <c r="I103" i="24"/>
  <c r="H103" i="24"/>
  <c r="G103" i="24"/>
  <c r="E103" i="24"/>
  <c r="D103" i="24"/>
  <c r="Q102" i="24"/>
  <c r="P102" i="24"/>
  <c r="O102" i="24"/>
  <c r="N102" i="24"/>
  <c r="M102" i="24"/>
  <c r="L102" i="24"/>
  <c r="K102" i="24"/>
  <c r="J102" i="24"/>
  <c r="I102" i="24"/>
  <c r="H102" i="24"/>
  <c r="G102" i="24"/>
  <c r="E102" i="24"/>
  <c r="D102" i="24"/>
  <c r="Q101" i="24"/>
  <c r="P101" i="24"/>
  <c r="O101" i="24"/>
  <c r="N101" i="24"/>
  <c r="M101" i="24"/>
  <c r="L101" i="24"/>
  <c r="K101" i="24"/>
  <c r="J101" i="24"/>
  <c r="I101" i="24"/>
  <c r="H101" i="24"/>
  <c r="G101" i="24"/>
  <c r="E101" i="24"/>
  <c r="D101" i="24"/>
  <c r="Q100" i="24"/>
  <c r="P100" i="24"/>
  <c r="O100" i="24"/>
  <c r="N100" i="24"/>
  <c r="M100" i="24"/>
  <c r="L100" i="24"/>
  <c r="K100" i="24"/>
  <c r="J100" i="24"/>
  <c r="I100" i="24"/>
  <c r="H100" i="24"/>
  <c r="G100" i="24"/>
  <c r="E100" i="24"/>
  <c r="D100" i="24"/>
  <c r="Q99" i="24"/>
  <c r="P99" i="24"/>
  <c r="O99" i="24"/>
  <c r="N99" i="24"/>
  <c r="M99" i="24"/>
  <c r="L99" i="24"/>
  <c r="K99" i="24"/>
  <c r="J99" i="24"/>
  <c r="I99" i="24"/>
  <c r="H99" i="24"/>
  <c r="G99" i="24"/>
  <c r="E99" i="24"/>
  <c r="D99" i="24"/>
  <c r="Q98" i="24"/>
  <c r="P98" i="24"/>
  <c r="O98" i="24"/>
  <c r="N98" i="24"/>
  <c r="M98" i="24"/>
  <c r="L98" i="24"/>
  <c r="K98" i="24"/>
  <c r="J98" i="24"/>
  <c r="I98" i="24"/>
  <c r="H98" i="24"/>
  <c r="G98" i="24"/>
  <c r="E98" i="24"/>
  <c r="D98" i="24"/>
  <c r="Q97" i="24"/>
  <c r="P97" i="24"/>
  <c r="O97" i="24"/>
  <c r="N97" i="24"/>
  <c r="M97" i="24"/>
  <c r="L97" i="24"/>
  <c r="K97" i="24"/>
  <c r="J97" i="24"/>
  <c r="I97" i="24"/>
  <c r="H97" i="24"/>
  <c r="G97" i="24"/>
  <c r="E97" i="24"/>
  <c r="D97" i="24"/>
  <c r="Q96" i="24"/>
  <c r="P96" i="24"/>
  <c r="O96" i="24"/>
  <c r="N96" i="24"/>
  <c r="M96" i="24"/>
  <c r="L96" i="24"/>
  <c r="K96" i="24"/>
  <c r="J96" i="24"/>
  <c r="I96" i="24"/>
  <c r="H96" i="24"/>
  <c r="G96" i="24"/>
  <c r="E96" i="24"/>
  <c r="D96" i="24"/>
  <c r="Q95" i="24"/>
  <c r="P95" i="24"/>
  <c r="O95" i="24"/>
  <c r="N95" i="24"/>
  <c r="M95" i="24"/>
  <c r="L95" i="24"/>
  <c r="K95" i="24"/>
  <c r="J95" i="24"/>
  <c r="I95" i="24"/>
  <c r="H95" i="24"/>
  <c r="G95" i="24"/>
  <c r="E95" i="24"/>
  <c r="D95" i="24"/>
  <c r="Q94" i="24"/>
  <c r="P94" i="24"/>
  <c r="O94" i="24"/>
  <c r="N94" i="24"/>
  <c r="M94" i="24"/>
  <c r="L94" i="24"/>
  <c r="K94" i="24"/>
  <c r="J94" i="24"/>
  <c r="I94" i="24"/>
  <c r="H94" i="24"/>
  <c r="G94" i="24"/>
  <c r="E94" i="24"/>
  <c r="D94" i="24"/>
  <c r="Q93" i="24"/>
  <c r="P93" i="24"/>
  <c r="O93" i="24"/>
  <c r="N93" i="24"/>
  <c r="M93" i="24"/>
  <c r="L93" i="24"/>
  <c r="K93" i="24"/>
  <c r="J93" i="24"/>
  <c r="I93" i="24"/>
  <c r="H93" i="24"/>
  <c r="G93" i="24"/>
  <c r="E93" i="24"/>
  <c r="D93" i="24"/>
  <c r="Q92" i="24"/>
  <c r="P92" i="24"/>
  <c r="O92" i="24"/>
  <c r="N92" i="24"/>
  <c r="M92" i="24"/>
  <c r="L92" i="24"/>
  <c r="K92" i="24"/>
  <c r="J92" i="24"/>
  <c r="I92" i="24"/>
  <c r="H92" i="24"/>
  <c r="G92" i="24"/>
  <c r="E92" i="24"/>
  <c r="D92" i="24"/>
  <c r="Q91" i="24"/>
  <c r="P91" i="24"/>
  <c r="O91" i="24"/>
  <c r="N91" i="24"/>
  <c r="M91" i="24"/>
  <c r="L91" i="24"/>
  <c r="K91" i="24"/>
  <c r="J91" i="24"/>
  <c r="I91" i="24"/>
  <c r="H91" i="24"/>
  <c r="G91" i="24"/>
  <c r="E91" i="24"/>
  <c r="D91" i="24"/>
  <c r="Q90" i="24"/>
  <c r="P90" i="24"/>
  <c r="O90" i="24"/>
  <c r="N90" i="24"/>
  <c r="M90" i="24"/>
  <c r="L90" i="24"/>
  <c r="K90" i="24"/>
  <c r="J90" i="24"/>
  <c r="I90" i="24"/>
  <c r="H90" i="24"/>
  <c r="G90" i="24"/>
  <c r="E90" i="24"/>
  <c r="D90" i="24"/>
  <c r="Q89" i="24"/>
  <c r="P89" i="24"/>
  <c r="O89" i="24"/>
  <c r="N89" i="24"/>
  <c r="M89" i="24"/>
  <c r="L89" i="24"/>
  <c r="K89" i="24"/>
  <c r="J89" i="24"/>
  <c r="I89" i="24"/>
  <c r="H89" i="24"/>
  <c r="G89" i="24"/>
  <c r="E89" i="24"/>
  <c r="D89" i="24"/>
  <c r="Q88" i="24"/>
  <c r="P88" i="24"/>
  <c r="O88" i="24"/>
  <c r="N88" i="24"/>
  <c r="M88" i="24"/>
  <c r="L88" i="24"/>
  <c r="K88" i="24"/>
  <c r="J88" i="24"/>
  <c r="I88" i="24"/>
  <c r="H88" i="24"/>
  <c r="G88" i="24"/>
  <c r="E88" i="24"/>
  <c r="D88" i="24"/>
  <c r="Q87" i="24"/>
  <c r="P87" i="24"/>
  <c r="O87" i="24"/>
  <c r="N87" i="24"/>
  <c r="M87" i="24"/>
  <c r="L87" i="24"/>
  <c r="K87" i="24"/>
  <c r="J87" i="24"/>
  <c r="I87" i="24"/>
  <c r="H87" i="24"/>
  <c r="G87" i="24"/>
  <c r="E87" i="24"/>
  <c r="D87" i="24"/>
  <c r="Q86" i="24"/>
  <c r="P86" i="24"/>
  <c r="O86" i="24"/>
  <c r="N86" i="24"/>
  <c r="M86" i="24"/>
  <c r="L86" i="24"/>
  <c r="K86" i="24"/>
  <c r="J86" i="24"/>
  <c r="I86" i="24"/>
  <c r="H86" i="24"/>
  <c r="G86" i="24"/>
  <c r="E86" i="24"/>
  <c r="D86" i="24"/>
  <c r="Q85" i="24"/>
  <c r="P85" i="24"/>
  <c r="O85" i="24"/>
  <c r="N85" i="24"/>
  <c r="M85" i="24"/>
  <c r="L85" i="24"/>
  <c r="K85" i="24"/>
  <c r="J85" i="24"/>
  <c r="I85" i="24"/>
  <c r="H85" i="24"/>
  <c r="G85" i="24"/>
  <c r="E85" i="24"/>
  <c r="D85" i="24"/>
  <c r="Q84" i="24"/>
  <c r="P84" i="24"/>
  <c r="O84" i="24"/>
  <c r="N84" i="24"/>
  <c r="M84" i="24"/>
  <c r="L84" i="24"/>
  <c r="K84" i="24"/>
  <c r="J84" i="24"/>
  <c r="I84" i="24"/>
  <c r="H84" i="24"/>
  <c r="G84" i="24"/>
  <c r="E84" i="24"/>
  <c r="D84" i="24"/>
  <c r="Q83" i="24"/>
  <c r="P83" i="24"/>
  <c r="O83" i="24"/>
  <c r="N83" i="24"/>
  <c r="M83" i="24"/>
  <c r="L83" i="24"/>
  <c r="K83" i="24"/>
  <c r="J83" i="24"/>
  <c r="I83" i="24"/>
  <c r="H83" i="24"/>
  <c r="G83" i="24"/>
  <c r="E83" i="24"/>
  <c r="D83" i="24"/>
  <c r="Q82" i="24"/>
  <c r="P82" i="24"/>
  <c r="O82" i="24"/>
  <c r="N82" i="24"/>
  <c r="M82" i="24"/>
  <c r="L82" i="24"/>
  <c r="K82" i="24"/>
  <c r="J82" i="24"/>
  <c r="I82" i="24"/>
  <c r="H82" i="24"/>
  <c r="G82" i="24"/>
  <c r="E82" i="24"/>
  <c r="D82" i="24"/>
  <c r="Q81" i="24"/>
  <c r="P81" i="24"/>
  <c r="O81" i="24"/>
  <c r="N81" i="24"/>
  <c r="M81" i="24"/>
  <c r="L81" i="24"/>
  <c r="K81" i="24"/>
  <c r="J81" i="24"/>
  <c r="I81" i="24"/>
  <c r="H81" i="24"/>
  <c r="G81" i="24"/>
  <c r="E81" i="24"/>
  <c r="D81" i="24"/>
  <c r="Q80" i="24"/>
  <c r="P80" i="24"/>
  <c r="O80" i="24"/>
  <c r="N80" i="24"/>
  <c r="M80" i="24"/>
  <c r="L80" i="24"/>
  <c r="K80" i="24"/>
  <c r="J80" i="24"/>
  <c r="I80" i="24"/>
  <c r="H80" i="24"/>
  <c r="G80" i="24"/>
  <c r="E80" i="24"/>
  <c r="D80" i="24"/>
  <c r="Q79" i="24"/>
  <c r="P79" i="24"/>
  <c r="O79" i="24"/>
  <c r="N79" i="24"/>
  <c r="M79" i="24"/>
  <c r="L79" i="24"/>
  <c r="K79" i="24"/>
  <c r="J79" i="24"/>
  <c r="I79" i="24"/>
  <c r="H79" i="24"/>
  <c r="G79" i="24"/>
  <c r="E79" i="24"/>
  <c r="D79" i="24"/>
  <c r="Q78" i="24"/>
  <c r="P78" i="24"/>
  <c r="O78" i="24"/>
  <c r="N78" i="24"/>
  <c r="M78" i="24"/>
  <c r="L78" i="24"/>
  <c r="K78" i="24"/>
  <c r="J78" i="24"/>
  <c r="I78" i="24"/>
  <c r="H78" i="24"/>
  <c r="G78" i="24"/>
  <c r="E78" i="24"/>
  <c r="D78" i="24"/>
  <c r="Q77" i="24"/>
  <c r="P77" i="24"/>
  <c r="O77" i="24"/>
  <c r="N77" i="24"/>
  <c r="M77" i="24"/>
  <c r="L77" i="24"/>
  <c r="K77" i="24"/>
  <c r="J77" i="24"/>
  <c r="I77" i="24"/>
  <c r="H77" i="24"/>
  <c r="G77" i="24"/>
  <c r="E77" i="24"/>
  <c r="D77" i="24"/>
  <c r="Q76" i="24"/>
  <c r="P76" i="24"/>
  <c r="O76" i="24"/>
  <c r="N76" i="24"/>
  <c r="M76" i="24"/>
  <c r="L76" i="24"/>
  <c r="K76" i="24"/>
  <c r="J76" i="24"/>
  <c r="I76" i="24"/>
  <c r="H76" i="24"/>
  <c r="G76" i="24"/>
  <c r="E76" i="24"/>
  <c r="D76" i="24"/>
  <c r="Q75" i="24"/>
  <c r="P75" i="24"/>
  <c r="O75" i="24"/>
  <c r="N75" i="24"/>
  <c r="M75" i="24"/>
  <c r="L75" i="24"/>
  <c r="K75" i="24"/>
  <c r="J75" i="24"/>
  <c r="I75" i="24"/>
  <c r="H75" i="24"/>
  <c r="G75" i="24"/>
  <c r="E75" i="24"/>
  <c r="D75" i="24"/>
  <c r="Q74" i="24"/>
  <c r="P74" i="24"/>
  <c r="O74" i="24"/>
  <c r="N74" i="24"/>
  <c r="M74" i="24"/>
  <c r="L74" i="24"/>
  <c r="K74" i="24"/>
  <c r="J74" i="24"/>
  <c r="I74" i="24"/>
  <c r="H74" i="24"/>
  <c r="G74" i="24"/>
  <c r="E74" i="24"/>
  <c r="D74" i="24"/>
  <c r="Q73" i="24"/>
  <c r="P73" i="24"/>
  <c r="O73" i="24"/>
  <c r="N73" i="24"/>
  <c r="M73" i="24"/>
  <c r="L73" i="24"/>
  <c r="K73" i="24"/>
  <c r="J73" i="24"/>
  <c r="I73" i="24"/>
  <c r="H73" i="24"/>
  <c r="G73" i="24"/>
  <c r="E73" i="24"/>
  <c r="D73" i="24"/>
  <c r="Q72" i="24"/>
  <c r="P72" i="24"/>
  <c r="O72" i="24"/>
  <c r="N72" i="24"/>
  <c r="M72" i="24"/>
  <c r="L72" i="24"/>
  <c r="K72" i="24"/>
  <c r="J72" i="24"/>
  <c r="I72" i="24"/>
  <c r="H72" i="24"/>
  <c r="G72" i="24"/>
  <c r="E72" i="24"/>
  <c r="D72" i="24"/>
  <c r="Q71" i="24"/>
  <c r="P71" i="24"/>
  <c r="O71" i="24"/>
  <c r="N71" i="24"/>
  <c r="M71" i="24"/>
  <c r="L71" i="24"/>
  <c r="K71" i="24"/>
  <c r="J71" i="24"/>
  <c r="I71" i="24"/>
  <c r="H71" i="24"/>
  <c r="G71" i="24"/>
  <c r="E71" i="24"/>
  <c r="D71" i="24"/>
  <c r="Q70" i="24"/>
  <c r="P70" i="24"/>
  <c r="O70" i="24"/>
  <c r="N70" i="24"/>
  <c r="M70" i="24"/>
  <c r="L70" i="24"/>
  <c r="K70" i="24"/>
  <c r="J70" i="24"/>
  <c r="I70" i="24"/>
  <c r="H70" i="24"/>
  <c r="G70" i="24"/>
  <c r="E70" i="24"/>
  <c r="D70" i="24"/>
  <c r="Q69" i="24"/>
  <c r="P69" i="24"/>
  <c r="O69" i="24"/>
  <c r="N69" i="24"/>
  <c r="M69" i="24"/>
  <c r="L69" i="24"/>
  <c r="K69" i="24"/>
  <c r="J69" i="24"/>
  <c r="I69" i="24"/>
  <c r="H69" i="24"/>
  <c r="G69" i="24"/>
  <c r="E69" i="24"/>
  <c r="D69" i="24"/>
  <c r="Q68" i="24"/>
  <c r="P68" i="24"/>
  <c r="O68" i="24"/>
  <c r="N68" i="24"/>
  <c r="M68" i="24"/>
  <c r="L68" i="24"/>
  <c r="K68" i="24"/>
  <c r="J68" i="24"/>
  <c r="I68" i="24"/>
  <c r="H68" i="24"/>
  <c r="G68" i="24"/>
  <c r="E68" i="24"/>
  <c r="D68" i="24"/>
  <c r="Q67" i="24"/>
  <c r="P67" i="24"/>
  <c r="O67" i="24"/>
  <c r="N67" i="24"/>
  <c r="M67" i="24"/>
  <c r="L67" i="24"/>
  <c r="K67" i="24"/>
  <c r="J67" i="24"/>
  <c r="I67" i="24"/>
  <c r="H67" i="24"/>
  <c r="G67" i="24"/>
  <c r="E67" i="24"/>
  <c r="D67" i="24"/>
  <c r="Q66" i="24"/>
  <c r="P66" i="24"/>
  <c r="O66" i="24"/>
  <c r="N66" i="24"/>
  <c r="M66" i="24"/>
  <c r="L66" i="24"/>
  <c r="K66" i="24"/>
  <c r="J66" i="24"/>
  <c r="I66" i="24"/>
  <c r="H66" i="24"/>
  <c r="G66" i="24"/>
  <c r="E66" i="24"/>
  <c r="D66" i="24"/>
  <c r="Q65" i="24"/>
  <c r="P65" i="24"/>
  <c r="O65" i="24"/>
  <c r="N65" i="24"/>
  <c r="M65" i="24"/>
  <c r="L65" i="24"/>
  <c r="K65" i="24"/>
  <c r="J65" i="24"/>
  <c r="I65" i="24"/>
  <c r="H65" i="24"/>
  <c r="G65" i="24"/>
  <c r="E65" i="24"/>
  <c r="D65" i="24"/>
  <c r="Q64" i="24"/>
  <c r="P64" i="24"/>
  <c r="O64" i="24"/>
  <c r="N64" i="24"/>
  <c r="M64" i="24"/>
  <c r="L64" i="24"/>
  <c r="K64" i="24"/>
  <c r="J64" i="24"/>
  <c r="I64" i="24"/>
  <c r="H64" i="24"/>
  <c r="G64" i="24"/>
  <c r="E64" i="24"/>
  <c r="D64" i="24"/>
  <c r="Q63" i="24"/>
  <c r="P63" i="24"/>
  <c r="O63" i="24"/>
  <c r="N63" i="24"/>
  <c r="M63" i="24"/>
  <c r="L63" i="24"/>
  <c r="K63" i="24"/>
  <c r="J63" i="24"/>
  <c r="I63" i="24"/>
  <c r="H63" i="24"/>
  <c r="G63" i="24"/>
  <c r="E63" i="24"/>
  <c r="D63" i="24"/>
  <c r="Q62" i="24"/>
  <c r="P62" i="24"/>
  <c r="O62" i="24"/>
  <c r="N62" i="24"/>
  <c r="M62" i="24"/>
  <c r="L62" i="24"/>
  <c r="K62" i="24"/>
  <c r="J62" i="24"/>
  <c r="I62" i="24"/>
  <c r="H62" i="24"/>
  <c r="G62" i="24"/>
  <c r="E62" i="24"/>
  <c r="D62" i="24"/>
  <c r="Q61" i="24"/>
  <c r="P61" i="24"/>
  <c r="O61" i="24"/>
  <c r="N61" i="24"/>
  <c r="M61" i="24"/>
  <c r="L61" i="24"/>
  <c r="K61" i="24"/>
  <c r="J61" i="24"/>
  <c r="I61" i="24"/>
  <c r="H61" i="24"/>
  <c r="G61" i="24"/>
  <c r="E61" i="24"/>
  <c r="D61" i="24"/>
  <c r="Q60" i="24"/>
  <c r="P60" i="24"/>
  <c r="O60" i="24"/>
  <c r="N60" i="24"/>
  <c r="M60" i="24"/>
  <c r="L60" i="24"/>
  <c r="K60" i="24"/>
  <c r="J60" i="24"/>
  <c r="I60" i="24"/>
  <c r="H60" i="24"/>
  <c r="G60" i="24"/>
  <c r="E60" i="24"/>
  <c r="D60" i="24"/>
  <c r="Q59" i="24"/>
  <c r="P59" i="24"/>
  <c r="O59" i="24"/>
  <c r="N59" i="24"/>
  <c r="M59" i="24"/>
  <c r="L59" i="24"/>
  <c r="K59" i="24"/>
  <c r="J59" i="24"/>
  <c r="I59" i="24"/>
  <c r="H59" i="24"/>
  <c r="G59" i="24"/>
  <c r="E59" i="24"/>
  <c r="D59" i="24"/>
  <c r="Q58" i="24"/>
  <c r="P58" i="24"/>
  <c r="O58" i="24"/>
  <c r="N58" i="24"/>
  <c r="M58" i="24"/>
  <c r="L58" i="24"/>
  <c r="K58" i="24"/>
  <c r="J58" i="24"/>
  <c r="I58" i="24"/>
  <c r="H58" i="24"/>
  <c r="G58" i="24"/>
  <c r="E58" i="24"/>
  <c r="D58" i="24"/>
  <c r="Q57" i="24"/>
  <c r="P57" i="24"/>
  <c r="O57" i="24"/>
  <c r="N57" i="24"/>
  <c r="M57" i="24"/>
  <c r="L57" i="24"/>
  <c r="K57" i="24"/>
  <c r="J57" i="24"/>
  <c r="I57" i="24"/>
  <c r="H57" i="24"/>
  <c r="G57" i="24"/>
  <c r="E57" i="24"/>
  <c r="D57" i="24"/>
  <c r="Q56" i="24"/>
  <c r="P56" i="24"/>
  <c r="O56" i="24"/>
  <c r="N56" i="24"/>
  <c r="M56" i="24"/>
  <c r="L56" i="24"/>
  <c r="K56" i="24"/>
  <c r="J56" i="24"/>
  <c r="I56" i="24"/>
  <c r="H56" i="24"/>
  <c r="G56" i="24"/>
  <c r="E56" i="24"/>
  <c r="D56" i="24"/>
  <c r="Q55" i="24"/>
  <c r="P55" i="24"/>
  <c r="O55" i="24"/>
  <c r="N55" i="24"/>
  <c r="M55" i="24"/>
  <c r="L55" i="24"/>
  <c r="K55" i="24"/>
  <c r="J55" i="24"/>
  <c r="I55" i="24"/>
  <c r="H55" i="24"/>
  <c r="G55" i="24"/>
  <c r="E55" i="24"/>
  <c r="D55" i="24"/>
  <c r="Q54" i="24"/>
  <c r="P54" i="24"/>
  <c r="O54" i="24"/>
  <c r="N54" i="24"/>
  <c r="M54" i="24"/>
  <c r="L54" i="24"/>
  <c r="K54" i="24"/>
  <c r="J54" i="24"/>
  <c r="I54" i="24"/>
  <c r="H54" i="24"/>
  <c r="G54" i="24"/>
  <c r="E54" i="24"/>
  <c r="D54" i="24"/>
  <c r="Q53" i="24"/>
  <c r="P53" i="24"/>
  <c r="O53" i="24"/>
  <c r="N53" i="24"/>
  <c r="M53" i="24"/>
  <c r="L53" i="24"/>
  <c r="K53" i="24"/>
  <c r="J53" i="24"/>
  <c r="I53" i="24"/>
  <c r="H53" i="24"/>
  <c r="G53" i="24"/>
  <c r="E53" i="24"/>
  <c r="D53" i="24"/>
  <c r="Q52" i="24"/>
  <c r="P52" i="24"/>
  <c r="O52" i="24"/>
  <c r="N52" i="24"/>
  <c r="M52" i="24"/>
  <c r="L52" i="24"/>
  <c r="K52" i="24"/>
  <c r="J52" i="24"/>
  <c r="I52" i="24"/>
  <c r="H52" i="24"/>
  <c r="G52" i="24"/>
  <c r="E52" i="24"/>
  <c r="D52" i="24"/>
  <c r="Q51" i="24"/>
  <c r="P51" i="24"/>
  <c r="O51" i="24"/>
  <c r="N51" i="24"/>
  <c r="M51" i="24"/>
  <c r="L51" i="24"/>
  <c r="K51" i="24"/>
  <c r="J51" i="24"/>
  <c r="I51" i="24"/>
  <c r="H51" i="24"/>
  <c r="G51" i="24"/>
  <c r="E51" i="24"/>
  <c r="D51" i="24"/>
  <c r="Q50" i="24"/>
  <c r="P50" i="24"/>
  <c r="O50" i="24"/>
  <c r="N50" i="24"/>
  <c r="M50" i="24"/>
  <c r="L50" i="24"/>
  <c r="K50" i="24"/>
  <c r="J50" i="24"/>
  <c r="I50" i="24"/>
  <c r="H50" i="24"/>
  <c r="G50" i="24"/>
  <c r="E50" i="24"/>
  <c r="D50" i="24"/>
  <c r="Q49" i="24"/>
  <c r="P49" i="24"/>
  <c r="O49" i="24"/>
  <c r="N49" i="24"/>
  <c r="M49" i="24"/>
  <c r="L49" i="24"/>
  <c r="K49" i="24"/>
  <c r="J49" i="24"/>
  <c r="I49" i="24"/>
  <c r="H49" i="24"/>
  <c r="G49" i="24"/>
  <c r="E49" i="24"/>
  <c r="D49" i="24"/>
  <c r="Q48" i="24"/>
  <c r="P48" i="24"/>
  <c r="O48" i="24"/>
  <c r="N48" i="24"/>
  <c r="M48" i="24"/>
  <c r="L48" i="24"/>
  <c r="K48" i="24"/>
  <c r="J48" i="24"/>
  <c r="I48" i="24"/>
  <c r="H48" i="24"/>
  <c r="G48" i="24"/>
  <c r="E48" i="24"/>
  <c r="D48" i="24"/>
  <c r="Q47" i="24"/>
  <c r="P47" i="24"/>
  <c r="O47" i="24"/>
  <c r="N47" i="24"/>
  <c r="M47" i="24"/>
  <c r="L47" i="24"/>
  <c r="K47" i="24"/>
  <c r="J47" i="24"/>
  <c r="I47" i="24"/>
  <c r="H47" i="24"/>
  <c r="G47" i="24"/>
  <c r="E47" i="24"/>
  <c r="D47" i="24"/>
  <c r="Q46" i="24"/>
  <c r="P46" i="24"/>
  <c r="O46" i="24"/>
  <c r="N46" i="24"/>
  <c r="M46" i="24"/>
  <c r="L46" i="24"/>
  <c r="K46" i="24"/>
  <c r="J46" i="24"/>
  <c r="I46" i="24"/>
  <c r="H46" i="24"/>
  <c r="G46" i="24"/>
  <c r="E46" i="24"/>
  <c r="D46" i="24"/>
  <c r="Q45" i="24"/>
  <c r="P45" i="24"/>
  <c r="O45" i="24"/>
  <c r="N45" i="24"/>
  <c r="M45" i="24"/>
  <c r="L45" i="24"/>
  <c r="K45" i="24"/>
  <c r="J45" i="24"/>
  <c r="I45" i="24"/>
  <c r="H45" i="24"/>
  <c r="G45" i="24"/>
  <c r="E45" i="24"/>
  <c r="D45" i="24"/>
  <c r="Q44" i="24"/>
  <c r="P44" i="24"/>
  <c r="O44" i="24"/>
  <c r="N44" i="24"/>
  <c r="M44" i="24"/>
  <c r="L44" i="24"/>
  <c r="K44" i="24"/>
  <c r="J44" i="24"/>
  <c r="I44" i="24"/>
  <c r="H44" i="24"/>
  <c r="G44" i="24"/>
  <c r="E44" i="24"/>
  <c r="D44" i="24"/>
  <c r="Q43" i="24"/>
  <c r="P43" i="24"/>
  <c r="O43" i="24"/>
  <c r="N43" i="24"/>
  <c r="M43" i="24"/>
  <c r="L43" i="24"/>
  <c r="K43" i="24"/>
  <c r="J43" i="24"/>
  <c r="I43" i="24"/>
  <c r="H43" i="24"/>
  <c r="G43" i="24"/>
  <c r="E43" i="24"/>
  <c r="D43" i="24"/>
  <c r="Q42" i="24"/>
  <c r="P42" i="24"/>
  <c r="O42" i="24"/>
  <c r="N42" i="24"/>
  <c r="M42" i="24"/>
  <c r="L42" i="24"/>
  <c r="K42" i="24"/>
  <c r="J42" i="24"/>
  <c r="I42" i="24"/>
  <c r="H42" i="24"/>
  <c r="G42" i="24"/>
  <c r="E42" i="24"/>
  <c r="D42" i="24"/>
  <c r="Q41" i="24"/>
  <c r="P41" i="24"/>
  <c r="O41" i="24"/>
  <c r="N41" i="24"/>
  <c r="M41" i="24"/>
  <c r="L41" i="24"/>
  <c r="K41" i="24"/>
  <c r="J41" i="24"/>
  <c r="I41" i="24"/>
  <c r="H41" i="24"/>
  <c r="G41" i="24"/>
  <c r="E41" i="24"/>
  <c r="D41" i="24"/>
  <c r="Q40" i="24"/>
  <c r="P40" i="24"/>
  <c r="O40" i="24"/>
  <c r="N40" i="24"/>
  <c r="M40" i="24"/>
  <c r="L40" i="24"/>
  <c r="K40" i="24"/>
  <c r="J40" i="24"/>
  <c r="I40" i="24"/>
  <c r="H40" i="24"/>
  <c r="G40" i="24"/>
  <c r="E40" i="24"/>
  <c r="D40" i="24"/>
  <c r="Q39" i="24"/>
  <c r="P39" i="24"/>
  <c r="O39" i="24"/>
  <c r="N39" i="24"/>
  <c r="M39" i="24"/>
  <c r="L39" i="24"/>
  <c r="K39" i="24"/>
  <c r="J39" i="24"/>
  <c r="I39" i="24"/>
  <c r="H39" i="24"/>
  <c r="G39" i="24"/>
  <c r="E39" i="24"/>
  <c r="D39" i="24"/>
  <c r="Q38" i="24"/>
  <c r="P38" i="24"/>
  <c r="O38" i="24"/>
  <c r="N38" i="24"/>
  <c r="M38" i="24"/>
  <c r="L38" i="24"/>
  <c r="K38" i="24"/>
  <c r="J38" i="24"/>
  <c r="I38" i="24"/>
  <c r="H38" i="24"/>
  <c r="G38" i="24"/>
  <c r="E38" i="24"/>
  <c r="D38" i="24"/>
  <c r="Q37" i="24"/>
  <c r="P37" i="24"/>
  <c r="O37" i="24"/>
  <c r="N37" i="24"/>
  <c r="M37" i="24"/>
  <c r="L37" i="24"/>
  <c r="K37" i="24"/>
  <c r="J37" i="24"/>
  <c r="I37" i="24"/>
  <c r="H37" i="24"/>
  <c r="G37" i="24"/>
  <c r="E37" i="24"/>
  <c r="D37" i="24"/>
  <c r="Q36" i="24"/>
  <c r="P36" i="24"/>
  <c r="O36" i="24"/>
  <c r="N36" i="24"/>
  <c r="M36" i="24"/>
  <c r="L36" i="24"/>
  <c r="K36" i="24"/>
  <c r="J36" i="24"/>
  <c r="I36" i="24"/>
  <c r="H36" i="24"/>
  <c r="G36" i="24"/>
  <c r="E36" i="24"/>
  <c r="D36" i="24"/>
  <c r="Q35" i="24"/>
  <c r="P35" i="24"/>
  <c r="O35" i="24"/>
  <c r="N35" i="24"/>
  <c r="M35" i="24"/>
  <c r="L35" i="24"/>
  <c r="K35" i="24"/>
  <c r="J35" i="24"/>
  <c r="I35" i="24"/>
  <c r="H35" i="24"/>
  <c r="G35" i="24"/>
  <c r="E35" i="24"/>
  <c r="D35" i="24"/>
  <c r="Q34" i="24"/>
  <c r="P34" i="24"/>
  <c r="O34" i="24"/>
  <c r="N34" i="24"/>
  <c r="M34" i="24"/>
  <c r="L34" i="24"/>
  <c r="K34" i="24"/>
  <c r="J34" i="24"/>
  <c r="I34" i="24"/>
  <c r="H34" i="24"/>
  <c r="G34" i="24"/>
  <c r="E34" i="24"/>
  <c r="D34" i="24"/>
  <c r="Q33" i="24"/>
  <c r="P33" i="24"/>
  <c r="O33" i="24"/>
  <c r="N33" i="24"/>
  <c r="M33" i="24"/>
  <c r="L33" i="24"/>
  <c r="K33" i="24"/>
  <c r="J33" i="24"/>
  <c r="I33" i="24"/>
  <c r="H33" i="24"/>
  <c r="G33" i="24"/>
  <c r="E33" i="24"/>
  <c r="D33" i="24"/>
  <c r="Q32" i="24"/>
  <c r="P32" i="24"/>
  <c r="O32" i="24"/>
  <c r="N32" i="24"/>
  <c r="M32" i="24"/>
  <c r="L32" i="24"/>
  <c r="K32" i="24"/>
  <c r="J32" i="24"/>
  <c r="I32" i="24"/>
  <c r="H32" i="24"/>
  <c r="G32" i="24"/>
  <c r="E32" i="24"/>
  <c r="D32" i="24"/>
  <c r="Q31" i="24"/>
  <c r="P31" i="24"/>
  <c r="O31" i="24"/>
  <c r="N31" i="24"/>
  <c r="M31" i="24"/>
  <c r="L31" i="24"/>
  <c r="K31" i="24"/>
  <c r="J31" i="24"/>
  <c r="I31" i="24"/>
  <c r="H31" i="24"/>
  <c r="G31" i="24"/>
  <c r="E31" i="24"/>
  <c r="D31" i="24"/>
  <c r="Q30" i="24"/>
  <c r="P30" i="24"/>
  <c r="O30" i="24"/>
  <c r="N30" i="24"/>
  <c r="M30" i="24"/>
  <c r="L30" i="24"/>
  <c r="K30" i="24"/>
  <c r="J30" i="24"/>
  <c r="I30" i="24"/>
  <c r="H30" i="24"/>
  <c r="G30" i="24"/>
  <c r="E30" i="24"/>
  <c r="D30" i="24"/>
  <c r="Q29" i="24"/>
  <c r="P29" i="24"/>
  <c r="O29" i="24"/>
  <c r="N29" i="24"/>
  <c r="M29" i="24"/>
  <c r="L29" i="24"/>
  <c r="K29" i="24"/>
  <c r="J29" i="24"/>
  <c r="I29" i="24"/>
  <c r="H29" i="24"/>
  <c r="G29" i="24"/>
  <c r="E29" i="24"/>
  <c r="D29" i="24"/>
  <c r="Q28" i="24"/>
  <c r="P28" i="24"/>
  <c r="O28" i="24"/>
  <c r="N28" i="24"/>
  <c r="M28" i="24"/>
  <c r="L28" i="24"/>
  <c r="K28" i="24"/>
  <c r="J28" i="24"/>
  <c r="I28" i="24"/>
  <c r="H28" i="24"/>
  <c r="G28" i="24"/>
  <c r="E28" i="24"/>
  <c r="D28" i="24"/>
  <c r="Q27" i="24"/>
  <c r="P27" i="24"/>
  <c r="O27" i="24"/>
  <c r="N27" i="24"/>
  <c r="M27" i="24"/>
  <c r="L27" i="24"/>
  <c r="K27" i="24"/>
  <c r="J27" i="24"/>
  <c r="I27" i="24"/>
  <c r="H27" i="24"/>
  <c r="G27" i="24"/>
  <c r="E27" i="24"/>
  <c r="D27" i="24"/>
  <c r="Q26" i="24"/>
  <c r="P26" i="24"/>
  <c r="O26" i="24"/>
  <c r="N26" i="24"/>
  <c r="M26" i="24"/>
  <c r="L26" i="24"/>
  <c r="K26" i="24"/>
  <c r="J26" i="24"/>
  <c r="I26" i="24"/>
  <c r="H26" i="24"/>
  <c r="G26" i="24"/>
  <c r="E26" i="24"/>
  <c r="D26" i="24"/>
  <c r="Q25" i="24"/>
  <c r="P25" i="24"/>
  <c r="O25" i="24"/>
  <c r="N25" i="24"/>
  <c r="M25" i="24"/>
  <c r="L25" i="24"/>
  <c r="K25" i="24"/>
  <c r="J25" i="24"/>
  <c r="I25" i="24"/>
  <c r="H25" i="24"/>
  <c r="G25" i="24"/>
  <c r="E25" i="24"/>
  <c r="D25" i="24"/>
  <c r="Q24" i="24"/>
  <c r="P24" i="24"/>
  <c r="O24" i="24"/>
  <c r="N24" i="24"/>
  <c r="M24" i="24"/>
  <c r="L24" i="24"/>
  <c r="K24" i="24"/>
  <c r="J24" i="24"/>
  <c r="I24" i="24"/>
  <c r="H24" i="24"/>
  <c r="G24" i="24"/>
  <c r="E24" i="24"/>
  <c r="D24" i="24"/>
  <c r="Q23" i="24"/>
  <c r="P23" i="24"/>
  <c r="O23" i="24"/>
  <c r="N23" i="24"/>
  <c r="M23" i="24"/>
  <c r="L23" i="24"/>
  <c r="K23" i="24"/>
  <c r="J23" i="24"/>
  <c r="I23" i="24"/>
  <c r="H23" i="24"/>
  <c r="G23" i="24"/>
  <c r="E23" i="24"/>
  <c r="D23" i="24"/>
  <c r="Q22" i="24"/>
  <c r="P22" i="24"/>
  <c r="O22" i="24"/>
  <c r="N22" i="24"/>
  <c r="M22" i="24"/>
  <c r="L22" i="24"/>
  <c r="K22" i="24"/>
  <c r="J22" i="24"/>
  <c r="I22" i="24"/>
  <c r="H22" i="24"/>
  <c r="G22" i="24"/>
  <c r="E22" i="24"/>
  <c r="D22" i="24"/>
  <c r="Q21" i="24"/>
  <c r="P21" i="24"/>
  <c r="O21" i="24"/>
  <c r="N21" i="24"/>
  <c r="M21" i="24"/>
  <c r="L21" i="24"/>
  <c r="K21" i="24"/>
  <c r="J21" i="24"/>
  <c r="I21" i="24"/>
  <c r="H21" i="24"/>
  <c r="G21" i="24"/>
  <c r="E21" i="24"/>
  <c r="D21" i="24"/>
  <c r="Q20" i="24"/>
  <c r="P20" i="24"/>
  <c r="O20" i="24"/>
  <c r="N20" i="24"/>
  <c r="M20" i="24"/>
  <c r="L20" i="24"/>
  <c r="K20" i="24"/>
  <c r="J20" i="24"/>
  <c r="I20" i="24"/>
  <c r="H20" i="24"/>
  <c r="G20" i="24"/>
  <c r="E20" i="24"/>
  <c r="D20" i="24"/>
  <c r="Q19" i="24"/>
  <c r="P19" i="24"/>
  <c r="O19" i="24"/>
  <c r="N19" i="24"/>
  <c r="M19" i="24"/>
  <c r="L19" i="24"/>
  <c r="K19" i="24"/>
  <c r="J19" i="24"/>
  <c r="I19" i="24"/>
  <c r="H19" i="24"/>
  <c r="G19" i="24"/>
  <c r="E19" i="24"/>
  <c r="D19" i="24"/>
  <c r="Q18" i="24"/>
  <c r="P18" i="24"/>
  <c r="O18" i="24"/>
  <c r="N18" i="24"/>
  <c r="M18" i="24"/>
  <c r="L18" i="24"/>
  <c r="K18" i="24"/>
  <c r="J18" i="24"/>
  <c r="I18" i="24"/>
  <c r="H18" i="24"/>
  <c r="G18" i="24"/>
  <c r="E18" i="24"/>
  <c r="D18" i="24"/>
  <c r="Q17" i="24"/>
  <c r="P17" i="24"/>
  <c r="O17" i="24"/>
  <c r="N17" i="24"/>
  <c r="M17" i="24"/>
  <c r="L17" i="24"/>
  <c r="K17" i="24"/>
  <c r="J17" i="24"/>
  <c r="I17" i="24"/>
  <c r="H17" i="24"/>
  <c r="G17" i="24"/>
  <c r="E17" i="24"/>
  <c r="D17" i="24"/>
  <c r="Q16" i="24"/>
  <c r="P16" i="24"/>
  <c r="O16" i="24"/>
  <c r="N16" i="24"/>
  <c r="M16" i="24"/>
  <c r="L16" i="24"/>
  <c r="K16" i="24"/>
  <c r="J16" i="24"/>
  <c r="I16" i="24"/>
  <c r="H16" i="24"/>
  <c r="G16" i="24"/>
  <c r="E16" i="24"/>
  <c r="D16" i="24"/>
  <c r="Q15" i="24"/>
  <c r="P15" i="24"/>
  <c r="O15" i="24"/>
  <c r="N15" i="24"/>
  <c r="M15" i="24"/>
  <c r="L15" i="24"/>
  <c r="K15" i="24"/>
  <c r="J15" i="24"/>
  <c r="I15" i="24"/>
  <c r="H15" i="24"/>
  <c r="G15" i="24"/>
  <c r="E15" i="24"/>
  <c r="D15" i="24"/>
  <c r="Q14" i="24"/>
  <c r="P14" i="24"/>
  <c r="O14" i="24"/>
  <c r="N14" i="24"/>
  <c r="M14" i="24"/>
  <c r="L14" i="24"/>
  <c r="K14" i="24"/>
  <c r="J14" i="24"/>
  <c r="I14" i="24"/>
  <c r="H14" i="24"/>
  <c r="G14" i="24"/>
  <c r="E14" i="24"/>
  <c r="D14" i="24"/>
  <c r="Q13" i="24"/>
  <c r="P13" i="24"/>
  <c r="O13" i="24"/>
  <c r="N13" i="24"/>
  <c r="M13" i="24"/>
  <c r="L13" i="24"/>
  <c r="K13" i="24"/>
  <c r="J13" i="24"/>
  <c r="I13" i="24"/>
  <c r="H13" i="24"/>
  <c r="G13" i="24"/>
  <c r="E13" i="24"/>
  <c r="D13" i="24"/>
  <c r="Q12" i="24"/>
  <c r="P12" i="24"/>
  <c r="O12" i="24"/>
  <c r="N12" i="24"/>
  <c r="M12" i="24"/>
  <c r="L12" i="24"/>
  <c r="K12" i="24"/>
  <c r="J12" i="24"/>
  <c r="I12" i="24"/>
  <c r="H12" i="24"/>
  <c r="G12" i="24"/>
  <c r="E12" i="24"/>
  <c r="D12" i="24"/>
  <c r="Q11" i="24"/>
  <c r="P11" i="24"/>
  <c r="O11" i="24"/>
  <c r="N11" i="24"/>
  <c r="M11" i="24"/>
  <c r="L11" i="24"/>
  <c r="K11" i="24"/>
  <c r="J11" i="24"/>
  <c r="I11" i="24"/>
  <c r="H11" i="24"/>
  <c r="G11" i="24"/>
  <c r="E11" i="24"/>
  <c r="D11" i="24"/>
  <c r="Q10" i="24"/>
  <c r="P10" i="24"/>
  <c r="O10" i="24"/>
  <c r="N10" i="24"/>
  <c r="M10" i="24"/>
  <c r="L10" i="24"/>
  <c r="K10" i="24"/>
  <c r="J10" i="24"/>
  <c r="I10" i="24"/>
  <c r="H10" i="24"/>
  <c r="G10" i="24"/>
  <c r="E10" i="24"/>
  <c r="D10" i="24"/>
  <c r="Q9" i="24"/>
  <c r="P9" i="24"/>
  <c r="O9" i="24"/>
  <c r="N9" i="24"/>
  <c r="M9" i="24"/>
  <c r="L9" i="24"/>
  <c r="K9" i="24"/>
  <c r="J9" i="24"/>
  <c r="I9" i="24"/>
  <c r="H9" i="24"/>
  <c r="G9" i="24"/>
  <c r="E9" i="24"/>
  <c r="D9" i="24"/>
  <c r="Q8" i="24"/>
  <c r="P8" i="24"/>
  <c r="O8" i="24"/>
  <c r="N8" i="24"/>
  <c r="M8" i="24"/>
  <c r="L8" i="24"/>
  <c r="K8" i="24"/>
  <c r="J8" i="24"/>
  <c r="I8" i="24"/>
  <c r="H8" i="24"/>
  <c r="G8" i="24"/>
  <c r="E8" i="24"/>
  <c r="D8" i="24"/>
  <c r="Q7" i="24"/>
  <c r="P7" i="24"/>
  <c r="O7" i="24"/>
  <c r="N7" i="24"/>
  <c r="M7" i="24"/>
  <c r="L7" i="24"/>
  <c r="K7" i="24"/>
  <c r="J7" i="24"/>
  <c r="I7" i="24"/>
  <c r="H7" i="24"/>
  <c r="G7" i="24"/>
  <c r="E7" i="24"/>
  <c r="D7" i="24"/>
  <c r="Q6" i="24"/>
  <c r="P6" i="24"/>
  <c r="O6" i="24"/>
  <c r="N6" i="24"/>
  <c r="M6" i="24"/>
  <c r="L6" i="24"/>
  <c r="K6" i="24"/>
  <c r="J6" i="24"/>
  <c r="I6" i="24"/>
  <c r="H6" i="24"/>
  <c r="G6" i="24"/>
  <c r="E6" i="24"/>
  <c r="D6" i="24"/>
  <c r="Q5" i="24"/>
  <c r="P5" i="24"/>
  <c r="O5" i="24"/>
  <c r="N5" i="24"/>
  <c r="M5" i="24"/>
  <c r="L5" i="24"/>
  <c r="K5" i="24"/>
  <c r="J5" i="24"/>
  <c r="I5" i="24"/>
  <c r="H5" i="24"/>
  <c r="G5" i="24"/>
  <c r="E5" i="24"/>
  <c r="D5" i="24"/>
  <c r="Q4" i="24"/>
  <c r="F50" i="1" s="1"/>
  <c r="P4" i="24"/>
  <c r="F49" i="1" s="1"/>
  <c r="D4" i="24"/>
  <c r="AG100" i="84" l="1"/>
  <c r="AG99" i="84"/>
  <c r="AG98" i="84"/>
  <c r="AG125" i="84"/>
  <c r="AG124" i="84"/>
  <c r="AG97" i="84"/>
  <c r="AG96" i="84"/>
  <c r="AG95" i="84"/>
  <c r="AG123" i="84"/>
  <c r="AG94" i="84"/>
  <c r="AG93" i="84"/>
  <c r="AG92" i="84"/>
  <c r="AG122" i="84"/>
  <c r="AG91" i="84"/>
  <c r="AG90" i="84"/>
  <c r="AG89" i="84"/>
  <c r="AG88" i="84"/>
  <c r="AG87" i="84"/>
  <c r="AG86" i="84"/>
  <c r="AG85" i="84"/>
  <c r="AG84" i="84"/>
  <c r="AG83" i="84"/>
  <c r="AG82" i="84"/>
  <c r="AG121" i="84"/>
  <c r="AG81" i="84"/>
  <c r="AG120" i="84"/>
  <c r="AG80" i="84"/>
  <c r="AG119" i="84"/>
  <c r="AG79" i="84"/>
  <c r="AG78" i="84"/>
  <c r="AG77" i="84"/>
  <c r="AG76" i="84"/>
  <c r="AG75" i="84"/>
  <c r="AG118" i="84"/>
  <c r="AG74" i="84"/>
  <c r="AG117" i="84"/>
  <c r="AG73" i="84"/>
  <c r="AG72" i="84"/>
  <c r="AG71" i="84"/>
  <c r="AG70" i="84"/>
  <c r="AG116" i="84"/>
  <c r="AG69" i="84"/>
  <c r="AG68" i="84"/>
  <c r="AG115" i="84"/>
  <c r="AG114" i="84"/>
  <c r="AG67" i="84"/>
  <c r="AG66" i="84"/>
  <c r="AG65" i="84"/>
  <c r="AG64" i="84"/>
  <c r="AG63" i="84"/>
  <c r="AG62" i="84"/>
  <c r="AG113" i="84"/>
  <c r="AG112" i="84"/>
  <c r="AG61" i="84"/>
  <c r="AG111" i="84"/>
  <c r="AG60" i="84"/>
  <c r="AG59" i="84"/>
  <c r="AG58" i="84"/>
  <c r="AG57" i="84"/>
  <c r="AG56" i="84"/>
  <c r="AG55" i="84"/>
  <c r="AG54" i="84"/>
  <c r="AG53" i="84"/>
  <c r="AG52" i="84"/>
  <c r="AG51" i="84"/>
  <c r="AG110" i="84"/>
  <c r="AG50" i="84"/>
  <c r="AG49" i="84"/>
  <c r="AG48" i="84"/>
  <c r="AG47" i="84"/>
  <c r="AG109" i="84"/>
  <c r="AG46" i="84"/>
  <c r="AG45" i="84"/>
  <c r="AG44" i="84"/>
  <c r="AG43" i="84"/>
  <c r="AG42" i="84"/>
  <c r="AG41" i="84"/>
  <c r="AG40" i="84"/>
  <c r="AG108" i="84"/>
  <c r="AG107" i="84"/>
  <c r="AG39" i="84"/>
  <c r="AG38" i="84"/>
  <c r="AG106" i="84"/>
  <c r="AG37" i="84"/>
  <c r="AG36" i="84"/>
  <c r="AG35" i="84"/>
  <c r="AG34" i="84"/>
  <c r="AG33" i="84"/>
  <c r="AG32" i="84"/>
  <c r="AG31" i="84"/>
  <c r="AG105" i="84"/>
  <c r="AG30" i="84"/>
  <c r="AG29" i="84"/>
  <c r="AG28" i="84"/>
  <c r="AG27" i="84"/>
  <c r="AG26" i="84"/>
  <c r="AG104" i="84"/>
  <c r="AG103" i="84"/>
  <c r="AG25" i="84"/>
  <c r="AG24" i="84"/>
  <c r="AG23" i="84"/>
  <c r="AG22" i="84"/>
  <c r="AG21" i="84"/>
  <c r="AG20" i="84"/>
  <c r="AG19" i="84"/>
  <c r="AG18" i="84"/>
  <c r="AG102" i="84"/>
  <c r="AG17" i="84"/>
  <c r="AG16" i="84"/>
  <c r="AG15" i="84"/>
  <c r="AG14" i="84"/>
  <c r="AG13" i="84"/>
  <c r="AG12" i="84"/>
  <c r="AG11" i="84"/>
  <c r="AG10" i="84"/>
  <c r="AG9" i="84"/>
  <c r="AG8" i="84"/>
  <c r="AG101" i="84"/>
  <c r="AG7" i="84"/>
  <c r="AG6" i="84"/>
  <c r="AF5" i="84"/>
  <c r="K5" i="84"/>
  <c r="J5" i="84"/>
  <c r="AE100" i="84"/>
  <c r="AD100" i="84"/>
  <c r="AC100" i="84"/>
  <c r="AE99" i="84"/>
  <c r="AD99" i="84"/>
  <c r="AC99" i="84"/>
  <c r="AE98" i="84"/>
  <c r="AD98" i="84"/>
  <c r="AC98" i="84"/>
  <c r="AE125" i="84"/>
  <c r="AD125" i="84"/>
  <c r="AC125" i="84"/>
  <c r="AE124" i="84"/>
  <c r="AD124" i="84"/>
  <c r="AC124" i="84"/>
  <c r="AE97" i="84"/>
  <c r="AD97" i="84"/>
  <c r="AC97" i="84"/>
  <c r="AE96" i="84"/>
  <c r="AD96" i="84"/>
  <c r="AC96" i="84"/>
  <c r="AE95" i="84"/>
  <c r="AD95" i="84"/>
  <c r="AC95" i="84"/>
  <c r="AE123" i="84"/>
  <c r="AD123" i="84"/>
  <c r="AC123" i="84"/>
  <c r="AE94" i="84"/>
  <c r="AD94" i="84"/>
  <c r="AC94" i="84"/>
  <c r="AE93" i="84"/>
  <c r="AD93" i="84"/>
  <c r="AC93" i="84"/>
  <c r="AE92" i="84"/>
  <c r="AD92" i="84"/>
  <c r="AC92" i="84"/>
  <c r="AE122" i="84"/>
  <c r="AD122" i="84"/>
  <c r="AC122" i="84"/>
  <c r="AE91" i="84"/>
  <c r="AD91" i="84"/>
  <c r="AC91" i="84"/>
  <c r="AE90" i="84"/>
  <c r="AD90" i="84"/>
  <c r="AC90" i="84"/>
  <c r="AE89" i="84"/>
  <c r="AD89" i="84"/>
  <c r="AC89" i="84"/>
  <c r="AE88" i="84"/>
  <c r="AD88" i="84"/>
  <c r="AC88" i="84"/>
  <c r="AE87" i="84"/>
  <c r="AD87" i="84"/>
  <c r="AC87" i="84"/>
  <c r="AE86" i="84"/>
  <c r="AD86" i="84"/>
  <c r="AC86" i="84"/>
  <c r="AE85" i="84"/>
  <c r="AD85" i="84"/>
  <c r="AC85" i="84"/>
  <c r="AE84" i="84"/>
  <c r="AD84" i="84"/>
  <c r="AC84" i="84"/>
  <c r="AE83" i="84"/>
  <c r="AD83" i="84"/>
  <c r="AC83" i="84"/>
  <c r="AE82" i="84"/>
  <c r="AD82" i="84"/>
  <c r="AC82" i="84"/>
  <c r="AE121" i="84"/>
  <c r="AD121" i="84"/>
  <c r="AC121" i="84"/>
  <c r="AE81" i="84"/>
  <c r="AD81" i="84"/>
  <c r="AC81" i="84"/>
  <c r="AE120" i="84"/>
  <c r="AD120" i="84"/>
  <c r="AC120" i="84"/>
  <c r="AE80" i="84"/>
  <c r="AD80" i="84"/>
  <c r="AC80" i="84"/>
  <c r="AE119" i="84"/>
  <c r="AD119" i="84"/>
  <c r="AC119" i="84"/>
  <c r="AE79" i="84"/>
  <c r="AD79" i="84"/>
  <c r="AC79" i="84"/>
  <c r="AE78" i="84"/>
  <c r="AD78" i="84"/>
  <c r="AC78" i="84"/>
  <c r="AE77" i="84"/>
  <c r="AD77" i="84"/>
  <c r="AC77" i="84"/>
  <c r="AE76" i="84"/>
  <c r="AD76" i="84"/>
  <c r="AC76" i="84"/>
  <c r="AE75" i="84"/>
  <c r="AD75" i="84"/>
  <c r="AC75" i="84"/>
  <c r="AE118" i="84"/>
  <c r="AD118" i="84"/>
  <c r="AC118" i="84"/>
  <c r="AE74" i="84"/>
  <c r="AD74" i="84"/>
  <c r="AC74" i="84"/>
  <c r="AE117" i="84"/>
  <c r="AD117" i="84"/>
  <c r="AC117" i="84"/>
  <c r="AE73" i="84"/>
  <c r="AD73" i="84"/>
  <c r="AC73" i="84"/>
  <c r="AE72" i="84"/>
  <c r="AD72" i="84"/>
  <c r="AC72" i="84"/>
  <c r="AE71" i="84"/>
  <c r="AD71" i="84"/>
  <c r="AC71" i="84"/>
  <c r="AE70" i="84"/>
  <c r="AD70" i="84"/>
  <c r="AC70" i="84"/>
  <c r="AE116" i="84"/>
  <c r="AD116" i="84"/>
  <c r="AC116" i="84"/>
  <c r="AE69" i="84"/>
  <c r="AD69" i="84"/>
  <c r="AC69" i="84"/>
  <c r="AE68" i="84"/>
  <c r="AD68" i="84"/>
  <c r="AC68" i="84"/>
  <c r="AE115" i="84"/>
  <c r="AD115" i="84"/>
  <c r="AC115" i="84"/>
  <c r="AE114" i="84"/>
  <c r="AD114" i="84"/>
  <c r="AC114" i="84"/>
  <c r="AE67" i="84"/>
  <c r="AD67" i="84"/>
  <c r="AC67" i="84"/>
  <c r="AE66" i="84"/>
  <c r="AD66" i="84"/>
  <c r="AC66" i="84"/>
  <c r="AE65" i="84"/>
  <c r="AD65" i="84"/>
  <c r="AC65" i="84"/>
  <c r="AE64" i="84"/>
  <c r="AD64" i="84"/>
  <c r="AC64" i="84"/>
  <c r="AE63" i="84"/>
  <c r="AD63" i="84"/>
  <c r="AC63" i="84"/>
  <c r="AE62" i="84"/>
  <c r="AD62" i="84"/>
  <c r="AC62" i="84"/>
  <c r="AE113" i="84"/>
  <c r="AD113" i="84"/>
  <c r="AC113" i="84"/>
  <c r="AE112" i="84"/>
  <c r="AD112" i="84"/>
  <c r="AC112" i="84"/>
  <c r="AE61" i="84"/>
  <c r="AD61" i="84"/>
  <c r="AC61" i="84"/>
  <c r="AE111" i="84"/>
  <c r="AD111" i="84"/>
  <c r="AC111" i="84"/>
  <c r="AE60" i="84"/>
  <c r="AD60" i="84"/>
  <c r="AC60" i="84"/>
  <c r="AE59" i="84"/>
  <c r="AD59" i="84"/>
  <c r="AC59" i="84"/>
  <c r="AE58" i="84"/>
  <c r="AD58" i="84"/>
  <c r="AC58" i="84"/>
  <c r="AE57" i="84"/>
  <c r="AD57" i="84"/>
  <c r="AC57" i="84"/>
  <c r="AE56" i="84"/>
  <c r="AD56" i="84"/>
  <c r="AC56" i="84"/>
  <c r="AE55" i="84"/>
  <c r="AD55" i="84"/>
  <c r="AC55" i="84"/>
  <c r="AE54" i="84"/>
  <c r="AD54" i="84"/>
  <c r="AC54" i="84"/>
  <c r="AE53" i="84"/>
  <c r="AD53" i="84"/>
  <c r="AC53" i="84"/>
  <c r="AE52" i="84"/>
  <c r="AD52" i="84"/>
  <c r="AC52" i="84"/>
  <c r="AE51" i="84"/>
  <c r="AD51" i="84"/>
  <c r="AC51" i="84"/>
  <c r="AE110" i="84"/>
  <c r="AD110" i="84"/>
  <c r="AC110" i="84"/>
  <c r="AE50" i="84"/>
  <c r="AD50" i="84"/>
  <c r="AC50" i="84"/>
  <c r="AE49" i="84"/>
  <c r="AD49" i="84"/>
  <c r="AC49" i="84"/>
  <c r="AE48" i="84"/>
  <c r="AD48" i="84"/>
  <c r="AC48" i="84"/>
  <c r="AE47" i="84"/>
  <c r="AD47" i="84"/>
  <c r="AC47" i="84"/>
  <c r="AE109" i="84"/>
  <c r="AD109" i="84"/>
  <c r="AC109" i="84"/>
  <c r="AE46" i="84"/>
  <c r="AD46" i="84"/>
  <c r="AC46" i="84"/>
  <c r="AE45" i="84"/>
  <c r="AD45" i="84"/>
  <c r="AC45" i="84"/>
  <c r="AE44" i="84"/>
  <c r="AD44" i="84"/>
  <c r="AC44" i="84"/>
  <c r="AE43" i="84"/>
  <c r="AD43" i="84"/>
  <c r="AC43" i="84"/>
  <c r="AE42" i="84"/>
  <c r="AD42" i="84"/>
  <c r="AC42" i="84"/>
  <c r="AE41" i="84"/>
  <c r="AD41" i="84"/>
  <c r="AC41" i="84"/>
  <c r="AE40" i="84"/>
  <c r="AD40" i="84"/>
  <c r="AC40" i="84"/>
  <c r="AE108" i="84"/>
  <c r="AD108" i="84"/>
  <c r="AC108" i="84"/>
  <c r="AE107" i="84"/>
  <c r="AD107" i="84"/>
  <c r="AC107" i="84"/>
  <c r="AE39" i="84"/>
  <c r="AD39" i="84"/>
  <c r="AC39" i="84"/>
  <c r="AE38" i="84"/>
  <c r="AD38" i="84"/>
  <c r="AC38" i="84"/>
  <c r="AE106" i="84"/>
  <c r="AD106" i="84"/>
  <c r="AC106" i="84"/>
  <c r="AE37" i="84"/>
  <c r="AD37" i="84"/>
  <c r="AC37" i="84"/>
  <c r="AE36" i="84"/>
  <c r="AD36" i="84"/>
  <c r="AC36" i="84"/>
  <c r="AE35" i="84"/>
  <c r="AD35" i="84"/>
  <c r="AC35" i="84"/>
  <c r="AE34" i="84"/>
  <c r="AD34" i="84"/>
  <c r="AC34" i="84"/>
  <c r="AE33" i="84"/>
  <c r="AD33" i="84"/>
  <c r="AC33" i="84"/>
  <c r="AE32" i="84"/>
  <c r="AD32" i="84"/>
  <c r="AC32" i="84"/>
  <c r="AE31" i="84"/>
  <c r="AD31" i="84"/>
  <c r="AC31" i="84"/>
  <c r="AE105" i="84"/>
  <c r="AD105" i="84"/>
  <c r="AC105" i="84"/>
  <c r="AE30" i="84"/>
  <c r="AD30" i="84"/>
  <c r="AC30" i="84"/>
  <c r="AE29" i="84"/>
  <c r="AD29" i="84"/>
  <c r="AC29" i="84"/>
  <c r="AE28" i="84"/>
  <c r="AD28" i="84"/>
  <c r="AC28" i="84"/>
  <c r="AE27" i="84"/>
  <c r="AD27" i="84"/>
  <c r="AC27" i="84"/>
  <c r="AE26" i="84"/>
  <c r="AD26" i="84"/>
  <c r="AC26" i="84"/>
  <c r="AE104" i="84"/>
  <c r="AD104" i="84"/>
  <c r="AC104" i="84"/>
  <c r="AE103" i="84"/>
  <c r="AD103" i="84"/>
  <c r="AC103" i="84"/>
  <c r="AE25" i="84"/>
  <c r="AD25" i="84"/>
  <c r="AC25" i="84"/>
  <c r="AE24" i="84"/>
  <c r="AD24" i="84"/>
  <c r="AC24" i="84"/>
  <c r="AE23" i="84"/>
  <c r="AD23" i="84"/>
  <c r="AC23" i="84"/>
  <c r="AE22" i="84"/>
  <c r="AD22" i="84"/>
  <c r="AC22" i="84"/>
  <c r="AE21" i="84"/>
  <c r="AD21" i="84"/>
  <c r="AC21" i="84"/>
  <c r="AE20" i="84"/>
  <c r="AD20" i="84"/>
  <c r="AC20" i="84"/>
  <c r="AE19" i="84"/>
  <c r="AD19" i="84"/>
  <c r="AC19" i="84"/>
  <c r="AE18" i="84"/>
  <c r="AD18" i="84"/>
  <c r="AC18" i="84"/>
  <c r="AE102" i="84"/>
  <c r="AD102" i="84"/>
  <c r="AC102" i="84"/>
  <c r="AE17" i="84"/>
  <c r="AD17" i="84"/>
  <c r="AC17" i="84"/>
  <c r="AE16" i="84"/>
  <c r="AD16" i="84"/>
  <c r="AC16" i="84"/>
  <c r="AE15" i="84"/>
  <c r="AD15" i="84"/>
  <c r="AC15" i="84"/>
  <c r="AE14" i="84"/>
  <c r="AD14" i="84"/>
  <c r="AC14" i="84"/>
  <c r="AE13" i="84"/>
  <c r="AD13" i="84"/>
  <c r="AC13" i="84"/>
  <c r="AE12" i="84"/>
  <c r="AD12" i="84"/>
  <c r="AC12" i="84"/>
  <c r="AE11" i="84"/>
  <c r="AD11" i="84"/>
  <c r="AC11" i="84"/>
  <c r="AE10" i="84"/>
  <c r="AD10" i="84"/>
  <c r="AC10" i="84"/>
  <c r="AE9" i="84"/>
  <c r="AD9" i="84"/>
  <c r="AC9" i="84"/>
  <c r="AE8" i="84"/>
  <c r="AD8" i="84"/>
  <c r="AC8" i="84"/>
  <c r="AE101" i="84"/>
  <c r="AD101" i="84"/>
  <c r="AC101" i="84"/>
  <c r="AE7" i="84"/>
  <c r="AD7" i="84"/>
  <c r="AC7" i="84"/>
  <c r="AE6" i="84"/>
  <c r="AD6" i="84"/>
  <c r="AC6" i="84"/>
  <c r="O5" i="84"/>
  <c r="I5" i="84"/>
  <c r="H5" i="84"/>
  <c r="E5" i="84"/>
  <c r="M5" i="84"/>
  <c r="N5" i="84"/>
  <c r="W5" i="84" l="1"/>
  <c r="G12" i="1" s="1"/>
  <c r="V5" i="84"/>
  <c r="G11" i="1" s="1"/>
  <c r="AC127" i="84"/>
  <c r="AE128" i="84"/>
  <c r="AG128" i="84"/>
  <c r="AC131" i="84"/>
  <c r="AG131" i="84"/>
  <c r="AE131" i="84"/>
  <c r="AD131" i="84"/>
  <c r="AD130" i="84"/>
  <c r="AE130" i="84"/>
  <c r="AG130" i="84"/>
  <c r="AC130" i="84"/>
  <c r="AG129" i="84"/>
  <c r="AE129" i="84"/>
  <c r="AD129" i="84"/>
  <c r="AC129" i="84"/>
  <c r="AD128" i="84"/>
  <c r="AC128" i="84"/>
  <c r="AG5" i="84"/>
  <c r="AE5" i="84"/>
  <c r="G15" i="1" s="1"/>
  <c r="AA5" i="84"/>
  <c r="G19" i="1" s="1"/>
  <c r="AC5" i="84"/>
  <c r="G13" i="1" s="1"/>
  <c r="Z5" i="84"/>
  <c r="G18" i="1" s="1"/>
  <c r="AD5" i="84"/>
  <c r="G14" i="1" s="1"/>
  <c r="L5" i="84"/>
  <c r="AG127" i="84" l="1"/>
  <c r="AE127" i="84"/>
  <c r="AD127" i="84"/>
  <c r="K4" i="96"/>
  <c r="J4" i="96"/>
  <c r="I4" i="96"/>
  <c r="H4" i="96"/>
  <c r="G4" i="96"/>
  <c r="D4" i="96"/>
  <c r="R124" i="92"/>
  <c r="Q124" i="92"/>
  <c r="R123" i="92"/>
  <c r="Q123" i="92"/>
  <c r="R122" i="92"/>
  <c r="Q122" i="92"/>
  <c r="R121" i="92"/>
  <c r="Q121" i="92"/>
  <c r="R120" i="92"/>
  <c r="Q120" i="92"/>
  <c r="R119" i="92"/>
  <c r="Q119" i="92"/>
  <c r="R118" i="92"/>
  <c r="Q118" i="92"/>
  <c r="R117" i="92"/>
  <c r="Q117" i="92"/>
  <c r="R116" i="92"/>
  <c r="Q116" i="92"/>
  <c r="R115" i="92"/>
  <c r="Q115" i="92"/>
  <c r="R114" i="92"/>
  <c r="Q114" i="92"/>
  <c r="R113" i="92"/>
  <c r="Q113" i="92"/>
  <c r="R112" i="92"/>
  <c r="Q112" i="92"/>
  <c r="R111" i="92"/>
  <c r="Q111" i="92"/>
  <c r="R110" i="92"/>
  <c r="Q110" i="92"/>
  <c r="R109" i="92"/>
  <c r="Q109" i="92"/>
  <c r="R108" i="92"/>
  <c r="Q108" i="92"/>
  <c r="R107" i="92"/>
  <c r="Q107" i="92"/>
  <c r="R106" i="92"/>
  <c r="Q106" i="92"/>
  <c r="R105" i="92"/>
  <c r="Q105" i="92"/>
  <c r="R104" i="92"/>
  <c r="Q104" i="92"/>
  <c r="R103" i="92"/>
  <c r="Q103" i="92"/>
  <c r="R102" i="92"/>
  <c r="Q102" i="92"/>
  <c r="R101" i="92"/>
  <c r="Q101" i="92"/>
  <c r="R100" i="92"/>
  <c r="Q100" i="92"/>
  <c r="R99" i="92"/>
  <c r="Q99" i="92"/>
  <c r="R98" i="92"/>
  <c r="Q98" i="92"/>
  <c r="R97" i="92"/>
  <c r="Q97" i="92"/>
  <c r="R96" i="92"/>
  <c r="Q96" i="92"/>
  <c r="R95" i="92"/>
  <c r="Q95" i="92"/>
  <c r="R94" i="92"/>
  <c r="Q94" i="92"/>
  <c r="R93" i="92"/>
  <c r="Q93" i="92"/>
  <c r="R92" i="92"/>
  <c r="Q92" i="92"/>
  <c r="R91" i="92"/>
  <c r="Q91" i="92"/>
  <c r="R90" i="92"/>
  <c r="Q90" i="92"/>
  <c r="R89" i="92"/>
  <c r="Q89" i="92"/>
  <c r="R88" i="92"/>
  <c r="Q88" i="92"/>
  <c r="R87" i="92"/>
  <c r="Q87" i="92"/>
  <c r="R86" i="92"/>
  <c r="Q86" i="92"/>
  <c r="R85" i="92"/>
  <c r="Q85" i="92"/>
  <c r="R84" i="92"/>
  <c r="Q84" i="92"/>
  <c r="R83" i="92"/>
  <c r="Q83" i="92"/>
  <c r="R82" i="92"/>
  <c r="Q82" i="92"/>
  <c r="R81" i="92"/>
  <c r="Q81" i="92"/>
  <c r="R80" i="92"/>
  <c r="Q80" i="92"/>
  <c r="R79" i="92"/>
  <c r="Q79" i="92"/>
  <c r="R78" i="92"/>
  <c r="Q78" i="92"/>
  <c r="R77" i="92"/>
  <c r="Q77" i="92"/>
  <c r="R76" i="92"/>
  <c r="Q76" i="92"/>
  <c r="R75" i="92"/>
  <c r="Q75" i="92"/>
  <c r="R74" i="92"/>
  <c r="Q74" i="92"/>
  <c r="R73" i="92"/>
  <c r="Q73" i="92"/>
  <c r="R72" i="92"/>
  <c r="Q72" i="92"/>
  <c r="R71" i="92"/>
  <c r="Q71" i="92"/>
  <c r="R70" i="92"/>
  <c r="Q70" i="92"/>
  <c r="R69" i="92"/>
  <c r="Q69" i="92"/>
  <c r="R68" i="92"/>
  <c r="Q68" i="92"/>
  <c r="R67" i="92"/>
  <c r="Q67" i="92"/>
  <c r="R66" i="92"/>
  <c r="Q66" i="92"/>
  <c r="R65" i="92"/>
  <c r="Q65" i="92"/>
  <c r="R64" i="92"/>
  <c r="Q64" i="92"/>
  <c r="R63" i="92"/>
  <c r="Q63" i="92"/>
  <c r="R62" i="92"/>
  <c r="Q62" i="92"/>
  <c r="R61" i="92"/>
  <c r="Q61" i="92"/>
  <c r="R60" i="92"/>
  <c r="Q60" i="92"/>
  <c r="R59" i="92"/>
  <c r="Q59" i="92"/>
  <c r="R58" i="92"/>
  <c r="Q58" i="92"/>
  <c r="R57" i="92"/>
  <c r="Q57" i="92"/>
  <c r="R56" i="92"/>
  <c r="Q56" i="92"/>
  <c r="R55" i="92"/>
  <c r="Q55" i="92"/>
  <c r="R54" i="92"/>
  <c r="Q54" i="92"/>
  <c r="R53" i="92"/>
  <c r="Q53" i="92"/>
  <c r="R52" i="92"/>
  <c r="Q52" i="92"/>
  <c r="R51" i="92"/>
  <c r="Q51" i="92"/>
  <c r="R50" i="92"/>
  <c r="Q50" i="92"/>
  <c r="R49" i="92"/>
  <c r="Q49" i="92"/>
  <c r="R48" i="92"/>
  <c r="Q48" i="92"/>
  <c r="R47" i="92"/>
  <c r="Q47" i="92"/>
  <c r="R46" i="92"/>
  <c r="Q46" i="92"/>
  <c r="R45" i="92"/>
  <c r="Q45" i="92"/>
  <c r="R44" i="92"/>
  <c r="Q44" i="92"/>
  <c r="R43" i="92"/>
  <c r="Q43" i="92"/>
  <c r="R42" i="92"/>
  <c r="Q42" i="92"/>
  <c r="R41" i="92"/>
  <c r="Q41" i="92"/>
  <c r="R40" i="92"/>
  <c r="Q40" i="92"/>
  <c r="R39" i="92"/>
  <c r="Q39" i="92"/>
  <c r="R38" i="92"/>
  <c r="Q38" i="92"/>
  <c r="R37" i="92"/>
  <c r="Q37" i="92"/>
  <c r="R36" i="92"/>
  <c r="Q36" i="92"/>
  <c r="R35" i="92"/>
  <c r="Q35" i="92"/>
  <c r="R34" i="92"/>
  <c r="Q34" i="92"/>
  <c r="R33" i="92"/>
  <c r="Q33" i="92"/>
  <c r="R32" i="92"/>
  <c r="Q32" i="92"/>
  <c r="R31" i="92"/>
  <c r="Q31" i="92"/>
  <c r="R30" i="92"/>
  <c r="Q30" i="92"/>
  <c r="R29" i="92"/>
  <c r="Q29" i="92"/>
  <c r="R28" i="92"/>
  <c r="Q28" i="92"/>
  <c r="R27" i="92"/>
  <c r="Q27" i="92"/>
  <c r="R26" i="92"/>
  <c r="Q26" i="92"/>
  <c r="R25" i="92"/>
  <c r="Q25" i="92"/>
  <c r="R24" i="92"/>
  <c r="Q24" i="92"/>
  <c r="R23" i="92"/>
  <c r="Q23" i="92"/>
  <c r="R22" i="92"/>
  <c r="Q22" i="92"/>
  <c r="R21" i="92"/>
  <c r="Q21" i="92"/>
  <c r="R20" i="92"/>
  <c r="Q20" i="92"/>
  <c r="R19" i="92"/>
  <c r="Q19" i="92"/>
  <c r="R18" i="92"/>
  <c r="Q18" i="92"/>
  <c r="R17" i="92"/>
  <c r="Q17" i="92"/>
  <c r="R16" i="92"/>
  <c r="Q16" i="92"/>
  <c r="R15" i="92"/>
  <c r="Q15" i="92"/>
  <c r="R14" i="92"/>
  <c r="Q14" i="92"/>
  <c r="R13" i="92"/>
  <c r="Q13" i="92"/>
  <c r="R12" i="92"/>
  <c r="Q12" i="92"/>
  <c r="R11" i="92"/>
  <c r="Q11" i="92"/>
  <c r="R10" i="92"/>
  <c r="Q10" i="92"/>
  <c r="R9" i="92"/>
  <c r="Q9" i="92"/>
  <c r="R8" i="92"/>
  <c r="Q8" i="92"/>
  <c r="R7" i="92"/>
  <c r="Q7" i="92"/>
  <c r="R6" i="92"/>
  <c r="Q6" i="92"/>
  <c r="R5" i="92"/>
  <c r="Q5" i="92"/>
  <c r="J4" i="92"/>
  <c r="I4" i="92"/>
  <c r="O4" i="92"/>
  <c r="K5" i="6"/>
  <c r="J5" i="6"/>
  <c r="L5" i="6"/>
  <c r="I5" i="6"/>
  <c r="G5" i="6"/>
  <c r="N4" i="92"/>
  <c r="M4" i="92"/>
  <c r="L4" i="92"/>
  <c r="K4" i="92"/>
  <c r="D4" i="92"/>
  <c r="S125" i="6"/>
  <c r="S124" i="6"/>
  <c r="S123" i="6"/>
  <c r="S122" i="6"/>
  <c r="S121" i="6"/>
  <c r="S120" i="6"/>
  <c r="S119" i="6"/>
  <c r="S118" i="6"/>
  <c r="S117" i="6"/>
  <c r="S116" i="6"/>
  <c r="S115" i="6"/>
  <c r="S114" i="6"/>
  <c r="S113" i="6"/>
  <c r="S112" i="6"/>
  <c r="S111" i="6"/>
  <c r="S110" i="6"/>
  <c r="S109" i="6"/>
  <c r="S108" i="6"/>
  <c r="S107" i="6"/>
  <c r="S106" i="6"/>
  <c r="S105" i="6"/>
  <c r="S104" i="6"/>
  <c r="S103" i="6"/>
  <c r="S102" i="6"/>
  <c r="S101" i="6"/>
  <c r="S100" i="6"/>
  <c r="S99" i="6"/>
  <c r="S98" i="6"/>
  <c r="S97" i="6"/>
  <c r="S96" i="6"/>
  <c r="S95" i="6"/>
  <c r="S94" i="6"/>
  <c r="S93" i="6"/>
  <c r="S92" i="6"/>
  <c r="S91" i="6"/>
  <c r="S90" i="6"/>
  <c r="S89"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S8" i="6"/>
  <c r="S7" i="6"/>
  <c r="S6" i="6"/>
  <c r="R125" i="6"/>
  <c r="R124" i="6"/>
  <c r="R123" i="6"/>
  <c r="R122" i="6"/>
  <c r="R121" i="6"/>
  <c r="R120" i="6"/>
  <c r="R119" i="6"/>
  <c r="R118" i="6"/>
  <c r="R117" i="6"/>
  <c r="R116" i="6"/>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F5" i="6"/>
  <c r="E5" i="6"/>
  <c r="D5" i="6"/>
  <c r="G4" i="55"/>
  <c r="G4" i="101"/>
  <c r="F4" i="101"/>
  <c r="E4" i="101"/>
  <c r="D4" i="101"/>
  <c r="G4" i="62"/>
  <c r="J4" i="56"/>
  <c r="DI124" i="56"/>
  <c r="DI123" i="56"/>
  <c r="DI122" i="56"/>
  <c r="DI121" i="56"/>
  <c r="DI120" i="56"/>
  <c r="DI119" i="56"/>
  <c r="DI118" i="56"/>
  <c r="DI117" i="56"/>
  <c r="DI116" i="56"/>
  <c r="DI115" i="56"/>
  <c r="DI114" i="56"/>
  <c r="DI113" i="56"/>
  <c r="DI112" i="56"/>
  <c r="DI111" i="56"/>
  <c r="DI110" i="56"/>
  <c r="DI109" i="56"/>
  <c r="DI108" i="56"/>
  <c r="DI107" i="56"/>
  <c r="DI106" i="56"/>
  <c r="DI105" i="56"/>
  <c r="DI104" i="56"/>
  <c r="DI103" i="56"/>
  <c r="DI102" i="56"/>
  <c r="DI101" i="56"/>
  <c r="DI100" i="56"/>
  <c r="DI99" i="56"/>
  <c r="DI98" i="56"/>
  <c r="DI97" i="56"/>
  <c r="DI96" i="56"/>
  <c r="DI95" i="56"/>
  <c r="DI94" i="56"/>
  <c r="DI93" i="56"/>
  <c r="DI92" i="56"/>
  <c r="DI91" i="56"/>
  <c r="DI90" i="56"/>
  <c r="DI89" i="56"/>
  <c r="DI88" i="56"/>
  <c r="DI87" i="56"/>
  <c r="DI86" i="56"/>
  <c r="DI85" i="56"/>
  <c r="DI84" i="56"/>
  <c r="DI83" i="56"/>
  <c r="DI82" i="56"/>
  <c r="DI81" i="56"/>
  <c r="DI80" i="56"/>
  <c r="DI79" i="56"/>
  <c r="DI78" i="56"/>
  <c r="DI77" i="56"/>
  <c r="DI76" i="56"/>
  <c r="DI75" i="56"/>
  <c r="DI74" i="56"/>
  <c r="DI73" i="56"/>
  <c r="DI72" i="56"/>
  <c r="DI71" i="56"/>
  <c r="DI70" i="56"/>
  <c r="DI69" i="56"/>
  <c r="DI68" i="56"/>
  <c r="DI67" i="56"/>
  <c r="DI66" i="56"/>
  <c r="DI65" i="56"/>
  <c r="DI64" i="56"/>
  <c r="DI63" i="56"/>
  <c r="DI62" i="56"/>
  <c r="DI61" i="56"/>
  <c r="DI60" i="56"/>
  <c r="DI59" i="56"/>
  <c r="DI58" i="56"/>
  <c r="DI57" i="56"/>
  <c r="DI56" i="56"/>
  <c r="DI55" i="56"/>
  <c r="DI54" i="56"/>
  <c r="DI53" i="56"/>
  <c r="DI52" i="56"/>
  <c r="DI51" i="56"/>
  <c r="DI50" i="56"/>
  <c r="DI49" i="56"/>
  <c r="DI48" i="56"/>
  <c r="DI47" i="56"/>
  <c r="DI46" i="56"/>
  <c r="DI45" i="56"/>
  <c r="DI44" i="56"/>
  <c r="DI43" i="56"/>
  <c r="DI42" i="56"/>
  <c r="DI41" i="56"/>
  <c r="DI40" i="56"/>
  <c r="DI39" i="56"/>
  <c r="DI38" i="56"/>
  <c r="DI37" i="56"/>
  <c r="DI36" i="56"/>
  <c r="DI35" i="56"/>
  <c r="DI34" i="56"/>
  <c r="DI33" i="56"/>
  <c r="DI32" i="56"/>
  <c r="DI31" i="56"/>
  <c r="DI30" i="56"/>
  <c r="DI29" i="56"/>
  <c r="DI28" i="56"/>
  <c r="DI27" i="56"/>
  <c r="DI26" i="56"/>
  <c r="DI25" i="56"/>
  <c r="DI24" i="56"/>
  <c r="DI23" i="56"/>
  <c r="DI22" i="56"/>
  <c r="DI21" i="56"/>
  <c r="DI20" i="56"/>
  <c r="DI19" i="56"/>
  <c r="DI18" i="56"/>
  <c r="DI17" i="56"/>
  <c r="DI16" i="56"/>
  <c r="DI15" i="56"/>
  <c r="DI14" i="56"/>
  <c r="DI13" i="56"/>
  <c r="DI12" i="56"/>
  <c r="DI11" i="56"/>
  <c r="DI10" i="56"/>
  <c r="DI9" i="56"/>
  <c r="DI8" i="56"/>
  <c r="DI7" i="56"/>
  <c r="DI6" i="56"/>
  <c r="DI5" i="56"/>
  <c r="DH4" i="56"/>
  <c r="DG4" i="56"/>
  <c r="DF4" i="56"/>
  <c r="DE4" i="56"/>
  <c r="DD4" i="56"/>
  <c r="Q124" i="53"/>
  <c r="I124" i="53" s="1"/>
  <c r="Q123" i="53"/>
  <c r="I123" i="53" s="1"/>
  <c r="Q122" i="53"/>
  <c r="I122" i="53" s="1"/>
  <c r="Q121" i="53"/>
  <c r="I121" i="53" s="1"/>
  <c r="Q120" i="53"/>
  <c r="I120" i="53" s="1"/>
  <c r="Q119" i="53"/>
  <c r="I119" i="53" s="1"/>
  <c r="Q118" i="53"/>
  <c r="I118" i="53" s="1"/>
  <c r="Q117" i="53"/>
  <c r="I117" i="53" s="1"/>
  <c r="Q116" i="53"/>
  <c r="I116" i="53" s="1"/>
  <c r="Q115" i="53"/>
  <c r="I115" i="53" s="1"/>
  <c r="Q114" i="53"/>
  <c r="I114" i="53" s="1"/>
  <c r="Q113" i="53"/>
  <c r="I113" i="53" s="1"/>
  <c r="Q112" i="53"/>
  <c r="I112" i="53" s="1"/>
  <c r="Q111" i="53"/>
  <c r="I111" i="53" s="1"/>
  <c r="Q110" i="53"/>
  <c r="I110" i="53" s="1"/>
  <c r="Q109" i="53"/>
  <c r="I109" i="53" s="1"/>
  <c r="Q108" i="53"/>
  <c r="I108" i="53" s="1"/>
  <c r="Q107" i="53"/>
  <c r="I107" i="53" s="1"/>
  <c r="Q106" i="53"/>
  <c r="I106" i="53" s="1"/>
  <c r="Q105" i="53"/>
  <c r="I105" i="53" s="1"/>
  <c r="Q104" i="53"/>
  <c r="I104" i="53" s="1"/>
  <c r="Q103" i="53"/>
  <c r="I103" i="53" s="1"/>
  <c r="Q102" i="53"/>
  <c r="I102" i="53" s="1"/>
  <c r="Q101" i="53"/>
  <c r="I101" i="53" s="1"/>
  <c r="Q100" i="53"/>
  <c r="I100" i="53" s="1"/>
  <c r="Q99" i="53"/>
  <c r="I99" i="53" s="1"/>
  <c r="Q98" i="53"/>
  <c r="I98" i="53" s="1"/>
  <c r="Q97" i="53"/>
  <c r="I97" i="53" s="1"/>
  <c r="Q96" i="53"/>
  <c r="I96" i="53" s="1"/>
  <c r="Q95" i="53"/>
  <c r="I95" i="53" s="1"/>
  <c r="Q94" i="53"/>
  <c r="I94" i="53" s="1"/>
  <c r="Q93" i="53"/>
  <c r="I93" i="53" s="1"/>
  <c r="Q92" i="53"/>
  <c r="I92" i="53" s="1"/>
  <c r="Q91" i="53"/>
  <c r="I91" i="53" s="1"/>
  <c r="Q90" i="53"/>
  <c r="I90" i="53" s="1"/>
  <c r="Q89" i="53"/>
  <c r="I89" i="53" s="1"/>
  <c r="Q88" i="53"/>
  <c r="I88" i="53" s="1"/>
  <c r="Q87" i="53"/>
  <c r="I87" i="53" s="1"/>
  <c r="Q86" i="53"/>
  <c r="I86" i="53" s="1"/>
  <c r="Q85" i="53"/>
  <c r="I85" i="53" s="1"/>
  <c r="Q84" i="53"/>
  <c r="I84" i="53" s="1"/>
  <c r="Q83" i="53"/>
  <c r="I83" i="53" s="1"/>
  <c r="Q82" i="53"/>
  <c r="I82" i="53" s="1"/>
  <c r="Q81" i="53"/>
  <c r="I81" i="53" s="1"/>
  <c r="Q80" i="53"/>
  <c r="I80" i="53" s="1"/>
  <c r="Q79" i="53"/>
  <c r="I79" i="53" s="1"/>
  <c r="Q78" i="53"/>
  <c r="I78" i="53" s="1"/>
  <c r="Q77" i="53"/>
  <c r="I77" i="53" s="1"/>
  <c r="Q76" i="53"/>
  <c r="I76" i="53" s="1"/>
  <c r="Q75" i="53"/>
  <c r="I75" i="53" s="1"/>
  <c r="Q74" i="53"/>
  <c r="I74" i="53" s="1"/>
  <c r="Q73" i="53"/>
  <c r="I73" i="53" s="1"/>
  <c r="Q72" i="53"/>
  <c r="I72" i="53" s="1"/>
  <c r="Q71" i="53"/>
  <c r="I71" i="53" s="1"/>
  <c r="Q70" i="53"/>
  <c r="I70" i="53" s="1"/>
  <c r="Q69" i="53"/>
  <c r="I69" i="53" s="1"/>
  <c r="Q68" i="53"/>
  <c r="I68" i="53" s="1"/>
  <c r="Q67" i="53"/>
  <c r="I67" i="53" s="1"/>
  <c r="Q66" i="53"/>
  <c r="I66" i="53" s="1"/>
  <c r="Q65" i="53"/>
  <c r="I65" i="53" s="1"/>
  <c r="Q64" i="53"/>
  <c r="I64" i="53" s="1"/>
  <c r="Q63" i="53"/>
  <c r="I63" i="53" s="1"/>
  <c r="Q62" i="53"/>
  <c r="I62" i="53" s="1"/>
  <c r="Q61" i="53"/>
  <c r="I61" i="53" s="1"/>
  <c r="Q60" i="53"/>
  <c r="I60" i="53" s="1"/>
  <c r="Q59" i="53"/>
  <c r="I59" i="53" s="1"/>
  <c r="Q58" i="53"/>
  <c r="I58" i="53" s="1"/>
  <c r="Q57" i="53"/>
  <c r="I57" i="53" s="1"/>
  <c r="Q56" i="53"/>
  <c r="I56" i="53" s="1"/>
  <c r="Q55" i="53"/>
  <c r="I55" i="53" s="1"/>
  <c r="Q54" i="53"/>
  <c r="I54" i="53" s="1"/>
  <c r="Q53" i="53"/>
  <c r="I53" i="53" s="1"/>
  <c r="Q52" i="53"/>
  <c r="I52" i="53" s="1"/>
  <c r="Q51" i="53"/>
  <c r="I51" i="53" s="1"/>
  <c r="Q50" i="53"/>
  <c r="I50" i="53" s="1"/>
  <c r="Q49" i="53"/>
  <c r="I49" i="53" s="1"/>
  <c r="Q48" i="53"/>
  <c r="I48" i="53" s="1"/>
  <c r="Q47" i="53"/>
  <c r="I47" i="53" s="1"/>
  <c r="Q46" i="53"/>
  <c r="I46" i="53" s="1"/>
  <c r="Q45" i="53"/>
  <c r="I45" i="53" s="1"/>
  <c r="Q44" i="53"/>
  <c r="I44" i="53" s="1"/>
  <c r="Q43" i="53"/>
  <c r="I43" i="53" s="1"/>
  <c r="Q42" i="53"/>
  <c r="I42" i="53" s="1"/>
  <c r="Q41" i="53"/>
  <c r="I41" i="53" s="1"/>
  <c r="Q40" i="53"/>
  <c r="I40" i="53" s="1"/>
  <c r="Q39" i="53"/>
  <c r="I39" i="53" s="1"/>
  <c r="Q38" i="53"/>
  <c r="I38" i="53" s="1"/>
  <c r="Q37" i="53"/>
  <c r="I37" i="53" s="1"/>
  <c r="Q36" i="53"/>
  <c r="I36" i="53" s="1"/>
  <c r="Q35" i="53"/>
  <c r="I35" i="53" s="1"/>
  <c r="Q34" i="53"/>
  <c r="I34" i="53" s="1"/>
  <c r="Q33" i="53"/>
  <c r="I33" i="53" s="1"/>
  <c r="Q32" i="53"/>
  <c r="I32" i="53" s="1"/>
  <c r="Q31" i="53"/>
  <c r="I31" i="53" s="1"/>
  <c r="Q30" i="53"/>
  <c r="I30" i="53" s="1"/>
  <c r="Q29" i="53"/>
  <c r="I29" i="53" s="1"/>
  <c r="Q28" i="53"/>
  <c r="I28" i="53" s="1"/>
  <c r="Q27" i="53"/>
  <c r="I27" i="53" s="1"/>
  <c r="Q26" i="53"/>
  <c r="I26" i="53" s="1"/>
  <c r="Q25" i="53"/>
  <c r="I25" i="53" s="1"/>
  <c r="Q24" i="53"/>
  <c r="I24" i="53" s="1"/>
  <c r="Q23" i="53"/>
  <c r="I23" i="53" s="1"/>
  <c r="Q22" i="53"/>
  <c r="I22" i="53" s="1"/>
  <c r="Q21" i="53"/>
  <c r="I21" i="53" s="1"/>
  <c r="Q20" i="53"/>
  <c r="I20" i="53" s="1"/>
  <c r="Q19" i="53"/>
  <c r="I19" i="53" s="1"/>
  <c r="Q18" i="53"/>
  <c r="I18" i="53" s="1"/>
  <c r="Q17" i="53"/>
  <c r="I17" i="53" s="1"/>
  <c r="Q16" i="53"/>
  <c r="I16" i="53" s="1"/>
  <c r="Q15" i="53"/>
  <c r="I15" i="53" s="1"/>
  <c r="Q14" i="53"/>
  <c r="I14" i="53" s="1"/>
  <c r="Q13" i="53"/>
  <c r="I13" i="53" s="1"/>
  <c r="Q12" i="53"/>
  <c r="I12" i="53" s="1"/>
  <c r="Q11" i="53"/>
  <c r="I11" i="53" s="1"/>
  <c r="Q10" i="53"/>
  <c r="I10" i="53" s="1"/>
  <c r="Q9" i="53"/>
  <c r="I9" i="53" s="1"/>
  <c r="Q8" i="53"/>
  <c r="I8" i="53" s="1"/>
  <c r="Q7" i="53"/>
  <c r="I7" i="53" s="1"/>
  <c r="Q6" i="53"/>
  <c r="I6" i="53" s="1"/>
  <c r="Q5" i="53"/>
  <c r="I5" i="53" s="1"/>
  <c r="AM124" i="62"/>
  <c r="AM123" i="62"/>
  <c r="AM122" i="62"/>
  <c r="AM121" i="62"/>
  <c r="AM120" i="62"/>
  <c r="AM119" i="62"/>
  <c r="AM118" i="62"/>
  <c r="AM117" i="62"/>
  <c r="AM116" i="62"/>
  <c r="AM115" i="62"/>
  <c r="AM114" i="62"/>
  <c r="AM113" i="62"/>
  <c r="AM112" i="62"/>
  <c r="AM111" i="62"/>
  <c r="AM110" i="62"/>
  <c r="AM109" i="62"/>
  <c r="AM108" i="62"/>
  <c r="AM107" i="62"/>
  <c r="AM106" i="62"/>
  <c r="AM105" i="62"/>
  <c r="AM104" i="62"/>
  <c r="AM103" i="62"/>
  <c r="AM102" i="62"/>
  <c r="AM101" i="62"/>
  <c r="AM100" i="62"/>
  <c r="AM99" i="62"/>
  <c r="AM98" i="62"/>
  <c r="AM97" i="62"/>
  <c r="AM96" i="62"/>
  <c r="AM95" i="62"/>
  <c r="AM94" i="62"/>
  <c r="AM93" i="62"/>
  <c r="AM92" i="62"/>
  <c r="AM91" i="62"/>
  <c r="AM90" i="62"/>
  <c r="AM89" i="62"/>
  <c r="AM88" i="62"/>
  <c r="AM87" i="62"/>
  <c r="AM86" i="62"/>
  <c r="AM85" i="62"/>
  <c r="AM84" i="62"/>
  <c r="AM83" i="62"/>
  <c r="AM82" i="62"/>
  <c r="AM81" i="62"/>
  <c r="AM80" i="62"/>
  <c r="AM79" i="62"/>
  <c r="AM78" i="62"/>
  <c r="AM77" i="62"/>
  <c r="AM76" i="62"/>
  <c r="AM75" i="62"/>
  <c r="AM74" i="62"/>
  <c r="AM73" i="62"/>
  <c r="AM72" i="62"/>
  <c r="AM71" i="62"/>
  <c r="AM70" i="62"/>
  <c r="AM69" i="62"/>
  <c r="AM68" i="62"/>
  <c r="AM67" i="62"/>
  <c r="AM66" i="62"/>
  <c r="AM65" i="62"/>
  <c r="AM64" i="62"/>
  <c r="AM63" i="62"/>
  <c r="AM62" i="62"/>
  <c r="AM61" i="62"/>
  <c r="AM60" i="62"/>
  <c r="AM59" i="62"/>
  <c r="AM58" i="62"/>
  <c r="AM57" i="62"/>
  <c r="AM56" i="62"/>
  <c r="AM55" i="62"/>
  <c r="AM54" i="62"/>
  <c r="AM53" i="62"/>
  <c r="AM52" i="62"/>
  <c r="AM51" i="62"/>
  <c r="AM50" i="62"/>
  <c r="AM49" i="62"/>
  <c r="AM48" i="62"/>
  <c r="AM47" i="62"/>
  <c r="AM46" i="62"/>
  <c r="AM45" i="62"/>
  <c r="AM44" i="62"/>
  <c r="AM43" i="62"/>
  <c r="AM42" i="62"/>
  <c r="AM41" i="62"/>
  <c r="AM40" i="62"/>
  <c r="AM39" i="62"/>
  <c r="AM38" i="62"/>
  <c r="AM37" i="62"/>
  <c r="AM36" i="62"/>
  <c r="AM35" i="62"/>
  <c r="AM34" i="62"/>
  <c r="AM33" i="62"/>
  <c r="AM32" i="62"/>
  <c r="AM31" i="62"/>
  <c r="AM30" i="62"/>
  <c r="AM29" i="62"/>
  <c r="AM28" i="62"/>
  <c r="AM27" i="62"/>
  <c r="AM26" i="62"/>
  <c r="AM25" i="62"/>
  <c r="AM24" i="62"/>
  <c r="AM23" i="62"/>
  <c r="AM22" i="62"/>
  <c r="AM21" i="62"/>
  <c r="AM20" i="62"/>
  <c r="AM19" i="62"/>
  <c r="AM18" i="62"/>
  <c r="AM17" i="62"/>
  <c r="AM16" i="62"/>
  <c r="AM15" i="62"/>
  <c r="AM14" i="62"/>
  <c r="AM13" i="62"/>
  <c r="AM12" i="62"/>
  <c r="AM11" i="62"/>
  <c r="AM10" i="62"/>
  <c r="AM9" i="62"/>
  <c r="AM8" i="62"/>
  <c r="AM7" i="62"/>
  <c r="AM6" i="62"/>
  <c r="AM5" i="62"/>
  <c r="AG124" i="62"/>
  <c r="AG123" i="62"/>
  <c r="AG122" i="62"/>
  <c r="AG121" i="62"/>
  <c r="AG120" i="62"/>
  <c r="AG119" i="62"/>
  <c r="AG118" i="62"/>
  <c r="AG117" i="62"/>
  <c r="AG116" i="62"/>
  <c r="AG115" i="62"/>
  <c r="AG114" i="62"/>
  <c r="AG113" i="62"/>
  <c r="AG112" i="62"/>
  <c r="AG111" i="62"/>
  <c r="AG110" i="62"/>
  <c r="AG109" i="62"/>
  <c r="AG108" i="62"/>
  <c r="AG107" i="62"/>
  <c r="AG106" i="62"/>
  <c r="AG105" i="62"/>
  <c r="AG104" i="62"/>
  <c r="AG103" i="62"/>
  <c r="AG102" i="62"/>
  <c r="AG101" i="62"/>
  <c r="AG100" i="62"/>
  <c r="AG99" i="62"/>
  <c r="AG98" i="62"/>
  <c r="AG97" i="62"/>
  <c r="AG96" i="62"/>
  <c r="AG95" i="62"/>
  <c r="AG94" i="62"/>
  <c r="AG93" i="62"/>
  <c r="AG92" i="62"/>
  <c r="AG91" i="62"/>
  <c r="AG90" i="62"/>
  <c r="AG89" i="62"/>
  <c r="AG88" i="62"/>
  <c r="AG87" i="62"/>
  <c r="AG86" i="62"/>
  <c r="AG85" i="62"/>
  <c r="AG84" i="62"/>
  <c r="AG83" i="62"/>
  <c r="AG82" i="62"/>
  <c r="AG81" i="62"/>
  <c r="AG80" i="62"/>
  <c r="AG79" i="62"/>
  <c r="AG78" i="62"/>
  <c r="AG77" i="62"/>
  <c r="AG76" i="62"/>
  <c r="AG75" i="62"/>
  <c r="AG74" i="62"/>
  <c r="AG73" i="62"/>
  <c r="AG72" i="62"/>
  <c r="AG71" i="62"/>
  <c r="AG70" i="62"/>
  <c r="AG69" i="62"/>
  <c r="AG68" i="62"/>
  <c r="AG67" i="62"/>
  <c r="AG66" i="62"/>
  <c r="AG65" i="62"/>
  <c r="AG64" i="62"/>
  <c r="AG63" i="62"/>
  <c r="AG62" i="62"/>
  <c r="AG61" i="62"/>
  <c r="AG60" i="62"/>
  <c r="AG59" i="62"/>
  <c r="AG58" i="62"/>
  <c r="AG57" i="62"/>
  <c r="AG56" i="62"/>
  <c r="AG55" i="62"/>
  <c r="AG54" i="62"/>
  <c r="AG53" i="62"/>
  <c r="AG52" i="62"/>
  <c r="AG51" i="62"/>
  <c r="AG50" i="62"/>
  <c r="AG49" i="62"/>
  <c r="AG48" i="62"/>
  <c r="AG47" i="62"/>
  <c r="AG46" i="62"/>
  <c r="AG45" i="62"/>
  <c r="AG44" i="62"/>
  <c r="AG43" i="62"/>
  <c r="AG42" i="62"/>
  <c r="AG41" i="62"/>
  <c r="AG40" i="62"/>
  <c r="AG39" i="62"/>
  <c r="AG38" i="62"/>
  <c r="AG37" i="62"/>
  <c r="AG36" i="62"/>
  <c r="AG35" i="62"/>
  <c r="AG34" i="62"/>
  <c r="AG33" i="62"/>
  <c r="AG32" i="62"/>
  <c r="AG31" i="62"/>
  <c r="AG30" i="62"/>
  <c r="AG29" i="62"/>
  <c r="AG28" i="62"/>
  <c r="AG27" i="62"/>
  <c r="AG26" i="62"/>
  <c r="AG25" i="62"/>
  <c r="AG24" i="62"/>
  <c r="AG23" i="62"/>
  <c r="AG22" i="62"/>
  <c r="AG21" i="62"/>
  <c r="AG20" i="62"/>
  <c r="AG19" i="62"/>
  <c r="AG18" i="62"/>
  <c r="AG17" i="62"/>
  <c r="AG16" i="62"/>
  <c r="AG15" i="62"/>
  <c r="AG14" i="62"/>
  <c r="AG13" i="62"/>
  <c r="AG12" i="62"/>
  <c r="AG11" i="62"/>
  <c r="AG10" i="62"/>
  <c r="AG9" i="62"/>
  <c r="AG8" i="62"/>
  <c r="AG7" i="62"/>
  <c r="AG6" i="62"/>
  <c r="AG5" i="62"/>
  <c r="O5" i="62"/>
  <c r="D4" i="60"/>
  <c r="E4" i="60"/>
  <c r="H4" i="60"/>
  <c r="AS99" i="60"/>
  <c r="AS98" i="60"/>
  <c r="AS97" i="60"/>
  <c r="AS124" i="60"/>
  <c r="AS123" i="60"/>
  <c r="AS96" i="60"/>
  <c r="AS95" i="60"/>
  <c r="AS94" i="60"/>
  <c r="AS122" i="60"/>
  <c r="AS93" i="60"/>
  <c r="AS92" i="60"/>
  <c r="AS91" i="60"/>
  <c r="AS121" i="60"/>
  <c r="AS90" i="60"/>
  <c r="AS89" i="60"/>
  <c r="AS88" i="60"/>
  <c r="AS87" i="60"/>
  <c r="AS86" i="60"/>
  <c r="AS85" i="60"/>
  <c r="AS84" i="60"/>
  <c r="AS83" i="60"/>
  <c r="AS82" i="60"/>
  <c r="AS81" i="60"/>
  <c r="AS120" i="60"/>
  <c r="AS80" i="60"/>
  <c r="AS119" i="60"/>
  <c r="AS79" i="60"/>
  <c r="AS118" i="60"/>
  <c r="AS78" i="60"/>
  <c r="AS77" i="60"/>
  <c r="AS76" i="60"/>
  <c r="AS75" i="60"/>
  <c r="AS74" i="60"/>
  <c r="AS117" i="60"/>
  <c r="AS73" i="60"/>
  <c r="AS116" i="60"/>
  <c r="AS72" i="60"/>
  <c r="AS71" i="60"/>
  <c r="AS70" i="60"/>
  <c r="AS69" i="60"/>
  <c r="AS115" i="60"/>
  <c r="AS68" i="60"/>
  <c r="AS67" i="60"/>
  <c r="AS114" i="60"/>
  <c r="AS113" i="60"/>
  <c r="AS66" i="60"/>
  <c r="AS65" i="60"/>
  <c r="AS64" i="60"/>
  <c r="AS63" i="60"/>
  <c r="AS62" i="60"/>
  <c r="AS61" i="60"/>
  <c r="AS112" i="60"/>
  <c r="AS111" i="60"/>
  <c r="AS60" i="60"/>
  <c r="AS110" i="60"/>
  <c r="AS59" i="60"/>
  <c r="AS58" i="60"/>
  <c r="AS57" i="60"/>
  <c r="AS56" i="60"/>
  <c r="AS55" i="60"/>
  <c r="AS54" i="60"/>
  <c r="AS53" i="60"/>
  <c r="AS52" i="60"/>
  <c r="AS51" i="60"/>
  <c r="AS50" i="60"/>
  <c r="AS109" i="60"/>
  <c r="AS49" i="60"/>
  <c r="AS48" i="60"/>
  <c r="AS47" i="60"/>
  <c r="AS46" i="60"/>
  <c r="AS108" i="60"/>
  <c r="AS45" i="60"/>
  <c r="AS44" i="60"/>
  <c r="AS43" i="60"/>
  <c r="AS42" i="60"/>
  <c r="AS41" i="60"/>
  <c r="AS40" i="60"/>
  <c r="AS39" i="60"/>
  <c r="AS107" i="60"/>
  <c r="AS106" i="60"/>
  <c r="AS38" i="60"/>
  <c r="AS37" i="60"/>
  <c r="AS105" i="60"/>
  <c r="AS36" i="60"/>
  <c r="AS35" i="60"/>
  <c r="AS34" i="60"/>
  <c r="AS33" i="60"/>
  <c r="AS32" i="60"/>
  <c r="AS31" i="60"/>
  <c r="AS30" i="60"/>
  <c r="AS104" i="60"/>
  <c r="AS29" i="60"/>
  <c r="AS28" i="60"/>
  <c r="AS27" i="60"/>
  <c r="AS26" i="60"/>
  <c r="AS25" i="60"/>
  <c r="AS103" i="60"/>
  <c r="AS102" i="60"/>
  <c r="AS24" i="60"/>
  <c r="AS23" i="60"/>
  <c r="AS22" i="60"/>
  <c r="AS21" i="60"/>
  <c r="AS20" i="60"/>
  <c r="AS19" i="60"/>
  <c r="AS18" i="60"/>
  <c r="AS17" i="60"/>
  <c r="AS101" i="60"/>
  <c r="AS16" i="60"/>
  <c r="AS15" i="60"/>
  <c r="AS14" i="60"/>
  <c r="AS13" i="60"/>
  <c r="AS12" i="60"/>
  <c r="AS11" i="60"/>
  <c r="AS10" i="60"/>
  <c r="AS9" i="60"/>
  <c r="AS8" i="60"/>
  <c r="AS7" i="60"/>
  <c r="AS100" i="60"/>
  <c r="AS6" i="60"/>
  <c r="AS5" i="60"/>
  <c r="AM99" i="60"/>
  <c r="AM98" i="60"/>
  <c r="AM97" i="60"/>
  <c r="AM124" i="60"/>
  <c r="AM123" i="60"/>
  <c r="AM96" i="60"/>
  <c r="AM95" i="60"/>
  <c r="AM94" i="60"/>
  <c r="AM122" i="60"/>
  <c r="AM93" i="60"/>
  <c r="AM92" i="60"/>
  <c r="AM91" i="60"/>
  <c r="AM121" i="60"/>
  <c r="AM90" i="60"/>
  <c r="AM88" i="60"/>
  <c r="AM87" i="60"/>
  <c r="AM86" i="60"/>
  <c r="AM85" i="60"/>
  <c r="AM84" i="60"/>
  <c r="AM83" i="60"/>
  <c r="AM82" i="60"/>
  <c r="AM81" i="60"/>
  <c r="AM120" i="60"/>
  <c r="AM80" i="60"/>
  <c r="AM119" i="60"/>
  <c r="AM79" i="60"/>
  <c r="AM118" i="60"/>
  <c r="AM78" i="60"/>
  <c r="AM77" i="60"/>
  <c r="AM76" i="60"/>
  <c r="AM75" i="60"/>
  <c r="AM74" i="60"/>
  <c r="AM117" i="60"/>
  <c r="AM73" i="60"/>
  <c r="AM116" i="60"/>
  <c r="AM72" i="60"/>
  <c r="AM71" i="60"/>
  <c r="AM70" i="60"/>
  <c r="AM69" i="60"/>
  <c r="AM115" i="60"/>
  <c r="AM68" i="60"/>
  <c r="AM67" i="60"/>
  <c r="AM114" i="60"/>
  <c r="AM113" i="60"/>
  <c r="AM66" i="60"/>
  <c r="AM65" i="60"/>
  <c r="AM64" i="60"/>
  <c r="AM63" i="60"/>
  <c r="AM62" i="60"/>
  <c r="AM61" i="60"/>
  <c r="AM112" i="60"/>
  <c r="AM111" i="60"/>
  <c r="AM60" i="60"/>
  <c r="AM110" i="60"/>
  <c r="AM59" i="60"/>
  <c r="AM58" i="60"/>
  <c r="AM57" i="60"/>
  <c r="AM56" i="60"/>
  <c r="AM55" i="60"/>
  <c r="AM54" i="60"/>
  <c r="AM53" i="60"/>
  <c r="AM52" i="60"/>
  <c r="AM51" i="60"/>
  <c r="AM50" i="60"/>
  <c r="AM109" i="60"/>
  <c r="AM49" i="60"/>
  <c r="AM48" i="60"/>
  <c r="AM47" i="60"/>
  <c r="AM46" i="60"/>
  <c r="AM108" i="60"/>
  <c r="AM45" i="60"/>
  <c r="AM44" i="60"/>
  <c r="AM43" i="60"/>
  <c r="AM42" i="60"/>
  <c r="AM41" i="60"/>
  <c r="AM40" i="60"/>
  <c r="AM39" i="60"/>
  <c r="AM107" i="60"/>
  <c r="AM106" i="60"/>
  <c r="AM38" i="60"/>
  <c r="AM37" i="60"/>
  <c r="AM105" i="60"/>
  <c r="AM36" i="60"/>
  <c r="AM35" i="60"/>
  <c r="AM34" i="60"/>
  <c r="AM33" i="60"/>
  <c r="AM32" i="60"/>
  <c r="AM31" i="60"/>
  <c r="AM30" i="60"/>
  <c r="AM104" i="60"/>
  <c r="AM29" i="60"/>
  <c r="AM28" i="60"/>
  <c r="AM27" i="60"/>
  <c r="AM26" i="60"/>
  <c r="AM25" i="60"/>
  <c r="AM103" i="60"/>
  <c r="AM102" i="60"/>
  <c r="AM24" i="60"/>
  <c r="AM23" i="60"/>
  <c r="AM22" i="60"/>
  <c r="AM21" i="60"/>
  <c r="AM20" i="60"/>
  <c r="AM19" i="60"/>
  <c r="AM18" i="60"/>
  <c r="AM17" i="60"/>
  <c r="AM101" i="60"/>
  <c r="AM16" i="60"/>
  <c r="AM15" i="60"/>
  <c r="AM14" i="60"/>
  <c r="AM13" i="60"/>
  <c r="AM12" i="60"/>
  <c r="AM11" i="60"/>
  <c r="AM10" i="60"/>
  <c r="AM9" i="60"/>
  <c r="AM8" i="60"/>
  <c r="AM7" i="60"/>
  <c r="AM100" i="60"/>
  <c r="AM6" i="60"/>
  <c r="AM5" i="60"/>
  <c r="U99" i="60"/>
  <c r="U98" i="60"/>
  <c r="U97" i="60"/>
  <c r="U124" i="60"/>
  <c r="U123" i="60"/>
  <c r="U96" i="60"/>
  <c r="U95" i="60"/>
  <c r="U94" i="60"/>
  <c r="U122" i="60"/>
  <c r="U93" i="60"/>
  <c r="U92" i="60"/>
  <c r="U91" i="60"/>
  <c r="U121" i="60"/>
  <c r="U90" i="60"/>
  <c r="U89" i="60"/>
  <c r="U88" i="60"/>
  <c r="U87" i="60"/>
  <c r="U86" i="60"/>
  <c r="U85" i="60"/>
  <c r="U84" i="60"/>
  <c r="U83" i="60"/>
  <c r="U82" i="60"/>
  <c r="U81" i="60"/>
  <c r="U120" i="60"/>
  <c r="U80" i="60"/>
  <c r="U119" i="60"/>
  <c r="U79" i="60"/>
  <c r="U118" i="60"/>
  <c r="U78" i="60"/>
  <c r="U77" i="60"/>
  <c r="U76" i="60"/>
  <c r="U75" i="60"/>
  <c r="U74" i="60"/>
  <c r="U117" i="60"/>
  <c r="U73" i="60"/>
  <c r="U116" i="60"/>
  <c r="U72" i="60"/>
  <c r="U71" i="60"/>
  <c r="U70" i="60"/>
  <c r="U69" i="60"/>
  <c r="U115" i="60"/>
  <c r="U68" i="60"/>
  <c r="U67" i="60"/>
  <c r="U114" i="60"/>
  <c r="U113" i="60"/>
  <c r="U66" i="60"/>
  <c r="U65" i="60"/>
  <c r="U64" i="60"/>
  <c r="U63" i="60"/>
  <c r="U62" i="60"/>
  <c r="U61" i="60"/>
  <c r="U112" i="60"/>
  <c r="U111" i="60"/>
  <c r="U60" i="60"/>
  <c r="U110" i="60"/>
  <c r="U59" i="60"/>
  <c r="U58" i="60"/>
  <c r="U57" i="60"/>
  <c r="U56" i="60"/>
  <c r="U55" i="60"/>
  <c r="U54" i="60"/>
  <c r="U53" i="60"/>
  <c r="U52" i="60"/>
  <c r="U51" i="60"/>
  <c r="U50" i="60"/>
  <c r="U109" i="60"/>
  <c r="U49" i="60"/>
  <c r="U48" i="60"/>
  <c r="U47" i="60"/>
  <c r="U46" i="60"/>
  <c r="U108" i="60"/>
  <c r="U45" i="60"/>
  <c r="U44" i="60"/>
  <c r="U43" i="60"/>
  <c r="U42" i="60"/>
  <c r="U41" i="60"/>
  <c r="U40" i="60"/>
  <c r="U39" i="60"/>
  <c r="U107" i="60"/>
  <c r="U106" i="60"/>
  <c r="U38" i="60"/>
  <c r="U37" i="60"/>
  <c r="U105" i="60"/>
  <c r="U36" i="60"/>
  <c r="U35" i="60"/>
  <c r="U34" i="60"/>
  <c r="U33" i="60"/>
  <c r="U32" i="60"/>
  <c r="U31" i="60"/>
  <c r="U30" i="60"/>
  <c r="U104" i="60"/>
  <c r="U29" i="60"/>
  <c r="U28" i="60"/>
  <c r="U27" i="60"/>
  <c r="U26" i="60"/>
  <c r="U25" i="60"/>
  <c r="U103" i="60"/>
  <c r="U102" i="60"/>
  <c r="U24" i="60"/>
  <c r="U23" i="60"/>
  <c r="U22" i="60"/>
  <c r="U21" i="60"/>
  <c r="U20" i="60"/>
  <c r="U19" i="60"/>
  <c r="U18" i="60"/>
  <c r="U17" i="60"/>
  <c r="U101" i="60"/>
  <c r="U16" i="60"/>
  <c r="U15" i="60"/>
  <c r="U14" i="60"/>
  <c r="U13" i="60"/>
  <c r="U12" i="60"/>
  <c r="U11" i="60"/>
  <c r="U10" i="60"/>
  <c r="U9" i="60"/>
  <c r="U8" i="60"/>
  <c r="U7" i="60"/>
  <c r="U100" i="60"/>
  <c r="U6" i="60"/>
  <c r="U5" i="60"/>
  <c r="O4" i="60"/>
  <c r="DU124" i="56"/>
  <c r="DU123" i="56"/>
  <c r="DU122" i="56"/>
  <c r="DU121" i="56"/>
  <c r="DU120" i="56"/>
  <c r="DU119" i="56"/>
  <c r="DU118" i="56"/>
  <c r="DU117" i="56"/>
  <c r="DU116" i="56"/>
  <c r="DU115" i="56"/>
  <c r="DU114" i="56"/>
  <c r="DU113" i="56"/>
  <c r="DU112" i="56"/>
  <c r="DU111" i="56"/>
  <c r="DU110" i="56"/>
  <c r="DU109" i="56"/>
  <c r="DU108" i="56"/>
  <c r="DU107" i="56"/>
  <c r="DU106" i="56"/>
  <c r="DU105" i="56"/>
  <c r="DU104" i="56"/>
  <c r="DU103" i="56"/>
  <c r="DU102" i="56"/>
  <c r="DU101" i="56"/>
  <c r="DU100" i="56"/>
  <c r="DU99" i="56"/>
  <c r="DU98" i="56"/>
  <c r="DU97" i="56"/>
  <c r="DU96" i="56"/>
  <c r="DU95" i="56"/>
  <c r="DU94" i="56"/>
  <c r="DU93" i="56"/>
  <c r="DU92" i="56"/>
  <c r="DU91" i="56"/>
  <c r="DU90" i="56"/>
  <c r="DU89" i="56"/>
  <c r="DU88" i="56"/>
  <c r="DU87" i="56"/>
  <c r="DU86" i="56"/>
  <c r="DU85" i="56"/>
  <c r="DU84" i="56"/>
  <c r="DU83" i="56"/>
  <c r="DU82" i="56"/>
  <c r="DU81" i="56"/>
  <c r="DU80" i="56"/>
  <c r="DU79" i="56"/>
  <c r="DU78" i="56"/>
  <c r="DU77" i="56"/>
  <c r="DU76" i="56"/>
  <c r="DU75" i="56"/>
  <c r="DU74" i="56"/>
  <c r="DU73" i="56"/>
  <c r="DU72" i="56"/>
  <c r="DU71" i="56"/>
  <c r="DU70" i="56"/>
  <c r="DU69" i="56"/>
  <c r="DU68" i="56"/>
  <c r="DU67" i="56"/>
  <c r="DU66" i="56"/>
  <c r="DU65" i="56"/>
  <c r="DU64" i="56"/>
  <c r="DU63" i="56"/>
  <c r="DU62" i="56"/>
  <c r="DU61" i="56"/>
  <c r="DU60" i="56"/>
  <c r="DU59" i="56"/>
  <c r="DU58" i="56"/>
  <c r="DU57" i="56"/>
  <c r="DU56" i="56"/>
  <c r="DU55" i="56"/>
  <c r="DU54" i="56"/>
  <c r="DU53" i="56"/>
  <c r="DU52" i="56"/>
  <c r="DU51" i="56"/>
  <c r="DU50" i="56"/>
  <c r="DU49" i="56"/>
  <c r="DU48" i="56"/>
  <c r="DU47" i="56"/>
  <c r="DU46" i="56"/>
  <c r="DU45" i="56"/>
  <c r="DU44" i="56"/>
  <c r="DU43" i="56"/>
  <c r="DU42" i="56"/>
  <c r="DU41" i="56"/>
  <c r="DU40" i="56"/>
  <c r="DU39" i="56"/>
  <c r="DU38" i="56"/>
  <c r="DU37" i="56"/>
  <c r="DU36" i="56"/>
  <c r="DU35" i="56"/>
  <c r="DU34" i="56"/>
  <c r="DU33" i="56"/>
  <c r="DU32" i="56"/>
  <c r="DU31" i="56"/>
  <c r="DU30" i="56"/>
  <c r="DU29" i="56"/>
  <c r="DU28" i="56"/>
  <c r="DU27" i="56"/>
  <c r="DU26" i="56"/>
  <c r="DU25" i="56"/>
  <c r="DU24" i="56"/>
  <c r="DU23" i="56"/>
  <c r="DU22" i="56"/>
  <c r="DU21" i="56"/>
  <c r="DU20" i="56"/>
  <c r="DU19" i="56"/>
  <c r="DU18" i="56"/>
  <c r="DU17" i="56"/>
  <c r="DU16" i="56"/>
  <c r="DU15" i="56"/>
  <c r="DU14" i="56"/>
  <c r="DU13" i="56"/>
  <c r="DU12" i="56"/>
  <c r="DU11" i="56"/>
  <c r="DU10" i="56"/>
  <c r="DU9" i="56"/>
  <c r="DU8" i="56"/>
  <c r="DU7" i="56"/>
  <c r="DU6" i="56"/>
  <c r="DU5" i="56"/>
  <c r="BM124" i="56"/>
  <c r="BM123" i="56"/>
  <c r="BM122" i="56"/>
  <c r="BM121" i="56"/>
  <c r="BM120" i="56"/>
  <c r="BM119" i="56"/>
  <c r="BM118" i="56"/>
  <c r="BM117" i="56"/>
  <c r="BM116" i="56"/>
  <c r="BM115" i="56"/>
  <c r="BM114" i="56"/>
  <c r="BM113" i="56"/>
  <c r="BM112" i="56"/>
  <c r="BM111" i="56"/>
  <c r="BM110" i="56"/>
  <c r="BM109" i="56"/>
  <c r="BM108" i="56"/>
  <c r="BM107" i="56"/>
  <c r="BM106" i="56"/>
  <c r="BM105" i="56"/>
  <c r="BM104" i="56"/>
  <c r="BM103" i="56"/>
  <c r="BM102" i="56"/>
  <c r="BM101" i="56"/>
  <c r="BM100" i="56"/>
  <c r="BM99" i="56"/>
  <c r="BM98" i="56"/>
  <c r="BM97" i="56"/>
  <c r="BM96" i="56"/>
  <c r="BM95" i="56"/>
  <c r="BM94" i="56"/>
  <c r="BM93" i="56"/>
  <c r="BM92" i="56"/>
  <c r="BM91" i="56"/>
  <c r="BM90" i="56"/>
  <c r="BM89" i="56"/>
  <c r="BM88" i="56"/>
  <c r="BM87" i="56"/>
  <c r="BM86" i="56"/>
  <c r="BM85" i="56"/>
  <c r="BM84" i="56"/>
  <c r="BM83" i="56"/>
  <c r="BM82" i="56"/>
  <c r="BM81" i="56"/>
  <c r="BM80" i="56"/>
  <c r="BM79" i="56"/>
  <c r="BM78" i="56"/>
  <c r="BM77" i="56"/>
  <c r="BM76" i="56"/>
  <c r="BM75" i="56"/>
  <c r="BM74" i="56"/>
  <c r="BM73" i="56"/>
  <c r="BM72" i="56"/>
  <c r="BM71" i="56"/>
  <c r="BM70" i="56"/>
  <c r="BM69" i="56"/>
  <c r="BM68" i="56"/>
  <c r="BM67" i="56"/>
  <c r="BM66" i="56"/>
  <c r="BM65" i="56"/>
  <c r="BM64" i="56"/>
  <c r="BM63" i="56"/>
  <c r="BM62" i="56"/>
  <c r="BM61" i="56"/>
  <c r="BM60" i="56"/>
  <c r="BM59" i="56"/>
  <c r="BM58" i="56"/>
  <c r="BM57" i="56"/>
  <c r="BM56" i="56"/>
  <c r="BM55" i="56"/>
  <c r="BM54" i="56"/>
  <c r="BM53" i="56"/>
  <c r="BM52" i="56"/>
  <c r="BM51" i="56"/>
  <c r="BM50" i="56"/>
  <c r="BM49" i="56"/>
  <c r="BM48" i="56"/>
  <c r="BM47" i="56"/>
  <c r="BM46" i="56"/>
  <c r="BM45" i="56"/>
  <c r="BM44" i="56"/>
  <c r="BM43" i="56"/>
  <c r="BM42" i="56"/>
  <c r="BM41" i="56"/>
  <c r="BM40" i="56"/>
  <c r="BM39" i="56"/>
  <c r="BM38" i="56"/>
  <c r="BM37" i="56"/>
  <c r="BM36" i="56"/>
  <c r="BM35" i="56"/>
  <c r="BM34" i="56"/>
  <c r="BM33" i="56"/>
  <c r="BM32" i="56"/>
  <c r="BM31" i="56"/>
  <c r="BM30" i="56"/>
  <c r="BM29" i="56"/>
  <c r="BM28" i="56"/>
  <c r="BM27" i="56"/>
  <c r="BM26" i="56"/>
  <c r="BM25" i="56"/>
  <c r="BM24" i="56"/>
  <c r="BM23" i="56"/>
  <c r="BM22" i="56"/>
  <c r="BM21" i="56"/>
  <c r="BM20" i="56"/>
  <c r="BM19" i="56"/>
  <c r="BM18" i="56"/>
  <c r="BM17" i="56"/>
  <c r="BM16" i="56"/>
  <c r="BM15" i="56"/>
  <c r="BM14" i="56"/>
  <c r="BM13" i="56"/>
  <c r="BM12" i="56"/>
  <c r="BM11" i="56"/>
  <c r="BM10" i="56"/>
  <c r="BM9" i="56"/>
  <c r="BM8" i="56"/>
  <c r="BM7" i="56"/>
  <c r="BM6" i="56"/>
  <c r="BM5" i="56"/>
  <c r="EA124" i="56"/>
  <c r="EA123" i="56"/>
  <c r="EA122" i="56"/>
  <c r="EA121" i="56"/>
  <c r="EA120" i="56"/>
  <c r="EA119" i="56"/>
  <c r="EA118" i="56"/>
  <c r="EA117" i="56"/>
  <c r="EA116" i="56"/>
  <c r="EA115" i="56"/>
  <c r="EA114" i="56"/>
  <c r="EA113" i="56"/>
  <c r="EA112" i="56"/>
  <c r="EA111" i="56"/>
  <c r="EA110" i="56"/>
  <c r="EA109" i="56"/>
  <c r="EA108" i="56"/>
  <c r="EA107" i="56"/>
  <c r="EA106" i="56"/>
  <c r="EA105" i="56"/>
  <c r="EA104" i="56"/>
  <c r="EA103" i="56"/>
  <c r="EA102" i="56"/>
  <c r="EA101" i="56"/>
  <c r="EA100" i="56"/>
  <c r="EA99" i="56"/>
  <c r="EA98" i="56"/>
  <c r="EA97" i="56"/>
  <c r="EA96" i="56"/>
  <c r="EA95" i="56"/>
  <c r="EA94" i="56"/>
  <c r="EA93" i="56"/>
  <c r="EA92" i="56"/>
  <c r="EA91" i="56"/>
  <c r="EA90" i="56"/>
  <c r="EA89" i="56"/>
  <c r="EA88" i="56"/>
  <c r="EA87" i="56"/>
  <c r="EA86" i="56"/>
  <c r="EA85" i="56"/>
  <c r="EA84" i="56"/>
  <c r="EA83" i="56"/>
  <c r="EA82" i="56"/>
  <c r="EA81" i="56"/>
  <c r="EA80" i="56"/>
  <c r="EA79" i="56"/>
  <c r="EA78" i="56"/>
  <c r="EA77" i="56"/>
  <c r="EA76" i="56"/>
  <c r="EA75" i="56"/>
  <c r="EA74" i="56"/>
  <c r="EA73" i="56"/>
  <c r="EA72" i="56"/>
  <c r="EA71" i="56"/>
  <c r="EA70" i="56"/>
  <c r="EA69" i="56"/>
  <c r="EA68" i="56"/>
  <c r="EA67" i="56"/>
  <c r="EA66" i="56"/>
  <c r="EA65" i="56"/>
  <c r="EA64" i="56"/>
  <c r="EA63" i="56"/>
  <c r="EA62" i="56"/>
  <c r="EA61" i="56"/>
  <c r="EA60" i="56"/>
  <c r="EA59" i="56"/>
  <c r="EA58" i="56"/>
  <c r="EA57" i="56"/>
  <c r="EA56" i="56"/>
  <c r="EA55" i="56"/>
  <c r="EA54" i="56"/>
  <c r="EA53" i="56"/>
  <c r="EA52" i="56"/>
  <c r="EA51" i="56"/>
  <c r="EA50" i="56"/>
  <c r="EA49" i="56"/>
  <c r="EA48" i="56"/>
  <c r="EA47" i="56"/>
  <c r="EA46" i="56"/>
  <c r="EA45" i="56"/>
  <c r="EA44" i="56"/>
  <c r="EA43" i="56"/>
  <c r="EA42" i="56"/>
  <c r="EA41" i="56"/>
  <c r="EA40" i="56"/>
  <c r="EA39" i="56"/>
  <c r="EA38" i="56"/>
  <c r="EA37" i="56"/>
  <c r="EA36" i="56"/>
  <c r="EA35" i="56"/>
  <c r="EA34" i="56"/>
  <c r="EA33" i="56"/>
  <c r="EA32" i="56"/>
  <c r="EA31" i="56"/>
  <c r="EA30" i="56"/>
  <c r="EA29" i="56"/>
  <c r="EA28" i="56"/>
  <c r="EA27" i="56"/>
  <c r="EA26" i="56"/>
  <c r="EA25" i="56"/>
  <c r="EA24" i="56"/>
  <c r="EA23" i="56"/>
  <c r="EA22" i="56"/>
  <c r="EA21" i="56"/>
  <c r="EA20" i="56"/>
  <c r="EA19" i="56"/>
  <c r="EA18" i="56"/>
  <c r="EA17" i="56"/>
  <c r="EA16" i="56"/>
  <c r="EA15" i="56"/>
  <c r="EA14" i="56"/>
  <c r="EA13" i="56"/>
  <c r="EA12" i="56"/>
  <c r="EA11" i="56"/>
  <c r="EA10" i="56"/>
  <c r="EA9" i="56"/>
  <c r="EA8" i="56"/>
  <c r="EA7" i="56"/>
  <c r="EA6" i="56"/>
  <c r="EA5" i="56"/>
  <c r="DC124" i="56"/>
  <c r="DC123" i="56"/>
  <c r="DC122" i="56"/>
  <c r="DC121" i="56"/>
  <c r="DC120" i="56"/>
  <c r="DC119" i="56"/>
  <c r="DC118" i="56"/>
  <c r="DC117" i="56"/>
  <c r="DC116" i="56"/>
  <c r="DC115" i="56"/>
  <c r="DC114" i="56"/>
  <c r="DC113" i="56"/>
  <c r="DC112" i="56"/>
  <c r="DC111" i="56"/>
  <c r="DC110" i="56"/>
  <c r="DC109" i="56"/>
  <c r="DC108" i="56"/>
  <c r="DC107" i="56"/>
  <c r="DC106" i="56"/>
  <c r="DC105" i="56"/>
  <c r="DC104" i="56"/>
  <c r="DC103" i="56"/>
  <c r="DC102" i="56"/>
  <c r="DC101" i="56"/>
  <c r="DC100" i="56"/>
  <c r="DC99" i="56"/>
  <c r="DC98" i="56"/>
  <c r="DC97" i="56"/>
  <c r="DC96" i="56"/>
  <c r="DC95" i="56"/>
  <c r="DC94" i="56"/>
  <c r="DC93" i="56"/>
  <c r="DC92" i="56"/>
  <c r="DC91" i="56"/>
  <c r="DC90" i="56"/>
  <c r="DC89" i="56"/>
  <c r="DC88" i="56"/>
  <c r="DC87" i="56"/>
  <c r="DC86" i="56"/>
  <c r="DC85" i="56"/>
  <c r="DC84" i="56"/>
  <c r="DC83" i="56"/>
  <c r="DC82" i="56"/>
  <c r="DC81" i="56"/>
  <c r="DC80" i="56"/>
  <c r="DC79" i="56"/>
  <c r="DC78" i="56"/>
  <c r="DC77" i="56"/>
  <c r="DC76" i="56"/>
  <c r="DC75" i="56"/>
  <c r="DC74" i="56"/>
  <c r="DC73" i="56"/>
  <c r="DC72" i="56"/>
  <c r="DC71" i="56"/>
  <c r="DC70" i="56"/>
  <c r="DC69" i="56"/>
  <c r="DC68" i="56"/>
  <c r="DC67" i="56"/>
  <c r="DC66" i="56"/>
  <c r="DC65" i="56"/>
  <c r="DC64" i="56"/>
  <c r="DC63" i="56"/>
  <c r="DC62" i="56"/>
  <c r="DC61" i="56"/>
  <c r="DC60" i="56"/>
  <c r="DC59" i="56"/>
  <c r="DC58" i="56"/>
  <c r="DC57" i="56"/>
  <c r="DC56" i="56"/>
  <c r="DC55" i="56"/>
  <c r="DC54" i="56"/>
  <c r="DC53" i="56"/>
  <c r="DC52" i="56"/>
  <c r="DC51" i="56"/>
  <c r="DC50" i="56"/>
  <c r="DC49" i="56"/>
  <c r="DC48" i="56"/>
  <c r="DC47" i="56"/>
  <c r="DC46" i="56"/>
  <c r="DC45" i="56"/>
  <c r="DC44" i="56"/>
  <c r="DC43" i="56"/>
  <c r="DC42" i="56"/>
  <c r="DC41" i="56"/>
  <c r="DC40" i="56"/>
  <c r="DC39" i="56"/>
  <c r="DC38" i="56"/>
  <c r="DC37" i="56"/>
  <c r="DC36" i="56"/>
  <c r="DC35" i="56"/>
  <c r="DC34" i="56"/>
  <c r="DC33" i="56"/>
  <c r="DC32" i="56"/>
  <c r="DC31" i="56"/>
  <c r="DC30" i="56"/>
  <c r="DC29" i="56"/>
  <c r="DC28" i="56"/>
  <c r="DC27" i="56"/>
  <c r="DC26" i="56"/>
  <c r="DC25" i="56"/>
  <c r="DC24" i="56"/>
  <c r="DC23" i="56"/>
  <c r="DC22" i="56"/>
  <c r="DC21" i="56"/>
  <c r="DC20" i="56"/>
  <c r="DC19" i="56"/>
  <c r="DC18" i="56"/>
  <c r="DC17" i="56"/>
  <c r="DC16" i="56"/>
  <c r="DC15" i="56"/>
  <c r="DC14" i="56"/>
  <c r="DC13" i="56"/>
  <c r="DC12" i="56"/>
  <c r="DC11" i="56"/>
  <c r="DC10" i="56"/>
  <c r="DC9" i="56"/>
  <c r="DC8" i="56"/>
  <c r="DC7" i="56"/>
  <c r="DC6" i="56"/>
  <c r="DC5" i="56"/>
  <c r="CW124" i="56"/>
  <c r="CW123" i="56"/>
  <c r="CW122" i="56"/>
  <c r="CW121" i="56"/>
  <c r="CW120" i="56"/>
  <c r="CW119" i="56"/>
  <c r="CW118" i="56"/>
  <c r="CW117" i="56"/>
  <c r="CW116" i="56"/>
  <c r="CW115" i="56"/>
  <c r="CW114" i="56"/>
  <c r="CW113" i="56"/>
  <c r="CW112" i="56"/>
  <c r="CW111" i="56"/>
  <c r="CW110" i="56"/>
  <c r="CW109" i="56"/>
  <c r="CW108" i="56"/>
  <c r="CW107" i="56"/>
  <c r="CW106" i="56"/>
  <c r="CW105" i="56"/>
  <c r="CW104" i="56"/>
  <c r="CW103" i="56"/>
  <c r="CW102" i="56"/>
  <c r="CW101" i="56"/>
  <c r="CW100" i="56"/>
  <c r="CW99" i="56"/>
  <c r="CW98" i="56"/>
  <c r="CW97" i="56"/>
  <c r="CW96" i="56"/>
  <c r="CW95" i="56"/>
  <c r="CW94" i="56"/>
  <c r="CW93" i="56"/>
  <c r="CW92" i="56"/>
  <c r="CW91" i="56"/>
  <c r="CW90" i="56"/>
  <c r="CW89" i="56"/>
  <c r="CW88" i="56"/>
  <c r="CW87" i="56"/>
  <c r="CW86" i="56"/>
  <c r="CW85" i="56"/>
  <c r="CW84" i="56"/>
  <c r="CW83" i="56"/>
  <c r="CW82" i="56"/>
  <c r="CW81" i="56"/>
  <c r="CW80" i="56"/>
  <c r="CW79" i="56"/>
  <c r="CW78" i="56"/>
  <c r="CW77" i="56"/>
  <c r="CW76" i="56"/>
  <c r="CW75" i="56"/>
  <c r="CW74" i="56"/>
  <c r="CW73" i="56"/>
  <c r="CW72" i="56"/>
  <c r="CW71" i="56"/>
  <c r="CW70" i="56"/>
  <c r="CW69" i="56"/>
  <c r="CW68" i="56"/>
  <c r="CW67" i="56"/>
  <c r="CW66" i="56"/>
  <c r="CW65" i="56"/>
  <c r="CW64" i="56"/>
  <c r="CW63" i="56"/>
  <c r="CW62" i="56"/>
  <c r="CW61" i="56"/>
  <c r="CW60" i="56"/>
  <c r="CW59" i="56"/>
  <c r="CW58" i="56"/>
  <c r="CW57" i="56"/>
  <c r="CW56" i="56"/>
  <c r="CW55" i="56"/>
  <c r="CW54" i="56"/>
  <c r="CW53" i="56"/>
  <c r="CW52" i="56"/>
  <c r="CW51" i="56"/>
  <c r="CW50" i="56"/>
  <c r="CW49" i="56"/>
  <c r="CW48" i="56"/>
  <c r="CW47" i="56"/>
  <c r="CW46" i="56"/>
  <c r="CW45" i="56"/>
  <c r="CW44" i="56"/>
  <c r="CW43" i="56"/>
  <c r="CW42" i="56"/>
  <c r="CW41" i="56"/>
  <c r="CW40" i="56"/>
  <c r="CW39" i="56"/>
  <c r="CW38" i="56"/>
  <c r="CW37" i="56"/>
  <c r="CW36" i="56"/>
  <c r="CW35" i="56"/>
  <c r="CW34" i="56"/>
  <c r="CW33" i="56"/>
  <c r="CW32" i="56"/>
  <c r="CW31" i="56"/>
  <c r="CW30" i="56"/>
  <c r="CW29" i="56"/>
  <c r="CW28" i="56"/>
  <c r="CW27" i="56"/>
  <c r="CW26" i="56"/>
  <c r="CW25" i="56"/>
  <c r="CW24" i="56"/>
  <c r="CW23" i="56"/>
  <c r="CW22" i="56"/>
  <c r="CW21" i="56"/>
  <c r="CW20" i="56"/>
  <c r="CW19" i="56"/>
  <c r="CW18" i="56"/>
  <c r="CW17" i="56"/>
  <c r="CW16" i="56"/>
  <c r="CW15" i="56"/>
  <c r="CW14" i="56"/>
  <c r="CW13" i="56"/>
  <c r="CW12" i="56"/>
  <c r="CW11" i="56"/>
  <c r="CW10" i="56"/>
  <c r="CW9" i="56"/>
  <c r="CW8" i="56"/>
  <c r="CW7" i="56"/>
  <c r="CW6" i="56"/>
  <c r="CW5" i="56"/>
  <c r="CQ124" i="56"/>
  <c r="CQ123" i="56"/>
  <c r="CQ122" i="56"/>
  <c r="CQ121" i="56"/>
  <c r="CQ120" i="56"/>
  <c r="CQ119" i="56"/>
  <c r="CQ118" i="56"/>
  <c r="CQ117" i="56"/>
  <c r="CQ116" i="56"/>
  <c r="CQ115" i="56"/>
  <c r="CQ114" i="56"/>
  <c r="CQ113" i="56"/>
  <c r="CQ112" i="56"/>
  <c r="CQ111" i="56"/>
  <c r="CQ110" i="56"/>
  <c r="CQ109" i="56"/>
  <c r="CQ108" i="56"/>
  <c r="CQ107" i="56"/>
  <c r="CQ106" i="56"/>
  <c r="CQ105" i="56"/>
  <c r="CQ104" i="56"/>
  <c r="CQ103" i="56"/>
  <c r="CQ102" i="56"/>
  <c r="CQ101" i="56"/>
  <c r="CQ100" i="56"/>
  <c r="CQ99" i="56"/>
  <c r="CQ98" i="56"/>
  <c r="CQ97" i="56"/>
  <c r="CQ96" i="56"/>
  <c r="CQ95" i="56"/>
  <c r="CQ94" i="56"/>
  <c r="CQ93" i="56"/>
  <c r="CQ92" i="56"/>
  <c r="CQ91" i="56"/>
  <c r="CQ90" i="56"/>
  <c r="CQ89" i="56"/>
  <c r="CQ88" i="56"/>
  <c r="CQ87" i="56"/>
  <c r="CQ86" i="56"/>
  <c r="CQ85" i="56"/>
  <c r="CQ84" i="56"/>
  <c r="CQ83" i="56"/>
  <c r="CQ82" i="56"/>
  <c r="CQ81" i="56"/>
  <c r="CQ80" i="56"/>
  <c r="CQ79" i="56"/>
  <c r="CQ78" i="56"/>
  <c r="CQ77" i="56"/>
  <c r="CQ76" i="56"/>
  <c r="CQ75" i="56"/>
  <c r="CQ74" i="56"/>
  <c r="CQ73" i="56"/>
  <c r="CQ72" i="56"/>
  <c r="CQ71" i="56"/>
  <c r="CQ70" i="56"/>
  <c r="CQ69" i="56"/>
  <c r="CQ68" i="56"/>
  <c r="CQ67" i="56"/>
  <c r="CQ66" i="56"/>
  <c r="CQ65" i="56"/>
  <c r="CQ64" i="56"/>
  <c r="CQ63" i="56"/>
  <c r="CQ62" i="56"/>
  <c r="CQ61" i="56"/>
  <c r="CQ60" i="56"/>
  <c r="CQ59" i="56"/>
  <c r="CQ58" i="56"/>
  <c r="CQ57" i="56"/>
  <c r="CQ56" i="56"/>
  <c r="CQ55" i="56"/>
  <c r="CQ54" i="56"/>
  <c r="CQ53" i="56"/>
  <c r="CQ52" i="56"/>
  <c r="CQ51" i="56"/>
  <c r="CQ50" i="56"/>
  <c r="CQ49" i="56"/>
  <c r="CQ48" i="56"/>
  <c r="CQ47" i="56"/>
  <c r="CQ46" i="56"/>
  <c r="CQ45" i="56"/>
  <c r="CQ44" i="56"/>
  <c r="CQ43" i="56"/>
  <c r="CQ42" i="56"/>
  <c r="CQ41" i="56"/>
  <c r="CQ40" i="56"/>
  <c r="CQ39" i="56"/>
  <c r="CQ38" i="56"/>
  <c r="CQ37" i="56"/>
  <c r="CQ36" i="56"/>
  <c r="CQ35" i="56"/>
  <c r="CQ34" i="56"/>
  <c r="CQ33" i="56"/>
  <c r="CQ32" i="56"/>
  <c r="CQ31" i="56"/>
  <c r="CQ30" i="56"/>
  <c r="CQ29" i="56"/>
  <c r="CQ28" i="56"/>
  <c r="CQ27" i="56"/>
  <c r="CQ26" i="56"/>
  <c r="CQ25" i="56"/>
  <c r="CQ24" i="56"/>
  <c r="CQ23" i="56"/>
  <c r="CQ22" i="56"/>
  <c r="CQ21" i="56"/>
  <c r="CQ20" i="56"/>
  <c r="CQ19" i="56"/>
  <c r="CQ18" i="56"/>
  <c r="CQ17" i="56"/>
  <c r="CQ16" i="56"/>
  <c r="CQ15" i="56"/>
  <c r="CQ14" i="56"/>
  <c r="CQ13" i="56"/>
  <c r="CQ12" i="56"/>
  <c r="CQ11" i="56"/>
  <c r="CQ10" i="56"/>
  <c r="CQ9" i="56"/>
  <c r="CQ8" i="56"/>
  <c r="CQ7" i="56"/>
  <c r="CQ6" i="56"/>
  <c r="CQ5" i="56"/>
  <c r="CK124" i="56"/>
  <c r="CK123" i="56"/>
  <c r="CK122" i="56"/>
  <c r="CK121" i="56"/>
  <c r="CK120" i="56"/>
  <c r="CK119" i="56"/>
  <c r="CK118" i="56"/>
  <c r="CK117" i="56"/>
  <c r="CK116" i="56"/>
  <c r="CK115" i="56"/>
  <c r="CK114" i="56"/>
  <c r="CK113" i="56"/>
  <c r="CK112" i="56"/>
  <c r="CK111" i="56"/>
  <c r="CK110" i="56"/>
  <c r="CK109" i="56"/>
  <c r="CK108" i="56"/>
  <c r="CK107" i="56"/>
  <c r="CK106" i="56"/>
  <c r="CK105" i="56"/>
  <c r="CK104" i="56"/>
  <c r="CK103" i="56"/>
  <c r="CK102" i="56"/>
  <c r="CK101" i="56"/>
  <c r="CK100" i="56"/>
  <c r="CK99" i="56"/>
  <c r="CK98" i="56"/>
  <c r="CK97" i="56"/>
  <c r="CK96" i="56"/>
  <c r="CK95" i="56"/>
  <c r="CK94" i="56"/>
  <c r="CK93" i="56"/>
  <c r="CK92" i="56"/>
  <c r="CK91" i="56"/>
  <c r="CK90" i="56"/>
  <c r="CK89" i="56"/>
  <c r="CK88" i="56"/>
  <c r="CK87" i="56"/>
  <c r="CK86" i="56"/>
  <c r="CK85" i="56"/>
  <c r="CK84" i="56"/>
  <c r="CK83" i="56"/>
  <c r="CK82" i="56"/>
  <c r="CK81" i="56"/>
  <c r="CK80" i="56"/>
  <c r="CK79" i="56"/>
  <c r="CK78" i="56"/>
  <c r="CK77" i="56"/>
  <c r="CK76" i="56"/>
  <c r="CK75" i="56"/>
  <c r="CK74" i="56"/>
  <c r="CK73" i="56"/>
  <c r="CK72" i="56"/>
  <c r="CK71" i="56"/>
  <c r="CK70" i="56"/>
  <c r="CK69" i="56"/>
  <c r="CK68" i="56"/>
  <c r="CK67" i="56"/>
  <c r="CK66" i="56"/>
  <c r="CK65" i="56"/>
  <c r="CK64" i="56"/>
  <c r="CK63" i="56"/>
  <c r="CK62" i="56"/>
  <c r="CK61" i="56"/>
  <c r="CK60" i="56"/>
  <c r="CK59" i="56"/>
  <c r="CK58" i="56"/>
  <c r="CK57" i="56"/>
  <c r="CK56" i="56"/>
  <c r="CK55" i="56"/>
  <c r="CK54" i="56"/>
  <c r="CK53" i="56"/>
  <c r="CK52" i="56"/>
  <c r="CK51" i="56"/>
  <c r="CK50" i="56"/>
  <c r="CK49" i="56"/>
  <c r="CK48" i="56"/>
  <c r="CK47" i="56"/>
  <c r="CK46" i="56"/>
  <c r="CK45" i="56"/>
  <c r="CK44" i="56"/>
  <c r="CK43" i="56"/>
  <c r="CK42" i="56"/>
  <c r="CK41" i="56"/>
  <c r="CK40" i="56"/>
  <c r="CK39" i="56"/>
  <c r="CK38" i="56"/>
  <c r="CK37" i="56"/>
  <c r="CK36" i="56"/>
  <c r="CK35" i="56"/>
  <c r="CK34" i="56"/>
  <c r="CK33" i="56"/>
  <c r="CK32" i="56"/>
  <c r="CK31" i="56"/>
  <c r="CK30" i="56"/>
  <c r="CK29" i="56"/>
  <c r="CK28" i="56"/>
  <c r="CK27" i="56"/>
  <c r="CK26" i="56"/>
  <c r="CK25" i="56"/>
  <c r="CK24" i="56"/>
  <c r="CK23" i="56"/>
  <c r="CK22" i="56"/>
  <c r="CK21" i="56"/>
  <c r="CK20" i="56"/>
  <c r="CK19" i="56"/>
  <c r="CK18" i="56"/>
  <c r="CK17" i="56"/>
  <c r="CK16" i="56"/>
  <c r="CK15" i="56"/>
  <c r="CK14" i="56"/>
  <c r="CK13" i="56"/>
  <c r="CK12" i="56"/>
  <c r="CK11" i="56"/>
  <c r="CK10" i="56"/>
  <c r="CK9" i="56"/>
  <c r="CK8" i="56"/>
  <c r="CK7" i="56"/>
  <c r="CK6" i="56"/>
  <c r="CK5" i="56"/>
  <c r="CE124" i="56"/>
  <c r="CE123" i="56"/>
  <c r="CE122" i="56"/>
  <c r="CE121" i="56"/>
  <c r="CE120" i="56"/>
  <c r="CE119" i="56"/>
  <c r="CE118" i="56"/>
  <c r="CE117" i="56"/>
  <c r="CE116" i="56"/>
  <c r="CE115" i="56"/>
  <c r="CE114" i="56"/>
  <c r="CE113" i="56"/>
  <c r="CE112" i="56"/>
  <c r="CE111" i="56"/>
  <c r="CE110" i="56"/>
  <c r="CE109" i="56"/>
  <c r="CE108" i="56"/>
  <c r="CE107" i="56"/>
  <c r="CE106" i="56"/>
  <c r="CE105" i="56"/>
  <c r="CE104" i="56"/>
  <c r="CE103" i="56"/>
  <c r="CE102" i="56"/>
  <c r="CE101" i="56"/>
  <c r="CE100" i="56"/>
  <c r="CE99" i="56"/>
  <c r="CE98" i="56"/>
  <c r="CE97" i="56"/>
  <c r="CE96" i="56"/>
  <c r="CE95" i="56"/>
  <c r="CE94" i="56"/>
  <c r="CE93" i="56"/>
  <c r="CE92" i="56"/>
  <c r="CE91" i="56"/>
  <c r="CE90" i="56"/>
  <c r="CE89" i="56"/>
  <c r="CE88" i="56"/>
  <c r="CE87" i="56"/>
  <c r="CE86" i="56"/>
  <c r="CE85" i="56"/>
  <c r="CE84" i="56"/>
  <c r="CE83" i="56"/>
  <c r="CE82" i="56"/>
  <c r="CE81" i="56"/>
  <c r="CE80" i="56"/>
  <c r="CE79" i="56"/>
  <c r="CE78" i="56"/>
  <c r="CE77" i="56"/>
  <c r="CE76" i="56"/>
  <c r="CE75" i="56"/>
  <c r="CE74" i="56"/>
  <c r="CE73" i="56"/>
  <c r="CE72" i="56"/>
  <c r="CE71" i="56"/>
  <c r="CE70" i="56"/>
  <c r="CE69" i="56"/>
  <c r="CE68" i="56"/>
  <c r="CE67" i="56"/>
  <c r="CE66" i="56"/>
  <c r="CE65" i="56"/>
  <c r="CE64" i="56"/>
  <c r="CE63" i="56"/>
  <c r="CE62" i="56"/>
  <c r="CE61" i="56"/>
  <c r="CE60" i="56"/>
  <c r="CE59" i="56"/>
  <c r="CE58" i="56"/>
  <c r="CE57" i="56"/>
  <c r="CE56" i="56"/>
  <c r="CE55" i="56"/>
  <c r="CE54" i="56"/>
  <c r="CE53" i="56"/>
  <c r="CE52" i="56"/>
  <c r="CE51" i="56"/>
  <c r="CE50" i="56"/>
  <c r="CE49" i="56"/>
  <c r="CE48" i="56"/>
  <c r="CE47" i="56"/>
  <c r="CE46" i="56"/>
  <c r="CE45" i="56"/>
  <c r="CE44" i="56"/>
  <c r="CE43" i="56"/>
  <c r="CE42" i="56"/>
  <c r="CE41" i="56"/>
  <c r="CE40" i="56"/>
  <c r="CE39" i="56"/>
  <c r="CE38" i="56"/>
  <c r="CE37" i="56"/>
  <c r="CE36" i="56"/>
  <c r="CE35" i="56"/>
  <c r="CE34" i="56"/>
  <c r="CE33" i="56"/>
  <c r="CE32" i="56"/>
  <c r="CE31" i="56"/>
  <c r="CE30" i="56"/>
  <c r="CE29" i="56"/>
  <c r="CE28" i="56"/>
  <c r="CE27" i="56"/>
  <c r="CE26" i="56"/>
  <c r="CE25" i="56"/>
  <c r="CE24" i="56"/>
  <c r="CE23" i="56"/>
  <c r="CE22" i="56"/>
  <c r="CE21" i="56"/>
  <c r="CE20" i="56"/>
  <c r="CE19" i="56"/>
  <c r="CE18" i="56"/>
  <c r="CE17" i="56"/>
  <c r="CE16" i="56"/>
  <c r="CE15" i="56"/>
  <c r="CE14" i="56"/>
  <c r="CE13" i="56"/>
  <c r="CE12" i="56"/>
  <c r="CE11" i="56"/>
  <c r="CE10" i="56"/>
  <c r="CE9" i="56"/>
  <c r="CE8" i="56"/>
  <c r="CE7" i="56"/>
  <c r="CE6" i="56"/>
  <c r="CE5" i="56"/>
  <c r="BY124" i="56"/>
  <c r="BY123" i="56"/>
  <c r="BY122" i="56"/>
  <c r="BY121" i="56"/>
  <c r="BY120" i="56"/>
  <c r="BY119" i="56"/>
  <c r="BY118" i="56"/>
  <c r="BY117" i="56"/>
  <c r="BY116" i="56"/>
  <c r="BY115" i="56"/>
  <c r="BY114" i="56"/>
  <c r="BY113" i="56"/>
  <c r="BY112" i="56"/>
  <c r="BY111" i="56"/>
  <c r="BY110" i="56"/>
  <c r="BY109" i="56"/>
  <c r="BY108" i="56"/>
  <c r="BY107" i="56"/>
  <c r="BY106" i="56"/>
  <c r="BY105" i="56"/>
  <c r="BY104" i="56"/>
  <c r="BY103" i="56"/>
  <c r="BY102" i="56"/>
  <c r="BY101" i="56"/>
  <c r="BY100" i="56"/>
  <c r="BY99" i="56"/>
  <c r="BY98" i="56"/>
  <c r="BY97" i="56"/>
  <c r="BY96" i="56"/>
  <c r="BY95" i="56"/>
  <c r="BY94" i="56"/>
  <c r="BY93" i="56"/>
  <c r="BY92" i="56"/>
  <c r="BY91" i="56"/>
  <c r="BY90" i="56"/>
  <c r="BY89" i="56"/>
  <c r="BY88" i="56"/>
  <c r="BY87" i="56"/>
  <c r="BY86" i="56"/>
  <c r="BY85" i="56"/>
  <c r="BY84" i="56"/>
  <c r="BY83" i="56"/>
  <c r="BY82" i="56"/>
  <c r="BY81" i="56"/>
  <c r="BY80" i="56"/>
  <c r="BY79" i="56"/>
  <c r="BY78" i="56"/>
  <c r="BY77" i="56"/>
  <c r="BY76" i="56"/>
  <c r="BY75" i="56"/>
  <c r="BY74" i="56"/>
  <c r="BY73" i="56"/>
  <c r="BY72" i="56"/>
  <c r="BY71" i="56"/>
  <c r="BY70" i="56"/>
  <c r="BY69" i="56"/>
  <c r="BY68" i="56"/>
  <c r="BY67" i="56"/>
  <c r="BY66" i="56"/>
  <c r="BY65" i="56"/>
  <c r="BY64" i="56"/>
  <c r="BY63" i="56"/>
  <c r="BY62" i="56"/>
  <c r="BY61" i="56"/>
  <c r="BY60" i="56"/>
  <c r="BY59" i="56"/>
  <c r="BY58" i="56"/>
  <c r="BY57" i="56"/>
  <c r="BY56" i="56"/>
  <c r="BY55" i="56"/>
  <c r="BY54" i="56"/>
  <c r="BY53" i="56"/>
  <c r="BY52" i="56"/>
  <c r="BY51" i="56"/>
  <c r="BY50" i="56"/>
  <c r="BY49" i="56"/>
  <c r="BY48" i="56"/>
  <c r="BY47" i="56"/>
  <c r="BY46" i="56"/>
  <c r="BY45" i="56"/>
  <c r="BY44" i="56"/>
  <c r="BY43" i="56"/>
  <c r="BY42" i="56"/>
  <c r="BY41" i="56"/>
  <c r="BY40" i="56"/>
  <c r="BY39" i="56"/>
  <c r="BY38" i="56"/>
  <c r="BY37" i="56"/>
  <c r="BY36" i="56"/>
  <c r="BY35" i="56"/>
  <c r="BY34" i="56"/>
  <c r="BY33" i="56"/>
  <c r="BY32" i="56"/>
  <c r="BY31" i="56"/>
  <c r="BY30" i="56"/>
  <c r="BY29" i="56"/>
  <c r="BY28" i="56"/>
  <c r="BY27" i="56"/>
  <c r="BY26" i="56"/>
  <c r="BY25" i="56"/>
  <c r="BY24" i="56"/>
  <c r="BY23" i="56"/>
  <c r="BY22" i="56"/>
  <c r="BY21" i="56"/>
  <c r="BY20" i="56"/>
  <c r="BY19" i="56"/>
  <c r="BY18" i="56"/>
  <c r="BY17" i="56"/>
  <c r="BY16" i="56"/>
  <c r="BY15" i="56"/>
  <c r="BY14" i="56"/>
  <c r="BY13" i="56"/>
  <c r="BY12" i="56"/>
  <c r="BY11" i="56"/>
  <c r="BY10" i="56"/>
  <c r="BY9" i="56"/>
  <c r="BY8" i="56"/>
  <c r="BY7" i="56"/>
  <c r="BY6" i="56"/>
  <c r="BY5" i="56"/>
  <c r="BS124" i="56"/>
  <c r="BS123" i="56"/>
  <c r="BS122" i="56"/>
  <c r="BS121" i="56"/>
  <c r="BS120" i="56"/>
  <c r="BS119" i="56"/>
  <c r="BS118" i="56"/>
  <c r="BS117" i="56"/>
  <c r="BS116" i="56"/>
  <c r="BS115" i="56"/>
  <c r="BS114" i="56"/>
  <c r="BS113" i="56"/>
  <c r="BS112" i="56"/>
  <c r="BS111" i="56"/>
  <c r="BS110" i="56"/>
  <c r="BS109" i="56"/>
  <c r="BS108" i="56"/>
  <c r="BS107" i="56"/>
  <c r="BS106" i="56"/>
  <c r="BS105" i="56"/>
  <c r="BS104" i="56"/>
  <c r="BS103" i="56"/>
  <c r="BS102" i="56"/>
  <c r="BS101" i="56"/>
  <c r="BS100" i="56"/>
  <c r="BS99" i="56"/>
  <c r="BS98" i="56"/>
  <c r="BS97" i="56"/>
  <c r="BS96" i="56"/>
  <c r="BS95" i="56"/>
  <c r="BS94" i="56"/>
  <c r="BS93" i="56"/>
  <c r="BS92" i="56"/>
  <c r="BS91" i="56"/>
  <c r="BS90" i="56"/>
  <c r="BS89" i="56"/>
  <c r="BS88" i="56"/>
  <c r="BS87" i="56"/>
  <c r="BS86" i="56"/>
  <c r="BS85" i="56"/>
  <c r="BS84" i="56"/>
  <c r="BS83" i="56"/>
  <c r="BS82" i="56"/>
  <c r="BS81" i="56"/>
  <c r="BS80" i="56"/>
  <c r="BS79" i="56"/>
  <c r="BS78" i="56"/>
  <c r="BS77" i="56"/>
  <c r="BS76" i="56"/>
  <c r="BS75" i="56"/>
  <c r="BS74" i="56"/>
  <c r="BS73" i="56"/>
  <c r="BS72" i="56"/>
  <c r="BS71" i="56"/>
  <c r="BS70" i="56"/>
  <c r="BS69" i="56"/>
  <c r="BS68" i="56"/>
  <c r="BS67" i="56"/>
  <c r="BS66" i="56"/>
  <c r="BS65" i="56"/>
  <c r="BS64" i="56"/>
  <c r="BS63" i="56"/>
  <c r="BS62" i="56"/>
  <c r="BS61" i="56"/>
  <c r="BS60" i="56"/>
  <c r="BS59" i="56"/>
  <c r="BS58" i="56"/>
  <c r="BS57" i="56"/>
  <c r="BS56" i="56"/>
  <c r="BS55" i="56"/>
  <c r="BS54" i="56"/>
  <c r="BS53" i="56"/>
  <c r="BS52" i="56"/>
  <c r="BS51" i="56"/>
  <c r="BS50" i="56"/>
  <c r="BS49" i="56"/>
  <c r="BS48" i="56"/>
  <c r="BS47" i="56"/>
  <c r="BS46" i="56"/>
  <c r="BS45" i="56"/>
  <c r="BS44" i="56"/>
  <c r="BS43" i="56"/>
  <c r="BS42" i="56"/>
  <c r="BS41" i="56"/>
  <c r="BS40" i="56"/>
  <c r="BS39" i="56"/>
  <c r="BS38" i="56"/>
  <c r="BS37" i="56"/>
  <c r="BS36" i="56"/>
  <c r="BS35" i="56"/>
  <c r="BS34" i="56"/>
  <c r="BS33" i="56"/>
  <c r="BS32" i="56"/>
  <c r="BS31" i="56"/>
  <c r="BS30" i="56"/>
  <c r="BS29" i="56"/>
  <c r="BS28" i="56"/>
  <c r="BS27" i="56"/>
  <c r="BS26" i="56"/>
  <c r="BS25" i="56"/>
  <c r="BS24" i="56"/>
  <c r="BS23" i="56"/>
  <c r="BS22" i="56"/>
  <c r="BS21" i="56"/>
  <c r="BS20" i="56"/>
  <c r="BS19" i="56"/>
  <c r="BS18" i="56"/>
  <c r="BS17" i="56"/>
  <c r="BS16" i="56"/>
  <c r="BS15" i="56"/>
  <c r="BS14" i="56"/>
  <c r="BS13" i="56"/>
  <c r="BS12" i="56"/>
  <c r="BS11" i="56"/>
  <c r="BS10" i="56"/>
  <c r="BS9" i="56"/>
  <c r="BS8" i="56"/>
  <c r="BS7" i="56"/>
  <c r="BS6" i="56"/>
  <c r="BS5" i="56"/>
  <c r="BG124" i="56"/>
  <c r="BG123" i="56"/>
  <c r="BG122" i="56"/>
  <c r="BG121" i="56"/>
  <c r="BG120" i="56"/>
  <c r="BG119" i="56"/>
  <c r="BG118" i="56"/>
  <c r="BG117" i="56"/>
  <c r="BG116" i="56"/>
  <c r="BG115" i="56"/>
  <c r="BG114" i="56"/>
  <c r="BG113" i="56"/>
  <c r="BG112" i="56"/>
  <c r="BG111" i="56"/>
  <c r="BG110" i="56"/>
  <c r="BG109" i="56"/>
  <c r="BG108" i="56"/>
  <c r="BG107" i="56"/>
  <c r="BG106" i="56"/>
  <c r="BG105" i="56"/>
  <c r="BG104" i="56"/>
  <c r="BG103" i="56"/>
  <c r="BG102" i="56"/>
  <c r="BG101" i="56"/>
  <c r="BG100" i="56"/>
  <c r="BG99" i="56"/>
  <c r="BG98" i="56"/>
  <c r="BG97" i="56"/>
  <c r="BG96" i="56"/>
  <c r="BG95" i="56"/>
  <c r="BG94" i="56"/>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2"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9" i="56"/>
  <c r="BG28" i="56"/>
  <c r="BG27" i="56"/>
  <c r="BG26" i="56"/>
  <c r="BG25" i="56"/>
  <c r="BG24" i="56"/>
  <c r="BG23" i="56"/>
  <c r="BG22" i="56"/>
  <c r="BG21" i="56"/>
  <c r="BG20" i="56"/>
  <c r="BG19" i="56"/>
  <c r="BG18" i="56"/>
  <c r="BG17" i="56"/>
  <c r="BG16" i="56"/>
  <c r="BG15" i="56"/>
  <c r="BG14" i="56"/>
  <c r="BG13" i="56"/>
  <c r="BG12" i="56"/>
  <c r="BG11" i="56"/>
  <c r="BG10" i="56"/>
  <c r="BG9" i="56"/>
  <c r="BG8" i="56"/>
  <c r="BG7" i="56"/>
  <c r="BG6" i="56"/>
  <c r="BG5" i="56"/>
  <c r="BA124" i="56"/>
  <c r="BA123" i="56"/>
  <c r="BA122" i="56"/>
  <c r="BA121" i="56"/>
  <c r="BA120" i="56"/>
  <c r="BA119" i="56"/>
  <c r="BA118" i="56"/>
  <c r="BA117" i="56"/>
  <c r="BA116" i="56"/>
  <c r="BA115" i="56"/>
  <c r="BA114" i="56"/>
  <c r="BA113" i="56"/>
  <c r="BA112" i="56"/>
  <c r="BA111" i="56"/>
  <c r="BA110" i="56"/>
  <c r="BA109" i="56"/>
  <c r="BA108" i="56"/>
  <c r="BA107" i="56"/>
  <c r="BA106" i="56"/>
  <c r="BA105" i="56"/>
  <c r="BA104" i="56"/>
  <c r="BA103" i="56"/>
  <c r="BA102" i="56"/>
  <c r="BA101" i="56"/>
  <c r="BA100" i="56"/>
  <c r="BA99" i="56"/>
  <c r="BA98" i="56"/>
  <c r="BA97" i="56"/>
  <c r="BA96" i="56"/>
  <c r="BA95" i="56"/>
  <c r="BA94" i="56"/>
  <c r="BA93" i="56"/>
  <c r="BA92" i="56"/>
  <c r="BA91" i="56"/>
  <c r="BA90" i="56"/>
  <c r="BA89" i="56"/>
  <c r="BA88" i="56"/>
  <c r="BA87" i="56"/>
  <c r="BA86" i="56"/>
  <c r="BA85" i="56"/>
  <c r="BA84" i="56"/>
  <c r="BA83" i="56"/>
  <c r="BA82" i="56"/>
  <c r="BA81" i="56"/>
  <c r="BA80" i="56"/>
  <c r="BA79" i="56"/>
  <c r="BA78" i="56"/>
  <c r="BA77" i="56"/>
  <c r="BA76" i="56"/>
  <c r="BA75" i="56"/>
  <c r="BA74" i="56"/>
  <c r="BA73" i="56"/>
  <c r="BA72" i="56"/>
  <c r="BA71" i="56"/>
  <c r="BA70" i="56"/>
  <c r="BA69" i="56"/>
  <c r="BA68" i="56"/>
  <c r="BA67" i="56"/>
  <c r="BA66" i="56"/>
  <c r="BA65" i="56"/>
  <c r="BA64" i="56"/>
  <c r="BA63" i="56"/>
  <c r="BA62" i="56"/>
  <c r="BA61" i="56"/>
  <c r="BA60" i="56"/>
  <c r="BA59" i="56"/>
  <c r="BA58" i="56"/>
  <c r="BA57" i="56"/>
  <c r="BA56" i="56"/>
  <c r="BA55" i="56"/>
  <c r="BA54" i="56"/>
  <c r="BA53" i="56"/>
  <c r="BA52" i="56"/>
  <c r="BA51" i="56"/>
  <c r="BA50" i="56"/>
  <c r="BA49" i="56"/>
  <c r="BA48" i="56"/>
  <c r="BA47" i="56"/>
  <c r="BA46" i="56"/>
  <c r="BA45" i="56"/>
  <c r="BA44" i="56"/>
  <c r="BA43" i="56"/>
  <c r="BA42" i="56"/>
  <c r="BA41" i="56"/>
  <c r="BA40" i="56"/>
  <c r="BA39" i="56"/>
  <c r="BA38" i="56"/>
  <c r="BA37" i="56"/>
  <c r="BA36" i="56"/>
  <c r="BA35" i="56"/>
  <c r="BA34" i="56"/>
  <c r="BA33" i="56"/>
  <c r="BA32" i="56"/>
  <c r="BA31" i="56"/>
  <c r="BA30" i="56"/>
  <c r="BA29" i="56"/>
  <c r="BA28" i="56"/>
  <c r="BA27" i="56"/>
  <c r="BA26" i="56"/>
  <c r="BA25" i="56"/>
  <c r="BA24" i="56"/>
  <c r="BA23" i="56"/>
  <c r="BA22" i="56"/>
  <c r="BA21" i="56"/>
  <c r="BA20" i="56"/>
  <c r="BA19" i="56"/>
  <c r="BA18" i="56"/>
  <c r="BA17" i="56"/>
  <c r="BA16" i="56"/>
  <c r="BA15" i="56"/>
  <c r="BA14" i="56"/>
  <c r="BA13" i="56"/>
  <c r="BA12" i="56"/>
  <c r="BA11" i="56"/>
  <c r="BA10" i="56"/>
  <c r="BA9" i="56"/>
  <c r="BA8" i="56"/>
  <c r="BA7" i="56"/>
  <c r="BA6" i="56"/>
  <c r="BA5" i="56"/>
  <c r="AU124" i="56"/>
  <c r="AU123" i="56"/>
  <c r="AU122" i="56"/>
  <c r="AU121" i="56"/>
  <c r="AU120" i="56"/>
  <c r="AU119" i="56"/>
  <c r="AU118" i="56"/>
  <c r="AU117" i="56"/>
  <c r="AU116" i="56"/>
  <c r="AU115" i="56"/>
  <c r="AU114" i="56"/>
  <c r="AU113" i="56"/>
  <c r="AU112" i="56"/>
  <c r="AU111" i="56"/>
  <c r="AU110" i="56"/>
  <c r="AU109" i="56"/>
  <c r="AU108" i="56"/>
  <c r="AU107" i="56"/>
  <c r="AU106" i="56"/>
  <c r="AU105" i="56"/>
  <c r="AU104" i="56"/>
  <c r="AU103" i="56"/>
  <c r="AU102" i="56"/>
  <c r="AU101" i="56"/>
  <c r="AU100" i="56"/>
  <c r="AU99" i="56"/>
  <c r="AU98" i="56"/>
  <c r="AU97" i="56"/>
  <c r="AU96" i="56"/>
  <c r="AU95" i="56"/>
  <c r="AU94" i="56"/>
  <c r="AU93" i="56"/>
  <c r="AU92" i="56"/>
  <c r="AU91" i="56"/>
  <c r="AU90" i="56"/>
  <c r="AU89" i="56"/>
  <c r="AU88" i="56"/>
  <c r="AU87" i="56"/>
  <c r="AU86" i="56"/>
  <c r="AU85" i="56"/>
  <c r="AU84" i="56"/>
  <c r="AU83" i="56"/>
  <c r="AU82" i="56"/>
  <c r="AU81" i="56"/>
  <c r="AU80" i="56"/>
  <c r="AU79" i="56"/>
  <c r="AU78" i="56"/>
  <c r="AU77" i="56"/>
  <c r="AU76" i="56"/>
  <c r="AU75" i="56"/>
  <c r="AU74" i="56"/>
  <c r="AU73" i="56"/>
  <c r="AU72" i="56"/>
  <c r="AU71" i="56"/>
  <c r="AU70" i="56"/>
  <c r="AU69" i="56"/>
  <c r="AU68" i="56"/>
  <c r="AU67" i="56"/>
  <c r="AU66" i="56"/>
  <c r="AU65" i="56"/>
  <c r="AU64" i="56"/>
  <c r="AU63" i="56"/>
  <c r="AU62" i="56"/>
  <c r="AU61" i="56"/>
  <c r="AU60" i="56"/>
  <c r="AU59" i="56"/>
  <c r="AU58" i="56"/>
  <c r="AU57" i="56"/>
  <c r="AU56" i="56"/>
  <c r="AU55" i="56"/>
  <c r="AU54" i="56"/>
  <c r="AU53" i="56"/>
  <c r="AU52" i="56"/>
  <c r="AU51" i="56"/>
  <c r="AU50" i="56"/>
  <c r="AU49" i="56"/>
  <c r="AU48" i="56"/>
  <c r="AU47" i="56"/>
  <c r="AU46" i="56"/>
  <c r="AU45" i="56"/>
  <c r="AU44" i="56"/>
  <c r="AU43" i="56"/>
  <c r="AU42" i="56"/>
  <c r="AU41" i="56"/>
  <c r="AU40" i="56"/>
  <c r="AU39" i="56"/>
  <c r="AU38" i="56"/>
  <c r="AU37" i="56"/>
  <c r="AU36" i="56"/>
  <c r="AU35" i="56"/>
  <c r="AU34" i="56"/>
  <c r="AU33" i="56"/>
  <c r="AU32" i="56"/>
  <c r="AU31" i="56"/>
  <c r="AU30" i="56"/>
  <c r="AU29" i="56"/>
  <c r="AU28" i="56"/>
  <c r="AU27" i="56"/>
  <c r="AU26" i="56"/>
  <c r="AU25" i="56"/>
  <c r="AU24" i="56"/>
  <c r="AU23" i="56"/>
  <c r="AU22" i="56"/>
  <c r="AU21" i="56"/>
  <c r="AU20" i="56"/>
  <c r="AU19" i="56"/>
  <c r="AU18" i="56"/>
  <c r="AU17" i="56"/>
  <c r="AU16" i="56"/>
  <c r="AU15" i="56"/>
  <c r="AU14" i="56"/>
  <c r="AU13" i="56"/>
  <c r="AU12" i="56"/>
  <c r="AU11" i="56"/>
  <c r="AU10" i="56"/>
  <c r="AU9" i="56"/>
  <c r="AU8" i="56"/>
  <c r="AU7" i="56"/>
  <c r="AU6" i="56"/>
  <c r="AU5" i="56"/>
  <c r="AO124" i="56"/>
  <c r="AO123" i="56"/>
  <c r="AO122" i="56"/>
  <c r="AO121" i="56"/>
  <c r="AO120" i="56"/>
  <c r="AO119" i="56"/>
  <c r="AO118" i="56"/>
  <c r="AO117" i="56"/>
  <c r="AO116" i="56"/>
  <c r="AO115" i="56"/>
  <c r="AO114" i="56"/>
  <c r="AO113" i="56"/>
  <c r="AO112" i="56"/>
  <c r="AO111" i="56"/>
  <c r="AO110" i="56"/>
  <c r="AO109" i="56"/>
  <c r="AO108" i="56"/>
  <c r="AO107" i="56"/>
  <c r="AO106" i="56"/>
  <c r="AO105" i="56"/>
  <c r="AO104" i="56"/>
  <c r="AO103" i="56"/>
  <c r="AO102" i="56"/>
  <c r="AO101" i="56"/>
  <c r="AO100" i="56"/>
  <c r="AO99" i="56"/>
  <c r="AO98" i="56"/>
  <c r="AO97" i="56"/>
  <c r="AO96" i="56"/>
  <c r="AO95" i="56"/>
  <c r="AO94" i="56"/>
  <c r="AO93" i="56"/>
  <c r="AO92" i="56"/>
  <c r="AO91" i="56"/>
  <c r="AO90" i="56"/>
  <c r="AO89" i="56"/>
  <c r="AO88" i="56"/>
  <c r="AO87" i="56"/>
  <c r="AO86" i="56"/>
  <c r="AO85" i="56"/>
  <c r="AO84" i="56"/>
  <c r="AO83" i="56"/>
  <c r="AO82" i="56"/>
  <c r="AO81" i="56"/>
  <c r="AO80" i="56"/>
  <c r="AO79" i="56"/>
  <c r="AO78" i="56"/>
  <c r="AO77" i="56"/>
  <c r="AO76" i="56"/>
  <c r="AO75" i="56"/>
  <c r="AO74" i="56"/>
  <c r="AO73" i="56"/>
  <c r="AO72" i="56"/>
  <c r="AO71" i="56"/>
  <c r="AO70" i="56"/>
  <c r="AO69" i="56"/>
  <c r="AO68" i="56"/>
  <c r="AO67" i="56"/>
  <c r="AO66" i="56"/>
  <c r="AO65" i="56"/>
  <c r="AO64" i="56"/>
  <c r="AO63" i="56"/>
  <c r="AO62" i="56"/>
  <c r="AO61" i="56"/>
  <c r="AO60" i="56"/>
  <c r="AO59" i="56"/>
  <c r="AO58" i="56"/>
  <c r="AO57" i="56"/>
  <c r="AO56" i="56"/>
  <c r="AO55" i="56"/>
  <c r="AO54" i="56"/>
  <c r="AO53" i="56"/>
  <c r="AO52" i="56"/>
  <c r="AO51" i="56"/>
  <c r="AO50" i="56"/>
  <c r="AO49" i="56"/>
  <c r="AO48" i="56"/>
  <c r="AO47" i="56"/>
  <c r="AO46" i="56"/>
  <c r="AO45" i="56"/>
  <c r="AO44" i="56"/>
  <c r="AO43" i="56"/>
  <c r="AO42" i="56"/>
  <c r="AO41" i="56"/>
  <c r="AO40" i="56"/>
  <c r="AO39" i="56"/>
  <c r="AO38" i="56"/>
  <c r="AO37" i="56"/>
  <c r="AO36" i="56"/>
  <c r="AO35" i="56"/>
  <c r="AO34" i="56"/>
  <c r="AO33" i="56"/>
  <c r="AO32" i="56"/>
  <c r="AO31" i="56"/>
  <c r="AO30" i="56"/>
  <c r="AO29" i="56"/>
  <c r="AO28" i="56"/>
  <c r="AO27" i="56"/>
  <c r="AO26" i="56"/>
  <c r="AO25" i="56"/>
  <c r="AO24" i="56"/>
  <c r="AO23" i="56"/>
  <c r="AO22" i="56"/>
  <c r="AO21" i="56"/>
  <c r="AO20" i="56"/>
  <c r="AO19" i="56"/>
  <c r="AO18" i="56"/>
  <c r="AO17" i="56"/>
  <c r="AO16" i="56"/>
  <c r="AO15" i="56"/>
  <c r="AO14" i="56"/>
  <c r="AO13" i="56"/>
  <c r="AO12" i="56"/>
  <c r="AO11" i="56"/>
  <c r="AO10" i="56"/>
  <c r="AO9" i="56"/>
  <c r="AO8" i="56"/>
  <c r="AO7" i="56"/>
  <c r="AO6" i="56"/>
  <c r="AO5" i="56"/>
  <c r="AI124" i="56"/>
  <c r="AI123" i="56"/>
  <c r="AI122" i="56"/>
  <c r="AI121" i="56"/>
  <c r="AI120" i="56"/>
  <c r="AI119" i="56"/>
  <c r="AI118" i="56"/>
  <c r="AI117" i="56"/>
  <c r="AI116" i="56"/>
  <c r="AI115" i="56"/>
  <c r="AI114" i="56"/>
  <c r="AI113" i="56"/>
  <c r="AI112" i="56"/>
  <c r="AI111" i="56"/>
  <c r="AI110" i="56"/>
  <c r="AI109" i="56"/>
  <c r="AI108" i="56"/>
  <c r="AI107" i="56"/>
  <c r="AI106" i="56"/>
  <c r="AI105" i="56"/>
  <c r="AI104" i="56"/>
  <c r="AI103" i="56"/>
  <c r="AI102" i="56"/>
  <c r="AI101" i="56"/>
  <c r="AI100" i="56"/>
  <c r="AI99" i="56"/>
  <c r="AI98" i="56"/>
  <c r="AI97" i="56"/>
  <c r="AI96" i="56"/>
  <c r="AI95" i="56"/>
  <c r="AI94" i="56"/>
  <c r="AI93" i="56"/>
  <c r="AI92" i="56"/>
  <c r="AI91" i="56"/>
  <c r="AI90" i="56"/>
  <c r="AI89" i="56"/>
  <c r="AI88" i="56"/>
  <c r="AI87" i="56"/>
  <c r="AI86" i="56"/>
  <c r="AI85" i="56"/>
  <c r="AI84" i="56"/>
  <c r="AI83" i="56"/>
  <c r="AI82" i="56"/>
  <c r="AI81" i="56"/>
  <c r="AI80" i="56"/>
  <c r="AI79" i="56"/>
  <c r="AI78" i="56"/>
  <c r="AI77" i="56"/>
  <c r="AI76" i="56"/>
  <c r="AI75" i="56"/>
  <c r="AI74" i="56"/>
  <c r="AI73" i="56"/>
  <c r="AI72" i="56"/>
  <c r="AI71" i="56"/>
  <c r="AI70" i="56"/>
  <c r="AI69" i="56"/>
  <c r="AI68" i="56"/>
  <c r="AI67" i="56"/>
  <c r="AI66" i="56"/>
  <c r="AI65" i="56"/>
  <c r="AI64" i="56"/>
  <c r="AI63" i="56"/>
  <c r="AI62" i="56"/>
  <c r="AI61" i="56"/>
  <c r="AI60" i="56"/>
  <c r="AI59" i="56"/>
  <c r="AI58" i="56"/>
  <c r="AI57" i="56"/>
  <c r="AI56" i="56"/>
  <c r="AI55" i="56"/>
  <c r="AI54" i="56"/>
  <c r="AI53" i="56"/>
  <c r="AI52" i="56"/>
  <c r="AI51" i="56"/>
  <c r="AI50" i="56"/>
  <c r="AI49" i="56"/>
  <c r="AI48" i="56"/>
  <c r="AI47" i="56"/>
  <c r="AI46" i="56"/>
  <c r="AI45" i="56"/>
  <c r="AI44" i="56"/>
  <c r="AI43" i="56"/>
  <c r="AI42" i="56"/>
  <c r="AI41" i="56"/>
  <c r="AI40" i="56"/>
  <c r="AI39" i="56"/>
  <c r="AI38" i="56"/>
  <c r="AI37" i="56"/>
  <c r="AI36" i="56"/>
  <c r="AI35" i="56"/>
  <c r="AI34" i="56"/>
  <c r="AI33" i="56"/>
  <c r="AI32" i="56"/>
  <c r="AI31" i="56"/>
  <c r="AI30" i="56"/>
  <c r="AI29" i="56"/>
  <c r="AI28" i="56"/>
  <c r="AI27" i="56"/>
  <c r="AI26" i="56"/>
  <c r="AI25" i="56"/>
  <c r="AI24" i="56"/>
  <c r="AI23" i="56"/>
  <c r="AI22" i="56"/>
  <c r="AI21" i="56"/>
  <c r="AI20" i="56"/>
  <c r="AI19" i="56"/>
  <c r="AI18" i="56"/>
  <c r="AI17" i="56"/>
  <c r="AI16" i="56"/>
  <c r="AI15" i="56"/>
  <c r="AI14" i="56"/>
  <c r="AI13" i="56"/>
  <c r="AI12" i="56"/>
  <c r="AI11" i="56"/>
  <c r="AI10" i="56"/>
  <c r="AI9" i="56"/>
  <c r="AI8" i="56"/>
  <c r="AI7" i="56"/>
  <c r="AI6" i="56"/>
  <c r="AI5" i="56"/>
  <c r="AC124" i="56"/>
  <c r="AC123" i="56"/>
  <c r="AC122" i="56"/>
  <c r="AC121" i="56"/>
  <c r="AC120" i="56"/>
  <c r="AC119" i="56"/>
  <c r="AC118" i="56"/>
  <c r="AC117" i="56"/>
  <c r="AC116" i="56"/>
  <c r="AC115" i="56"/>
  <c r="AC114" i="56"/>
  <c r="AC113" i="56"/>
  <c r="AC112" i="56"/>
  <c r="AC111" i="56"/>
  <c r="AC110" i="56"/>
  <c r="AC109" i="56"/>
  <c r="AC108" i="56"/>
  <c r="AC107" i="56"/>
  <c r="AC106" i="56"/>
  <c r="AC105" i="56"/>
  <c r="AC104" i="56"/>
  <c r="AC103" i="56"/>
  <c r="AC102" i="56"/>
  <c r="AC101" i="56"/>
  <c r="AC100" i="56"/>
  <c r="AC99" i="56"/>
  <c r="AC98" i="56"/>
  <c r="AC97" i="56"/>
  <c r="AC96" i="56"/>
  <c r="AC95" i="56"/>
  <c r="AC94" i="56"/>
  <c r="AC93" i="56"/>
  <c r="AC92" i="56"/>
  <c r="AC91" i="56"/>
  <c r="AC90" i="56"/>
  <c r="AC89" i="56"/>
  <c r="AC88" i="56"/>
  <c r="AC87" i="56"/>
  <c r="AC86" i="56"/>
  <c r="AC85" i="56"/>
  <c r="AC84" i="56"/>
  <c r="AC83" i="56"/>
  <c r="AC82" i="56"/>
  <c r="AC81" i="56"/>
  <c r="AC80" i="56"/>
  <c r="AC79" i="56"/>
  <c r="AC78" i="56"/>
  <c r="AC77" i="56"/>
  <c r="AC76" i="56"/>
  <c r="AC75" i="56"/>
  <c r="AC74" i="56"/>
  <c r="AC73" i="56"/>
  <c r="AC72" i="56"/>
  <c r="AC71" i="56"/>
  <c r="AC70" i="56"/>
  <c r="AC69" i="56"/>
  <c r="AC68" i="56"/>
  <c r="AC67" i="56"/>
  <c r="AC66" i="56"/>
  <c r="AC65" i="56"/>
  <c r="AC64" i="56"/>
  <c r="AC63" i="56"/>
  <c r="AC62" i="56"/>
  <c r="AC61" i="56"/>
  <c r="AC60" i="56"/>
  <c r="AC59" i="56"/>
  <c r="AC58" i="56"/>
  <c r="AC57" i="56"/>
  <c r="AC56" i="56"/>
  <c r="AC55" i="56"/>
  <c r="AC54" i="56"/>
  <c r="AC53" i="56"/>
  <c r="AC52" i="56"/>
  <c r="AC51" i="56"/>
  <c r="AC50" i="56"/>
  <c r="AC49" i="56"/>
  <c r="AC48" i="56"/>
  <c r="AC47" i="56"/>
  <c r="AC46" i="56"/>
  <c r="AC45" i="56"/>
  <c r="AC44" i="56"/>
  <c r="AC43" i="56"/>
  <c r="AC42" i="56"/>
  <c r="AC41" i="56"/>
  <c r="AC40" i="56"/>
  <c r="AC39" i="56"/>
  <c r="AC38" i="56"/>
  <c r="AC37" i="56"/>
  <c r="AC36" i="56"/>
  <c r="AC35" i="56"/>
  <c r="AC34" i="56"/>
  <c r="AC33" i="56"/>
  <c r="AC32" i="56"/>
  <c r="AC31" i="56"/>
  <c r="AC30" i="56"/>
  <c r="AC29" i="56"/>
  <c r="AC28" i="56"/>
  <c r="AC27" i="56"/>
  <c r="AC26" i="56"/>
  <c r="AC25" i="56"/>
  <c r="AC24" i="56"/>
  <c r="AC23" i="56"/>
  <c r="AC22" i="56"/>
  <c r="AC21" i="56"/>
  <c r="AC20" i="56"/>
  <c r="AC19" i="56"/>
  <c r="AC18" i="56"/>
  <c r="AC17" i="56"/>
  <c r="AC16" i="56"/>
  <c r="AC15" i="56"/>
  <c r="AC14" i="56"/>
  <c r="AC13" i="56"/>
  <c r="AC12" i="56"/>
  <c r="AC11" i="56"/>
  <c r="AC10" i="56"/>
  <c r="AC9" i="56"/>
  <c r="AC8" i="56"/>
  <c r="AC7" i="56"/>
  <c r="AC6" i="56"/>
  <c r="AC5" i="56"/>
  <c r="W124" i="56"/>
  <c r="W123" i="56"/>
  <c r="W122" i="56"/>
  <c r="W121" i="56"/>
  <c r="W120" i="56"/>
  <c r="W119" i="56"/>
  <c r="W118" i="56"/>
  <c r="W117" i="56"/>
  <c r="W116" i="56"/>
  <c r="W115" i="56"/>
  <c r="W114" i="56"/>
  <c r="W113" i="56"/>
  <c r="W112" i="56"/>
  <c r="W111" i="56"/>
  <c r="W110" i="56"/>
  <c r="W109" i="56"/>
  <c r="W108" i="56"/>
  <c r="W107" i="56"/>
  <c r="W106" i="56"/>
  <c r="W105" i="56"/>
  <c r="W104" i="56"/>
  <c r="W103" i="56"/>
  <c r="W102" i="56"/>
  <c r="W101" i="56"/>
  <c r="W100" i="56"/>
  <c r="W99" i="56"/>
  <c r="W98" i="56"/>
  <c r="W97" i="56"/>
  <c r="W96" i="56"/>
  <c r="W95" i="56"/>
  <c r="W94" i="56"/>
  <c r="W93" i="56"/>
  <c r="W92" i="56"/>
  <c r="W91" i="56"/>
  <c r="W90" i="56"/>
  <c r="W89" i="56"/>
  <c r="W88" i="56"/>
  <c r="W87" i="56"/>
  <c r="W86" i="56"/>
  <c r="W85" i="56"/>
  <c r="W84" i="56"/>
  <c r="W83" i="56"/>
  <c r="W82" i="56"/>
  <c r="W81" i="56"/>
  <c r="W80" i="56"/>
  <c r="W79" i="56"/>
  <c r="W78" i="56"/>
  <c r="W77" i="56"/>
  <c r="W76" i="56"/>
  <c r="W75" i="56"/>
  <c r="W74" i="56"/>
  <c r="W73" i="56"/>
  <c r="W72" i="56"/>
  <c r="W71" i="56"/>
  <c r="W70" i="56"/>
  <c r="W69" i="56"/>
  <c r="W68" i="56"/>
  <c r="W67" i="56"/>
  <c r="W66" i="56"/>
  <c r="W65" i="56"/>
  <c r="W64" i="56"/>
  <c r="W63" i="56"/>
  <c r="W62" i="56"/>
  <c r="W61" i="56"/>
  <c r="W60" i="56"/>
  <c r="W59" i="56"/>
  <c r="W58" i="56"/>
  <c r="W57" i="56"/>
  <c r="W56" i="56"/>
  <c r="W55" i="56"/>
  <c r="W54" i="56"/>
  <c r="W53" i="56"/>
  <c r="W52" i="56"/>
  <c r="W51" i="56"/>
  <c r="W50" i="56"/>
  <c r="W49" i="56"/>
  <c r="W48" i="56"/>
  <c r="W47" i="56"/>
  <c r="W46" i="56"/>
  <c r="W45" i="56"/>
  <c r="W44" i="56"/>
  <c r="W43" i="56"/>
  <c r="W42" i="56"/>
  <c r="W41" i="56"/>
  <c r="W40" i="56"/>
  <c r="W39" i="56"/>
  <c r="W38" i="56"/>
  <c r="W37" i="56"/>
  <c r="W36" i="56"/>
  <c r="W35" i="56"/>
  <c r="W34" i="56"/>
  <c r="W33" i="56"/>
  <c r="W32" i="56"/>
  <c r="W31" i="56"/>
  <c r="W30" i="56"/>
  <c r="W29" i="56"/>
  <c r="W28" i="56"/>
  <c r="W27" i="56"/>
  <c r="W26" i="56"/>
  <c r="W25" i="56"/>
  <c r="W24" i="56"/>
  <c r="W23" i="56"/>
  <c r="W22" i="56"/>
  <c r="W21" i="56"/>
  <c r="W20" i="56"/>
  <c r="W19" i="56"/>
  <c r="W18" i="56"/>
  <c r="W17" i="56"/>
  <c r="W16" i="56"/>
  <c r="W15" i="56"/>
  <c r="W14" i="56"/>
  <c r="W13" i="56"/>
  <c r="W12" i="56"/>
  <c r="W11" i="56"/>
  <c r="W10" i="56"/>
  <c r="W9" i="56"/>
  <c r="W8" i="56"/>
  <c r="W7" i="56"/>
  <c r="W6" i="56"/>
  <c r="W5" i="56"/>
  <c r="Q124" i="56"/>
  <c r="Q123" i="56"/>
  <c r="Q122" i="56"/>
  <c r="Q121" i="56"/>
  <c r="Q120" i="56"/>
  <c r="Q119" i="56"/>
  <c r="Q118" i="56"/>
  <c r="Q117" i="56"/>
  <c r="Q116" i="56"/>
  <c r="Q115" i="56"/>
  <c r="Q114" i="56"/>
  <c r="Q113" i="56"/>
  <c r="Q112" i="56"/>
  <c r="Q111" i="56"/>
  <c r="Q110" i="56"/>
  <c r="Q109" i="56"/>
  <c r="Q108" i="56"/>
  <c r="Q107" i="56"/>
  <c r="Q106" i="56"/>
  <c r="Q105" i="56"/>
  <c r="Q104" i="56"/>
  <c r="Q103" i="56"/>
  <c r="Q102" i="56"/>
  <c r="Q101" i="56"/>
  <c r="Q100" i="56"/>
  <c r="Q99" i="56"/>
  <c r="Q98" i="56"/>
  <c r="Q97" i="56"/>
  <c r="Q96" i="56"/>
  <c r="Q95" i="56"/>
  <c r="Q94" i="56"/>
  <c r="Q93" i="56"/>
  <c r="Q92" i="56"/>
  <c r="Q91" i="56"/>
  <c r="Q90" i="56"/>
  <c r="Q89" i="56"/>
  <c r="Q88" i="56"/>
  <c r="Q87" i="56"/>
  <c r="Q86" i="56"/>
  <c r="Q85" i="56"/>
  <c r="Q84" i="56"/>
  <c r="Q83" i="56"/>
  <c r="Q82" i="56"/>
  <c r="Q81" i="56"/>
  <c r="Q80" i="56"/>
  <c r="Q79" i="56"/>
  <c r="Q78" i="56"/>
  <c r="Q77" i="56"/>
  <c r="Q76" i="56"/>
  <c r="Q75" i="56"/>
  <c r="Q74" i="56"/>
  <c r="Q73" i="56"/>
  <c r="Q72" i="56"/>
  <c r="Q71" i="56"/>
  <c r="Q70" i="56"/>
  <c r="Q69" i="56"/>
  <c r="Q68" i="56"/>
  <c r="Q67" i="56"/>
  <c r="Q66" i="56"/>
  <c r="Q65" i="56"/>
  <c r="Q64" i="56"/>
  <c r="Q63" i="56"/>
  <c r="Q62" i="56"/>
  <c r="Q61" i="56"/>
  <c r="Q60" i="56"/>
  <c r="Q59" i="56"/>
  <c r="Q58" i="56"/>
  <c r="Q57" i="56"/>
  <c r="Q56" i="56"/>
  <c r="Q55" i="56"/>
  <c r="Q54" i="56"/>
  <c r="Q53" i="56"/>
  <c r="Q52" i="56"/>
  <c r="Q51" i="56"/>
  <c r="Q50" i="56"/>
  <c r="Q49" i="56"/>
  <c r="Q48" i="56"/>
  <c r="Q47" i="56"/>
  <c r="Q46" i="56"/>
  <c r="Q45" i="56"/>
  <c r="Q44" i="56"/>
  <c r="Q43" i="56"/>
  <c r="Q42" i="56"/>
  <c r="Q41" i="56"/>
  <c r="Q40" i="56"/>
  <c r="Q39" i="56"/>
  <c r="Q38" i="56"/>
  <c r="Q37" i="56"/>
  <c r="Q36" i="56"/>
  <c r="Q35" i="56"/>
  <c r="Q34" i="56"/>
  <c r="Q33" i="56"/>
  <c r="Q32" i="56"/>
  <c r="Q31" i="56"/>
  <c r="Q30" i="56"/>
  <c r="Q29" i="56"/>
  <c r="Q28" i="56"/>
  <c r="Q27" i="56"/>
  <c r="Q26" i="56"/>
  <c r="Q25" i="56"/>
  <c r="Q24" i="56"/>
  <c r="Q23" i="56"/>
  <c r="Q22" i="56"/>
  <c r="Q21" i="56"/>
  <c r="Q20" i="56"/>
  <c r="Q19" i="56"/>
  <c r="Q18" i="56"/>
  <c r="Q17" i="56"/>
  <c r="Q16" i="56"/>
  <c r="Q15" i="56"/>
  <c r="Q14" i="56"/>
  <c r="Q13" i="56"/>
  <c r="Q12" i="56"/>
  <c r="Q11" i="56"/>
  <c r="Q10" i="56"/>
  <c r="Q9" i="56"/>
  <c r="Q8" i="56"/>
  <c r="Q7" i="56"/>
  <c r="Q6" i="56"/>
  <c r="Q5" i="56"/>
  <c r="O4" i="57"/>
  <c r="G98" i="40"/>
  <c r="C123" i="40"/>
  <c r="G122" i="40"/>
  <c r="G121" i="40"/>
  <c r="G120" i="40"/>
  <c r="G86" i="40"/>
  <c r="C83" i="40"/>
  <c r="G82" i="40"/>
  <c r="C119" i="40"/>
  <c r="G79" i="40"/>
  <c r="G118" i="40"/>
  <c r="C117" i="40"/>
  <c r="G77" i="40"/>
  <c r="G73" i="40"/>
  <c r="G116" i="40"/>
  <c r="C115" i="40"/>
  <c r="G71" i="40"/>
  <c r="C68" i="40"/>
  <c r="G114" i="40"/>
  <c r="G112" i="40"/>
  <c r="C63" i="40"/>
  <c r="G62" i="40"/>
  <c r="C111" i="40"/>
  <c r="G110" i="40"/>
  <c r="C58" i="40"/>
  <c r="G57" i="40"/>
  <c r="G53" i="40"/>
  <c r="C50" i="40"/>
  <c r="G49" i="40"/>
  <c r="C47" i="40"/>
  <c r="G46" i="40"/>
  <c r="C44" i="40"/>
  <c r="G43" i="40"/>
  <c r="G39" i="40"/>
  <c r="C105" i="40"/>
  <c r="G37" i="40"/>
  <c r="C35" i="40"/>
  <c r="G34" i="40"/>
  <c r="C31" i="40"/>
  <c r="G30" i="40"/>
  <c r="G27" i="40"/>
  <c r="C24" i="40"/>
  <c r="G102" i="40"/>
  <c r="C22" i="40"/>
  <c r="G21" i="40"/>
  <c r="C18" i="40"/>
  <c r="G17" i="40"/>
  <c r="C15" i="40"/>
  <c r="G14" i="40"/>
  <c r="G10" i="40"/>
  <c r="C7" i="40"/>
  <c r="G6" i="40"/>
  <c r="C4" i="40"/>
  <c r="S126" i="85"/>
  <c r="R126" i="85"/>
  <c r="Q126" i="85"/>
  <c r="S125" i="85"/>
  <c r="R125" i="85"/>
  <c r="Q125" i="85"/>
  <c r="S124" i="85"/>
  <c r="R124" i="85"/>
  <c r="Q124" i="85"/>
  <c r="S123" i="85"/>
  <c r="R123" i="85"/>
  <c r="Q123" i="85"/>
  <c r="S122" i="85"/>
  <c r="R122" i="85"/>
  <c r="Q122" i="85"/>
  <c r="S121" i="85"/>
  <c r="R121" i="85"/>
  <c r="Q121" i="85"/>
  <c r="S120" i="85"/>
  <c r="R120" i="85"/>
  <c r="Q120" i="85"/>
  <c r="S119" i="85"/>
  <c r="R119" i="85"/>
  <c r="Q119" i="85"/>
  <c r="S118" i="85"/>
  <c r="R118" i="85"/>
  <c r="Q118" i="85"/>
  <c r="S117" i="85"/>
  <c r="R117" i="85"/>
  <c r="Q117" i="85"/>
  <c r="S116" i="85"/>
  <c r="R116" i="85"/>
  <c r="Q116" i="85"/>
  <c r="S115" i="85"/>
  <c r="R115" i="85"/>
  <c r="Q115" i="85"/>
  <c r="S114" i="85"/>
  <c r="R114" i="85"/>
  <c r="Q114" i="85"/>
  <c r="S113" i="85"/>
  <c r="R113" i="85"/>
  <c r="Q113" i="85"/>
  <c r="S112" i="85"/>
  <c r="R112" i="85"/>
  <c r="Q112" i="85"/>
  <c r="S111" i="85"/>
  <c r="R111" i="85"/>
  <c r="Q111" i="85"/>
  <c r="S110" i="85"/>
  <c r="R110" i="85"/>
  <c r="Q110" i="85"/>
  <c r="S109" i="85"/>
  <c r="R109" i="85"/>
  <c r="Q109" i="85"/>
  <c r="S108" i="85"/>
  <c r="R108" i="85"/>
  <c r="Q108" i="85"/>
  <c r="S107" i="85"/>
  <c r="R107" i="85"/>
  <c r="Q107" i="85"/>
  <c r="S106" i="85"/>
  <c r="R106" i="85"/>
  <c r="Q106" i="85"/>
  <c r="S105" i="85"/>
  <c r="R105" i="85"/>
  <c r="Q105" i="85"/>
  <c r="S104" i="85"/>
  <c r="R104" i="85"/>
  <c r="Q104" i="85"/>
  <c r="S103" i="85"/>
  <c r="R103" i="85"/>
  <c r="Q103" i="85"/>
  <c r="S102" i="85"/>
  <c r="R102" i="85"/>
  <c r="Q102" i="85"/>
  <c r="S101" i="85"/>
  <c r="R101" i="85"/>
  <c r="Q101" i="85"/>
  <c r="S100" i="85"/>
  <c r="R100" i="85"/>
  <c r="Q100" i="85"/>
  <c r="S99" i="85"/>
  <c r="R99" i="85"/>
  <c r="Q99" i="85"/>
  <c r="S98" i="85"/>
  <c r="R98" i="85"/>
  <c r="Q98" i="85"/>
  <c r="S97" i="85"/>
  <c r="R97" i="85"/>
  <c r="Q97" i="85"/>
  <c r="S96" i="85"/>
  <c r="R96" i="85"/>
  <c r="Q96" i="85"/>
  <c r="S95" i="85"/>
  <c r="R95" i="85"/>
  <c r="Q95" i="85"/>
  <c r="S94" i="85"/>
  <c r="R94" i="85"/>
  <c r="Q94" i="85"/>
  <c r="S93" i="85"/>
  <c r="R93" i="85"/>
  <c r="Q93" i="85"/>
  <c r="S92" i="85"/>
  <c r="R92" i="85"/>
  <c r="Q92" i="85"/>
  <c r="S91" i="85"/>
  <c r="R91" i="85"/>
  <c r="Q91" i="85"/>
  <c r="S90" i="85"/>
  <c r="R90" i="85"/>
  <c r="Q90" i="85"/>
  <c r="S89" i="85"/>
  <c r="R89" i="85"/>
  <c r="Q89" i="85"/>
  <c r="S88" i="85"/>
  <c r="R88" i="85"/>
  <c r="Q88" i="85"/>
  <c r="S87" i="85"/>
  <c r="R87" i="85"/>
  <c r="Q87" i="85"/>
  <c r="S86" i="85"/>
  <c r="R86" i="85"/>
  <c r="Q86" i="85"/>
  <c r="S85" i="85"/>
  <c r="R85" i="85"/>
  <c r="Q85" i="85"/>
  <c r="S84" i="85"/>
  <c r="R84" i="85"/>
  <c r="Q84" i="85"/>
  <c r="S83" i="85"/>
  <c r="R83" i="85"/>
  <c r="Q83" i="85"/>
  <c r="S82" i="85"/>
  <c r="R82" i="85"/>
  <c r="Q82" i="85"/>
  <c r="S81" i="85"/>
  <c r="R81" i="85"/>
  <c r="Q81" i="85"/>
  <c r="S80" i="85"/>
  <c r="R80" i="85"/>
  <c r="Q80" i="85"/>
  <c r="S79" i="85"/>
  <c r="R79" i="85"/>
  <c r="Q79" i="85"/>
  <c r="S78" i="85"/>
  <c r="R78" i="85"/>
  <c r="Q78" i="85"/>
  <c r="S77" i="85"/>
  <c r="R77" i="85"/>
  <c r="Q77" i="85"/>
  <c r="S76" i="85"/>
  <c r="R76" i="85"/>
  <c r="Q76" i="85"/>
  <c r="S75" i="85"/>
  <c r="R75" i="85"/>
  <c r="Q75" i="85"/>
  <c r="S74" i="85"/>
  <c r="R74" i="85"/>
  <c r="Q74" i="85"/>
  <c r="S73" i="85"/>
  <c r="R73" i="85"/>
  <c r="Q73" i="85"/>
  <c r="S72" i="85"/>
  <c r="R72" i="85"/>
  <c r="Q72" i="85"/>
  <c r="S71" i="85"/>
  <c r="R71" i="85"/>
  <c r="Q71" i="85"/>
  <c r="S70" i="85"/>
  <c r="R70" i="85"/>
  <c r="Q70" i="85"/>
  <c r="S69" i="85"/>
  <c r="R69" i="85"/>
  <c r="Q69" i="85"/>
  <c r="S68" i="85"/>
  <c r="R68" i="85"/>
  <c r="Q68" i="85"/>
  <c r="S67" i="85"/>
  <c r="R67" i="85"/>
  <c r="Q67" i="85"/>
  <c r="S66" i="85"/>
  <c r="R66" i="85"/>
  <c r="Q66" i="85"/>
  <c r="S65" i="85"/>
  <c r="R65" i="85"/>
  <c r="Q65" i="85"/>
  <c r="S64" i="85"/>
  <c r="R64" i="85"/>
  <c r="Q64" i="85"/>
  <c r="S63" i="85"/>
  <c r="R63" i="85"/>
  <c r="Q63" i="85"/>
  <c r="S62" i="85"/>
  <c r="R62" i="85"/>
  <c r="Q62" i="85"/>
  <c r="S61" i="85"/>
  <c r="R61" i="85"/>
  <c r="Q61" i="85"/>
  <c r="S60" i="85"/>
  <c r="R60" i="85"/>
  <c r="Q60" i="85"/>
  <c r="S59" i="85"/>
  <c r="R59" i="85"/>
  <c r="Q59" i="85"/>
  <c r="S58" i="85"/>
  <c r="R58" i="85"/>
  <c r="Q58" i="85"/>
  <c r="S57" i="85"/>
  <c r="R57" i="85"/>
  <c r="Q57" i="85"/>
  <c r="S56" i="85"/>
  <c r="R56" i="85"/>
  <c r="Q56" i="85"/>
  <c r="S55" i="85"/>
  <c r="R55" i="85"/>
  <c r="Q55" i="85"/>
  <c r="S54" i="85"/>
  <c r="R54" i="85"/>
  <c r="Q54" i="85"/>
  <c r="S53" i="85"/>
  <c r="R53" i="85"/>
  <c r="Q53" i="85"/>
  <c r="S52" i="85"/>
  <c r="R52" i="85"/>
  <c r="Q52" i="85"/>
  <c r="S51" i="85"/>
  <c r="R51" i="85"/>
  <c r="Q51" i="85"/>
  <c r="S50" i="85"/>
  <c r="R50" i="85"/>
  <c r="Q50" i="85"/>
  <c r="S49" i="85"/>
  <c r="R49" i="85"/>
  <c r="Q49" i="85"/>
  <c r="S48" i="85"/>
  <c r="R48" i="85"/>
  <c r="Q48" i="85"/>
  <c r="S47" i="85"/>
  <c r="R47" i="85"/>
  <c r="Q47" i="85"/>
  <c r="S46" i="85"/>
  <c r="R46" i="85"/>
  <c r="Q46" i="85"/>
  <c r="S45" i="85"/>
  <c r="R45" i="85"/>
  <c r="Q45" i="85"/>
  <c r="S44" i="85"/>
  <c r="R44" i="85"/>
  <c r="Q44" i="85"/>
  <c r="S43" i="85"/>
  <c r="R43" i="85"/>
  <c r="Q43" i="85"/>
  <c r="S42" i="85"/>
  <c r="R42" i="85"/>
  <c r="Q42" i="85"/>
  <c r="S41" i="85"/>
  <c r="R41" i="85"/>
  <c r="Q41" i="85"/>
  <c r="S40" i="85"/>
  <c r="R40" i="85"/>
  <c r="Q40" i="85"/>
  <c r="S39" i="85"/>
  <c r="R39" i="85"/>
  <c r="Q39" i="85"/>
  <c r="S38" i="85"/>
  <c r="R38" i="85"/>
  <c r="Q38" i="85"/>
  <c r="S37" i="85"/>
  <c r="R37" i="85"/>
  <c r="Q37" i="85"/>
  <c r="S36" i="85"/>
  <c r="R36" i="85"/>
  <c r="Q36" i="85"/>
  <c r="S35" i="85"/>
  <c r="R35" i="85"/>
  <c r="Q35" i="85"/>
  <c r="S34" i="85"/>
  <c r="R34" i="85"/>
  <c r="Q34" i="85"/>
  <c r="S33" i="85"/>
  <c r="R33" i="85"/>
  <c r="Q33" i="85"/>
  <c r="S32" i="85"/>
  <c r="R32" i="85"/>
  <c r="Q32" i="85"/>
  <c r="S31" i="85"/>
  <c r="R31" i="85"/>
  <c r="Q31" i="85"/>
  <c r="S30" i="85"/>
  <c r="R30" i="85"/>
  <c r="Q30" i="85"/>
  <c r="S29" i="85"/>
  <c r="R29" i="85"/>
  <c r="Q29" i="85"/>
  <c r="S28" i="85"/>
  <c r="R28" i="85"/>
  <c r="Q28" i="85"/>
  <c r="S27" i="85"/>
  <c r="R27" i="85"/>
  <c r="Q27" i="85"/>
  <c r="S26" i="85"/>
  <c r="R26" i="85"/>
  <c r="Q26" i="85"/>
  <c r="S25" i="85"/>
  <c r="R25" i="85"/>
  <c r="Q25" i="85"/>
  <c r="S24" i="85"/>
  <c r="R24" i="85"/>
  <c r="Q24" i="85"/>
  <c r="S23" i="85"/>
  <c r="R23" i="85"/>
  <c r="Q23" i="85"/>
  <c r="S22" i="85"/>
  <c r="R22" i="85"/>
  <c r="Q22" i="85"/>
  <c r="S21" i="85"/>
  <c r="R21" i="85"/>
  <c r="Q21" i="85"/>
  <c r="S20" i="85"/>
  <c r="R20" i="85"/>
  <c r="Q20" i="85"/>
  <c r="S19" i="85"/>
  <c r="R19" i="85"/>
  <c r="Q19" i="85"/>
  <c r="S18" i="85"/>
  <c r="R18" i="85"/>
  <c r="Q18" i="85"/>
  <c r="S17" i="85"/>
  <c r="R17" i="85"/>
  <c r="Q17" i="85"/>
  <c r="S16" i="85"/>
  <c r="R16" i="85"/>
  <c r="Q16" i="85"/>
  <c r="S15" i="85"/>
  <c r="R15" i="85"/>
  <c r="Q15" i="85"/>
  <c r="S14" i="85"/>
  <c r="R14" i="85"/>
  <c r="Q14" i="85"/>
  <c r="S13" i="85"/>
  <c r="R13" i="85"/>
  <c r="Q13" i="85"/>
  <c r="S12" i="85"/>
  <c r="R12" i="85"/>
  <c r="Q12" i="85"/>
  <c r="S11" i="85"/>
  <c r="R11" i="85"/>
  <c r="Q11" i="85"/>
  <c r="S10" i="85"/>
  <c r="R10" i="85"/>
  <c r="Q10" i="85"/>
  <c r="S9" i="85"/>
  <c r="R9" i="85"/>
  <c r="Q9" i="85"/>
  <c r="S8" i="85"/>
  <c r="R8" i="85"/>
  <c r="Q8" i="85"/>
  <c r="S7" i="85"/>
  <c r="R7" i="85"/>
  <c r="Q7" i="85"/>
  <c r="Y126" i="85"/>
  <c r="X126" i="85"/>
  <c r="W126" i="85"/>
  <c r="Y125" i="85"/>
  <c r="X125" i="85"/>
  <c r="W125" i="85"/>
  <c r="Y124" i="85"/>
  <c r="X124" i="85"/>
  <c r="W124" i="85"/>
  <c r="Y123" i="85"/>
  <c r="X123" i="85"/>
  <c r="W123" i="85"/>
  <c r="Y122" i="85"/>
  <c r="X122" i="85"/>
  <c r="W122" i="85"/>
  <c r="Y121" i="85"/>
  <c r="X121" i="85"/>
  <c r="W121" i="85"/>
  <c r="Y120" i="85"/>
  <c r="X120" i="85"/>
  <c r="W120" i="85"/>
  <c r="Y119" i="85"/>
  <c r="X119" i="85"/>
  <c r="W119" i="85"/>
  <c r="Y118" i="85"/>
  <c r="X118" i="85"/>
  <c r="W118" i="85"/>
  <c r="Y117" i="85"/>
  <c r="X117" i="85"/>
  <c r="W117" i="85"/>
  <c r="Y116" i="85"/>
  <c r="X116" i="85"/>
  <c r="W116" i="85"/>
  <c r="Y115" i="85"/>
  <c r="X115" i="85"/>
  <c r="W115" i="85"/>
  <c r="Y114" i="85"/>
  <c r="X114" i="85"/>
  <c r="W114" i="85"/>
  <c r="Y113" i="85"/>
  <c r="X113" i="85"/>
  <c r="W113" i="85"/>
  <c r="Y112" i="85"/>
  <c r="X112" i="85"/>
  <c r="W112" i="85"/>
  <c r="Y111" i="85"/>
  <c r="X111" i="85"/>
  <c r="W111" i="85"/>
  <c r="Y110" i="85"/>
  <c r="X110" i="85"/>
  <c r="W110" i="85"/>
  <c r="Y109" i="85"/>
  <c r="X109" i="85"/>
  <c r="W109" i="85"/>
  <c r="Y108" i="85"/>
  <c r="X108" i="85"/>
  <c r="W108" i="85"/>
  <c r="Y107" i="85"/>
  <c r="X107" i="85"/>
  <c r="W107" i="85"/>
  <c r="Y106" i="85"/>
  <c r="X106" i="85"/>
  <c r="W106" i="85"/>
  <c r="Y105" i="85"/>
  <c r="X105" i="85"/>
  <c r="W105" i="85"/>
  <c r="Y104" i="85"/>
  <c r="X104" i="85"/>
  <c r="W104" i="85"/>
  <c r="Y103" i="85"/>
  <c r="X103" i="85"/>
  <c r="W103" i="85"/>
  <c r="Y102" i="85"/>
  <c r="X102" i="85"/>
  <c r="W102" i="85"/>
  <c r="Y101" i="85"/>
  <c r="X101" i="85"/>
  <c r="W101" i="85"/>
  <c r="Y100" i="85"/>
  <c r="X100" i="85"/>
  <c r="W100" i="85"/>
  <c r="Y99" i="85"/>
  <c r="X99" i="85"/>
  <c r="W99" i="85"/>
  <c r="Y98" i="85"/>
  <c r="X98" i="85"/>
  <c r="W98" i="85"/>
  <c r="Y97" i="85"/>
  <c r="X97" i="85"/>
  <c r="W97" i="85"/>
  <c r="Y96" i="85"/>
  <c r="X96" i="85"/>
  <c r="W96" i="85"/>
  <c r="Y95" i="85"/>
  <c r="X95" i="85"/>
  <c r="W95" i="85"/>
  <c r="Y94" i="85"/>
  <c r="X94" i="85"/>
  <c r="W94" i="85"/>
  <c r="Y93" i="85"/>
  <c r="X93" i="85"/>
  <c r="W93" i="85"/>
  <c r="Y92" i="85"/>
  <c r="X92" i="85"/>
  <c r="W92" i="85"/>
  <c r="Y91" i="85"/>
  <c r="X91" i="85"/>
  <c r="W91" i="85"/>
  <c r="Y90" i="85"/>
  <c r="X90" i="85"/>
  <c r="W90" i="85"/>
  <c r="Y89" i="85"/>
  <c r="X89" i="85"/>
  <c r="W89" i="85"/>
  <c r="Y88" i="85"/>
  <c r="X88" i="85"/>
  <c r="W88" i="85"/>
  <c r="Y87" i="85"/>
  <c r="X87" i="85"/>
  <c r="W87" i="85"/>
  <c r="Y86" i="85"/>
  <c r="X86" i="85"/>
  <c r="W86" i="85"/>
  <c r="Y85" i="85"/>
  <c r="X85" i="85"/>
  <c r="W85" i="85"/>
  <c r="Y84" i="85"/>
  <c r="X84" i="85"/>
  <c r="W84" i="85"/>
  <c r="Y83" i="85"/>
  <c r="X83" i="85"/>
  <c r="W83" i="85"/>
  <c r="Y82" i="85"/>
  <c r="X82" i="85"/>
  <c r="W82" i="85"/>
  <c r="Y81" i="85"/>
  <c r="X81" i="85"/>
  <c r="W81" i="85"/>
  <c r="Y80" i="85"/>
  <c r="X80" i="85"/>
  <c r="W80" i="85"/>
  <c r="Y79" i="85"/>
  <c r="X79" i="85"/>
  <c r="W79" i="85"/>
  <c r="Y78" i="85"/>
  <c r="X78" i="85"/>
  <c r="W78" i="85"/>
  <c r="Y77" i="85"/>
  <c r="X77" i="85"/>
  <c r="W77" i="85"/>
  <c r="Y76" i="85"/>
  <c r="X76" i="85"/>
  <c r="W76" i="85"/>
  <c r="Y75" i="85"/>
  <c r="X75" i="85"/>
  <c r="W75" i="85"/>
  <c r="Y74" i="85"/>
  <c r="X74" i="85"/>
  <c r="W74" i="85"/>
  <c r="Y73" i="85"/>
  <c r="X73" i="85"/>
  <c r="W73" i="85"/>
  <c r="Y72" i="85"/>
  <c r="X72" i="85"/>
  <c r="W72" i="85"/>
  <c r="Y71" i="85"/>
  <c r="X71" i="85"/>
  <c r="W71" i="85"/>
  <c r="Y70" i="85"/>
  <c r="X70" i="85"/>
  <c r="W70" i="85"/>
  <c r="Y69" i="85"/>
  <c r="X69" i="85"/>
  <c r="W69" i="85"/>
  <c r="Y68" i="85"/>
  <c r="X68" i="85"/>
  <c r="W68" i="85"/>
  <c r="Y67" i="85"/>
  <c r="X67" i="85"/>
  <c r="W67" i="85"/>
  <c r="Y66" i="85"/>
  <c r="X66" i="85"/>
  <c r="W66" i="85"/>
  <c r="Y65" i="85"/>
  <c r="X65" i="85"/>
  <c r="W65" i="85"/>
  <c r="Y64" i="85"/>
  <c r="X64" i="85"/>
  <c r="W64" i="85"/>
  <c r="Y63" i="85"/>
  <c r="X63" i="85"/>
  <c r="W63" i="85"/>
  <c r="Y62" i="85"/>
  <c r="X62" i="85"/>
  <c r="W62" i="85"/>
  <c r="Y61" i="85"/>
  <c r="X61" i="85"/>
  <c r="W61" i="85"/>
  <c r="Y60" i="85"/>
  <c r="X60" i="85"/>
  <c r="W60" i="85"/>
  <c r="Y59" i="85"/>
  <c r="X59" i="85"/>
  <c r="W59" i="85"/>
  <c r="Y58" i="85"/>
  <c r="X58" i="85"/>
  <c r="W58" i="85"/>
  <c r="Y57" i="85"/>
  <c r="X57" i="85"/>
  <c r="W57" i="85"/>
  <c r="Y56" i="85"/>
  <c r="X56" i="85"/>
  <c r="W56" i="85"/>
  <c r="Y55" i="85"/>
  <c r="X55" i="85"/>
  <c r="W55" i="85"/>
  <c r="Y54" i="85"/>
  <c r="X54" i="85"/>
  <c r="W54" i="85"/>
  <c r="Y53" i="85"/>
  <c r="X53" i="85"/>
  <c r="W53" i="85"/>
  <c r="Y52" i="85"/>
  <c r="X52" i="85"/>
  <c r="W52" i="85"/>
  <c r="Y51" i="85"/>
  <c r="X51" i="85"/>
  <c r="W51" i="85"/>
  <c r="Y50" i="85"/>
  <c r="X50" i="85"/>
  <c r="W50" i="85"/>
  <c r="Y49" i="85"/>
  <c r="X49" i="85"/>
  <c r="W49" i="85"/>
  <c r="Y48" i="85"/>
  <c r="X48" i="85"/>
  <c r="W48" i="85"/>
  <c r="Y47" i="85"/>
  <c r="X47" i="85"/>
  <c r="W47" i="85"/>
  <c r="Y46" i="85"/>
  <c r="X46" i="85"/>
  <c r="W46" i="85"/>
  <c r="Y45" i="85"/>
  <c r="X45" i="85"/>
  <c r="W45" i="85"/>
  <c r="Y44" i="85"/>
  <c r="X44" i="85"/>
  <c r="W44" i="85"/>
  <c r="Y43" i="85"/>
  <c r="X43" i="85"/>
  <c r="W43" i="85"/>
  <c r="Y42" i="85"/>
  <c r="X42" i="85"/>
  <c r="W42" i="85"/>
  <c r="Y41" i="85"/>
  <c r="X41" i="85"/>
  <c r="W41" i="85"/>
  <c r="Y40" i="85"/>
  <c r="X40" i="85"/>
  <c r="W40" i="85"/>
  <c r="Y39" i="85"/>
  <c r="X39" i="85"/>
  <c r="W39" i="85"/>
  <c r="Y38" i="85"/>
  <c r="X38" i="85"/>
  <c r="W38" i="85"/>
  <c r="Y37" i="85"/>
  <c r="X37" i="85"/>
  <c r="W37" i="85"/>
  <c r="Y36" i="85"/>
  <c r="X36" i="85"/>
  <c r="W36" i="85"/>
  <c r="Y35" i="85"/>
  <c r="X35" i="85"/>
  <c r="W35" i="85"/>
  <c r="Y34" i="85"/>
  <c r="X34" i="85"/>
  <c r="W34" i="85"/>
  <c r="Y33" i="85"/>
  <c r="X33" i="85"/>
  <c r="W33" i="85"/>
  <c r="Y32" i="85"/>
  <c r="X32" i="85"/>
  <c r="W32" i="85"/>
  <c r="Y31" i="85"/>
  <c r="X31" i="85"/>
  <c r="W31" i="85"/>
  <c r="Y30" i="85"/>
  <c r="X30" i="85"/>
  <c r="W30" i="85"/>
  <c r="Y29" i="85"/>
  <c r="X29" i="85"/>
  <c r="W29" i="85"/>
  <c r="Y28" i="85"/>
  <c r="X28" i="85"/>
  <c r="W28" i="85"/>
  <c r="Y27" i="85"/>
  <c r="X27" i="85"/>
  <c r="W27" i="85"/>
  <c r="Y26" i="85"/>
  <c r="X26" i="85"/>
  <c r="W26" i="85"/>
  <c r="Y25" i="85"/>
  <c r="X25" i="85"/>
  <c r="W25" i="85"/>
  <c r="Y24" i="85"/>
  <c r="X24" i="85"/>
  <c r="W24" i="85"/>
  <c r="Y23" i="85"/>
  <c r="X23" i="85"/>
  <c r="W23" i="85"/>
  <c r="Y22" i="85"/>
  <c r="X22" i="85"/>
  <c r="W22" i="85"/>
  <c r="Y21" i="85"/>
  <c r="X21" i="85"/>
  <c r="W21" i="85"/>
  <c r="Y20" i="85"/>
  <c r="X20" i="85"/>
  <c r="W20" i="85"/>
  <c r="Y19" i="85"/>
  <c r="X19" i="85"/>
  <c r="W19" i="85"/>
  <c r="Y18" i="85"/>
  <c r="X18" i="85"/>
  <c r="W18" i="85"/>
  <c r="Y17" i="85"/>
  <c r="X17" i="85"/>
  <c r="W17" i="85"/>
  <c r="Y16" i="85"/>
  <c r="X16" i="85"/>
  <c r="W16" i="85"/>
  <c r="Y15" i="85"/>
  <c r="X15" i="85"/>
  <c r="W15" i="85"/>
  <c r="Y14" i="85"/>
  <c r="X14" i="85"/>
  <c r="W14" i="85"/>
  <c r="Y13" i="85"/>
  <c r="X13" i="85"/>
  <c r="W13" i="85"/>
  <c r="Y12" i="85"/>
  <c r="X12" i="85"/>
  <c r="W12" i="85"/>
  <c r="Y11" i="85"/>
  <c r="X11" i="85"/>
  <c r="W11" i="85"/>
  <c r="Y10" i="85"/>
  <c r="X10" i="85"/>
  <c r="W10" i="85"/>
  <c r="Y9" i="85"/>
  <c r="X9" i="85"/>
  <c r="W9" i="85"/>
  <c r="Y8" i="85"/>
  <c r="X8" i="85"/>
  <c r="W8" i="85"/>
  <c r="Y7" i="85"/>
  <c r="X7" i="85"/>
  <c r="W7" i="85"/>
  <c r="H4" i="89"/>
  <c r="G4" i="89"/>
  <c r="F4" i="89"/>
  <c r="E4" i="89"/>
  <c r="D4" i="89"/>
  <c r="L4" i="32"/>
  <c r="I4" i="32"/>
  <c r="L4" i="31"/>
  <c r="K4" i="31"/>
  <c r="J4" i="31"/>
  <c r="I4" i="31"/>
  <c r="H4" i="31"/>
  <c r="AM101" i="97"/>
  <c r="AL101" i="97"/>
  <c r="AP101" i="97"/>
  <c r="AO101" i="97"/>
  <c r="AN101" i="97"/>
  <c r="AK101" i="97"/>
  <c r="AI101" i="97"/>
  <c r="AH101" i="97"/>
  <c r="AJ101" i="97"/>
  <c r="AJ100" i="97"/>
  <c r="AI100" i="97"/>
  <c r="AP100" i="97"/>
  <c r="AN100" i="97"/>
  <c r="AM100" i="97"/>
  <c r="AL100" i="97"/>
  <c r="AN99" i="97"/>
  <c r="AK99" i="97"/>
  <c r="AH99" i="97"/>
  <c r="AO126" i="97"/>
  <c r="AN126" i="97"/>
  <c r="AL126" i="97"/>
  <c r="AK126" i="97"/>
  <c r="AH126" i="97"/>
  <c r="AI126" i="97"/>
  <c r="AP125" i="97"/>
  <c r="AO125" i="97"/>
  <c r="AM125" i="97"/>
  <c r="AI125" i="97"/>
  <c r="AH125" i="97"/>
  <c r="AJ125" i="97"/>
  <c r="AP98" i="97"/>
  <c r="AN98" i="97"/>
  <c r="AM98" i="97"/>
  <c r="AJ98" i="97"/>
  <c r="AI98" i="97"/>
  <c r="AH98" i="97"/>
  <c r="AP97" i="97"/>
  <c r="AK97" i="97"/>
  <c r="AO97" i="97"/>
  <c r="AN97" i="97"/>
  <c r="AM97" i="97"/>
  <c r="AL97" i="97"/>
  <c r="AH97" i="97"/>
  <c r="AJ97" i="97"/>
  <c r="AI97" i="97"/>
  <c r="AM96" i="97"/>
  <c r="AL96" i="97"/>
  <c r="AP96" i="97"/>
  <c r="AO96" i="97"/>
  <c r="AN96" i="97"/>
  <c r="AK96" i="97"/>
  <c r="AI96" i="97"/>
  <c r="AH96" i="97"/>
  <c r="AJ96" i="97"/>
  <c r="AJ124" i="97"/>
  <c r="AP124" i="97"/>
  <c r="AO124" i="97"/>
  <c r="AN124" i="97"/>
  <c r="AM124" i="97"/>
  <c r="AI124" i="97"/>
  <c r="AK95" i="97"/>
  <c r="AO95" i="97"/>
  <c r="AN95" i="97"/>
  <c r="AJ95" i="97"/>
  <c r="AH95" i="97"/>
  <c r="AO94" i="97"/>
  <c r="AL94" i="97"/>
  <c r="AP94" i="97"/>
  <c r="AN94" i="97"/>
  <c r="AK94" i="97"/>
  <c r="AH94" i="97"/>
  <c r="AI94" i="97"/>
  <c r="AP93" i="97"/>
  <c r="AO93" i="97"/>
  <c r="AM93" i="97"/>
  <c r="AI93" i="97"/>
  <c r="AH93" i="97"/>
  <c r="AJ93" i="97"/>
  <c r="AN123" i="97"/>
  <c r="AM123" i="97"/>
  <c r="AP123" i="97"/>
  <c r="AO123" i="97"/>
  <c r="AK123" i="97"/>
  <c r="AJ123" i="97"/>
  <c r="AI123" i="97"/>
  <c r="AH123" i="97"/>
  <c r="AP92" i="97"/>
  <c r="AO92" i="97"/>
  <c r="AN92" i="97"/>
  <c r="AK92" i="97"/>
  <c r="AL92" i="97"/>
  <c r="AH92" i="97"/>
  <c r="AJ92" i="97"/>
  <c r="AI92" i="97"/>
  <c r="AM91" i="97"/>
  <c r="AL91" i="97"/>
  <c r="AP91" i="97"/>
  <c r="AO91" i="97"/>
  <c r="AN91" i="97"/>
  <c r="AK91" i="97"/>
  <c r="AI91" i="97"/>
  <c r="AH91" i="97"/>
  <c r="AJ91" i="97"/>
  <c r="AJ90" i="97"/>
  <c r="AI90" i="97"/>
  <c r="AP90" i="97"/>
  <c r="AN90" i="97"/>
  <c r="AM90" i="97"/>
  <c r="AL90" i="97"/>
  <c r="AN89" i="97"/>
  <c r="AK89" i="97"/>
  <c r="AH89" i="97"/>
  <c r="AO88" i="97"/>
  <c r="AN88" i="97"/>
  <c r="AL88" i="97"/>
  <c r="AK88" i="97"/>
  <c r="AH88" i="97"/>
  <c r="AI88" i="97"/>
  <c r="AP87" i="97"/>
  <c r="AO87" i="97"/>
  <c r="AM87" i="97"/>
  <c r="AI87" i="97"/>
  <c r="AH87" i="97"/>
  <c r="AJ87" i="97"/>
  <c r="AJ86" i="97"/>
  <c r="AP86" i="97"/>
  <c r="AO86" i="97"/>
  <c r="AN86" i="97"/>
  <c r="AL86" i="97"/>
  <c r="AK86" i="97"/>
  <c r="AI86" i="97"/>
  <c r="AH86" i="97"/>
  <c r="AP85" i="97"/>
  <c r="AK85" i="97"/>
  <c r="AO85" i="97"/>
  <c r="AN85" i="97"/>
  <c r="AM85" i="97"/>
  <c r="AL85" i="97"/>
  <c r="AH85" i="97"/>
  <c r="AJ85" i="97"/>
  <c r="AI85" i="97"/>
  <c r="AM84" i="97"/>
  <c r="AL84" i="97"/>
  <c r="AP84" i="97"/>
  <c r="AO84" i="97"/>
  <c r="AN84" i="97"/>
  <c r="AK84" i="97"/>
  <c r="AI84" i="97"/>
  <c r="AH84" i="97"/>
  <c r="AJ84" i="97"/>
  <c r="AJ83" i="97"/>
  <c r="AP83" i="97"/>
  <c r="AN83" i="97"/>
  <c r="AM83" i="97"/>
  <c r="AI83" i="97"/>
  <c r="AK122" i="97"/>
  <c r="AO122" i="97"/>
  <c r="AN122" i="97"/>
  <c r="AJ122" i="97"/>
  <c r="AH122" i="97"/>
  <c r="AO82" i="97"/>
  <c r="AL82" i="97"/>
  <c r="AP82" i="97"/>
  <c r="AN82" i="97"/>
  <c r="AK82" i="97"/>
  <c r="AH82" i="97"/>
  <c r="AI82" i="97"/>
  <c r="AP121" i="97"/>
  <c r="AO121" i="97"/>
  <c r="AM121" i="97"/>
  <c r="AI121" i="97"/>
  <c r="AH121" i="97"/>
  <c r="AJ121" i="97"/>
  <c r="AN81" i="97"/>
  <c r="AM81" i="97"/>
  <c r="AP81" i="97"/>
  <c r="AO81" i="97"/>
  <c r="AK81" i="97"/>
  <c r="AJ81" i="97"/>
  <c r="AI81" i="97"/>
  <c r="AH81" i="97"/>
  <c r="AO120" i="97"/>
  <c r="AJ120" i="97"/>
  <c r="AP120" i="97"/>
  <c r="AN120" i="97"/>
  <c r="AL120" i="97"/>
  <c r="AK120" i="97"/>
  <c r="AI120" i="97"/>
  <c r="AH120" i="97"/>
  <c r="AP80" i="97"/>
  <c r="AO80" i="97"/>
  <c r="AN80" i="97"/>
  <c r="AK80" i="97"/>
  <c r="AL80" i="97"/>
  <c r="AH80" i="97"/>
  <c r="AJ80" i="97"/>
  <c r="AI80" i="97"/>
  <c r="AM79" i="97"/>
  <c r="AL79" i="97"/>
  <c r="AP79" i="97"/>
  <c r="AO79" i="97"/>
  <c r="AN79" i="97"/>
  <c r="AK79" i="97"/>
  <c r="AI79" i="97"/>
  <c r="AH79" i="97"/>
  <c r="AJ79" i="97"/>
  <c r="AJ78" i="97"/>
  <c r="AI78" i="97"/>
  <c r="AP78" i="97"/>
  <c r="AN78" i="97"/>
  <c r="AM78" i="97"/>
  <c r="AL78" i="97"/>
  <c r="AN77" i="97"/>
  <c r="AK77" i="97"/>
  <c r="AM77" i="97"/>
  <c r="AH77" i="97"/>
  <c r="AO76" i="97"/>
  <c r="AN76" i="97"/>
  <c r="AL76" i="97"/>
  <c r="AK76" i="97"/>
  <c r="AH76" i="97"/>
  <c r="AI76" i="97"/>
  <c r="AP119" i="97"/>
  <c r="AO119" i="97"/>
  <c r="AL119" i="97"/>
  <c r="AI119" i="97"/>
  <c r="AH119" i="97"/>
  <c r="AJ119" i="97"/>
  <c r="AO75" i="97"/>
  <c r="AN75" i="97"/>
  <c r="AK75" i="97"/>
  <c r="AJ75" i="97"/>
  <c r="AI75" i="97"/>
  <c r="AH75" i="97"/>
  <c r="AP118" i="97"/>
  <c r="AK118" i="97"/>
  <c r="AO118" i="97"/>
  <c r="AN118" i="97"/>
  <c r="AM118" i="97"/>
  <c r="AL118" i="97"/>
  <c r="AH118" i="97"/>
  <c r="AJ118" i="97"/>
  <c r="AI118" i="97"/>
  <c r="AM74" i="97"/>
  <c r="AL74" i="97"/>
  <c r="AP74" i="97"/>
  <c r="AO74" i="97"/>
  <c r="AN74" i="97"/>
  <c r="AK74" i="97"/>
  <c r="AI74" i="97"/>
  <c r="AH74" i="97"/>
  <c r="AJ74" i="97"/>
  <c r="AJ73" i="97"/>
  <c r="AP73" i="97"/>
  <c r="AM73" i="97"/>
  <c r="AI73" i="97"/>
  <c r="AK72" i="97"/>
  <c r="AO72" i="97"/>
  <c r="AN72" i="97"/>
  <c r="AJ72" i="97"/>
  <c r="AH72" i="97"/>
  <c r="AO71" i="97"/>
  <c r="AL71" i="97"/>
  <c r="AP71" i="97"/>
  <c r="AN71" i="97"/>
  <c r="AK71" i="97"/>
  <c r="AH71" i="97"/>
  <c r="AI71" i="97"/>
  <c r="AP117" i="97"/>
  <c r="AO117" i="97"/>
  <c r="AM117" i="97"/>
  <c r="AI117" i="97"/>
  <c r="AH117" i="97"/>
  <c r="AJ117" i="97"/>
  <c r="AN70" i="97"/>
  <c r="AM70" i="97"/>
  <c r="AP70" i="97"/>
  <c r="AO70" i="97"/>
  <c r="AK70" i="97"/>
  <c r="AJ70" i="97"/>
  <c r="AI70" i="97"/>
  <c r="AH70" i="97"/>
  <c r="AO69" i="97"/>
  <c r="AJ69" i="97"/>
  <c r="AP69" i="97"/>
  <c r="AN69" i="97"/>
  <c r="AL69" i="97"/>
  <c r="AK69" i="97"/>
  <c r="AI69" i="97"/>
  <c r="AH69" i="97"/>
  <c r="AP116" i="97"/>
  <c r="AO116" i="97"/>
  <c r="AN116" i="97"/>
  <c r="AK116" i="97"/>
  <c r="AL116" i="97"/>
  <c r="AH116" i="97"/>
  <c r="AJ116" i="97"/>
  <c r="AI116" i="97"/>
  <c r="AM115" i="97"/>
  <c r="AL115" i="97"/>
  <c r="AP115" i="97"/>
  <c r="AO115" i="97"/>
  <c r="AN115" i="97"/>
  <c r="AK115" i="97"/>
  <c r="AI115" i="97"/>
  <c r="AH115" i="97"/>
  <c r="AJ115" i="97"/>
  <c r="AJ68" i="97"/>
  <c r="AI68" i="97"/>
  <c r="AP68" i="97"/>
  <c r="AN68" i="97"/>
  <c r="AM68" i="97"/>
  <c r="AL68" i="97"/>
  <c r="AN67" i="97"/>
  <c r="AK67" i="97"/>
  <c r="AM67" i="97"/>
  <c r="AH67" i="97"/>
  <c r="AO66" i="97"/>
  <c r="AN66" i="97"/>
  <c r="AL66" i="97"/>
  <c r="AK66" i="97"/>
  <c r="AH66" i="97"/>
  <c r="AI66" i="97"/>
  <c r="AP65" i="97"/>
  <c r="AO65" i="97"/>
  <c r="AM65" i="97"/>
  <c r="AL65" i="97"/>
  <c r="AI65" i="97"/>
  <c r="AH65" i="97"/>
  <c r="AJ65" i="97"/>
  <c r="AP64" i="97"/>
  <c r="AO64" i="97"/>
  <c r="AN64" i="97"/>
  <c r="AM64" i="97"/>
  <c r="AK64" i="97"/>
  <c r="AJ64" i="97"/>
  <c r="AI64" i="97"/>
  <c r="AH64" i="97"/>
  <c r="AP63" i="97"/>
  <c r="AO63" i="97"/>
  <c r="AN63" i="97"/>
  <c r="AK63" i="97"/>
  <c r="AJ63" i="97"/>
  <c r="AI63" i="97"/>
  <c r="AH63" i="97"/>
  <c r="AM114" i="97"/>
  <c r="AL114" i="97"/>
  <c r="AP114" i="97"/>
  <c r="AO114" i="97"/>
  <c r="AN114" i="97"/>
  <c r="AK114" i="97"/>
  <c r="AI114" i="97"/>
  <c r="AH114" i="97"/>
  <c r="AJ114" i="97"/>
  <c r="AJ113" i="97"/>
  <c r="AP113" i="97"/>
  <c r="AN113" i="97"/>
  <c r="AM113" i="97"/>
  <c r="AI113" i="97"/>
  <c r="AK62" i="97"/>
  <c r="AO62" i="97"/>
  <c r="AN62" i="97"/>
  <c r="AJ62" i="97"/>
  <c r="AH62" i="97"/>
  <c r="AO112" i="97"/>
  <c r="AL112" i="97"/>
  <c r="AP112" i="97"/>
  <c r="AN112" i="97"/>
  <c r="AK112" i="97"/>
  <c r="AH112" i="97"/>
  <c r="AI112" i="97"/>
  <c r="AP61" i="97"/>
  <c r="AO61" i="97"/>
  <c r="AM61" i="97"/>
  <c r="AI61" i="97"/>
  <c r="AH61" i="97"/>
  <c r="AJ61" i="97"/>
  <c r="AN60" i="97"/>
  <c r="AM60" i="97"/>
  <c r="AP60" i="97"/>
  <c r="AO60" i="97"/>
  <c r="AK60" i="97"/>
  <c r="AJ60" i="97"/>
  <c r="AI60" i="97"/>
  <c r="AH60" i="97"/>
  <c r="AO59" i="97"/>
  <c r="AJ59" i="97"/>
  <c r="AP59" i="97"/>
  <c r="AN59" i="97"/>
  <c r="AL59" i="97"/>
  <c r="AK59" i="97"/>
  <c r="AI59" i="97"/>
  <c r="AH59" i="97"/>
  <c r="AM58" i="97"/>
  <c r="AL58" i="97"/>
  <c r="AP58" i="97"/>
  <c r="AO58" i="97"/>
  <c r="AN58" i="97"/>
  <c r="AK58" i="97"/>
  <c r="AI58" i="97"/>
  <c r="AH58" i="97"/>
  <c r="AJ58" i="97"/>
  <c r="AJ57" i="97"/>
  <c r="AI57" i="97"/>
  <c r="AP57" i="97"/>
  <c r="AN57" i="97"/>
  <c r="AM57" i="97"/>
  <c r="AL57" i="97"/>
  <c r="AN56" i="97"/>
  <c r="AK56" i="97"/>
  <c r="AH56" i="97"/>
  <c r="AN55" i="97"/>
  <c r="AH55" i="97"/>
  <c r="AO54" i="97"/>
  <c r="AN54" i="97"/>
  <c r="AJ54" i="97"/>
  <c r="AI54" i="97"/>
  <c r="AH54" i="97"/>
  <c r="AP53" i="97"/>
  <c r="AO53" i="97"/>
  <c r="AN53" i="97"/>
  <c r="AK53" i="97"/>
  <c r="AH53" i="97"/>
  <c r="AI53" i="97"/>
  <c r="AI52" i="97"/>
  <c r="AP52" i="97"/>
  <c r="AO52" i="97"/>
  <c r="AL52" i="97"/>
  <c r="AM52" i="97"/>
  <c r="AH52" i="97"/>
  <c r="AJ52" i="97"/>
  <c r="AN111" i="97"/>
  <c r="AI111" i="97"/>
  <c r="AP111" i="97"/>
  <c r="AO111" i="97"/>
  <c r="AM111" i="97"/>
  <c r="AL111" i="97"/>
  <c r="AK111" i="97"/>
  <c r="AJ111" i="97"/>
  <c r="AH111" i="97"/>
  <c r="AK51" i="97"/>
  <c r="AJ51" i="97"/>
  <c r="AP51" i="97"/>
  <c r="AO51" i="97"/>
  <c r="AN51" i="97"/>
  <c r="AM51" i="97"/>
  <c r="AL51" i="97"/>
  <c r="AI51" i="97"/>
  <c r="AH51" i="97"/>
  <c r="AL50" i="97"/>
  <c r="AK50" i="97"/>
  <c r="AP50" i="97"/>
  <c r="AO50" i="97"/>
  <c r="AN50" i="97"/>
  <c r="AM50" i="97"/>
  <c r="AH50" i="97"/>
  <c r="AJ50" i="97"/>
  <c r="AI50" i="97"/>
  <c r="AP49" i="97"/>
  <c r="AO49" i="97"/>
  <c r="AN49" i="97"/>
  <c r="AM49" i="97"/>
  <c r="AL49" i="97"/>
  <c r="AI49" i="97"/>
  <c r="AH49" i="97"/>
  <c r="AJ49" i="97"/>
  <c r="AO48" i="97"/>
  <c r="AN48" i="97"/>
  <c r="AK48" i="97"/>
  <c r="AJ48" i="97"/>
  <c r="AI48" i="97"/>
  <c r="AH48" i="97"/>
  <c r="AP110" i="97"/>
  <c r="AO110" i="97"/>
  <c r="AN110" i="97"/>
  <c r="AL110" i="97"/>
  <c r="AH110" i="97"/>
  <c r="AJ110" i="97"/>
  <c r="AI110" i="97"/>
  <c r="AP47" i="97"/>
  <c r="AO47" i="97"/>
  <c r="AN47" i="97"/>
  <c r="AL47" i="97"/>
  <c r="AM47" i="97"/>
  <c r="AI47" i="97"/>
  <c r="AH47" i="97"/>
  <c r="AJ47" i="97"/>
  <c r="AN46" i="97"/>
  <c r="AI46" i="97"/>
  <c r="AP46" i="97"/>
  <c r="AO46" i="97"/>
  <c r="AM46" i="97"/>
  <c r="AL46" i="97"/>
  <c r="AK46" i="97"/>
  <c r="AJ46" i="97"/>
  <c r="AH46" i="97"/>
  <c r="AK45" i="97"/>
  <c r="AJ45" i="97"/>
  <c r="AP45" i="97"/>
  <c r="AO45" i="97"/>
  <c r="AN45" i="97"/>
  <c r="AM45" i="97"/>
  <c r="AL45" i="97"/>
  <c r="AI45" i="97"/>
  <c r="AH45" i="97"/>
  <c r="AL44" i="97"/>
  <c r="AK44" i="97"/>
  <c r="AP44" i="97"/>
  <c r="AO44" i="97"/>
  <c r="AN44" i="97"/>
  <c r="AM44" i="97"/>
  <c r="AH44" i="97"/>
  <c r="AJ44" i="97"/>
  <c r="AI44" i="97"/>
  <c r="AP43" i="97"/>
  <c r="AM43" i="97"/>
  <c r="AO43" i="97"/>
  <c r="AN43" i="97"/>
  <c r="AL43" i="97"/>
  <c r="AK43" i="97"/>
  <c r="AS43" i="97" s="1"/>
  <c r="BA43" i="97" s="1"/>
  <c r="AI43" i="97"/>
  <c r="AH43" i="97"/>
  <c r="AJ43" i="97"/>
  <c r="AJ42" i="97"/>
  <c r="AP42" i="97"/>
  <c r="AM42" i="97"/>
  <c r="AH42" i="97"/>
  <c r="AO41" i="97"/>
  <c r="AN41" i="97"/>
  <c r="AJ41" i="97"/>
  <c r="AI41" i="97"/>
  <c r="AH41" i="97"/>
  <c r="AP109" i="97"/>
  <c r="AO109" i="97"/>
  <c r="AN109" i="97"/>
  <c r="AL109" i="97"/>
  <c r="AK109" i="97"/>
  <c r="AH109" i="97"/>
  <c r="AI109" i="97"/>
  <c r="AP108" i="97"/>
  <c r="AO108" i="97"/>
  <c r="AM108" i="97"/>
  <c r="AL108" i="97"/>
  <c r="AI108" i="97"/>
  <c r="AH108" i="97"/>
  <c r="AJ108" i="97"/>
  <c r="AP40" i="97"/>
  <c r="AN40" i="97"/>
  <c r="AM40" i="97"/>
  <c r="AJ40" i="97"/>
  <c r="AI40" i="97"/>
  <c r="AH40" i="97"/>
  <c r="AO39" i="97"/>
  <c r="AN39" i="97"/>
  <c r="AK39" i="97"/>
  <c r="AJ39" i="97"/>
  <c r="AI39" i="97"/>
  <c r="AH39" i="97"/>
  <c r="AP107" i="97"/>
  <c r="AO107" i="97"/>
  <c r="AN107" i="97"/>
  <c r="AL107" i="97"/>
  <c r="AK107" i="97"/>
  <c r="AH107" i="97"/>
  <c r="AJ107" i="97"/>
  <c r="AI107" i="97"/>
  <c r="AL38" i="97"/>
  <c r="AP38" i="97"/>
  <c r="AO38" i="97"/>
  <c r="AN38" i="97"/>
  <c r="AM38" i="97"/>
  <c r="AI38" i="97"/>
  <c r="AH38" i="97"/>
  <c r="AJ38" i="97"/>
  <c r="AN37" i="97"/>
  <c r="AI37" i="97"/>
  <c r="AP37" i="97"/>
  <c r="AO37" i="97"/>
  <c r="AM37" i="97"/>
  <c r="AL37" i="97"/>
  <c r="AK37" i="97"/>
  <c r="AJ37" i="97"/>
  <c r="AK36" i="97"/>
  <c r="AJ36" i="97"/>
  <c r="AP36" i="97"/>
  <c r="AO36" i="97"/>
  <c r="AN36" i="97"/>
  <c r="AM36" i="97"/>
  <c r="AL36" i="97"/>
  <c r="AH36" i="97"/>
  <c r="AP35" i="97"/>
  <c r="AO35" i="97"/>
  <c r="AM35" i="97"/>
  <c r="AL35" i="97"/>
  <c r="AI35" i="97"/>
  <c r="AH35" i="97"/>
  <c r="AJ35" i="97"/>
  <c r="AR35" i="97" s="1"/>
  <c r="AZ35" i="97" s="1"/>
  <c r="AO34" i="97"/>
  <c r="AN34" i="97"/>
  <c r="AK34" i="97"/>
  <c r="AJ34" i="97"/>
  <c r="AI34" i="97"/>
  <c r="AH34" i="97"/>
  <c r="AL33" i="97"/>
  <c r="AP33" i="97"/>
  <c r="AO33" i="97"/>
  <c r="AN33" i="97"/>
  <c r="AM33" i="97"/>
  <c r="AI33" i="97"/>
  <c r="AH33" i="97"/>
  <c r="AJ33" i="97"/>
  <c r="AN32" i="97"/>
  <c r="AJ32" i="97"/>
  <c r="AI32" i="97"/>
  <c r="AP32" i="97"/>
  <c r="AO32" i="97"/>
  <c r="AM32" i="97"/>
  <c r="AL32" i="97"/>
  <c r="AK32" i="97"/>
  <c r="AK106" i="97"/>
  <c r="AJ106" i="97"/>
  <c r="AP106" i="97"/>
  <c r="AO106" i="97"/>
  <c r="AN106" i="97"/>
  <c r="AM106" i="97"/>
  <c r="AL106" i="97"/>
  <c r="AH106" i="97"/>
  <c r="AL31" i="97"/>
  <c r="AK31" i="97"/>
  <c r="AP31" i="97"/>
  <c r="AO31" i="97"/>
  <c r="AN31" i="97"/>
  <c r="AM31" i="97"/>
  <c r="AH31" i="97"/>
  <c r="AI31" i="97"/>
  <c r="AP30" i="97"/>
  <c r="AO30" i="97"/>
  <c r="AM30" i="97"/>
  <c r="AL30" i="97"/>
  <c r="AI30" i="97"/>
  <c r="AH30" i="97"/>
  <c r="AJ30" i="97"/>
  <c r="AP29" i="97"/>
  <c r="AN29" i="97"/>
  <c r="AM29" i="97"/>
  <c r="AJ29" i="97"/>
  <c r="AI29" i="97"/>
  <c r="AH29" i="97"/>
  <c r="AL28" i="97"/>
  <c r="AP28" i="97"/>
  <c r="AO28" i="97"/>
  <c r="AN28" i="97"/>
  <c r="AM28" i="97"/>
  <c r="AI28" i="97"/>
  <c r="AH28" i="97"/>
  <c r="AJ28" i="97"/>
  <c r="AN27" i="97"/>
  <c r="AJ27" i="97"/>
  <c r="AI27" i="97"/>
  <c r="AP27" i="97"/>
  <c r="AO27" i="97"/>
  <c r="AM27" i="97"/>
  <c r="AL27" i="97"/>
  <c r="AK27" i="97"/>
  <c r="AK105" i="97"/>
  <c r="AJ105" i="97"/>
  <c r="AP105" i="97"/>
  <c r="AO105" i="97"/>
  <c r="AN105" i="97"/>
  <c r="AM105" i="97"/>
  <c r="AL105" i="97"/>
  <c r="AH105" i="97"/>
  <c r="AL104" i="97"/>
  <c r="AK104" i="97"/>
  <c r="AP104" i="97"/>
  <c r="AO104" i="97"/>
  <c r="AN104" i="97"/>
  <c r="AM104" i="97"/>
  <c r="AH104" i="97"/>
  <c r="AI104" i="97"/>
  <c r="AP26" i="97"/>
  <c r="AO26" i="97"/>
  <c r="AM26" i="97"/>
  <c r="AL26" i="97"/>
  <c r="AI26" i="97"/>
  <c r="AH26" i="97"/>
  <c r="AJ26" i="97"/>
  <c r="AP25" i="97"/>
  <c r="AN25" i="97"/>
  <c r="AM25" i="97"/>
  <c r="AJ25" i="97"/>
  <c r="AI25" i="97"/>
  <c r="AH25" i="97"/>
  <c r="AO24" i="97"/>
  <c r="AN24" i="97"/>
  <c r="AK24" i="97"/>
  <c r="AJ24" i="97"/>
  <c r="AI24" i="97"/>
  <c r="AH24" i="97"/>
  <c r="AP23" i="97"/>
  <c r="AO23" i="97"/>
  <c r="AN23" i="97"/>
  <c r="AL23" i="97"/>
  <c r="AK23" i="97"/>
  <c r="AH23" i="97"/>
  <c r="AJ23" i="97"/>
  <c r="AI23" i="97"/>
  <c r="AL22" i="97"/>
  <c r="AP22" i="97"/>
  <c r="AO22" i="97"/>
  <c r="AN22" i="97"/>
  <c r="AM22" i="97"/>
  <c r="AI22" i="97"/>
  <c r="AH22" i="97"/>
  <c r="AJ22" i="97"/>
  <c r="AK21" i="97"/>
  <c r="AJ21" i="97"/>
  <c r="AP21" i="97"/>
  <c r="AO21" i="97"/>
  <c r="AN21" i="97"/>
  <c r="AM21" i="97"/>
  <c r="AL21" i="97"/>
  <c r="AH21" i="97"/>
  <c r="AL20" i="97"/>
  <c r="AK20" i="97"/>
  <c r="AP20" i="97"/>
  <c r="AO20" i="97"/>
  <c r="AN20" i="97"/>
  <c r="AM20" i="97"/>
  <c r="AH20" i="97"/>
  <c r="AI20" i="97"/>
  <c r="AP19" i="97"/>
  <c r="AO19" i="97"/>
  <c r="AM19" i="97"/>
  <c r="AL19" i="97"/>
  <c r="AI19" i="97"/>
  <c r="AH19" i="97"/>
  <c r="AJ19" i="97"/>
  <c r="AP103" i="97"/>
  <c r="AN103" i="97"/>
  <c r="AM103" i="97"/>
  <c r="AJ103" i="97"/>
  <c r="AI103" i="97"/>
  <c r="AH103" i="97"/>
  <c r="AO18" i="97"/>
  <c r="AN18" i="97"/>
  <c r="AK18" i="97"/>
  <c r="AJ18" i="97"/>
  <c r="AI18" i="97"/>
  <c r="AH18" i="97"/>
  <c r="AP17" i="97"/>
  <c r="AO17" i="97"/>
  <c r="AJ17" i="97"/>
  <c r="AN17" i="97"/>
  <c r="AK17" i="97"/>
  <c r="AM17" i="97"/>
  <c r="AL17" i="97"/>
  <c r="AH17" i="97"/>
  <c r="AP16" i="97"/>
  <c r="AO16" i="97"/>
  <c r="AK16" i="97"/>
  <c r="AN16" i="97"/>
  <c r="AL16" i="97"/>
  <c r="AM16" i="97"/>
  <c r="AI16" i="97"/>
  <c r="AH16" i="97"/>
  <c r="AO15" i="97"/>
  <c r="AJ15" i="97"/>
  <c r="AN15" i="97"/>
  <c r="AP15" i="97"/>
  <c r="AK15" i="97"/>
  <c r="AM15" i="97"/>
  <c r="AI15" i="97"/>
  <c r="AP14" i="97"/>
  <c r="AO14" i="97"/>
  <c r="AN14" i="97"/>
  <c r="AL14" i="97"/>
  <c r="AK14" i="97"/>
  <c r="AJ14" i="97"/>
  <c r="AH14" i="97"/>
  <c r="AP13" i="97"/>
  <c r="AO13" i="97"/>
  <c r="AN13" i="97"/>
  <c r="AM13" i="97"/>
  <c r="AL13" i="97"/>
  <c r="AK13" i="97"/>
  <c r="AH13" i="97"/>
  <c r="AI13" i="97"/>
  <c r="AN12" i="97"/>
  <c r="AP12" i="97"/>
  <c r="AM12" i="97"/>
  <c r="AL12" i="97"/>
  <c r="AI12" i="97"/>
  <c r="AH12" i="97"/>
  <c r="AJ12" i="97"/>
  <c r="AO11" i="97"/>
  <c r="AN11" i="97"/>
  <c r="AK11" i="97"/>
  <c r="AM11" i="97"/>
  <c r="AJ11" i="97"/>
  <c r="AI11" i="97"/>
  <c r="AH11" i="97"/>
  <c r="AP10" i="97"/>
  <c r="AO10" i="97"/>
  <c r="AN10" i="97"/>
  <c r="AL10" i="97"/>
  <c r="AK10" i="97"/>
  <c r="AJ10" i="97"/>
  <c r="AI10" i="97"/>
  <c r="AH10" i="97"/>
  <c r="AP9" i="97"/>
  <c r="AO9" i="97"/>
  <c r="AN9" i="97"/>
  <c r="AM9" i="97"/>
  <c r="AL9" i="97"/>
  <c r="AK9" i="97"/>
  <c r="AH9" i="97"/>
  <c r="AJ9" i="97"/>
  <c r="AI9" i="97"/>
  <c r="AP102" i="97"/>
  <c r="AO102" i="97"/>
  <c r="AN102" i="97"/>
  <c r="AM102" i="97"/>
  <c r="AL102" i="97"/>
  <c r="AK102" i="97"/>
  <c r="AI102" i="97"/>
  <c r="AH102" i="97"/>
  <c r="AJ102" i="97"/>
  <c r="AP8" i="97"/>
  <c r="AO8" i="97"/>
  <c r="AN8" i="97"/>
  <c r="AM8" i="97"/>
  <c r="AL8" i="97"/>
  <c r="AK8" i="97"/>
  <c r="AJ8" i="97"/>
  <c r="AI8" i="97"/>
  <c r="AH8" i="97"/>
  <c r="AP7" i="97"/>
  <c r="AO7" i="97"/>
  <c r="AN7" i="97"/>
  <c r="AM7" i="97"/>
  <c r="AL7" i="97"/>
  <c r="AK7" i="97"/>
  <c r="AJ7" i="97"/>
  <c r="AI7" i="97"/>
  <c r="AH7" i="97"/>
  <c r="AP6" i="97"/>
  <c r="AO6" i="97"/>
  <c r="AN6" i="97"/>
  <c r="AM6" i="97"/>
  <c r="AL6" i="97"/>
  <c r="AK6" i="97"/>
  <c r="AH6" i="97"/>
  <c r="AJ6" i="97"/>
  <c r="AI6" i="97"/>
  <c r="AM14" i="97"/>
  <c r="AK30" i="97"/>
  <c r="AK35" i="97"/>
  <c r="AK49" i="97"/>
  <c r="AM56" i="97"/>
  <c r="AL87" i="97"/>
  <c r="AM89" i="97"/>
  <c r="AM10" i="97"/>
  <c r="AL11" i="97"/>
  <c r="AP11" i="97"/>
  <c r="AK12" i="97"/>
  <c r="AO12" i="97"/>
  <c r="AJ16" i="97"/>
  <c r="AI17" i="97"/>
  <c r="AM18" i="97"/>
  <c r="AL103" i="97"/>
  <c r="AN19" i="97"/>
  <c r="AJ20" i="97"/>
  <c r="AI21" i="97"/>
  <c r="AM24" i="97"/>
  <c r="AL25" i="97"/>
  <c r="AN26" i="97"/>
  <c r="AJ104" i="97"/>
  <c r="AI105" i="97"/>
  <c r="AH27" i="97"/>
  <c r="AL29" i="97"/>
  <c r="AN30" i="97"/>
  <c r="AJ31" i="97"/>
  <c r="AI106" i="97"/>
  <c r="AH32" i="97"/>
  <c r="AM34" i="97"/>
  <c r="AN35" i="97"/>
  <c r="AI36" i="97"/>
  <c r="AH37" i="97"/>
  <c r="AM39" i="97"/>
  <c r="AL40" i="97"/>
  <c r="AN108" i="97"/>
  <c r="AJ109" i="97"/>
  <c r="AK41" i="97"/>
  <c r="AI42" i="97"/>
  <c r="AN42" i="97"/>
  <c r="AN52" i="97"/>
  <c r="AJ53" i="97"/>
  <c r="AL53" i="97"/>
  <c r="AK54" i="97"/>
  <c r="AI55" i="97"/>
  <c r="AK55" i="97"/>
  <c r="AL55" i="97"/>
  <c r="AO55" i="97"/>
  <c r="AL63" i="97"/>
  <c r="AL125" i="97"/>
  <c r="AM99" i="97"/>
  <c r="AL15" i="97"/>
  <c r="AK19" i="97"/>
  <c r="AK26" i="97"/>
  <c r="AK108" i="97"/>
  <c r="AK110" i="97"/>
  <c r="AJ13" i="97"/>
  <c r="AI14" i="97"/>
  <c r="AH15" i="97"/>
  <c r="AL18" i="97"/>
  <c r="AP18" i="97"/>
  <c r="AK103" i="97"/>
  <c r="AO103" i="97"/>
  <c r="AK22" i="97"/>
  <c r="AM23" i="97"/>
  <c r="AL24" i="97"/>
  <c r="AP24" i="97"/>
  <c r="AK25" i="97"/>
  <c r="AO25" i="97"/>
  <c r="AK28" i="97"/>
  <c r="AK29" i="97"/>
  <c r="AO29" i="97"/>
  <c r="AK33" i="97"/>
  <c r="AL34" i="97"/>
  <c r="AP34" i="97"/>
  <c r="AK38" i="97"/>
  <c r="AM107" i="97"/>
  <c r="AL39" i="97"/>
  <c r="AP39" i="97"/>
  <c r="AK40" i="97"/>
  <c r="AO40" i="97"/>
  <c r="AN73" i="97"/>
  <c r="AL75" i="97"/>
  <c r="AP75" i="97"/>
  <c r="AM119" i="97"/>
  <c r="AK98" i="97"/>
  <c r="AO98" i="97"/>
  <c r="AM109" i="97"/>
  <c r="AL41" i="97"/>
  <c r="AP41" i="97"/>
  <c r="AK42" i="97"/>
  <c r="AO42" i="97"/>
  <c r="AK47" i="97"/>
  <c r="AM110" i="97"/>
  <c r="AL48" i="97"/>
  <c r="AP48" i="97"/>
  <c r="AK52" i="97"/>
  <c r="AM53" i="97"/>
  <c r="AL54" i="97"/>
  <c r="AP54" i="97"/>
  <c r="AP55" i="97"/>
  <c r="AJ56" i="97"/>
  <c r="AO56" i="97"/>
  <c r="AL61" i="97"/>
  <c r="AM62" i="97"/>
  <c r="AP66" i="97"/>
  <c r="AJ67" i="97"/>
  <c r="AO67" i="97"/>
  <c r="AM116" i="97"/>
  <c r="AL117" i="97"/>
  <c r="AM72" i="97"/>
  <c r="AP76" i="97"/>
  <c r="AJ77" i="97"/>
  <c r="AO77" i="97"/>
  <c r="AM80" i="97"/>
  <c r="AL121" i="97"/>
  <c r="AM122" i="97"/>
  <c r="AP88" i="97"/>
  <c r="AJ89" i="97"/>
  <c r="AO89" i="97"/>
  <c r="AM92" i="97"/>
  <c r="AL93" i="97"/>
  <c r="AM95" i="97"/>
  <c r="AP126" i="97"/>
  <c r="AJ99" i="97"/>
  <c r="AO99" i="97"/>
  <c r="AM41" i="97"/>
  <c r="AL42" i="97"/>
  <c r="AM48" i="97"/>
  <c r="AM54" i="97"/>
  <c r="AL113" i="97"/>
  <c r="AL73" i="97"/>
  <c r="AL83" i="97"/>
  <c r="AL124" i="97"/>
  <c r="AM55" i="97"/>
  <c r="AL56" i="97"/>
  <c r="AP56" i="97"/>
  <c r="AK57" i="97"/>
  <c r="AO57" i="97"/>
  <c r="AK61" i="97"/>
  <c r="AM112" i="97"/>
  <c r="AL62" i="97"/>
  <c r="AP62" i="97"/>
  <c r="AK113" i="97"/>
  <c r="AS113" i="97" s="1"/>
  <c r="BA113" i="97" s="1"/>
  <c r="AO113" i="97"/>
  <c r="AK65" i="97"/>
  <c r="AM66" i="97"/>
  <c r="AL67" i="97"/>
  <c r="AP67" i="97"/>
  <c r="AK68" i="97"/>
  <c r="AO68" i="97"/>
  <c r="AR69" i="97"/>
  <c r="AZ69" i="97" s="1"/>
  <c r="AK117" i="97"/>
  <c r="AM71" i="97"/>
  <c r="AL72" i="97"/>
  <c r="AP72" i="97"/>
  <c r="AK73" i="97"/>
  <c r="AO73" i="97"/>
  <c r="AK119" i="97"/>
  <c r="AM76" i="97"/>
  <c r="AL77" i="97"/>
  <c r="AP77" i="97"/>
  <c r="AK78" i="97"/>
  <c r="AS78" i="97" s="1"/>
  <c r="BA78" i="97" s="1"/>
  <c r="AO78" i="97"/>
  <c r="AK121" i="97"/>
  <c r="AM82" i="97"/>
  <c r="AL122" i="97"/>
  <c r="AP122" i="97"/>
  <c r="AK83" i="97"/>
  <c r="AO83" i="97"/>
  <c r="AK87" i="97"/>
  <c r="AM88" i="97"/>
  <c r="AL89" i="97"/>
  <c r="AP89" i="97"/>
  <c r="AK90" i="97"/>
  <c r="AS90" i="97" s="1"/>
  <c r="BA90" i="97" s="1"/>
  <c r="AO90" i="97"/>
  <c r="AK93" i="97"/>
  <c r="AM94" i="97"/>
  <c r="AL95" i="97"/>
  <c r="AP95" i="97"/>
  <c r="AK124" i="97"/>
  <c r="AK125" i="97"/>
  <c r="AM126" i="97"/>
  <c r="AL99" i="97"/>
  <c r="AP99" i="97"/>
  <c r="AK100" i="97"/>
  <c r="AS100" i="97" s="1"/>
  <c r="BA100" i="97" s="1"/>
  <c r="AO100" i="97"/>
  <c r="AJ55" i="97"/>
  <c r="AI56" i="97"/>
  <c r="AH57" i="97"/>
  <c r="AM59" i="97"/>
  <c r="AL60" i="97"/>
  <c r="AN61" i="97"/>
  <c r="AJ112" i="97"/>
  <c r="AI62" i="97"/>
  <c r="AH113" i="97"/>
  <c r="AM63" i="97"/>
  <c r="AL64" i="97"/>
  <c r="AN65" i="97"/>
  <c r="AT65" i="97" s="1"/>
  <c r="BB65" i="97" s="1"/>
  <c r="AJ66" i="97"/>
  <c r="AR66" i="97" s="1"/>
  <c r="AZ66" i="97" s="1"/>
  <c r="AI67" i="97"/>
  <c r="AH68" i="97"/>
  <c r="AM69" i="97"/>
  <c r="AS69" i="97" s="1"/>
  <c r="BA69" i="97" s="1"/>
  <c r="AL70" i="97"/>
  <c r="AN117" i="97"/>
  <c r="AJ71" i="97"/>
  <c r="AI72" i="97"/>
  <c r="AH73" i="97"/>
  <c r="AM75" i="97"/>
  <c r="AN119" i="97"/>
  <c r="AJ76" i="97"/>
  <c r="AI77" i="97"/>
  <c r="AH78" i="97"/>
  <c r="AM120" i="97"/>
  <c r="AL81" i="97"/>
  <c r="AN121" i="97"/>
  <c r="AJ82" i="97"/>
  <c r="AI122" i="97"/>
  <c r="AH83" i="97"/>
  <c r="AM86" i="97"/>
  <c r="AN87" i="97"/>
  <c r="AJ88" i="97"/>
  <c r="AI89" i="97"/>
  <c r="AH90" i="97"/>
  <c r="AL123" i="97"/>
  <c r="AN93" i="97"/>
  <c r="AJ94" i="97"/>
  <c r="AR94" i="97" s="1"/>
  <c r="AZ94" i="97" s="1"/>
  <c r="AI95" i="97"/>
  <c r="AH124" i="97"/>
  <c r="AL98" i="97"/>
  <c r="AN125" i="97"/>
  <c r="AJ126" i="97"/>
  <c r="AI99" i="97"/>
  <c r="AH100" i="97"/>
  <c r="F4" i="96"/>
  <c r="E4" i="96"/>
  <c r="N82" i="95"/>
  <c r="X82" i="95" s="1"/>
  <c r="J82" i="95"/>
  <c r="U82" i="95" s="1"/>
  <c r="F82" i="95"/>
  <c r="N12" i="95"/>
  <c r="X12" i="95" s="1"/>
  <c r="J12" i="95"/>
  <c r="U12" i="95" s="1"/>
  <c r="F12" i="95"/>
  <c r="R12" i="95" s="1"/>
  <c r="N81" i="95"/>
  <c r="X81" i="95" s="1"/>
  <c r="J81" i="95"/>
  <c r="U81" i="95" s="1"/>
  <c r="F81" i="95"/>
  <c r="R81" i="95" s="1"/>
  <c r="N99" i="95"/>
  <c r="X99" i="95" s="1"/>
  <c r="J99" i="95"/>
  <c r="U99" i="95" s="1"/>
  <c r="F99" i="95"/>
  <c r="R99" i="95" s="1"/>
  <c r="N83" i="95"/>
  <c r="X83" i="95" s="1"/>
  <c r="J83" i="95"/>
  <c r="U83" i="95" s="1"/>
  <c r="F83" i="95"/>
  <c r="R83" i="95" s="1"/>
  <c r="N33" i="95"/>
  <c r="X33" i="95" s="1"/>
  <c r="J33" i="95"/>
  <c r="U33" i="95" s="1"/>
  <c r="F33" i="95"/>
  <c r="R33" i="95" s="1"/>
  <c r="N14" i="95"/>
  <c r="X14" i="95" s="1"/>
  <c r="J14" i="95"/>
  <c r="U14" i="95" s="1"/>
  <c r="F14" i="95"/>
  <c r="R14" i="95" s="1"/>
  <c r="N44" i="95"/>
  <c r="X44" i="95" s="1"/>
  <c r="J44" i="95"/>
  <c r="U44" i="95" s="1"/>
  <c r="F44" i="95"/>
  <c r="R44" i="95" s="1"/>
  <c r="N25" i="95"/>
  <c r="X25" i="95" s="1"/>
  <c r="J25" i="95"/>
  <c r="U25" i="95" s="1"/>
  <c r="F25" i="95"/>
  <c r="R25" i="95" s="1"/>
  <c r="N7" i="95"/>
  <c r="J7" i="95"/>
  <c r="F7" i="95"/>
  <c r="R7" i="95" s="1"/>
  <c r="W125" i="95"/>
  <c r="V125" i="95"/>
  <c r="W124" i="95"/>
  <c r="V124" i="95"/>
  <c r="W123" i="95"/>
  <c r="V123" i="95"/>
  <c r="W122" i="95"/>
  <c r="V122" i="95"/>
  <c r="W121" i="95"/>
  <c r="V121" i="95"/>
  <c r="W120" i="95"/>
  <c r="V120" i="95"/>
  <c r="W119" i="95"/>
  <c r="V119" i="95"/>
  <c r="W118" i="95"/>
  <c r="V118" i="95"/>
  <c r="W117" i="95"/>
  <c r="V117" i="95"/>
  <c r="W116" i="95"/>
  <c r="V116" i="95"/>
  <c r="W115" i="95"/>
  <c r="V115" i="95"/>
  <c r="W114" i="95"/>
  <c r="V114" i="95"/>
  <c r="W113" i="95"/>
  <c r="V113" i="95"/>
  <c r="W112" i="95"/>
  <c r="V112" i="95"/>
  <c r="W111" i="95"/>
  <c r="V111" i="95"/>
  <c r="W110" i="95"/>
  <c r="V110" i="95"/>
  <c r="W109" i="95"/>
  <c r="V109" i="95"/>
  <c r="W108" i="95"/>
  <c r="V108" i="95"/>
  <c r="W107" i="95"/>
  <c r="V107" i="95"/>
  <c r="W106" i="95"/>
  <c r="V106" i="95"/>
  <c r="W105" i="95"/>
  <c r="V105" i="95"/>
  <c r="W104" i="95"/>
  <c r="V104" i="95"/>
  <c r="W103" i="95"/>
  <c r="V103" i="95"/>
  <c r="W102" i="95"/>
  <c r="V102" i="95"/>
  <c r="W101" i="95"/>
  <c r="V101" i="95"/>
  <c r="W100" i="95"/>
  <c r="V100" i="95"/>
  <c r="W99" i="95"/>
  <c r="V99" i="95"/>
  <c r="W98" i="95"/>
  <c r="V98" i="95"/>
  <c r="W97" i="95"/>
  <c r="V97" i="95"/>
  <c r="W96" i="95"/>
  <c r="V96" i="95"/>
  <c r="W95" i="95"/>
  <c r="V95" i="95"/>
  <c r="W94" i="95"/>
  <c r="V94" i="95"/>
  <c r="W93" i="95"/>
  <c r="V93" i="95"/>
  <c r="W92" i="95"/>
  <c r="V92" i="95"/>
  <c r="W91" i="95"/>
  <c r="V91" i="95"/>
  <c r="W90" i="95"/>
  <c r="V90" i="95"/>
  <c r="W89" i="95"/>
  <c r="V89" i="95"/>
  <c r="W88" i="95"/>
  <c r="V88" i="95"/>
  <c r="W87" i="95"/>
  <c r="V87" i="95"/>
  <c r="W86" i="95"/>
  <c r="V86" i="95"/>
  <c r="W85" i="95"/>
  <c r="V85" i="95"/>
  <c r="W84" i="95"/>
  <c r="V84" i="95"/>
  <c r="W83" i="95"/>
  <c r="V83" i="95"/>
  <c r="W82" i="95"/>
  <c r="V82" i="95"/>
  <c r="W81" i="95"/>
  <c r="V81" i="95"/>
  <c r="W80" i="95"/>
  <c r="V80" i="95"/>
  <c r="W79" i="95"/>
  <c r="V79" i="95"/>
  <c r="W78" i="95"/>
  <c r="V78" i="95"/>
  <c r="W77" i="95"/>
  <c r="V77" i="95"/>
  <c r="W76" i="95"/>
  <c r="V76" i="95"/>
  <c r="W75" i="95"/>
  <c r="V75" i="95"/>
  <c r="W74" i="95"/>
  <c r="V74" i="95"/>
  <c r="W73" i="95"/>
  <c r="V73" i="95"/>
  <c r="W72" i="95"/>
  <c r="V72" i="95"/>
  <c r="W71" i="95"/>
  <c r="V71" i="95"/>
  <c r="W70" i="95"/>
  <c r="V70" i="95"/>
  <c r="W69" i="95"/>
  <c r="V69" i="95"/>
  <c r="W68" i="95"/>
  <c r="V68" i="95"/>
  <c r="W67" i="95"/>
  <c r="V67" i="95"/>
  <c r="W66" i="95"/>
  <c r="V66" i="95"/>
  <c r="W65" i="95"/>
  <c r="V65" i="95"/>
  <c r="W64" i="95"/>
  <c r="V64" i="95"/>
  <c r="W63" i="95"/>
  <c r="V63" i="95"/>
  <c r="W62" i="95"/>
  <c r="V62" i="95"/>
  <c r="W61" i="95"/>
  <c r="V61" i="95"/>
  <c r="W60" i="95"/>
  <c r="V60" i="95"/>
  <c r="W59" i="95"/>
  <c r="V59" i="95"/>
  <c r="W58" i="95"/>
  <c r="V58" i="95"/>
  <c r="W57" i="95"/>
  <c r="V57" i="95"/>
  <c r="W56" i="95"/>
  <c r="V56" i="95"/>
  <c r="W55" i="95"/>
  <c r="V55" i="95"/>
  <c r="W54" i="95"/>
  <c r="V54" i="95"/>
  <c r="W53" i="95"/>
  <c r="V53" i="95"/>
  <c r="W52" i="95"/>
  <c r="V52" i="95"/>
  <c r="W51" i="95"/>
  <c r="V51" i="95"/>
  <c r="W50" i="95"/>
  <c r="V50" i="95"/>
  <c r="W49" i="95"/>
  <c r="V49" i="95"/>
  <c r="W48" i="95"/>
  <c r="V48" i="95"/>
  <c r="W47" i="95"/>
  <c r="V47" i="95"/>
  <c r="W46" i="95"/>
  <c r="V46" i="95"/>
  <c r="W45" i="95"/>
  <c r="V45" i="95"/>
  <c r="W44" i="95"/>
  <c r="V44" i="95"/>
  <c r="W43" i="95"/>
  <c r="V43" i="95"/>
  <c r="W42" i="95"/>
  <c r="V42" i="95"/>
  <c r="W41" i="95"/>
  <c r="V41" i="95"/>
  <c r="W40" i="95"/>
  <c r="V40" i="95"/>
  <c r="W39" i="95"/>
  <c r="V39" i="95"/>
  <c r="W38" i="95"/>
  <c r="V38" i="95"/>
  <c r="W37" i="95"/>
  <c r="V37" i="95"/>
  <c r="W36" i="95"/>
  <c r="V36" i="95"/>
  <c r="W35" i="95"/>
  <c r="V35" i="95"/>
  <c r="W34" i="95"/>
  <c r="V34" i="95"/>
  <c r="W33" i="95"/>
  <c r="V33" i="95"/>
  <c r="W32" i="95"/>
  <c r="V32" i="95"/>
  <c r="W31" i="95"/>
  <c r="V31" i="95"/>
  <c r="W30" i="95"/>
  <c r="V30" i="95"/>
  <c r="W29" i="95"/>
  <c r="V29" i="95"/>
  <c r="W28" i="95"/>
  <c r="V28" i="95"/>
  <c r="W27" i="95"/>
  <c r="V27" i="95"/>
  <c r="W26" i="95"/>
  <c r="V26" i="95"/>
  <c r="W25" i="95"/>
  <c r="V25" i="95"/>
  <c r="W24" i="95"/>
  <c r="V24" i="95"/>
  <c r="W23" i="95"/>
  <c r="V23" i="95"/>
  <c r="W22" i="95"/>
  <c r="V22" i="95"/>
  <c r="W21" i="95"/>
  <c r="V21" i="95"/>
  <c r="W20" i="95"/>
  <c r="V20" i="95"/>
  <c r="W19" i="95"/>
  <c r="V19" i="95"/>
  <c r="W18" i="95"/>
  <c r="V18" i="95"/>
  <c r="W17" i="95"/>
  <c r="V17" i="95"/>
  <c r="W16" i="95"/>
  <c r="V16" i="95"/>
  <c r="W15" i="95"/>
  <c r="V15" i="95"/>
  <c r="W14" i="95"/>
  <c r="V14" i="95"/>
  <c r="W13" i="95"/>
  <c r="V13" i="95"/>
  <c r="W12" i="95"/>
  <c r="V12" i="95"/>
  <c r="W11" i="95"/>
  <c r="V11" i="95"/>
  <c r="W10" i="95"/>
  <c r="V10" i="95"/>
  <c r="W9" i="95"/>
  <c r="V9" i="95"/>
  <c r="W8" i="95"/>
  <c r="V8" i="95"/>
  <c r="W7" i="95"/>
  <c r="V7" i="95"/>
  <c r="W6" i="95"/>
  <c r="V6" i="95"/>
  <c r="W5" i="95"/>
  <c r="V5" i="95"/>
  <c r="T125" i="95"/>
  <c r="S125" i="95"/>
  <c r="T124" i="95"/>
  <c r="S124" i="95"/>
  <c r="T123" i="95"/>
  <c r="S123" i="95"/>
  <c r="T122" i="95"/>
  <c r="S122" i="95"/>
  <c r="T121" i="95"/>
  <c r="S121" i="95"/>
  <c r="T120" i="95"/>
  <c r="S120" i="95"/>
  <c r="T119" i="95"/>
  <c r="S119" i="95"/>
  <c r="T118" i="95"/>
  <c r="S118" i="95"/>
  <c r="T117" i="95"/>
  <c r="S117" i="95"/>
  <c r="T116" i="95"/>
  <c r="S116" i="95"/>
  <c r="T115" i="95"/>
  <c r="S115" i="95"/>
  <c r="T114" i="95"/>
  <c r="S114" i="95"/>
  <c r="T113" i="95"/>
  <c r="S113" i="95"/>
  <c r="T112" i="95"/>
  <c r="S112" i="95"/>
  <c r="T111" i="95"/>
  <c r="S111" i="95"/>
  <c r="T110" i="95"/>
  <c r="S110" i="95"/>
  <c r="T109" i="95"/>
  <c r="S109" i="95"/>
  <c r="T108" i="95"/>
  <c r="S108" i="95"/>
  <c r="T107" i="95"/>
  <c r="S107" i="95"/>
  <c r="T106" i="95"/>
  <c r="S106" i="95"/>
  <c r="T105" i="95"/>
  <c r="S105" i="95"/>
  <c r="T104" i="95"/>
  <c r="S104" i="95"/>
  <c r="T103" i="95"/>
  <c r="S103" i="95"/>
  <c r="T102" i="95"/>
  <c r="S102" i="95"/>
  <c r="T101" i="95"/>
  <c r="S101" i="95"/>
  <c r="T100" i="95"/>
  <c r="S100" i="95"/>
  <c r="T99" i="95"/>
  <c r="S99" i="95"/>
  <c r="T98" i="95"/>
  <c r="S98" i="95"/>
  <c r="T97" i="95"/>
  <c r="S97" i="95"/>
  <c r="T96" i="95"/>
  <c r="S96" i="95"/>
  <c r="T95" i="95"/>
  <c r="S95" i="95"/>
  <c r="T94" i="95"/>
  <c r="S94" i="95"/>
  <c r="T93" i="95"/>
  <c r="S93" i="95"/>
  <c r="T92" i="95"/>
  <c r="S92" i="95"/>
  <c r="T91" i="95"/>
  <c r="S91" i="95"/>
  <c r="T90" i="95"/>
  <c r="S90" i="95"/>
  <c r="T89" i="95"/>
  <c r="S89" i="95"/>
  <c r="T88" i="95"/>
  <c r="S88" i="95"/>
  <c r="T87" i="95"/>
  <c r="S87" i="95"/>
  <c r="T86" i="95"/>
  <c r="S86" i="95"/>
  <c r="T85" i="95"/>
  <c r="S85" i="95"/>
  <c r="T84" i="95"/>
  <c r="S84" i="95"/>
  <c r="T83" i="95"/>
  <c r="S83" i="95"/>
  <c r="T82" i="95"/>
  <c r="S82" i="95"/>
  <c r="T81" i="95"/>
  <c r="S81" i="95"/>
  <c r="T80" i="95"/>
  <c r="S80" i="95"/>
  <c r="T79" i="95"/>
  <c r="S79" i="95"/>
  <c r="T78" i="95"/>
  <c r="S78" i="95"/>
  <c r="T77" i="95"/>
  <c r="S77" i="95"/>
  <c r="T76" i="95"/>
  <c r="S76" i="95"/>
  <c r="T75" i="95"/>
  <c r="S75" i="95"/>
  <c r="T74" i="95"/>
  <c r="S74" i="95"/>
  <c r="T73" i="95"/>
  <c r="S73" i="95"/>
  <c r="T72" i="95"/>
  <c r="S72" i="95"/>
  <c r="T71" i="95"/>
  <c r="S71" i="95"/>
  <c r="T70" i="95"/>
  <c r="S70" i="95"/>
  <c r="T69" i="95"/>
  <c r="S69" i="95"/>
  <c r="T68" i="95"/>
  <c r="S68" i="95"/>
  <c r="T67" i="95"/>
  <c r="S67" i="95"/>
  <c r="T66" i="95"/>
  <c r="S66" i="95"/>
  <c r="T65" i="95"/>
  <c r="S65" i="95"/>
  <c r="T64" i="95"/>
  <c r="S64" i="95"/>
  <c r="T63" i="95"/>
  <c r="S63" i="95"/>
  <c r="T62" i="95"/>
  <c r="S62" i="95"/>
  <c r="T61" i="95"/>
  <c r="S61" i="95"/>
  <c r="T60" i="95"/>
  <c r="S60" i="95"/>
  <c r="T59" i="95"/>
  <c r="S59" i="95"/>
  <c r="T58" i="95"/>
  <c r="S58" i="95"/>
  <c r="T57" i="95"/>
  <c r="S57" i="95"/>
  <c r="T56" i="95"/>
  <c r="S56" i="95"/>
  <c r="T55" i="95"/>
  <c r="S55" i="95"/>
  <c r="T54" i="95"/>
  <c r="S54" i="95"/>
  <c r="T53" i="95"/>
  <c r="S53" i="95"/>
  <c r="T52" i="95"/>
  <c r="S52" i="95"/>
  <c r="T51" i="95"/>
  <c r="S51" i="95"/>
  <c r="T50" i="95"/>
  <c r="S50" i="95"/>
  <c r="T49" i="95"/>
  <c r="S49" i="95"/>
  <c r="T48" i="95"/>
  <c r="S48" i="95"/>
  <c r="T47" i="95"/>
  <c r="S47" i="95"/>
  <c r="T46" i="95"/>
  <c r="S46" i="95"/>
  <c r="T45" i="95"/>
  <c r="S45" i="95"/>
  <c r="T44" i="95"/>
  <c r="S44" i="95"/>
  <c r="T43" i="95"/>
  <c r="S43" i="95"/>
  <c r="T42" i="95"/>
  <c r="S42" i="95"/>
  <c r="T41" i="95"/>
  <c r="S41" i="95"/>
  <c r="T40" i="95"/>
  <c r="S40" i="95"/>
  <c r="T39" i="95"/>
  <c r="S39" i="95"/>
  <c r="T38" i="95"/>
  <c r="S38" i="95"/>
  <c r="T37" i="95"/>
  <c r="S37" i="95"/>
  <c r="T36" i="95"/>
  <c r="S36" i="95"/>
  <c r="T35" i="95"/>
  <c r="S35" i="95"/>
  <c r="T34" i="95"/>
  <c r="S34" i="95"/>
  <c r="T33" i="95"/>
  <c r="S33" i="95"/>
  <c r="T32" i="95"/>
  <c r="S32" i="95"/>
  <c r="T31" i="95"/>
  <c r="S31" i="95"/>
  <c r="T30" i="95"/>
  <c r="S30" i="95"/>
  <c r="T29" i="95"/>
  <c r="S29" i="95"/>
  <c r="T28" i="95"/>
  <c r="S28" i="95"/>
  <c r="T27" i="95"/>
  <c r="S27" i="95"/>
  <c r="T26" i="95"/>
  <c r="S26" i="95"/>
  <c r="T25" i="95"/>
  <c r="S25" i="95"/>
  <c r="T24" i="95"/>
  <c r="S24" i="95"/>
  <c r="T23" i="95"/>
  <c r="S23" i="95"/>
  <c r="T22" i="95"/>
  <c r="S22" i="95"/>
  <c r="T21" i="95"/>
  <c r="S21" i="95"/>
  <c r="T20" i="95"/>
  <c r="S20" i="95"/>
  <c r="T19" i="95"/>
  <c r="S19" i="95"/>
  <c r="T18" i="95"/>
  <c r="S18" i="95"/>
  <c r="T17" i="95"/>
  <c r="S17" i="95"/>
  <c r="T16" i="95"/>
  <c r="S16" i="95"/>
  <c r="T15" i="95"/>
  <c r="S15" i="95"/>
  <c r="T14" i="95"/>
  <c r="S14" i="95"/>
  <c r="T13" i="95"/>
  <c r="S13" i="95"/>
  <c r="T12" i="95"/>
  <c r="S12" i="95"/>
  <c r="T11" i="95"/>
  <c r="S11" i="95"/>
  <c r="T10" i="95"/>
  <c r="S10" i="95"/>
  <c r="T9" i="95"/>
  <c r="S9" i="95"/>
  <c r="T8" i="95"/>
  <c r="S8" i="95"/>
  <c r="U7" i="95"/>
  <c r="T7" i="95"/>
  <c r="S7" i="95"/>
  <c r="T6" i="95"/>
  <c r="S6" i="95"/>
  <c r="T5" i="95"/>
  <c r="S5" i="95"/>
  <c r="Q125" i="95"/>
  <c r="P125" i="95"/>
  <c r="Q124" i="95"/>
  <c r="P124" i="95"/>
  <c r="Q123" i="95"/>
  <c r="P123" i="95"/>
  <c r="Q122" i="95"/>
  <c r="P122" i="95"/>
  <c r="Q121" i="95"/>
  <c r="P121" i="95"/>
  <c r="Q120" i="95"/>
  <c r="P120" i="95"/>
  <c r="Q119" i="95"/>
  <c r="P119" i="95"/>
  <c r="Q118" i="95"/>
  <c r="P118" i="95"/>
  <c r="Q117" i="95"/>
  <c r="P117" i="95"/>
  <c r="Q116" i="95"/>
  <c r="P116" i="95"/>
  <c r="Q115" i="95"/>
  <c r="P115" i="95"/>
  <c r="Q114" i="95"/>
  <c r="P114" i="95"/>
  <c r="Q113" i="95"/>
  <c r="P113" i="95"/>
  <c r="Q112" i="95"/>
  <c r="P112" i="95"/>
  <c r="Q111" i="95"/>
  <c r="P111" i="95"/>
  <c r="Q110" i="95"/>
  <c r="P110" i="95"/>
  <c r="Q109" i="95"/>
  <c r="P109" i="95"/>
  <c r="Q108" i="95"/>
  <c r="P108" i="95"/>
  <c r="Q107" i="95"/>
  <c r="P107" i="95"/>
  <c r="Q106" i="95"/>
  <c r="P106" i="95"/>
  <c r="Q105" i="95"/>
  <c r="P105" i="95"/>
  <c r="Q104" i="95"/>
  <c r="P104" i="95"/>
  <c r="Q103" i="95"/>
  <c r="P103" i="95"/>
  <c r="Q102" i="95"/>
  <c r="P102" i="95"/>
  <c r="Q101" i="95"/>
  <c r="P101" i="95"/>
  <c r="Q100" i="95"/>
  <c r="P100" i="95"/>
  <c r="Q99" i="95"/>
  <c r="P99" i="95"/>
  <c r="Q98" i="95"/>
  <c r="P98" i="95"/>
  <c r="Q97" i="95"/>
  <c r="P97" i="95"/>
  <c r="Q96" i="95"/>
  <c r="P96" i="95"/>
  <c r="Q95" i="95"/>
  <c r="P95" i="95"/>
  <c r="Q94" i="95"/>
  <c r="P94" i="95"/>
  <c r="Q93" i="95"/>
  <c r="P93" i="95"/>
  <c r="Q92" i="95"/>
  <c r="P92" i="95"/>
  <c r="Q91" i="95"/>
  <c r="P91" i="95"/>
  <c r="Q90" i="95"/>
  <c r="P90" i="95"/>
  <c r="Q89" i="95"/>
  <c r="P89" i="95"/>
  <c r="Q88" i="95"/>
  <c r="P88" i="95"/>
  <c r="Q87" i="95"/>
  <c r="P87" i="95"/>
  <c r="Q86" i="95"/>
  <c r="P86" i="95"/>
  <c r="Q85" i="95"/>
  <c r="P85" i="95"/>
  <c r="Q84" i="95"/>
  <c r="P84" i="95"/>
  <c r="Q83" i="95"/>
  <c r="P83" i="95"/>
  <c r="Q82" i="95"/>
  <c r="P82" i="95"/>
  <c r="Q81" i="95"/>
  <c r="P81" i="95"/>
  <c r="Q80" i="95"/>
  <c r="P80" i="95"/>
  <c r="Q79" i="95"/>
  <c r="P79" i="95"/>
  <c r="Q78" i="95"/>
  <c r="P78" i="95"/>
  <c r="Q77" i="95"/>
  <c r="P77" i="95"/>
  <c r="Q76" i="95"/>
  <c r="P76" i="95"/>
  <c r="Q75" i="95"/>
  <c r="P75" i="95"/>
  <c r="Q74" i="95"/>
  <c r="P74" i="95"/>
  <c r="Q73" i="95"/>
  <c r="P73" i="95"/>
  <c r="Q72" i="95"/>
  <c r="P72" i="95"/>
  <c r="Q71" i="95"/>
  <c r="P71" i="95"/>
  <c r="Q70" i="95"/>
  <c r="P70" i="95"/>
  <c r="Q69" i="95"/>
  <c r="P69" i="95"/>
  <c r="Q68" i="95"/>
  <c r="P68" i="95"/>
  <c r="Q67" i="95"/>
  <c r="P67" i="95"/>
  <c r="Q66" i="95"/>
  <c r="P66" i="95"/>
  <c r="Q65" i="95"/>
  <c r="P65" i="95"/>
  <c r="Q64" i="95"/>
  <c r="P64" i="95"/>
  <c r="Q63" i="95"/>
  <c r="P63" i="95"/>
  <c r="Q62" i="95"/>
  <c r="P62" i="95"/>
  <c r="Q61" i="95"/>
  <c r="P61" i="95"/>
  <c r="Q60" i="95"/>
  <c r="P60" i="95"/>
  <c r="Q59" i="95"/>
  <c r="P59" i="95"/>
  <c r="Q58" i="95"/>
  <c r="P58" i="95"/>
  <c r="Q57" i="95"/>
  <c r="P57" i="95"/>
  <c r="Q56" i="95"/>
  <c r="P56" i="95"/>
  <c r="Q55" i="95"/>
  <c r="P55" i="95"/>
  <c r="Q54" i="95"/>
  <c r="P54" i="95"/>
  <c r="Q53" i="95"/>
  <c r="P53" i="95"/>
  <c r="Q52" i="95"/>
  <c r="P52" i="95"/>
  <c r="Q51" i="95"/>
  <c r="P51" i="95"/>
  <c r="Q50" i="95"/>
  <c r="P50" i="95"/>
  <c r="Q49" i="95"/>
  <c r="P49" i="95"/>
  <c r="Q48" i="95"/>
  <c r="P48" i="95"/>
  <c r="Q47" i="95"/>
  <c r="P47" i="95"/>
  <c r="Q46" i="95"/>
  <c r="P46" i="95"/>
  <c r="Q45" i="95"/>
  <c r="P45" i="95"/>
  <c r="Q44" i="95"/>
  <c r="P44" i="95"/>
  <c r="Q43" i="95"/>
  <c r="P43" i="95"/>
  <c r="Q42" i="95"/>
  <c r="P42" i="95"/>
  <c r="Q41" i="95"/>
  <c r="P41" i="95"/>
  <c r="Q40" i="95"/>
  <c r="P40" i="95"/>
  <c r="Q39" i="95"/>
  <c r="P39" i="95"/>
  <c r="Q38" i="95"/>
  <c r="P38" i="95"/>
  <c r="Q37" i="95"/>
  <c r="P37" i="95"/>
  <c r="Q36" i="95"/>
  <c r="P36" i="95"/>
  <c r="Q35" i="95"/>
  <c r="P35" i="95"/>
  <c r="Q34" i="95"/>
  <c r="P34" i="95"/>
  <c r="Q33" i="95"/>
  <c r="P33" i="95"/>
  <c r="Q32" i="95"/>
  <c r="P32" i="95"/>
  <c r="Q31" i="95"/>
  <c r="P31" i="95"/>
  <c r="Q30" i="95"/>
  <c r="P30" i="95"/>
  <c r="Q29" i="95"/>
  <c r="P29" i="95"/>
  <c r="Q28" i="95"/>
  <c r="P28" i="95"/>
  <c r="Q27" i="95"/>
  <c r="P27" i="95"/>
  <c r="Q26" i="95"/>
  <c r="P26" i="95"/>
  <c r="Q25" i="95"/>
  <c r="P25" i="95"/>
  <c r="Q24" i="95"/>
  <c r="P24" i="95"/>
  <c r="Q23" i="95"/>
  <c r="P23" i="95"/>
  <c r="Q22" i="95"/>
  <c r="P22" i="95"/>
  <c r="Q21" i="95"/>
  <c r="P21" i="95"/>
  <c r="Q20" i="95"/>
  <c r="P20" i="95"/>
  <c r="Q19" i="95"/>
  <c r="P19" i="95"/>
  <c r="Q18" i="95"/>
  <c r="P18" i="95"/>
  <c r="Q17" i="95"/>
  <c r="P17" i="95"/>
  <c r="Q16" i="95"/>
  <c r="P16" i="95"/>
  <c r="Q15" i="95"/>
  <c r="P15" i="95"/>
  <c r="Q14" i="95"/>
  <c r="P14" i="95"/>
  <c r="Q13" i="95"/>
  <c r="P13" i="95"/>
  <c r="Q12" i="95"/>
  <c r="P12" i="95"/>
  <c r="Q11" i="95"/>
  <c r="P11" i="95"/>
  <c r="Q10" i="95"/>
  <c r="P10" i="95"/>
  <c r="Q9" i="95"/>
  <c r="P9" i="95"/>
  <c r="Q8" i="95"/>
  <c r="P8" i="95"/>
  <c r="Q7" i="95"/>
  <c r="P7" i="95"/>
  <c r="Q6" i="95"/>
  <c r="P6" i="95"/>
  <c r="Q5" i="95"/>
  <c r="P5" i="95"/>
  <c r="M4" i="95"/>
  <c r="L4" i="95"/>
  <c r="K4" i="95"/>
  <c r="I4" i="95"/>
  <c r="H4" i="95"/>
  <c r="G4" i="95"/>
  <c r="E4" i="95"/>
  <c r="D4" i="95"/>
  <c r="C4" i="95"/>
  <c r="N125" i="95"/>
  <c r="X125" i="95" s="1"/>
  <c r="N124" i="95"/>
  <c r="X124" i="95" s="1"/>
  <c r="N123" i="95"/>
  <c r="X123" i="95" s="1"/>
  <c r="N122" i="95"/>
  <c r="X122" i="95" s="1"/>
  <c r="N121" i="95"/>
  <c r="X121" i="95" s="1"/>
  <c r="N120" i="95"/>
  <c r="X120" i="95" s="1"/>
  <c r="N119" i="95"/>
  <c r="X119" i="95" s="1"/>
  <c r="N118" i="95"/>
  <c r="X118" i="95" s="1"/>
  <c r="N117" i="95"/>
  <c r="X117" i="95" s="1"/>
  <c r="N116" i="95"/>
  <c r="X116" i="95" s="1"/>
  <c r="N115" i="95"/>
  <c r="X115" i="95" s="1"/>
  <c r="N114" i="95"/>
  <c r="X114" i="95" s="1"/>
  <c r="N113" i="95"/>
  <c r="X113" i="95" s="1"/>
  <c r="N112" i="95"/>
  <c r="X112" i="95" s="1"/>
  <c r="N111" i="95"/>
  <c r="X111" i="95" s="1"/>
  <c r="N110" i="95"/>
  <c r="X110" i="95" s="1"/>
  <c r="N109" i="95"/>
  <c r="X109" i="95" s="1"/>
  <c r="N108" i="95"/>
  <c r="X108" i="95" s="1"/>
  <c r="N107" i="95"/>
  <c r="X107" i="95" s="1"/>
  <c r="N106" i="95"/>
  <c r="X106" i="95" s="1"/>
  <c r="N105" i="95"/>
  <c r="X105" i="95" s="1"/>
  <c r="N104" i="95"/>
  <c r="X104" i="95" s="1"/>
  <c r="N103" i="95"/>
  <c r="X103" i="95" s="1"/>
  <c r="N102" i="95"/>
  <c r="X102" i="95" s="1"/>
  <c r="N101" i="95"/>
  <c r="X101" i="95" s="1"/>
  <c r="N100" i="95"/>
  <c r="X100" i="95" s="1"/>
  <c r="N98" i="95"/>
  <c r="X98" i="95" s="1"/>
  <c r="N97" i="95"/>
  <c r="X97" i="95" s="1"/>
  <c r="N96" i="95"/>
  <c r="X96" i="95" s="1"/>
  <c r="N95" i="95"/>
  <c r="X95" i="95" s="1"/>
  <c r="N94" i="95"/>
  <c r="X94" i="95" s="1"/>
  <c r="N93" i="95"/>
  <c r="X93" i="95" s="1"/>
  <c r="N92" i="95"/>
  <c r="X92" i="95" s="1"/>
  <c r="N91" i="95"/>
  <c r="X91" i="95" s="1"/>
  <c r="N90" i="95"/>
  <c r="X90" i="95" s="1"/>
  <c r="N89" i="95"/>
  <c r="X89" i="95" s="1"/>
  <c r="N88" i="95"/>
  <c r="X88" i="95" s="1"/>
  <c r="N87" i="95"/>
  <c r="X87" i="95" s="1"/>
  <c r="N86" i="95"/>
  <c r="X86" i="95" s="1"/>
  <c r="N85" i="95"/>
  <c r="X85" i="95" s="1"/>
  <c r="N84" i="95"/>
  <c r="X84" i="95" s="1"/>
  <c r="N80" i="95"/>
  <c r="X80" i="95" s="1"/>
  <c r="N79" i="95"/>
  <c r="X79" i="95" s="1"/>
  <c r="N78" i="95"/>
  <c r="X78" i="95" s="1"/>
  <c r="N77" i="95"/>
  <c r="X77" i="95" s="1"/>
  <c r="N76" i="95"/>
  <c r="X76" i="95" s="1"/>
  <c r="N75" i="95"/>
  <c r="X75" i="95" s="1"/>
  <c r="N74" i="95"/>
  <c r="X74" i="95" s="1"/>
  <c r="N73" i="95"/>
  <c r="X73" i="95" s="1"/>
  <c r="N72" i="95"/>
  <c r="X72" i="95" s="1"/>
  <c r="N71" i="95"/>
  <c r="X71" i="95" s="1"/>
  <c r="N70" i="95"/>
  <c r="X70" i="95" s="1"/>
  <c r="N69" i="95"/>
  <c r="X69" i="95" s="1"/>
  <c r="N68" i="95"/>
  <c r="X68" i="95" s="1"/>
  <c r="N67" i="95"/>
  <c r="X67" i="95" s="1"/>
  <c r="N66" i="95"/>
  <c r="X66" i="95" s="1"/>
  <c r="N65" i="95"/>
  <c r="X65" i="95" s="1"/>
  <c r="N64" i="95"/>
  <c r="X64" i="95" s="1"/>
  <c r="N63" i="95"/>
  <c r="X63" i="95" s="1"/>
  <c r="N62" i="95"/>
  <c r="X62" i="95" s="1"/>
  <c r="N61" i="95"/>
  <c r="X61" i="95" s="1"/>
  <c r="N60" i="95"/>
  <c r="X60" i="95" s="1"/>
  <c r="N59" i="95"/>
  <c r="X59" i="95" s="1"/>
  <c r="N58" i="95"/>
  <c r="X58" i="95" s="1"/>
  <c r="N57" i="95"/>
  <c r="X57" i="95" s="1"/>
  <c r="N56" i="95"/>
  <c r="X56" i="95" s="1"/>
  <c r="N55" i="95"/>
  <c r="X55" i="95" s="1"/>
  <c r="N54" i="95"/>
  <c r="X54" i="95" s="1"/>
  <c r="N53" i="95"/>
  <c r="X53" i="95" s="1"/>
  <c r="N52" i="95"/>
  <c r="X52" i="95" s="1"/>
  <c r="N51" i="95"/>
  <c r="X51" i="95" s="1"/>
  <c r="N50" i="95"/>
  <c r="X50" i="95" s="1"/>
  <c r="N49" i="95"/>
  <c r="X49" i="95" s="1"/>
  <c r="N48" i="95"/>
  <c r="X48" i="95" s="1"/>
  <c r="N47" i="95"/>
  <c r="X47" i="95" s="1"/>
  <c r="N46" i="95"/>
  <c r="X46" i="95" s="1"/>
  <c r="N45" i="95"/>
  <c r="X45" i="95" s="1"/>
  <c r="N43" i="95"/>
  <c r="X43" i="95" s="1"/>
  <c r="N42" i="95"/>
  <c r="X42" i="95" s="1"/>
  <c r="N41" i="95"/>
  <c r="X41" i="95" s="1"/>
  <c r="N40" i="95"/>
  <c r="X40" i="95" s="1"/>
  <c r="N39" i="95"/>
  <c r="X39" i="95" s="1"/>
  <c r="N38" i="95"/>
  <c r="X38" i="95" s="1"/>
  <c r="N37" i="95"/>
  <c r="X37" i="95" s="1"/>
  <c r="N36" i="95"/>
  <c r="X36" i="95" s="1"/>
  <c r="N35" i="95"/>
  <c r="X35" i="95" s="1"/>
  <c r="N34" i="95"/>
  <c r="X34" i="95" s="1"/>
  <c r="N32" i="95"/>
  <c r="X32" i="95" s="1"/>
  <c r="N31" i="95"/>
  <c r="X31" i="95" s="1"/>
  <c r="N30" i="95"/>
  <c r="X30" i="95" s="1"/>
  <c r="N29" i="95"/>
  <c r="X29" i="95" s="1"/>
  <c r="N28" i="95"/>
  <c r="X28" i="95" s="1"/>
  <c r="N27" i="95"/>
  <c r="X27" i="95" s="1"/>
  <c r="N26" i="95"/>
  <c r="X26" i="95" s="1"/>
  <c r="N24" i="95"/>
  <c r="X24" i="95" s="1"/>
  <c r="N23" i="95"/>
  <c r="X23" i="95" s="1"/>
  <c r="N22" i="95"/>
  <c r="X22" i="95" s="1"/>
  <c r="N21" i="95"/>
  <c r="X21" i="95" s="1"/>
  <c r="N20" i="95"/>
  <c r="X20" i="95" s="1"/>
  <c r="N19" i="95"/>
  <c r="X19" i="95" s="1"/>
  <c r="N18" i="95"/>
  <c r="X18" i="95" s="1"/>
  <c r="N17" i="95"/>
  <c r="X17" i="95" s="1"/>
  <c r="N16" i="95"/>
  <c r="X16" i="95" s="1"/>
  <c r="N15" i="95"/>
  <c r="X15" i="95" s="1"/>
  <c r="N13" i="95"/>
  <c r="X13" i="95" s="1"/>
  <c r="N11" i="95"/>
  <c r="X11" i="95" s="1"/>
  <c r="N10" i="95"/>
  <c r="X10" i="95" s="1"/>
  <c r="N9" i="95"/>
  <c r="X9" i="95" s="1"/>
  <c r="N8" i="95"/>
  <c r="X8" i="95" s="1"/>
  <c r="N6" i="95"/>
  <c r="X6" i="95" s="1"/>
  <c r="N5" i="95"/>
  <c r="X5" i="95" s="1"/>
  <c r="J125" i="95"/>
  <c r="U125" i="95" s="1"/>
  <c r="J124" i="95"/>
  <c r="U124" i="95" s="1"/>
  <c r="J123" i="95"/>
  <c r="U123" i="95" s="1"/>
  <c r="J122" i="95"/>
  <c r="U122" i="95" s="1"/>
  <c r="J121" i="95"/>
  <c r="U121" i="95" s="1"/>
  <c r="J120" i="95"/>
  <c r="U120" i="95" s="1"/>
  <c r="J119" i="95"/>
  <c r="U119" i="95" s="1"/>
  <c r="J118" i="95"/>
  <c r="U118" i="95" s="1"/>
  <c r="J117" i="95"/>
  <c r="U117" i="95" s="1"/>
  <c r="J116" i="95"/>
  <c r="U116" i="95" s="1"/>
  <c r="J115" i="95"/>
  <c r="U115" i="95" s="1"/>
  <c r="J114" i="95"/>
  <c r="U114" i="95" s="1"/>
  <c r="J113" i="95"/>
  <c r="U113" i="95" s="1"/>
  <c r="J112" i="95"/>
  <c r="U112" i="95" s="1"/>
  <c r="J111" i="95"/>
  <c r="U111" i="95" s="1"/>
  <c r="J110" i="95"/>
  <c r="U110" i="95" s="1"/>
  <c r="J109" i="95"/>
  <c r="U109" i="95" s="1"/>
  <c r="J108" i="95"/>
  <c r="U108" i="95" s="1"/>
  <c r="J107" i="95"/>
  <c r="U107" i="95" s="1"/>
  <c r="J106" i="95"/>
  <c r="U106" i="95" s="1"/>
  <c r="J105" i="95"/>
  <c r="U105" i="95" s="1"/>
  <c r="J104" i="95"/>
  <c r="U104" i="95" s="1"/>
  <c r="J103" i="95"/>
  <c r="U103" i="95" s="1"/>
  <c r="J102" i="95"/>
  <c r="U102" i="95" s="1"/>
  <c r="J101" i="95"/>
  <c r="U101" i="95" s="1"/>
  <c r="J100" i="95"/>
  <c r="U100" i="95" s="1"/>
  <c r="J98" i="95"/>
  <c r="U98" i="95" s="1"/>
  <c r="J97" i="95"/>
  <c r="U97" i="95" s="1"/>
  <c r="J96" i="95"/>
  <c r="U96" i="95" s="1"/>
  <c r="J95" i="95"/>
  <c r="U95" i="95" s="1"/>
  <c r="J94" i="95"/>
  <c r="U94" i="95" s="1"/>
  <c r="J93" i="95"/>
  <c r="U93" i="95" s="1"/>
  <c r="J92" i="95"/>
  <c r="U92" i="95" s="1"/>
  <c r="J91" i="95"/>
  <c r="U91" i="95" s="1"/>
  <c r="J90" i="95"/>
  <c r="U90" i="95" s="1"/>
  <c r="J89" i="95"/>
  <c r="U89" i="95" s="1"/>
  <c r="J88" i="95"/>
  <c r="U88" i="95" s="1"/>
  <c r="J87" i="95"/>
  <c r="U87" i="95" s="1"/>
  <c r="J86" i="95"/>
  <c r="U86" i="95" s="1"/>
  <c r="J85" i="95"/>
  <c r="U85" i="95" s="1"/>
  <c r="J84" i="95"/>
  <c r="U84" i="95" s="1"/>
  <c r="J80" i="95"/>
  <c r="U80" i="95" s="1"/>
  <c r="J79" i="95"/>
  <c r="U79" i="95" s="1"/>
  <c r="J78" i="95"/>
  <c r="U78" i="95" s="1"/>
  <c r="J77" i="95"/>
  <c r="U77" i="95" s="1"/>
  <c r="J76" i="95"/>
  <c r="U76" i="95" s="1"/>
  <c r="J75" i="95"/>
  <c r="U75" i="95" s="1"/>
  <c r="J74" i="95"/>
  <c r="U74" i="95" s="1"/>
  <c r="J73" i="95"/>
  <c r="U73" i="95" s="1"/>
  <c r="J72" i="95"/>
  <c r="U72" i="95" s="1"/>
  <c r="J71" i="95"/>
  <c r="U71" i="95" s="1"/>
  <c r="J70" i="95"/>
  <c r="U70" i="95" s="1"/>
  <c r="J69" i="95"/>
  <c r="U69" i="95" s="1"/>
  <c r="J68" i="95"/>
  <c r="U68" i="95" s="1"/>
  <c r="J67" i="95"/>
  <c r="U67" i="95" s="1"/>
  <c r="J66" i="95"/>
  <c r="U66" i="95" s="1"/>
  <c r="J65" i="95"/>
  <c r="U65" i="95" s="1"/>
  <c r="J64" i="95"/>
  <c r="U64" i="95" s="1"/>
  <c r="J63" i="95"/>
  <c r="U63" i="95" s="1"/>
  <c r="J62" i="95"/>
  <c r="U62" i="95" s="1"/>
  <c r="J61" i="95"/>
  <c r="U61" i="95" s="1"/>
  <c r="J60" i="95"/>
  <c r="U60" i="95" s="1"/>
  <c r="J59" i="95"/>
  <c r="U59" i="95" s="1"/>
  <c r="J58" i="95"/>
  <c r="U58" i="95" s="1"/>
  <c r="J57" i="95"/>
  <c r="U57" i="95" s="1"/>
  <c r="J56" i="95"/>
  <c r="U56" i="95" s="1"/>
  <c r="J55" i="95"/>
  <c r="U55" i="95" s="1"/>
  <c r="J54" i="95"/>
  <c r="U54" i="95" s="1"/>
  <c r="J53" i="95"/>
  <c r="U53" i="95" s="1"/>
  <c r="J52" i="95"/>
  <c r="U52" i="95" s="1"/>
  <c r="J51" i="95"/>
  <c r="U51" i="95" s="1"/>
  <c r="J50" i="95"/>
  <c r="U50" i="95" s="1"/>
  <c r="J49" i="95"/>
  <c r="U49" i="95" s="1"/>
  <c r="J48" i="95"/>
  <c r="U48" i="95" s="1"/>
  <c r="J47" i="95"/>
  <c r="U47" i="95" s="1"/>
  <c r="J46" i="95"/>
  <c r="U46" i="95" s="1"/>
  <c r="J45" i="95"/>
  <c r="U45" i="95" s="1"/>
  <c r="J43" i="95"/>
  <c r="U43" i="95" s="1"/>
  <c r="J42" i="95"/>
  <c r="U42" i="95" s="1"/>
  <c r="J41" i="95"/>
  <c r="U41" i="95" s="1"/>
  <c r="J40" i="95"/>
  <c r="U40" i="95" s="1"/>
  <c r="J39" i="95"/>
  <c r="U39" i="95" s="1"/>
  <c r="J38" i="95"/>
  <c r="U38" i="95" s="1"/>
  <c r="J37" i="95"/>
  <c r="U37" i="95" s="1"/>
  <c r="J36" i="95"/>
  <c r="U36" i="95" s="1"/>
  <c r="J35" i="95"/>
  <c r="U35" i="95" s="1"/>
  <c r="J34" i="95"/>
  <c r="U34" i="95" s="1"/>
  <c r="J32" i="95"/>
  <c r="U32" i="95" s="1"/>
  <c r="J31" i="95"/>
  <c r="U31" i="95" s="1"/>
  <c r="J30" i="95"/>
  <c r="U30" i="95" s="1"/>
  <c r="J29" i="95"/>
  <c r="U29" i="95" s="1"/>
  <c r="J28" i="95"/>
  <c r="U28" i="95" s="1"/>
  <c r="J27" i="95"/>
  <c r="U27" i="95" s="1"/>
  <c r="J26" i="95"/>
  <c r="U26" i="95" s="1"/>
  <c r="J24" i="95"/>
  <c r="U24" i="95" s="1"/>
  <c r="J23" i="95"/>
  <c r="U23" i="95" s="1"/>
  <c r="J22" i="95"/>
  <c r="U22" i="95" s="1"/>
  <c r="J21" i="95"/>
  <c r="U21" i="95" s="1"/>
  <c r="J20" i="95"/>
  <c r="U20" i="95" s="1"/>
  <c r="J19" i="95"/>
  <c r="U19" i="95" s="1"/>
  <c r="J18" i="95"/>
  <c r="U18" i="95" s="1"/>
  <c r="J17" i="95"/>
  <c r="U17" i="95" s="1"/>
  <c r="J16" i="95"/>
  <c r="U16" i="95" s="1"/>
  <c r="J15" i="95"/>
  <c r="U15" i="95" s="1"/>
  <c r="J13" i="95"/>
  <c r="U13" i="95" s="1"/>
  <c r="J11" i="95"/>
  <c r="U11" i="95" s="1"/>
  <c r="J10" i="95"/>
  <c r="U10" i="95" s="1"/>
  <c r="J9" i="95"/>
  <c r="U9" i="95" s="1"/>
  <c r="J8" i="95"/>
  <c r="U8" i="95" s="1"/>
  <c r="J6" i="95"/>
  <c r="U6" i="95" s="1"/>
  <c r="J5" i="95"/>
  <c r="U5" i="95" s="1"/>
  <c r="F125" i="95"/>
  <c r="R125" i="95" s="1"/>
  <c r="F124" i="95"/>
  <c r="R124" i="95" s="1"/>
  <c r="F123" i="95"/>
  <c r="R123" i="95" s="1"/>
  <c r="F122" i="95"/>
  <c r="R122" i="95" s="1"/>
  <c r="F121" i="95"/>
  <c r="R121" i="95" s="1"/>
  <c r="F120" i="95"/>
  <c r="R120" i="95" s="1"/>
  <c r="F119" i="95"/>
  <c r="R119" i="95" s="1"/>
  <c r="F118" i="95"/>
  <c r="R118" i="95" s="1"/>
  <c r="F117" i="95"/>
  <c r="R117" i="95" s="1"/>
  <c r="F116" i="95"/>
  <c r="R116" i="95" s="1"/>
  <c r="F115" i="95"/>
  <c r="R115" i="95" s="1"/>
  <c r="F114" i="95"/>
  <c r="R114" i="95" s="1"/>
  <c r="F113" i="95"/>
  <c r="R113" i="95" s="1"/>
  <c r="F112" i="95"/>
  <c r="R112" i="95" s="1"/>
  <c r="F111" i="95"/>
  <c r="R111" i="95" s="1"/>
  <c r="F110" i="95"/>
  <c r="R110" i="95" s="1"/>
  <c r="F109" i="95"/>
  <c r="R109" i="95" s="1"/>
  <c r="F108" i="95"/>
  <c r="R108" i="95" s="1"/>
  <c r="F107" i="95"/>
  <c r="R107" i="95" s="1"/>
  <c r="F106" i="95"/>
  <c r="R106" i="95" s="1"/>
  <c r="F105" i="95"/>
  <c r="R105" i="95" s="1"/>
  <c r="F104" i="95"/>
  <c r="R104" i="95" s="1"/>
  <c r="F103" i="95"/>
  <c r="R103" i="95" s="1"/>
  <c r="F102" i="95"/>
  <c r="R102" i="95" s="1"/>
  <c r="F101" i="95"/>
  <c r="R101" i="95" s="1"/>
  <c r="F100" i="95"/>
  <c r="R100" i="95" s="1"/>
  <c r="F98" i="95"/>
  <c r="R98" i="95" s="1"/>
  <c r="F97" i="95"/>
  <c r="R97" i="95" s="1"/>
  <c r="F96" i="95"/>
  <c r="R96" i="95" s="1"/>
  <c r="F95" i="95"/>
  <c r="R95" i="95" s="1"/>
  <c r="F94" i="95"/>
  <c r="R94" i="95" s="1"/>
  <c r="F93" i="95"/>
  <c r="R93" i="95" s="1"/>
  <c r="F92" i="95"/>
  <c r="R92" i="95" s="1"/>
  <c r="F91" i="95"/>
  <c r="R91" i="95" s="1"/>
  <c r="F90" i="95"/>
  <c r="R90" i="95" s="1"/>
  <c r="F89" i="95"/>
  <c r="R89" i="95" s="1"/>
  <c r="F88" i="95"/>
  <c r="R88" i="95" s="1"/>
  <c r="F87" i="95"/>
  <c r="R87" i="95" s="1"/>
  <c r="F86" i="95"/>
  <c r="R86" i="95" s="1"/>
  <c r="F85" i="95"/>
  <c r="R85" i="95" s="1"/>
  <c r="F84" i="95"/>
  <c r="R84" i="95" s="1"/>
  <c r="R82" i="95"/>
  <c r="F80" i="95"/>
  <c r="R80" i="95" s="1"/>
  <c r="F79" i="95"/>
  <c r="R79" i="95" s="1"/>
  <c r="F78" i="95"/>
  <c r="R78" i="95" s="1"/>
  <c r="F77" i="95"/>
  <c r="R77" i="95" s="1"/>
  <c r="F76" i="95"/>
  <c r="R76" i="95" s="1"/>
  <c r="F75" i="95"/>
  <c r="R75" i="95" s="1"/>
  <c r="F74" i="95"/>
  <c r="R74" i="95" s="1"/>
  <c r="F73" i="95"/>
  <c r="R73" i="95" s="1"/>
  <c r="F72" i="95"/>
  <c r="R72" i="95" s="1"/>
  <c r="F71" i="95"/>
  <c r="R71" i="95" s="1"/>
  <c r="F70" i="95"/>
  <c r="R70" i="95" s="1"/>
  <c r="F69" i="95"/>
  <c r="R69" i="95" s="1"/>
  <c r="F68" i="95"/>
  <c r="R68" i="95" s="1"/>
  <c r="F67" i="95"/>
  <c r="R67" i="95" s="1"/>
  <c r="F66" i="95"/>
  <c r="R66" i="95" s="1"/>
  <c r="F65" i="95"/>
  <c r="R65" i="95" s="1"/>
  <c r="F64" i="95"/>
  <c r="R64" i="95" s="1"/>
  <c r="F63" i="95"/>
  <c r="R63" i="95" s="1"/>
  <c r="F62" i="95"/>
  <c r="R62" i="95" s="1"/>
  <c r="F61" i="95"/>
  <c r="R61" i="95" s="1"/>
  <c r="F60" i="95"/>
  <c r="R60" i="95" s="1"/>
  <c r="F59" i="95"/>
  <c r="R59" i="95" s="1"/>
  <c r="F58" i="95"/>
  <c r="R58" i="95" s="1"/>
  <c r="F57" i="95"/>
  <c r="R57" i="95" s="1"/>
  <c r="F56" i="95"/>
  <c r="R56" i="95" s="1"/>
  <c r="F55" i="95"/>
  <c r="R55" i="95" s="1"/>
  <c r="F54" i="95"/>
  <c r="R54" i="95" s="1"/>
  <c r="F53" i="95"/>
  <c r="R53" i="95" s="1"/>
  <c r="F52" i="95"/>
  <c r="R52" i="95" s="1"/>
  <c r="F51" i="95"/>
  <c r="R51" i="95" s="1"/>
  <c r="F50" i="95"/>
  <c r="R50" i="95" s="1"/>
  <c r="F49" i="95"/>
  <c r="R49" i="95" s="1"/>
  <c r="F48" i="95"/>
  <c r="R48" i="95" s="1"/>
  <c r="F47" i="95"/>
  <c r="R47" i="95" s="1"/>
  <c r="F46" i="95"/>
  <c r="R46" i="95" s="1"/>
  <c r="F45" i="95"/>
  <c r="R45" i="95" s="1"/>
  <c r="F43" i="95"/>
  <c r="R43" i="95" s="1"/>
  <c r="F42" i="95"/>
  <c r="R42" i="95" s="1"/>
  <c r="F41" i="95"/>
  <c r="R41" i="95" s="1"/>
  <c r="F40" i="95"/>
  <c r="R40" i="95" s="1"/>
  <c r="F39" i="95"/>
  <c r="R39" i="95" s="1"/>
  <c r="F38" i="95"/>
  <c r="R38" i="95" s="1"/>
  <c r="F37" i="95"/>
  <c r="R37" i="95" s="1"/>
  <c r="F36" i="95"/>
  <c r="R36" i="95" s="1"/>
  <c r="F35" i="95"/>
  <c r="R35" i="95" s="1"/>
  <c r="F34" i="95"/>
  <c r="R34" i="95" s="1"/>
  <c r="F32" i="95"/>
  <c r="R32" i="95" s="1"/>
  <c r="F31" i="95"/>
  <c r="R31" i="95" s="1"/>
  <c r="F30" i="95"/>
  <c r="R30" i="95" s="1"/>
  <c r="F29" i="95"/>
  <c r="R29" i="95" s="1"/>
  <c r="F28" i="95"/>
  <c r="R28" i="95" s="1"/>
  <c r="F27" i="95"/>
  <c r="R27" i="95" s="1"/>
  <c r="F26" i="95"/>
  <c r="R26" i="95" s="1"/>
  <c r="F24" i="95"/>
  <c r="R24" i="95" s="1"/>
  <c r="F23" i="95"/>
  <c r="R23" i="95" s="1"/>
  <c r="F22" i="95"/>
  <c r="R22" i="95" s="1"/>
  <c r="F21" i="95"/>
  <c r="R21" i="95" s="1"/>
  <c r="F20" i="95"/>
  <c r="F19" i="95"/>
  <c r="R19" i="95" s="1"/>
  <c r="F18" i="95"/>
  <c r="R18" i="95" s="1"/>
  <c r="F17" i="95"/>
  <c r="R17" i="95" s="1"/>
  <c r="F16" i="95"/>
  <c r="R16" i="95" s="1"/>
  <c r="F15" i="95"/>
  <c r="R15" i="95" s="1"/>
  <c r="F13" i="95"/>
  <c r="R13" i="95" s="1"/>
  <c r="F11" i="95"/>
  <c r="R11" i="95" s="1"/>
  <c r="F10" i="95"/>
  <c r="R10" i="95" s="1"/>
  <c r="F9" i="95"/>
  <c r="R9" i="95" s="1"/>
  <c r="F8" i="95"/>
  <c r="R8" i="95" s="1"/>
  <c r="F6" i="95"/>
  <c r="R6" i="95" s="1"/>
  <c r="F5" i="95"/>
  <c r="R5" i="95" s="1"/>
  <c r="H5" i="90"/>
  <c r="I5" i="90"/>
  <c r="J5" i="90"/>
  <c r="G5" i="90"/>
  <c r="F5" i="90"/>
  <c r="E5" i="90"/>
  <c r="D5" i="90"/>
  <c r="K5" i="91"/>
  <c r="J5" i="91"/>
  <c r="F5" i="91"/>
  <c r="E5" i="91"/>
  <c r="D5" i="91"/>
  <c r="G4" i="63"/>
  <c r="F4" i="63"/>
  <c r="E4" i="63"/>
  <c r="D4" i="63"/>
  <c r="N133" i="72"/>
  <c r="M133" i="72"/>
  <c r="N132" i="72"/>
  <c r="M132" i="72"/>
  <c r="N131" i="72"/>
  <c r="M131" i="72"/>
  <c r="N130" i="72"/>
  <c r="M130" i="72"/>
  <c r="N129" i="72"/>
  <c r="M129" i="72"/>
  <c r="K133" i="72"/>
  <c r="J133" i="72"/>
  <c r="K132" i="72"/>
  <c r="J132" i="72"/>
  <c r="K131" i="72"/>
  <c r="J131" i="72"/>
  <c r="K130" i="72"/>
  <c r="J130" i="72"/>
  <c r="K129" i="72"/>
  <c r="J129" i="72"/>
  <c r="H133" i="72"/>
  <c r="G133" i="72"/>
  <c r="H132" i="72"/>
  <c r="G132" i="72"/>
  <c r="H131" i="72"/>
  <c r="Q131" i="72" s="1"/>
  <c r="G131" i="72"/>
  <c r="H130" i="72"/>
  <c r="G130" i="72"/>
  <c r="H129" i="72"/>
  <c r="G129" i="72"/>
  <c r="E133" i="72"/>
  <c r="E132" i="72"/>
  <c r="E131" i="72"/>
  <c r="E130" i="72"/>
  <c r="E129" i="72"/>
  <c r="D133" i="72"/>
  <c r="D132" i="72"/>
  <c r="D131" i="72"/>
  <c r="D130" i="72"/>
  <c r="D129" i="72"/>
  <c r="F124" i="57"/>
  <c r="E125" i="118" s="1"/>
  <c r="E124" i="57"/>
  <c r="D125" i="118" s="1"/>
  <c r="F123" i="57"/>
  <c r="E124" i="118" s="1"/>
  <c r="E123" i="57"/>
  <c r="D124" i="118" s="1"/>
  <c r="F122" i="57"/>
  <c r="E123" i="118" s="1"/>
  <c r="E122" i="57"/>
  <c r="D123" i="118" s="1"/>
  <c r="F121" i="57"/>
  <c r="E122" i="118" s="1"/>
  <c r="E121" i="57"/>
  <c r="D122" i="118" s="1"/>
  <c r="F120" i="57"/>
  <c r="E121" i="118" s="1"/>
  <c r="E120" i="57"/>
  <c r="D121" i="118" s="1"/>
  <c r="F119" i="57"/>
  <c r="E120" i="118" s="1"/>
  <c r="E119" i="57"/>
  <c r="D120" i="118" s="1"/>
  <c r="F118" i="57"/>
  <c r="E119" i="118" s="1"/>
  <c r="E118" i="57"/>
  <c r="D119" i="118" s="1"/>
  <c r="F117" i="57"/>
  <c r="E118" i="118" s="1"/>
  <c r="E117" i="57"/>
  <c r="D118" i="118" s="1"/>
  <c r="F116" i="57"/>
  <c r="E117" i="118" s="1"/>
  <c r="E116" i="57"/>
  <c r="D117" i="118" s="1"/>
  <c r="F115" i="57"/>
  <c r="E116" i="118" s="1"/>
  <c r="E115" i="57"/>
  <c r="D116" i="118" s="1"/>
  <c r="F114" i="57"/>
  <c r="E115" i="118" s="1"/>
  <c r="E114" i="57"/>
  <c r="D115" i="118" s="1"/>
  <c r="F113" i="57"/>
  <c r="E114" i="118" s="1"/>
  <c r="E113" i="57"/>
  <c r="D114" i="118" s="1"/>
  <c r="F112" i="57"/>
  <c r="E113" i="118" s="1"/>
  <c r="E112" i="57"/>
  <c r="D113" i="118" s="1"/>
  <c r="F111" i="57"/>
  <c r="E112" i="118" s="1"/>
  <c r="E111" i="57"/>
  <c r="D112" i="118" s="1"/>
  <c r="F110" i="57"/>
  <c r="E111" i="118" s="1"/>
  <c r="E110" i="57"/>
  <c r="D111" i="118" s="1"/>
  <c r="F109" i="57"/>
  <c r="E110" i="118" s="1"/>
  <c r="E109" i="57"/>
  <c r="D110" i="118" s="1"/>
  <c r="F108" i="57"/>
  <c r="E109" i="118" s="1"/>
  <c r="E108" i="57"/>
  <c r="D109" i="118" s="1"/>
  <c r="F107" i="57"/>
  <c r="E108" i="118" s="1"/>
  <c r="E107" i="57"/>
  <c r="D108" i="118" s="1"/>
  <c r="F106" i="57"/>
  <c r="E107" i="118" s="1"/>
  <c r="E106" i="57"/>
  <c r="D107" i="118" s="1"/>
  <c r="F105" i="57"/>
  <c r="E106" i="118" s="1"/>
  <c r="E105" i="57"/>
  <c r="D106" i="118" s="1"/>
  <c r="F104" i="57"/>
  <c r="E105" i="118" s="1"/>
  <c r="E104" i="57"/>
  <c r="D105" i="118" s="1"/>
  <c r="F103" i="57"/>
  <c r="E104" i="118" s="1"/>
  <c r="E103" i="57"/>
  <c r="D104" i="118" s="1"/>
  <c r="F102" i="57"/>
  <c r="E103" i="118" s="1"/>
  <c r="E102" i="57"/>
  <c r="D103" i="118" s="1"/>
  <c r="F101" i="57"/>
  <c r="E102" i="118" s="1"/>
  <c r="E101" i="57"/>
  <c r="D102" i="118" s="1"/>
  <c r="F100" i="57"/>
  <c r="E101" i="118" s="1"/>
  <c r="E100" i="57"/>
  <c r="D101" i="118" s="1"/>
  <c r="F99" i="57"/>
  <c r="E100" i="118" s="1"/>
  <c r="E99" i="57"/>
  <c r="D100" i="118" s="1"/>
  <c r="F98" i="57"/>
  <c r="E99" i="118" s="1"/>
  <c r="E98" i="57"/>
  <c r="D99" i="118" s="1"/>
  <c r="F97" i="57"/>
  <c r="E98" i="118" s="1"/>
  <c r="E97" i="57"/>
  <c r="D98" i="118" s="1"/>
  <c r="F96" i="57"/>
  <c r="E97" i="118" s="1"/>
  <c r="E96" i="57"/>
  <c r="D97" i="118" s="1"/>
  <c r="F95" i="57"/>
  <c r="E96" i="118" s="1"/>
  <c r="E95" i="57"/>
  <c r="D96" i="118" s="1"/>
  <c r="F94" i="57"/>
  <c r="E95" i="118" s="1"/>
  <c r="E94" i="57"/>
  <c r="D95" i="118" s="1"/>
  <c r="F93" i="57"/>
  <c r="E94" i="118" s="1"/>
  <c r="E93" i="57"/>
  <c r="D94" i="118" s="1"/>
  <c r="F92" i="57"/>
  <c r="E93" i="118" s="1"/>
  <c r="E92" i="57"/>
  <c r="D93" i="118" s="1"/>
  <c r="F91" i="57"/>
  <c r="E92" i="118" s="1"/>
  <c r="E91" i="57"/>
  <c r="D92" i="118" s="1"/>
  <c r="F90" i="57"/>
  <c r="E91" i="118" s="1"/>
  <c r="E90" i="57"/>
  <c r="D91" i="118" s="1"/>
  <c r="F89" i="57"/>
  <c r="E90" i="118" s="1"/>
  <c r="E89" i="57"/>
  <c r="D90" i="118" s="1"/>
  <c r="F88" i="57"/>
  <c r="E89" i="118" s="1"/>
  <c r="E88" i="57"/>
  <c r="D89" i="118" s="1"/>
  <c r="F87" i="57"/>
  <c r="E88" i="118" s="1"/>
  <c r="E87" i="57"/>
  <c r="D88" i="118" s="1"/>
  <c r="F86" i="57"/>
  <c r="E87" i="118" s="1"/>
  <c r="E86" i="57"/>
  <c r="D87" i="118" s="1"/>
  <c r="F85" i="57"/>
  <c r="E86" i="118" s="1"/>
  <c r="E85" i="57"/>
  <c r="D86" i="118" s="1"/>
  <c r="F84" i="57"/>
  <c r="E85" i="118" s="1"/>
  <c r="E84" i="57"/>
  <c r="D85" i="118" s="1"/>
  <c r="F83" i="57"/>
  <c r="E84" i="118" s="1"/>
  <c r="E83" i="57"/>
  <c r="D84" i="118" s="1"/>
  <c r="F82" i="57"/>
  <c r="E83" i="118" s="1"/>
  <c r="E82" i="57"/>
  <c r="D83" i="118" s="1"/>
  <c r="F81" i="57"/>
  <c r="E82" i="118" s="1"/>
  <c r="E81" i="57"/>
  <c r="D82" i="118" s="1"/>
  <c r="F80" i="57"/>
  <c r="E81" i="118" s="1"/>
  <c r="E80" i="57"/>
  <c r="D81" i="118" s="1"/>
  <c r="F79" i="57"/>
  <c r="E80" i="118" s="1"/>
  <c r="E79" i="57"/>
  <c r="D80" i="118" s="1"/>
  <c r="F78" i="57"/>
  <c r="E79" i="118" s="1"/>
  <c r="E78" i="57"/>
  <c r="D79" i="118" s="1"/>
  <c r="F77" i="57"/>
  <c r="E78" i="118" s="1"/>
  <c r="E77" i="57"/>
  <c r="D78" i="118" s="1"/>
  <c r="F76" i="57"/>
  <c r="E77" i="118" s="1"/>
  <c r="E76" i="57"/>
  <c r="D77" i="118" s="1"/>
  <c r="F75" i="57"/>
  <c r="E76" i="118" s="1"/>
  <c r="E75" i="57"/>
  <c r="D76" i="118" s="1"/>
  <c r="F74" i="57"/>
  <c r="E75" i="118" s="1"/>
  <c r="E74" i="57"/>
  <c r="D75" i="118" s="1"/>
  <c r="F73" i="57"/>
  <c r="E74" i="118" s="1"/>
  <c r="E73" i="57"/>
  <c r="D74" i="118" s="1"/>
  <c r="F72" i="57"/>
  <c r="E73" i="118" s="1"/>
  <c r="E72" i="57"/>
  <c r="D73" i="118" s="1"/>
  <c r="F71" i="57"/>
  <c r="E72" i="118" s="1"/>
  <c r="E71" i="57"/>
  <c r="D72" i="118" s="1"/>
  <c r="F70" i="57"/>
  <c r="E71" i="118" s="1"/>
  <c r="E70" i="57"/>
  <c r="D71" i="118" s="1"/>
  <c r="F69" i="57"/>
  <c r="E70" i="118" s="1"/>
  <c r="E69" i="57"/>
  <c r="D70" i="118" s="1"/>
  <c r="F68" i="57"/>
  <c r="E69" i="118" s="1"/>
  <c r="E68" i="57"/>
  <c r="D69" i="118" s="1"/>
  <c r="F67" i="57"/>
  <c r="E68" i="118" s="1"/>
  <c r="E67" i="57"/>
  <c r="D68" i="118" s="1"/>
  <c r="F66" i="57"/>
  <c r="E67" i="118" s="1"/>
  <c r="E66" i="57"/>
  <c r="D67" i="118" s="1"/>
  <c r="F65" i="57"/>
  <c r="E66" i="118" s="1"/>
  <c r="E65" i="57"/>
  <c r="D66" i="118" s="1"/>
  <c r="F64" i="57"/>
  <c r="E65" i="118" s="1"/>
  <c r="E64" i="57"/>
  <c r="D65" i="118" s="1"/>
  <c r="F63" i="57"/>
  <c r="E64" i="118" s="1"/>
  <c r="E63" i="57"/>
  <c r="D64" i="118" s="1"/>
  <c r="F62" i="57"/>
  <c r="E63" i="118" s="1"/>
  <c r="E62" i="57"/>
  <c r="D63" i="118" s="1"/>
  <c r="F61" i="57"/>
  <c r="E62" i="118" s="1"/>
  <c r="E61" i="57"/>
  <c r="D62" i="118" s="1"/>
  <c r="F60" i="57"/>
  <c r="E61" i="118" s="1"/>
  <c r="E60" i="57"/>
  <c r="D61" i="118" s="1"/>
  <c r="F59" i="57"/>
  <c r="E60" i="118" s="1"/>
  <c r="E59" i="57"/>
  <c r="D60" i="118" s="1"/>
  <c r="F58" i="57"/>
  <c r="E59" i="118" s="1"/>
  <c r="E58" i="57"/>
  <c r="D59" i="118" s="1"/>
  <c r="F57" i="57"/>
  <c r="E58" i="118" s="1"/>
  <c r="E57" i="57"/>
  <c r="D58" i="118" s="1"/>
  <c r="F56" i="57"/>
  <c r="E57" i="118" s="1"/>
  <c r="E56" i="57"/>
  <c r="D57" i="118" s="1"/>
  <c r="F55" i="57"/>
  <c r="E56" i="118" s="1"/>
  <c r="E55" i="57"/>
  <c r="D56" i="118" s="1"/>
  <c r="F54" i="57"/>
  <c r="E55" i="118" s="1"/>
  <c r="E54" i="57"/>
  <c r="D55" i="118" s="1"/>
  <c r="F53" i="57"/>
  <c r="E54" i="118" s="1"/>
  <c r="E53" i="57"/>
  <c r="D54" i="118" s="1"/>
  <c r="F52" i="57"/>
  <c r="E53" i="118" s="1"/>
  <c r="E52" i="57"/>
  <c r="D53" i="118" s="1"/>
  <c r="F51" i="57"/>
  <c r="E52" i="118" s="1"/>
  <c r="E51" i="57"/>
  <c r="D52" i="118" s="1"/>
  <c r="F50" i="57"/>
  <c r="E51" i="118" s="1"/>
  <c r="E50" i="57"/>
  <c r="D51" i="118" s="1"/>
  <c r="F49" i="57"/>
  <c r="E50" i="118" s="1"/>
  <c r="E49" i="57"/>
  <c r="D50" i="118" s="1"/>
  <c r="F48" i="57"/>
  <c r="E49" i="118" s="1"/>
  <c r="E48" i="57"/>
  <c r="D49" i="118" s="1"/>
  <c r="F47" i="57"/>
  <c r="E48" i="118" s="1"/>
  <c r="E47" i="57"/>
  <c r="D48" i="118" s="1"/>
  <c r="F46" i="57"/>
  <c r="E47" i="118" s="1"/>
  <c r="E46" i="57"/>
  <c r="D47" i="118" s="1"/>
  <c r="F45" i="57"/>
  <c r="E46" i="118" s="1"/>
  <c r="E45" i="57"/>
  <c r="D46" i="118" s="1"/>
  <c r="F44" i="57"/>
  <c r="E45" i="118" s="1"/>
  <c r="E44" i="57"/>
  <c r="D45" i="118" s="1"/>
  <c r="F43" i="57"/>
  <c r="E44" i="118" s="1"/>
  <c r="E43" i="57"/>
  <c r="D44" i="118" s="1"/>
  <c r="F42" i="57"/>
  <c r="E43" i="118" s="1"/>
  <c r="E42" i="57"/>
  <c r="D43" i="118" s="1"/>
  <c r="F41" i="57"/>
  <c r="E42" i="118" s="1"/>
  <c r="E41" i="57"/>
  <c r="D42" i="118" s="1"/>
  <c r="F40" i="57"/>
  <c r="E41" i="118" s="1"/>
  <c r="E40" i="57"/>
  <c r="D41" i="118" s="1"/>
  <c r="F39" i="57"/>
  <c r="E40" i="118" s="1"/>
  <c r="E39" i="57"/>
  <c r="D40" i="118" s="1"/>
  <c r="F38" i="57"/>
  <c r="E39" i="118" s="1"/>
  <c r="E38" i="57"/>
  <c r="D39" i="118" s="1"/>
  <c r="F37" i="57"/>
  <c r="E38" i="118" s="1"/>
  <c r="E37" i="57"/>
  <c r="D38" i="118" s="1"/>
  <c r="F36" i="57"/>
  <c r="E37" i="118" s="1"/>
  <c r="E36" i="57"/>
  <c r="D37" i="118" s="1"/>
  <c r="F35" i="57"/>
  <c r="E36" i="118" s="1"/>
  <c r="E35" i="57"/>
  <c r="D36" i="118" s="1"/>
  <c r="F34" i="57"/>
  <c r="E35" i="118" s="1"/>
  <c r="E34" i="57"/>
  <c r="D35" i="118" s="1"/>
  <c r="F33" i="57"/>
  <c r="E34" i="118" s="1"/>
  <c r="E33" i="57"/>
  <c r="D34" i="118" s="1"/>
  <c r="F32" i="57"/>
  <c r="E33" i="118" s="1"/>
  <c r="E32" i="57"/>
  <c r="D33" i="118" s="1"/>
  <c r="F31" i="57"/>
  <c r="E32" i="118" s="1"/>
  <c r="E31" i="57"/>
  <c r="D32" i="118" s="1"/>
  <c r="F30" i="57"/>
  <c r="E31" i="118" s="1"/>
  <c r="E30" i="57"/>
  <c r="D31" i="118" s="1"/>
  <c r="F29" i="57"/>
  <c r="E30" i="118" s="1"/>
  <c r="E29" i="57"/>
  <c r="D30" i="118" s="1"/>
  <c r="F28" i="57"/>
  <c r="E29" i="118" s="1"/>
  <c r="E28" i="57"/>
  <c r="D29" i="118" s="1"/>
  <c r="F27" i="57"/>
  <c r="E28" i="118" s="1"/>
  <c r="E27" i="57"/>
  <c r="D28" i="118" s="1"/>
  <c r="F26" i="57"/>
  <c r="E27" i="118" s="1"/>
  <c r="E26" i="57"/>
  <c r="D27" i="118" s="1"/>
  <c r="F25" i="57"/>
  <c r="E26" i="118" s="1"/>
  <c r="E25" i="57"/>
  <c r="D26" i="118" s="1"/>
  <c r="F24" i="57"/>
  <c r="E25" i="118" s="1"/>
  <c r="E24" i="57"/>
  <c r="D25" i="118" s="1"/>
  <c r="F23" i="57"/>
  <c r="E24" i="118" s="1"/>
  <c r="E23" i="57"/>
  <c r="D24" i="118" s="1"/>
  <c r="F22" i="57"/>
  <c r="E23" i="118" s="1"/>
  <c r="E22" i="57"/>
  <c r="D23" i="118" s="1"/>
  <c r="F21" i="57"/>
  <c r="E22" i="118" s="1"/>
  <c r="E21" i="57"/>
  <c r="D22" i="118" s="1"/>
  <c r="F20" i="57"/>
  <c r="E21" i="118" s="1"/>
  <c r="E20" i="57"/>
  <c r="D21" i="118" s="1"/>
  <c r="F19" i="57"/>
  <c r="E20" i="118" s="1"/>
  <c r="E19" i="57"/>
  <c r="D20" i="118" s="1"/>
  <c r="F18" i="57"/>
  <c r="E19" i="118" s="1"/>
  <c r="E18" i="57"/>
  <c r="D19" i="118" s="1"/>
  <c r="F17" i="57"/>
  <c r="E18" i="118" s="1"/>
  <c r="E17" i="57"/>
  <c r="D18" i="118" s="1"/>
  <c r="F16" i="57"/>
  <c r="E17" i="118" s="1"/>
  <c r="E16" i="57"/>
  <c r="D17" i="118" s="1"/>
  <c r="F15" i="57"/>
  <c r="E16" i="118" s="1"/>
  <c r="E15" i="57"/>
  <c r="D16" i="118" s="1"/>
  <c r="F14" i="57"/>
  <c r="E15" i="118" s="1"/>
  <c r="E14" i="57"/>
  <c r="D15" i="118" s="1"/>
  <c r="F13" i="57"/>
  <c r="E14" i="118" s="1"/>
  <c r="E13" i="57"/>
  <c r="D14" i="118" s="1"/>
  <c r="F12" i="57"/>
  <c r="E13" i="118" s="1"/>
  <c r="E12" i="57"/>
  <c r="D13" i="118" s="1"/>
  <c r="F11" i="57"/>
  <c r="E12" i="118" s="1"/>
  <c r="E11" i="57"/>
  <c r="D12" i="118" s="1"/>
  <c r="F10" i="57"/>
  <c r="E11" i="118" s="1"/>
  <c r="E10" i="57"/>
  <c r="D11" i="118" s="1"/>
  <c r="F9" i="57"/>
  <c r="E10" i="118" s="1"/>
  <c r="E9" i="57"/>
  <c r="D10" i="118" s="1"/>
  <c r="F8" i="57"/>
  <c r="E9" i="118" s="1"/>
  <c r="E8" i="57"/>
  <c r="D9" i="118" s="1"/>
  <c r="F7" i="57"/>
  <c r="E8" i="118" s="1"/>
  <c r="E7" i="57"/>
  <c r="D8" i="118" s="1"/>
  <c r="F6" i="57"/>
  <c r="E7" i="118" s="1"/>
  <c r="E6" i="57"/>
  <c r="D7" i="118" s="1"/>
  <c r="F5" i="57"/>
  <c r="E6" i="118" s="1"/>
  <c r="E5" i="57"/>
  <c r="D6" i="118" s="1"/>
  <c r="D2" i="4"/>
  <c r="E2" i="4" s="1"/>
  <c r="N133" i="75"/>
  <c r="M133" i="75"/>
  <c r="L133" i="75"/>
  <c r="G133" i="75"/>
  <c r="F133" i="75"/>
  <c r="E133" i="75"/>
  <c r="N132" i="75"/>
  <c r="M132" i="75"/>
  <c r="L132" i="75"/>
  <c r="G132" i="75"/>
  <c r="F132" i="75"/>
  <c r="E132" i="75"/>
  <c r="N131" i="75"/>
  <c r="M131" i="75"/>
  <c r="L131" i="75"/>
  <c r="G131" i="75"/>
  <c r="F131" i="75"/>
  <c r="E131" i="75"/>
  <c r="N130" i="75"/>
  <c r="M130" i="75"/>
  <c r="L130" i="75"/>
  <c r="G130" i="75"/>
  <c r="F130" i="75"/>
  <c r="E130" i="75"/>
  <c r="N129" i="75"/>
  <c r="M129" i="75"/>
  <c r="L129" i="75"/>
  <c r="G129" i="75"/>
  <c r="F129" i="75"/>
  <c r="E129" i="75"/>
  <c r="Q126" i="75"/>
  <c r="P126" i="75"/>
  <c r="J126" i="75"/>
  <c r="I126" i="75"/>
  <c r="Q125" i="75"/>
  <c r="P125" i="75"/>
  <c r="J125" i="75"/>
  <c r="I125" i="75"/>
  <c r="Q124" i="75"/>
  <c r="P124" i="75"/>
  <c r="J124" i="75"/>
  <c r="I124" i="75"/>
  <c r="Q123" i="75"/>
  <c r="P123" i="75"/>
  <c r="J123" i="75"/>
  <c r="I123" i="75"/>
  <c r="Q122" i="75"/>
  <c r="P122" i="75"/>
  <c r="J122" i="75"/>
  <c r="I122" i="75"/>
  <c r="Q121" i="75"/>
  <c r="P121" i="75"/>
  <c r="J121" i="75"/>
  <c r="I121" i="75"/>
  <c r="Q120" i="75"/>
  <c r="P120" i="75"/>
  <c r="J120" i="75"/>
  <c r="I120" i="75"/>
  <c r="Q119" i="75"/>
  <c r="P119" i="75"/>
  <c r="J119" i="75"/>
  <c r="I119" i="75"/>
  <c r="Q118" i="75"/>
  <c r="P118" i="75"/>
  <c r="J118" i="75"/>
  <c r="I118" i="75"/>
  <c r="Q117" i="75"/>
  <c r="P117" i="75"/>
  <c r="J117" i="75"/>
  <c r="I117" i="75"/>
  <c r="Q116" i="75"/>
  <c r="P116" i="75"/>
  <c r="J116" i="75"/>
  <c r="I116" i="75"/>
  <c r="Q115" i="75"/>
  <c r="P115" i="75"/>
  <c r="J115" i="75"/>
  <c r="I115" i="75"/>
  <c r="Q114" i="75"/>
  <c r="P114" i="75"/>
  <c r="J114" i="75"/>
  <c r="I114" i="75"/>
  <c r="Q113" i="75"/>
  <c r="P113" i="75"/>
  <c r="J113" i="75"/>
  <c r="I113" i="75"/>
  <c r="Q112" i="75"/>
  <c r="P112" i="75"/>
  <c r="J112" i="75"/>
  <c r="I112" i="75"/>
  <c r="Q111" i="75"/>
  <c r="P111" i="75"/>
  <c r="J111" i="75"/>
  <c r="I111" i="75"/>
  <c r="Q110" i="75"/>
  <c r="P110" i="75"/>
  <c r="J110" i="75"/>
  <c r="I110" i="75"/>
  <c r="Q109" i="75"/>
  <c r="P109" i="75"/>
  <c r="J109" i="75"/>
  <c r="I109" i="75"/>
  <c r="Q108" i="75"/>
  <c r="P108" i="75"/>
  <c r="J108" i="75"/>
  <c r="I108" i="75"/>
  <c r="Q107" i="75"/>
  <c r="P107" i="75"/>
  <c r="J107" i="75"/>
  <c r="I107" i="75"/>
  <c r="Q106" i="75"/>
  <c r="P106" i="75"/>
  <c r="J106" i="75"/>
  <c r="I106" i="75"/>
  <c r="Q105" i="75"/>
  <c r="P105" i="75"/>
  <c r="J105" i="75"/>
  <c r="I105" i="75"/>
  <c r="Q104" i="75"/>
  <c r="P104" i="75"/>
  <c r="J104" i="75"/>
  <c r="I104" i="75"/>
  <c r="Q103" i="75"/>
  <c r="P103" i="75"/>
  <c r="J103" i="75"/>
  <c r="I103" i="75"/>
  <c r="Q102" i="75"/>
  <c r="P102" i="75"/>
  <c r="J102" i="75"/>
  <c r="I102" i="75"/>
  <c r="Q101" i="75"/>
  <c r="P101" i="75"/>
  <c r="J101" i="75"/>
  <c r="I101" i="75"/>
  <c r="Q100" i="75"/>
  <c r="P100" i="75"/>
  <c r="J100" i="75"/>
  <c r="I100" i="75"/>
  <c r="Q99" i="75"/>
  <c r="P99" i="75"/>
  <c r="J99" i="75"/>
  <c r="I99" i="75"/>
  <c r="Q98" i="75"/>
  <c r="P98" i="75"/>
  <c r="J98" i="75"/>
  <c r="I98" i="75"/>
  <c r="Q97" i="75"/>
  <c r="P97" i="75"/>
  <c r="J97" i="75"/>
  <c r="I97" i="75"/>
  <c r="Q96" i="75"/>
  <c r="P96" i="75"/>
  <c r="J96" i="75"/>
  <c r="I96" i="75"/>
  <c r="Q95" i="75"/>
  <c r="P95" i="75"/>
  <c r="J95" i="75"/>
  <c r="I95" i="75"/>
  <c r="Q94" i="75"/>
  <c r="P94" i="75"/>
  <c r="J94" i="75"/>
  <c r="I94" i="75"/>
  <c r="Q93" i="75"/>
  <c r="P93" i="75"/>
  <c r="J93" i="75"/>
  <c r="I93" i="75"/>
  <c r="Q92" i="75"/>
  <c r="P92" i="75"/>
  <c r="J92" i="75"/>
  <c r="I92" i="75"/>
  <c r="Q91" i="75"/>
  <c r="P91" i="75"/>
  <c r="J91" i="75"/>
  <c r="I91" i="75"/>
  <c r="Q90" i="75"/>
  <c r="P90" i="75"/>
  <c r="J90" i="75"/>
  <c r="I90" i="75"/>
  <c r="Q89" i="75"/>
  <c r="P89" i="75"/>
  <c r="J89" i="75"/>
  <c r="I89" i="75"/>
  <c r="Q88" i="75"/>
  <c r="P88" i="75"/>
  <c r="J88" i="75"/>
  <c r="I88" i="75"/>
  <c r="Q87" i="75"/>
  <c r="P87" i="75"/>
  <c r="J87" i="75"/>
  <c r="I87" i="75"/>
  <c r="Q86" i="75"/>
  <c r="P86" i="75"/>
  <c r="J86" i="75"/>
  <c r="I86" i="75"/>
  <c r="Q85" i="75"/>
  <c r="P85" i="75"/>
  <c r="J85" i="75"/>
  <c r="I85" i="75"/>
  <c r="Q84" i="75"/>
  <c r="P84" i="75"/>
  <c r="J84" i="75"/>
  <c r="I84" i="75"/>
  <c r="Q83" i="75"/>
  <c r="P83" i="75"/>
  <c r="J83" i="75"/>
  <c r="I83" i="75"/>
  <c r="Q82" i="75"/>
  <c r="P82" i="75"/>
  <c r="J82" i="75"/>
  <c r="I82" i="75"/>
  <c r="Q81" i="75"/>
  <c r="P81" i="75"/>
  <c r="J81" i="75"/>
  <c r="I81" i="75"/>
  <c r="Q80" i="75"/>
  <c r="P80" i="75"/>
  <c r="J80" i="75"/>
  <c r="I80" i="75"/>
  <c r="Q79" i="75"/>
  <c r="P79" i="75"/>
  <c r="J79" i="75"/>
  <c r="I79" i="75"/>
  <c r="Q78" i="75"/>
  <c r="P78" i="75"/>
  <c r="J78" i="75"/>
  <c r="I78" i="75"/>
  <c r="Q77" i="75"/>
  <c r="P77" i="75"/>
  <c r="J77" i="75"/>
  <c r="I77" i="75"/>
  <c r="Q76" i="75"/>
  <c r="P76" i="75"/>
  <c r="J76" i="75"/>
  <c r="I76" i="75"/>
  <c r="Q75" i="75"/>
  <c r="P75" i="75"/>
  <c r="J75" i="75"/>
  <c r="I75" i="75"/>
  <c r="Q74" i="75"/>
  <c r="P74" i="75"/>
  <c r="J74" i="75"/>
  <c r="I74" i="75"/>
  <c r="Q73" i="75"/>
  <c r="P73" i="75"/>
  <c r="J73" i="75"/>
  <c r="I73" i="75"/>
  <c r="Q72" i="75"/>
  <c r="P72" i="75"/>
  <c r="J72" i="75"/>
  <c r="I72" i="75"/>
  <c r="Q71" i="75"/>
  <c r="P71" i="75"/>
  <c r="J71" i="75"/>
  <c r="I71" i="75"/>
  <c r="Q70" i="75"/>
  <c r="P70" i="75"/>
  <c r="J70" i="75"/>
  <c r="I70" i="75"/>
  <c r="Q69" i="75"/>
  <c r="P69" i="75"/>
  <c r="J69" i="75"/>
  <c r="I69" i="75"/>
  <c r="Q68" i="75"/>
  <c r="P68" i="75"/>
  <c r="J68" i="75"/>
  <c r="I68" i="75"/>
  <c r="Q67" i="75"/>
  <c r="P67" i="75"/>
  <c r="J67" i="75"/>
  <c r="I67" i="75"/>
  <c r="Q66" i="75"/>
  <c r="P66" i="75"/>
  <c r="J66" i="75"/>
  <c r="I66" i="75"/>
  <c r="Q65" i="75"/>
  <c r="P65" i="75"/>
  <c r="J65" i="75"/>
  <c r="I65" i="75"/>
  <c r="Q64" i="75"/>
  <c r="P64" i="75"/>
  <c r="J64" i="75"/>
  <c r="I64" i="75"/>
  <c r="Q63" i="75"/>
  <c r="P63" i="75"/>
  <c r="J63" i="75"/>
  <c r="I63" i="75"/>
  <c r="Q62" i="75"/>
  <c r="P62" i="75"/>
  <c r="J62" i="75"/>
  <c r="I62" i="75"/>
  <c r="Q61" i="75"/>
  <c r="P61" i="75"/>
  <c r="J61" i="75"/>
  <c r="I61" i="75"/>
  <c r="Q60" i="75"/>
  <c r="P60" i="75"/>
  <c r="J60" i="75"/>
  <c r="I60" i="75"/>
  <c r="Q59" i="75"/>
  <c r="P59" i="75"/>
  <c r="J59" i="75"/>
  <c r="I59" i="75"/>
  <c r="Q58" i="75"/>
  <c r="P58" i="75"/>
  <c r="J58" i="75"/>
  <c r="I58" i="75"/>
  <c r="Q57" i="75"/>
  <c r="P57" i="75"/>
  <c r="J57" i="75"/>
  <c r="I57" i="75"/>
  <c r="Q56" i="75"/>
  <c r="P56" i="75"/>
  <c r="J56" i="75"/>
  <c r="I56" i="75"/>
  <c r="Q55" i="75"/>
  <c r="P55" i="75"/>
  <c r="J55" i="75"/>
  <c r="I55" i="75"/>
  <c r="Q54" i="75"/>
  <c r="P54" i="75"/>
  <c r="J54" i="75"/>
  <c r="I54" i="75"/>
  <c r="Q53" i="75"/>
  <c r="P53" i="75"/>
  <c r="J53" i="75"/>
  <c r="I53" i="75"/>
  <c r="Q52" i="75"/>
  <c r="P52" i="75"/>
  <c r="J52" i="75"/>
  <c r="I52" i="75"/>
  <c r="Q51" i="75"/>
  <c r="P51" i="75"/>
  <c r="J51" i="75"/>
  <c r="I51" i="75"/>
  <c r="Q50" i="75"/>
  <c r="P50" i="75"/>
  <c r="J50" i="75"/>
  <c r="I50" i="75"/>
  <c r="Q49" i="75"/>
  <c r="P49" i="75"/>
  <c r="J49" i="75"/>
  <c r="I49" i="75"/>
  <c r="Q48" i="75"/>
  <c r="P48" i="75"/>
  <c r="J48" i="75"/>
  <c r="I48" i="75"/>
  <c r="Q47" i="75"/>
  <c r="P47" i="75"/>
  <c r="J47" i="75"/>
  <c r="I47" i="75"/>
  <c r="Q46" i="75"/>
  <c r="P46" i="75"/>
  <c r="J46" i="75"/>
  <c r="I46" i="75"/>
  <c r="Q45" i="75"/>
  <c r="P45" i="75"/>
  <c r="J45" i="75"/>
  <c r="I45" i="75"/>
  <c r="Q44" i="75"/>
  <c r="P44" i="75"/>
  <c r="J44" i="75"/>
  <c r="I44" i="75"/>
  <c r="Q43" i="75"/>
  <c r="P43" i="75"/>
  <c r="J43" i="75"/>
  <c r="I43" i="75"/>
  <c r="Q42" i="75"/>
  <c r="P42" i="75"/>
  <c r="J42" i="75"/>
  <c r="I42" i="75"/>
  <c r="Q41" i="75"/>
  <c r="P41" i="75"/>
  <c r="J41" i="75"/>
  <c r="I41" i="75"/>
  <c r="Q40" i="75"/>
  <c r="P40" i="75"/>
  <c r="J40" i="75"/>
  <c r="I40" i="75"/>
  <c r="Q39" i="75"/>
  <c r="P39" i="75"/>
  <c r="J39" i="75"/>
  <c r="I39" i="75"/>
  <c r="Q38" i="75"/>
  <c r="P38" i="75"/>
  <c r="J38" i="75"/>
  <c r="I38" i="75"/>
  <c r="Q37" i="75"/>
  <c r="P37" i="75"/>
  <c r="J37" i="75"/>
  <c r="I37" i="75"/>
  <c r="Q36" i="75"/>
  <c r="P36" i="75"/>
  <c r="J36" i="75"/>
  <c r="I36" i="75"/>
  <c r="Q35" i="75"/>
  <c r="P35" i="75"/>
  <c r="J35" i="75"/>
  <c r="I35" i="75"/>
  <c r="Q34" i="75"/>
  <c r="P34" i="75"/>
  <c r="J34" i="75"/>
  <c r="I34" i="75"/>
  <c r="Q33" i="75"/>
  <c r="P33" i="75"/>
  <c r="J33" i="75"/>
  <c r="I33" i="75"/>
  <c r="Q32" i="75"/>
  <c r="P32" i="75"/>
  <c r="J32" i="75"/>
  <c r="I32" i="75"/>
  <c r="Q31" i="75"/>
  <c r="P31" i="75"/>
  <c r="J31" i="75"/>
  <c r="I31" i="75"/>
  <c r="Q30" i="75"/>
  <c r="P30" i="75"/>
  <c r="J30" i="75"/>
  <c r="I30" i="75"/>
  <c r="Q29" i="75"/>
  <c r="P29" i="75"/>
  <c r="J29" i="75"/>
  <c r="I29" i="75"/>
  <c r="Q28" i="75"/>
  <c r="P28" i="75"/>
  <c r="J28" i="75"/>
  <c r="I28" i="75"/>
  <c r="Q27" i="75"/>
  <c r="P27" i="75"/>
  <c r="J27" i="75"/>
  <c r="I27" i="75"/>
  <c r="Q26" i="75"/>
  <c r="P26" i="75"/>
  <c r="J26" i="75"/>
  <c r="I26" i="75"/>
  <c r="Q25" i="75"/>
  <c r="P25" i="75"/>
  <c r="J25" i="75"/>
  <c r="I25" i="75"/>
  <c r="Q24" i="75"/>
  <c r="P24" i="75"/>
  <c r="J24" i="75"/>
  <c r="I24" i="75"/>
  <c r="Q23" i="75"/>
  <c r="P23" i="75"/>
  <c r="J23" i="75"/>
  <c r="I23" i="75"/>
  <c r="Q22" i="75"/>
  <c r="P22" i="75"/>
  <c r="J22" i="75"/>
  <c r="I22" i="75"/>
  <c r="Q21" i="75"/>
  <c r="P21" i="75"/>
  <c r="J21" i="75"/>
  <c r="I21" i="75"/>
  <c r="Q20" i="75"/>
  <c r="P20" i="75"/>
  <c r="J20" i="75"/>
  <c r="I20" i="75"/>
  <c r="Q19" i="75"/>
  <c r="P19" i="75"/>
  <c r="J19" i="75"/>
  <c r="I19" i="75"/>
  <c r="Q18" i="75"/>
  <c r="P18" i="75"/>
  <c r="J18" i="75"/>
  <c r="I18" i="75"/>
  <c r="Q17" i="75"/>
  <c r="P17" i="75"/>
  <c r="J17" i="75"/>
  <c r="I17" i="75"/>
  <c r="Q16" i="75"/>
  <c r="P16" i="75"/>
  <c r="J16" i="75"/>
  <c r="I16" i="75"/>
  <c r="Q15" i="75"/>
  <c r="P15" i="75"/>
  <c r="J15" i="75"/>
  <c r="I15" i="75"/>
  <c r="Q14" i="75"/>
  <c r="P14" i="75"/>
  <c r="J14" i="75"/>
  <c r="I14" i="75"/>
  <c r="Q13" i="75"/>
  <c r="P13" i="75"/>
  <c r="J13" i="75"/>
  <c r="I13" i="75"/>
  <c r="Q12" i="75"/>
  <c r="P12" i="75"/>
  <c r="J12" i="75"/>
  <c r="I12" i="75"/>
  <c r="Q11" i="75"/>
  <c r="P11" i="75"/>
  <c r="J11" i="75"/>
  <c r="I11" i="75"/>
  <c r="Q10" i="75"/>
  <c r="P10" i="75"/>
  <c r="J10" i="75"/>
  <c r="I10" i="75"/>
  <c r="Q9" i="75"/>
  <c r="P9" i="75"/>
  <c r="J9" i="75"/>
  <c r="I9" i="75"/>
  <c r="Q8" i="75"/>
  <c r="P8" i="75"/>
  <c r="J8" i="75"/>
  <c r="I8" i="75"/>
  <c r="Q7" i="75"/>
  <c r="P7" i="75"/>
  <c r="J7" i="75"/>
  <c r="I7" i="75"/>
  <c r="Q6" i="75"/>
  <c r="P6" i="75"/>
  <c r="J6" i="75"/>
  <c r="I6" i="75"/>
  <c r="L132" i="73"/>
  <c r="BE131" i="109" s="1"/>
  <c r="M131" i="73"/>
  <c r="L131" i="73"/>
  <c r="BE130" i="109" s="1"/>
  <c r="M130" i="73"/>
  <c r="L130" i="73"/>
  <c r="BE129" i="109" s="1"/>
  <c r="M129" i="73"/>
  <c r="L129" i="73"/>
  <c r="BE128" i="109" s="1"/>
  <c r="M128" i="73"/>
  <c r="L128" i="73"/>
  <c r="BE127" i="109" s="1"/>
  <c r="O126" i="73"/>
  <c r="N126" i="73"/>
  <c r="M126" i="73"/>
  <c r="L126" i="73"/>
  <c r="O125" i="73"/>
  <c r="N125" i="73"/>
  <c r="M125" i="73"/>
  <c r="L125" i="73"/>
  <c r="O124" i="73"/>
  <c r="N124" i="73"/>
  <c r="M124" i="73"/>
  <c r="L124" i="73"/>
  <c r="O123" i="73"/>
  <c r="N123" i="73"/>
  <c r="M123" i="73"/>
  <c r="L123" i="73"/>
  <c r="BE113" i="109" s="1"/>
  <c r="O122" i="73"/>
  <c r="N122" i="73"/>
  <c r="M122" i="73"/>
  <c r="L122" i="73"/>
  <c r="BE102" i="109" s="1"/>
  <c r="O121" i="73"/>
  <c r="N121" i="73"/>
  <c r="M121" i="73"/>
  <c r="L121" i="73"/>
  <c r="O120" i="73"/>
  <c r="N120" i="73"/>
  <c r="M120" i="73"/>
  <c r="L120" i="73"/>
  <c r="O119" i="73"/>
  <c r="N119" i="73"/>
  <c r="M119" i="73"/>
  <c r="L119" i="73"/>
  <c r="O118" i="73"/>
  <c r="N118" i="73"/>
  <c r="M118" i="73"/>
  <c r="L118" i="73"/>
  <c r="BE90" i="109" s="1"/>
  <c r="O117" i="73"/>
  <c r="N117" i="73"/>
  <c r="M117" i="73"/>
  <c r="L117" i="73"/>
  <c r="O116" i="73"/>
  <c r="N116" i="73"/>
  <c r="M116" i="73"/>
  <c r="L116" i="73"/>
  <c r="O115" i="73"/>
  <c r="N115" i="73"/>
  <c r="M115" i="73"/>
  <c r="L115" i="73"/>
  <c r="O114" i="73"/>
  <c r="N114" i="73"/>
  <c r="M114" i="73"/>
  <c r="L114" i="73"/>
  <c r="BE74" i="109" s="1"/>
  <c r="O113" i="73"/>
  <c r="N113" i="73"/>
  <c r="M113" i="73"/>
  <c r="L113" i="73"/>
  <c r="O112" i="73"/>
  <c r="N112" i="73"/>
  <c r="M112" i="73"/>
  <c r="L112" i="73"/>
  <c r="O111" i="73"/>
  <c r="N111" i="73"/>
  <c r="M111" i="73"/>
  <c r="L111" i="73"/>
  <c r="O110" i="73"/>
  <c r="N110" i="73"/>
  <c r="M110" i="73"/>
  <c r="L110" i="73"/>
  <c r="O109" i="73"/>
  <c r="N109" i="73"/>
  <c r="M109" i="73"/>
  <c r="L109" i="73"/>
  <c r="O108" i="73"/>
  <c r="N108" i="73"/>
  <c r="M108" i="73"/>
  <c r="L108" i="73"/>
  <c r="O107" i="73"/>
  <c r="N107" i="73"/>
  <c r="M107" i="73"/>
  <c r="L107" i="73"/>
  <c r="O106" i="73"/>
  <c r="N106" i="73"/>
  <c r="M106" i="73"/>
  <c r="L106" i="73"/>
  <c r="O105" i="73"/>
  <c r="N105" i="73"/>
  <c r="M105" i="73"/>
  <c r="L105" i="73"/>
  <c r="O104" i="73"/>
  <c r="N104" i="73"/>
  <c r="M104" i="73"/>
  <c r="L104" i="73"/>
  <c r="O103" i="73"/>
  <c r="N103" i="73"/>
  <c r="M103" i="73"/>
  <c r="L103" i="73"/>
  <c r="BE19" i="109" s="1"/>
  <c r="O102" i="73"/>
  <c r="N102" i="73"/>
  <c r="M102" i="73"/>
  <c r="L102" i="73"/>
  <c r="O101" i="73"/>
  <c r="N101" i="73"/>
  <c r="M101" i="73"/>
  <c r="L101" i="73"/>
  <c r="BE125" i="109" s="1"/>
  <c r="O100" i="73"/>
  <c r="N100" i="73"/>
  <c r="M100" i="73"/>
  <c r="L100" i="73"/>
  <c r="O99" i="73"/>
  <c r="N99" i="73"/>
  <c r="M99" i="73"/>
  <c r="L99" i="73"/>
  <c r="BE123" i="109" s="1"/>
  <c r="O98" i="73"/>
  <c r="N98" i="73"/>
  <c r="M98" i="73"/>
  <c r="L98" i="73"/>
  <c r="O97" i="73"/>
  <c r="N97" i="73"/>
  <c r="M97" i="73"/>
  <c r="L97" i="73"/>
  <c r="O96" i="73"/>
  <c r="N96" i="73"/>
  <c r="M96" i="73"/>
  <c r="L96" i="73"/>
  <c r="O95" i="73"/>
  <c r="N95" i="73"/>
  <c r="M95" i="73"/>
  <c r="L95" i="73"/>
  <c r="O94" i="73"/>
  <c r="N94" i="73"/>
  <c r="M94" i="73"/>
  <c r="L94" i="73"/>
  <c r="O93" i="73"/>
  <c r="N93" i="73"/>
  <c r="M93" i="73"/>
  <c r="L93" i="73"/>
  <c r="BE114" i="109" s="1"/>
  <c r="O92" i="73"/>
  <c r="N92" i="73"/>
  <c r="M92" i="73"/>
  <c r="L92" i="73"/>
  <c r="O91" i="73"/>
  <c r="N91" i="73"/>
  <c r="M91" i="73"/>
  <c r="L91" i="73"/>
  <c r="BE111" i="109" s="1"/>
  <c r="O90" i="73"/>
  <c r="N90" i="73"/>
  <c r="M90" i="73"/>
  <c r="L90" i="73"/>
  <c r="O89" i="73"/>
  <c r="N89" i="73"/>
  <c r="M89" i="73"/>
  <c r="L89" i="73"/>
  <c r="O88" i="73"/>
  <c r="N88" i="73"/>
  <c r="M88" i="73"/>
  <c r="L88" i="73"/>
  <c r="O87" i="73"/>
  <c r="N87" i="73"/>
  <c r="M87" i="73"/>
  <c r="L87" i="73"/>
  <c r="O86" i="73"/>
  <c r="N86" i="73"/>
  <c r="M86" i="73"/>
  <c r="L86" i="73"/>
  <c r="BE106" i="109" s="1"/>
  <c r="O85" i="73"/>
  <c r="N85" i="73"/>
  <c r="M85" i="73"/>
  <c r="L85" i="73"/>
  <c r="O84" i="73"/>
  <c r="N84" i="73"/>
  <c r="M84" i="73"/>
  <c r="L84" i="73"/>
  <c r="O83" i="73"/>
  <c r="N83" i="73"/>
  <c r="M83" i="73"/>
  <c r="L83" i="73"/>
  <c r="BE103" i="109" s="1"/>
  <c r="O82" i="73"/>
  <c r="N82" i="73"/>
  <c r="M82" i="73"/>
  <c r="L82" i="73"/>
  <c r="BE101" i="109" s="1"/>
  <c r="O81" i="73"/>
  <c r="N81" i="73"/>
  <c r="M81" i="73"/>
  <c r="L81" i="73"/>
  <c r="O80" i="73"/>
  <c r="N80" i="73"/>
  <c r="M80" i="73"/>
  <c r="L80" i="73"/>
  <c r="O79" i="73"/>
  <c r="N79" i="73"/>
  <c r="M79" i="73"/>
  <c r="L79" i="73"/>
  <c r="O78" i="73"/>
  <c r="N78" i="73"/>
  <c r="M78" i="73"/>
  <c r="L78" i="73"/>
  <c r="O77" i="73"/>
  <c r="N77" i="73"/>
  <c r="M77" i="73"/>
  <c r="L77" i="73"/>
  <c r="O76" i="73"/>
  <c r="N76" i="73"/>
  <c r="M76" i="73"/>
  <c r="L76" i="73"/>
  <c r="O75" i="73"/>
  <c r="N75" i="73"/>
  <c r="M75" i="73"/>
  <c r="L75" i="73"/>
  <c r="BE91" i="109" s="1"/>
  <c r="O74" i="73"/>
  <c r="N74" i="73"/>
  <c r="M74" i="73"/>
  <c r="L74" i="73"/>
  <c r="BE89" i="109" s="1"/>
  <c r="O73" i="73"/>
  <c r="N73" i="73"/>
  <c r="M73" i="73"/>
  <c r="L73" i="73"/>
  <c r="O72" i="73"/>
  <c r="N72" i="73"/>
  <c r="M72" i="73"/>
  <c r="L72" i="73"/>
  <c r="BE87" i="109" s="1"/>
  <c r="O71" i="73"/>
  <c r="N71" i="73"/>
  <c r="M71" i="73"/>
  <c r="L71" i="73"/>
  <c r="O70" i="73"/>
  <c r="N70" i="73"/>
  <c r="M70" i="73"/>
  <c r="L70" i="73"/>
  <c r="O69" i="73"/>
  <c r="N69" i="73"/>
  <c r="M69" i="73"/>
  <c r="L69" i="73"/>
  <c r="O68" i="73"/>
  <c r="N68" i="73"/>
  <c r="M68" i="73"/>
  <c r="L68" i="73"/>
  <c r="O67" i="73"/>
  <c r="N67" i="73"/>
  <c r="M67" i="73"/>
  <c r="L67" i="73"/>
  <c r="O66" i="73"/>
  <c r="N66" i="73"/>
  <c r="M66" i="73"/>
  <c r="L66" i="73"/>
  <c r="O65" i="73"/>
  <c r="N65" i="73"/>
  <c r="M65" i="73"/>
  <c r="L65" i="73"/>
  <c r="O64" i="73"/>
  <c r="N64" i="73"/>
  <c r="M64" i="73"/>
  <c r="L64" i="73"/>
  <c r="O63" i="73"/>
  <c r="N63" i="73"/>
  <c r="M63" i="73"/>
  <c r="L63" i="73"/>
  <c r="O62" i="73"/>
  <c r="N62" i="73"/>
  <c r="M62" i="73"/>
  <c r="L62" i="73"/>
  <c r="O61" i="73"/>
  <c r="N61" i="73"/>
  <c r="M61" i="73"/>
  <c r="L61" i="73"/>
  <c r="BE70" i="109" s="1"/>
  <c r="O60" i="73"/>
  <c r="N60" i="73"/>
  <c r="M60" i="73"/>
  <c r="L60" i="73"/>
  <c r="O59" i="73"/>
  <c r="N59" i="73"/>
  <c r="M59" i="73"/>
  <c r="L59" i="73"/>
  <c r="O58" i="73"/>
  <c r="N58" i="73"/>
  <c r="M58" i="73"/>
  <c r="L58" i="73"/>
  <c r="O57" i="73"/>
  <c r="N57" i="73"/>
  <c r="M57" i="73"/>
  <c r="L57" i="73"/>
  <c r="O56" i="73"/>
  <c r="N56" i="73"/>
  <c r="M56" i="73"/>
  <c r="L56" i="73"/>
  <c r="BE65" i="109" s="1"/>
  <c r="O55" i="73"/>
  <c r="N55" i="73"/>
  <c r="M55" i="73"/>
  <c r="L55" i="73"/>
  <c r="O54" i="73"/>
  <c r="N54" i="73"/>
  <c r="M54" i="73"/>
  <c r="L54" i="73"/>
  <c r="O53" i="73"/>
  <c r="N53" i="73"/>
  <c r="M53" i="73"/>
  <c r="L53" i="73"/>
  <c r="O52" i="73"/>
  <c r="N52" i="73"/>
  <c r="M52" i="73"/>
  <c r="L52" i="73"/>
  <c r="O51" i="73"/>
  <c r="N51" i="73"/>
  <c r="M51" i="73"/>
  <c r="L51" i="73"/>
  <c r="O50" i="73"/>
  <c r="N50" i="73"/>
  <c r="M50" i="73"/>
  <c r="L50" i="73"/>
  <c r="O49" i="73"/>
  <c r="N49" i="73"/>
  <c r="M49" i="73"/>
  <c r="L49" i="73"/>
  <c r="O48" i="73"/>
  <c r="N48" i="73"/>
  <c r="M48" i="73"/>
  <c r="L48" i="73"/>
  <c r="BE56" i="109" s="1"/>
  <c r="O47" i="73"/>
  <c r="N47" i="73"/>
  <c r="M47" i="73"/>
  <c r="L47" i="73"/>
  <c r="BE54" i="109" s="1"/>
  <c r="O46" i="73"/>
  <c r="N46" i="73"/>
  <c r="M46" i="73"/>
  <c r="L46" i="73"/>
  <c r="O45" i="73"/>
  <c r="N45" i="73"/>
  <c r="M45" i="73"/>
  <c r="L45" i="73"/>
  <c r="O44" i="73"/>
  <c r="N44" i="73"/>
  <c r="M44" i="73"/>
  <c r="L44" i="73"/>
  <c r="BE51" i="109" s="1"/>
  <c r="O43" i="73"/>
  <c r="N43" i="73"/>
  <c r="M43" i="73"/>
  <c r="L43" i="73"/>
  <c r="O42" i="73"/>
  <c r="N42" i="73"/>
  <c r="M42" i="73"/>
  <c r="L42" i="73"/>
  <c r="O41" i="73"/>
  <c r="N41" i="73"/>
  <c r="M41" i="73"/>
  <c r="L41" i="73"/>
  <c r="O40" i="73"/>
  <c r="N40" i="73"/>
  <c r="M40" i="73"/>
  <c r="L40" i="73"/>
  <c r="O39" i="73"/>
  <c r="N39" i="73"/>
  <c r="M39" i="73"/>
  <c r="L39" i="73"/>
  <c r="O38" i="73"/>
  <c r="N38" i="73"/>
  <c r="M38" i="73"/>
  <c r="L38" i="73"/>
  <c r="O37" i="73"/>
  <c r="N37" i="73"/>
  <c r="M37" i="73"/>
  <c r="L37" i="73"/>
  <c r="O36" i="73"/>
  <c r="N36" i="73"/>
  <c r="M36" i="73"/>
  <c r="L36" i="73"/>
  <c r="BE40" i="109" s="1"/>
  <c r="O35" i="73"/>
  <c r="N35" i="73"/>
  <c r="M35" i="73"/>
  <c r="L35" i="73"/>
  <c r="O34" i="73"/>
  <c r="N34" i="73"/>
  <c r="M34" i="73"/>
  <c r="L34" i="73"/>
  <c r="O33" i="73"/>
  <c r="N33" i="73"/>
  <c r="M33" i="73"/>
  <c r="L33" i="73"/>
  <c r="O32" i="73"/>
  <c r="N32" i="73"/>
  <c r="M32" i="73"/>
  <c r="L32" i="73"/>
  <c r="O31" i="73"/>
  <c r="N31" i="73"/>
  <c r="M31" i="73"/>
  <c r="L31" i="73"/>
  <c r="O30" i="73"/>
  <c r="N30" i="73"/>
  <c r="M30" i="73"/>
  <c r="L30" i="73"/>
  <c r="BE33" i="109" s="1"/>
  <c r="O29" i="73"/>
  <c r="N29" i="73"/>
  <c r="M29" i="73"/>
  <c r="L29" i="73"/>
  <c r="BE32" i="109" s="1"/>
  <c r="O28" i="73"/>
  <c r="N28" i="73"/>
  <c r="M28" i="73"/>
  <c r="L28" i="73"/>
  <c r="O27" i="73"/>
  <c r="N27" i="73"/>
  <c r="M27" i="73"/>
  <c r="L27" i="73"/>
  <c r="O26" i="73"/>
  <c r="N26" i="73"/>
  <c r="M26" i="73"/>
  <c r="L26" i="73"/>
  <c r="O25" i="73"/>
  <c r="N25" i="73"/>
  <c r="M25" i="73"/>
  <c r="L25" i="73"/>
  <c r="O24" i="73"/>
  <c r="N24" i="73"/>
  <c r="M24" i="73"/>
  <c r="L24" i="73"/>
  <c r="O23" i="73"/>
  <c r="N23" i="73"/>
  <c r="M23" i="73"/>
  <c r="L23" i="73"/>
  <c r="O22" i="73"/>
  <c r="N22" i="73"/>
  <c r="M22" i="73"/>
  <c r="L22" i="73"/>
  <c r="O21" i="73"/>
  <c r="N21" i="73"/>
  <c r="M21" i="73"/>
  <c r="L21" i="73"/>
  <c r="O20" i="73"/>
  <c r="N20" i="73"/>
  <c r="M20" i="73"/>
  <c r="L20" i="73"/>
  <c r="BE21" i="109" s="1"/>
  <c r="O19" i="73"/>
  <c r="N19" i="73"/>
  <c r="M19" i="73"/>
  <c r="L19" i="73"/>
  <c r="O18" i="73"/>
  <c r="N18" i="73"/>
  <c r="M18" i="73"/>
  <c r="L18" i="73"/>
  <c r="O17" i="73"/>
  <c r="N17" i="73"/>
  <c r="M17" i="73"/>
  <c r="L17" i="73"/>
  <c r="O16" i="73"/>
  <c r="N16" i="73"/>
  <c r="M16" i="73"/>
  <c r="L16" i="73"/>
  <c r="O15" i="73"/>
  <c r="N15" i="73"/>
  <c r="M15" i="73"/>
  <c r="L15" i="73"/>
  <c r="O14" i="73"/>
  <c r="N14" i="73"/>
  <c r="M14" i="73"/>
  <c r="L14" i="73"/>
  <c r="O13" i="73"/>
  <c r="N13" i="73"/>
  <c r="M13" i="73"/>
  <c r="L13" i="73"/>
  <c r="O12" i="73"/>
  <c r="N12" i="73"/>
  <c r="M12" i="73"/>
  <c r="L12" i="73"/>
  <c r="O11" i="73"/>
  <c r="N11" i="73"/>
  <c r="M11" i="73"/>
  <c r="L11" i="73"/>
  <c r="O10" i="73"/>
  <c r="N10" i="73"/>
  <c r="M10" i="73"/>
  <c r="L10" i="73"/>
  <c r="O9" i="73"/>
  <c r="N9" i="73"/>
  <c r="M9" i="73"/>
  <c r="L9" i="73"/>
  <c r="BE9" i="109" s="1"/>
  <c r="O8" i="73"/>
  <c r="N8" i="73"/>
  <c r="M8" i="73"/>
  <c r="L8" i="73"/>
  <c r="BE7" i="109" s="1"/>
  <c r="O7" i="73"/>
  <c r="N7" i="73"/>
  <c r="M7" i="73"/>
  <c r="L7" i="73"/>
  <c r="BE6" i="109" s="1"/>
  <c r="O6" i="73"/>
  <c r="F61" i="1" s="1"/>
  <c r="N6" i="73"/>
  <c r="F60" i="1" s="1"/>
  <c r="M6" i="73"/>
  <c r="F59" i="1" s="1"/>
  <c r="L6" i="73"/>
  <c r="S126" i="72"/>
  <c r="R126" i="72"/>
  <c r="Q126" i="72"/>
  <c r="P126" i="72"/>
  <c r="S125" i="72"/>
  <c r="R125" i="72"/>
  <c r="Q125" i="72"/>
  <c r="P125" i="72"/>
  <c r="S124" i="72"/>
  <c r="R124" i="72"/>
  <c r="Q124" i="72"/>
  <c r="P124" i="72"/>
  <c r="S123" i="72"/>
  <c r="R123" i="72"/>
  <c r="Q123" i="72"/>
  <c r="P123" i="72"/>
  <c r="S122" i="72"/>
  <c r="R122" i="72"/>
  <c r="Q122" i="72"/>
  <c r="P122" i="72"/>
  <c r="S121" i="72"/>
  <c r="R121" i="72"/>
  <c r="Q121" i="72"/>
  <c r="P121" i="72"/>
  <c r="S120" i="72"/>
  <c r="R120" i="72"/>
  <c r="Q120" i="72"/>
  <c r="P120" i="72"/>
  <c r="S119" i="72"/>
  <c r="R119" i="72"/>
  <c r="Q119" i="72"/>
  <c r="P119" i="72"/>
  <c r="S118" i="72"/>
  <c r="R118" i="72"/>
  <c r="Q118" i="72"/>
  <c r="P118" i="72"/>
  <c r="S117" i="72"/>
  <c r="R117" i="72"/>
  <c r="Q117" i="72"/>
  <c r="P117" i="72"/>
  <c r="S116" i="72"/>
  <c r="R116" i="72"/>
  <c r="Q116" i="72"/>
  <c r="P116" i="72"/>
  <c r="S115" i="72"/>
  <c r="R115" i="72"/>
  <c r="Q115" i="72"/>
  <c r="P115" i="72"/>
  <c r="S114" i="72"/>
  <c r="R114" i="72"/>
  <c r="Q114" i="72"/>
  <c r="P114" i="72"/>
  <c r="S113" i="72"/>
  <c r="R113" i="72"/>
  <c r="Q113" i="72"/>
  <c r="P113" i="72"/>
  <c r="S112" i="72"/>
  <c r="R112" i="72"/>
  <c r="Q112" i="72"/>
  <c r="P112" i="72"/>
  <c r="S111" i="72"/>
  <c r="R111" i="72"/>
  <c r="Q111" i="72"/>
  <c r="P111" i="72"/>
  <c r="S110" i="72"/>
  <c r="R110" i="72"/>
  <c r="Q110" i="72"/>
  <c r="P110" i="72"/>
  <c r="S109" i="72"/>
  <c r="R109" i="72"/>
  <c r="Q109" i="72"/>
  <c r="P109" i="72"/>
  <c r="S108" i="72"/>
  <c r="R108" i="72"/>
  <c r="Q108" i="72"/>
  <c r="P108" i="72"/>
  <c r="S107" i="72"/>
  <c r="R107" i="72"/>
  <c r="Q107" i="72"/>
  <c r="P107" i="72"/>
  <c r="S106" i="72"/>
  <c r="R106" i="72"/>
  <c r="Q106" i="72"/>
  <c r="P106" i="72"/>
  <c r="S105" i="72"/>
  <c r="R105" i="72"/>
  <c r="Q105" i="72"/>
  <c r="P105" i="72"/>
  <c r="S104" i="72"/>
  <c r="R104" i="72"/>
  <c r="Q104" i="72"/>
  <c r="P104" i="72"/>
  <c r="S103" i="72"/>
  <c r="R103" i="72"/>
  <c r="Q103" i="72"/>
  <c r="P103" i="72"/>
  <c r="S102" i="72"/>
  <c r="R102" i="72"/>
  <c r="Q102" i="72"/>
  <c r="P102" i="72"/>
  <c r="S101" i="72"/>
  <c r="R101" i="72"/>
  <c r="Q101" i="72"/>
  <c r="P101" i="72"/>
  <c r="S100" i="72"/>
  <c r="R100" i="72"/>
  <c r="Q100" i="72"/>
  <c r="P100" i="72"/>
  <c r="S99" i="72"/>
  <c r="R99" i="72"/>
  <c r="Q99" i="72"/>
  <c r="P99" i="72"/>
  <c r="S98" i="72"/>
  <c r="R98" i="72"/>
  <c r="Q98" i="72"/>
  <c r="P98" i="72"/>
  <c r="S97" i="72"/>
  <c r="R97" i="72"/>
  <c r="Q97" i="72"/>
  <c r="P97" i="72"/>
  <c r="S96" i="72"/>
  <c r="R96" i="72"/>
  <c r="Q96" i="72"/>
  <c r="P96" i="72"/>
  <c r="S95" i="72"/>
  <c r="R95" i="72"/>
  <c r="Q95" i="72"/>
  <c r="P95" i="72"/>
  <c r="S94" i="72"/>
  <c r="R94" i="72"/>
  <c r="Q94" i="72"/>
  <c r="P94" i="72"/>
  <c r="S93" i="72"/>
  <c r="R93" i="72"/>
  <c r="Q93" i="72"/>
  <c r="P93" i="72"/>
  <c r="S92" i="72"/>
  <c r="R92" i="72"/>
  <c r="Q92" i="72"/>
  <c r="P92" i="72"/>
  <c r="S91" i="72"/>
  <c r="R91" i="72"/>
  <c r="Q91" i="72"/>
  <c r="P91" i="72"/>
  <c r="S90" i="72"/>
  <c r="R90" i="72"/>
  <c r="Q90" i="72"/>
  <c r="P90" i="72"/>
  <c r="S89" i="72"/>
  <c r="R89" i="72"/>
  <c r="Q89" i="72"/>
  <c r="P89" i="72"/>
  <c r="S88" i="72"/>
  <c r="R88" i="72"/>
  <c r="Q88" i="72"/>
  <c r="P88" i="72"/>
  <c r="S87" i="72"/>
  <c r="R87" i="72"/>
  <c r="Q87" i="72"/>
  <c r="P87" i="72"/>
  <c r="S86" i="72"/>
  <c r="R86" i="72"/>
  <c r="Q86" i="72"/>
  <c r="P86" i="72"/>
  <c r="S85" i="72"/>
  <c r="R85" i="72"/>
  <c r="Q85" i="72"/>
  <c r="P85" i="72"/>
  <c r="S84" i="72"/>
  <c r="R84" i="72"/>
  <c r="Q84" i="72"/>
  <c r="P84" i="72"/>
  <c r="S83" i="72"/>
  <c r="R83" i="72"/>
  <c r="Q83" i="72"/>
  <c r="P83" i="72"/>
  <c r="S82" i="72"/>
  <c r="R82" i="72"/>
  <c r="Q82" i="72"/>
  <c r="P82" i="72"/>
  <c r="S81" i="72"/>
  <c r="R81" i="72"/>
  <c r="Q81" i="72"/>
  <c r="P81" i="72"/>
  <c r="S80" i="72"/>
  <c r="R80" i="72"/>
  <c r="Q80" i="72"/>
  <c r="P80" i="72"/>
  <c r="S79" i="72"/>
  <c r="R79" i="72"/>
  <c r="Q79" i="72"/>
  <c r="P79" i="72"/>
  <c r="S78" i="72"/>
  <c r="R78" i="72"/>
  <c r="Q78" i="72"/>
  <c r="P78" i="72"/>
  <c r="S77" i="72"/>
  <c r="R77" i="72"/>
  <c r="Q77" i="72"/>
  <c r="P77" i="72"/>
  <c r="S76" i="72"/>
  <c r="R76" i="72"/>
  <c r="Q76" i="72"/>
  <c r="P76" i="72"/>
  <c r="S75" i="72"/>
  <c r="R75" i="72"/>
  <c r="Q75" i="72"/>
  <c r="P75" i="72"/>
  <c r="S74" i="72"/>
  <c r="R74" i="72"/>
  <c r="Q74" i="72"/>
  <c r="P74" i="72"/>
  <c r="S73" i="72"/>
  <c r="R73" i="72"/>
  <c r="Q73" i="72"/>
  <c r="P73" i="72"/>
  <c r="S72" i="72"/>
  <c r="R72" i="72"/>
  <c r="Q72" i="72"/>
  <c r="P72" i="72"/>
  <c r="S71" i="72"/>
  <c r="R71" i="72"/>
  <c r="Q71" i="72"/>
  <c r="P71" i="72"/>
  <c r="S70" i="72"/>
  <c r="R70" i="72"/>
  <c r="Q70" i="72"/>
  <c r="P70" i="72"/>
  <c r="S69" i="72"/>
  <c r="R69" i="72"/>
  <c r="Q69" i="72"/>
  <c r="P69" i="72"/>
  <c r="S68" i="72"/>
  <c r="R68" i="72"/>
  <c r="Q68" i="72"/>
  <c r="P68" i="72"/>
  <c r="S67" i="72"/>
  <c r="R67" i="72"/>
  <c r="Q67" i="72"/>
  <c r="P67" i="72"/>
  <c r="S66" i="72"/>
  <c r="R66" i="72"/>
  <c r="Q66" i="72"/>
  <c r="P66" i="72"/>
  <c r="S65" i="72"/>
  <c r="R65" i="72"/>
  <c r="Q65" i="72"/>
  <c r="P65" i="72"/>
  <c r="S64" i="72"/>
  <c r="R64" i="72"/>
  <c r="Q64" i="72"/>
  <c r="P64" i="72"/>
  <c r="S63" i="72"/>
  <c r="R63" i="72"/>
  <c r="Q63" i="72"/>
  <c r="P63" i="72"/>
  <c r="S62" i="72"/>
  <c r="R62" i="72"/>
  <c r="Q62" i="72"/>
  <c r="P62" i="72"/>
  <c r="S61" i="72"/>
  <c r="R61" i="72"/>
  <c r="Q61" i="72"/>
  <c r="P61" i="72"/>
  <c r="S60" i="72"/>
  <c r="R60" i="72"/>
  <c r="Q60" i="72"/>
  <c r="P60" i="72"/>
  <c r="S59" i="72"/>
  <c r="R59" i="72"/>
  <c r="Q59" i="72"/>
  <c r="P59" i="72"/>
  <c r="S58" i="72"/>
  <c r="R58" i="72"/>
  <c r="Q58" i="72"/>
  <c r="P58" i="72"/>
  <c r="S57" i="72"/>
  <c r="R57" i="72"/>
  <c r="Q57" i="72"/>
  <c r="P57" i="72"/>
  <c r="S56" i="72"/>
  <c r="R56" i="72"/>
  <c r="Q56" i="72"/>
  <c r="P56" i="72"/>
  <c r="S55" i="72"/>
  <c r="R55" i="72"/>
  <c r="Q55" i="72"/>
  <c r="P55" i="72"/>
  <c r="S54" i="72"/>
  <c r="R54" i="72"/>
  <c r="Q54" i="72"/>
  <c r="P54" i="72"/>
  <c r="S53" i="72"/>
  <c r="R53" i="72"/>
  <c r="Q53" i="72"/>
  <c r="P53" i="72"/>
  <c r="S52" i="72"/>
  <c r="R52" i="72"/>
  <c r="Q52" i="72"/>
  <c r="P52" i="72"/>
  <c r="S51" i="72"/>
  <c r="R51" i="72"/>
  <c r="Q51" i="72"/>
  <c r="P51" i="72"/>
  <c r="S50" i="72"/>
  <c r="R50" i="72"/>
  <c r="Q50" i="72"/>
  <c r="P50" i="72"/>
  <c r="S49" i="72"/>
  <c r="R49" i="72"/>
  <c r="Q49" i="72"/>
  <c r="P49" i="72"/>
  <c r="S48" i="72"/>
  <c r="R48" i="72"/>
  <c r="Q48" i="72"/>
  <c r="P48" i="72"/>
  <c r="S47" i="72"/>
  <c r="R47" i="72"/>
  <c r="Q47" i="72"/>
  <c r="P47" i="72"/>
  <c r="S46" i="72"/>
  <c r="R46" i="72"/>
  <c r="Q46" i="72"/>
  <c r="P46" i="72"/>
  <c r="S45" i="72"/>
  <c r="R45" i="72"/>
  <c r="Q45" i="72"/>
  <c r="P45" i="72"/>
  <c r="S44" i="72"/>
  <c r="R44" i="72"/>
  <c r="Q44" i="72"/>
  <c r="P44" i="72"/>
  <c r="S43" i="72"/>
  <c r="R43" i="72"/>
  <c r="Q43" i="72"/>
  <c r="P43" i="72"/>
  <c r="S42" i="72"/>
  <c r="R42" i="72"/>
  <c r="Q42" i="72"/>
  <c r="P42" i="72"/>
  <c r="S41" i="72"/>
  <c r="R41" i="72"/>
  <c r="Q41" i="72"/>
  <c r="P41" i="72"/>
  <c r="S40" i="72"/>
  <c r="R40" i="72"/>
  <c r="Q40" i="72"/>
  <c r="P40" i="72"/>
  <c r="S39" i="72"/>
  <c r="R39" i="72"/>
  <c r="Q39" i="72"/>
  <c r="P39" i="72"/>
  <c r="S38" i="72"/>
  <c r="R38" i="72"/>
  <c r="Q38" i="72"/>
  <c r="P38" i="72"/>
  <c r="S37" i="72"/>
  <c r="R37" i="72"/>
  <c r="Q37" i="72"/>
  <c r="P37" i="72"/>
  <c r="S36" i="72"/>
  <c r="R36" i="72"/>
  <c r="Q36" i="72"/>
  <c r="P36" i="72"/>
  <c r="S35" i="72"/>
  <c r="R35" i="72"/>
  <c r="Q35" i="72"/>
  <c r="P35" i="72"/>
  <c r="S34" i="72"/>
  <c r="R34" i="72"/>
  <c r="Q34" i="72"/>
  <c r="P34" i="72"/>
  <c r="S33" i="72"/>
  <c r="R33" i="72"/>
  <c r="Q33" i="72"/>
  <c r="P33" i="72"/>
  <c r="S32" i="72"/>
  <c r="R32" i="72"/>
  <c r="Q32" i="72"/>
  <c r="P32" i="72"/>
  <c r="S31" i="72"/>
  <c r="R31" i="72"/>
  <c r="Q31" i="72"/>
  <c r="P31" i="72"/>
  <c r="S30" i="72"/>
  <c r="R30" i="72"/>
  <c r="Q30" i="72"/>
  <c r="P30" i="72"/>
  <c r="S29" i="72"/>
  <c r="R29" i="72"/>
  <c r="Q29" i="72"/>
  <c r="P29" i="72"/>
  <c r="S28" i="72"/>
  <c r="R28" i="72"/>
  <c r="Q28" i="72"/>
  <c r="P28" i="72"/>
  <c r="S27" i="72"/>
  <c r="R27" i="72"/>
  <c r="Q27" i="72"/>
  <c r="P27" i="72"/>
  <c r="S26" i="72"/>
  <c r="R26" i="72"/>
  <c r="Q26" i="72"/>
  <c r="P26" i="72"/>
  <c r="S25" i="72"/>
  <c r="R25" i="72"/>
  <c r="Q25" i="72"/>
  <c r="P25" i="72"/>
  <c r="S24" i="72"/>
  <c r="R24" i="72"/>
  <c r="Q24" i="72"/>
  <c r="P24" i="72"/>
  <c r="S23" i="72"/>
  <c r="R23" i="72"/>
  <c r="Q23" i="72"/>
  <c r="P23" i="72"/>
  <c r="S22" i="72"/>
  <c r="R22" i="72"/>
  <c r="Q22" i="72"/>
  <c r="P22" i="72"/>
  <c r="S21" i="72"/>
  <c r="R21" i="72"/>
  <c r="Q21" i="72"/>
  <c r="P21" i="72"/>
  <c r="S20" i="72"/>
  <c r="R20" i="72"/>
  <c r="Q20" i="72"/>
  <c r="P20" i="72"/>
  <c r="S19" i="72"/>
  <c r="R19" i="72"/>
  <c r="Q19" i="72"/>
  <c r="P19" i="72"/>
  <c r="S18" i="72"/>
  <c r="R18" i="72"/>
  <c r="Q18" i="72"/>
  <c r="P18" i="72"/>
  <c r="S17" i="72"/>
  <c r="R17" i="72"/>
  <c r="Q17" i="72"/>
  <c r="P17" i="72"/>
  <c r="S16" i="72"/>
  <c r="R16" i="72"/>
  <c r="Q16" i="72"/>
  <c r="P16" i="72"/>
  <c r="S15" i="72"/>
  <c r="R15" i="72"/>
  <c r="Q15" i="72"/>
  <c r="P15" i="72"/>
  <c r="S14" i="72"/>
  <c r="R14" i="72"/>
  <c r="Q14" i="72"/>
  <c r="P14" i="72"/>
  <c r="S13" i="72"/>
  <c r="R13" i="72"/>
  <c r="Q13" i="72"/>
  <c r="P13" i="72"/>
  <c r="S12" i="72"/>
  <c r="R12" i="72"/>
  <c r="Q12" i="72"/>
  <c r="P12" i="72"/>
  <c r="S11" i="72"/>
  <c r="R11" i="72"/>
  <c r="Q11" i="72"/>
  <c r="P11" i="72"/>
  <c r="S10" i="72"/>
  <c r="R10" i="72"/>
  <c r="Q10" i="72"/>
  <c r="P10" i="72"/>
  <c r="S9" i="72"/>
  <c r="R9" i="72"/>
  <c r="Q9" i="72"/>
  <c r="P9" i="72"/>
  <c r="S8" i="72"/>
  <c r="R8" i="72"/>
  <c r="Q8" i="72"/>
  <c r="P8" i="72"/>
  <c r="S7" i="72"/>
  <c r="R7" i="72"/>
  <c r="Q7" i="72"/>
  <c r="P7" i="72"/>
  <c r="S6" i="72"/>
  <c r="R6" i="72"/>
  <c r="Q6" i="72"/>
  <c r="P6" i="72"/>
  <c r="O126" i="85"/>
  <c r="K126" i="85"/>
  <c r="G126" i="85"/>
  <c r="O125" i="85"/>
  <c r="K125" i="85"/>
  <c r="G125" i="85"/>
  <c r="O124" i="85"/>
  <c r="K124" i="85"/>
  <c r="G124" i="85"/>
  <c r="O123" i="85"/>
  <c r="K123" i="85"/>
  <c r="G123" i="85"/>
  <c r="O122" i="85"/>
  <c r="K122" i="85"/>
  <c r="G122" i="85"/>
  <c r="O121" i="85"/>
  <c r="K121" i="85"/>
  <c r="G121" i="85"/>
  <c r="O120" i="85"/>
  <c r="K120" i="85"/>
  <c r="G120" i="85"/>
  <c r="O119" i="85"/>
  <c r="K119" i="85"/>
  <c r="G119" i="85"/>
  <c r="O118" i="85"/>
  <c r="K118" i="85"/>
  <c r="G118" i="85"/>
  <c r="O117" i="85"/>
  <c r="K117" i="85"/>
  <c r="G117" i="85"/>
  <c r="O116" i="85"/>
  <c r="K116" i="85"/>
  <c r="G116" i="85"/>
  <c r="O115" i="85"/>
  <c r="K115" i="85"/>
  <c r="G115" i="85"/>
  <c r="O114" i="85"/>
  <c r="K114" i="85"/>
  <c r="G114" i="85"/>
  <c r="O113" i="85"/>
  <c r="K113" i="85"/>
  <c r="G113" i="85"/>
  <c r="O112" i="85"/>
  <c r="K112" i="85"/>
  <c r="G112" i="85"/>
  <c r="O111" i="85"/>
  <c r="K111" i="85"/>
  <c r="G111" i="85"/>
  <c r="O110" i="85"/>
  <c r="K110" i="85"/>
  <c r="G110" i="85"/>
  <c r="O109" i="85"/>
  <c r="K109" i="85"/>
  <c r="G109" i="85"/>
  <c r="O108" i="85"/>
  <c r="K108" i="85"/>
  <c r="G108" i="85"/>
  <c r="O107" i="85"/>
  <c r="K107" i="85"/>
  <c r="G107" i="85"/>
  <c r="O106" i="85"/>
  <c r="K106" i="85"/>
  <c r="G106" i="85"/>
  <c r="O105" i="85"/>
  <c r="K105" i="85"/>
  <c r="G105" i="85"/>
  <c r="O104" i="85"/>
  <c r="K104" i="85"/>
  <c r="G104" i="85"/>
  <c r="O103" i="85"/>
  <c r="K103" i="85"/>
  <c r="G103" i="85"/>
  <c r="O102" i="85"/>
  <c r="K102" i="85"/>
  <c r="G102" i="85"/>
  <c r="O101" i="85"/>
  <c r="K101" i="85"/>
  <c r="G101" i="85"/>
  <c r="O100" i="85"/>
  <c r="K100" i="85"/>
  <c r="G100" i="85"/>
  <c r="O99" i="85"/>
  <c r="K99" i="85"/>
  <c r="G99" i="85"/>
  <c r="O98" i="85"/>
  <c r="K98" i="85"/>
  <c r="G98" i="85"/>
  <c r="O97" i="85"/>
  <c r="K97" i="85"/>
  <c r="G97" i="85"/>
  <c r="O96" i="85"/>
  <c r="K96" i="85"/>
  <c r="G96" i="85"/>
  <c r="O95" i="85"/>
  <c r="K95" i="85"/>
  <c r="G95" i="85"/>
  <c r="O94" i="85"/>
  <c r="K94" i="85"/>
  <c r="G94" i="85"/>
  <c r="O93" i="85"/>
  <c r="K93" i="85"/>
  <c r="G93" i="85"/>
  <c r="O92" i="85"/>
  <c r="K92" i="85"/>
  <c r="G92" i="85"/>
  <c r="O91" i="85"/>
  <c r="K91" i="85"/>
  <c r="G91" i="85"/>
  <c r="O90" i="85"/>
  <c r="K90" i="85"/>
  <c r="G90" i="85"/>
  <c r="O89" i="85"/>
  <c r="K89" i="85"/>
  <c r="G89" i="85"/>
  <c r="O88" i="85"/>
  <c r="K88" i="85"/>
  <c r="G88" i="85"/>
  <c r="O87" i="85"/>
  <c r="K87" i="85"/>
  <c r="G87" i="85"/>
  <c r="O86" i="85"/>
  <c r="K86" i="85"/>
  <c r="G86" i="85"/>
  <c r="O85" i="85"/>
  <c r="K85" i="85"/>
  <c r="G85" i="85"/>
  <c r="O84" i="85"/>
  <c r="K84" i="85"/>
  <c r="G84" i="85"/>
  <c r="O83" i="85"/>
  <c r="K83" i="85"/>
  <c r="G83" i="85"/>
  <c r="O82" i="85"/>
  <c r="K82" i="85"/>
  <c r="G82" i="85"/>
  <c r="O81" i="85"/>
  <c r="K81" i="85"/>
  <c r="G81" i="85"/>
  <c r="O80" i="85"/>
  <c r="K80" i="85"/>
  <c r="G80" i="85"/>
  <c r="O79" i="85"/>
  <c r="K79" i="85"/>
  <c r="G79" i="85"/>
  <c r="O78" i="85"/>
  <c r="K78" i="85"/>
  <c r="G78" i="85"/>
  <c r="O77" i="85"/>
  <c r="K77" i="85"/>
  <c r="G77" i="85"/>
  <c r="O76" i="85"/>
  <c r="K76" i="85"/>
  <c r="G76" i="85"/>
  <c r="O75" i="85"/>
  <c r="K75" i="85"/>
  <c r="G75" i="85"/>
  <c r="O74" i="85"/>
  <c r="K74" i="85"/>
  <c r="G74" i="85"/>
  <c r="O73" i="85"/>
  <c r="K73" i="85"/>
  <c r="G73" i="85"/>
  <c r="O72" i="85"/>
  <c r="K72" i="85"/>
  <c r="G72" i="85"/>
  <c r="O71" i="85"/>
  <c r="K71" i="85"/>
  <c r="G71" i="85"/>
  <c r="O70" i="85"/>
  <c r="K70" i="85"/>
  <c r="G70" i="85"/>
  <c r="O69" i="85"/>
  <c r="K69" i="85"/>
  <c r="G69" i="85"/>
  <c r="O68" i="85"/>
  <c r="K68" i="85"/>
  <c r="G68" i="85"/>
  <c r="O67" i="85"/>
  <c r="K67" i="85"/>
  <c r="G67" i="85"/>
  <c r="O66" i="85"/>
  <c r="K66" i="85"/>
  <c r="G66" i="85"/>
  <c r="O65" i="85"/>
  <c r="K65" i="85"/>
  <c r="G65" i="85"/>
  <c r="O64" i="85"/>
  <c r="K64" i="85"/>
  <c r="G64" i="85"/>
  <c r="O63" i="85"/>
  <c r="K63" i="85"/>
  <c r="G63" i="85"/>
  <c r="O62" i="85"/>
  <c r="K62" i="85"/>
  <c r="G62" i="85"/>
  <c r="O61" i="85"/>
  <c r="K61" i="85"/>
  <c r="G61" i="85"/>
  <c r="O60" i="85"/>
  <c r="K60" i="85"/>
  <c r="G60" i="85"/>
  <c r="O59" i="85"/>
  <c r="K59" i="85"/>
  <c r="G59" i="85"/>
  <c r="O58" i="85"/>
  <c r="K58" i="85"/>
  <c r="G58" i="85"/>
  <c r="O57" i="85"/>
  <c r="K57" i="85"/>
  <c r="G57" i="85"/>
  <c r="O56" i="85"/>
  <c r="K56" i="85"/>
  <c r="G56" i="85"/>
  <c r="O55" i="85"/>
  <c r="K55" i="85"/>
  <c r="G55" i="85"/>
  <c r="O54" i="85"/>
  <c r="K54" i="85"/>
  <c r="G54" i="85"/>
  <c r="O53" i="85"/>
  <c r="K53" i="85"/>
  <c r="G53" i="85"/>
  <c r="O52" i="85"/>
  <c r="K52" i="85"/>
  <c r="G52" i="85"/>
  <c r="O51" i="85"/>
  <c r="K51" i="85"/>
  <c r="G51" i="85"/>
  <c r="O50" i="85"/>
  <c r="K50" i="85"/>
  <c r="G50" i="85"/>
  <c r="O49" i="85"/>
  <c r="K49" i="85"/>
  <c r="G49" i="85"/>
  <c r="O48" i="85"/>
  <c r="K48" i="85"/>
  <c r="G48" i="85"/>
  <c r="O47" i="85"/>
  <c r="K47" i="85"/>
  <c r="G47" i="85"/>
  <c r="O46" i="85"/>
  <c r="K46" i="85"/>
  <c r="G46" i="85"/>
  <c r="O45" i="85"/>
  <c r="K45" i="85"/>
  <c r="G45" i="85"/>
  <c r="O44" i="85"/>
  <c r="K44" i="85"/>
  <c r="G44" i="85"/>
  <c r="O43" i="85"/>
  <c r="K43" i="85"/>
  <c r="G43" i="85"/>
  <c r="O42" i="85"/>
  <c r="K42" i="85"/>
  <c r="G42" i="85"/>
  <c r="O41" i="85"/>
  <c r="K41" i="85"/>
  <c r="G41" i="85"/>
  <c r="O40" i="85"/>
  <c r="K40" i="85"/>
  <c r="G40" i="85"/>
  <c r="O39" i="85"/>
  <c r="K39" i="85"/>
  <c r="G39" i="85"/>
  <c r="O38" i="85"/>
  <c r="K38" i="85"/>
  <c r="G38" i="85"/>
  <c r="O37" i="85"/>
  <c r="K37" i="85"/>
  <c r="G37" i="85"/>
  <c r="O36" i="85"/>
  <c r="K36" i="85"/>
  <c r="G36" i="85"/>
  <c r="O35" i="85"/>
  <c r="K35" i="85"/>
  <c r="G35" i="85"/>
  <c r="O34" i="85"/>
  <c r="K34" i="85"/>
  <c r="G34" i="85"/>
  <c r="O33" i="85"/>
  <c r="K33" i="85"/>
  <c r="G33" i="85"/>
  <c r="O32" i="85"/>
  <c r="K32" i="85"/>
  <c r="G32" i="85"/>
  <c r="O31" i="85"/>
  <c r="K31" i="85"/>
  <c r="G31" i="85"/>
  <c r="O30" i="85"/>
  <c r="K30" i="85"/>
  <c r="G30" i="85"/>
  <c r="O29" i="85"/>
  <c r="K29" i="85"/>
  <c r="G29" i="85"/>
  <c r="O28" i="85"/>
  <c r="K28" i="85"/>
  <c r="G28" i="85"/>
  <c r="O27" i="85"/>
  <c r="K27" i="85"/>
  <c r="G27" i="85"/>
  <c r="O26" i="85"/>
  <c r="K26" i="85"/>
  <c r="G26" i="85"/>
  <c r="O25" i="85"/>
  <c r="K25" i="85"/>
  <c r="G25" i="85"/>
  <c r="O24" i="85"/>
  <c r="K24" i="85"/>
  <c r="G24" i="85"/>
  <c r="O23" i="85"/>
  <c r="K23" i="85"/>
  <c r="G23" i="85"/>
  <c r="O22" i="85"/>
  <c r="K22" i="85"/>
  <c r="G22" i="85"/>
  <c r="O21" i="85"/>
  <c r="K21" i="85"/>
  <c r="G21" i="85"/>
  <c r="O20" i="85"/>
  <c r="K20" i="85"/>
  <c r="G20" i="85"/>
  <c r="O19" i="85"/>
  <c r="K19" i="85"/>
  <c r="G19" i="85"/>
  <c r="O18" i="85"/>
  <c r="K18" i="85"/>
  <c r="G18" i="85"/>
  <c r="O17" i="85"/>
  <c r="K17" i="85"/>
  <c r="G17" i="85"/>
  <c r="O16" i="85"/>
  <c r="K16" i="85"/>
  <c r="G16" i="85"/>
  <c r="O15" i="85"/>
  <c r="K15" i="85"/>
  <c r="G15" i="85"/>
  <c r="O14" i="85"/>
  <c r="K14" i="85"/>
  <c r="G14" i="85"/>
  <c r="O13" i="85"/>
  <c r="K13" i="85"/>
  <c r="G13" i="85"/>
  <c r="O12" i="85"/>
  <c r="K12" i="85"/>
  <c r="G12" i="85"/>
  <c r="O11" i="85"/>
  <c r="K11" i="85"/>
  <c r="G11" i="85"/>
  <c r="O10" i="85"/>
  <c r="K10" i="85"/>
  <c r="G10" i="85"/>
  <c r="O9" i="85"/>
  <c r="K9" i="85"/>
  <c r="G9" i="85"/>
  <c r="O8" i="85"/>
  <c r="K8" i="85"/>
  <c r="G8" i="85"/>
  <c r="O7" i="85"/>
  <c r="K7" i="85"/>
  <c r="G7" i="85"/>
  <c r="N6" i="85"/>
  <c r="M6" i="85"/>
  <c r="L6" i="85"/>
  <c r="J6" i="85"/>
  <c r="I6" i="85"/>
  <c r="H6" i="85"/>
  <c r="F6" i="85"/>
  <c r="E6" i="85"/>
  <c r="D6" i="85"/>
  <c r="D125" i="46"/>
  <c r="C123" i="46"/>
  <c r="F122" i="46"/>
  <c r="E122" i="46"/>
  <c r="D122" i="46"/>
  <c r="F121" i="46"/>
  <c r="E121" i="46"/>
  <c r="D121" i="46"/>
  <c r="F120" i="46"/>
  <c r="E120" i="46"/>
  <c r="D120" i="46"/>
  <c r="F119" i="46"/>
  <c r="E119" i="46"/>
  <c r="D119" i="46"/>
  <c r="F118" i="46"/>
  <c r="E118" i="46"/>
  <c r="D118" i="46"/>
  <c r="F117" i="46"/>
  <c r="E117" i="46"/>
  <c r="D117" i="46"/>
  <c r="F116" i="46"/>
  <c r="E116" i="46"/>
  <c r="D116" i="46"/>
  <c r="F115" i="46"/>
  <c r="E115" i="46"/>
  <c r="D115" i="46"/>
  <c r="F114" i="46"/>
  <c r="E114" i="46"/>
  <c r="D114" i="46"/>
  <c r="F113" i="46"/>
  <c r="E113" i="46"/>
  <c r="D113" i="46"/>
  <c r="F112" i="46"/>
  <c r="E112" i="46"/>
  <c r="D112" i="46"/>
  <c r="F111" i="46"/>
  <c r="E111" i="46"/>
  <c r="D111" i="46"/>
  <c r="F110" i="46"/>
  <c r="E110" i="46"/>
  <c r="D110" i="46"/>
  <c r="F109" i="46"/>
  <c r="E109" i="46"/>
  <c r="D109" i="46"/>
  <c r="F108" i="46"/>
  <c r="E108" i="46"/>
  <c r="D108" i="46"/>
  <c r="F107" i="46"/>
  <c r="E107" i="46"/>
  <c r="D107" i="46"/>
  <c r="F106" i="46"/>
  <c r="E106" i="46"/>
  <c r="D106" i="46"/>
  <c r="F105" i="46"/>
  <c r="E105" i="46"/>
  <c r="D105" i="46"/>
  <c r="F104" i="46"/>
  <c r="E104" i="46"/>
  <c r="D104" i="46"/>
  <c r="F103" i="46"/>
  <c r="E103" i="46"/>
  <c r="D103" i="46"/>
  <c r="F102" i="46"/>
  <c r="E102" i="46"/>
  <c r="D102" i="46"/>
  <c r="F101" i="46"/>
  <c r="E101" i="46"/>
  <c r="D101" i="46"/>
  <c r="F100" i="46"/>
  <c r="E100" i="46"/>
  <c r="D100" i="46"/>
  <c r="F99" i="46"/>
  <c r="E99" i="46"/>
  <c r="D99" i="46"/>
  <c r="F98" i="46"/>
  <c r="E98" i="46"/>
  <c r="D98" i="46"/>
  <c r="F97" i="46"/>
  <c r="E97" i="46"/>
  <c r="D97" i="46"/>
  <c r="F96" i="46"/>
  <c r="E96" i="46"/>
  <c r="D96" i="46"/>
  <c r="F95" i="46"/>
  <c r="E95" i="46"/>
  <c r="D95" i="46"/>
  <c r="F94" i="46"/>
  <c r="E94" i="46"/>
  <c r="D94" i="46"/>
  <c r="F93" i="46"/>
  <c r="E93" i="46"/>
  <c r="D93" i="46"/>
  <c r="F92" i="46"/>
  <c r="E92" i="46"/>
  <c r="D92" i="46"/>
  <c r="F91" i="46"/>
  <c r="E91" i="46"/>
  <c r="D91" i="46"/>
  <c r="F90" i="46"/>
  <c r="E90" i="46"/>
  <c r="D90" i="46"/>
  <c r="F89" i="46"/>
  <c r="E89" i="46"/>
  <c r="D89" i="46"/>
  <c r="F88" i="46"/>
  <c r="E88" i="46"/>
  <c r="D88" i="46"/>
  <c r="F87" i="46"/>
  <c r="E87" i="46"/>
  <c r="D87" i="46"/>
  <c r="F86" i="46"/>
  <c r="E86" i="46"/>
  <c r="D86" i="46"/>
  <c r="F85" i="46"/>
  <c r="E85" i="46"/>
  <c r="D85" i="46"/>
  <c r="F84" i="46"/>
  <c r="E84" i="46"/>
  <c r="D84" i="46"/>
  <c r="F83" i="46"/>
  <c r="E83" i="46"/>
  <c r="D83" i="46"/>
  <c r="F82" i="46"/>
  <c r="E82" i="46"/>
  <c r="D82" i="46"/>
  <c r="F81" i="46"/>
  <c r="E81" i="46"/>
  <c r="D81" i="46"/>
  <c r="F80" i="46"/>
  <c r="E80" i="46"/>
  <c r="D80" i="46"/>
  <c r="F79" i="46"/>
  <c r="E79" i="46"/>
  <c r="D79" i="46"/>
  <c r="F78" i="46"/>
  <c r="E78" i="46"/>
  <c r="D78" i="46"/>
  <c r="F77" i="46"/>
  <c r="E77" i="46"/>
  <c r="D77" i="46"/>
  <c r="F76" i="46"/>
  <c r="E76" i="46"/>
  <c r="D76" i="46"/>
  <c r="F75" i="46"/>
  <c r="E75" i="46"/>
  <c r="D75" i="46"/>
  <c r="F74" i="46"/>
  <c r="E74" i="46"/>
  <c r="D74" i="46"/>
  <c r="F73" i="46"/>
  <c r="E73" i="46"/>
  <c r="D73" i="46"/>
  <c r="F72" i="46"/>
  <c r="E72" i="46"/>
  <c r="D72" i="46"/>
  <c r="F71" i="46"/>
  <c r="E71" i="46"/>
  <c r="D71" i="46"/>
  <c r="F70" i="46"/>
  <c r="E70" i="46"/>
  <c r="D70" i="46"/>
  <c r="F69" i="46"/>
  <c r="E69" i="46"/>
  <c r="D69" i="46"/>
  <c r="F68" i="46"/>
  <c r="E68" i="46"/>
  <c r="D68" i="46"/>
  <c r="F67" i="46"/>
  <c r="E67" i="46"/>
  <c r="D67" i="46"/>
  <c r="F66" i="46"/>
  <c r="E66" i="46"/>
  <c r="D66" i="46"/>
  <c r="F65" i="46"/>
  <c r="E65" i="46"/>
  <c r="D65" i="46"/>
  <c r="F64" i="46"/>
  <c r="E64" i="46"/>
  <c r="D64" i="46"/>
  <c r="F63" i="46"/>
  <c r="E63" i="46"/>
  <c r="D63" i="46"/>
  <c r="F62" i="46"/>
  <c r="E62" i="46"/>
  <c r="D62" i="46"/>
  <c r="F61" i="46"/>
  <c r="E61" i="46"/>
  <c r="D61" i="46"/>
  <c r="F60" i="46"/>
  <c r="E60" i="46"/>
  <c r="D60" i="46"/>
  <c r="F59" i="46"/>
  <c r="E59" i="46"/>
  <c r="D59" i="46"/>
  <c r="F58" i="46"/>
  <c r="E58" i="46"/>
  <c r="D58" i="46"/>
  <c r="F57" i="46"/>
  <c r="E57" i="46"/>
  <c r="D57" i="46"/>
  <c r="F56" i="46"/>
  <c r="E56" i="46"/>
  <c r="D56" i="46"/>
  <c r="F55" i="46"/>
  <c r="E55" i="46"/>
  <c r="D55" i="46"/>
  <c r="F54" i="46"/>
  <c r="E54" i="46"/>
  <c r="D54" i="46"/>
  <c r="F53" i="46"/>
  <c r="E53" i="46"/>
  <c r="D53" i="46"/>
  <c r="F52" i="46"/>
  <c r="E52" i="46"/>
  <c r="D52" i="46"/>
  <c r="F51" i="46"/>
  <c r="E51" i="46"/>
  <c r="D51" i="46"/>
  <c r="F50" i="46"/>
  <c r="E50" i="46"/>
  <c r="D50" i="46"/>
  <c r="F49" i="46"/>
  <c r="E49" i="46"/>
  <c r="D49" i="46"/>
  <c r="F48" i="46"/>
  <c r="E48" i="46"/>
  <c r="D48" i="46"/>
  <c r="F47" i="46"/>
  <c r="E47" i="46"/>
  <c r="D47" i="46"/>
  <c r="F46" i="46"/>
  <c r="E46" i="46"/>
  <c r="D46" i="46"/>
  <c r="F45" i="46"/>
  <c r="E45" i="46"/>
  <c r="D45" i="46"/>
  <c r="F44" i="46"/>
  <c r="E44" i="46"/>
  <c r="D44" i="46"/>
  <c r="F43" i="46"/>
  <c r="E43" i="46"/>
  <c r="D43" i="46"/>
  <c r="F42" i="46"/>
  <c r="E42" i="46"/>
  <c r="D42" i="46"/>
  <c r="F41" i="46"/>
  <c r="E41" i="46"/>
  <c r="D41" i="46"/>
  <c r="F40" i="46"/>
  <c r="E40" i="46"/>
  <c r="D40" i="46"/>
  <c r="F39" i="46"/>
  <c r="E39" i="46"/>
  <c r="D39" i="46"/>
  <c r="F38" i="46"/>
  <c r="E38" i="46"/>
  <c r="D38" i="46"/>
  <c r="F37" i="46"/>
  <c r="E37" i="46"/>
  <c r="D37" i="46"/>
  <c r="F36" i="46"/>
  <c r="E36" i="46"/>
  <c r="D36" i="46"/>
  <c r="F35" i="46"/>
  <c r="E35" i="46"/>
  <c r="D35" i="46"/>
  <c r="F34" i="46"/>
  <c r="E34" i="46"/>
  <c r="D34" i="46"/>
  <c r="F33" i="46"/>
  <c r="E33" i="46"/>
  <c r="D33" i="46"/>
  <c r="F32" i="46"/>
  <c r="E32" i="46"/>
  <c r="D32" i="46"/>
  <c r="F31" i="46"/>
  <c r="E31" i="46"/>
  <c r="D31" i="46"/>
  <c r="F30" i="46"/>
  <c r="E30" i="46"/>
  <c r="D30" i="46"/>
  <c r="F29" i="46"/>
  <c r="E29" i="46"/>
  <c r="D29" i="46"/>
  <c r="F28" i="46"/>
  <c r="E28" i="46"/>
  <c r="D28" i="46"/>
  <c r="F27" i="46"/>
  <c r="E27" i="46"/>
  <c r="D27" i="46"/>
  <c r="F26" i="46"/>
  <c r="E26" i="46"/>
  <c r="D26" i="46"/>
  <c r="F25" i="46"/>
  <c r="E25" i="46"/>
  <c r="D25" i="46"/>
  <c r="F24" i="46"/>
  <c r="E24" i="46"/>
  <c r="D24" i="46"/>
  <c r="F23" i="46"/>
  <c r="E23" i="46"/>
  <c r="D23" i="46"/>
  <c r="F22" i="46"/>
  <c r="E22" i="46"/>
  <c r="D22" i="46"/>
  <c r="F21" i="46"/>
  <c r="E21" i="46"/>
  <c r="D21" i="46"/>
  <c r="F20" i="46"/>
  <c r="E20" i="46"/>
  <c r="D20" i="46"/>
  <c r="F19" i="46"/>
  <c r="E19" i="46"/>
  <c r="D19" i="46"/>
  <c r="F18" i="46"/>
  <c r="E18" i="46"/>
  <c r="D18" i="46"/>
  <c r="F17" i="46"/>
  <c r="E17" i="46"/>
  <c r="D17" i="46"/>
  <c r="F16" i="46"/>
  <c r="E16" i="46"/>
  <c r="D16" i="46"/>
  <c r="F15" i="46"/>
  <c r="E15" i="46"/>
  <c r="D15" i="46"/>
  <c r="F14" i="46"/>
  <c r="E14" i="46"/>
  <c r="D14" i="46"/>
  <c r="F13" i="46"/>
  <c r="E13" i="46"/>
  <c r="D13" i="46"/>
  <c r="F12" i="46"/>
  <c r="E12" i="46"/>
  <c r="D12" i="46"/>
  <c r="F11" i="46"/>
  <c r="E11" i="46"/>
  <c r="D11" i="46"/>
  <c r="F10" i="46"/>
  <c r="E10" i="46"/>
  <c r="D10" i="46"/>
  <c r="F9" i="46"/>
  <c r="E9" i="46"/>
  <c r="D9" i="46"/>
  <c r="F8" i="46"/>
  <c r="E8" i="46"/>
  <c r="D8" i="46"/>
  <c r="F7" i="46"/>
  <c r="E7" i="46"/>
  <c r="D7" i="46"/>
  <c r="F6" i="46"/>
  <c r="E6" i="46"/>
  <c r="D6" i="46"/>
  <c r="F5" i="46"/>
  <c r="E5" i="46"/>
  <c r="D5" i="46"/>
  <c r="F4" i="46"/>
  <c r="E4" i="46"/>
  <c r="D4" i="46"/>
  <c r="F3" i="46"/>
  <c r="F123" i="46" s="1"/>
  <c r="E3" i="46"/>
  <c r="E123" i="46" s="1"/>
  <c r="D3" i="46"/>
  <c r="D123" i="46" s="1"/>
  <c r="AL4" i="62"/>
  <c r="AK4" i="62"/>
  <c r="AJ4" i="62"/>
  <c r="AI4" i="62"/>
  <c r="AH4" i="62"/>
  <c r="AF4" i="62"/>
  <c r="AE4" i="62"/>
  <c r="AD4" i="62"/>
  <c r="AC4" i="62"/>
  <c r="AB4" i="62"/>
  <c r="N4" i="62"/>
  <c r="M4" i="62"/>
  <c r="L4" i="62"/>
  <c r="K4" i="62"/>
  <c r="J4" i="62"/>
  <c r="E4" i="59"/>
  <c r="D4" i="59"/>
  <c r="AR4" i="60"/>
  <c r="AQ4" i="60"/>
  <c r="AP4" i="60"/>
  <c r="AO4" i="60"/>
  <c r="AN4" i="60"/>
  <c r="AL4" i="60"/>
  <c r="AK4" i="60"/>
  <c r="AJ4" i="60"/>
  <c r="AI4" i="60"/>
  <c r="AH4" i="60"/>
  <c r="T4" i="60"/>
  <c r="S4" i="60"/>
  <c r="R4" i="60"/>
  <c r="Q4" i="60"/>
  <c r="P4" i="60"/>
  <c r="I18" i="123"/>
  <c r="E4" i="58"/>
  <c r="D4" i="58"/>
  <c r="L15" i="123" s="1"/>
  <c r="N4" i="57"/>
  <c r="M4" i="57"/>
  <c r="L4" i="57"/>
  <c r="J4" i="57"/>
  <c r="I4" i="57"/>
  <c r="H4" i="57"/>
  <c r="DZ4" i="56"/>
  <c r="DY4" i="56"/>
  <c r="DX4" i="56"/>
  <c r="DW4" i="56"/>
  <c r="DV4" i="56"/>
  <c r="DT4" i="56"/>
  <c r="DS4" i="56"/>
  <c r="DR4" i="56"/>
  <c r="DQ4" i="56"/>
  <c r="DP4" i="56"/>
  <c r="DB4" i="56"/>
  <c r="DA4" i="56"/>
  <c r="CZ4" i="56"/>
  <c r="CY4" i="56"/>
  <c r="CX4" i="56"/>
  <c r="CV4" i="56"/>
  <c r="CU4" i="56"/>
  <c r="CT4" i="56"/>
  <c r="CS4" i="56"/>
  <c r="CR4" i="56"/>
  <c r="CP4" i="56"/>
  <c r="CO4" i="56"/>
  <c r="CN4" i="56"/>
  <c r="CM4" i="56"/>
  <c r="CL4" i="56"/>
  <c r="CJ4" i="56"/>
  <c r="CI4" i="56"/>
  <c r="CH4" i="56"/>
  <c r="CG4" i="56"/>
  <c r="CF4" i="56"/>
  <c r="CD4" i="56"/>
  <c r="CC4" i="56"/>
  <c r="CB4" i="56"/>
  <c r="CA4" i="56"/>
  <c r="BZ4" i="56"/>
  <c r="BX4" i="56"/>
  <c r="BW4" i="56"/>
  <c r="BV4" i="56"/>
  <c r="BU4" i="56"/>
  <c r="BT4" i="56"/>
  <c r="BR4" i="56"/>
  <c r="BQ4" i="56"/>
  <c r="BP4" i="56"/>
  <c r="BO4" i="56"/>
  <c r="BN4" i="56"/>
  <c r="BL4" i="56"/>
  <c r="BK4" i="56"/>
  <c r="BJ4" i="56"/>
  <c r="BI4" i="56"/>
  <c r="BH4" i="56"/>
  <c r="BF4" i="56"/>
  <c r="BE4" i="56"/>
  <c r="BD4" i="56"/>
  <c r="BC4" i="56"/>
  <c r="BB4" i="56"/>
  <c r="AZ4" i="56"/>
  <c r="AY4" i="56"/>
  <c r="AX4" i="56"/>
  <c r="AW4" i="56"/>
  <c r="AV4" i="56"/>
  <c r="AT4" i="56"/>
  <c r="AS4" i="56"/>
  <c r="AR4" i="56"/>
  <c r="AQ4" i="56"/>
  <c r="AP4" i="56"/>
  <c r="AN4" i="56"/>
  <c r="AM4" i="56"/>
  <c r="AL4" i="56"/>
  <c r="AK4" i="56"/>
  <c r="AJ4" i="56"/>
  <c r="AH4" i="56"/>
  <c r="AG4" i="56"/>
  <c r="AF4" i="56"/>
  <c r="AE4" i="56"/>
  <c r="AD4" i="56"/>
  <c r="AB4" i="56"/>
  <c r="AA4" i="56"/>
  <c r="Z4" i="56"/>
  <c r="Y4" i="56"/>
  <c r="X4" i="56"/>
  <c r="V4" i="56"/>
  <c r="U4" i="56"/>
  <c r="T4" i="56"/>
  <c r="S4" i="56"/>
  <c r="R4" i="56"/>
  <c r="P4" i="56"/>
  <c r="O4" i="56"/>
  <c r="N4" i="56"/>
  <c r="M4" i="56"/>
  <c r="L4" i="56"/>
  <c r="Q4" i="55"/>
  <c r="AA4" i="53"/>
  <c r="Z4" i="53"/>
  <c r="Y4" i="53"/>
  <c r="X4" i="53"/>
  <c r="N4" i="53"/>
  <c r="M4" i="53"/>
  <c r="L4" i="53"/>
  <c r="X125" i="36"/>
  <c r="W125" i="36"/>
  <c r="V125" i="36"/>
  <c r="U125" i="36"/>
  <c r="T125" i="36"/>
  <c r="S125" i="36"/>
  <c r="R125" i="36"/>
  <c r="Q125" i="36"/>
  <c r="N125" i="36"/>
  <c r="M125" i="36"/>
  <c r="L125" i="36"/>
  <c r="K125" i="36"/>
  <c r="J125" i="36"/>
  <c r="I125" i="36"/>
  <c r="H125" i="36"/>
  <c r="G125" i="36"/>
  <c r="F125" i="36"/>
  <c r="E125" i="36"/>
  <c r="O124" i="36"/>
  <c r="O123" i="36"/>
  <c r="O122" i="36"/>
  <c r="O121" i="36"/>
  <c r="O120" i="36"/>
  <c r="O119" i="36"/>
  <c r="O118" i="36"/>
  <c r="O117" i="36"/>
  <c r="O116" i="36"/>
  <c r="O115" i="36"/>
  <c r="O114" i="36"/>
  <c r="O113" i="36"/>
  <c r="O112" i="36"/>
  <c r="O111" i="36"/>
  <c r="O110" i="36"/>
  <c r="O109" i="36"/>
  <c r="O108" i="36"/>
  <c r="O107" i="36"/>
  <c r="O106" i="36"/>
  <c r="O105" i="36"/>
  <c r="O104" i="36"/>
  <c r="O103" i="36"/>
  <c r="O102" i="36"/>
  <c r="O101" i="36"/>
  <c r="O100" i="36"/>
  <c r="O99" i="36"/>
  <c r="O98" i="36"/>
  <c r="O97" i="36"/>
  <c r="O96" i="36"/>
  <c r="O95" i="36"/>
  <c r="O94" i="36"/>
  <c r="O93" i="36"/>
  <c r="O92" i="36"/>
  <c r="O91" i="36"/>
  <c r="O90" i="36"/>
  <c r="O89" i="36"/>
  <c r="O88" i="36"/>
  <c r="O87" i="36"/>
  <c r="O86" i="36"/>
  <c r="O85" i="36"/>
  <c r="O84" i="36"/>
  <c r="O83" i="36"/>
  <c r="O82" i="36"/>
  <c r="O81" i="36"/>
  <c r="O80" i="36"/>
  <c r="O79"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C1" i="36"/>
  <c r="D1" i="36" s="1"/>
  <c r="E1" i="36" s="1"/>
  <c r="F1" i="36" s="1"/>
  <c r="G1" i="36" s="1"/>
  <c r="H1" i="36" s="1"/>
  <c r="I1" i="36" s="1"/>
  <c r="J1" i="36" s="1"/>
  <c r="K1" i="36" s="1"/>
  <c r="L1" i="36" s="1"/>
  <c r="M1" i="36" s="1"/>
  <c r="N1" i="36" s="1"/>
  <c r="O1" i="36" s="1"/>
  <c r="E122" i="38"/>
  <c r="E123" i="38" s="1"/>
  <c r="D122" i="38"/>
  <c r="D123" i="38" s="1"/>
  <c r="C122" i="38"/>
  <c r="C123" i="38" s="1"/>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F5" i="38"/>
  <c r="F4" i="38"/>
  <c r="F3" i="38"/>
  <c r="F2" i="38"/>
  <c r="X123" i="41"/>
  <c r="W123" i="41"/>
  <c r="T123" i="41"/>
  <c r="S123" i="41"/>
  <c r="P123" i="41"/>
  <c r="L123" i="41"/>
  <c r="K123" i="41"/>
  <c r="H123" i="41"/>
  <c r="G123" i="41"/>
  <c r="D123" i="41"/>
  <c r="C123" i="41"/>
  <c r="X122" i="41"/>
  <c r="W122" i="41"/>
  <c r="T122" i="41"/>
  <c r="S122" i="41"/>
  <c r="P122" i="41"/>
  <c r="L122" i="41"/>
  <c r="K122" i="41"/>
  <c r="H122" i="41"/>
  <c r="G122" i="41"/>
  <c r="D122" i="41"/>
  <c r="C122" i="41"/>
  <c r="X121" i="41"/>
  <c r="W121" i="41"/>
  <c r="T121" i="41"/>
  <c r="S121" i="41"/>
  <c r="P121" i="41"/>
  <c r="L121" i="41"/>
  <c r="K121" i="41"/>
  <c r="H121" i="41"/>
  <c r="G121" i="41"/>
  <c r="D121" i="41"/>
  <c r="C121" i="41"/>
  <c r="X120" i="41"/>
  <c r="W120" i="41"/>
  <c r="T120" i="41"/>
  <c r="S120" i="41"/>
  <c r="P120" i="41"/>
  <c r="L120" i="41"/>
  <c r="K120" i="41"/>
  <c r="H120" i="41"/>
  <c r="G120" i="41"/>
  <c r="D120" i="41"/>
  <c r="C120" i="41"/>
  <c r="X119" i="41"/>
  <c r="W119" i="41"/>
  <c r="T119" i="41"/>
  <c r="S119" i="41"/>
  <c r="P119" i="41"/>
  <c r="L119" i="41"/>
  <c r="K119" i="41"/>
  <c r="H119" i="41"/>
  <c r="G119" i="41"/>
  <c r="D119" i="41"/>
  <c r="C119" i="41"/>
  <c r="X118" i="41"/>
  <c r="W118" i="41"/>
  <c r="T118" i="41"/>
  <c r="S118" i="41"/>
  <c r="P118" i="41"/>
  <c r="L118" i="41"/>
  <c r="K118" i="41"/>
  <c r="H118" i="41"/>
  <c r="G118" i="41"/>
  <c r="D118" i="41"/>
  <c r="C118" i="41"/>
  <c r="X117" i="41"/>
  <c r="W117" i="41"/>
  <c r="T117" i="41"/>
  <c r="S117" i="41"/>
  <c r="P117" i="41"/>
  <c r="L117" i="41"/>
  <c r="K117" i="41"/>
  <c r="H117" i="41"/>
  <c r="G117" i="41"/>
  <c r="D117" i="41"/>
  <c r="C117" i="41"/>
  <c r="X116" i="41"/>
  <c r="W116" i="41"/>
  <c r="T116" i="41"/>
  <c r="S116" i="41"/>
  <c r="P116" i="41"/>
  <c r="L116" i="41"/>
  <c r="K116" i="41"/>
  <c r="H116" i="41"/>
  <c r="G116" i="41"/>
  <c r="D116" i="41"/>
  <c r="C116" i="41"/>
  <c r="X115" i="41"/>
  <c r="W115" i="41"/>
  <c r="T115" i="41"/>
  <c r="S115" i="41"/>
  <c r="P115" i="41"/>
  <c r="L115" i="41"/>
  <c r="K115" i="41"/>
  <c r="H115" i="41"/>
  <c r="G115" i="41"/>
  <c r="D115" i="41"/>
  <c r="C115" i="41"/>
  <c r="X114" i="41"/>
  <c r="W114" i="41"/>
  <c r="T114" i="41"/>
  <c r="S114" i="41"/>
  <c r="P114" i="41"/>
  <c r="L114" i="41"/>
  <c r="K114" i="41"/>
  <c r="H114" i="41"/>
  <c r="G114" i="41"/>
  <c r="D114" i="41"/>
  <c r="C114" i="41"/>
  <c r="X113" i="41"/>
  <c r="W113" i="41"/>
  <c r="T113" i="41"/>
  <c r="S113" i="41"/>
  <c r="P113" i="41"/>
  <c r="L113" i="41"/>
  <c r="K113" i="41"/>
  <c r="H113" i="41"/>
  <c r="G113" i="41"/>
  <c r="D113" i="41"/>
  <c r="C113" i="41"/>
  <c r="X112" i="41"/>
  <c r="W112" i="41"/>
  <c r="T112" i="41"/>
  <c r="S112" i="41"/>
  <c r="P112" i="41"/>
  <c r="L112" i="41"/>
  <c r="K112" i="41"/>
  <c r="H112" i="41"/>
  <c r="G112" i="41"/>
  <c r="D112" i="41"/>
  <c r="C112" i="41"/>
  <c r="X111" i="41"/>
  <c r="W111" i="41"/>
  <c r="T111" i="41"/>
  <c r="S111" i="41"/>
  <c r="P111" i="41"/>
  <c r="L111" i="41"/>
  <c r="K111" i="41"/>
  <c r="H111" i="41"/>
  <c r="G111" i="41"/>
  <c r="D111" i="41"/>
  <c r="C111" i="41"/>
  <c r="X110" i="41"/>
  <c r="W110" i="41"/>
  <c r="T110" i="41"/>
  <c r="S110" i="41"/>
  <c r="P110" i="41"/>
  <c r="L110" i="41"/>
  <c r="K110" i="41"/>
  <c r="H110" i="41"/>
  <c r="G110" i="41"/>
  <c r="D110" i="41"/>
  <c r="C110" i="41"/>
  <c r="X109" i="41"/>
  <c r="W109" i="41"/>
  <c r="T109" i="41"/>
  <c r="S109" i="41"/>
  <c r="P109" i="41"/>
  <c r="L109" i="41"/>
  <c r="K109" i="41"/>
  <c r="H109" i="41"/>
  <c r="G109" i="41"/>
  <c r="D109" i="41"/>
  <c r="C109" i="41"/>
  <c r="X108" i="41"/>
  <c r="W108" i="41"/>
  <c r="T108" i="41"/>
  <c r="S108" i="41"/>
  <c r="P108" i="41"/>
  <c r="L108" i="41"/>
  <c r="K108" i="41"/>
  <c r="H108" i="41"/>
  <c r="G108" i="41"/>
  <c r="D108" i="41"/>
  <c r="C108" i="41"/>
  <c r="X107" i="41"/>
  <c r="W107" i="41"/>
  <c r="T107" i="41"/>
  <c r="S107" i="41"/>
  <c r="P107" i="41"/>
  <c r="L107" i="41"/>
  <c r="K107" i="41"/>
  <c r="H107" i="41"/>
  <c r="G107" i="41"/>
  <c r="D107" i="41"/>
  <c r="C107" i="41"/>
  <c r="X106" i="41"/>
  <c r="W106" i="41"/>
  <c r="T106" i="41"/>
  <c r="S106" i="41"/>
  <c r="P106" i="41"/>
  <c r="L106" i="41"/>
  <c r="K106" i="41"/>
  <c r="H106" i="41"/>
  <c r="G106" i="41"/>
  <c r="D106" i="41"/>
  <c r="C106" i="41"/>
  <c r="X105" i="41"/>
  <c r="W105" i="41"/>
  <c r="T105" i="41"/>
  <c r="S105" i="41"/>
  <c r="P105" i="41"/>
  <c r="L105" i="41"/>
  <c r="K105" i="41"/>
  <c r="H105" i="41"/>
  <c r="G105" i="41"/>
  <c r="D105" i="41"/>
  <c r="C105" i="41"/>
  <c r="X104" i="41"/>
  <c r="W104" i="41"/>
  <c r="T104" i="41"/>
  <c r="S104" i="41"/>
  <c r="P104" i="41"/>
  <c r="L104" i="41"/>
  <c r="K104" i="41"/>
  <c r="H104" i="41"/>
  <c r="G104" i="41"/>
  <c r="D104" i="41"/>
  <c r="C104" i="41"/>
  <c r="X103" i="41"/>
  <c r="W103" i="41"/>
  <c r="T103" i="41"/>
  <c r="S103" i="41"/>
  <c r="P103" i="41"/>
  <c r="L103" i="41"/>
  <c r="K103" i="41"/>
  <c r="H103" i="41"/>
  <c r="G103" i="41"/>
  <c r="D103" i="41"/>
  <c r="C103" i="41"/>
  <c r="X102" i="41"/>
  <c r="W102" i="41"/>
  <c r="T102" i="41"/>
  <c r="S102" i="41"/>
  <c r="P102" i="41"/>
  <c r="L102" i="41"/>
  <c r="K102" i="41"/>
  <c r="H102" i="41"/>
  <c r="G102" i="41"/>
  <c r="D102" i="41"/>
  <c r="C102" i="41"/>
  <c r="X101" i="41"/>
  <c r="W101" i="41"/>
  <c r="T101" i="41"/>
  <c r="S101" i="41"/>
  <c r="P101" i="41"/>
  <c r="L101" i="41"/>
  <c r="K101" i="41"/>
  <c r="H101" i="41"/>
  <c r="G101" i="41"/>
  <c r="D101" i="41"/>
  <c r="C101" i="41"/>
  <c r="X100" i="41"/>
  <c r="W100" i="41"/>
  <c r="T100" i="41"/>
  <c r="S100" i="41"/>
  <c r="P100" i="41"/>
  <c r="L100" i="41"/>
  <c r="K100" i="41"/>
  <c r="H100" i="41"/>
  <c r="G100" i="41"/>
  <c r="D100" i="41"/>
  <c r="C100" i="41"/>
  <c r="X99" i="41"/>
  <c r="W99" i="41"/>
  <c r="T99" i="41"/>
  <c r="S99" i="41"/>
  <c r="P99" i="41"/>
  <c r="L99" i="41"/>
  <c r="K99" i="41"/>
  <c r="H99" i="41"/>
  <c r="G99" i="41"/>
  <c r="D99" i="41"/>
  <c r="C99" i="41"/>
  <c r="X98" i="41"/>
  <c r="W98" i="41"/>
  <c r="T98" i="41"/>
  <c r="S98" i="41"/>
  <c r="P98" i="41"/>
  <c r="L98" i="41"/>
  <c r="K98" i="41"/>
  <c r="H98" i="41"/>
  <c r="G98" i="41"/>
  <c r="D98" i="41"/>
  <c r="C98" i="41"/>
  <c r="X97" i="41"/>
  <c r="W97" i="41"/>
  <c r="T97" i="41"/>
  <c r="S97" i="41"/>
  <c r="P97" i="41"/>
  <c r="L97" i="41"/>
  <c r="K97" i="41"/>
  <c r="H97" i="41"/>
  <c r="G97" i="41"/>
  <c r="D97" i="41"/>
  <c r="C97" i="41"/>
  <c r="X96" i="41"/>
  <c r="W96" i="41"/>
  <c r="T96" i="41"/>
  <c r="S96" i="41"/>
  <c r="P96" i="41"/>
  <c r="L96" i="41"/>
  <c r="K96" i="41"/>
  <c r="H96" i="41"/>
  <c r="G96" i="41"/>
  <c r="D96" i="41"/>
  <c r="C96" i="41"/>
  <c r="X95" i="41"/>
  <c r="W95" i="41"/>
  <c r="T95" i="41"/>
  <c r="S95" i="41"/>
  <c r="P95" i="41"/>
  <c r="L95" i="41"/>
  <c r="K95" i="41"/>
  <c r="H95" i="41"/>
  <c r="G95" i="41"/>
  <c r="D95" i="41"/>
  <c r="C95" i="41"/>
  <c r="X94" i="41"/>
  <c r="W94" i="41"/>
  <c r="T94" i="41"/>
  <c r="S94" i="41"/>
  <c r="P94" i="41"/>
  <c r="L94" i="41"/>
  <c r="K94" i="41"/>
  <c r="H94" i="41"/>
  <c r="G94" i="41"/>
  <c r="D94" i="41"/>
  <c r="C94" i="41"/>
  <c r="X93" i="41"/>
  <c r="W93" i="41"/>
  <c r="T93" i="41"/>
  <c r="S93" i="41"/>
  <c r="P93" i="41"/>
  <c r="L93" i="41"/>
  <c r="K93" i="41"/>
  <c r="H93" i="41"/>
  <c r="G93" i="41"/>
  <c r="D93" i="41"/>
  <c r="C93" i="41"/>
  <c r="X92" i="41"/>
  <c r="W92" i="41"/>
  <c r="T92" i="41"/>
  <c r="S92" i="41"/>
  <c r="P92" i="41"/>
  <c r="L92" i="41"/>
  <c r="K92" i="41"/>
  <c r="H92" i="41"/>
  <c r="G92" i="41"/>
  <c r="D92" i="41"/>
  <c r="C92" i="41"/>
  <c r="X91" i="41"/>
  <c r="W91" i="41"/>
  <c r="T91" i="41"/>
  <c r="S91" i="41"/>
  <c r="P91" i="41"/>
  <c r="L91" i="41"/>
  <c r="K91" i="41"/>
  <c r="H91" i="41"/>
  <c r="G91" i="41"/>
  <c r="D91" i="41"/>
  <c r="C91" i="41"/>
  <c r="X90" i="41"/>
  <c r="W90" i="41"/>
  <c r="T90" i="41"/>
  <c r="S90" i="41"/>
  <c r="P90" i="41"/>
  <c r="L90" i="41"/>
  <c r="K90" i="41"/>
  <c r="H90" i="41"/>
  <c r="G90" i="41"/>
  <c r="D90" i="41"/>
  <c r="C90" i="41"/>
  <c r="X89" i="41"/>
  <c r="W89" i="41"/>
  <c r="T89" i="41"/>
  <c r="S89" i="41"/>
  <c r="P89" i="41"/>
  <c r="L89" i="41"/>
  <c r="K89" i="41"/>
  <c r="H89" i="41"/>
  <c r="G89" i="41"/>
  <c r="D89" i="41"/>
  <c r="C89" i="41"/>
  <c r="X88" i="41"/>
  <c r="W88" i="41"/>
  <c r="T88" i="41"/>
  <c r="S88" i="41"/>
  <c r="P88" i="41"/>
  <c r="L88" i="41"/>
  <c r="K88" i="41"/>
  <c r="H88" i="41"/>
  <c r="G88" i="41"/>
  <c r="D88" i="41"/>
  <c r="C88" i="41"/>
  <c r="X87" i="41"/>
  <c r="W87" i="41"/>
  <c r="T87" i="41"/>
  <c r="S87" i="41"/>
  <c r="P87" i="41"/>
  <c r="L87" i="41"/>
  <c r="K87" i="41"/>
  <c r="H87" i="41"/>
  <c r="G87" i="41"/>
  <c r="D87" i="41"/>
  <c r="C87" i="41"/>
  <c r="X86" i="41"/>
  <c r="W86" i="41"/>
  <c r="T86" i="41"/>
  <c r="S86" i="41"/>
  <c r="P86" i="41"/>
  <c r="L86" i="41"/>
  <c r="K86" i="41"/>
  <c r="H86" i="41"/>
  <c r="G86" i="41"/>
  <c r="D86" i="41"/>
  <c r="C86" i="41"/>
  <c r="X85" i="41"/>
  <c r="W85" i="41"/>
  <c r="T85" i="41"/>
  <c r="S85" i="41"/>
  <c r="P85" i="41"/>
  <c r="L85" i="41"/>
  <c r="K85" i="41"/>
  <c r="H85" i="41"/>
  <c r="G85" i="41"/>
  <c r="D85" i="41"/>
  <c r="C85" i="41"/>
  <c r="X84" i="41"/>
  <c r="W84" i="41"/>
  <c r="T84" i="41"/>
  <c r="S84" i="41"/>
  <c r="P84" i="41"/>
  <c r="L84" i="41"/>
  <c r="K84" i="41"/>
  <c r="H84" i="41"/>
  <c r="G84" i="41"/>
  <c r="D84" i="41"/>
  <c r="C84" i="41"/>
  <c r="X83" i="41"/>
  <c r="W83" i="41"/>
  <c r="T83" i="41"/>
  <c r="S83" i="41"/>
  <c r="P83" i="41"/>
  <c r="L83" i="41"/>
  <c r="K83" i="41"/>
  <c r="H83" i="41"/>
  <c r="G83" i="41"/>
  <c r="D83" i="41"/>
  <c r="C83" i="41"/>
  <c r="X82" i="41"/>
  <c r="W82" i="41"/>
  <c r="T82" i="41"/>
  <c r="S82" i="41"/>
  <c r="P82" i="41"/>
  <c r="L82" i="41"/>
  <c r="K82" i="41"/>
  <c r="H82" i="41"/>
  <c r="G82" i="41"/>
  <c r="D82" i="41"/>
  <c r="C82" i="41"/>
  <c r="X81" i="41"/>
  <c r="W81" i="41"/>
  <c r="T81" i="41"/>
  <c r="S81" i="41"/>
  <c r="P81" i="41"/>
  <c r="L81" i="41"/>
  <c r="K81" i="41"/>
  <c r="H81" i="41"/>
  <c r="G81" i="41"/>
  <c r="D81" i="41"/>
  <c r="C81" i="41"/>
  <c r="X80" i="41"/>
  <c r="W80" i="41"/>
  <c r="T80" i="41"/>
  <c r="S80" i="41"/>
  <c r="P80" i="41"/>
  <c r="L80" i="41"/>
  <c r="K80" i="41"/>
  <c r="H80" i="41"/>
  <c r="G80" i="41"/>
  <c r="D80" i="41"/>
  <c r="C80" i="41"/>
  <c r="X79" i="41"/>
  <c r="W79" i="41"/>
  <c r="T79" i="41"/>
  <c r="S79" i="41"/>
  <c r="P79" i="41"/>
  <c r="L79" i="41"/>
  <c r="K79" i="41"/>
  <c r="H79" i="41"/>
  <c r="G79" i="41"/>
  <c r="D79" i="41"/>
  <c r="C79" i="41"/>
  <c r="X78" i="41"/>
  <c r="W78" i="41"/>
  <c r="T78" i="41"/>
  <c r="S78" i="41"/>
  <c r="P78" i="41"/>
  <c r="L78" i="41"/>
  <c r="K78" i="41"/>
  <c r="H78" i="41"/>
  <c r="G78" i="41"/>
  <c r="D78" i="41"/>
  <c r="C78" i="41"/>
  <c r="X77" i="41"/>
  <c r="W77" i="41"/>
  <c r="T77" i="41"/>
  <c r="S77" i="41"/>
  <c r="P77" i="41"/>
  <c r="L77" i="41"/>
  <c r="K77" i="41"/>
  <c r="H77" i="41"/>
  <c r="G77" i="41"/>
  <c r="D77" i="41"/>
  <c r="C77" i="41"/>
  <c r="X76" i="41"/>
  <c r="W76" i="41"/>
  <c r="T76" i="41"/>
  <c r="S76" i="41"/>
  <c r="P76" i="41"/>
  <c r="L76" i="41"/>
  <c r="K76" i="41"/>
  <c r="H76" i="41"/>
  <c r="G76" i="41"/>
  <c r="D76" i="41"/>
  <c r="C76" i="41"/>
  <c r="X75" i="41"/>
  <c r="W75" i="41"/>
  <c r="T75" i="41"/>
  <c r="S75" i="41"/>
  <c r="P75" i="41"/>
  <c r="L75" i="41"/>
  <c r="K75" i="41"/>
  <c r="H75" i="41"/>
  <c r="G75" i="41"/>
  <c r="D75" i="41"/>
  <c r="C75" i="41"/>
  <c r="X74" i="41"/>
  <c r="W74" i="41"/>
  <c r="T74" i="41"/>
  <c r="S74" i="41"/>
  <c r="P74" i="41"/>
  <c r="L74" i="41"/>
  <c r="K74" i="41"/>
  <c r="H74" i="41"/>
  <c r="G74" i="41"/>
  <c r="D74" i="41"/>
  <c r="C74" i="41"/>
  <c r="X73" i="41"/>
  <c r="W73" i="41"/>
  <c r="T73" i="41"/>
  <c r="S73" i="41"/>
  <c r="P73" i="41"/>
  <c r="L73" i="41"/>
  <c r="K73" i="41"/>
  <c r="H73" i="41"/>
  <c r="G73" i="41"/>
  <c r="D73" i="41"/>
  <c r="C73" i="41"/>
  <c r="X72" i="41"/>
  <c r="W72" i="41"/>
  <c r="T72" i="41"/>
  <c r="S72" i="41"/>
  <c r="P72" i="41"/>
  <c r="L72" i="41"/>
  <c r="K72" i="41"/>
  <c r="H72" i="41"/>
  <c r="G72" i="41"/>
  <c r="D72" i="41"/>
  <c r="C72" i="41"/>
  <c r="X71" i="41"/>
  <c r="W71" i="41"/>
  <c r="T71" i="41"/>
  <c r="S71" i="41"/>
  <c r="P71" i="41"/>
  <c r="L71" i="41"/>
  <c r="K71" i="41"/>
  <c r="H71" i="41"/>
  <c r="G71" i="41"/>
  <c r="D71" i="41"/>
  <c r="C71" i="41"/>
  <c r="X70" i="41"/>
  <c r="W70" i="41"/>
  <c r="T70" i="41"/>
  <c r="S70" i="41"/>
  <c r="P70" i="41"/>
  <c r="L70" i="41"/>
  <c r="K70" i="41"/>
  <c r="H70" i="41"/>
  <c r="G70" i="41"/>
  <c r="D70" i="41"/>
  <c r="C70" i="41"/>
  <c r="X69" i="41"/>
  <c r="W69" i="41"/>
  <c r="T69" i="41"/>
  <c r="S69" i="41"/>
  <c r="P69" i="41"/>
  <c r="L69" i="41"/>
  <c r="K69" i="41"/>
  <c r="H69" i="41"/>
  <c r="G69" i="41"/>
  <c r="D69" i="41"/>
  <c r="C69" i="41"/>
  <c r="X68" i="41"/>
  <c r="W68" i="41"/>
  <c r="T68" i="41"/>
  <c r="S68" i="41"/>
  <c r="P68" i="41"/>
  <c r="L68" i="41"/>
  <c r="K68" i="41"/>
  <c r="H68" i="41"/>
  <c r="G68" i="41"/>
  <c r="D68" i="41"/>
  <c r="C68" i="41"/>
  <c r="X67" i="41"/>
  <c r="W67" i="41"/>
  <c r="T67" i="41"/>
  <c r="S67" i="41"/>
  <c r="P67" i="41"/>
  <c r="L67" i="41"/>
  <c r="K67" i="41"/>
  <c r="H67" i="41"/>
  <c r="G67" i="41"/>
  <c r="D67" i="41"/>
  <c r="C67" i="41"/>
  <c r="X66" i="41"/>
  <c r="W66" i="41"/>
  <c r="T66" i="41"/>
  <c r="S66" i="41"/>
  <c r="P66" i="41"/>
  <c r="L66" i="41"/>
  <c r="K66" i="41"/>
  <c r="H66" i="41"/>
  <c r="G66" i="41"/>
  <c r="D66" i="41"/>
  <c r="C66" i="41"/>
  <c r="X65" i="41"/>
  <c r="W65" i="41"/>
  <c r="T65" i="41"/>
  <c r="S65" i="41"/>
  <c r="P65" i="41"/>
  <c r="L65" i="41"/>
  <c r="K65" i="41"/>
  <c r="H65" i="41"/>
  <c r="G65" i="41"/>
  <c r="D65" i="41"/>
  <c r="C65" i="41"/>
  <c r="X64" i="41"/>
  <c r="W64" i="41"/>
  <c r="T64" i="41"/>
  <c r="S64" i="41"/>
  <c r="P64" i="41"/>
  <c r="L64" i="41"/>
  <c r="K64" i="41"/>
  <c r="H64" i="41"/>
  <c r="G64" i="41"/>
  <c r="D64" i="41"/>
  <c r="C64" i="41"/>
  <c r="X63" i="41"/>
  <c r="W63" i="41"/>
  <c r="T63" i="41"/>
  <c r="S63" i="41"/>
  <c r="P63" i="41"/>
  <c r="L63" i="41"/>
  <c r="K63" i="41"/>
  <c r="H63" i="41"/>
  <c r="G63" i="41"/>
  <c r="D63" i="41"/>
  <c r="C63" i="41"/>
  <c r="X62" i="41"/>
  <c r="W62" i="41"/>
  <c r="T62" i="41"/>
  <c r="S62" i="41"/>
  <c r="P62" i="41"/>
  <c r="L62" i="41"/>
  <c r="K62" i="41"/>
  <c r="H62" i="41"/>
  <c r="G62" i="41"/>
  <c r="D62" i="41"/>
  <c r="C62" i="41"/>
  <c r="X61" i="41"/>
  <c r="W61" i="41"/>
  <c r="T61" i="41"/>
  <c r="S61" i="41"/>
  <c r="P61" i="41"/>
  <c r="L61" i="41"/>
  <c r="K61" i="41"/>
  <c r="H61" i="41"/>
  <c r="G61" i="41"/>
  <c r="D61" i="41"/>
  <c r="C61" i="41"/>
  <c r="X60" i="41"/>
  <c r="W60" i="41"/>
  <c r="T60" i="41"/>
  <c r="S60" i="41"/>
  <c r="P60" i="41"/>
  <c r="L60" i="41"/>
  <c r="K60" i="41"/>
  <c r="H60" i="41"/>
  <c r="G60" i="41"/>
  <c r="D60" i="41"/>
  <c r="C60" i="41"/>
  <c r="X59" i="41"/>
  <c r="W59" i="41"/>
  <c r="T59" i="41"/>
  <c r="S59" i="41"/>
  <c r="P59" i="41"/>
  <c r="L59" i="41"/>
  <c r="K59" i="41"/>
  <c r="H59" i="41"/>
  <c r="G59" i="41"/>
  <c r="D59" i="41"/>
  <c r="C59" i="41"/>
  <c r="X58" i="41"/>
  <c r="W58" i="41"/>
  <c r="T58" i="41"/>
  <c r="S58" i="41"/>
  <c r="P58" i="41"/>
  <c r="L58" i="41"/>
  <c r="K58" i="41"/>
  <c r="H58" i="41"/>
  <c r="G58" i="41"/>
  <c r="D58" i="41"/>
  <c r="C58" i="41"/>
  <c r="X57" i="41"/>
  <c r="W57" i="41"/>
  <c r="T57" i="41"/>
  <c r="S57" i="41"/>
  <c r="P57" i="41"/>
  <c r="L57" i="41"/>
  <c r="K57" i="41"/>
  <c r="H57" i="41"/>
  <c r="G57" i="41"/>
  <c r="D57" i="41"/>
  <c r="C57" i="41"/>
  <c r="X56" i="41"/>
  <c r="W56" i="41"/>
  <c r="T56" i="41"/>
  <c r="S56" i="41"/>
  <c r="P56" i="41"/>
  <c r="L56" i="41"/>
  <c r="K56" i="41"/>
  <c r="H56" i="41"/>
  <c r="G56" i="41"/>
  <c r="D56" i="41"/>
  <c r="C56" i="41"/>
  <c r="X55" i="41"/>
  <c r="W55" i="41"/>
  <c r="T55" i="41"/>
  <c r="S55" i="41"/>
  <c r="P55" i="41"/>
  <c r="L55" i="41"/>
  <c r="K55" i="41"/>
  <c r="H55" i="41"/>
  <c r="G55" i="41"/>
  <c r="D55" i="41"/>
  <c r="C55" i="41"/>
  <c r="X54" i="41"/>
  <c r="W54" i="41"/>
  <c r="T54" i="41"/>
  <c r="S54" i="41"/>
  <c r="P54" i="41"/>
  <c r="L54" i="41"/>
  <c r="K54" i="41"/>
  <c r="H54" i="41"/>
  <c r="G54" i="41"/>
  <c r="D54" i="41"/>
  <c r="C54" i="41"/>
  <c r="X53" i="41"/>
  <c r="W53" i="41"/>
  <c r="T53" i="41"/>
  <c r="S53" i="41"/>
  <c r="P53" i="41"/>
  <c r="L53" i="41"/>
  <c r="K53" i="41"/>
  <c r="H53" i="41"/>
  <c r="G53" i="41"/>
  <c r="D53" i="41"/>
  <c r="C53" i="41"/>
  <c r="X52" i="41"/>
  <c r="W52" i="41"/>
  <c r="T52" i="41"/>
  <c r="S52" i="41"/>
  <c r="P52" i="41"/>
  <c r="L52" i="41"/>
  <c r="K52" i="41"/>
  <c r="H52" i="41"/>
  <c r="G52" i="41"/>
  <c r="D52" i="41"/>
  <c r="C52" i="41"/>
  <c r="X51" i="41"/>
  <c r="W51" i="41"/>
  <c r="T51" i="41"/>
  <c r="S51" i="41"/>
  <c r="P51" i="41"/>
  <c r="L51" i="41"/>
  <c r="K51" i="41"/>
  <c r="H51" i="41"/>
  <c r="G51" i="41"/>
  <c r="D51" i="41"/>
  <c r="C51" i="41"/>
  <c r="X50" i="41"/>
  <c r="W50" i="41"/>
  <c r="T50" i="41"/>
  <c r="S50" i="41"/>
  <c r="P50" i="41"/>
  <c r="L50" i="41"/>
  <c r="K50" i="41"/>
  <c r="H50" i="41"/>
  <c r="G50" i="41"/>
  <c r="D50" i="41"/>
  <c r="C50" i="41"/>
  <c r="X49" i="41"/>
  <c r="W49" i="41"/>
  <c r="T49" i="41"/>
  <c r="S49" i="41"/>
  <c r="P49" i="41"/>
  <c r="L49" i="41"/>
  <c r="K49" i="41"/>
  <c r="H49" i="41"/>
  <c r="G49" i="41"/>
  <c r="D49" i="41"/>
  <c r="C49" i="41"/>
  <c r="X48" i="41"/>
  <c r="W48" i="41"/>
  <c r="T48" i="41"/>
  <c r="S48" i="41"/>
  <c r="P48" i="41"/>
  <c r="L48" i="41"/>
  <c r="K48" i="41"/>
  <c r="H48" i="41"/>
  <c r="G48" i="41"/>
  <c r="D48" i="41"/>
  <c r="C48" i="41"/>
  <c r="X47" i="41"/>
  <c r="W47" i="41"/>
  <c r="T47" i="41"/>
  <c r="S47" i="41"/>
  <c r="P47" i="41"/>
  <c r="L47" i="41"/>
  <c r="K47" i="41"/>
  <c r="H47" i="41"/>
  <c r="G47" i="41"/>
  <c r="D47" i="41"/>
  <c r="C47" i="41"/>
  <c r="X46" i="41"/>
  <c r="W46" i="41"/>
  <c r="T46" i="41"/>
  <c r="S46" i="41"/>
  <c r="P46" i="41"/>
  <c r="L46" i="41"/>
  <c r="K46" i="41"/>
  <c r="H46" i="41"/>
  <c r="G46" i="41"/>
  <c r="D46" i="41"/>
  <c r="C46" i="41"/>
  <c r="X45" i="41"/>
  <c r="W45" i="41"/>
  <c r="T45" i="41"/>
  <c r="S45" i="41"/>
  <c r="P45" i="41"/>
  <c r="L45" i="41"/>
  <c r="K45" i="41"/>
  <c r="H45" i="41"/>
  <c r="G45" i="41"/>
  <c r="D45" i="41"/>
  <c r="C45" i="41"/>
  <c r="X44" i="41"/>
  <c r="W44" i="41"/>
  <c r="T44" i="41"/>
  <c r="S44" i="41"/>
  <c r="P44" i="41"/>
  <c r="L44" i="41"/>
  <c r="K44" i="41"/>
  <c r="H44" i="41"/>
  <c r="G44" i="41"/>
  <c r="D44" i="41"/>
  <c r="C44" i="41"/>
  <c r="X43" i="41"/>
  <c r="W43" i="41"/>
  <c r="T43" i="41"/>
  <c r="S43" i="41"/>
  <c r="P43" i="41"/>
  <c r="L43" i="41"/>
  <c r="K43" i="41"/>
  <c r="H43" i="41"/>
  <c r="G43" i="41"/>
  <c r="D43" i="41"/>
  <c r="C43" i="41"/>
  <c r="X42" i="41"/>
  <c r="W42" i="41"/>
  <c r="T42" i="41"/>
  <c r="S42" i="41"/>
  <c r="P42" i="41"/>
  <c r="L42" i="41"/>
  <c r="K42" i="41"/>
  <c r="H42" i="41"/>
  <c r="G42" i="41"/>
  <c r="D42" i="41"/>
  <c r="C42" i="41"/>
  <c r="X41" i="41"/>
  <c r="W41" i="41"/>
  <c r="T41" i="41"/>
  <c r="S41" i="41"/>
  <c r="P41" i="41"/>
  <c r="L41" i="41"/>
  <c r="K41" i="41"/>
  <c r="H41" i="41"/>
  <c r="G41" i="41"/>
  <c r="D41" i="41"/>
  <c r="C41" i="41"/>
  <c r="X40" i="41"/>
  <c r="W40" i="41"/>
  <c r="T40" i="41"/>
  <c r="S40" i="41"/>
  <c r="P40" i="41"/>
  <c r="L40" i="41"/>
  <c r="K40" i="41"/>
  <c r="H40" i="41"/>
  <c r="G40" i="41"/>
  <c r="D40" i="41"/>
  <c r="C40" i="41"/>
  <c r="X39" i="41"/>
  <c r="W39" i="41"/>
  <c r="T39" i="41"/>
  <c r="S39" i="41"/>
  <c r="P39" i="41"/>
  <c r="L39" i="41"/>
  <c r="K39" i="41"/>
  <c r="H39" i="41"/>
  <c r="G39" i="41"/>
  <c r="D39" i="41"/>
  <c r="C39" i="41"/>
  <c r="X38" i="41"/>
  <c r="W38" i="41"/>
  <c r="T38" i="41"/>
  <c r="S38" i="41"/>
  <c r="P38" i="41"/>
  <c r="L38" i="41"/>
  <c r="K38" i="41"/>
  <c r="H38" i="41"/>
  <c r="G38" i="41"/>
  <c r="D38" i="41"/>
  <c r="C38" i="41"/>
  <c r="X37" i="41"/>
  <c r="W37" i="41"/>
  <c r="T37" i="41"/>
  <c r="S37" i="41"/>
  <c r="P37" i="41"/>
  <c r="L37" i="41"/>
  <c r="K37" i="41"/>
  <c r="H37" i="41"/>
  <c r="G37" i="41"/>
  <c r="D37" i="41"/>
  <c r="C37" i="41"/>
  <c r="X36" i="41"/>
  <c r="W36" i="41"/>
  <c r="T36" i="41"/>
  <c r="S36" i="41"/>
  <c r="P36" i="41"/>
  <c r="L36" i="41"/>
  <c r="K36" i="41"/>
  <c r="H36" i="41"/>
  <c r="G36" i="41"/>
  <c r="D36" i="41"/>
  <c r="C36" i="41"/>
  <c r="X35" i="41"/>
  <c r="W35" i="41"/>
  <c r="T35" i="41"/>
  <c r="S35" i="41"/>
  <c r="P35" i="41"/>
  <c r="L35" i="41"/>
  <c r="K35" i="41"/>
  <c r="H35" i="41"/>
  <c r="G35" i="41"/>
  <c r="D35" i="41"/>
  <c r="C35" i="41"/>
  <c r="X34" i="41"/>
  <c r="W34" i="41"/>
  <c r="T34" i="41"/>
  <c r="S34" i="41"/>
  <c r="P34" i="41"/>
  <c r="L34" i="41"/>
  <c r="K34" i="41"/>
  <c r="H34" i="41"/>
  <c r="G34" i="41"/>
  <c r="D34" i="41"/>
  <c r="C34" i="41"/>
  <c r="X33" i="41"/>
  <c r="W33" i="41"/>
  <c r="T33" i="41"/>
  <c r="S33" i="41"/>
  <c r="P33" i="41"/>
  <c r="L33" i="41"/>
  <c r="K33" i="41"/>
  <c r="H33" i="41"/>
  <c r="G33" i="41"/>
  <c r="D33" i="41"/>
  <c r="C33" i="41"/>
  <c r="X32" i="41"/>
  <c r="W32" i="41"/>
  <c r="T32" i="41"/>
  <c r="S32" i="41"/>
  <c r="P32" i="41"/>
  <c r="L32" i="41"/>
  <c r="K32" i="41"/>
  <c r="H32" i="41"/>
  <c r="G32" i="41"/>
  <c r="D32" i="41"/>
  <c r="C32" i="41"/>
  <c r="X31" i="41"/>
  <c r="W31" i="41"/>
  <c r="T31" i="41"/>
  <c r="S31" i="41"/>
  <c r="P31" i="41"/>
  <c r="L31" i="41"/>
  <c r="K31" i="41"/>
  <c r="H31" i="41"/>
  <c r="G31" i="41"/>
  <c r="D31" i="41"/>
  <c r="C31" i="41"/>
  <c r="X30" i="41"/>
  <c r="W30" i="41"/>
  <c r="T30" i="41"/>
  <c r="S30" i="41"/>
  <c r="P30" i="41"/>
  <c r="L30" i="41"/>
  <c r="K30" i="41"/>
  <c r="H30" i="41"/>
  <c r="G30" i="41"/>
  <c r="D30" i="41"/>
  <c r="C30" i="41"/>
  <c r="X29" i="41"/>
  <c r="W29" i="41"/>
  <c r="T29" i="41"/>
  <c r="S29" i="41"/>
  <c r="P29" i="41"/>
  <c r="L29" i="41"/>
  <c r="K29" i="41"/>
  <c r="H29" i="41"/>
  <c r="G29" i="41"/>
  <c r="D29" i="41"/>
  <c r="C29" i="41"/>
  <c r="X28" i="41"/>
  <c r="W28" i="41"/>
  <c r="T28" i="41"/>
  <c r="S28" i="41"/>
  <c r="P28" i="41"/>
  <c r="L28" i="41"/>
  <c r="K28" i="41"/>
  <c r="H28" i="41"/>
  <c r="G28" i="41"/>
  <c r="D28" i="41"/>
  <c r="C28" i="41"/>
  <c r="X27" i="41"/>
  <c r="W27" i="41"/>
  <c r="T27" i="41"/>
  <c r="S27" i="41"/>
  <c r="P27" i="41"/>
  <c r="L27" i="41"/>
  <c r="K27" i="41"/>
  <c r="H27" i="41"/>
  <c r="G27" i="41"/>
  <c r="D27" i="41"/>
  <c r="C27" i="41"/>
  <c r="X26" i="41"/>
  <c r="W26" i="41"/>
  <c r="T26" i="41"/>
  <c r="S26" i="41"/>
  <c r="P26" i="41"/>
  <c r="L26" i="41"/>
  <c r="K26" i="41"/>
  <c r="H26" i="41"/>
  <c r="G26" i="41"/>
  <c r="D26" i="41"/>
  <c r="C26" i="41"/>
  <c r="X25" i="41"/>
  <c r="W25" i="41"/>
  <c r="T25" i="41"/>
  <c r="S25" i="41"/>
  <c r="P25" i="41"/>
  <c r="L25" i="41"/>
  <c r="K25" i="41"/>
  <c r="H25" i="41"/>
  <c r="G25" i="41"/>
  <c r="D25" i="41"/>
  <c r="C25" i="41"/>
  <c r="X24" i="41"/>
  <c r="W24" i="41"/>
  <c r="T24" i="41"/>
  <c r="S24" i="41"/>
  <c r="P24" i="41"/>
  <c r="L24" i="41"/>
  <c r="K24" i="41"/>
  <c r="H24" i="41"/>
  <c r="G24" i="41"/>
  <c r="D24" i="41"/>
  <c r="C24" i="41"/>
  <c r="X23" i="41"/>
  <c r="W23" i="41"/>
  <c r="T23" i="41"/>
  <c r="S23" i="41"/>
  <c r="P23" i="41"/>
  <c r="L23" i="41"/>
  <c r="K23" i="41"/>
  <c r="H23" i="41"/>
  <c r="G23" i="41"/>
  <c r="D23" i="41"/>
  <c r="C23" i="41"/>
  <c r="X22" i="41"/>
  <c r="W22" i="41"/>
  <c r="T22" i="41"/>
  <c r="S22" i="41"/>
  <c r="P22" i="41"/>
  <c r="L22" i="41"/>
  <c r="K22" i="41"/>
  <c r="H22" i="41"/>
  <c r="G22" i="41"/>
  <c r="D22" i="41"/>
  <c r="C22" i="41"/>
  <c r="X21" i="41"/>
  <c r="W21" i="41"/>
  <c r="T21" i="41"/>
  <c r="S21" i="41"/>
  <c r="P21" i="41"/>
  <c r="L21" i="41"/>
  <c r="K21" i="41"/>
  <c r="H21" i="41"/>
  <c r="G21" i="41"/>
  <c r="D21" i="41"/>
  <c r="C21" i="41"/>
  <c r="X20" i="41"/>
  <c r="W20" i="41"/>
  <c r="T20" i="41"/>
  <c r="S20" i="41"/>
  <c r="P20" i="41"/>
  <c r="L20" i="41"/>
  <c r="K20" i="41"/>
  <c r="H20" i="41"/>
  <c r="G20" i="41"/>
  <c r="D20" i="41"/>
  <c r="C20" i="41"/>
  <c r="X19" i="41"/>
  <c r="W19" i="41"/>
  <c r="T19" i="41"/>
  <c r="S19" i="41"/>
  <c r="P19" i="41"/>
  <c r="L19" i="41"/>
  <c r="K19" i="41"/>
  <c r="H19" i="41"/>
  <c r="G19" i="41"/>
  <c r="D19" i="41"/>
  <c r="C19" i="41"/>
  <c r="X18" i="41"/>
  <c r="W18" i="41"/>
  <c r="T18" i="41"/>
  <c r="S18" i="41"/>
  <c r="P18" i="41"/>
  <c r="L18" i="41"/>
  <c r="K18" i="41"/>
  <c r="H18" i="41"/>
  <c r="G18" i="41"/>
  <c r="D18" i="41"/>
  <c r="C18" i="41"/>
  <c r="X17" i="41"/>
  <c r="W17" i="41"/>
  <c r="T17" i="41"/>
  <c r="S17" i="41"/>
  <c r="P17" i="41"/>
  <c r="L17" i="41"/>
  <c r="K17" i="41"/>
  <c r="H17" i="41"/>
  <c r="G17" i="41"/>
  <c r="D17" i="41"/>
  <c r="C17" i="41"/>
  <c r="X16" i="41"/>
  <c r="W16" i="41"/>
  <c r="T16" i="41"/>
  <c r="S16" i="41"/>
  <c r="P16" i="41"/>
  <c r="L16" i="41"/>
  <c r="K16" i="41"/>
  <c r="H16" i="41"/>
  <c r="G16" i="41"/>
  <c r="D16" i="41"/>
  <c r="C16" i="41"/>
  <c r="X15" i="41"/>
  <c r="W15" i="41"/>
  <c r="T15" i="41"/>
  <c r="S15" i="41"/>
  <c r="P15" i="41"/>
  <c r="L15" i="41"/>
  <c r="K15" i="41"/>
  <c r="H15" i="41"/>
  <c r="G15" i="41"/>
  <c r="D15" i="41"/>
  <c r="C15" i="41"/>
  <c r="X14" i="41"/>
  <c r="W14" i="41"/>
  <c r="T14" i="41"/>
  <c r="S14" i="41"/>
  <c r="P14" i="41"/>
  <c r="L14" i="41"/>
  <c r="K14" i="41"/>
  <c r="H14" i="41"/>
  <c r="G14" i="41"/>
  <c r="D14" i="41"/>
  <c r="C14" i="41"/>
  <c r="X13" i="41"/>
  <c r="W13" i="41"/>
  <c r="T13" i="41"/>
  <c r="S13" i="41"/>
  <c r="P13" i="41"/>
  <c r="L13" i="41"/>
  <c r="K13" i="41"/>
  <c r="H13" i="41"/>
  <c r="G13" i="41"/>
  <c r="D13" i="41"/>
  <c r="C13" i="41"/>
  <c r="X12" i="41"/>
  <c r="W12" i="41"/>
  <c r="T12" i="41"/>
  <c r="S12" i="41"/>
  <c r="P12" i="41"/>
  <c r="L12" i="41"/>
  <c r="K12" i="41"/>
  <c r="H12" i="41"/>
  <c r="G12" i="41"/>
  <c r="D12" i="41"/>
  <c r="C12" i="41"/>
  <c r="X11" i="41"/>
  <c r="W11" i="41"/>
  <c r="T11" i="41"/>
  <c r="S11" i="41"/>
  <c r="P11" i="41"/>
  <c r="L11" i="41"/>
  <c r="K11" i="41"/>
  <c r="H11" i="41"/>
  <c r="G11" i="41"/>
  <c r="D11" i="41"/>
  <c r="C11" i="41"/>
  <c r="X10" i="41"/>
  <c r="W10" i="41"/>
  <c r="T10" i="41"/>
  <c r="S10" i="41"/>
  <c r="P10" i="41"/>
  <c r="L10" i="41"/>
  <c r="K10" i="41"/>
  <c r="H10" i="41"/>
  <c r="G10" i="41"/>
  <c r="D10" i="41"/>
  <c r="C10" i="41"/>
  <c r="X9" i="41"/>
  <c r="W9" i="41"/>
  <c r="T9" i="41"/>
  <c r="S9" i="41"/>
  <c r="P9" i="41"/>
  <c r="L9" i="41"/>
  <c r="K9" i="41"/>
  <c r="H9" i="41"/>
  <c r="G9" i="41"/>
  <c r="D9" i="41"/>
  <c r="C9" i="41"/>
  <c r="X8" i="41"/>
  <c r="W8" i="41"/>
  <c r="T8" i="41"/>
  <c r="S8" i="41"/>
  <c r="P8" i="41"/>
  <c r="L8" i="41"/>
  <c r="K8" i="41"/>
  <c r="H8" i="41"/>
  <c r="G8" i="41"/>
  <c r="D8" i="41"/>
  <c r="C8" i="41"/>
  <c r="X7" i="41"/>
  <c r="W7" i="41"/>
  <c r="T7" i="41"/>
  <c r="S7" i="41"/>
  <c r="P7" i="41"/>
  <c r="L7" i="41"/>
  <c r="K7" i="41"/>
  <c r="H7" i="41"/>
  <c r="G7" i="41"/>
  <c r="D7" i="41"/>
  <c r="C7" i="41"/>
  <c r="X6" i="41"/>
  <c r="W6" i="41"/>
  <c r="T6" i="41"/>
  <c r="S6" i="41"/>
  <c r="P6" i="41"/>
  <c r="L6" i="41"/>
  <c r="K6" i="41"/>
  <c r="H6" i="41"/>
  <c r="G6" i="41"/>
  <c r="D6" i="41"/>
  <c r="C6" i="41"/>
  <c r="X5" i="41"/>
  <c r="W5" i="41"/>
  <c r="T5" i="41"/>
  <c r="S5" i="41"/>
  <c r="P5" i="41"/>
  <c r="L5" i="41"/>
  <c r="K5" i="41"/>
  <c r="H5" i="41"/>
  <c r="G5" i="41"/>
  <c r="D5" i="41"/>
  <c r="C5" i="41"/>
  <c r="X4" i="41"/>
  <c r="W4" i="41"/>
  <c r="T4" i="41"/>
  <c r="S4" i="41"/>
  <c r="P4" i="41"/>
  <c r="L4" i="41"/>
  <c r="K4" i="41"/>
  <c r="H4" i="41"/>
  <c r="G4" i="41"/>
  <c r="D4" i="41"/>
  <c r="C4" i="41"/>
  <c r="X123" i="40"/>
  <c r="W123" i="40"/>
  <c r="T123" i="40"/>
  <c r="S123" i="40"/>
  <c r="P123" i="40"/>
  <c r="O123" i="40"/>
  <c r="L123" i="40"/>
  <c r="K123" i="40"/>
  <c r="H123" i="40"/>
  <c r="G123" i="40"/>
  <c r="D123" i="40"/>
  <c r="X122" i="40"/>
  <c r="W122" i="40"/>
  <c r="T122" i="40"/>
  <c r="S122" i="40"/>
  <c r="P122" i="40"/>
  <c r="O122" i="40"/>
  <c r="L122" i="40"/>
  <c r="K122" i="40"/>
  <c r="H122" i="40"/>
  <c r="D122" i="40"/>
  <c r="C122" i="40"/>
  <c r="X121" i="40"/>
  <c r="W121" i="40"/>
  <c r="T121" i="40"/>
  <c r="S121" i="40"/>
  <c r="P121" i="40"/>
  <c r="O121" i="40"/>
  <c r="L121" i="40"/>
  <c r="K121" i="40"/>
  <c r="H121" i="40"/>
  <c r="D121" i="40"/>
  <c r="C121" i="40"/>
  <c r="X120" i="40"/>
  <c r="W120" i="40"/>
  <c r="T120" i="40"/>
  <c r="S120" i="40"/>
  <c r="P120" i="40"/>
  <c r="O120" i="40"/>
  <c r="L120" i="40"/>
  <c r="K120" i="40"/>
  <c r="H120" i="40"/>
  <c r="D120" i="40"/>
  <c r="C120" i="40"/>
  <c r="X119" i="40"/>
  <c r="W119" i="40"/>
  <c r="T119" i="40"/>
  <c r="S119" i="40"/>
  <c r="P119" i="40"/>
  <c r="O119" i="40"/>
  <c r="L119" i="40"/>
  <c r="K119" i="40"/>
  <c r="H119" i="40"/>
  <c r="G119" i="40"/>
  <c r="D119" i="40"/>
  <c r="X118" i="40"/>
  <c r="W118" i="40"/>
  <c r="T118" i="40"/>
  <c r="S118" i="40"/>
  <c r="P118" i="40"/>
  <c r="O118" i="40"/>
  <c r="L118" i="40"/>
  <c r="K118" i="40"/>
  <c r="H118" i="40"/>
  <c r="D118" i="40"/>
  <c r="C118" i="40"/>
  <c r="X117" i="40"/>
  <c r="W117" i="40"/>
  <c r="T117" i="40"/>
  <c r="S117" i="40"/>
  <c r="P117" i="40"/>
  <c r="O117" i="40"/>
  <c r="L117" i="40"/>
  <c r="K117" i="40"/>
  <c r="H117" i="40"/>
  <c r="G117" i="40"/>
  <c r="D117" i="40"/>
  <c r="X116" i="40"/>
  <c r="W116" i="40"/>
  <c r="T116" i="40"/>
  <c r="S116" i="40"/>
  <c r="P116" i="40"/>
  <c r="O116" i="40"/>
  <c r="L116" i="40"/>
  <c r="K116" i="40"/>
  <c r="H116" i="40"/>
  <c r="D116" i="40"/>
  <c r="C116" i="40"/>
  <c r="X115" i="40"/>
  <c r="W115" i="40"/>
  <c r="T115" i="40"/>
  <c r="S115" i="40"/>
  <c r="P115" i="40"/>
  <c r="O115" i="40"/>
  <c r="L115" i="40"/>
  <c r="K115" i="40"/>
  <c r="H115" i="40"/>
  <c r="G115" i="40"/>
  <c r="D115" i="40"/>
  <c r="X114" i="40"/>
  <c r="W114" i="40"/>
  <c r="T114" i="40"/>
  <c r="S114" i="40"/>
  <c r="P114" i="40"/>
  <c r="O114" i="40"/>
  <c r="L114" i="40"/>
  <c r="K114" i="40"/>
  <c r="H114" i="40"/>
  <c r="D114" i="40"/>
  <c r="C114" i="40"/>
  <c r="X113" i="40"/>
  <c r="W113" i="40"/>
  <c r="T113" i="40"/>
  <c r="S113" i="40"/>
  <c r="P113" i="40"/>
  <c r="O113" i="40"/>
  <c r="L113" i="40"/>
  <c r="K113" i="40"/>
  <c r="H113" i="40"/>
  <c r="G113" i="40"/>
  <c r="D113" i="40"/>
  <c r="C113" i="40"/>
  <c r="X112" i="40"/>
  <c r="W112" i="40"/>
  <c r="T112" i="40"/>
  <c r="S112" i="40"/>
  <c r="P112" i="40"/>
  <c r="O112" i="40"/>
  <c r="L112" i="40"/>
  <c r="K112" i="40"/>
  <c r="H112" i="40"/>
  <c r="D112" i="40"/>
  <c r="C112" i="40"/>
  <c r="X111" i="40"/>
  <c r="W111" i="40"/>
  <c r="T111" i="40"/>
  <c r="S111" i="40"/>
  <c r="P111" i="40"/>
  <c r="O111" i="40"/>
  <c r="L111" i="40"/>
  <c r="K111" i="40"/>
  <c r="H111" i="40"/>
  <c r="G111" i="40"/>
  <c r="D111" i="40"/>
  <c r="X110" i="40"/>
  <c r="W110" i="40"/>
  <c r="T110" i="40"/>
  <c r="S110" i="40"/>
  <c r="P110" i="40"/>
  <c r="O110" i="40"/>
  <c r="L110" i="40"/>
  <c r="K110" i="40"/>
  <c r="H110" i="40"/>
  <c r="D110" i="40"/>
  <c r="C110" i="40"/>
  <c r="X109" i="40"/>
  <c r="W109" i="40"/>
  <c r="T109" i="40"/>
  <c r="S109" i="40"/>
  <c r="P109" i="40"/>
  <c r="O109" i="40"/>
  <c r="L109" i="40"/>
  <c r="K109" i="40"/>
  <c r="H109" i="40"/>
  <c r="G109" i="40"/>
  <c r="D109" i="40"/>
  <c r="C109" i="40"/>
  <c r="X108" i="40"/>
  <c r="W108" i="40"/>
  <c r="T108" i="40"/>
  <c r="S108" i="40"/>
  <c r="P108" i="40"/>
  <c r="O108" i="40"/>
  <c r="L108" i="40"/>
  <c r="K108" i="40"/>
  <c r="H108" i="40"/>
  <c r="G108" i="40"/>
  <c r="D108" i="40"/>
  <c r="C108" i="40"/>
  <c r="X107" i="40"/>
  <c r="W107" i="40"/>
  <c r="T107" i="40"/>
  <c r="S107" i="40"/>
  <c r="P107" i="40"/>
  <c r="O107" i="40"/>
  <c r="L107" i="40"/>
  <c r="K107" i="40"/>
  <c r="H107" i="40"/>
  <c r="G107" i="40"/>
  <c r="D107" i="40"/>
  <c r="C107" i="40"/>
  <c r="X106" i="40"/>
  <c r="W106" i="40"/>
  <c r="T106" i="40"/>
  <c r="S106" i="40"/>
  <c r="P106" i="40"/>
  <c r="O106" i="40"/>
  <c r="L106" i="40"/>
  <c r="K106" i="40"/>
  <c r="H106" i="40"/>
  <c r="G106" i="40"/>
  <c r="D106" i="40"/>
  <c r="C106" i="40"/>
  <c r="X105" i="40"/>
  <c r="W105" i="40"/>
  <c r="T105" i="40"/>
  <c r="S105" i="40"/>
  <c r="P105" i="40"/>
  <c r="O105" i="40"/>
  <c r="L105" i="40"/>
  <c r="K105" i="40"/>
  <c r="H105" i="40"/>
  <c r="G105" i="40"/>
  <c r="D105" i="40"/>
  <c r="X104" i="40"/>
  <c r="W104" i="40"/>
  <c r="T104" i="40"/>
  <c r="S104" i="40"/>
  <c r="P104" i="40"/>
  <c r="O104" i="40"/>
  <c r="L104" i="40"/>
  <c r="K104" i="40"/>
  <c r="H104" i="40"/>
  <c r="G104" i="40"/>
  <c r="D104" i="40"/>
  <c r="C104" i="40"/>
  <c r="X103" i="40"/>
  <c r="W103" i="40"/>
  <c r="T103" i="40"/>
  <c r="S103" i="40"/>
  <c r="P103" i="40"/>
  <c r="O103" i="40"/>
  <c r="L103" i="40"/>
  <c r="K103" i="40"/>
  <c r="H103" i="40"/>
  <c r="G103" i="40"/>
  <c r="D103" i="40"/>
  <c r="C103" i="40"/>
  <c r="X102" i="40"/>
  <c r="W102" i="40"/>
  <c r="T102" i="40"/>
  <c r="S102" i="40"/>
  <c r="P102" i="40"/>
  <c r="O102" i="40"/>
  <c r="L102" i="40"/>
  <c r="K102" i="40"/>
  <c r="H102" i="40"/>
  <c r="D102" i="40"/>
  <c r="C102" i="40"/>
  <c r="X101" i="40"/>
  <c r="W101" i="40"/>
  <c r="T101" i="40"/>
  <c r="S101" i="40"/>
  <c r="P101" i="40"/>
  <c r="O101" i="40"/>
  <c r="L101" i="40"/>
  <c r="K101" i="40"/>
  <c r="H101" i="40"/>
  <c r="G101" i="40"/>
  <c r="D101" i="40"/>
  <c r="C101" i="40"/>
  <c r="X100" i="40"/>
  <c r="W100" i="40"/>
  <c r="T100" i="40"/>
  <c r="S100" i="40"/>
  <c r="P100" i="40"/>
  <c r="O100" i="40"/>
  <c r="L100" i="40"/>
  <c r="K100" i="40"/>
  <c r="H100" i="40"/>
  <c r="G100" i="40"/>
  <c r="D100" i="40"/>
  <c r="C100" i="40"/>
  <c r="X99" i="40"/>
  <c r="W99" i="40"/>
  <c r="T99" i="40"/>
  <c r="S99" i="40"/>
  <c r="P99" i="40"/>
  <c r="O99" i="40"/>
  <c r="L99" i="40"/>
  <c r="K99" i="40"/>
  <c r="H99" i="40"/>
  <c r="G99" i="40"/>
  <c r="D99" i="40"/>
  <c r="C99" i="40"/>
  <c r="X98" i="40"/>
  <c r="W98" i="40"/>
  <c r="T98" i="40"/>
  <c r="S98" i="40"/>
  <c r="P98" i="40"/>
  <c r="O98" i="40"/>
  <c r="L98" i="40"/>
  <c r="K98" i="40"/>
  <c r="H98" i="40"/>
  <c r="D98" i="40"/>
  <c r="C98" i="40"/>
  <c r="X97" i="40"/>
  <c r="W97" i="40"/>
  <c r="T97" i="40"/>
  <c r="S97" i="40"/>
  <c r="P97" i="40"/>
  <c r="O97" i="40"/>
  <c r="L97" i="40"/>
  <c r="K97" i="40"/>
  <c r="H97" i="40"/>
  <c r="G97" i="40"/>
  <c r="D97" i="40"/>
  <c r="C97" i="40"/>
  <c r="X96" i="40"/>
  <c r="W96" i="40"/>
  <c r="T96" i="40"/>
  <c r="S96" i="40"/>
  <c r="P96" i="40"/>
  <c r="O96" i="40"/>
  <c r="L96" i="40"/>
  <c r="K96" i="40"/>
  <c r="H96" i="40"/>
  <c r="G96" i="40"/>
  <c r="D96" i="40"/>
  <c r="C96" i="40"/>
  <c r="X95" i="40"/>
  <c r="W95" i="40"/>
  <c r="T95" i="40"/>
  <c r="S95" i="40"/>
  <c r="P95" i="40"/>
  <c r="O95" i="40"/>
  <c r="L95" i="40"/>
  <c r="K95" i="40"/>
  <c r="H95" i="40"/>
  <c r="G95" i="40"/>
  <c r="D95" i="40"/>
  <c r="C95" i="40"/>
  <c r="X94" i="40"/>
  <c r="W94" i="40"/>
  <c r="T94" i="40"/>
  <c r="S94" i="40"/>
  <c r="P94" i="40"/>
  <c r="O94" i="40"/>
  <c r="L94" i="40"/>
  <c r="K94" i="40"/>
  <c r="H94" i="40"/>
  <c r="G94" i="40"/>
  <c r="D94" i="40"/>
  <c r="C94" i="40"/>
  <c r="X93" i="40"/>
  <c r="W93" i="40"/>
  <c r="T93" i="40"/>
  <c r="S93" i="40"/>
  <c r="P93" i="40"/>
  <c r="O93" i="40"/>
  <c r="L93" i="40"/>
  <c r="K93" i="40"/>
  <c r="H93" i="40"/>
  <c r="G93" i="40"/>
  <c r="D93" i="40"/>
  <c r="C93" i="40"/>
  <c r="X92" i="40"/>
  <c r="W92" i="40"/>
  <c r="T92" i="40"/>
  <c r="S92" i="40"/>
  <c r="P92" i="40"/>
  <c r="O92" i="40"/>
  <c r="L92" i="40"/>
  <c r="K92" i="40"/>
  <c r="H92" i="40"/>
  <c r="G92" i="40"/>
  <c r="D92" i="40"/>
  <c r="C92" i="40"/>
  <c r="X91" i="40"/>
  <c r="W91" i="40"/>
  <c r="T91" i="40"/>
  <c r="S91" i="40"/>
  <c r="P91" i="40"/>
  <c r="O91" i="40"/>
  <c r="L91" i="40"/>
  <c r="K91" i="40"/>
  <c r="H91" i="40"/>
  <c r="G91" i="40"/>
  <c r="D91" i="40"/>
  <c r="C91" i="40"/>
  <c r="X90" i="40"/>
  <c r="W90" i="40"/>
  <c r="T90" i="40"/>
  <c r="S90" i="40"/>
  <c r="P90" i="40"/>
  <c r="O90" i="40"/>
  <c r="L90" i="40"/>
  <c r="K90" i="40"/>
  <c r="H90" i="40"/>
  <c r="G90" i="40"/>
  <c r="D90" i="40"/>
  <c r="C90" i="40"/>
  <c r="X89" i="40"/>
  <c r="W89" i="40"/>
  <c r="T89" i="40"/>
  <c r="S89" i="40"/>
  <c r="P89" i="40"/>
  <c r="O89" i="40"/>
  <c r="L89" i="40"/>
  <c r="K89" i="40"/>
  <c r="H89" i="40"/>
  <c r="G89" i="40"/>
  <c r="D89" i="40"/>
  <c r="C89" i="40"/>
  <c r="X88" i="40"/>
  <c r="W88" i="40"/>
  <c r="T88" i="40"/>
  <c r="S88" i="40"/>
  <c r="P88" i="40"/>
  <c r="O88" i="40"/>
  <c r="L88" i="40"/>
  <c r="K88" i="40"/>
  <c r="H88" i="40"/>
  <c r="G88" i="40"/>
  <c r="D88" i="40"/>
  <c r="C88" i="40"/>
  <c r="X87" i="40"/>
  <c r="W87" i="40"/>
  <c r="T87" i="40"/>
  <c r="S87" i="40"/>
  <c r="P87" i="40"/>
  <c r="O87" i="40"/>
  <c r="L87" i="40"/>
  <c r="K87" i="40"/>
  <c r="H87" i="40"/>
  <c r="G87" i="40"/>
  <c r="D87" i="40"/>
  <c r="C87" i="40"/>
  <c r="X86" i="40"/>
  <c r="W86" i="40"/>
  <c r="T86" i="40"/>
  <c r="S86" i="40"/>
  <c r="P86" i="40"/>
  <c r="O86" i="40"/>
  <c r="L86" i="40"/>
  <c r="K86" i="40"/>
  <c r="H86" i="40"/>
  <c r="D86" i="40"/>
  <c r="C86" i="40"/>
  <c r="X85" i="40"/>
  <c r="W85" i="40"/>
  <c r="T85" i="40"/>
  <c r="S85" i="40"/>
  <c r="P85" i="40"/>
  <c r="O85" i="40"/>
  <c r="L85" i="40"/>
  <c r="K85" i="40"/>
  <c r="H85" i="40"/>
  <c r="G85" i="40"/>
  <c r="D85" i="40"/>
  <c r="C85" i="40"/>
  <c r="X84" i="40"/>
  <c r="W84" i="40"/>
  <c r="T84" i="40"/>
  <c r="S84" i="40"/>
  <c r="P84" i="40"/>
  <c r="O84" i="40"/>
  <c r="L84" i="40"/>
  <c r="K84" i="40"/>
  <c r="H84" i="40"/>
  <c r="G84" i="40"/>
  <c r="D84" i="40"/>
  <c r="C84" i="40"/>
  <c r="X83" i="40"/>
  <c r="W83" i="40"/>
  <c r="T83" i="40"/>
  <c r="S83" i="40"/>
  <c r="P83" i="40"/>
  <c r="O83" i="40"/>
  <c r="L83" i="40"/>
  <c r="K83" i="40"/>
  <c r="H83" i="40"/>
  <c r="G83" i="40"/>
  <c r="D83" i="40"/>
  <c r="X82" i="40"/>
  <c r="W82" i="40"/>
  <c r="T82" i="40"/>
  <c r="S82" i="40"/>
  <c r="P82" i="40"/>
  <c r="O82" i="40"/>
  <c r="L82" i="40"/>
  <c r="K82" i="40"/>
  <c r="H82" i="40"/>
  <c r="D82" i="40"/>
  <c r="C82" i="40"/>
  <c r="X81" i="40"/>
  <c r="W81" i="40"/>
  <c r="T81" i="40"/>
  <c r="S81" i="40"/>
  <c r="P81" i="40"/>
  <c r="O81" i="40"/>
  <c r="L81" i="40"/>
  <c r="K81" i="40"/>
  <c r="H81" i="40"/>
  <c r="G81" i="40"/>
  <c r="D81" i="40"/>
  <c r="C81" i="40"/>
  <c r="X80" i="40"/>
  <c r="W80" i="40"/>
  <c r="T80" i="40"/>
  <c r="S80" i="40"/>
  <c r="P80" i="40"/>
  <c r="O80" i="40"/>
  <c r="L80" i="40"/>
  <c r="K80" i="40"/>
  <c r="H80" i="40"/>
  <c r="G80" i="40"/>
  <c r="D80" i="40"/>
  <c r="C80" i="40"/>
  <c r="X79" i="40"/>
  <c r="W79" i="40"/>
  <c r="T79" i="40"/>
  <c r="S79" i="40"/>
  <c r="P79" i="40"/>
  <c r="O79" i="40"/>
  <c r="L79" i="40"/>
  <c r="K79" i="40"/>
  <c r="H79" i="40"/>
  <c r="D79" i="40"/>
  <c r="C79" i="40"/>
  <c r="X78" i="40"/>
  <c r="W78" i="40"/>
  <c r="T78" i="40"/>
  <c r="S78" i="40"/>
  <c r="P78" i="40"/>
  <c r="O78" i="40"/>
  <c r="L78" i="40"/>
  <c r="K78" i="40"/>
  <c r="H78" i="40"/>
  <c r="G78" i="40"/>
  <c r="D78" i="40"/>
  <c r="C78" i="40"/>
  <c r="X77" i="40"/>
  <c r="W77" i="40"/>
  <c r="T77" i="40"/>
  <c r="S77" i="40"/>
  <c r="P77" i="40"/>
  <c r="O77" i="40"/>
  <c r="L77" i="40"/>
  <c r="K77" i="40"/>
  <c r="H77" i="40"/>
  <c r="D77" i="40"/>
  <c r="C77" i="40"/>
  <c r="X76" i="40"/>
  <c r="W76" i="40"/>
  <c r="T76" i="40"/>
  <c r="S76" i="40"/>
  <c r="P76" i="40"/>
  <c r="O76" i="40"/>
  <c r="L76" i="40"/>
  <c r="K76" i="40"/>
  <c r="H76" i="40"/>
  <c r="G76" i="40"/>
  <c r="D76" i="40"/>
  <c r="C76" i="40"/>
  <c r="X75" i="40"/>
  <c r="W75" i="40"/>
  <c r="T75" i="40"/>
  <c r="S75" i="40"/>
  <c r="P75" i="40"/>
  <c r="O75" i="40"/>
  <c r="L75" i="40"/>
  <c r="K75" i="40"/>
  <c r="H75" i="40"/>
  <c r="G75" i="40"/>
  <c r="D75" i="40"/>
  <c r="C75" i="40"/>
  <c r="X74" i="40"/>
  <c r="W74" i="40"/>
  <c r="T74" i="40"/>
  <c r="S74" i="40"/>
  <c r="P74" i="40"/>
  <c r="O74" i="40"/>
  <c r="L74" i="40"/>
  <c r="K74" i="40"/>
  <c r="H74" i="40"/>
  <c r="G74" i="40"/>
  <c r="D74" i="40"/>
  <c r="C74" i="40"/>
  <c r="X73" i="40"/>
  <c r="W73" i="40"/>
  <c r="T73" i="40"/>
  <c r="S73" i="40"/>
  <c r="P73" i="40"/>
  <c r="O73" i="40"/>
  <c r="L73" i="40"/>
  <c r="K73" i="40"/>
  <c r="H73" i="40"/>
  <c r="D73" i="40"/>
  <c r="C73" i="40"/>
  <c r="X72" i="40"/>
  <c r="W72" i="40"/>
  <c r="T72" i="40"/>
  <c r="S72" i="40"/>
  <c r="P72" i="40"/>
  <c r="O72" i="40"/>
  <c r="L72" i="40"/>
  <c r="K72" i="40"/>
  <c r="H72" i="40"/>
  <c r="G72" i="40"/>
  <c r="D72" i="40"/>
  <c r="C72" i="40"/>
  <c r="X71" i="40"/>
  <c r="W71" i="40"/>
  <c r="T71" i="40"/>
  <c r="S71" i="40"/>
  <c r="P71" i="40"/>
  <c r="O71" i="40"/>
  <c r="L71" i="40"/>
  <c r="K71" i="40"/>
  <c r="H71" i="40"/>
  <c r="D71" i="40"/>
  <c r="C71" i="40"/>
  <c r="X70" i="40"/>
  <c r="W70" i="40"/>
  <c r="T70" i="40"/>
  <c r="S70" i="40"/>
  <c r="P70" i="40"/>
  <c r="O70" i="40"/>
  <c r="L70" i="40"/>
  <c r="K70" i="40"/>
  <c r="H70" i="40"/>
  <c r="G70" i="40"/>
  <c r="D70" i="40"/>
  <c r="C70" i="40"/>
  <c r="X69" i="40"/>
  <c r="W69" i="40"/>
  <c r="T69" i="40"/>
  <c r="S69" i="40"/>
  <c r="P69" i="40"/>
  <c r="O69" i="40"/>
  <c r="L69" i="40"/>
  <c r="K69" i="40"/>
  <c r="H69" i="40"/>
  <c r="G69" i="40"/>
  <c r="D69" i="40"/>
  <c r="C69" i="40"/>
  <c r="X68" i="40"/>
  <c r="W68" i="40"/>
  <c r="T68" i="40"/>
  <c r="S68" i="40"/>
  <c r="P68" i="40"/>
  <c r="O68" i="40"/>
  <c r="L68" i="40"/>
  <c r="K68" i="40"/>
  <c r="H68" i="40"/>
  <c r="G68" i="40"/>
  <c r="D68" i="40"/>
  <c r="X67" i="40"/>
  <c r="W67" i="40"/>
  <c r="T67" i="40"/>
  <c r="S67" i="40"/>
  <c r="P67" i="40"/>
  <c r="O67" i="40"/>
  <c r="L67" i="40"/>
  <c r="K67" i="40"/>
  <c r="H67" i="40"/>
  <c r="G67" i="40"/>
  <c r="D67" i="40"/>
  <c r="C67" i="40"/>
  <c r="X66" i="40"/>
  <c r="W66" i="40"/>
  <c r="T66" i="40"/>
  <c r="S66" i="40"/>
  <c r="P66" i="40"/>
  <c r="O66" i="40"/>
  <c r="L66" i="40"/>
  <c r="K66" i="40"/>
  <c r="H66" i="40"/>
  <c r="G66" i="40"/>
  <c r="D66" i="40"/>
  <c r="C66" i="40"/>
  <c r="X65" i="40"/>
  <c r="W65" i="40"/>
  <c r="T65" i="40"/>
  <c r="S65" i="40"/>
  <c r="P65" i="40"/>
  <c r="O65" i="40"/>
  <c r="L65" i="40"/>
  <c r="K65" i="40"/>
  <c r="H65" i="40"/>
  <c r="G65" i="40"/>
  <c r="D65" i="40"/>
  <c r="C65" i="40"/>
  <c r="X64" i="40"/>
  <c r="W64" i="40"/>
  <c r="T64" i="40"/>
  <c r="S64" i="40"/>
  <c r="P64" i="40"/>
  <c r="O64" i="40"/>
  <c r="L64" i="40"/>
  <c r="K64" i="40"/>
  <c r="H64" i="40"/>
  <c r="G64" i="40"/>
  <c r="D64" i="40"/>
  <c r="C64" i="40"/>
  <c r="X63" i="40"/>
  <c r="W63" i="40"/>
  <c r="T63" i="40"/>
  <c r="S63" i="40"/>
  <c r="P63" i="40"/>
  <c r="O63" i="40"/>
  <c r="L63" i="40"/>
  <c r="K63" i="40"/>
  <c r="H63" i="40"/>
  <c r="G63" i="40"/>
  <c r="D63" i="40"/>
  <c r="X62" i="40"/>
  <c r="W62" i="40"/>
  <c r="T62" i="40"/>
  <c r="S62" i="40"/>
  <c r="P62" i="40"/>
  <c r="O62" i="40"/>
  <c r="L62" i="40"/>
  <c r="K62" i="40"/>
  <c r="H62" i="40"/>
  <c r="D62" i="40"/>
  <c r="C62" i="40"/>
  <c r="X61" i="40"/>
  <c r="W61" i="40"/>
  <c r="T61" i="40"/>
  <c r="S61" i="40"/>
  <c r="P61" i="40"/>
  <c r="O61" i="40"/>
  <c r="L61" i="40"/>
  <c r="K61" i="40"/>
  <c r="H61" i="40"/>
  <c r="G61" i="40"/>
  <c r="D61" i="40"/>
  <c r="C61" i="40"/>
  <c r="X60" i="40"/>
  <c r="W60" i="40"/>
  <c r="T60" i="40"/>
  <c r="S60" i="40"/>
  <c r="P60" i="40"/>
  <c r="O60" i="40"/>
  <c r="L60" i="40"/>
  <c r="K60" i="40"/>
  <c r="H60" i="40"/>
  <c r="G60" i="40"/>
  <c r="D60" i="40"/>
  <c r="C60" i="40"/>
  <c r="X59" i="40"/>
  <c r="W59" i="40"/>
  <c r="T59" i="40"/>
  <c r="S59" i="40"/>
  <c r="P59" i="40"/>
  <c r="O59" i="40"/>
  <c r="L59" i="40"/>
  <c r="K59" i="40"/>
  <c r="H59" i="40"/>
  <c r="G59" i="40"/>
  <c r="D59" i="40"/>
  <c r="C59" i="40"/>
  <c r="X58" i="40"/>
  <c r="W58" i="40"/>
  <c r="T58" i="40"/>
  <c r="S58" i="40"/>
  <c r="P58" i="40"/>
  <c r="O58" i="40"/>
  <c r="L58" i="40"/>
  <c r="K58" i="40"/>
  <c r="H58" i="40"/>
  <c r="G58" i="40"/>
  <c r="D58" i="40"/>
  <c r="X57" i="40"/>
  <c r="W57" i="40"/>
  <c r="T57" i="40"/>
  <c r="S57" i="40"/>
  <c r="P57" i="40"/>
  <c r="O57" i="40"/>
  <c r="L57" i="40"/>
  <c r="K57" i="40"/>
  <c r="H57" i="40"/>
  <c r="D57" i="40"/>
  <c r="C57" i="40"/>
  <c r="X56" i="40"/>
  <c r="W56" i="40"/>
  <c r="T56" i="40"/>
  <c r="S56" i="40"/>
  <c r="P56" i="40"/>
  <c r="O56" i="40"/>
  <c r="L56" i="40"/>
  <c r="K56" i="40"/>
  <c r="H56" i="40"/>
  <c r="G56" i="40"/>
  <c r="D56" i="40"/>
  <c r="C56" i="40"/>
  <c r="X55" i="40"/>
  <c r="W55" i="40"/>
  <c r="T55" i="40"/>
  <c r="S55" i="40"/>
  <c r="P55" i="40"/>
  <c r="O55" i="40"/>
  <c r="L55" i="40"/>
  <c r="K55" i="40"/>
  <c r="H55" i="40"/>
  <c r="G55" i="40"/>
  <c r="D55" i="40"/>
  <c r="C55" i="40"/>
  <c r="X54" i="40"/>
  <c r="W54" i="40"/>
  <c r="T54" i="40"/>
  <c r="S54" i="40"/>
  <c r="P54" i="40"/>
  <c r="O54" i="40"/>
  <c r="L54" i="40"/>
  <c r="K54" i="40"/>
  <c r="H54" i="40"/>
  <c r="G54" i="40"/>
  <c r="D54" i="40"/>
  <c r="C54" i="40"/>
  <c r="X53" i="40"/>
  <c r="W53" i="40"/>
  <c r="T53" i="40"/>
  <c r="S53" i="40"/>
  <c r="P53" i="40"/>
  <c r="O53" i="40"/>
  <c r="L53" i="40"/>
  <c r="K53" i="40"/>
  <c r="H53" i="40"/>
  <c r="D53" i="40"/>
  <c r="C53" i="40"/>
  <c r="X52" i="40"/>
  <c r="W52" i="40"/>
  <c r="T52" i="40"/>
  <c r="S52" i="40"/>
  <c r="P52" i="40"/>
  <c r="O52" i="40"/>
  <c r="L52" i="40"/>
  <c r="K52" i="40"/>
  <c r="H52" i="40"/>
  <c r="G52" i="40"/>
  <c r="D52" i="40"/>
  <c r="C52" i="40"/>
  <c r="X51" i="40"/>
  <c r="W51" i="40"/>
  <c r="T51" i="40"/>
  <c r="S51" i="40"/>
  <c r="P51" i="40"/>
  <c r="O51" i="40"/>
  <c r="L51" i="40"/>
  <c r="K51" i="40"/>
  <c r="H51" i="40"/>
  <c r="G51" i="40"/>
  <c r="D51" i="40"/>
  <c r="C51" i="40"/>
  <c r="X50" i="40"/>
  <c r="W50" i="40"/>
  <c r="T50" i="40"/>
  <c r="S50" i="40"/>
  <c r="P50" i="40"/>
  <c r="O50" i="40"/>
  <c r="L50" i="40"/>
  <c r="K50" i="40"/>
  <c r="H50" i="40"/>
  <c r="G50" i="40"/>
  <c r="D50" i="40"/>
  <c r="X49" i="40"/>
  <c r="W49" i="40"/>
  <c r="T49" i="40"/>
  <c r="S49" i="40"/>
  <c r="P49" i="40"/>
  <c r="O49" i="40"/>
  <c r="L49" i="40"/>
  <c r="K49" i="40"/>
  <c r="H49" i="40"/>
  <c r="D49" i="40"/>
  <c r="C49" i="40"/>
  <c r="X48" i="40"/>
  <c r="W48" i="40"/>
  <c r="T48" i="40"/>
  <c r="S48" i="40"/>
  <c r="P48" i="40"/>
  <c r="O48" i="40"/>
  <c r="L48" i="40"/>
  <c r="K48" i="40"/>
  <c r="H48" i="40"/>
  <c r="G48" i="40"/>
  <c r="D48" i="40"/>
  <c r="C48" i="40"/>
  <c r="X47" i="40"/>
  <c r="W47" i="40"/>
  <c r="T47" i="40"/>
  <c r="S47" i="40"/>
  <c r="P47" i="40"/>
  <c r="O47" i="40"/>
  <c r="L47" i="40"/>
  <c r="K47" i="40"/>
  <c r="H47" i="40"/>
  <c r="G47" i="40"/>
  <c r="D47" i="40"/>
  <c r="X46" i="40"/>
  <c r="W46" i="40"/>
  <c r="T46" i="40"/>
  <c r="S46" i="40"/>
  <c r="P46" i="40"/>
  <c r="O46" i="40"/>
  <c r="L46" i="40"/>
  <c r="K46" i="40"/>
  <c r="H46" i="40"/>
  <c r="D46" i="40"/>
  <c r="C46" i="40"/>
  <c r="X45" i="40"/>
  <c r="W45" i="40"/>
  <c r="T45" i="40"/>
  <c r="S45" i="40"/>
  <c r="P45" i="40"/>
  <c r="O45" i="40"/>
  <c r="L45" i="40"/>
  <c r="K45" i="40"/>
  <c r="H45" i="40"/>
  <c r="G45" i="40"/>
  <c r="D45" i="40"/>
  <c r="C45" i="40"/>
  <c r="X44" i="40"/>
  <c r="W44" i="40"/>
  <c r="T44" i="40"/>
  <c r="S44" i="40"/>
  <c r="P44" i="40"/>
  <c r="O44" i="40"/>
  <c r="L44" i="40"/>
  <c r="K44" i="40"/>
  <c r="H44" i="40"/>
  <c r="G44" i="40"/>
  <c r="D44" i="40"/>
  <c r="X43" i="40"/>
  <c r="W43" i="40"/>
  <c r="T43" i="40"/>
  <c r="S43" i="40"/>
  <c r="P43" i="40"/>
  <c r="O43" i="40"/>
  <c r="L43" i="40"/>
  <c r="K43" i="40"/>
  <c r="H43" i="40"/>
  <c r="D43" i="40"/>
  <c r="C43" i="40"/>
  <c r="X42" i="40"/>
  <c r="W42" i="40"/>
  <c r="T42" i="40"/>
  <c r="S42" i="40"/>
  <c r="P42" i="40"/>
  <c r="O42" i="40"/>
  <c r="L42" i="40"/>
  <c r="K42" i="40"/>
  <c r="H42" i="40"/>
  <c r="G42" i="40"/>
  <c r="D42" i="40"/>
  <c r="C42" i="40"/>
  <c r="X41" i="40"/>
  <c r="W41" i="40"/>
  <c r="T41" i="40"/>
  <c r="S41" i="40"/>
  <c r="P41" i="40"/>
  <c r="O41" i="40"/>
  <c r="L41" i="40"/>
  <c r="K41" i="40"/>
  <c r="H41" i="40"/>
  <c r="G41" i="40"/>
  <c r="D41" i="40"/>
  <c r="C41" i="40"/>
  <c r="X40" i="40"/>
  <c r="W40" i="40"/>
  <c r="T40" i="40"/>
  <c r="S40" i="40"/>
  <c r="P40" i="40"/>
  <c r="O40" i="40"/>
  <c r="L40" i="40"/>
  <c r="K40" i="40"/>
  <c r="H40" i="40"/>
  <c r="G40" i="40"/>
  <c r="D40" i="40"/>
  <c r="C40" i="40"/>
  <c r="X39" i="40"/>
  <c r="W39" i="40"/>
  <c r="T39" i="40"/>
  <c r="S39" i="40"/>
  <c r="P39" i="40"/>
  <c r="O39" i="40"/>
  <c r="L39" i="40"/>
  <c r="K39" i="40"/>
  <c r="H39" i="40"/>
  <c r="D39" i="40"/>
  <c r="C39" i="40"/>
  <c r="X38" i="40"/>
  <c r="W38" i="40"/>
  <c r="T38" i="40"/>
  <c r="S38" i="40"/>
  <c r="P38" i="40"/>
  <c r="O38" i="40"/>
  <c r="L38" i="40"/>
  <c r="K38" i="40"/>
  <c r="H38" i="40"/>
  <c r="G38" i="40"/>
  <c r="D38" i="40"/>
  <c r="C38" i="40"/>
  <c r="X37" i="40"/>
  <c r="W37" i="40"/>
  <c r="T37" i="40"/>
  <c r="S37" i="40"/>
  <c r="P37" i="40"/>
  <c r="O37" i="40"/>
  <c r="L37" i="40"/>
  <c r="K37" i="40"/>
  <c r="H37" i="40"/>
  <c r="D37" i="40"/>
  <c r="C37" i="40"/>
  <c r="X36" i="40"/>
  <c r="W36" i="40"/>
  <c r="T36" i="40"/>
  <c r="S36" i="40"/>
  <c r="P36" i="40"/>
  <c r="O36" i="40"/>
  <c r="L36" i="40"/>
  <c r="K36" i="40"/>
  <c r="H36" i="40"/>
  <c r="G36" i="40"/>
  <c r="D36" i="40"/>
  <c r="C36" i="40"/>
  <c r="X35" i="40"/>
  <c r="W35" i="40"/>
  <c r="T35" i="40"/>
  <c r="S35" i="40"/>
  <c r="P35" i="40"/>
  <c r="O35" i="40"/>
  <c r="L35" i="40"/>
  <c r="K35" i="40"/>
  <c r="H35" i="40"/>
  <c r="G35" i="40"/>
  <c r="D35" i="40"/>
  <c r="X34" i="40"/>
  <c r="W34" i="40"/>
  <c r="T34" i="40"/>
  <c r="S34" i="40"/>
  <c r="P34" i="40"/>
  <c r="O34" i="40"/>
  <c r="L34" i="40"/>
  <c r="K34" i="40"/>
  <c r="H34" i="40"/>
  <c r="D34" i="40"/>
  <c r="C34" i="40"/>
  <c r="X33" i="40"/>
  <c r="W33" i="40"/>
  <c r="T33" i="40"/>
  <c r="S33" i="40"/>
  <c r="P33" i="40"/>
  <c r="O33" i="40"/>
  <c r="L33" i="40"/>
  <c r="K33" i="40"/>
  <c r="H33" i="40"/>
  <c r="G33" i="40"/>
  <c r="D33" i="40"/>
  <c r="C33" i="40"/>
  <c r="X32" i="40"/>
  <c r="W32" i="40"/>
  <c r="T32" i="40"/>
  <c r="S32" i="40"/>
  <c r="P32" i="40"/>
  <c r="O32" i="40"/>
  <c r="L32" i="40"/>
  <c r="K32" i="40"/>
  <c r="H32" i="40"/>
  <c r="G32" i="40"/>
  <c r="D32" i="40"/>
  <c r="C32" i="40"/>
  <c r="X31" i="40"/>
  <c r="W31" i="40"/>
  <c r="T31" i="40"/>
  <c r="S31" i="40"/>
  <c r="P31" i="40"/>
  <c r="O31" i="40"/>
  <c r="L31" i="40"/>
  <c r="K31" i="40"/>
  <c r="H31" i="40"/>
  <c r="G31" i="40"/>
  <c r="D31" i="40"/>
  <c r="X30" i="40"/>
  <c r="W30" i="40"/>
  <c r="T30" i="40"/>
  <c r="S30" i="40"/>
  <c r="P30" i="40"/>
  <c r="O30" i="40"/>
  <c r="L30" i="40"/>
  <c r="K30" i="40"/>
  <c r="H30" i="40"/>
  <c r="D30" i="40"/>
  <c r="C30" i="40"/>
  <c r="X29" i="40"/>
  <c r="W29" i="40"/>
  <c r="T29" i="40"/>
  <c r="S29" i="40"/>
  <c r="P29" i="40"/>
  <c r="O29" i="40"/>
  <c r="L29" i="40"/>
  <c r="K29" i="40"/>
  <c r="H29" i="40"/>
  <c r="G29" i="40"/>
  <c r="D29" i="40"/>
  <c r="C29" i="40"/>
  <c r="X28" i="40"/>
  <c r="W28" i="40"/>
  <c r="T28" i="40"/>
  <c r="S28" i="40"/>
  <c r="P28" i="40"/>
  <c r="O28" i="40"/>
  <c r="L28" i="40"/>
  <c r="K28" i="40"/>
  <c r="H28" i="40"/>
  <c r="G28" i="40"/>
  <c r="D28" i="40"/>
  <c r="C28" i="40"/>
  <c r="X27" i="40"/>
  <c r="W27" i="40"/>
  <c r="T27" i="40"/>
  <c r="S27" i="40"/>
  <c r="P27" i="40"/>
  <c r="O27" i="40"/>
  <c r="L27" i="40"/>
  <c r="K27" i="40"/>
  <c r="H27" i="40"/>
  <c r="D27" i="40"/>
  <c r="C27" i="40"/>
  <c r="X26" i="40"/>
  <c r="W26" i="40"/>
  <c r="T26" i="40"/>
  <c r="S26" i="40"/>
  <c r="P26" i="40"/>
  <c r="O26" i="40"/>
  <c r="L26" i="40"/>
  <c r="K26" i="40"/>
  <c r="H26" i="40"/>
  <c r="G26" i="40"/>
  <c r="D26" i="40"/>
  <c r="C26" i="40"/>
  <c r="X25" i="40"/>
  <c r="W25" i="40"/>
  <c r="T25" i="40"/>
  <c r="S25" i="40"/>
  <c r="P25" i="40"/>
  <c r="O25" i="40"/>
  <c r="L25" i="40"/>
  <c r="K25" i="40"/>
  <c r="H25" i="40"/>
  <c r="G25" i="40"/>
  <c r="D25" i="40"/>
  <c r="C25" i="40"/>
  <c r="X24" i="40"/>
  <c r="W24" i="40"/>
  <c r="T24" i="40"/>
  <c r="S24" i="40"/>
  <c r="P24" i="40"/>
  <c r="O24" i="40"/>
  <c r="L24" i="40"/>
  <c r="K24" i="40"/>
  <c r="H24" i="40"/>
  <c r="G24" i="40"/>
  <c r="D24" i="40"/>
  <c r="X23" i="40"/>
  <c r="W23" i="40"/>
  <c r="T23" i="40"/>
  <c r="S23" i="40"/>
  <c r="P23" i="40"/>
  <c r="O23" i="40"/>
  <c r="L23" i="40"/>
  <c r="K23" i="40"/>
  <c r="H23" i="40"/>
  <c r="G23" i="40"/>
  <c r="D23" i="40"/>
  <c r="C23" i="40"/>
  <c r="X22" i="40"/>
  <c r="W22" i="40"/>
  <c r="T22" i="40"/>
  <c r="S22" i="40"/>
  <c r="P22" i="40"/>
  <c r="O22" i="40"/>
  <c r="L22" i="40"/>
  <c r="K22" i="40"/>
  <c r="H22" i="40"/>
  <c r="G22" i="40"/>
  <c r="D22" i="40"/>
  <c r="X21" i="40"/>
  <c r="W21" i="40"/>
  <c r="T21" i="40"/>
  <c r="S21" i="40"/>
  <c r="P21" i="40"/>
  <c r="O21" i="40"/>
  <c r="L21" i="40"/>
  <c r="K21" i="40"/>
  <c r="H21" i="40"/>
  <c r="D21" i="40"/>
  <c r="C21" i="40"/>
  <c r="X20" i="40"/>
  <c r="W20" i="40"/>
  <c r="T20" i="40"/>
  <c r="S20" i="40"/>
  <c r="P20" i="40"/>
  <c r="O20" i="40"/>
  <c r="L20" i="40"/>
  <c r="K20" i="40"/>
  <c r="H20" i="40"/>
  <c r="G20" i="40"/>
  <c r="D20" i="40"/>
  <c r="C20" i="40"/>
  <c r="X19" i="40"/>
  <c r="W19" i="40"/>
  <c r="T19" i="40"/>
  <c r="S19" i="40"/>
  <c r="P19" i="40"/>
  <c r="O19" i="40"/>
  <c r="L19" i="40"/>
  <c r="K19" i="40"/>
  <c r="H19" i="40"/>
  <c r="G19" i="40"/>
  <c r="D19" i="40"/>
  <c r="C19" i="40"/>
  <c r="X18" i="40"/>
  <c r="W18" i="40"/>
  <c r="T18" i="40"/>
  <c r="S18" i="40"/>
  <c r="P18" i="40"/>
  <c r="O18" i="40"/>
  <c r="L18" i="40"/>
  <c r="K18" i="40"/>
  <c r="H18" i="40"/>
  <c r="G18" i="40"/>
  <c r="D18" i="40"/>
  <c r="X17" i="40"/>
  <c r="W17" i="40"/>
  <c r="T17" i="40"/>
  <c r="S17" i="40"/>
  <c r="P17" i="40"/>
  <c r="O17" i="40"/>
  <c r="L17" i="40"/>
  <c r="K17" i="40"/>
  <c r="H17" i="40"/>
  <c r="D17" i="40"/>
  <c r="C17" i="40"/>
  <c r="X16" i="40"/>
  <c r="W16" i="40"/>
  <c r="T16" i="40"/>
  <c r="S16" i="40"/>
  <c r="P16" i="40"/>
  <c r="O16" i="40"/>
  <c r="L16" i="40"/>
  <c r="K16" i="40"/>
  <c r="H16" i="40"/>
  <c r="G16" i="40"/>
  <c r="D16" i="40"/>
  <c r="C16" i="40"/>
  <c r="X15" i="40"/>
  <c r="W15" i="40"/>
  <c r="T15" i="40"/>
  <c r="S15" i="40"/>
  <c r="P15" i="40"/>
  <c r="O15" i="40"/>
  <c r="L15" i="40"/>
  <c r="K15" i="40"/>
  <c r="H15" i="40"/>
  <c r="G15" i="40"/>
  <c r="D15" i="40"/>
  <c r="X14" i="40"/>
  <c r="W14" i="40"/>
  <c r="T14" i="40"/>
  <c r="S14" i="40"/>
  <c r="P14" i="40"/>
  <c r="O14" i="40"/>
  <c r="L14" i="40"/>
  <c r="K14" i="40"/>
  <c r="H14" i="40"/>
  <c r="D14" i="40"/>
  <c r="C14" i="40"/>
  <c r="X13" i="40"/>
  <c r="W13" i="40"/>
  <c r="T13" i="40"/>
  <c r="S13" i="40"/>
  <c r="P13" i="40"/>
  <c r="O13" i="40"/>
  <c r="L13" i="40"/>
  <c r="K13" i="40"/>
  <c r="H13" i="40"/>
  <c r="G13" i="40"/>
  <c r="D13" i="40"/>
  <c r="C13" i="40"/>
  <c r="X12" i="40"/>
  <c r="W12" i="40"/>
  <c r="T12" i="40"/>
  <c r="S12" i="40"/>
  <c r="P12" i="40"/>
  <c r="O12" i="40"/>
  <c r="L12" i="40"/>
  <c r="K12" i="40"/>
  <c r="H12" i="40"/>
  <c r="G12" i="40"/>
  <c r="D12" i="40"/>
  <c r="C12" i="40"/>
  <c r="X11" i="40"/>
  <c r="W11" i="40"/>
  <c r="T11" i="40"/>
  <c r="S11" i="40"/>
  <c r="P11" i="40"/>
  <c r="O11" i="40"/>
  <c r="L11" i="40"/>
  <c r="K11" i="40"/>
  <c r="H11" i="40"/>
  <c r="G11" i="40"/>
  <c r="D11" i="40"/>
  <c r="C11" i="40"/>
  <c r="X10" i="40"/>
  <c r="W10" i="40"/>
  <c r="T10" i="40"/>
  <c r="S10" i="40"/>
  <c r="P10" i="40"/>
  <c r="O10" i="40"/>
  <c r="L10" i="40"/>
  <c r="K10" i="40"/>
  <c r="H10" i="40"/>
  <c r="D10" i="40"/>
  <c r="C10" i="40"/>
  <c r="X9" i="40"/>
  <c r="W9" i="40"/>
  <c r="T9" i="40"/>
  <c r="S9" i="40"/>
  <c r="P9" i="40"/>
  <c r="O9" i="40"/>
  <c r="L9" i="40"/>
  <c r="K9" i="40"/>
  <c r="H9" i="40"/>
  <c r="G9" i="40"/>
  <c r="D9" i="40"/>
  <c r="C9" i="40"/>
  <c r="X8" i="40"/>
  <c r="W8" i="40"/>
  <c r="T8" i="40"/>
  <c r="S8" i="40"/>
  <c r="P8" i="40"/>
  <c r="O8" i="40"/>
  <c r="L8" i="40"/>
  <c r="K8" i="40"/>
  <c r="H8" i="40"/>
  <c r="G8" i="40"/>
  <c r="D8" i="40"/>
  <c r="C8" i="40"/>
  <c r="X7" i="40"/>
  <c r="W7" i="40"/>
  <c r="T7" i="40"/>
  <c r="S7" i="40"/>
  <c r="P7" i="40"/>
  <c r="O7" i="40"/>
  <c r="L7" i="40"/>
  <c r="K7" i="40"/>
  <c r="H7" i="40"/>
  <c r="G7" i="40"/>
  <c r="D7" i="40"/>
  <c r="X6" i="40"/>
  <c r="W6" i="40"/>
  <c r="T6" i="40"/>
  <c r="S6" i="40"/>
  <c r="P6" i="40"/>
  <c r="O6" i="40"/>
  <c r="L6" i="40"/>
  <c r="K6" i="40"/>
  <c r="H6" i="40"/>
  <c r="D6" i="40"/>
  <c r="C6" i="40"/>
  <c r="X5" i="40"/>
  <c r="W5" i="40"/>
  <c r="T5" i="40"/>
  <c r="S5" i="40"/>
  <c r="P5" i="40"/>
  <c r="O5" i="40"/>
  <c r="L5" i="40"/>
  <c r="K5" i="40"/>
  <c r="H5" i="40"/>
  <c r="G5" i="40"/>
  <c r="D5" i="40"/>
  <c r="C5" i="40"/>
  <c r="X4" i="40"/>
  <c r="W4" i="40"/>
  <c r="T4" i="40"/>
  <c r="S4" i="40"/>
  <c r="P4" i="40"/>
  <c r="O4" i="40"/>
  <c r="L4" i="40"/>
  <c r="K4" i="40"/>
  <c r="H4" i="40"/>
  <c r="G4" i="40"/>
  <c r="D4" i="40"/>
  <c r="X123" i="39"/>
  <c r="W123" i="39"/>
  <c r="T123" i="39"/>
  <c r="S123" i="39"/>
  <c r="P123" i="39"/>
  <c r="O123" i="39"/>
  <c r="L123" i="39"/>
  <c r="K123" i="39"/>
  <c r="H123" i="39"/>
  <c r="G123" i="39"/>
  <c r="D123" i="39"/>
  <c r="C123" i="39"/>
  <c r="X122" i="39"/>
  <c r="W122" i="39"/>
  <c r="T122" i="39"/>
  <c r="S122" i="39"/>
  <c r="P122" i="39"/>
  <c r="O122" i="39"/>
  <c r="L122" i="39"/>
  <c r="K122" i="39"/>
  <c r="H122" i="39"/>
  <c r="G122" i="39"/>
  <c r="D122" i="39"/>
  <c r="C122" i="39"/>
  <c r="X121" i="39"/>
  <c r="W121" i="39"/>
  <c r="T121" i="39"/>
  <c r="S121" i="39"/>
  <c r="P121" i="39"/>
  <c r="O121" i="39"/>
  <c r="L121" i="39"/>
  <c r="K121" i="39"/>
  <c r="H121" i="39"/>
  <c r="G121" i="39"/>
  <c r="D121" i="39"/>
  <c r="C121" i="39"/>
  <c r="X120" i="39"/>
  <c r="W120" i="39"/>
  <c r="T120" i="39"/>
  <c r="S120" i="39"/>
  <c r="P120" i="39"/>
  <c r="O120" i="39"/>
  <c r="L120" i="39"/>
  <c r="K120" i="39"/>
  <c r="H120" i="39"/>
  <c r="G120" i="39"/>
  <c r="D120" i="39"/>
  <c r="C120" i="39"/>
  <c r="X119" i="39"/>
  <c r="W119" i="39"/>
  <c r="T119" i="39"/>
  <c r="S119" i="39"/>
  <c r="P119" i="39"/>
  <c r="O119" i="39"/>
  <c r="L119" i="39"/>
  <c r="K119" i="39"/>
  <c r="H119" i="39"/>
  <c r="G119" i="39"/>
  <c r="D119" i="39"/>
  <c r="C119" i="39"/>
  <c r="X118" i="39"/>
  <c r="W118" i="39"/>
  <c r="T118" i="39"/>
  <c r="S118" i="39"/>
  <c r="P118" i="39"/>
  <c r="O118" i="39"/>
  <c r="L118" i="39"/>
  <c r="K118" i="39"/>
  <c r="H118" i="39"/>
  <c r="G118" i="39"/>
  <c r="D118" i="39"/>
  <c r="C118" i="39"/>
  <c r="X117" i="39"/>
  <c r="W117" i="39"/>
  <c r="T117" i="39"/>
  <c r="S117" i="39"/>
  <c r="P117" i="39"/>
  <c r="O117" i="39"/>
  <c r="L117" i="39"/>
  <c r="K117" i="39"/>
  <c r="H117" i="39"/>
  <c r="G117" i="39"/>
  <c r="D117" i="39"/>
  <c r="C117" i="39"/>
  <c r="X116" i="39"/>
  <c r="W116" i="39"/>
  <c r="T116" i="39"/>
  <c r="S116" i="39"/>
  <c r="P116" i="39"/>
  <c r="O116" i="39"/>
  <c r="L116" i="39"/>
  <c r="K116" i="39"/>
  <c r="H116" i="39"/>
  <c r="G116" i="39"/>
  <c r="D116" i="39"/>
  <c r="C116" i="39"/>
  <c r="X115" i="39"/>
  <c r="W115" i="39"/>
  <c r="T115" i="39"/>
  <c r="S115" i="39"/>
  <c r="P115" i="39"/>
  <c r="O115" i="39"/>
  <c r="L115" i="39"/>
  <c r="K115" i="39"/>
  <c r="H115" i="39"/>
  <c r="G115" i="39"/>
  <c r="D115" i="39"/>
  <c r="C115" i="39"/>
  <c r="X114" i="39"/>
  <c r="W114" i="39"/>
  <c r="T114" i="39"/>
  <c r="S114" i="39"/>
  <c r="P114" i="39"/>
  <c r="O114" i="39"/>
  <c r="L114" i="39"/>
  <c r="K114" i="39"/>
  <c r="H114" i="39"/>
  <c r="G114" i="39"/>
  <c r="D114" i="39"/>
  <c r="C114" i="39"/>
  <c r="X113" i="39"/>
  <c r="W113" i="39"/>
  <c r="T113" i="39"/>
  <c r="S113" i="39"/>
  <c r="P113" i="39"/>
  <c r="O113" i="39"/>
  <c r="L113" i="39"/>
  <c r="K113" i="39"/>
  <c r="H113" i="39"/>
  <c r="G113" i="39"/>
  <c r="D113" i="39"/>
  <c r="C113" i="39"/>
  <c r="X112" i="39"/>
  <c r="W112" i="39"/>
  <c r="T112" i="39"/>
  <c r="S112" i="39"/>
  <c r="P112" i="39"/>
  <c r="O112" i="39"/>
  <c r="L112" i="39"/>
  <c r="K112" i="39"/>
  <c r="H112" i="39"/>
  <c r="G112" i="39"/>
  <c r="D112" i="39"/>
  <c r="C112" i="39"/>
  <c r="X111" i="39"/>
  <c r="W111" i="39"/>
  <c r="T111" i="39"/>
  <c r="S111" i="39"/>
  <c r="P111" i="39"/>
  <c r="O111" i="39"/>
  <c r="L111" i="39"/>
  <c r="K111" i="39"/>
  <c r="H111" i="39"/>
  <c r="G111" i="39"/>
  <c r="D111" i="39"/>
  <c r="C111" i="39"/>
  <c r="X110" i="39"/>
  <c r="W110" i="39"/>
  <c r="T110" i="39"/>
  <c r="S110" i="39"/>
  <c r="P110" i="39"/>
  <c r="O110" i="39"/>
  <c r="L110" i="39"/>
  <c r="K110" i="39"/>
  <c r="H110" i="39"/>
  <c r="G110" i="39"/>
  <c r="D110" i="39"/>
  <c r="C110" i="39"/>
  <c r="X109" i="39"/>
  <c r="W109" i="39"/>
  <c r="T109" i="39"/>
  <c r="S109" i="39"/>
  <c r="P109" i="39"/>
  <c r="O109" i="39"/>
  <c r="L109" i="39"/>
  <c r="K109" i="39"/>
  <c r="H109" i="39"/>
  <c r="G109" i="39"/>
  <c r="D109" i="39"/>
  <c r="C109" i="39"/>
  <c r="X108" i="39"/>
  <c r="W108" i="39"/>
  <c r="T108" i="39"/>
  <c r="S108" i="39"/>
  <c r="P108" i="39"/>
  <c r="O108" i="39"/>
  <c r="L108" i="39"/>
  <c r="K108" i="39"/>
  <c r="H108" i="39"/>
  <c r="G108" i="39"/>
  <c r="D108" i="39"/>
  <c r="C108" i="39"/>
  <c r="X107" i="39"/>
  <c r="W107" i="39"/>
  <c r="T107" i="39"/>
  <c r="S107" i="39"/>
  <c r="P107" i="39"/>
  <c r="O107" i="39"/>
  <c r="L107" i="39"/>
  <c r="K107" i="39"/>
  <c r="H107" i="39"/>
  <c r="G107" i="39"/>
  <c r="D107" i="39"/>
  <c r="C107" i="39"/>
  <c r="X106" i="39"/>
  <c r="W106" i="39"/>
  <c r="T106" i="39"/>
  <c r="S106" i="39"/>
  <c r="P106" i="39"/>
  <c r="O106" i="39"/>
  <c r="L106" i="39"/>
  <c r="K106" i="39"/>
  <c r="H106" i="39"/>
  <c r="G106" i="39"/>
  <c r="D106" i="39"/>
  <c r="C106" i="39"/>
  <c r="X105" i="39"/>
  <c r="W105" i="39"/>
  <c r="T105" i="39"/>
  <c r="S105" i="39"/>
  <c r="P105" i="39"/>
  <c r="O105" i="39"/>
  <c r="L105" i="39"/>
  <c r="K105" i="39"/>
  <c r="H105" i="39"/>
  <c r="G105" i="39"/>
  <c r="D105" i="39"/>
  <c r="C105" i="39"/>
  <c r="X104" i="39"/>
  <c r="W104" i="39"/>
  <c r="T104" i="39"/>
  <c r="S104" i="39"/>
  <c r="P104" i="39"/>
  <c r="O104" i="39"/>
  <c r="L104" i="39"/>
  <c r="K104" i="39"/>
  <c r="H104" i="39"/>
  <c r="G104" i="39"/>
  <c r="D104" i="39"/>
  <c r="C104" i="39"/>
  <c r="X103" i="39"/>
  <c r="W103" i="39"/>
  <c r="T103" i="39"/>
  <c r="S103" i="39"/>
  <c r="P103" i="39"/>
  <c r="O103" i="39"/>
  <c r="L103" i="39"/>
  <c r="K103" i="39"/>
  <c r="H103" i="39"/>
  <c r="G103" i="39"/>
  <c r="D103" i="39"/>
  <c r="C103" i="39"/>
  <c r="X102" i="39"/>
  <c r="W102" i="39"/>
  <c r="T102" i="39"/>
  <c r="S102" i="39"/>
  <c r="P102" i="39"/>
  <c r="O102" i="39"/>
  <c r="L102" i="39"/>
  <c r="K102" i="39"/>
  <c r="H102" i="39"/>
  <c r="G102" i="39"/>
  <c r="D102" i="39"/>
  <c r="C102" i="39"/>
  <c r="X101" i="39"/>
  <c r="W101" i="39"/>
  <c r="T101" i="39"/>
  <c r="S101" i="39"/>
  <c r="P101" i="39"/>
  <c r="O101" i="39"/>
  <c r="L101" i="39"/>
  <c r="K101" i="39"/>
  <c r="H101" i="39"/>
  <c r="G101" i="39"/>
  <c r="D101" i="39"/>
  <c r="C101" i="39"/>
  <c r="X100" i="39"/>
  <c r="W100" i="39"/>
  <c r="T100" i="39"/>
  <c r="S100" i="39"/>
  <c r="P100" i="39"/>
  <c r="O100" i="39"/>
  <c r="L100" i="39"/>
  <c r="K100" i="39"/>
  <c r="H100" i="39"/>
  <c r="G100" i="39"/>
  <c r="D100" i="39"/>
  <c r="C100" i="39"/>
  <c r="X99" i="39"/>
  <c r="W99" i="39"/>
  <c r="T99" i="39"/>
  <c r="S99" i="39"/>
  <c r="P99" i="39"/>
  <c r="O99" i="39"/>
  <c r="L99" i="39"/>
  <c r="K99" i="39"/>
  <c r="H99" i="39"/>
  <c r="G99" i="39"/>
  <c r="D99" i="39"/>
  <c r="C99" i="39"/>
  <c r="X98" i="39"/>
  <c r="W98" i="39"/>
  <c r="T98" i="39"/>
  <c r="S98" i="39"/>
  <c r="P98" i="39"/>
  <c r="O98" i="39"/>
  <c r="L98" i="39"/>
  <c r="K98" i="39"/>
  <c r="H98" i="39"/>
  <c r="G98" i="39"/>
  <c r="D98" i="39"/>
  <c r="C98" i="39"/>
  <c r="X97" i="39"/>
  <c r="W97" i="39"/>
  <c r="T97" i="39"/>
  <c r="S97" i="39"/>
  <c r="P97" i="39"/>
  <c r="O97" i="39"/>
  <c r="L97" i="39"/>
  <c r="K97" i="39"/>
  <c r="H97" i="39"/>
  <c r="G97" i="39"/>
  <c r="D97" i="39"/>
  <c r="C97" i="39"/>
  <c r="X96" i="39"/>
  <c r="W96" i="39"/>
  <c r="T96" i="39"/>
  <c r="S96" i="39"/>
  <c r="P96" i="39"/>
  <c r="O96" i="39"/>
  <c r="L96" i="39"/>
  <c r="K96" i="39"/>
  <c r="H96" i="39"/>
  <c r="G96" i="39"/>
  <c r="D96" i="39"/>
  <c r="C96" i="39"/>
  <c r="X95" i="39"/>
  <c r="W95" i="39"/>
  <c r="T95" i="39"/>
  <c r="S95" i="39"/>
  <c r="P95" i="39"/>
  <c r="O95" i="39"/>
  <c r="L95" i="39"/>
  <c r="K95" i="39"/>
  <c r="H95" i="39"/>
  <c r="G95" i="39"/>
  <c r="D95" i="39"/>
  <c r="C95" i="39"/>
  <c r="X94" i="39"/>
  <c r="W94" i="39"/>
  <c r="T94" i="39"/>
  <c r="S94" i="39"/>
  <c r="P94" i="39"/>
  <c r="O94" i="39"/>
  <c r="L94" i="39"/>
  <c r="K94" i="39"/>
  <c r="H94" i="39"/>
  <c r="G94" i="39"/>
  <c r="D94" i="39"/>
  <c r="C94" i="39"/>
  <c r="X93" i="39"/>
  <c r="W93" i="39"/>
  <c r="T93" i="39"/>
  <c r="S93" i="39"/>
  <c r="P93" i="39"/>
  <c r="O93" i="39"/>
  <c r="L93" i="39"/>
  <c r="K93" i="39"/>
  <c r="H93" i="39"/>
  <c r="G93" i="39"/>
  <c r="D93" i="39"/>
  <c r="C93" i="39"/>
  <c r="X92" i="39"/>
  <c r="W92" i="39"/>
  <c r="T92" i="39"/>
  <c r="S92" i="39"/>
  <c r="P92" i="39"/>
  <c r="O92" i="39"/>
  <c r="L92" i="39"/>
  <c r="K92" i="39"/>
  <c r="H92" i="39"/>
  <c r="G92" i="39"/>
  <c r="D92" i="39"/>
  <c r="C92" i="39"/>
  <c r="X91" i="39"/>
  <c r="W91" i="39"/>
  <c r="T91" i="39"/>
  <c r="S91" i="39"/>
  <c r="P91" i="39"/>
  <c r="O91" i="39"/>
  <c r="L91" i="39"/>
  <c r="K91" i="39"/>
  <c r="H91" i="39"/>
  <c r="G91" i="39"/>
  <c r="D91" i="39"/>
  <c r="C91" i="39"/>
  <c r="X90" i="39"/>
  <c r="W90" i="39"/>
  <c r="T90" i="39"/>
  <c r="S90" i="39"/>
  <c r="P90" i="39"/>
  <c r="O90" i="39"/>
  <c r="L90" i="39"/>
  <c r="K90" i="39"/>
  <c r="H90" i="39"/>
  <c r="G90" i="39"/>
  <c r="D90" i="39"/>
  <c r="C90" i="39"/>
  <c r="X89" i="39"/>
  <c r="W89" i="39"/>
  <c r="T89" i="39"/>
  <c r="S89" i="39"/>
  <c r="P89" i="39"/>
  <c r="O89" i="39"/>
  <c r="L89" i="39"/>
  <c r="K89" i="39"/>
  <c r="H89" i="39"/>
  <c r="G89" i="39"/>
  <c r="D89" i="39"/>
  <c r="C89" i="39"/>
  <c r="X88" i="39"/>
  <c r="W88" i="39"/>
  <c r="T88" i="39"/>
  <c r="S88" i="39"/>
  <c r="P88" i="39"/>
  <c r="O88" i="39"/>
  <c r="L88" i="39"/>
  <c r="K88" i="39"/>
  <c r="H88" i="39"/>
  <c r="G88" i="39"/>
  <c r="D88" i="39"/>
  <c r="C88" i="39"/>
  <c r="X87" i="39"/>
  <c r="W87" i="39"/>
  <c r="T87" i="39"/>
  <c r="S87" i="39"/>
  <c r="P87" i="39"/>
  <c r="O87" i="39"/>
  <c r="L87" i="39"/>
  <c r="K87" i="39"/>
  <c r="H87" i="39"/>
  <c r="G87" i="39"/>
  <c r="D87" i="39"/>
  <c r="C87" i="39"/>
  <c r="X86" i="39"/>
  <c r="W86" i="39"/>
  <c r="T86" i="39"/>
  <c r="S86" i="39"/>
  <c r="P86" i="39"/>
  <c r="O86" i="39"/>
  <c r="L86" i="39"/>
  <c r="K86" i="39"/>
  <c r="H86" i="39"/>
  <c r="G86" i="39"/>
  <c r="D86" i="39"/>
  <c r="C86" i="39"/>
  <c r="X85" i="39"/>
  <c r="W85" i="39"/>
  <c r="T85" i="39"/>
  <c r="S85" i="39"/>
  <c r="P85" i="39"/>
  <c r="O85" i="39"/>
  <c r="L85" i="39"/>
  <c r="K85" i="39"/>
  <c r="H85" i="39"/>
  <c r="G85" i="39"/>
  <c r="D85" i="39"/>
  <c r="C85" i="39"/>
  <c r="X84" i="39"/>
  <c r="W84" i="39"/>
  <c r="T84" i="39"/>
  <c r="S84" i="39"/>
  <c r="P84" i="39"/>
  <c r="O84" i="39"/>
  <c r="L84" i="39"/>
  <c r="K84" i="39"/>
  <c r="H84" i="39"/>
  <c r="G84" i="39"/>
  <c r="D84" i="39"/>
  <c r="C84" i="39"/>
  <c r="X83" i="39"/>
  <c r="W83" i="39"/>
  <c r="T83" i="39"/>
  <c r="S83" i="39"/>
  <c r="P83" i="39"/>
  <c r="O83" i="39"/>
  <c r="L83" i="39"/>
  <c r="K83" i="39"/>
  <c r="H83" i="39"/>
  <c r="G83" i="39"/>
  <c r="D83" i="39"/>
  <c r="C83" i="39"/>
  <c r="X82" i="39"/>
  <c r="W82" i="39"/>
  <c r="T82" i="39"/>
  <c r="S82" i="39"/>
  <c r="P82" i="39"/>
  <c r="O82" i="39"/>
  <c r="L82" i="39"/>
  <c r="K82" i="39"/>
  <c r="H82" i="39"/>
  <c r="G82" i="39"/>
  <c r="D82" i="39"/>
  <c r="C82" i="39"/>
  <c r="X81" i="39"/>
  <c r="W81" i="39"/>
  <c r="T81" i="39"/>
  <c r="S81" i="39"/>
  <c r="P81" i="39"/>
  <c r="O81" i="39"/>
  <c r="L81" i="39"/>
  <c r="K81" i="39"/>
  <c r="H81" i="39"/>
  <c r="G81" i="39"/>
  <c r="D81" i="39"/>
  <c r="C81" i="39"/>
  <c r="X80" i="39"/>
  <c r="W80" i="39"/>
  <c r="T80" i="39"/>
  <c r="S80" i="39"/>
  <c r="P80" i="39"/>
  <c r="O80" i="39"/>
  <c r="L80" i="39"/>
  <c r="K80" i="39"/>
  <c r="H80" i="39"/>
  <c r="G80" i="39"/>
  <c r="D80" i="39"/>
  <c r="C80" i="39"/>
  <c r="X79" i="39"/>
  <c r="W79" i="39"/>
  <c r="T79" i="39"/>
  <c r="S79" i="39"/>
  <c r="P79" i="39"/>
  <c r="O79" i="39"/>
  <c r="L79" i="39"/>
  <c r="K79" i="39"/>
  <c r="H79" i="39"/>
  <c r="G79" i="39"/>
  <c r="D79" i="39"/>
  <c r="C79" i="39"/>
  <c r="X78" i="39"/>
  <c r="W78" i="39"/>
  <c r="T78" i="39"/>
  <c r="S78" i="39"/>
  <c r="P78" i="39"/>
  <c r="O78" i="39"/>
  <c r="L78" i="39"/>
  <c r="K78" i="39"/>
  <c r="H78" i="39"/>
  <c r="G78" i="39"/>
  <c r="D78" i="39"/>
  <c r="C78" i="39"/>
  <c r="X77" i="39"/>
  <c r="W77" i="39"/>
  <c r="T77" i="39"/>
  <c r="S77" i="39"/>
  <c r="P77" i="39"/>
  <c r="O77" i="39"/>
  <c r="L77" i="39"/>
  <c r="K77" i="39"/>
  <c r="H77" i="39"/>
  <c r="G77" i="39"/>
  <c r="D77" i="39"/>
  <c r="C77" i="39"/>
  <c r="X76" i="39"/>
  <c r="W76" i="39"/>
  <c r="T76" i="39"/>
  <c r="S76" i="39"/>
  <c r="P76" i="39"/>
  <c r="O76" i="39"/>
  <c r="L76" i="39"/>
  <c r="K76" i="39"/>
  <c r="H76" i="39"/>
  <c r="G76" i="39"/>
  <c r="D76" i="39"/>
  <c r="C76" i="39"/>
  <c r="X75" i="39"/>
  <c r="W75" i="39"/>
  <c r="T75" i="39"/>
  <c r="S75" i="39"/>
  <c r="P75" i="39"/>
  <c r="O75" i="39"/>
  <c r="L75" i="39"/>
  <c r="K75" i="39"/>
  <c r="H75" i="39"/>
  <c r="G75" i="39"/>
  <c r="D75" i="39"/>
  <c r="C75" i="39"/>
  <c r="X74" i="39"/>
  <c r="W74" i="39"/>
  <c r="T74" i="39"/>
  <c r="S74" i="39"/>
  <c r="P74" i="39"/>
  <c r="O74" i="39"/>
  <c r="L74" i="39"/>
  <c r="K74" i="39"/>
  <c r="H74" i="39"/>
  <c r="G74" i="39"/>
  <c r="D74" i="39"/>
  <c r="C74" i="39"/>
  <c r="X73" i="39"/>
  <c r="W73" i="39"/>
  <c r="T73" i="39"/>
  <c r="S73" i="39"/>
  <c r="P73" i="39"/>
  <c r="O73" i="39"/>
  <c r="L73" i="39"/>
  <c r="K73" i="39"/>
  <c r="H73" i="39"/>
  <c r="G73" i="39"/>
  <c r="D73" i="39"/>
  <c r="C73" i="39"/>
  <c r="X72" i="39"/>
  <c r="W72" i="39"/>
  <c r="T72" i="39"/>
  <c r="S72" i="39"/>
  <c r="P72" i="39"/>
  <c r="O72" i="39"/>
  <c r="L72" i="39"/>
  <c r="K72" i="39"/>
  <c r="H72" i="39"/>
  <c r="G72" i="39"/>
  <c r="D72" i="39"/>
  <c r="C72" i="39"/>
  <c r="X71" i="39"/>
  <c r="W71" i="39"/>
  <c r="T71" i="39"/>
  <c r="S71" i="39"/>
  <c r="P71" i="39"/>
  <c r="O71" i="39"/>
  <c r="L71" i="39"/>
  <c r="K71" i="39"/>
  <c r="H71" i="39"/>
  <c r="G71" i="39"/>
  <c r="D71" i="39"/>
  <c r="C71" i="39"/>
  <c r="X70" i="39"/>
  <c r="W70" i="39"/>
  <c r="T70" i="39"/>
  <c r="S70" i="39"/>
  <c r="P70" i="39"/>
  <c r="O70" i="39"/>
  <c r="L70" i="39"/>
  <c r="K70" i="39"/>
  <c r="H70" i="39"/>
  <c r="G70" i="39"/>
  <c r="D70" i="39"/>
  <c r="C70" i="39"/>
  <c r="X69" i="39"/>
  <c r="W69" i="39"/>
  <c r="T69" i="39"/>
  <c r="S69" i="39"/>
  <c r="P69" i="39"/>
  <c r="O69" i="39"/>
  <c r="L69" i="39"/>
  <c r="K69" i="39"/>
  <c r="H69" i="39"/>
  <c r="G69" i="39"/>
  <c r="D69" i="39"/>
  <c r="C69" i="39"/>
  <c r="X68" i="39"/>
  <c r="W68" i="39"/>
  <c r="T68" i="39"/>
  <c r="S68" i="39"/>
  <c r="P68" i="39"/>
  <c r="O68" i="39"/>
  <c r="L68" i="39"/>
  <c r="K68" i="39"/>
  <c r="H68" i="39"/>
  <c r="G68" i="39"/>
  <c r="D68" i="39"/>
  <c r="C68" i="39"/>
  <c r="X67" i="39"/>
  <c r="W67" i="39"/>
  <c r="T67" i="39"/>
  <c r="S67" i="39"/>
  <c r="P67" i="39"/>
  <c r="O67" i="39"/>
  <c r="L67" i="39"/>
  <c r="K67" i="39"/>
  <c r="H67" i="39"/>
  <c r="G67" i="39"/>
  <c r="D67" i="39"/>
  <c r="C67" i="39"/>
  <c r="X66" i="39"/>
  <c r="W66" i="39"/>
  <c r="T66" i="39"/>
  <c r="S66" i="39"/>
  <c r="P66" i="39"/>
  <c r="O66" i="39"/>
  <c r="L66" i="39"/>
  <c r="K66" i="39"/>
  <c r="H66" i="39"/>
  <c r="G66" i="39"/>
  <c r="D66" i="39"/>
  <c r="C66" i="39"/>
  <c r="X65" i="39"/>
  <c r="W65" i="39"/>
  <c r="T65" i="39"/>
  <c r="S65" i="39"/>
  <c r="P65" i="39"/>
  <c r="O65" i="39"/>
  <c r="L65" i="39"/>
  <c r="K65" i="39"/>
  <c r="H65" i="39"/>
  <c r="G65" i="39"/>
  <c r="D65" i="39"/>
  <c r="C65" i="39"/>
  <c r="X64" i="39"/>
  <c r="W64" i="39"/>
  <c r="T64" i="39"/>
  <c r="S64" i="39"/>
  <c r="P64" i="39"/>
  <c r="O64" i="39"/>
  <c r="L64" i="39"/>
  <c r="K64" i="39"/>
  <c r="H64" i="39"/>
  <c r="G64" i="39"/>
  <c r="D64" i="39"/>
  <c r="C64" i="39"/>
  <c r="X63" i="39"/>
  <c r="W63" i="39"/>
  <c r="T63" i="39"/>
  <c r="S63" i="39"/>
  <c r="P63" i="39"/>
  <c r="O63" i="39"/>
  <c r="L63" i="39"/>
  <c r="K63" i="39"/>
  <c r="H63" i="39"/>
  <c r="G63" i="39"/>
  <c r="D63" i="39"/>
  <c r="C63" i="39"/>
  <c r="X62" i="39"/>
  <c r="W62" i="39"/>
  <c r="T62" i="39"/>
  <c r="S62" i="39"/>
  <c r="P62" i="39"/>
  <c r="O62" i="39"/>
  <c r="L62" i="39"/>
  <c r="K62" i="39"/>
  <c r="H62" i="39"/>
  <c r="G62" i="39"/>
  <c r="D62" i="39"/>
  <c r="C62" i="39"/>
  <c r="X61" i="39"/>
  <c r="W61" i="39"/>
  <c r="T61" i="39"/>
  <c r="S61" i="39"/>
  <c r="P61" i="39"/>
  <c r="O61" i="39"/>
  <c r="L61" i="39"/>
  <c r="K61" i="39"/>
  <c r="H61" i="39"/>
  <c r="G61" i="39"/>
  <c r="D61" i="39"/>
  <c r="C61" i="39"/>
  <c r="X60" i="39"/>
  <c r="W60" i="39"/>
  <c r="T60" i="39"/>
  <c r="S60" i="39"/>
  <c r="P60" i="39"/>
  <c r="O60" i="39"/>
  <c r="L60" i="39"/>
  <c r="K60" i="39"/>
  <c r="H60" i="39"/>
  <c r="G60" i="39"/>
  <c r="D60" i="39"/>
  <c r="C60" i="39"/>
  <c r="X59" i="39"/>
  <c r="W59" i="39"/>
  <c r="T59" i="39"/>
  <c r="S59" i="39"/>
  <c r="P59" i="39"/>
  <c r="O59" i="39"/>
  <c r="L59" i="39"/>
  <c r="K59" i="39"/>
  <c r="H59" i="39"/>
  <c r="G59" i="39"/>
  <c r="D59" i="39"/>
  <c r="C59" i="39"/>
  <c r="X58" i="39"/>
  <c r="W58" i="39"/>
  <c r="T58" i="39"/>
  <c r="S58" i="39"/>
  <c r="P58" i="39"/>
  <c r="O58" i="39"/>
  <c r="L58" i="39"/>
  <c r="K58" i="39"/>
  <c r="H58" i="39"/>
  <c r="G58" i="39"/>
  <c r="D58" i="39"/>
  <c r="C58" i="39"/>
  <c r="X57" i="39"/>
  <c r="W57" i="39"/>
  <c r="T57" i="39"/>
  <c r="S57" i="39"/>
  <c r="P57" i="39"/>
  <c r="O57" i="39"/>
  <c r="L57" i="39"/>
  <c r="K57" i="39"/>
  <c r="H57" i="39"/>
  <c r="G57" i="39"/>
  <c r="D57" i="39"/>
  <c r="C57" i="39"/>
  <c r="X56" i="39"/>
  <c r="W56" i="39"/>
  <c r="T56" i="39"/>
  <c r="S56" i="39"/>
  <c r="P56" i="39"/>
  <c r="O56" i="39"/>
  <c r="L56" i="39"/>
  <c r="K56" i="39"/>
  <c r="H56" i="39"/>
  <c r="G56" i="39"/>
  <c r="D56" i="39"/>
  <c r="C56" i="39"/>
  <c r="X55" i="39"/>
  <c r="W55" i="39"/>
  <c r="T55" i="39"/>
  <c r="S55" i="39"/>
  <c r="P55" i="39"/>
  <c r="O55" i="39"/>
  <c r="L55" i="39"/>
  <c r="K55" i="39"/>
  <c r="H55" i="39"/>
  <c r="G55" i="39"/>
  <c r="D55" i="39"/>
  <c r="C55" i="39"/>
  <c r="X54" i="39"/>
  <c r="W54" i="39"/>
  <c r="T54" i="39"/>
  <c r="S54" i="39"/>
  <c r="P54" i="39"/>
  <c r="O54" i="39"/>
  <c r="L54" i="39"/>
  <c r="K54" i="39"/>
  <c r="H54" i="39"/>
  <c r="G54" i="39"/>
  <c r="D54" i="39"/>
  <c r="C54" i="39"/>
  <c r="X53" i="39"/>
  <c r="W53" i="39"/>
  <c r="T53" i="39"/>
  <c r="S53" i="39"/>
  <c r="P53" i="39"/>
  <c r="O53" i="39"/>
  <c r="L53" i="39"/>
  <c r="K53" i="39"/>
  <c r="H53" i="39"/>
  <c r="G53" i="39"/>
  <c r="D53" i="39"/>
  <c r="C53" i="39"/>
  <c r="X52" i="39"/>
  <c r="W52" i="39"/>
  <c r="T52" i="39"/>
  <c r="S52" i="39"/>
  <c r="P52" i="39"/>
  <c r="O52" i="39"/>
  <c r="L52" i="39"/>
  <c r="K52" i="39"/>
  <c r="H52" i="39"/>
  <c r="G52" i="39"/>
  <c r="D52" i="39"/>
  <c r="C52" i="39"/>
  <c r="X51" i="39"/>
  <c r="W51" i="39"/>
  <c r="T51" i="39"/>
  <c r="S51" i="39"/>
  <c r="P51" i="39"/>
  <c r="O51" i="39"/>
  <c r="L51" i="39"/>
  <c r="K51" i="39"/>
  <c r="H51" i="39"/>
  <c r="G51" i="39"/>
  <c r="D51" i="39"/>
  <c r="C51" i="39"/>
  <c r="X50" i="39"/>
  <c r="W50" i="39"/>
  <c r="T50" i="39"/>
  <c r="S50" i="39"/>
  <c r="P50" i="39"/>
  <c r="O50" i="39"/>
  <c r="L50" i="39"/>
  <c r="K50" i="39"/>
  <c r="H50" i="39"/>
  <c r="G50" i="39"/>
  <c r="D50" i="39"/>
  <c r="C50" i="39"/>
  <c r="X49" i="39"/>
  <c r="W49" i="39"/>
  <c r="T49" i="39"/>
  <c r="S49" i="39"/>
  <c r="P49" i="39"/>
  <c r="O49" i="39"/>
  <c r="L49" i="39"/>
  <c r="K49" i="39"/>
  <c r="H49" i="39"/>
  <c r="G49" i="39"/>
  <c r="D49" i="39"/>
  <c r="C49" i="39"/>
  <c r="X48" i="39"/>
  <c r="W48" i="39"/>
  <c r="T48" i="39"/>
  <c r="S48" i="39"/>
  <c r="P48" i="39"/>
  <c r="O48" i="39"/>
  <c r="L48" i="39"/>
  <c r="K48" i="39"/>
  <c r="H48" i="39"/>
  <c r="G48" i="39"/>
  <c r="D48" i="39"/>
  <c r="C48" i="39"/>
  <c r="X47" i="39"/>
  <c r="W47" i="39"/>
  <c r="T47" i="39"/>
  <c r="S47" i="39"/>
  <c r="P47" i="39"/>
  <c r="O47" i="39"/>
  <c r="L47" i="39"/>
  <c r="K47" i="39"/>
  <c r="H47" i="39"/>
  <c r="G47" i="39"/>
  <c r="D47" i="39"/>
  <c r="C47" i="39"/>
  <c r="X46" i="39"/>
  <c r="W46" i="39"/>
  <c r="T46" i="39"/>
  <c r="S46" i="39"/>
  <c r="P46" i="39"/>
  <c r="O46" i="39"/>
  <c r="L46" i="39"/>
  <c r="K46" i="39"/>
  <c r="H46" i="39"/>
  <c r="G46" i="39"/>
  <c r="D46" i="39"/>
  <c r="C46" i="39"/>
  <c r="X45" i="39"/>
  <c r="W45" i="39"/>
  <c r="T45" i="39"/>
  <c r="S45" i="39"/>
  <c r="P45" i="39"/>
  <c r="O45" i="39"/>
  <c r="L45" i="39"/>
  <c r="K45" i="39"/>
  <c r="H45" i="39"/>
  <c r="G45" i="39"/>
  <c r="D45" i="39"/>
  <c r="C45" i="39"/>
  <c r="X44" i="39"/>
  <c r="W44" i="39"/>
  <c r="T44" i="39"/>
  <c r="S44" i="39"/>
  <c r="P44" i="39"/>
  <c r="O44" i="39"/>
  <c r="L44" i="39"/>
  <c r="K44" i="39"/>
  <c r="H44" i="39"/>
  <c r="G44" i="39"/>
  <c r="D44" i="39"/>
  <c r="C44" i="39"/>
  <c r="X43" i="39"/>
  <c r="W43" i="39"/>
  <c r="T43" i="39"/>
  <c r="S43" i="39"/>
  <c r="P43" i="39"/>
  <c r="O43" i="39"/>
  <c r="L43" i="39"/>
  <c r="K43" i="39"/>
  <c r="H43" i="39"/>
  <c r="G43" i="39"/>
  <c r="D43" i="39"/>
  <c r="C43" i="39"/>
  <c r="X42" i="39"/>
  <c r="W42" i="39"/>
  <c r="T42" i="39"/>
  <c r="S42" i="39"/>
  <c r="P42" i="39"/>
  <c r="O42" i="39"/>
  <c r="L42" i="39"/>
  <c r="K42" i="39"/>
  <c r="H42" i="39"/>
  <c r="G42" i="39"/>
  <c r="D42" i="39"/>
  <c r="C42" i="39"/>
  <c r="X41" i="39"/>
  <c r="W41" i="39"/>
  <c r="T41" i="39"/>
  <c r="S41" i="39"/>
  <c r="P41" i="39"/>
  <c r="O41" i="39"/>
  <c r="L41" i="39"/>
  <c r="K41" i="39"/>
  <c r="H41" i="39"/>
  <c r="G41" i="39"/>
  <c r="D41" i="39"/>
  <c r="C41" i="39"/>
  <c r="X40" i="39"/>
  <c r="W40" i="39"/>
  <c r="T40" i="39"/>
  <c r="S40" i="39"/>
  <c r="P40" i="39"/>
  <c r="O40" i="39"/>
  <c r="L40" i="39"/>
  <c r="K40" i="39"/>
  <c r="H40" i="39"/>
  <c r="G40" i="39"/>
  <c r="D40" i="39"/>
  <c r="C40" i="39"/>
  <c r="X39" i="39"/>
  <c r="W39" i="39"/>
  <c r="T39" i="39"/>
  <c r="S39" i="39"/>
  <c r="P39" i="39"/>
  <c r="O39" i="39"/>
  <c r="L39" i="39"/>
  <c r="K39" i="39"/>
  <c r="H39" i="39"/>
  <c r="G39" i="39"/>
  <c r="D39" i="39"/>
  <c r="C39" i="39"/>
  <c r="X38" i="39"/>
  <c r="W38" i="39"/>
  <c r="T38" i="39"/>
  <c r="S38" i="39"/>
  <c r="P38" i="39"/>
  <c r="O38" i="39"/>
  <c r="L38" i="39"/>
  <c r="K38" i="39"/>
  <c r="H38" i="39"/>
  <c r="G38" i="39"/>
  <c r="D38" i="39"/>
  <c r="C38" i="39"/>
  <c r="X37" i="39"/>
  <c r="W37" i="39"/>
  <c r="T37" i="39"/>
  <c r="S37" i="39"/>
  <c r="P37" i="39"/>
  <c r="O37" i="39"/>
  <c r="L37" i="39"/>
  <c r="K37" i="39"/>
  <c r="H37" i="39"/>
  <c r="G37" i="39"/>
  <c r="D37" i="39"/>
  <c r="C37" i="39"/>
  <c r="X36" i="39"/>
  <c r="W36" i="39"/>
  <c r="T36" i="39"/>
  <c r="S36" i="39"/>
  <c r="P36" i="39"/>
  <c r="O36" i="39"/>
  <c r="L36" i="39"/>
  <c r="K36" i="39"/>
  <c r="H36" i="39"/>
  <c r="G36" i="39"/>
  <c r="D36" i="39"/>
  <c r="C36" i="39"/>
  <c r="X35" i="39"/>
  <c r="W35" i="39"/>
  <c r="T35" i="39"/>
  <c r="S35" i="39"/>
  <c r="P35" i="39"/>
  <c r="O35" i="39"/>
  <c r="L35" i="39"/>
  <c r="K35" i="39"/>
  <c r="H35" i="39"/>
  <c r="G35" i="39"/>
  <c r="D35" i="39"/>
  <c r="C35" i="39"/>
  <c r="X34" i="39"/>
  <c r="W34" i="39"/>
  <c r="T34" i="39"/>
  <c r="S34" i="39"/>
  <c r="P34" i="39"/>
  <c r="O34" i="39"/>
  <c r="L34" i="39"/>
  <c r="K34" i="39"/>
  <c r="H34" i="39"/>
  <c r="G34" i="39"/>
  <c r="D34" i="39"/>
  <c r="C34" i="39"/>
  <c r="X33" i="39"/>
  <c r="W33" i="39"/>
  <c r="T33" i="39"/>
  <c r="S33" i="39"/>
  <c r="P33" i="39"/>
  <c r="O33" i="39"/>
  <c r="L33" i="39"/>
  <c r="K33" i="39"/>
  <c r="H33" i="39"/>
  <c r="G33" i="39"/>
  <c r="D33" i="39"/>
  <c r="C33" i="39"/>
  <c r="X32" i="39"/>
  <c r="W32" i="39"/>
  <c r="T32" i="39"/>
  <c r="S32" i="39"/>
  <c r="P32" i="39"/>
  <c r="O32" i="39"/>
  <c r="L32" i="39"/>
  <c r="K32" i="39"/>
  <c r="H32" i="39"/>
  <c r="G32" i="39"/>
  <c r="D32" i="39"/>
  <c r="C32" i="39"/>
  <c r="X31" i="39"/>
  <c r="W31" i="39"/>
  <c r="T31" i="39"/>
  <c r="S31" i="39"/>
  <c r="P31" i="39"/>
  <c r="O31" i="39"/>
  <c r="L31" i="39"/>
  <c r="K31" i="39"/>
  <c r="H31" i="39"/>
  <c r="G31" i="39"/>
  <c r="D31" i="39"/>
  <c r="C31" i="39"/>
  <c r="X30" i="39"/>
  <c r="W30" i="39"/>
  <c r="T30" i="39"/>
  <c r="S30" i="39"/>
  <c r="P30" i="39"/>
  <c r="O30" i="39"/>
  <c r="L30" i="39"/>
  <c r="K30" i="39"/>
  <c r="H30" i="39"/>
  <c r="G30" i="39"/>
  <c r="D30" i="39"/>
  <c r="C30" i="39"/>
  <c r="X29" i="39"/>
  <c r="W29" i="39"/>
  <c r="T29" i="39"/>
  <c r="S29" i="39"/>
  <c r="P29" i="39"/>
  <c r="O29" i="39"/>
  <c r="L29" i="39"/>
  <c r="K29" i="39"/>
  <c r="H29" i="39"/>
  <c r="G29" i="39"/>
  <c r="D29" i="39"/>
  <c r="C29" i="39"/>
  <c r="X28" i="39"/>
  <c r="W28" i="39"/>
  <c r="T28" i="39"/>
  <c r="S28" i="39"/>
  <c r="P28" i="39"/>
  <c r="O28" i="39"/>
  <c r="L28" i="39"/>
  <c r="K28" i="39"/>
  <c r="H28" i="39"/>
  <c r="G28" i="39"/>
  <c r="D28" i="39"/>
  <c r="C28" i="39"/>
  <c r="X27" i="39"/>
  <c r="W27" i="39"/>
  <c r="T27" i="39"/>
  <c r="S27" i="39"/>
  <c r="P27" i="39"/>
  <c r="O27" i="39"/>
  <c r="L27" i="39"/>
  <c r="K27" i="39"/>
  <c r="H27" i="39"/>
  <c r="G27" i="39"/>
  <c r="D27" i="39"/>
  <c r="C27" i="39"/>
  <c r="X26" i="39"/>
  <c r="W26" i="39"/>
  <c r="T26" i="39"/>
  <c r="S26" i="39"/>
  <c r="P26" i="39"/>
  <c r="O26" i="39"/>
  <c r="L26" i="39"/>
  <c r="K26" i="39"/>
  <c r="H26" i="39"/>
  <c r="G26" i="39"/>
  <c r="D26" i="39"/>
  <c r="C26" i="39"/>
  <c r="X25" i="39"/>
  <c r="W25" i="39"/>
  <c r="T25" i="39"/>
  <c r="S25" i="39"/>
  <c r="P25" i="39"/>
  <c r="O25" i="39"/>
  <c r="L25" i="39"/>
  <c r="K25" i="39"/>
  <c r="H25" i="39"/>
  <c r="G25" i="39"/>
  <c r="D25" i="39"/>
  <c r="C25" i="39"/>
  <c r="X24" i="39"/>
  <c r="W24" i="39"/>
  <c r="T24" i="39"/>
  <c r="S24" i="39"/>
  <c r="P24" i="39"/>
  <c r="O24" i="39"/>
  <c r="L24" i="39"/>
  <c r="K24" i="39"/>
  <c r="H24" i="39"/>
  <c r="G24" i="39"/>
  <c r="D24" i="39"/>
  <c r="C24" i="39"/>
  <c r="X23" i="39"/>
  <c r="W23" i="39"/>
  <c r="T23" i="39"/>
  <c r="S23" i="39"/>
  <c r="P23" i="39"/>
  <c r="O23" i="39"/>
  <c r="L23" i="39"/>
  <c r="K23" i="39"/>
  <c r="H23" i="39"/>
  <c r="G23" i="39"/>
  <c r="D23" i="39"/>
  <c r="C23" i="39"/>
  <c r="X22" i="39"/>
  <c r="W22" i="39"/>
  <c r="T22" i="39"/>
  <c r="S22" i="39"/>
  <c r="P22" i="39"/>
  <c r="O22" i="39"/>
  <c r="L22" i="39"/>
  <c r="K22" i="39"/>
  <c r="H22" i="39"/>
  <c r="G22" i="39"/>
  <c r="D22" i="39"/>
  <c r="C22" i="39"/>
  <c r="X21" i="39"/>
  <c r="W21" i="39"/>
  <c r="T21" i="39"/>
  <c r="S21" i="39"/>
  <c r="P21" i="39"/>
  <c r="O21" i="39"/>
  <c r="L21" i="39"/>
  <c r="K21" i="39"/>
  <c r="H21" i="39"/>
  <c r="G21" i="39"/>
  <c r="D21" i="39"/>
  <c r="C21" i="39"/>
  <c r="X20" i="39"/>
  <c r="W20" i="39"/>
  <c r="T20" i="39"/>
  <c r="S20" i="39"/>
  <c r="P20" i="39"/>
  <c r="O20" i="39"/>
  <c r="L20" i="39"/>
  <c r="K20" i="39"/>
  <c r="H20" i="39"/>
  <c r="G20" i="39"/>
  <c r="D20" i="39"/>
  <c r="C20" i="39"/>
  <c r="X19" i="39"/>
  <c r="W19" i="39"/>
  <c r="T19" i="39"/>
  <c r="S19" i="39"/>
  <c r="P19" i="39"/>
  <c r="O19" i="39"/>
  <c r="L19" i="39"/>
  <c r="K19" i="39"/>
  <c r="H19" i="39"/>
  <c r="G19" i="39"/>
  <c r="D19" i="39"/>
  <c r="C19" i="39"/>
  <c r="X18" i="39"/>
  <c r="W18" i="39"/>
  <c r="T18" i="39"/>
  <c r="S18" i="39"/>
  <c r="P18" i="39"/>
  <c r="O18" i="39"/>
  <c r="L18" i="39"/>
  <c r="K18" i="39"/>
  <c r="H18" i="39"/>
  <c r="G18" i="39"/>
  <c r="D18" i="39"/>
  <c r="C18" i="39"/>
  <c r="X17" i="39"/>
  <c r="W17" i="39"/>
  <c r="T17" i="39"/>
  <c r="S17" i="39"/>
  <c r="P17" i="39"/>
  <c r="O17" i="39"/>
  <c r="L17" i="39"/>
  <c r="K17" i="39"/>
  <c r="H17" i="39"/>
  <c r="G17" i="39"/>
  <c r="D17" i="39"/>
  <c r="C17" i="39"/>
  <c r="X16" i="39"/>
  <c r="W16" i="39"/>
  <c r="T16" i="39"/>
  <c r="S16" i="39"/>
  <c r="P16" i="39"/>
  <c r="O16" i="39"/>
  <c r="L16" i="39"/>
  <c r="K16" i="39"/>
  <c r="H16" i="39"/>
  <c r="G16" i="39"/>
  <c r="D16" i="39"/>
  <c r="C16" i="39"/>
  <c r="X15" i="39"/>
  <c r="W15" i="39"/>
  <c r="T15" i="39"/>
  <c r="S15" i="39"/>
  <c r="P15" i="39"/>
  <c r="O15" i="39"/>
  <c r="L15" i="39"/>
  <c r="K15" i="39"/>
  <c r="H15" i="39"/>
  <c r="G15" i="39"/>
  <c r="D15" i="39"/>
  <c r="C15" i="39"/>
  <c r="X14" i="39"/>
  <c r="W14" i="39"/>
  <c r="T14" i="39"/>
  <c r="S14" i="39"/>
  <c r="P14" i="39"/>
  <c r="O14" i="39"/>
  <c r="L14" i="39"/>
  <c r="K14" i="39"/>
  <c r="H14" i="39"/>
  <c r="G14" i="39"/>
  <c r="D14" i="39"/>
  <c r="C14" i="39"/>
  <c r="X13" i="39"/>
  <c r="W13" i="39"/>
  <c r="T13" i="39"/>
  <c r="S13" i="39"/>
  <c r="P13" i="39"/>
  <c r="O13" i="39"/>
  <c r="L13" i="39"/>
  <c r="K13" i="39"/>
  <c r="H13" i="39"/>
  <c r="G13" i="39"/>
  <c r="D13" i="39"/>
  <c r="C13" i="39"/>
  <c r="X12" i="39"/>
  <c r="W12" i="39"/>
  <c r="T12" i="39"/>
  <c r="S12" i="39"/>
  <c r="P12" i="39"/>
  <c r="O12" i="39"/>
  <c r="L12" i="39"/>
  <c r="K12" i="39"/>
  <c r="H12" i="39"/>
  <c r="G12" i="39"/>
  <c r="D12" i="39"/>
  <c r="C12" i="39"/>
  <c r="X11" i="39"/>
  <c r="W11" i="39"/>
  <c r="T11" i="39"/>
  <c r="S11" i="39"/>
  <c r="P11" i="39"/>
  <c r="O11" i="39"/>
  <c r="L11" i="39"/>
  <c r="K11" i="39"/>
  <c r="H11" i="39"/>
  <c r="G11" i="39"/>
  <c r="D11" i="39"/>
  <c r="C11" i="39"/>
  <c r="X10" i="39"/>
  <c r="W10" i="39"/>
  <c r="T10" i="39"/>
  <c r="S10" i="39"/>
  <c r="P10" i="39"/>
  <c r="O10" i="39"/>
  <c r="L10" i="39"/>
  <c r="K10" i="39"/>
  <c r="H10" i="39"/>
  <c r="G10" i="39"/>
  <c r="D10" i="39"/>
  <c r="C10" i="39"/>
  <c r="X9" i="39"/>
  <c r="W9" i="39"/>
  <c r="T9" i="39"/>
  <c r="S9" i="39"/>
  <c r="P9" i="39"/>
  <c r="O9" i="39"/>
  <c r="L9" i="39"/>
  <c r="K9" i="39"/>
  <c r="H9" i="39"/>
  <c r="G9" i="39"/>
  <c r="D9" i="39"/>
  <c r="C9" i="39"/>
  <c r="X8" i="39"/>
  <c r="W8" i="39"/>
  <c r="T8" i="39"/>
  <c r="S8" i="39"/>
  <c r="P8" i="39"/>
  <c r="O8" i="39"/>
  <c r="L8" i="39"/>
  <c r="K8" i="39"/>
  <c r="H8" i="39"/>
  <c r="G8" i="39"/>
  <c r="D8" i="39"/>
  <c r="C8" i="39"/>
  <c r="X7" i="39"/>
  <c r="W7" i="39"/>
  <c r="T7" i="39"/>
  <c r="S7" i="39"/>
  <c r="P7" i="39"/>
  <c r="O7" i="39"/>
  <c r="L7" i="39"/>
  <c r="K7" i="39"/>
  <c r="H7" i="39"/>
  <c r="G7" i="39"/>
  <c r="D7" i="39"/>
  <c r="C7" i="39"/>
  <c r="X6" i="39"/>
  <c r="W6" i="39"/>
  <c r="T6" i="39"/>
  <c r="S6" i="39"/>
  <c r="P6" i="39"/>
  <c r="O6" i="39"/>
  <c r="L6" i="39"/>
  <c r="K6" i="39"/>
  <c r="H6" i="39"/>
  <c r="G6" i="39"/>
  <c r="D6" i="39"/>
  <c r="C6" i="39"/>
  <c r="X5" i="39"/>
  <c r="W5" i="39"/>
  <c r="T5" i="39"/>
  <c r="S5" i="39"/>
  <c r="P5" i="39"/>
  <c r="O5" i="39"/>
  <c r="L5" i="39"/>
  <c r="K5" i="39"/>
  <c r="H5" i="39"/>
  <c r="G5" i="39"/>
  <c r="D5" i="39"/>
  <c r="C5" i="39"/>
  <c r="X4" i="39"/>
  <c r="W4" i="39"/>
  <c r="T4" i="39"/>
  <c r="S4" i="39"/>
  <c r="P4" i="39"/>
  <c r="O4" i="39"/>
  <c r="L4" i="39"/>
  <c r="K4" i="39"/>
  <c r="H4" i="39"/>
  <c r="G4" i="39"/>
  <c r="D4" i="39"/>
  <c r="C4" i="39"/>
  <c r="C124" i="39" s="1"/>
  <c r="C125" i="39" s="1"/>
  <c r="K4" i="32"/>
  <c r="J4" i="32"/>
  <c r="H4" i="32"/>
  <c r="G4" i="32"/>
  <c r="F4" i="32"/>
  <c r="E4" i="32"/>
  <c r="D4" i="32"/>
  <c r="G4" i="31"/>
  <c r="F4" i="31"/>
  <c r="E4" i="31"/>
  <c r="D4" i="31"/>
  <c r="O122" i="41"/>
  <c r="O120" i="41"/>
  <c r="O118" i="41"/>
  <c r="O116" i="41"/>
  <c r="O114" i="41"/>
  <c r="O112" i="41"/>
  <c r="O110" i="41"/>
  <c r="O108" i="41"/>
  <c r="O106" i="41"/>
  <c r="O104" i="41"/>
  <c r="O102" i="41"/>
  <c r="O100" i="41"/>
  <c r="Q100" i="41" s="1"/>
  <c r="O98" i="41"/>
  <c r="O96" i="41"/>
  <c r="O94" i="41"/>
  <c r="O92" i="41"/>
  <c r="O90" i="41"/>
  <c r="O88" i="41"/>
  <c r="O86" i="41"/>
  <c r="O84" i="41"/>
  <c r="O82" i="41"/>
  <c r="O80" i="41"/>
  <c r="O78" i="41"/>
  <c r="O76" i="41"/>
  <c r="O74" i="41"/>
  <c r="O72" i="41"/>
  <c r="O70" i="41"/>
  <c r="O68" i="41"/>
  <c r="Q68" i="41" s="1"/>
  <c r="O66" i="41"/>
  <c r="O64" i="41"/>
  <c r="O62" i="41"/>
  <c r="O60" i="41"/>
  <c r="O58" i="41"/>
  <c r="O56" i="41"/>
  <c r="O54" i="41"/>
  <c r="O52" i="41"/>
  <c r="O50" i="41"/>
  <c r="O48" i="41"/>
  <c r="O46" i="41"/>
  <c r="O44" i="41"/>
  <c r="O42" i="41"/>
  <c r="O40" i="41"/>
  <c r="O38" i="41"/>
  <c r="O36" i="41"/>
  <c r="O34" i="41"/>
  <c r="O32" i="41"/>
  <c r="O30" i="41"/>
  <c r="O28" i="41"/>
  <c r="O26" i="41"/>
  <c r="O24" i="41"/>
  <c r="O22" i="41"/>
  <c r="O20" i="41"/>
  <c r="O18" i="41"/>
  <c r="O16" i="41"/>
  <c r="O14" i="41"/>
  <c r="O12" i="41"/>
  <c r="Q12" i="41" s="1"/>
  <c r="O10" i="41"/>
  <c r="O8" i="41"/>
  <c r="O6" i="41"/>
  <c r="AF4" i="86"/>
  <c r="D126" i="68"/>
  <c r="D125" i="68"/>
  <c r="C40" i="1"/>
  <c r="C25" i="1"/>
  <c r="D7" i="1"/>
  <c r="I3" i="1"/>
  <c r="O5" i="41"/>
  <c r="O7" i="41"/>
  <c r="O9" i="41"/>
  <c r="O11" i="41"/>
  <c r="O57" i="41"/>
  <c r="O59" i="41"/>
  <c r="O83" i="41"/>
  <c r="O85" i="41"/>
  <c r="O87" i="41"/>
  <c r="O89" i="41"/>
  <c r="O91" i="41"/>
  <c r="O93" i="41"/>
  <c r="O95" i="41"/>
  <c r="O97" i="41"/>
  <c r="O99" i="41"/>
  <c r="O101" i="41"/>
  <c r="O103" i="41"/>
  <c r="O105" i="41"/>
  <c r="O107" i="41"/>
  <c r="O109" i="41"/>
  <c r="O111" i="41"/>
  <c r="O113" i="41"/>
  <c r="O115" i="41"/>
  <c r="O117" i="41"/>
  <c r="O119" i="41"/>
  <c r="O121" i="41"/>
  <c r="O123" i="41"/>
  <c r="O4" i="41"/>
  <c r="O13" i="41"/>
  <c r="O15" i="41"/>
  <c r="O17" i="41"/>
  <c r="O19" i="41"/>
  <c r="O21" i="41"/>
  <c r="O23" i="41"/>
  <c r="O25" i="41"/>
  <c r="O27" i="41"/>
  <c r="O29" i="41"/>
  <c r="O31" i="41"/>
  <c r="O33" i="41"/>
  <c r="O35" i="41"/>
  <c r="O37" i="41"/>
  <c r="O39" i="41"/>
  <c r="O41" i="41"/>
  <c r="O43" i="41"/>
  <c r="O45" i="41"/>
  <c r="O47" i="41"/>
  <c r="O49" i="41"/>
  <c r="O51" i="41"/>
  <c r="O53" i="41"/>
  <c r="O55" i="41"/>
  <c r="O61" i="41"/>
  <c r="O63" i="41"/>
  <c r="O65" i="41"/>
  <c r="O67" i="41"/>
  <c r="O69" i="41"/>
  <c r="O71" i="41"/>
  <c r="O73" i="41"/>
  <c r="O75" i="41"/>
  <c r="O77" i="41"/>
  <c r="O79" i="41"/>
  <c r="O81" i="41"/>
  <c r="Q132" i="75"/>
  <c r="G4" i="60"/>
  <c r="J4" i="55"/>
  <c r="I131" i="75"/>
  <c r="M195" i="1" l="1"/>
  <c r="L195" i="1"/>
  <c r="K195" i="1"/>
  <c r="J158" i="1"/>
  <c r="K155" i="1"/>
  <c r="K158" i="1"/>
  <c r="K157" i="1"/>
  <c r="K156" i="1"/>
  <c r="D158" i="1"/>
  <c r="F158" i="1"/>
  <c r="E158" i="1"/>
  <c r="K140" i="1"/>
  <c r="G140" i="1"/>
  <c r="J140" i="1"/>
  <c r="F140" i="1"/>
  <c r="M140" i="1"/>
  <c r="I140" i="1"/>
  <c r="E140" i="1"/>
  <c r="L140" i="1"/>
  <c r="H140" i="1"/>
  <c r="D140" i="1"/>
  <c r="H121" i="1"/>
  <c r="G121" i="1"/>
  <c r="L113" i="1" s="1"/>
  <c r="M141" i="1"/>
  <c r="I141" i="1"/>
  <c r="E141" i="1"/>
  <c r="F121" i="1"/>
  <c r="D141" i="1"/>
  <c r="K141" i="1"/>
  <c r="G141" i="1"/>
  <c r="D121" i="1"/>
  <c r="J141" i="1"/>
  <c r="F141" i="1"/>
  <c r="L141" i="1"/>
  <c r="H141" i="1"/>
  <c r="E121" i="1"/>
  <c r="M142" i="1"/>
  <c r="I142" i="1"/>
  <c r="E142" i="1"/>
  <c r="K145" i="1"/>
  <c r="G145" i="1"/>
  <c r="M143" i="1"/>
  <c r="I143" i="1"/>
  <c r="J145" i="1"/>
  <c r="L143" i="1"/>
  <c r="K142" i="1"/>
  <c r="M145" i="1"/>
  <c r="E145" i="1"/>
  <c r="L145" i="1"/>
  <c r="D145" i="1"/>
  <c r="L142" i="1"/>
  <c r="H142" i="1"/>
  <c r="D142" i="1"/>
  <c r="F145" i="1"/>
  <c r="H143" i="1"/>
  <c r="G142" i="1"/>
  <c r="I145" i="1"/>
  <c r="K143" i="1"/>
  <c r="J142" i="1"/>
  <c r="F142" i="1"/>
  <c r="H145" i="1"/>
  <c r="J143" i="1"/>
  <c r="F143" i="1"/>
  <c r="E143" i="1"/>
  <c r="D143" i="1"/>
  <c r="G143" i="1"/>
  <c r="P5" i="91"/>
  <c r="AS40" i="97"/>
  <c r="BA40" i="97" s="1"/>
  <c r="AR75" i="97"/>
  <c r="AZ75" i="97" s="1"/>
  <c r="AS123" i="97"/>
  <c r="BA123" i="97" s="1"/>
  <c r="M5" i="1"/>
  <c r="S21" i="108"/>
  <c r="O21" i="108"/>
  <c r="S20" i="108"/>
  <c r="O20" i="108"/>
  <c r="S19" i="108"/>
  <c r="O19" i="108"/>
  <c r="S18" i="108"/>
  <c r="O18" i="108"/>
  <c r="S17" i="108"/>
  <c r="O17" i="108"/>
  <c r="S16" i="108"/>
  <c r="O16" i="108"/>
  <c r="R21" i="108"/>
  <c r="N21" i="108"/>
  <c r="R20" i="108"/>
  <c r="N20" i="108"/>
  <c r="R19" i="108"/>
  <c r="N19" i="108"/>
  <c r="R18" i="108"/>
  <c r="N18" i="108"/>
  <c r="R17" i="108"/>
  <c r="N17" i="108"/>
  <c r="R16" i="108"/>
  <c r="N16" i="108"/>
  <c r="Q21" i="108"/>
  <c r="M21" i="108"/>
  <c r="Q20" i="108"/>
  <c r="M20" i="108"/>
  <c r="Q19" i="108"/>
  <c r="M19" i="108"/>
  <c r="Q18" i="108"/>
  <c r="M18" i="108"/>
  <c r="Q17" i="108"/>
  <c r="M17" i="108"/>
  <c r="Q16" i="108"/>
  <c r="M16" i="108"/>
  <c r="P21" i="108"/>
  <c r="L21" i="108"/>
  <c r="P20" i="108"/>
  <c r="L20" i="108"/>
  <c r="P19" i="108"/>
  <c r="L19" i="108"/>
  <c r="P18" i="108"/>
  <c r="L18" i="108"/>
  <c r="P17" i="108"/>
  <c r="L17" i="108"/>
  <c r="P16" i="108"/>
  <c r="L16" i="108"/>
  <c r="M180" i="1"/>
  <c r="K180" i="1"/>
  <c r="J180" i="1"/>
  <c r="N180" i="1"/>
  <c r="E11" i="1"/>
  <c r="D12" i="1"/>
  <c r="D11" i="1"/>
  <c r="E12" i="1"/>
  <c r="I11" i="1"/>
  <c r="L5" i="91"/>
  <c r="I13" i="1"/>
  <c r="E19" i="1"/>
  <c r="D21" i="1"/>
  <c r="D17" i="1"/>
  <c r="E15" i="1"/>
  <c r="D14" i="1"/>
  <c r="E18" i="1"/>
  <c r="D20" i="1"/>
  <c r="D16" i="1"/>
  <c r="E14" i="1"/>
  <c r="D13" i="1"/>
  <c r="E21" i="1"/>
  <c r="E17" i="1"/>
  <c r="D19" i="1"/>
  <c r="E13" i="1"/>
  <c r="E20" i="1"/>
  <c r="E16" i="1"/>
  <c r="D18" i="1"/>
  <c r="D15" i="1"/>
  <c r="M176" i="1"/>
  <c r="J176" i="1"/>
  <c r="F176" i="1"/>
  <c r="N169" i="1"/>
  <c r="J169" i="1"/>
  <c r="L176" i="1"/>
  <c r="K176" i="1"/>
  <c r="H176" i="1"/>
  <c r="L169" i="1"/>
  <c r="H169" i="1"/>
  <c r="M169" i="1"/>
  <c r="I169" i="1"/>
  <c r="N176" i="1"/>
  <c r="G176" i="1"/>
  <c r="K169" i="1"/>
  <c r="I176" i="1"/>
  <c r="H157" i="1"/>
  <c r="G157" i="1"/>
  <c r="F157" i="1"/>
  <c r="I157" i="1"/>
  <c r="E157" i="1"/>
  <c r="D157" i="1"/>
  <c r="E120" i="1"/>
  <c r="H120" i="1"/>
  <c r="D120" i="1"/>
  <c r="G120" i="1"/>
  <c r="F120" i="1"/>
  <c r="D37" i="1"/>
  <c r="D33" i="1"/>
  <c r="D29" i="1"/>
  <c r="C36" i="1"/>
  <c r="C32" i="1"/>
  <c r="C28" i="1"/>
  <c r="D36" i="1"/>
  <c r="D32" i="1"/>
  <c r="D28" i="1"/>
  <c r="C35" i="1"/>
  <c r="C31" i="1"/>
  <c r="D35" i="1"/>
  <c r="D31" i="1"/>
  <c r="C38" i="1"/>
  <c r="C34" i="1"/>
  <c r="C30" i="1"/>
  <c r="D38" i="1"/>
  <c r="D34" i="1"/>
  <c r="D30" i="1"/>
  <c r="C37" i="1"/>
  <c r="C33" i="1"/>
  <c r="C29" i="1"/>
  <c r="M185" i="1"/>
  <c r="L196" i="1"/>
  <c r="J185" i="1"/>
  <c r="L185" i="1"/>
  <c r="K185" i="1"/>
  <c r="M116" i="79"/>
  <c r="U116" i="79" s="1"/>
  <c r="L8" i="79"/>
  <c r="T8" i="79" s="1"/>
  <c r="L10" i="79"/>
  <c r="T10" i="79" s="1"/>
  <c r="L12" i="79"/>
  <c r="T12" i="79" s="1"/>
  <c r="L14" i="79"/>
  <c r="T14" i="79" s="1"/>
  <c r="L16" i="79"/>
  <c r="T16" i="79" s="1"/>
  <c r="L18" i="79"/>
  <c r="T18" i="79" s="1"/>
  <c r="H28" i="118"/>
  <c r="L36" i="79"/>
  <c r="T36" i="79" s="1"/>
  <c r="L38" i="79"/>
  <c r="T38" i="79" s="1"/>
  <c r="L40" i="79"/>
  <c r="T40" i="79" s="1"/>
  <c r="H42" i="118"/>
  <c r="L46" i="79"/>
  <c r="T46" i="79" s="1"/>
  <c r="L56" i="79"/>
  <c r="T56" i="79" s="1"/>
  <c r="L58" i="79"/>
  <c r="T58" i="79" s="1"/>
  <c r="H72" i="118"/>
  <c r="L74" i="79"/>
  <c r="T74" i="79" s="1"/>
  <c r="H76" i="118"/>
  <c r="H78" i="118"/>
  <c r="H80" i="118"/>
  <c r="H82" i="118"/>
  <c r="H84" i="118"/>
  <c r="L90" i="79"/>
  <c r="T90" i="79" s="1"/>
  <c r="L98" i="79"/>
  <c r="T98" i="79" s="1"/>
  <c r="L102" i="79"/>
  <c r="T102" i="79" s="1"/>
  <c r="H104" i="118"/>
  <c r="H106" i="118"/>
  <c r="H108" i="118"/>
  <c r="H110" i="118"/>
  <c r="H112" i="118"/>
  <c r="L118" i="79"/>
  <c r="T118" i="79" s="1"/>
  <c r="L120" i="79"/>
  <c r="T120" i="79" s="1"/>
  <c r="H122" i="118"/>
  <c r="H124" i="118"/>
  <c r="M52" i="79"/>
  <c r="U52" i="79" s="1"/>
  <c r="M62" i="79"/>
  <c r="U62" i="79" s="1"/>
  <c r="M88" i="79"/>
  <c r="U88" i="79" s="1"/>
  <c r="M96" i="79"/>
  <c r="U96" i="79" s="1"/>
  <c r="H7" i="118"/>
  <c r="L11" i="79"/>
  <c r="T11" i="79" s="1"/>
  <c r="L13" i="79"/>
  <c r="T13" i="79" s="1"/>
  <c r="L15" i="79"/>
  <c r="T15" i="79" s="1"/>
  <c r="L19" i="79"/>
  <c r="T19" i="79" s="1"/>
  <c r="L21" i="79"/>
  <c r="T21" i="79" s="1"/>
  <c r="L23" i="79"/>
  <c r="T23" i="79" s="1"/>
  <c r="L27" i="79"/>
  <c r="T27" i="79" s="1"/>
  <c r="L29" i="79"/>
  <c r="T29" i="79" s="1"/>
  <c r="L31" i="79"/>
  <c r="T31" i="79" s="1"/>
  <c r="H35" i="118"/>
  <c r="L37" i="79"/>
  <c r="T37" i="79" s="1"/>
  <c r="L39" i="79"/>
  <c r="T39" i="79" s="1"/>
  <c r="L43" i="79"/>
  <c r="T43" i="79" s="1"/>
  <c r="L45" i="79"/>
  <c r="T45" i="79" s="1"/>
  <c r="L47" i="79"/>
  <c r="T47" i="79" s="1"/>
  <c r="L51" i="79"/>
  <c r="T51" i="79" s="1"/>
  <c r="L53" i="79"/>
  <c r="T53" i="79" s="1"/>
  <c r="H55" i="118"/>
  <c r="L59" i="79"/>
  <c r="T59" i="79" s="1"/>
  <c r="L61" i="79"/>
  <c r="T61" i="79" s="1"/>
  <c r="L63" i="79"/>
  <c r="T63" i="79" s="1"/>
  <c r="L67" i="79"/>
  <c r="T67" i="79" s="1"/>
  <c r="L69" i="79"/>
  <c r="T69" i="79" s="1"/>
  <c r="H71" i="118"/>
  <c r="L75" i="79"/>
  <c r="T75" i="79" s="1"/>
  <c r="L77" i="79"/>
  <c r="T77" i="79" s="1"/>
  <c r="L79" i="79"/>
  <c r="T79" i="79" s="1"/>
  <c r="L83" i="79"/>
  <c r="T83" i="79" s="1"/>
  <c r="L85" i="79"/>
  <c r="T85" i="79" s="1"/>
  <c r="L87" i="79"/>
  <c r="T87" i="79" s="1"/>
  <c r="L91" i="79"/>
  <c r="T91" i="79" s="1"/>
  <c r="L93" i="79"/>
  <c r="T93" i="79" s="1"/>
  <c r="L95" i="79"/>
  <c r="T95" i="79" s="1"/>
  <c r="L99" i="79"/>
  <c r="T99" i="79" s="1"/>
  <c r="L101" i="79"/>
  <c r="T101" i="79" s="1"/>
  <c r="L103" i="79"/>
  <c r="T103" i="79" s="1"/>
  <c r="L107" i="79"/>
  <c r="T107" i="79" s="1"/>
  <c r="L109" i="79"/>
  <c r="T109" i="79" s="1"/>
  <c r="L111" i="79"/>
  <c r="T111" i="79" s="1"/>
  <c r="L115" i="79"/>
  <c r="T115" i="79" s="1"/>
  <c r="H117" i="118"/>
  <c r="L119" i="79"/>
  <c r="T119" i="79" s="1"/>
  <c r="L123" i="79"/>
  <c r="T123" i="79" s="1"/>
  <c r="M64" i="79"/>
  <c r="U64" i="79" s="1"/>
  <c r="M70" i="79"/>
  <c r="U70" i="79" s="1"/>
  <c r="M86" i="79"/>
  <c r="U86" i="79" s="1"/>
  <c r="M9" i="79"/>
  <c r="U9" i="79" s="1"/>
  <c r="M11" i="79"/>
  <c r="U11" i="79" s="1"/>
  <c r="M13" i="79"/>
  <c r="U13" i="79" s="1"/>
  <c r="M15" i="79"/>
  <c r="U15" i="79" s="1"/>
  <c r="M17" i="79"/>
  <c r="U17" i="79" s="1"/>
  <c r="M19" i="79"/>
  <c r="U19" i="79" s="1"/>
  <c r="M21" i="79"/>
  <c r="U21" i="79" s="1"/>
  <c r="M23" i="79"/>
  <c r="U23" i="79" s="1"/>
  <c r="M25" i="79"/>
  <c r="U25" i="79" s="1"/>
  <c r="M27" i="79"/>
  <c r="U27" i="79" s="1"/>
  <c r="M29" i="79"/>
  <c r="U29" i="79" s="1"/>
  <c r="M31" i="79"/>
  <c r="U31" i="79" s="1"/>
  <c r="M33" i="79"/>
  <c r="U33" i="79" s="1"/>
  <c r="M37" i="79"/>
  <c r="U37" i="79" s="1"/>
  <c r="M39" i="79"/>
  <c r="U39" i="79" s="1"/>
  <c r="M41" i="79"/>
  <c r="U41" i="79" s="1"/>
  <c r="M43" i="79"/>
  <c r="U43" i="79" s="1"/>
  <c r="M45" i="79"/>
  <c r="U45" i="79" s="1"/>
  <c r="M47" i="79"/>
  <c r="U47" i="79" s="1"/>
  <c r="M49" i="79"/>
  <c r="U49" i="79" s="1"/>
  <c r="M51" i="79"/>
  <c r="U51" i="79" s="1"/>
  <c r="M53" i="79"/>
  <c r="U53" i="79" s="1"/>
  <c r="M57" i="79"/>
  <c r="U57" i="79" s="1"/>
  <c r="M59" i="79"/>
  <c r="U59" i="79" s="1"/>
  <c r="M61" i="79"/>
  <c r="U61" i="79" s="1"/>
  <c r="M63" i="79"/>
  <c r="U63" i="79" s="1"/>
  <c r="M65" i="79"/>
  <c r="U65" i="79" s="1"/>
  <c r="M67" i="79"/>
  <c r="U67" i="79" s="1"/>
  <c r="M69" i="79"/>
  <c r="U69" i="79" s="1"/>
  <c r="M73" i="79"/>
  <c r="U73" i="79" s="1"/>
  <c r="M75" i="79"/>
  <c r="U75" i="79" s="1"/>
  <c r="M77" i="79"/>
  <c r="U77" i="79" s="1"/>
  <c r="M79" i="79"/>
  <c r="U79" i="79" s="1"/>
  <c r="M81" i="79"/>
  <c r="U81" i="79" s="1"/>
  <c r="M83" i="79"/>
  <c r="U83" i="79" s="1"/>
  <c r="M85" i="79"/>
  <c r="U85" i="79" s="1"/>
  <c r="M87" i="79"/>
  <c r="U87" i="79" s="1"/>
  <c r="M89" i="79"/>
  <c r="U89" i="79" s="1"/>
  <c r="M91" i="79"/>
  <c r="U91" i="79" s="1"/>
  <c r="M93" i="79"/>
  <c r="U93" i="79" s="1"/>
  <c r="M95" i="79"/>
  <c r="U95" i="79" s="1"/>
  <c r="M97" i="79"/>
  <c r="U97" i="79" s="1"/>
  <c r="M99" i="79"/>
  <c r="U99" i="79" s="1"/>
  <c r="M101" i="79"/>
  <c r="U101" i="79" s="1"/>
  <c r="M103" i="79"/>
  <c r="U103" i="79" s="1"/>
  <c r="M105" i="79"/>
  <c r="U105" i="79" s="1"/>
  <c r="M107" i="79"/>
  <c r="U107" i="79" s="1"/>
  <c r="M109" i="79"/>
  <c r="U109" i="79" s="1"/>
  <c r="M111" i="79"/>
  <c r="U111" i="79" s="1"/>
  <c r="M113" i="79"/>
  <c r="U113" i="79" s="1"/>
  <c r="M115" i="79"/>
  <c r="U115" i="79" s="1"/>
  <c r="M119" i="79"/>
  <c r="U119" i="79" s="1"/>
  <c r="M121" i="79"/>
  <c r="U121" i="79" s="1"/>
  <c r="M123" i="79"/>
  <c r="U123" i="79" s="1"/>
  <c r="M50" i="79"/>
  <c r="U50" i="79" s="1"/>
  <c r="M54" i="79"/>
  <c r="U54" i="79" s="1"/>
  <c r="M66" i="79"/>
  <c r="U66" i="79" s="1"/>
  <c r="H20" i="118"/>
  <c r="L22" i="79"/>
  <c r="T22" i="79" s="1"/>
  <c r="L24" i="79"/>
  <c r="T24" i="79" s="1"/>
  <c r="L26" i="79"/>
  <c r="T26" i="79" s="1"/>
  <c r="L30" i="79"/>
  <c r="T30" i="79" s="1"/>
  <c r="L32" i="79"/>
  <c r="T32" i="79" s="1"/>
  <c r="H34" i="118"/>
  <c r="L44" i="79"/>
  <c r="T44" i="79" s="1"/>
  <c r="L48" i="79"/>
  <c r="T48" i="79" s="1"/>
  <c r="L52" i="79"/>
  <c r="T52" i="79" s="1"/>
  <c r="L62" i="79"/>
  <c r="T62" i="79" s="1"/>
  <c r="L64" i="79"/>
  <c r="T64" i="79" s="1"/>
  <c r="L68" i="79"/>
  <c r="T68" i="79" s="1"/>
  <c r="L88" i="79"/>
  <c r="T88" i="79" s="1"/>
  <c r="L114" i="79"/>
  <c r="T114" i="79" s="1"/>
  <c r="L116" i="79"/>
  <c r="T116" i="79" s="1"/>
  <c r="H12" i="118"/>
  <c r="H14" i="118"/>
  <c r="H22" i="118"/>
  <c r="H60" i="118"/>
  <c r="H92" i="118"/>
  <c r="H100" i="118"/>
  <c r="D163" i="1"/>
  <c r="J163" i="1"/>
  <c r="G163" i="1"/>
  <c r="S13" i="108"/>
  <c r="S9" i="108"/>
  <c r="S5" i="108"/>
  <c r="R13" i="108"/>
  <c r="R9" i="108"/>
  <c r="R5" i="108"/>
  <c r="Q15" i="108"/>
  <c r="Q11" i="108"/>
  <c r="Q7" i="108"/>
  <c r="P15" i="108"/>
  <c r="P11" i="108"/>
  <c r="P7" i="108"/>
  <c r="O15" i="108"/>
  <c r="O11" i="108"/>
  <c r="O7" i="108"/>
  <c r="N15" i="108"/>
  <c r="N11" i="108"/>
  <c r="N7" i="108"/>
  <c r="M12" i="108"/>
  <c r="M8" i="108"/>
  <c r="M4" i="108"/>
  <c r="L12" i="108"/>
  <c r="L8" i="108"/>
  <c r="L4" i="108"/>
  <c r="S11" i="108"/>
  <c r="S7" i="108"/>
  <c r="R15" i="108"/>
  <c r="R7" i="108"/>
  <c r="Q13" i="108"/>
  <c r="Q9" i="108"/>
  <c r="Q5" i="108"/>
  <c r="P13" i="108"/>
  <c r="P9" i="108"/>
  <c r="O13" i="108"/>
  <c r="O5" i="108"/>
  <c r="N13" i="108"/>
  <c r="M14" i="108"/>
  <c r="M6" i="108"/>
  <c r="L10" i="108"/>
  <c r="S14" i="108"/>
  <c r="S10" i="108"/>
  <c r="S6" i="108"/>
  <c r="R14" i="108"/>
  <c r="R10" i="108"/>
  <c r="R6" i="108"/>
  <c r="Q12" i="108"/>
  <c r="Q8" i="108"/>
  <c r="Q4" i="108"/>
  <c r="P12" i="108"/>
  <c r="P8" i="108"/>
  <c r="P4" i="108"/>
  <c r="O12" i="108"/>
  <c r="O8" i="108"/>
  <c r="O4" i="108"/>
  <c r="N12" i="108"/>
  <c r="N8" i="108"/>
  <c r="M13" i="108"/>
  <c r="M9" i="108"/>
  <c r="M5" i="108"/>
  <c r="L9" i="108"/>
  <c r="S12" i="108"/>
  <c r="S8" i="108"/>
  <c r="S4" i="108"/>
  <c r="R12" i="108"/>
  <c r="R8" i="108"/>
  <c r="R4" i="108"/>
  <c r="Q14" i="108"/>
  <c r="Q10" i="108"/>
  <c r="Q6" i="108"/>
  <c r="P14" i="108"/>
  <c r="P10" i="108"/>
  <c r="P6" i="108"/>
  <c r="O14" i="108"/>
  <c r="O10" i="108"/>
  <c r="O6" i="108"/>
  <c r="N14" i="108"/>
  <c r="N10" i="108"/>
  <c r="N6" i="108"/>
  <c r="M15" i="108"/>
  <c r="M11" i="108"/>
  <c r="M7" i="108"/>
  <c r="L15" i="108"/>
  <c r="L11" i="108"/>
  <c r="L7" i="108"/>
  <c r="S15" i="108"/>
  <c r="R11" i="108"/>
  <c r="P5" i="108"/>
  <c r="O9" i="108"/>
  <c r="N9" i="108"/>
  <c r="N5" i="108"/>
  <c r="M10" i="108"/>
  <c r="L14" i="108"/>
  <c r="L6" i="108"/>
  <c r="N4" i="108"/>
  <c r="L13" i="108"/>
  <c r="L5" i="108"/>
  <c r="G19" i="108"/>
  <c r="G15" i="108"/>
  <c r="G11" i="108"/>
  <c r="G7" i="108"/>
  <c r="G18" i="108"/>
  <c r="G14" i="108"/>
  <c r="G10" i="108"/>
  <c r="G6" i="108"/>
  <c r="G5" i="108"/>
  <c r="G20" i="108"/>
  <c r="G12" i="108"/>
  <c r="G8" i="108"/>
  <c r="G3" i="108"/>
  <c r="G17" i="108"/>
  <c r="G13" i="108"/>
  <c r="G9" i="108"/>
  <c r="G16" i="108"/>
  <c r="G4" i="108"/>
  <c r="B19" i="108"/>
  <c r="B14" i="108"/>
  <c r="B10" i="108"/>
  <c r="B6" i="108"/>
  <c r="B16" i="108"/>
  <c r="B4" i="108"/>
  <c r="B15" i="108"/>
  <c r="B7" i="108"/>
  <c r="B17" i="108"/>
  <c r="B13" i="108"/>
  <c r="B9" i="108"/>
  <c r="B5" i="108"/>
  <c r="B8" i="108"/>
  <c r="B11" i="108"/>
  <c r="B12" i="108"/>
  <c r="B20" i="108"/>
  <c r="B3" i="108"/>
  <c r="C53" i="1"/>
  <c r="C49" i="1"/>
  <c r="C45" i="1"/>
  <c r="D50" i="1"/>
  <c r="D46" i="1"/>
  <c r="C43" i="1"/>
  <c r="D48" i="1"/>
  <c r="C52" i="1"/>
  <c r="C48" i="1"/>
  <c r="C44" i="1"/>
  <c r="D53" i="1"/>
  <c r="D49" i="1"/>
  <c r="D45" i="1"/>
  <c r="C51" i="1"/>
  <c r="D52" i="1"/>
  <c r="C50" i="1"/>
  <c r="C46" i="1"/>
  <c r="D51" i="1"/>
  <c r="D47" i="1"/>
  <c r="D43" i="1"/>
  <c r="C47" i="1"/>
  <c r="D44" i="1"/>
  <c r="B18" i="108"/>
  <c r="N170" i="1"/>
  <c r="J170" i="1"/>
  <c r="L170" i="1"/>
  <c r="K170" i="1"/>
  <c r="M170" i="1"/>
  <c r="L171" i="1"/>
  <c r="I171" i="1"/>
  <c r="I180" i="1"/>
  <c r="L180" i="1"/>
  <c r="I170" i="1"/>
  <c r="H118" i="1"/>
  <c r="H119" i="1"/>
  <c r="H156" i="1"/>
  <c r="I155" i="1"/>
  <c r="H155" i="1"/>
  <c r="I154" i="1"/>
  <c r="H154" i="1"/>
  <c r="I156" i="1"/>
  <c r="BE10" i="109"/>
  <c r="BE11" i="109"/>
  <c r="BE12" i="109"/>
  <c r="BE13" i="109"/>
  <c r="BE14" i="109"/>
  <c r="BE15" i="109"/>
  <c r="BE16" i="109"/>
  <c r="BE17" i="109"/>
  <c r="BE18" i="109"/>
  <c r="BE20" i="109"/>
  <c r="BE22" i="109"/>
  <c r="BE23" i="109"/>
  <c r="BE24" i="109"/>
  <c r="BE25" i="109"/>
  <c r="BE26" i="109"/>
  <c r="BE27" i="109"/>
  <c r="BE30" i="109"/>
  <c r="BE31" i="109"/>
  <c r="BE34" i="109"/>
  <c r="BE36" i="109"/>
  <c r="BE37" i="109"/>
  <c r="BE38" i="109"/>
  <c r="BE39" i="109"/>
  <c r="BE41" i="109"/>
  <c r="BE42" i="109"/>
  <c r="BE44" i="109"/>
  <c r="BE45" i="109"/>
  <c r="BE48" i="109"/>
  <c r="BE49" i="109"/>
  <c r="BE50" i="109"/>
  <c r="BE52" i="109"/>
  <c r="BE53" i="109"/>
  <c r="BE57" i="109"/>
  <c r="BE58" i="109"/>
  <c r="BE59" i="109"/>
  <c r="BE61" i="109"/>
  <c r="BE62" i="109"/>
  <c r="BE63" i="109"/>
  <c r="BE64" i="109"/>
  <c r="BE66" i="109"/>
  <c r="BE67" i="109"/>
  <c r="BE68" i="109"/>
  <c r="BE69" i="109"/>
  <c r="BE72" i="109"/>
  <c r="BE75" i="109"/>
  <c r="BE76" i="109"/>
  <c r="BE77" i="109"/>
  <c r="BE78" i="109"/>
  <c r="BE79" i="109"/>
  <c r="BE80" i="109"/>
  <c r="BE83" i="109"/>
  <c r="BE84" i="109"/>
  <c r="BE86" i="109"/>
  <c r="BE88" i="109"/>
  <c r="BE93" i="109"/>
  <c r="BE94" i="109"/>
  <c r="BE95" i="109"/>
  <c r="BE96" i="109"/>
  <c r="BE97" i="109"/>
  <c r="BE99" i="109"/>
  <c r="BE104" i="109"/>
  <c r="BE105" i="109"/>
  <c r="BE107" i="109"/>
  <c r="BE108" i="109"/>
  <c r="BE109" i="109"/>
  <c r="BE110" i="109"/>
  <c r="BE112" i="109"/>
  <c r="BE115" i="109"/>
  <c r="BE116" i="109"/>
  <c r="BE118" i="109"/>
  <c r="BE119" i="109"/>
  <c r="BE120" i="109"/>
  <c r="BE124" i="109"/>
  <c r="BE8" i="109"/>
  <c r="BE28" i="109"/>
  <c r="BE29" i="109"/>
  <c r="BE35" i="109"/>
  <c r="BE43" i="109"/>
  <c r="BE46" i="109"/>
  <c r="BE47" i="109"/>
  <c r="BE55" i="109"/>
  <c r="BE60" i="109"/>
  <c r="BE71" i="109"/>
  <c r="BE73" i="109"/>
  <c r="BE81" i="109"/>
  <c r="BE82" i="109"/>
  <c r="BE85" i="109"/>
  <c r="BE92" i="109"/>
  <c r="BE98" i="109"/>
  <c r="BE100" i="109"/>
  <c r="BE117" i="109"/>
  <c r="BE121" i="109"/>
  <c r="BE122" i="109"/>
  <c r="L189" i="1"/>
  <c r="K189" i="1"/>
  <c r="J189" i="1"/>
  <c r="M189" i="1"/>
  <c r="M198" i="1"/>
  <c r="L198" i="1"/>
  <c r="L197" i="1"/>
  <c r="K198" i="1"/>
  <c r="K197" i="1"/>
  <c r="J198" i="1"/>
  <c r="J197" i="1"/>
  <c r="M197" i="1"/>
  <c r="G117" i="1"/>
  <c r="F118" i="1"/>
  <c r="E119" i="1"/>
  <c r="D116" i="1"/>
  <c r="G116" i="1"/>
  <c r="F117" i="1"/>
  <c r="E118" i="1"/>
  <c r="D119" i="1"/>
  <c r="F119" i="1"/>
  <c r="E116" i="1"/>
  <c r="G119" i="1"/>
  <c r="F116" i="1"/>
  <c r="E117" i="1"/>
  <c r="D118" i="1"/>
  <c r="G118" i="1"/>
  <c r="D117" i="1"/>
  <c r="G29" i="79"/>
  <c r="G42" i="79"/>
  <c r="G41" i="79"/>
  <c r="G67" i="79"/>
  <c r="G73" i="79"/>
  <c r="G95" i="79"/>
  <c r="G81" i="79"/>
  <c r="G106" i="79"/>
  <c r="G35" i="79"/>
  <c r="G109" i="79"/>
  <c r="G113" i="79"/>
  <c r="G121" i="79"/>
  <c r="G47" i="79"/>
  <c r="G87" i="79"/>
  <c r="G21" i="79"/>
  <c r="G25" i="79"/>
  <c r="G45" i="79"/>
  <c r="G61" i="79"/>
  <c r="G65" i="79"/>
  <c r="G69" i="79"/>
  <c r="G93" i="79"/>
  <c r="G97" i="79"/>
  <c r="G117" i="79"/>
  <c r="G22" i="79"/>
  <c r="G26" i="79"/>
  <c r="G46" i="79"/>
  <c r="G62" i="79"/>
  <c r="G66" i="79"/>
  <c r="G70" i="79"/>
  <c r="G94" i="79"/>
  <c r="G98" i="79"/>
  <c r="G114" i="79"/>
  <c r="G36" i="79"/>
  <c r="G40" i="79"/>
  <c r="G76" i="79"/>
  <c r="G80" i="79"/>
  <c r="G108" i="79"/>
  <c r="G112" i="79"/>
  <c r="G124" i="79"/>
  <c r="G118" i="79"/>
  <c r="G104" i="79"/>
  <c r="G56" i="79"/>
  <c r="G28" i="79"/>
  <c r="G82" i="79"/>
  <c r="G49" i="79"/>
  <c r="G89" i="79"/>
  <c r="G18" i="79"/>
  <c r="G34" i="79"/>
  <c r="G38" i="79"/>
  <c r="G54" i="79"/>
  <c r="G78" i="79"/>
  <c r="G86" i="79"/>
  <c r="G122" i="79"/>
  <c r="G11" i="79"/>
  <c r="G15" i="79"/>
  <c r="G19" i="79"/>
  <c r="G23" i="79"/>
  <c r="G27" i="79"/>
  <c r="G31" i="79"/>
  <c r="G39" i="79"/>
  <c r="G43" i="79"/>
  <c r="G51" i="79"/>
  <c r="G59" i="79"/>
  <c r="G63" i="79"/>
  <c r="G75" i="79"/>
  <c r="G79" i="79"/>
  <c r="G83" i="79"/>
  <c r="G91" i="79"/>
  <c r="G99" i="79"/>
  <c r="G103" i="79"/>
  <c r="G107" i="79"/>
  <c r="G111" i="79"/>
  <c r="G115" i="79"/>
  <c r="G119" i="79"/>
  <c r="G123" i="79"/>
  <c r="G53" i="79"/>
  <c r="G101" i="79"/>
  <c r="G14" i="79"/>
  <c r="G30" i="79"/>
  <c r="G50" i="79"/>
  <c r="G58" i="79"/>
  <c r="G74" i="79"/>
  <c r="G90" i="79"/>
  <c r="G110" i="79"/>
  <c r="G8" i="79"/>
  <c r="G20" i="79"/>
  <c r="G24" i="79"/>
  <c r="G32" i="79"/>
  <c r="G44" i="79"/>
  <c r="G48" i="79"/>
  <c r="G52" i="79"/>
  <c r="G60" i="79"/>
  <c r="G64" i="79"/>
  <c r="G68" i="79"/>
  <c r="G72" i="79"/>
  <c r="G84" i="79"/>
  <c r="G88" i="79"/>
  <c r="G92" i="79"/>
  <c r="G96" i="79"/>
  <c r="G116" i="79"/>
  <c r="G120" i="79"/>
  <c r="M82" i="79"/>
  <c r="U82" i="79" s="1"/>
  <c r="M90" i="79"/>
  <c r="U90" i="79" s="1"/>
  <c r="M98" i="79"/>
  <c r="U98" i="79" s="1"/>
  <c r="M102" i="79"/>
  <c r="U102" i="79" s="1"/>
  <c r="M122" i="79"/>
  <c r="U122" i="79" s="1"/>
  <c r="M56" i="79"/>
  <c r="U56" i="79" s="1"/>
  <c r="M76" i="79"/>
  <c r="U76" i="79" s="1"/>
  <c r="M78" i="79"/>
  <c r="U78" i="79" s="1"/>
  <c r="M80" i="79"/>
  <c r="U80" i="79" s="1"/>
  <c r="M84" i="79"/>
  <c r="U84" i="79" s="1"/>
  <c r="M104" i="79"/>
  <c r="U104" i="79" s="1"/>
  <c r="M106" i="79"/>
  <c r="U106" i="79" s="1"/>
  <c r="M110" i="79"/>
  <c r="U110" i="79" s="1"/>
  <c r="M112" i="79"/>
  <c r="U112" i="79" s="1"/>
  <c r="M124" i="79"/>
  <c r="U124" i="79" s="1"/>
  <c r="L5" i="1"/>
  <c r="F5" i="1"/>
  <c r="E176" i="1"/>
  <c r="AT93" i="97"/>
  <c r="BB93" i="97" s="1"/>
  <c r="AR88" i="97"/>
  <c r="AZ88" i="97" s="1"/>
  <c r="AT100" i="97"/>
  <c r="BB100" i="97" s="1"/>
  <c r="AR55" i="97"/>
  <c r="AZ55" i="97" s="1"/>
  <c r="AS48" i="97"/>
  <c r="BA48" i="97" s="1"/>
  <c r="L4" i="96"/>
  <c r="AR77" i="97"/>
  <c r="AZ77" i="97" s="1"/>
  <c r="BC77" i="97" s="1"/>
  <c r="AS33" i="97"/>
  <c r="BA33" i="97" s="1"/>
  <c r="AS34" i="97"/>
  <c r="BA34" i="97" s="1"/>
  <c r="AR62" i="97"/>
  <c r="AZ62" i="97" s="1"/>
  <c r="AS115" i="97"/>
  <c r="BA115" i="97" s="1"/>
  <c r="AS70" i="97"/>
  <c r="BA70" i="97" s="1"/>
  <c r="AR87" i="97"/>
  <c r="AZ87" i="97" s="1"/>
  <c r="BC87" i="97" s="1"/>
  <c r="AR97" i="97"/>
  <c r="AZ97" i="97" s="1"/>
  <c r="T18" i="85"/>
  <c r="AR90" i="97"/>
  <c r="AZ90" i="97" s="1"/>
  <c r="AT121" i="97"/>
  <c r="BB121" i="97" s="1"/>
  <c r="AS88" i="97"/>
  <c r="BA88" i="97" s="1"/>
  <c r="AR89" i="97"/>
  <c r="AZ89" i="97" s="1"/>
  <c r="AS22" i="97"/>
  <c r="BA22" i="97" s="1"/>
  <c r="AT108" i="97"/>
  <c r="BB108" i="97" s="1"/>
  <c r="AT19" i="97"/>
  <c r="BB19" i="97" s="1"/>
  <c r="AT27" i="97"/>
  <c r="BB27" i="97" s="1"/>
  <c r="AT113" i="97"/>
  <c r="BB113" i="97" s="1"/>
  <c r="AR86" i="97"/>
  <c r="AZ86" i="97" s="1"/>
  <c r="AT94" i="97"/>
  <c r="BB94" i="97" s="1"/>
  <c r="AR95" i="97"/>
  <c r="AZ95" i="97" s="1"/>
  <c r="AR68" i="97"/>
  <c r="AZ68" i="97" s="1"/>
  <c r="AS122" i="97"/>
  <c r="BA122" i="97" s="1"/>
  <c r="AS47" i="97"/>
  <c r="BA47" i="97" s="1"/>
  <c r="AS15" i="97"/>
  <c r="BA15" i="97" s="1"/>
  <c r="AT32" i="97"/>
  <c r="BB32" i="97" s="1"/>
  <c r="AT40" i="97"/>
  <c r="BB40" i="97" s="1"/>
  <c r="AS67" i="97"/>
  <c r="BA67" i="97" s="1"/>
  <c r="AR119" i="97"/>
  <c r="AZ119" i="97" s="1"/>
  <c r="AR122" i="97"/>
  <c r="AZ122" i="97" s="1"/>
  <c r="AR85" i="97"/>
  <c r="AZ85" i="97" s="1"/>
  <c r="AS91" i="97"/>
  <c r="BA91" i="97" s="1"/>
  <c r="R131" i="72"/>
  <c r="S130" i="72"/>
  <c r="AT99" i="97"/>
  <c r="BB99" i="97" s="1"/>
  <c r="AS93" i="97"/>
  <c r="BA93" i="97" s="1"/>
  <c r="AT126" i="97"/>
  <c r="BB126" i="97" s="1"/>
  <c r="AT48" i="97"/>
  <c r="BB48" i="97" s="1"/>
  <c r="AS38" i="97"/>
  <c r="BA38" i="97" s="1"/>
  <c r="AS8" i="97"/>
  <c r="BA8" i="97" s="1"/>
  <c r="AT102" i="97"/>
  <c r="BB102" i="97" s="1"/>
  <c r="AR11" i="97"/>
  <c r="AZ11" i="97" s="1"/>
  <c r="AR103" i="97"/>
  <c r="AZ103" i="97" s="1"/>
  <c r="AR105" i="97"/>
  <c r="AZ105" i="97" s="1"/>
  <c r="AT31" i="97"/>
  <c r="BB31" i="97" s="1"/>
  <c r="AR36" i="97"/>
  <c r="AZ36" i="97" s="1"/>
  <c r="AT38" i="97"/>
  <c r="BB38" i="97" s="1"/>
  <c r="AR39" i="97"/>
  <c r="AZ39" i="97" s="1"/>
  <c r="AT44" i="97"/>
  <c r="BB44" i="97" s="1"/>
  <c r="AT46" i="97"/>
  <c r="BB46" i="97" s="1"/>
  <c r="AR48" i="97"/>
  <c r="AZ48" i="97" s="1"/>
  <c r="AS111" i="97"/>
  <c r="BA111" i="97" s="1"/>
  <c r="AT60" i="97"/>
  <c r="BB60" i="97" s="1"/>
  <c r="AT114" i="97"/>
  <c r="BB114" i="97" s="1"/>
  <c r="AT80" i="97"/>
  <c r="BB80" i="97" s="1"/>
  <c r="AT84" i="97"/>
  <c r="BB84" i="97" s="1"/>
  <c r="AT86" i="97"/>
  <c r="BB86" i="97" s="1"/>
  <c r="AR123" i="97"/>
  <c r="AZ123" i="97" s="1"/>
  <c r="AT124" i="97"/>
  <c r="BB124" i="97" s="1"/>
  <c r="AT96" i="97"/>
  <c r="BB96" i="97" s="1"/>
  <c r="M60" i="79"/>
  <c r="U60" i="79" s="1"/>
  <c r="M100" i="79"/>
  <c r="U100" i="79" s="1"/>
  <c r="M7" i="79"/>
  <c r="U7" i="79" s="1"/>
  <c r="M35" i="79"/>
  <c r="U35" i="79" s="1"/>
  <c r="M55" i="79"/>
  <c r="U55" i="79" s="1"/>
  <c r="M71" i="79"/>
  <c r="U71" i="79" s="1"/>
  <c r="M117" i="79"/>
  <c r="U117" i="79" s="1"/>
  <c r="M58" i="79"/>
  <c r="U58" i="79" s="1"/>
  <c r="M92" i="79"/>
  <c r="U92" i="79" s="1"/>
  <c r="O131" i="60"/>
  <c r="J18" i="123"/>
  <c r="U131" i="60"/>
  <c r="F156" i="1"/>
  <c r="D156" i="1"/>
  <c r="E156" i="1"/>
  <c r="R130" i="72"/>
  <c r="AR71" i="97"/>
  <c r="AZ71" i="97" s="1"/>
  <c r="AS75" i="97"/>
  <c r="BA75" i="97" s="1"/>
  <c r="F58" i="1"/>
  <c r="BE5" i="109"/>
  <c r="D18" i="108" s="1"/>
  <c r="J20" i="123"/>
  <c r="G156" i="1"/>
  <c r="G13" i="79"/>
  <c r="G17" i="79"/>
  <c r="G10" i="79"/>
  <c r="G6" i="79"/>
  <c r="AS31" i="97"/>
  <c r="BA31" i="97" s="1"/>
  <c r="T60" i="85"/>
  <c r="P63" i="85"/>
  <c r="T111" i="85"/>
  <c r="Q132" i="72"/>
  <c r="P4" i="95"/>
  <c r="T4" i="95"/>
  <c r="AS59" i="97"/>
  <c r="BA59" i="97" s="1"/>
  <c r="AS87" i="97"/>
  <c r="BA87" i="97" s="1"/>
  <c r="AS112" i="97"/>
  <c r="BA112" i="97" s="1"/>
  <c r="AT56" i="97"/>
  <c r="BB56" i="97" s="1"/>
  <c r="AS80" i="97"/>
  <c r="BA80" i="97" s="1"/>
  <c r="AS72" i="97"/>
  <c r="BA72" i="97" s="1"/>
  <c r="AR67" i="97"/>
  <c r="AZ67" i="97" s="1"/>
  <c r="M6" i="79"/>
  <c r="U6" i="79" s="1"/>
  <c r="AS95" i="97"/>
  <c r="BA95" i="97" s="1"/>
  <c r="AS98" i="97"/>
  <c r="BA98" i="97" s="1"/>
  <c r="AT6" i="97"/>
  <c r="BB6" i="97" s="1"/>
  <c r="AS7" i="97"/>
  <c r="BA7" i="97" s="1"/>
  <c r="AT9" i="97"/>
  <c r="BB9" i="97" s="1"/>
  <c r="AT13" i="97"/>
  <c r="BB13" i="97" s="1"/>
  <c r="AR21" i="97"/>
  <c r="AZ21" i="97" s="1"/>
  <c r="AT22" i="97"/>
  <c r="BB22" i="97" s="1"/>
  <c r="AR24" i="97"/>
  <c r="AZ24" i="97" s="1"/>
  <c r="AR25" i="97"/>
  <c r="AZ25" i="97" s="1"/>
  <c r="AR106" i="97"/>
  <c r="AZ106" i="97" s="1"/>
  <c r="AR34" i="97"/>
  <c r="AZ34" i="97" s="1"/>
  <c r="AT36" i="97"/>
  <c r="BB36" i="97" s="1"/>
  <c r="AT37" i="97"/>
  <c r="BB37" i="97" s="1"/>
  <c r="AT107" i="97"/>
  <c r="BB107" i="97" s="1"/>
  <c r="AT49" i="97"/>
  <c r="BB49" i="97" s="1"/>
  <c r="AT53" i="97"/>
  <c r="BB53" i="97" s="1"/>
  <c r="AR59" i="97"/>
  <c r="AZ59" i="97" s="1"/>
  <c r="AR63" i="97"/>
  <c r="AZ63" i="97" s="1"/>
  <c r="AT63" i="97"/>
  <c r="BB63" i="97" s="1"/>
  <c r="AT116" i="97"/>
  <c r="BB116" i="97" s="1"/>
  <c r="AR120" i="97"/>
  <c r="AZ120" i="97" s="1"/>
  <c r="AT92" i="97"/>
  <c r="BB92" i="97" s="1"/>
  <c r="G214" i="1"/>
  <c r="F213" i="1"/>
  <c r="F214" i="1"/>
  <c r="E213" i="1"/>
  <c r="E214" i="1"/>
  <c r="G213" i="1"/>
  <c r="P130" i="72"/>
  <c r="AT125" i="97"/>
  <c r="BB125" i="97" s="1"/>
  <c r="AR76" i="97"/>
  <c r="AZ76" i="97" s="1"/>
  <c r="AR73" i="97"/>
  <c r="AZ73" i="97" s="1"/>
  <c r="AT117" i="97"/>
  <c r="BB117" i="97" s="1"/>
  <c r="AS82" i="97"/>
  <c r="BA82" i="97" s="1"/>
  <c r="AT77" i="97"/>
  <c r="BB77" i="97" s="1"/>
  <c r="AS66" i="97"/>
  <c r="BA66" i="97" s="1"/>
  <c r="AS103" i="97"/>
  <c r="BA103" i="97" s="1"/>
  <c r="AS99" i="97"/>
  <c r="BA99" i="97" s="1"/>
  <c r="AR6" i="97"/>
  <c r="AZ6" i="97" s="1"/>
  <c r="AR9" i="97"/>
  <c r="AZ9" i="97" s="1"/>
  <c r="AT12" i="97"/>
  <c r="BB12" i="97" s="1"/>
  <c r="AR38" i="97"/>
  <c r="AZ38" i="97" s="1"/>
  <c r="AR45" i="97"/>
  <c r="AZ45" i="97" s="1"/>
  <c r="AR58" i="97"/>
  <c r="AZ58" i="97" s="1"/>
  <c r="AR114" i="97"/>
  <c r="AZ114" i="97" s="1"/>
  <c r="AR65" i="97"/>
  <c r="AZ65" i="97" s="1"/>
  <c r="AT69" i="97"/>
  <c r="BB69" i="97" s="1"/>
  <c r="BC69" i="97" s="1"/>
  <c r="AS71" i="97"/>
  <c r="BA71" i="97" s="1"/>
  <c r="AT78" i="97"/>
  <c r="BB78" i="97" s="1"/>
  <c r="AS92" i="97"/>
  <c r="BA92" i="97" s="1"/>
  <c r="AR93" i="97"/>
  <c r="AZ93" i="97" s="1"/>
  <c r="AS97" i="97"/>
  <c r="BA97" i="97" s="1"/>
  <c r="AS101" i="97"/>
  <c r="BA101" i="97" s="1"/>
  <c r="T28" i="85"/>
  <c r="T68" i="85"/>
  <c r="T72" i="85"/>
  <c r="T76" i="85"/>
  <c r="T88" i="85"/>
  <c r="AR100" i="97"/>
  <c r="AZ100" i="97" s="1"/>
  <c r="AT67" i="97"/>
  <c r="BB67" i="97" s="1"/>
  <c r="BC67" i="97" s="1"/>
  <c r="AS41" i="97"/>
  <c r="BA41" i="97" s="1"/>
  <c r="AT88" i="97"/>
  <c r="BB88" i="97" s="1"/>
  <c r="BC88" i="97" s="1"/>
  <c r="AS79" i="97"/>
  <c r="BA79" i="97" s="1"/>
  <c r="AS120" i="97"/>
  <c r="BA120" i="97" s="1"/>
  <c r="AR126" i="97"/>
  <c r="AZ126" i="97" s="1"/>
  <c r="AT101" i="97"/>
  <c r="BB101" i="97" s="1"/>
  <c r="P131" i="75"/>
  <c r="AR99" i="97"/>
  <c r="AZ99" i="97" s="1"/>
  <c r="AT73" i="97"/>
  <c r="BB73" i="97" s="1"/>
  <c r="AT39" i="97"/>
  <c r="BB39" i="97" s="1"/>
  <c r="O6" i="85"/>
  <c r="P30" i="85"/>
  <c r="T61" i="85"/>
  <c r="T73" i="85"/>
  <c r="T85" i="85"/>
  <c r="Z93" i="85"/>
  <c r="P94" i="85"/>
  <c r="Z97" i="85"/>
  <c r="T98" i="85"/>
  <c r="Z101" i="85"/>
  <c r="T102" i="85"/>
  <c r="P106" i="85"/>
  <c r="Z109" i="85"/>
  <c r="P110" i="85"/>
  <c r="Z113" i="85"/>
  <c r="T117" i="85"/>
  <c r="P118" i="85"/>
  <c r="P122" i="85"/>
  <c r="T125" i="85"/>
  <c r="T126" i="85"/>
  <c r="Q129" i="75"/>
  <c r="Q130" i="75"/>
  <c r="Q131" i="75"/>
  <c r="L7" i="79"/>
  <c r="T7" i="79" s="1"/>
  <c r="L35" i="79"/>
  <c r="T35" i="79" s="1"/>
  <c r="S4" i="95"/>
  <c r="AR112" i="97"/>
  <c r="AZ112" i="97" s="1"/>
  <c r="AT122" i="97"/>
  <c r="BB122" i="97" s="1"/>
  <c r="AT76" i="97"/>
  <c r="BB76" i="97" s="1"/>
  <c r="AS116" i="97"/>
  <c r="BA116" i="97" s="1"/>
  <c r="AS52" i="97"/>
  <c r="BA52" i="97" s="1"/>
  <c r="AS119" i="97"/>
  <c r="BA119" i="97" s="1"/>
  <c r="AS28" i="97"/>
  <c r="BA28" i="97" s="1"/>
  <c r="AS54" i="97"/>
  <c r="BA54" i="97" s="1"/>
  <c r="AT42" i="97"/>
  <c r="BB42" i="97" s="1"/>
  <c r="AR32" i="97"/>
  <c r="AZ32" i="97" s="1"/>
  <c r="AT26" i="97"/>
  <c r="BB26" i="97" s="1"/>
  <c r="AR50" i="97"/>
  <c r="AZ50" i="97" s="1"/>
  <c r="AT112" i="97"/>
  <c r="BB112" i="97" s="1"/>
  <c r="AR72" i="97"/>
  <c r="AZ72" i="97" s="1"/>
  <c r="BC72" i="97" s="1"/>
  <c r="AT120" i="97"/>
  <c r="BB120" i="97" s="1"/>
  <c r="AT82" i="97"/>
  <c r="BB82" i="97" s="1"/>
  <c r="AT97" i="97"/>
  <c r="BB97" i="97" s="1"/>
  <c r="AT98" i="97"/>
  <c r="BB98" i="97" s="1"/>
  <c r="T106" i="85"/>
  <c r="W6" i="85"/>
  <c r="E217" i="1" s="1"/>
  <c r="P21" i="85"/>
  <c r="T49" i="85"/>
  <c r="T53" i="85"/>
  <c r="P65" i="85"/>
  <c r="P69" i="85"/>
  <c r="T77" i="85"/>
  <c r="P81" i="85"/>
  <c r="P85" i="85"/>
  <c r="P89" i="85"/>
  <c r="P132" i="72"/>
  <c r="AR83" i="97"/>
  <c r="AZ83" i="97" s="1"/>
  <c r="AR57" i="97"/>
  <c r="AZ57" i="97" s="1"/>
  <c r="AR56" i="97"/>
  <c r="AZ56" i="97" s="1"/>
  <c r="AT34" i="97"/>
  <c r="BB34" i="97" s="1"/>
  <c r="AR53" i="97"/>
  <c r="AZ53" i="97" s="1"/>
  <c r="AR12" i="97"/>
  <c r="AZ12" i="97" s="1"/>
  <c r="AS14" i="97"/>
  <c r="BA14" i="97" s="1"/>
  <c r="AR16" i="97"/>
  <c r="AZ16" i="97" s="1"/>
  <c r="AR26" i="97"/>
  <c r="AZ26" i="97" s="1"/>
  <c r="AT43" i="97"/>
  <c r="BB43" i="97" s="1"/>
  <c r="AR52" i="97"/>
  <c r="AZ52" i="97" s="1"/>
  <c r="AS58" i="97"/>
  <c r="BA58" i="97" s="1"/>
  <c r="AS60" i="97"/>
  <c r="BA60" i="97" s="1"/>
  <c r="AR115" i="97"/>
  <c r="AZ115" i="97" s="1"/>
  <c r="AS77" i="97"/>
  <c r="BA77" i="97" s="1"/>
  <c r="AS81" i="97"/>
  <c r="BA81" i="97" s="1"/>
  <c r="AR98" i="97"/>
  <c r="AZ98" i="97" s="1"/>
  <c r="BY4" i="56"/>
  <c r="L6" i="79"/>
  <c r="T6" i="79" s="1"/>
  <c r="T92" i="85"/>
  <c r="T95" i="85"/>
  <c r="T103" i="85"/>
  <c r="T107" i="85"/>
  <c r="T115" i="85"/>
  <c r="T119" i="85"/>
  <c r="I132" i="75"/>
  <c r="L55" i="79"/>
  <c r="T55" i="79" s="1"/>
  <c r="L71" i="79"/>
  <c r="T71" i="79" s="1"/>
  <c r="L117" i="79"/>
  <c r="T117" i="79" s="1"/>
  <c r="AR124" i="97"/>
  <c r="AZ124" i="97" s="1"/>
  <c r="AT61" i="97"/>
  <c r="BB61" i="97" s="1"/>
  <c r="AS125" i="97"/>
  <c r="BA125" i="97" s="1"/>
  <c r="AS83" i="97"/>
  <c r="BA83" i="97" s="1"/>
  <c r="AS76" i="97"/>
  <c r="BA76" i="97" s="1"/>
  <c r="AS73" i="97"/>
  <c r="BA73" i="97" s="1"/>
  <c r="AS65" i="97"/>
  <c r="BA65" i="97" s="1"/>
  <c r="AT55" i="97"/>
  <c r="BB55" i="97" s="1"/>
  <c r="AT30" i="97"/>
  <c r="BB30" i="97" s="1"/>
  <c r="P51" i="85"/>
  <c r="T58" i="85"/>
  <c r="Z74" i="85"/>
  <c r="T78" i="85"/>
  <c r="T82" i="85"/>
  <c r="T86" i="85"/>
  <c r="T90" i="85"/>
  <c r="I129" i="75"/>
  <c r="J130" i="75"/>
  <c r="Q133" i="75"/>
  <c r="P131" i="72"/>
  <c r="Q129" i="72"/>
  <c r="AT87" i="97"/>
  <c r="BB87" i="97" s="1"/>
  <c r="AR113" i="97"/>
  <c r="AZ113" i="97" s="1"/>
  <c r="AS107" i="97"/>
  <c r="BA107" i="97" s="1"/>
  <c r="R5" i="6"/>
  <c r="H170" i="1"/>
  <c r="E170" i="1"/>
  <c r="F170" i="1"/>
  <c r="G170" i="1"/>
  <c r="M171" i="1"/>
  <c r="J171" i="1"/>
  <c r="K171" i="1"/>
  <c r="N171" i="1"/>
  <c r="E169" i="1"/>
  <c r="F169" i="1"/>
  <c r="G169" i="1"/>
  <c r="G5" i="91"/>
  <c r="I5" i="91" s="1"/>
  <c r="L193" i="1"/>
  <c r="M199" i="1"/>
  <c r="L200" i="1"/>
  <c r="J200" i="1"/>
  <c r="K200" i="1"/>
  <c r="M200" i="1"/>
  <c r="CW4" i="56"/>
  <c r="CK4" i="56"/>
  <c r="AU4" i="56"/>
  <c r="AI4" i="56"/>
  <c r="W4" i="56"/>
  <c r="BM4" i="56"/>
  <c r="DU4" i="56"/>
  <c r="H4" i="56"/>
  <c r="AC4" i="56"/>
  <c r="AO4" i="56"/>
  <c r="BA4" i="56"/>
  <c r="BG4" i="56"/>
  <c r="CE4" i="56"/>
  <c r="CQ4" i="56"/>
  <c r="EA4" i="56"/>
  <c r="E4" i="56"/>
  <c r="I5" i="79" s="1"/>
  <c r="Q4" i="56"/>
  <c r="BS4" i="56"/>
  <c r="DC4" i="56"/>
  <c r="AG4" i="62"/>
  <c r="O4" i="62"/>
  <c r="AM4" i="62"/>
  <c r="D4" i="62"/>
  <c r="I4" i="101"/>
  <c r="L125" i="79" s="1"/>
  <c r="T125" i="79" s="1"/>
  <c r="J4" i="101"/>
  <c r="M125" i="79" s="1"/>
  <c r="U125" i="79" s="1"/>
  <c r="H4" i="101"/>
  <c r="AM4" i="60"/>
  <c r="U4" i="60"/>
  <c r="AS4" i="60"/>
  <c r="K196" i="1"/>
  <c r="J195" i="1"/>
  <c r="J196" i="1"/>
  <c r="M196" i="1"/>
  <c r="J194" i="1"/>
  <c r="M194" i="1"/>
  <c r="J193" i="1"/>
  <c r="M193" i="1"/>
  <c r="E4" i="57"/>
  <c r="J186" i="1"/>
  <c r="L186" i="1"/>
  <c r="K186" i="1"/>
  <c r="M186" i="1"/>
  <c r="AC4" i="53"/>
  <c r="Q4" i="53"/>
  <c r="U4" i="39"/>
  <c r="M7" i="39"/>
  <c r="U13" i="39"/>
  <c r="E15" i="39"/>
  <c r="M15" i="39"/>
  <c r="E18" i="39"/>
  <c r="E19" i="39"/>
  <c r="M19" i="39"/>
  <c r="U21" i="39"/>
  <c r="U24" i="39"/>
  <c r="U26" i="39"/>
  <c r="E29" i="39"/>
  <c r="U31" i="39"/>
  <c r="U33" i="39"/>
  <c r="E34" i="39"/>
  <c r="M34" i="39"/>
  <c r="E35" i="39"/>
  <c r="U36" i="39"/>
  <c r="E38" i="39"/>
  <c r="U38" i="39"/>
  <c r="U40" i="39"/>
  <c r="M41" i="39"/>
  <c r="U41" i="39"/>
  <c r="E42" i="39"/>
  <c r="U42" i="39"/>
  <c r="U47" i="39"/>
  <c r="E48" i="39"/>
  <c r="M48" i="39"/>
  <c r="E50" i="39"/>
  <c r="U50" i="39"/>
  <c r="E51" i="39"/>
  <c r="E52" i="39"/>
  <c r="U52" i="39"/>
  <c r="E55" i="39"/>
  <c r="M55" i="39"/>
  <c r="U55" i="39"/>
  <c r="M57" i="39"/>
  <c r="U57" i="39"/>
  <c r="E58" i="39"/>
  <c r="U58" i="39"/>
  <c r="M59" i="39"/>
  <c r="U59" i="39"/>
  <c r="E60" i="39"/>
  <c r="J129" i="75"/>
  <c r="P130" i="75"/>
  <c r="J131" i="75"/>
  <c r="J132" i="75"/>
  <c r="Q133" i="72"/>
  <c r="R133" i="72"/>
  <c r="M61" i="39"/>
  <c r="E62" i="39"/>
  <c r="U62" i="39"/>
  <c r="E64" i="39"/>
  <c r="M64" i="39"/>
  <c r="U64" i="39"/>
  <c r="U66" i="39"/>
  <c r="E67" i="39"/>
  <c r="U67" i="39"/>
  <c r="M69" i="39"/>
  <c r="E70" i="39"/>
  <c r="E71" i="39"/>
  <c r="U72" i="39"/>
  <c r="E73" i="39"/>
  <c r="M73" i="39"/>
  <c r="U73" i="39"/>
  <c r="E75" i="39"/>
  <c r="U75" i="39"/>
  <c r="E77" i="39"/>
  <c r="M77" i="39"/>
  <c r="U78" i="39"/>
  <c r="M79" i="39"/>
  <c r="U80" i="39"/>
  <c r="E81" i="39"/>
  <c r="E82" i="39"/>
  <c r="M82" i="39"/>
  <c r="U82" i="39"/>
  <c r="E85" i="39"/>
  <c r="M86" i="39"/>
  <c r="U86" i="39"/>
  <c r="E89" i="39"/>
  <c r="U90" i="39"/>
  <c r="E91" i="39"/>
  <c r="U92" i="39"/>
  <c r="E94" i="39"/>
  <c r="M99" i="39"/>
  <c r="M100" i="39"/>
  <c r="U100" i="39"/>
  <c r="U101" i="39"/>
  <c r="E104" i="39"/>
  <c r="U104" i="39"/>
  <c r="E105" i="39"/>
  <c r="M105" i="39"/>
  <c r="E108" i="39"/>
  <c r="U108" i="39"/>
  <c r="U109" i="39"/>
  <c r="P129" i="75"/>
  <c r="S129" i="72"/>
  <c r="D4" i="53"/>
  <c r="I5" i="123" s="1"/>
  <c r="P46" i="85"/>
  <c r="P74" i="85"/>
  <c r="P82" i="85"/>
  <c r="P95" i="85"/>
  <c r="P115" i="85"/>
  <c r="S133" i="72"/>
  <c r="AS11" i="97"/>
  <c r="BA11" i="97" s="1"/>
  <c r="AT16" i="97"/>
  <c r="BB16" i="97" s="1"/>
  <c r="AT17" i="97"/>
  <c r="BB17" i="97" s="1"/>
  <c r="AS18" i="97"/>
  <c r="BA18" i="97" s="1"/>
  <c r="AR22" i="97"/>
  <c r="AZ22" i="97" s="1"/>
  <c r="AR104" i="97"/>
  <c r="AZ104" i="97" s="1"/>
  <c r="AS39" i="97"/>
  <c r="BA39" i="97" s="1"/>
  <c r="AT72" i="97"/>
  <c r="BB72" i="97" s="1"/>
  <c r="AT119" i="97"/>
  <c r="BB119" i="97" s="1"/>
  <c r="AS89" i="97"/>
  <c r="BA89" i="97" s="1"/>
  <c r="E4" i="55"/>
  <c r="D4" i="55"/>
  <c r="S5" i="6"/>
  <c r="AR20" i="97"/>
  <c r="AZ20" i="97" s="1"/>
  <c r="AS42" i="97"/>
  <c r="BA42" i="97" s="1"/>
  <c r="AS53" i="97"/>
  <c r="BA53" i="97" s="1"/>
  <c r="AT62" i="97"/>
  <c r="BB62" i="97" s="1"/>
  <c r="AT89" i="97"/>
  <c r="BB89" i="97" s="1"/>
  <c r="AS94" i="97"/>
  <c r="BA94" i="97" s="1"/>
  <c r="BC94" i="97" s="1"/>
  <c r="Q4" i="95"/>
  <c r="AS26" i="97"/>
  <c r="BA26" i="97" s="1"/>
  <c r="AS24" i="97"/>
  <c r="BA24" i="97" s="1"/>
  <c r="AS106" i="97"/>
  <c r="BA106" i="97" s="1"/>
  <c r="AR44" i="97"/>
  <c r="AZ44" i="97" s="1"/>
  <c r="Q4" i="92"/>
  <c r="I16" i="1"/>
  <c r="I19" i="1"/>
  <c r="G154" i="1"/>
  <c r="G155" i="1"/>
  <c r="M55" i="1"/>
  <c r="I4" i="41"/>
  <c r="I52" i="41"/>
  <c r="E58" i="41"/>
  <c r="M62" i="41"/>
  <c r="Y63" i="41"/>
  <c r="Y87" i="41"/>
  <c r="I88" i="41"/>
  <c r="U93" i="41"/>
  <c r="E94" i="41"/>
  <c r="M94" i="41"/>
  <c r="I100" i="41"/>
  <c r="E102" i="41"/>
  <c r="U105" i="41"/>
  <c r="E110" i="41"/>
  <c r="M110" i="41"/>
  <c r="Y111" i="41"/>
  <c r="U117" i="41"/>
  <c r="M118" i="41"/>
  <c r="I120" i="41"/>
  <c r="U121" i="41"/>
  <c r="U17" i="41"/>
  <c r="M18" i="41"/>
  <c r="Y19" i="41"/>
  <c r="E62" i="41"/>
  <c r="I80" i="41"/>
  <c r="U85" i="41"/>
  <c r="M98" i="41"/>
  <c r="E106" i="41"/>
  <c r="M114" i="41"/>
  <c r="E113" i="39"/>
  <c r="M114" i="39"/>
  <c r="U114" i="39"/>
  <c r="M115" i="39"/>
  <c r="U116" i="39"/>
  <c r="M118" i="39"/>
  <c r="U121" i="39"/>
  <c r="M122" i="39"/>
  <c r="U122" i="39"/>
  <c r="E123" i="39"/>
  <c r="U123" i="39"/>
  <c r="Q6" i="40"/>
  <c r="Y6" i="40"/>
  <c r="U12" i="40"/>
  <c r="E13" i="40"/>
  <c r="I15" i="40"/>
  <c r="Q15" i="40"/>
  <c r="Y15" i="40"/>
  <c r="I16" i="40"/>
  <c r="Q16" i="40"/>
  <c r="Y16" i="40"/>
  <c r="M18" i="40"/>
  <c r="I22" i="40"/>
  <c r="Q22" i="40"/>
  <c r="Y22" i="40"/>
  <c r="I23" i="40"/>
  <c r="Q23" i="40"/>
  <c r="Y23" i="40"/>
  <c r="U29" i="40"/>
  <c r="E30" i="40"/>
  <c r="I31" i="40"/>
  <c r="Q31" i="40"/>
  <c r="Y31" i="40"/>
  <c r="I32" i="40"/>
  <c r="Q32" i="40"/>
  <c r="Y32" i="40"/>
  <c r="I33" i="40"/>
  <c r="Q33" i="40"/>
  <c r="Y33" i="40"/>
  <c r="M35" i="40"/>
  <c r="Q39" i="40"/>
  <c r="Y39" i="40"/>
  <c r="I40" i="40"/>
  <c r="Q40" i="40"/>
  <c r="Y40" i="40"/>
  <c r="I41" i="40"/>
  <c r="Q41" i="40"/>
  <c r="Y41" i="40"/>
  <c r="I42" i="40"/>
  <c r="Q42" i="40"/>
  <c r="Y42" i="40"/>
  <c r="M45" i="40"/>
  <c r="I47" i="40"/>
  <c r="Q47" i="40"/>
  <c r="Y47" i="40"/>
  <c r="I48" i="40"/>
  <c r="Q48" i="40"/>
  <c r="Y48" i="40"/>
  <c r="U50" i="40"/>
  <c r="E51" i="40"/>
  <c r="U52" i="40"/>
  <c r="Q57" i="40"/>
  <c r="Y57" i="40"/>
  <c r="I68" i="40"/>
  <c r="Q68" i="40"/>
  <c r="I5" i="41"/>
  <c r="E7" i="41"/>
  <c r="I9" i="41"/>
  <c r="U10" i="41"/>
  <c r="M11" i="41"/>
  <c r="Y12" i="41"/>
  <c r="I13" i="41"/>
  <c r="U14" i="41"/>
  <c r="M15" i="41"/>
  <c r="Y16" i="41"/>
  <c r="I17" i="41"/>
  <c r="M19" i="41"/>
  <c r="Y20" i="41"/>
  <c r="M23" i="41"/>
  <c r="Y24" i="41"/>
  <c r="I29" i="41"/>
  <c r="M35" i="41"/>
  <c r="Y40" i="41"/>
  <c r="I41" i="41"/>
  <c r="I69" i="41"/>
  <c r="P40" i="85"/>
  <c r="P56" i="85"/>
  <c r="P80" i="85"/>
  <c r="P84" i="85"/>
  <c r="P105" i="85"/>
  <c r="T118" i="85"/>
  <c r="P11" i="85"/>
  <c r="P19" i="85"/>
  <c r="T23" i="85"/>
  <c r="P31" i="85"/>
  <c r="P33" i="85"/>
  <c r="P35" i="85"/>
  <c r="T39" i="85"/>
  <c r="P43" i="85"/>
  <c r="P47" i="85"/>
  <c r="P59" i="85"/>
  <c r="P79" i="85"/>
  <c r="P92" i="85"/>
  <c r="T96" i="85"/>
  <c r="P112" i="85"/>
  <c r="P124" i="85"/>
  <c r="T21" i="85"/>
  <c r="P25" i="85"/>
  <c r="T29" i="85"/>
  <c r="T37" i="85"/>
  <c r="T45" i="85"/>
  <c r="P61" i="85"/>
  <c r="T65" i="85"/>
  <c r="T101" i="85"/>
  <c r="P17" i="85"/>
  <c r="P86" i="85"/>
  <c r="P22" i="85"/>
  <c r="T97" i="85"/>
  <c r="P76" i="85"/>
  <c r="G6" i="85"/>
  <c r="T12" i="85"/>
  <c r="T105" i="85"/>
  <c r="T43" i="85"/>
  <c r="T51" i="85"/>
  <c r="T55" i="85"/>
  <c r="T59" i="85"/>
  <c r="T67" i="85"/>
  <c r="T71" i="85"/>
  <c r="T79" i="85"/>
  <c r="P83" i="85"/>
  <c r="P87" i="85"/>
  <c r="T91" i="85"/>
  <c r="P96" i="85"/>
  <c r="T100" i="85"/>
  <c r="P104" i="85"/>
  <c r="P108" i="85"/>
  <c r="T112" i="85"/>
  <c r="P116" i="85"/>
  <c r="T120" i="85"/>
  <c r="T124" i="85"/>
  <c r="P72" i="85"/>
  <c r="P119" i="85"/>
  <c r="T108" i="85"/>
  <c r="P98" i="85"/>
  <c r="T35" i="85"/>
  <c r="P78" i="85"/>
  <c r="T109" i="85"/>
  <c r="T113" i="85"/>
  <c r="X6" i="85"/>
  <c r="F217" i="1" s="1"/>
  <c r="S6" i="85"/>
  <c r="P16" i="85"/>
  <c r="P18" i="85"/>
  <c r="T19" i="85"/>
  <c r="T22" i="85"/>
  <c r="P23" i="85"/>
  <c r="P24" i="85"/>
  <c r="T26" i="85"/>
  <c r="T27" i="85"/>
  <c r="P28" i="85"/>
  <c r="T30" i="85"/>
  <c r="T31" i="85"/>
  <c r="P39" i="85"/>
  <c r="P41" i="85"/>
  <c r="P49" i="85"/>
  <c r="P53" i="85"/>
  <c r="P57" i="85"/>
  <c r="T63" i="85"/>
  <c r="P102" i="85"/>
  <c r="P114" i="85"/>
  <c r="P27" i="85"/>
  <c r="P68" i="85"/>
  <c r="P113" i="85"/>
  <c r="P117" i="85"/>
  <c r="T93" i="85"/>
  <c r="T74" i="85"/>
  <c r="P100" i="85"/>
  <c r="T89" i="85"/>
  <c r="T87" i="85"/>
  <c r="T80" i="85"/>
  <c r="P126" i="85"/>
  <c r="K6" i="85"/>
  <c r="T17" i="85"/>
  <c r="Z24" i="85"/>
  <c r="T32" i="85"/>
  <c r="Z49" i="85"/>
  <c r="Z53" i="85"/>
  <c r="P90" i="85"/>
  <c r="P99" i="85"/>
  <c r="P111" i="85"/>
  <c r="P8" i="85"/>
  <c r="P9" i="85"/>
  <c r="P13" i="85"/>
  <c r="P20" i="85"/>
  <c r="P29" i="85"/>
  <c r="P38" i="85"/>
  <c r="P42" i="85"/>
  <c r="P45" i="85"/>
  <c r="P50" i="85"/>
  <c r="P54" i="85"/>
  <c r="P62" i="85"/>
  <c r="T104" i="85"/>
  <c r="T13" i="85"/>
  <c r="T81" i="85"/>
  <c r="P120" i="85"/>
  <c r="T38" i="85"/>
  <c r="T42" i="85"/>
  <c r="T50" i="85"/>
  <c r="P58" i="85"/>
  <c r="T62" i="85"/>
  <c r="P75" i="85"/>
  <c r="Z79" i="85"/>
  <c r="T94" i="85"/>
  <c r="T9" i="85"/>
  <c r="Z19" i="85"/>
  <c r="T40" i="85"/>
  <c r="P44" i="85"/>
  <c r="T48" i="85"/>
  <c r="T52" i="85"/>
  <c r="T56" i="85"/>
  <c r="P60" i="85"/>
  <c r="P64" i="85"/>
  <c r="Z69" i="85"/>
  <c r="Z118" i="85"/>
  <c r="P48" i="85"/>
  <c r="P93" i="85"/>
  <c r="T24" i="85"/>
  <c r="T8" i="85"/>
  <c r="P26" i="85"/>
  <c r="P52" i="85"/>
  <c r="Y6" i="85"/>
  <c r="G217" i="1" s="1"/>
  <c r="P109" i="85"/>
  <c r="T46" i="85"/>
  <c r="T75" i="85"/>
  <c r="T121" i="85"/>
  <c r="P12" i="85"/>
  <c r="P32" i="85"/>
  <c r="P37" i="85"/>
  <c r="P121" i="85"/>
  <c r="P125" i="85"/>
  <c r="P97" i="85"/>
  <c r="P88" i="85"/>
  <c r="T44" i="85"/>
  <c r="H58" i="1"/>
  <c r="G58" i="1"/>
  <c r="H61" i="1"/>
  <c r="G61" i="1"/>
  <c r="H60" i="1"/>
  <c r="G60" i="1"/>
  <c r="H59" i="1"/>
  <c r="G59" i="1"/>
  <c r="F155" i="1"/>
  <c r="F151" i="1"/>
  <c r="E152" i="1"/>
  <c r="D153" i="1"/>
  <c r="D152" i="1"/>
  <c r="D155" i="1"/>
  <c r="F154" i="1"/>
  <c r="E155" i="1"/>
  <c r="E151" i="1"/>
  <c r="F153" i="1"/>
  <c r="D151" i="1"/>
  <c r="F152" i="1"/>
  <c r="E153" i="1"/>
  <c r="D154" i="1"/>
  <c r="E154" i="1"/>
  <c r="U34" i="41"/>
  <c r="D61" i="1"/>
  <c r="C61" i="1"/>
  <c r="D60" i="1"/>
  <c r="C60" i="1"/>
  <c r="D59" i="1"/>
  <c r="C59" i="1"/>
  <c r="D58" i="1"/>
  <c r="C58" i="1"/>
  <c r="Q100" i="40"/>
  <c r="U30" i="41"/>
  <c r="O132" i="73"/>
  <c r="O131" i="73"/>
  <c r="N129" i="73"/>
  <c r="N131" i="73"/>
  <c r="O128" i="73"/>
  <c r="O129" i="73"/>
  <c r="N128" i="73"/>
  <c r="N130" i="73"/>
  <c r="M132" i="73"/>
  <c r="O130" i="73"/>
  <c r="N132" i="73"/>
  <c r="Q91" i="41"/>
  <c r="U38" i="41"/>
  <c r="Q123" i="41"/>
  <c r="F4" i="56"/>
  <c r="D4" i="56"/>
  <c r="H5" i="79" s="1"/>
  <c r="P7" i="85"/>
  <c r="T7" i="85"/>
  <c r="Z10" i="85"/>
  <c r="P10" i="85"/>
  <c r="T10" i="85"/>
  <c r="Z14" i="85"/>
  <c r="P14" i="85"/>
  <c r="T14" i="85"/>
  <c r="P15" i="85"/>
  <c r="T15" i="85"/>
  <c r="Z34" i="85"/>
  <c r="T34" i="85"/>
  <c r="P34" i="85"/>
  <c r="T36" i="85"/>
  <c r="P36" i="85"/>
  <c r="T66" i="85"/>
  <c r="P66" i="85"/>
  <c r="T70" i="85"/>
  <c r="P70" i="85"/>
  <c r="P123" i="85"/>
  <c r="T123" i="85"/>
  <c r="F4" i="57"/>
  <c r="R20" i="95"/>
  <c r="F4" i="95"/>
  <c r="R4" i="95" s="1"/>
  <c r="G4" i="53"/>
  <c r="E4" i="53"/>
  <c r="E4" i="24"/>
  <c r="G4" i="24"/>
  <c r="I4" i="24"/>
  <c r="K4" i="24"/>
  <c r="F44" i="1" s="1"/>
  <c r="M4" i="24"/>
  <c r="F46" i="1" s="1"/>
  <c r="O4" i="24"/>
  <c r="F48" i="1" s="1"/>
  <c r="F122" i="38"/>
  <c r="Z114" i="85"/>
  <c r="T114" i="85"/>
  <c r="I133" i="75"/>
  <c r="J133" i="75"/>
  <c r="T16" i="85"/>
  <c r="Z20" i="85"/>
  <c r="T20" i="85"/>
  <c r="Z54" i="85"/>
  <c r="T54" i="85"/>
  <c r="AT75" i="97"/>
  <c r="BB75" i="97" s="1"/>
  <c r="Q88" i="39"/>
  <c r="U6" i="40"/>
  <c r="E23" i="40"/>
  <c r="Q27" i="40"/>
  <c r="U48" i="40"/>
  <c r="M70" i="40"/>
  <c r="M79" i="40"/>
  <c r="U79" i="40"/>
  <c r="I84" i="40"/>
  <c r="Y107" i="40"/>
  <c r="M111" i="40"/>
  <c r="M116" i="40"/>
  <c r="U116" i="40"/>
  <c r="E21" i="41"/>
  <c r="M21" i="41"/>
  <c r="Q22" i="41"/>
  <c r="Y22" i="41"/>
  <c r="I23" i="41"/>
  <c r="U24" i="41"/>
  <c r="E25" i="41"/>
  <c r="M25" i="41"/>
  <c r="Y26" i="41"/>
  <c r="I27" i="41"/>
  <c r="U28" i="41"/>
  <c r="E29" i="41"/>
  <c r="M29" i="41"/>
  <c r="Q30" i="41"/>
  <c r="Y30" i="41"/>
  <c r="I31" i="41"/>
  <c r="U32" i="41"/>
  <c r="E33" i="41"/>
  <c r="M33" i="41"/>
  <c r="Y34" i="41"/>
  <c r="I35" i="41"/>
  <c r="U36" i="41"/>
  <c r="E37" i="41"/>
  <c r="M37" i="41"/>
  <c r="Q38" i="41"/>
  <c r="Y38" i="41"/>
  <c r="I39" i="41"/>
  <c r="U40" i="41"/>
  <c r="E41" i="41"/>
  <c r="Y42" i="41"/>
  <c r="U44" i="41"/>
  <c r="E45" i="41"/>
  <c r="M45" i="41"/>
  <c r="Q46" i="41"/>
  <c r="I47" i="41"/>
  <c r="U48" i="41"/>
  <c r="M49" i="41"/>
  <c r="Y50" i="41"/>
  <c r="I51" i="41"/>
  <c r="E53" i="41"/>
  <c r="M53" i="41"/>
  <c r="Y54" i="41"/>
  <c r="I55" i="41"/>
  <c r="U56" i="41"/>
  <c r="M57" i="41"/>
  <c r="Y58" i="41"/>
  <c r="U60" i="41"/>
  <c r="E61" i="41"/>
  <c r="M61" i="41"/>
  <c r="Y62" i="41"/>
  <c r="I63" i="41"/>
  <c r="U64" i="41"/>
  <c r="E65" i="41"/>
  <c r="M65" i="41"/>
  <c r="Y66" i="41"/>
  <c r="I67" i="41"/>
  <c r="U68" i="41"/>
  <c r="E69" i="41"/>
  <c r="M69" i="41"/>
  <c r="Y70" i="41"/>
  <c r="I71" i="41"/>
  <c r="U72" i="41"/>
  <c r="M73" i="41"/>
  <c r="I75" i="41"/>
  <c r="U76" i="41"/>
  <c r="E77" i="41"/>
  <c r="M77" i="41"/>
  <c r="Q78" i="41"/>
  <c r="Y78" i="41"/>
  <c r="I79" i="41"/>
  <c r="E81" i="41"/>
  <c r="M81" i="41"/>
  <c r="Y82" i="41"/>
  <c r="I83" i="41"/>
  <c r="U84" i="41"/>
  <c r="E85" i="41"/>
  <c r="M85" i="41"/>
  <c r="Y86" i="41"/>
  <c r="I87" i="41"/>
  <c r="U88" i="41"/>
  <c r="E89" i="41"/>
  <c r="M89" i="41"/>
  <c r="Y90" i="41"/>
  <c r="U92" i="41"/>
  <c r="E93" i="41"/>
  <c r="M93" i="41"/>
  <c r="Y94" i="41"/>
  <c r="I95" i="41"/>
  <c r="U96" i="41"/>
  <c r="E97" i="41"/>
  <c r="M97" i="41"/>
  <c r="Y98" i="41"/>
  <c r="I99" i="41"/>
  <c r="U100" i="41"/>
  <c r="E101" i="41"/>
  <c r="M101" i="41"/>
  <c r="Y102" i="41"/>
  <c r="I103" i="41"/>
  <c r="U104" i="41"/>
  <c r="E105" i="41"/>
  <c r="M105" i="41"/>
  <c r="Y106" i="41"/>
  <c r="I107" i="41"/>
  <c r="U108" i="41"/>
  <c r="E109" i="41"/>
  <c r="M109" i="41"/>
  <c r="Q110" i="41"/>
  <c r="Y110" i="41"/>
  <c r="I111" i="41"/>
  <c r="U112" i="41"/>
  <c r="M113" i="41"/>
  <c r="Y114" i="41"/>
  <c r="U116" i="41"/>
  <c r="M117" i="41"/>
  <c r="Q118" i="41"/>
  <c r="Y118" i="41"/>
  <c r="I119" i="41"/>
  <c r="U120" i="41"/>
  <c r="M121" i="41"/>
  <c r="Y122" i="41"/>
  <c r="I123" i="41"/>
  <c r="Z9" i="85"/>
  <c r="Z27" i="85"/>
  <c r="Z39" i="85"/>
  <c r="Z40" i="85"/>
  <c r="Z48" i="85"/>
  <c r="Z52" i="85"/>
  <c r="Z58" i="85"/>
  <c r="Z62" i="85"/>
  <c r="Z68" i="85"/>
  <c r="Z78" i="85"/>
  <c r="T84" i="85"/>
  <c r="Z87" i="85"/>
  <c r="Z92" i="85"/>
  <c r="Z96" i="85"/>
  <c r="Z100" i="85"/>
  <c r="Z104" i="85"/>
  <c r="Z108" i="85"/>
  <c r="Z112" i="85"/>
  <c r="Z126" i="85"/>
  <c r="I130" i="75"/>
  <c r="P132" i="75"/>
  <c r="P133" i="75"/>
  <c r="R129" i="72"/>
  <c r="AS104" i="97"/>
  <c r="BA104" i="97" s="1"/>
  <c r="AS63" i="97"/>
  <c r="BA63" i="97" s="1"/>
  <c r="AR82" i="97"/>
  <c r="AZ82" i="97" s="1"/>
  <c r="AS86" i="97"/>
  <c r="BA86" i="97" s="1"/>
  <c r="AS126" i="97"/>
  <c r="BA126" i="97" s="1"/>
  <c r="Z12" i="85"/>
  <c r="Z17" i="85"/>
  <c r="Z22" i="85"/>
  <c r="Z26" i="85"/>
  <c r="Z31" i="85"/>
  <c r="Z32" i="85"/>
  <c r="Z37" i="85"/>
  <c r="Z38" i="85"/>
  <c r="T47" i="85"/>
  <c r="Z61" i="85"/>
  <c r="P67" i="85"/>
  <c r="Z72" i="85"/>
  <c r="P77" i="85"/>
  <c r="Z86" i="85"/>
  <c r="Z90" i="85"/>
  <c r="Z95" i="85"/>
  <c r="T99" i="85"/>
  <c r="Z107" i="85"/>
  <c r="Z120" i="85"/>
  <c r="Z125" i="85"/>
  <c r="AS25" i="97"/>
  <c r="BA25" i="97" s="1"/>
  <c r="Z15" i="85"/>
  <c r="Z16" i="85"/>
  <c r="Z21" i="85"/>
  <c r="Z25" i="85"/>
  <c r="Z29" i="85"/>
  <c r="Z30" i="85"/>
  <c r="Z42" i="85"/>
  <c r="Z50" i="85"/>
  <c r="Z56" i="85"/>
  <c r="Z60" i="85"/>
  <c r="Z70" i="85"/>
  <c r="Z80" i="85"/>
  <c r="Z85" i="85"/>
  <c r="Z89" i="85"/>
  <c r="Z102" i="85"/>
  <c r="Z106" i="85"/>
  <c r="Z115" i="85"/>
  <c r="Z119" i="85"/>
  <c r="P129" i="72"/>
  <c r="P133" i="72"/>
  <c r="Q130" i="72"/>
  <c r="S131" i="72"/>
  <c r="AS61" i="97"/>
  <c r="BA61" i="97" s="1"/>
  <c r="AS55" i="97"/>
  <c r="BA55" i="97" s="1"/>
  <c r="AS49" i="97"/>
  <c r="BA49" i="97" s="1"/>
  <c r="AR33" i="97"/>
  <c r="AZ33" i="97" s="1"/>
  <c r="AR43" i="97"/>
  <c r="AZ43" i="97" s="1"/>
  <c r="AS44" i="97"/>
  <c r="BA44" i="97" s="1"/>
  <c r="AR47" i="97"/>
  <c r="AZ47" i="97" s="1"/>
  <c r="AS50" i="97"/>
  <c r="BA50" i="97" s="1"/>
  <c r="AT54" i="97"/>
  <c r="BB54" i="97" s="1"/>
  <c r="AS114" i="97"/>
  <c r="BA114" i="97" s="1"/>
  <c r="AS64" i="97"/>
  <c r="BA64" i="97" s="1"/>
  <c r="AT68" i="97"/>
  <c r="BB68" i="97" s="1"/>
  <c r="AT118" i="97"/>
  <c r="BB118" i="97" s="1"/>
  <c r="AS84" i="97"/>
  <c r="BA84" i="97" s="1"/>
  <c r="AT90" i="97"/>
  <c r="BB90" i="97" s="1"/>
  <c r="BC90" i="97" s="1"/>
  <c r="AR91" i="97"/>
  <c r="AZ91" i="97" s="1"/>
  <c r="AT95" i="97"/>
  <c r="BB95" i="97" s="1"/>
  <c r="AS96" i="97"/>
  <c r="BA96" i="97" s="1"/>
  <c r="V4" i="95"/>
  <c r="AR78" i="97"/>
  <c r="AZ78" i="97" s="1"/>
  <c r="BC78" i="97" s="1"/>
  <c r="AS57" i="97"/>
  <c r="BA57" i="97" s="1"/>
  <c r="AT66" i="97"/>
  <c r="BB66" i="97" s="1"/>
  <c r="AS19" i="97"/>
  <c r="BA19" i="97" s="1"/>
  <c r="AS117" i="97"/>
  <c r="BA117" i="97" s="1"/>
  <c r="AS108" i="97"/>
  <c r="BA108" i="97" s="1"/>
  <c r="AT52" i="97"/>
  <c r="BB52" i="97" s="1"/>
  <c r="AR37" i="97"/>
  <c r="AZ37" i="97" s="1"/>
  <c r="AR31" i="97"/>
  <c r="AZ31" i="97" s="1"/>
  <c r="AS12" i="97"/>
  <c r="BA12" i="97" s="1"/>
  <c r="BC12" i="97" s="1"/>
  <c r="AT18" i="97"/>
  <c r="BB18" i="97" s="1"/>
  <c r="AR27" i="97"/>
  <c r="AZ27" i="97" s="1"/>
  <c r="AS6" i="97"/>
  <c r="BA6" i="97" s="1"/>
  <c r="AR7" i="97"/>
  <c r="AZ7" i="97" s="1"/>
  <c r="AT7" i="97"/>
  <c r="BB7" i="97" s="1"/>
  <c r="AS9" i="97"/>
  <c r="BA9" i="97" s="1"/>
  <c r="AR10" i="97"/>
  <c r="AZ10" i="97" s="1"/>
  <c r="AS13" i="97"/>
  <c r="BA13" i="97" s="1"/>
  <c r="AR14" i="97"/>
  <c r="AZ14" i="97" s="1"/>
  <c r="AT14" i="97"/>
  <c r="BB14" i="97" s="1"/>
  <c r="AR18" i="97"/>
  <c r="AZ18" i="97" s="1"/>
  <c r="AT103" i="97"/>
  <c r="BB103" i="97" s="1"/>
  <c r="AT20" i="97"/>
  <c r="BB20" i="97" s="1"/>
  <c r="AT21" i="97"/>
  <c r="BB21" i="97" s="1"/>
  <c r="AT23" i="97"/>
  <c r="BB23" i="97" s="1"/>
  <c r="AS27" i="97"/>
  <c r="BA27" i="97" s="1"/>
  <c r="AR28" i="97"/>
  <c r="AZ28" i="97" s="1"/>
  <c r="AT28" i="97"/>
  <c r="BB28" i="97" s="1"/>
  <c r="AR29" i="97"/>
  <c r="AZ29" i="97" s="1"/>
  <c r="AT29" i="97"/>
  <c r="BB29" i="97" s="1"/>
  <c r="AT106" i="97"/>
  <c r="BB106" i="97" s="1"/>
  <c r="AR40" i="97"/>
  <c r="AZ40" i="97" s="1"/>
  <c r="AR41" i="97"/>
  <c r="AZ41" i="97" s="1"/>
  <c r="AR42" i="97"/>
  <c r="AZ42" i="97" s="1"/>
  <c r="AR46" i="97"/>
  <c r="AZ46" i="97" s="1"/>
  <c r="AS46" i="97"/>
  <c r="BA46" i="97" s="1"/>
  <c r="AT47" i="97"/>
  <c r="BB47" i="97" s="1"/>
  <c r="AT50" i="97"/>
  <c r="BB50" i="97" s="1"/>
  <c r="AR111" i="97"/>
  <c r="AZ111" i="97" s="1"/>
  <c r="AT111" i="97"/>
  <c r="BB111" i="97" s="1"/>
  <c r="AR54" i="97"/>
  <c r="AZ54" i="97" s="1"/>
  <c r="AT58" i="97"/>
  <c r="BB58" i="97" s="1"/>
  <c r="AS62" i="97"/>
  <c r="BA62" i="97" s="1"/>
  <c r="AR64" i="97"/>
  <c r="AZ64" i="97" s="1"/>
  <c r="AR70" i="97"/>
  <c r="AZ70" i="97" s="1"/>
  <c r="AT74" i="97"/>
  <c r="BB74" i="97" s="1"/>
  <c r="AS118" i="97"/>
  <c r="BA118" i="97" s="1"/>
  <c r="AT79" i="97"/>
  <c r="BB79" i="97" s="1"/>
  <c r="AT81" i="97"/>
  <c r="BB81" i="97" s="1"/>
  <c r="AS124" i="97"/>
  <c r="BA124" i="97" s="1"/>
  <c r="AS121" i="97"/>
  <c r="BA121" i="97" s="1"/>
  <c r="AS68" i="97"/>
  <c r="BA68" i="97" s="1"/>
  <c r="AS110" i="97"/>
  <c r="BA110" i="97" s="1"/>
  <c r="AR15" i="97"/>
  <c r="AZ15" i="97" s="1"/>
  <c r="AR109" i="97"/>
  <c r="AZ109" i="97" s="1"/>
  <c r="AT35" i="97"/>
  <c r="BB35" i="97" s="1"/>
  <c r="AS56" i="97"/>
  <c r="BA56" i="97" s="1"/>
  <c r="AS30" i="97"/>
  <c r="BA30" i="97" s="1"/>
  <c r="AR8" i="97"/>
  <c r="AZ8" i="97" s="1"/>
  <c r="AS102" i="97"/>
  <c r="BA102" i="97" s="1"/>
  <c r="AT10" i="97"/>
  <c r="BB10" i="97" s="1"/>
  <c r="AT15" i="97"/>
  <c r="BB15" i="97" s="1"/>
  <c r="AS16" i="97"/>
  <c r="BA16" i="97" s="1"/>
  <c r="AR17" i="97"/>
  <c r="AZ17" i="97" s="1"/>
  <c r="AR19" i="97"/>
  <c r="AZ19" i="97" s="1"/>
  <c r="AR23" i="97"/>
  <c r="AZ23" i="97" s="1"/>
  <c r="AT25" i="97"/>
  <c r="BB25" i="97" s="1"/>
  <c r="AT104" i="97"/>
  <c r="BB104" i="97" s="1"/>
  <c r="AT105" i="97"/>
  <c r="BB105" i="97" s="1"/>
  <c r="AS105" i="97"/>
  <c r="BA105" i="97" s="1"/>
  <c r="AR30" i="97"/>
  <c r="AZ30" i="97" s="1"/>
  <c r="AS32" i="97"/>
  <c r="BA32" i="97" s="1"/>
  <c r="AS35" i="97"/>
  <c r="BA35" i="97" s="1"/>
  <c r="AS37" i="97"/>
  <c r="BA37" i="97" s="1"/>
  <c r="AR108" i="97"/>
  <c r="AZ108" i="97" s="1"/>
  <c r="AS109" i="97"/>
  <c r="BA109" i="97" s="1"/>
  <c r="AT41" i="97"/>
  <c r="BB41" i="97" s="1"/>
  <c r="AT45" i="97"/>
  <c r="BB45" i="97" s="1"/>
  <c r="AS45" i="97"/>
  <c r="BA45" i="97" s="1"/>
  <c r="AR110" i="97"/>
  <c r="AZ110" i="97" s="1"/>
  <c r="AT110" i="97"/>
  <c r="BB110" i="97" s="1"/>
  <c r="AR49" i="97"/>
  <c r="AZ49" i="97" s="1"/>
  <c r="AR51" i="97"/>
  <c r="AZ51" i="97" s="1"/>
  <c r="AT51" i="97"/>
  <c r="BB51" i="97" s="1"/>
  <c r="AS51" i="97"/>
  <c r="BA51" i="97" s="1"/>
  <c r="AT57" i="97"/>
  <c r="BB57" i="97" s="1"/>
  <c r="AT59" i="97"/>
  <c r="BB59" i="97" s="1"/>
  <c r="AR60" i="97"/>
  <c r="AZ60" i="97" s="1"/>
  <c r="AT64" i="97"/>
  <c r="BB64" i="97" s="1"/>
  <c r="AR117" i="97"/>
  <c r="AZ117" i="97" s="1"/>
  <c r="AT71" i="97"/>
  <c r="BB71" i="97" s="1"/>
  <c r="AS74" i="97"/>
  <c r="BA74" i="97" s="1"/>
  <c r="AR118" i="97"/>
  <c r="AZ118" i="97" s="1"/>
  <c r="AR79" i="97"/>
  <c r="AZ79" i="97" s="1"/>
  <c r="AR81" i="97"/>
  <c r="AZ81" i="97" s="1"/>
  <c r="AR121" i="97"/>
  <c r="AZ121" i="97" s="1"/>
  <c r="AT83" i="97"/>
  <c r="BB83" i="97" s="1"/>
  <c r="AR84" i="97"/>
  <c r="AZ84" i="97" s="1"/>
  <c r="AS85" i="97"/>
  <c r="BA85" i="97" s="1"/>
  <c r="AT85" i="97"/>
  <c r="BB85" i="97" s="1"/>
  <c r="AR92" i="97"/>
  <c r="AZ92" i="97" s="1"/>
  <c r="AR96" i="97"/>
  <c r="AZ96" i="97" s="1"/>
  <c r="AR125" i="97"/>
  <c r="AZ125" i="97" s="1"/>
  <c r="AR101" i="97"/>
  <c r="AZ101" i="97" s="1"/>
  <c r="R4" i="92"/>
  <c r="S4" i="92"/>
  <c r="O5" i="6"/>
  <c r="Q55" i="41"/>
  <c r="Q15" i="41"/>
  <c r="Q59" i="41"/>
  <c r="Q50" i="41"/>
  <c r="Q58" i="41"/>
  <c r="Q82" i="41"/>
  <c r="Q98" i="41"/>
  <c r="Q106" i="41"/>
  <c r="Q114" i="41"/>
  <c r="Q122" i="41"/>
  <c r="U78" i="41"/>
  <c r="I120" i="40"/>
  <c r="I98" i="40"/>
  <c r="M41" i="41"/>
  <c r="U80" i="41"/>
  <c r="M4" i="41"/>
  <c r="Y5" i="41"/>
  <c r="I6" i="41"/>
  <c r="U7" i="41"/>
  <c r="E8" i="41"/>
  <c r="Q9" i="41"/>
  <c r="I10" i="41"/>
  <c r="U11" i="41"/>
  <c r="E12" i="41"/>
  <c r="M12" i="41"/>
  <c r="Y13" i="41"/>
  <c r="I14" i="41"/>
  <c r="U15" i="41"/>
  <c r="Q17" i="41"/>
  <c r="Y17" i="41"/>
  <c r="E20" i="41"/>
  <c r="Y21" i="41"/>
  <c r="I22" i="41"/>
  <c r="M24" i="41"/>
  <c r="Q25" i="41"/>
  <c r="U27" i="41"/>
  <c r="E28" i="41"/>
  <c r="M28" i="41"/>
  <c r="Q29" i="41"/>
  <c r="I30" i="41"/>
  <c r="U31" i="41"/>
  <c r="M32" i="41"/>
  <c r="Q33" i="41"/>
  <c r="Y33" i="41"/>
  <c r="I34" i="41"/>
  <c r="U35" i="41"/>
  <c r="Q37" i="41"/>
  <c r="Y37" i="41"/>
  <c r="U39" i="41"/>
  <c r="M40" i="41"/>
  <c r="Q41" i="41"/>
  <c r="Y41" i="41"/>
  <c r="I42" i="41"/>
  <c r="U43" i="41"/>
  <c r="I46" i="41"/>
  <c r="U47" i="41"/>
  <c r="E48" i="41"/>
  <c r="M48" i="41"/>
  <c r="Y49" i="41"/>
  <c r="I50" i="41"/>
  <c r="E52" i="41"/>
  <c r="Q53" i="41"/>
  <c r="Y53" i="41"/>
  <c r="I54" i="41"/>
  <c r="U55" i="41"/>
  <c r="E56" i="41"/>
  <c r="Q57" i="41"/>
  <c r="Y57" i="41"/>
  <c r="I58" i="41"/>
  <c r="U59" i="41"/>
  <c r="M60" i="41"/>
  <c r="Q61" i="41"/>
  <c r="Y61" i="41"/>
  <c r="I62" i="41"/>
  <c r="U63" i="41"/>
  <c r="E64" i="41"/>
  <c r="Y65" i="41"/>
  <c r="U67" i="41"/>
  <c r="E68" i="41"/>
  <c r="M68" i="41"/>
  <c r="Q69" i="41"/>
  <c r="Y69" i="41"/>
  <c r="I70" i="41"/>
  <c r="U71" i="41"/>
  <c r="E72" i="41"/>
  <c r="Y73" i="41"/>
  <c r="I74" i="41"/>
  <c r="U75" i="41"/>
  <c r="E76" i="41"/>
  <c r="Q77" i="41"/>
  <c r="I78" i="41"/>
  <c r="U79" i="41"/>
  <c r="E80" i="41"/>
  <c r="M80" i="41"/>
  <c r="Q81" i="41"/>
  <c r="I82" i="41"/>
  <c r="U83" i="41"/>
  <c r="E84" i="41"/>
  <c r="M84" i="41"/>
  <c r="Q85" i="41"/>
  <c r="Y85" i="41"/>
  <c r="I86" i="41"/>
  <c r="U87" i="41"/>
  <c r="M88" i="41"/>
  <c r="I90" i="41"/>
  <c r="U91" i="41"/>
  <c r="E92" i="41"/>
  <c r="M92" i="41"/>
  <c r="Q93" i="41"/>
  <c r="Y93" i="41"/>
  <c r="I94" i="41"/>
  <c r="U95" i="41"/>
  <c r="E96" i="41"/>
  <c r="M96" i="41"/>
  <c r="Y97" i="41"/>
  <c r="I98" i="41"/>
  <c r="U99" i="41"/>
  <c r="E100" i="41"/>
  <c r="M100" i="41"/>
  <c r="Q101" i="41"/>
  <c r="U103" i="41"/>
  <c r="E104" i="41"/>
  <c r="M104" i="41"/>
  <c r="Y105" i="41"/>
  <c r="I106" i="41"/>
  <c r="U107" i="41"/>
  <c r="E108" i="41"/>
  <c r="M108" i="41"/>
  <c r="Q109" i="41"/>
  <c r="Y109" i="41"/>
  <c r="I110" i="41"/>
  <c r="U111" i="41"/>
  <c r="E112" i="41"/>
  <c r="M112" i="41"/>
  <c r="Y113" i="41"/>
  <c r="I114" i="41"/>
  <c r="U115" i="41"/>
  <c r="M116" i="41"/>
  <c r="Q117" i="41"/>
  <c r="Y117" i="41"/>
  <c r="U119" i="41"/>
  <c r="E120" i="41"/>
  <c r="M120" i="41"/>
  <c r="I122" i="41"/>
  <c r="U123" i="41"/>
  <c r="U4" i="40"/>
  <c r="U5" i="40"/>
  <c r="M37" i="40"/>
  <c r="U37" i="40"/>
  <c r="E38" i="40"/>
  <c r="U110" i="40"/>
  <c r="U119" i="40"/>
  <c r="E120" i="40"/>
  <c r="M123" i="40"/>
  <c r="U123" i="40"/>
  <c r="Y95" i="41"/>
  <c r="Y123" i="41"/>
  <c r="Y27" i="41"/>
  <c r="E118" i="41"/>
  <c r="U23" i="41"/>
  <c r="Q54" i="41"/>
  <c r="Y29" i="39"/>
  <c r="Y46" i="41"/>
  <c r="U52" i="41"/>
  <c r="E57" i="41"/>
  <c r="I59" i="41"/>
  <c r="Y74" i="41"/>
  <c r="I91" i="41"/>
  <c r="E113" i="41"/>
  <c r="I115" i="41"/>
  <c r="E121" i="41"/>
  <c r="M16" i="41"/>
  <c r="I27" i="39"/>
  <c r="Q62" i="41"/>
  <c r="I11" i="39"/>
  <c r="Y22" i="39"/>
  <c r="Y25" i="39"/>
  <c r="I29" i="39"/>
  <c r="Y89" i="39"/>
  <c r="Y95" i="39"/>
  <c r="Y119" i="39"/>
  <c r="Q73" i="41"/>
  <c r="Q119" i="41"/>
  <c r="Q87" i="41"/>
  <c r="Q4" i="41"/>
  <c r="Y4" i="41"/>
  <c r="U5" i="41"/>
  <c r="M6" i="41"/>
  <c r="U6" i="41"/>
  <c r="M7" i="41"/>
  <c r="Q8" i="41"/>
  <c r="Y8" i="41"/>
  <c r="U9" i="41"/>
  <c r="E10" i="41"/>
  <c r="E11" i="41"/>
  <c r="Y11" i="41"/>
  <c r="E14" i="41"/>
  <c r="E15" i="41"/>
  <c r="Q16" i="41"/>
  <c r="U18" i="41"/>
  <c r="E19" i="41"/>
  <c r="Q24" i="41"/>
  <c r="Q32" i="41"/>
  <c r="Q40" i="41"/>
  <c r="Y43" i="41"/>
  <c r="Q48" i="41"/>
  <c r="Q56" i="41"/>
  <c r="Q64" i="41"/>
  <c r="Y67" i="41"/>
  <c r="Q72" i="41"/>
  <c r="U73" i="41"/>
  <c r="Q80" i="41"/>
  <c r="I84" i="41"/>
  <c r="Q88" i="41"/>
  <c r="Q96" i="41"/>
  <c r="E98" i="41"/>
  <c r="Y103" i="41"/>
  <c r="I104" i="41"/>
  <c r="Q112" i="41"/>
  <c r="E114" i="41"/>
  <c r="Q120" i="41"/>
  <c r="E122" i="41"/>
  <c r="M122" i="41"/>
  <c r="Q89" i="41"/>
  <c r="Q121" i="41"/>
  <c r="M20" i="41"/>
  <c r="I26" i="41"/>
  <c r="E36" i="41"/>
  <c r="E40" i="41"/>
  <c r="E44" i="41"/>
  <c r="M76" i="41"/>
  <c r="Y101" i="41"/>
  <c r="Q45" i="41"/>
  <c r="Q21" i="41"/>
  <c r="Y68" i="40"/>
  <c r="I69" i="40"/>
  <c r="Q69" i="40"/>
  <c r="Y69" i="40"/>
  <c r="I70" i="40"/>
  <c r="Q70" i="40"/>
  <c r="Y70" i="40"/>
  <c r="E75" i="40"/>
  <c r="U75" i="40"/>
  <c r="E76" i="40"/>
  <c r="Q79" i="40"/>
  <c r="Y79" i="40"/>
  <c r="I80" i="40"/>
  <c r="Q80" i="40"/>
  <c r="Y80" i="40"/>
  <c r="I81" i="40"/>
  <c r="Q81" i="40"/>
  <c r="Y81" i="40"/>
  <c r="E86" i="40"/>
  <c r="Q98" i="40"/>
  <c r="Y98" i="40"/>
  <c r="I99" i="40"/>
  <c r="Q99" i="40"/>
  <c r="Y99" i="40"/>
  <c r="I100" i="40"/>
  <c r="Y100" i="40"/>
  <c r="I101" i="40"/>
  <c r="Q101" i="40"/>
  <c r="Y101" i="40"/>
  <c r="M106" i="40"/>
  <c r="M107" i="40"/>
  <c r="I111" i="40"/>
  <c r="Q111" i="40"/>
  <c r="Y111" i="40"/>
  <c r="Q116" i="40"/>
  <c r="Y116" i="40"/>
  <c r="U118" i="40"/>
  <c r="Q120" i="40"/>
  <c r="Y120" i="40"/>
  <c r="M122" i="40"/>
  <c r="U122" i="40"/>
  <c r="Q5" i="41"/>
  <c r="Q13" i="41"/>
  <c r="E24" i="41"/>
  <c r="Y25" i="41"/>
  <c r="Q26" i="41"/>
  <c r="Q66" i="41"/>
  <c r="Q70" i="41"/>
  <c r="Q74" i="41"/>
  <c r="Q86" i="41"/>
  <c r="Q90" i="41"/>
  <c r="Q94" i="41"/>
  <c r="Q102" i="41"/>
  <c r="Q5" i="39"/>
  <c r="Q6" i="39"/>
  <c r="I20" i="39"/>
  <c r="Y20" i="39"/>
  <c r="I30" i="39"/>
  <c r="Q37" i="39"/>
  <c r="Y52" i="39"/>
  <c r="Y55" i="39"/>
  <c r="Y69" i="39"/>
  <c r="I85" i="39"/>
  <c r="Q89" i="39"/>
  <c r="I92" i="39"/>
  <c r="I93" i="39"/>
  <c r="Q98" i="39"/>
  <c r="Y100" i="39"/>
  <c r="I105" i="39"/>
  <c r="Y107" i="39"/>
  <c r="I108" i="39"/>
  <c r="I109" i="39"/>
  <c r="I111" i="39"/>
  <c r="Q113" i="39"/>
  <c r="I114" i="39"/>
  <c r="I115" i="39"/>
  <c r="Y118" i="39"/>
  <c r="U4" i="41"/>
  <c r="E5" i="41"/>
  <c r="M5" i="41"/>
  <c r="Q6" i="41"/>
  <c r="I7" i="41"/>
  <c r="U8" i="41"/>
  <c r="E9" i="41"/>
  <c r="M9" i="41"/>
  <c r="Y10" i="41"/>
  <c r="I11" i="41"/>
  <c r="U12" i="41"/>
  <c r="M13" i="41"/>
  <c r="Q14" i="41"/>
  <c r="Y14" i="41"/>
  <c r="I15" i="41"/>
  <c r="U16" i="41"/>
  <c r="E17" i="41"/>
  <c r="M17" i="41"/>
  <c r="Q18" i="41"/>
  <c r="Y18" i="41"/>
  <c r="I19" i="41"/>
  <c r="U21" i="41"/>
  <c r="E22" i="41"/>
  <c r="M22" i="41"/>
  <c r="Q23" i="41"/>
  <c r="Y23" i="41"/>
  <c r="I24" i="41"/>
  <c r="U25" i="41"/>
  <c r="E26" i="41"/>
  <c r="M26" i="41"/>
  <c r="I28" i="41"/>
  <c r="U29" i="41"/>
  <c r="E30" i="41"/>
  <c r="M30" i="41"/>
  <c r="Q31" i="41"/>
  <c r="Y31" i="41"/>
  <c r="I32" i="41"/>
  <c r="U33" i="41"/>
  <c r="E34" i="41"/>
  <c r="M34" i="41"/>
  <c r="Q35" i="41"/>
  <c r="Y35" i="41"/>
  <c r="I36" i="41"/>
  <c r="U37" i="41"/>
  <c r="E38" i="41"/>
  <c r="M38" i="41"/>
  <c r="Q39" i="41"/>
  <c r="Y39" i="41"/>
  <c r="I40" i="41"/>
  <c r="U41" i="41"/>
  <c r="E42" i="41"/>
  <c r="M42" i="41"/>
  <c r="Q43" i="41"/>
  <c r="I44" i="41"/>
  <c r="U45" i="41"/>
  <c r="E46" i="41"/>
  <c r="M46" i="41"/>
  <c r="Q47" i="41"/>
  <c r="Y47" i="41"/>
  <c r="I48" i="41"/>
  <c r="U49" i="41"/>
  <c r="E50" i="41"/>
  <c r="M50" i="41"/>
  <c r="Q51" i="41"/>
  <c r="Y51" i="41"/>
  <c r="U53" i="41"/>
  <c r="E54" i="41"/>
  <c r="M54" i="41"/>
  <c r="Y55" i="41"/>
  <c r="I56" i="41"/>
  <c r="U57" i="41"/>
  <c r="M58" i="41"/>
  <c r="Y59" i="41"/>
  <c r="I60" i="41"/>
  <c r="U61" i="41"/>
  <c r="Q63" i="41"/>
  <c r="I64" i="41"/>
  <c r="U65" i="41"/>
  <c r="E66" i="41"/>
  <c r="M66" i="41"/>
  <c r="Q67" i="41"/>
  <c r="I68" i="41"/>
  <c r="U69" i="41"/>
  <c r="E70" i="41"/>
  <c r="M70" i="41"/>
  <c r="Q71" i="41"/>
  <c r="Y71" i="41"/>
  <c r="I72" i="41"/>
  <c r="E74" i="41"/>
  <c r="M74" i="41"/>
  <c r="Q75" i="41"/>
  <c r="Y75" i="41"/>
  <c r="I76" i="41"/>
  <c r="U77" i="41"/>
  <c r="E78" i="41"/>
  <c r="M78" i="41"/>
  <c r="Y79" i="41"/>
  <c r="U81" i="41"/>
  <c r="E82" i="41"/>
  <c r="M82" i="41"/>
  <c r="Q83" i="41"/>
  <c r="Y83" i="41"/>
  <c r="E86" i="41"/>
  <c r="M86" i="41"/>
  <c r="U89" i="41"/>
  <c r="E90" i="41"/>
  <c r="M90" i="41"/>
  <c r="Y91" i="41"/>
  <c r="I92" i="41"/>
  <c r="Q95" i="41"/>
  <c r="I96" i="41"/>
  <c r="U97" i="41"/>
  <c r="Q99" i="41"/>
  <c r="Y99" i="41"/>
  <c r="U101" i="41"/>
  <c r="M102" i="41"/>
  <c r="Q103" i="41"/>
  <c r="M106" i="41"/>
  <c r="Q107" i="41"/>
  <c r="Y107" i="41"/>
  <c r="I108" i="41"/>
  <c r="U109" i="41"/>
  <c r="Q111" i="41"/>
  <c r="I112" i="41"/>
  <c r="U113" i="41"/>
  <c r="Q115" i="41"/>
  <c r="Y115" i="41"/>
  <c r="I116" i="41"/>
  <c r="Y119" i="41"/>
  <c r="E6" i="41"/>
  <c r="Y7" i="41"/>
  <c r="I8" i="41"/>
  <c r="M10" i="41"/>
  <c r="Q11" i="41"/>
  <c r="I12" i="41"/>
  <c r="U13" i="41"/>
  <c r="M14" i="41"/>
  <c r="Y15" i="41"/>
  <c r="I16" i="41"/>
  <c r="E18" i="41"/>
  <c r="I20" i="41"/>
  <c r="Q20" i="41"/>
  <c r="I21" i="41"/>
  <c r="U22" i="41"/>
  <c r="E23" i="41"/>
  <c r="I25" i="41"/>
  <c r="U26" i="41"/>
  <c r="E27" i="41"/>
  <c r="M27" i="41"/>
  <c r="Q28" i="41"/>
  <c r="Y28" i="41"/>
  <c r="E31" i="41"/>
  <c r="M31" i="41"/>
  <c r="Y32" i="41"/>
  <c r="I33" i="41"/>
  <c r="E35" i="41"/>
  <c r="Q36" i="41"/>
  <c r="Y36" i="41"/>
  <c r="I37" i="41"/>
  <c r="E39" i="41"/>
  <c r="M39" i="41"/>
  <c r="U42" i="41"/>
  <c r="E43" i="41"/>
  <c r="M43" i="41"/>
  <c r="Y44" i="41"/>
  <c r="I45" i="41"/>
  <c r="U46" i="41"/>
  <c r="E47" i="41"/>
  <c r="M47" i="41"/>
  <c r="Y48" i="41"/>
  <c r="I49" i="41"/>
  <c r="U50" i="41"/>
  <c r="E51" i="41"/>
  <c r="M51" i="41"/>
  <c r="Q52" i="41"/>
  <c r="Y52" i="41"/>
  <c r="I53" i="41"/>
  <c r="U54" i="41"/>
  <c r="E55" i="41"/>
  <c r="M55" i="41"/>
  <c r="Y56" i="41"/>
  <c r="I57" i="41"/>
  <c r="U58" i="41"/>
  <c r="E59" i="41"/>
  <c r="M59" i="41"/>
  <c r="Q60" i="41"/>
  <c r="Y60" i="41"/>
  <c r="I61" i="41"/>
  <c r="U62" i="41"/>
  <c r="E63" i="41"/>
  <c r="M63" i="41"/>
  <c r="Y64" i="41"/>
  <c r="U66" i="41"/>
  <c r="E67" i="41"/>
  <c r="M67" i="41"/>
  <c r="Y68" i="41"/>
  <c r="U70" i="41"/>
  <c r="E71" i="41"/>
  <c r="M71" i="41"/>
  <c r="Y72" i="41"/>
  <c r="I73" i="41"/>
  <c r="U74" i="41"/>
  <c r="E75" i="41"/>
  <c r="M75" i="41"/>
  <c r="Y76" i="41"/>
  <c r="I77" i="41"/>
  <c r="E79" i="41"/>
  <c r="M79" i="41"/>
  <c r="Y80" i="41"/>
  <c r="I81" i="41"/>
  <c r="U82" i="41"/>
  <c r="E83" i="41"/>
  <c r="M83" i="41"/>
  <c r="Y84" i="41"/>
  <c r="I85" i="41"/>
  <c r="U86" i="41"/>
  <c r="E87" i="41"/>
  <c r="M87" i="41"/>
  <c r="Y88" i="41"/>
  <c r="I89" i="41"/>
  <c r="U90" i="41"/>
  <c r="E91" i="41"/>
  <c r="M91" i="41"/>
  <c r="Q92" i="41"/>
  <c r="Y92" i="41"/>
  <c r="I93" i="41"/>
  <c r="U94" i="41"/>
  <c r="E95" i="41"/>
  <c r="M95" i="41"/>
  <c r="Y96" i="41"/>
  <c r="I97" i="41"/>
  <c r="U98" i="41"/>
  <c r="E99" i="41"/>
  <c r="M99" i="41"/>
  <c r="Y100" i="41"/>
  <c r="I101" i="41"/>
  <c r="U102" i="41"/>
  <c r="E103" i="41"/>
  <c r="M103" i="41"/>
  <c r="Y104" i="41"/>
  <c r="I105" i="41"/>
  <c r="U106" i="41"/>
  <c r="E107" i="41"/>
  <c r="M107" i="41"/>
  <c r="Y108" i="41"/>
  <c r="I109" i="41"/>
  <c r="U110" i="41"/>
  <c r="E111" i="41"/>
  <c r="M111" i="41"/>
  <c r="Y112" i="41"/>
  <c r="I113" i="41"/>
  <c r="U114" i="41"/>
  <c r="E115" i="41"/>
  <c r="M115" i="41"/>
  <c r="Q116" i="41"/>
  <c r="Y116" i="41"/>
  <c r="I117" i="41"/>
  <c r="U118" i="41"/>
  <c r="E119" i="41"/>
  <c r="M119" i="41"/>
  <c r="Y120" i="41"/>
  <c r="I121" i="41"/>
  <c r="U122" i="41"/>
  <c r="E123" i="41"/>
  <c r="M123" i="41"/>
  <c r="I30" i="40"/>
  <c r="I37" i="40"/>
  <c r="I110" i="40"/>
  <c r="I14" i="40"/>
  <c r="I21" i="40"/>
  <c r="I77" i="40"/>
  <c r="I4" i="40"/>
  <c r="Q4" i="40"/>
  <c r="Y4" i="40"/>
  <c r="I5" i="40"/>
  <c r="Q5" i="40"/>
  <c r="Y5" i="40"/>
  <c r="M8" i="40"/>
  <c r="Q14" i="40"/>
  <c r="Y14" i="40"/>
  <c r="Q21" i="40"/>
  <c r="Y21" i="40"/>
  <c r="E25" i="40"/>
  <c r="U26" i="40"/>
  <c r="Q30" i="40"/>
  <c r="Y30" i="40"/>
  <c r="Q37" i="40"/>
  <c r="Y37" i="40"/>
  <c r="I38" i="40"/>
  <c r="Q38" i="40"/>
  <c r="Y38" i="40"/>
  <c r="Q46" i="40"/>
  <c r="Y46" i="40"/>
  <c r="Q53" i="40"/>
  <c r="Y53" i="40"/>
  <c r="I54" i="40"/>
  <c r="Q54" i="40"/>
  <c r="Y54" i="40"/>
  <c r="I55" i="40"/>
  <c r="Q55" i="40"/>
  <c r="Y55" i="40"/>
  <c r="I56" i="40"/>
  <c r="Q56" i="40"/>
  <c r="Y56" i="40"/>
  <c r="E59" i="40"/>
  <c r="M59" i="40"/>
  <c r="I63" i="40"/>
  <c r="Q63" i="40"/>
  <c r="Y63" i="40"/>
  <c r="I64" i="40"/>
  <c r="Q64" i="40"/>
  <c r="Y64" i="40"/>
  <c r="I65" i="40"/>
  <c r="Q65" i="40"/>
  <c r="Y65" i="40"/>
  <c r="I66" i="40"/>
  <c r="Q66" i="40"/>
  <c r="Y66" i="40"/>
  <c r="I67" i="40"/>
  <c r="Q67" i="40"/>
  <c r="Y67" i="40"/>
  <c r="U72" i="40"/>
  <c r="Q77" i="40"/>
  <c r="Y77" i="40"/>
  <c r="I78" i="40"/>
  <c r="Q78" i="40"/>
  <c r="Y78" i="40"/>
  <c r="Q86" i="40"/>
  <c r="Y86" i="40"/>
  <c r="I87" i="40"/>
  <c r="Q87" i="40"/>
  <c r="Y87" i="40"/>
  <c r="I88" i="40"/>
  <c r="Q88" i="40"/>
  <c r="Y88" i="40"/>
  <c r="I89" i="40"/>
  <c r="Q89" i="40"/>
  <c r="Y89" i="40"/>
  <c r="I90" i="40"/>
  <c r="Q90" i="40"/>
  <c r="Y90" i="40"/>
  <c r="I91" i="40"/>
  <c r="Q91" i="40"/>
  <c r="Y91" i="40"/>
  <c r="I92" i="40"/>
  <c r="Q92" i="40"/>
  <c r="Y92" i="40"/>
  <c r="I93" i="40"/>
  <c r="Q93" i="40"/>
  <c r="Y93" i="40"/>
  <c r="I94" i="40"/>
  <c r="Q94" i="40"/>
  <c r="Y94" i="40"/>
  <c r="I95" i="40"/>
  <c r="Q95" i="40"/>
  <c r="Y95" i="40"/>
  <c r="I96" i="40"/>
  <c r="Q96" i="40"/>
  <c r="Y96" i="40"/>
  <c r="I97" i="40"/>
  <c r="Q97" i="40"/>
  <c r="Y97" i="40"/>
  <c r="U102" i="40"/>
  <c r="E103" i="40"/>
  <c r="E104" i="40"/>
  <c r="M104" i="40"/>
  <c r="Q110" i="40"/>
  <c r="Y110" i="40"/>
  <c r="I115" i="40"/>
  <c r="Q115" i="40"/>
  <c r="Y115" i="40"/>
  <c r="I119" i="40"/>
  <c r="Q119" i="40"/>
  <c r="Y119" i="40"/>
  <c r="I123" i="40"/>
  <c r="Q123" i="40"/>
  <c r="Y123" i="40"/>
  <c r="E15" i="40"/>
  <c r="Q7" i="41"/>
  <c r="E4" i="39"/>
  <c r="E16" i="41"/>
  <c r="I18" i="41"/>
  <c r="U19" i="41"/>
  <c r="U20" i="41"/>
  <c r="I27" i="40"/>
  <c r="I43" i="40"/>
  <c r="I49" i="40"/>
  <c r="I71" i="40"/>
  <c r="I4" i="39"/>
  <c r="Q4" i="39"/>
  <c r="Y4" i="39"/>
  <c r="I5" i="39"/>
  <c r="Y5" i="39"/>
  <c r="I6" i="39"/>
  <c r="Y6" i="39"/>
  <c r="I7" i="39"/>
  <c r="Q7" i="39"/>
  <c r="Y7" i="39"/>
  <c r="I8" i="39"/>
  <c r="Q8" i="39"/>
  <c r="Y8" i="39"/>
  <c r="I9" i="39"/>
  <c r="Q9" i="39"/>
  <c r="Y9" i="39"/>
  <c r="I10" i="39"/>
  <c r="Q10" i="39"/>
  <c r="Y10" i="39"/>
  <c r="Q11" i="39"/>
  <c r="Y11" i="39"/>
  <c r="I12" i="39"/>
  <c r="Q12" i="39"/>
  <c r="Y12" i="39"/>
  <c r="I13" i="39"/>
  <c r="Q13" i="39"/>
  <c r="Y13" i="39"/>
  <c r="I14" i="39"/>
  <c r="Q14" i="39"/>
  <c r="Y14" i="39"/>
  <c r="I15" i="39"/>
  <c r="Q15" i="39"/>
  <c r="Y15" i="39"/>
  <c r="I16" i="39"/>
  <c r="Q16" i="39"/>
  <c r="Y16" i="39"/>
  <c r="I17" i="39"/>
  <c r="Q17" i="39"/>
  <c r="Y17" i="39"/>
  <c r="I18" i="39"/>
  <c r="Q18" i="39"/>
  <c r="Y18" i="39"/>
  <c r="I19" i="39"/>
  <c r="Q19" i="39"/>
  <c r="Y19" i="39"/>
  <c r="Q20" i="39"/>
  <c r="I21" i="39"/>
  <c r="Q21" i="39"/>
  <c r="Y21" i="39"/>
  <c r="I22" i="39"/>
  <c r="Q22" i="39"/>
  <c r="I23" i="39"/>
  <c r="Q23" i="39"/>
  <c r="Y23" i="39"/>
  <c r="I24" i="39"/>
  <c r="Q24" i="39"/>
  <c r="Y24" i="39"/>
  <c r="I25" i="39"/>
  <c r="Q25" i="39"/>
  <c r="I26" i="39"/>
  <c r="Q26" i="39"/>
  <c r="Y26" i="39"/>
  <c r="Q27" i="39"/>
  <c r="Y27" i="39"/>
  <c r="I28" i="39"/>
  <c r="Q28" i="39"/>
  <c r="Y28" i="39"/>
  <c r="Q29" i="39"/>
  <c r="Q30" i="39"/>
  <c r="Y30" i="39"/>
  <c r="I31" i="39"/>
  <c r="Y31" i="39"/>
  <c r="I32" i="39"/>
  <c r="I34" i="39"/>
  <c r="Q35" i="39"/>
  <c r="I39" i="39"/>
  <c r="I41" i="39"/>
  <c r="Q41" i="39"/>
  <c r="Y42" i="39"/>
  <c r="Q43" i="39"/>
  <c r="I45" i="39"/>
  <c r="Y47" i="39"/>
  <c r="I48" i="39"/>
  <c r="Y48" i="39"/>
  <c r="Q51" i="39"/>
  <c r="I52" i="39"/>
  <c r="Y53" i="39"/>
  <c r="I54" i="39"/>
  <c r="Y54" i="39"/>
  <c r="Q55" i="39"/>
  <c r="Q56" i="39"/>
  <c r="I58" i="39"/>
  <c r="Q59" i="39"/>
  <c r="Q60" i="39"/>
  <c r="Y62" i="39"/>
  <c r="I65" i="39"/>
  <c r="Q68" i="39"/>
  <c r="Q69" i="39"/>
  <c r="Q74" i="39"/>
  <c r="Y74" i="39"/>
  <c r="Y76" i="39"/>
  <c r="Q79" i="39"/>
  <c r="I83" i="39"/>
  <c r="Y83" i="39"/>
  <c r="Y87" i="39"/>
  <c r="I88" i="39"/>
  <c r="Y88" i="39"/>
  <c r="I89" i="39"/>
  <c r="I90" i="39"/>
  <c r="Q90" i="39"/>
  <c r="Y90" i="39"/>
  <c r="I91" i="39"/>
  <c r="Q91" i="39"/>
  <c r="Y91" i="39"/>
  <c r="Q92" i="39"/>
  <c r="Y92" i="39"/>
  <c r="Q93" i="39"/>
  <c r="Y93" i="39"/>
  <c r="I94" i="39"/>
  <c r="Q94" i="39"/>
  <c r="Y94" i="39"/>
  <c r="I95" i="39"/>
  <c r="Q95" i="39"/>
  <c r="I96" i="39"/>
  <c r="Q96" i="39"/>
  <c r="Y96" i="39"/>
  <c r="I97" i="39"/>
  <c r="Q97" i="39"/>
  <c r="Y97" i="39"/>
  <c r="I98" i="39"/>
  <c r="Y98" i="39"/>
  <c r="I99" i="39"/>
  <c r="Q99" i="39"/>
  <c r="Y99" i="39"/>
  <c r="I100" i="39"/>
  <c r="Q100" i="39"/>
  <c r="I101" i="39"/>
  <c r="Q101" i="39"/>
  <c r="Y101" i="39"/>
  <c r="I102" i="39"/>
  <c r="Q102" i="39"/>
  <c r="Y102" i="39"/>
  <c r="I103" i="39"/>
  <c r="Q103" i="39"/>
  <c r="Y103" i="39"/>
  <c r="I104" i="39"/>
  <c r="Q104" i="39"/>
  <c r="Y104" i="39"/>
  <c r="I118" i="41"/>
  <c r="Q104" i="41"/>
  <c r="Q113" i="41"/>
  <c r="Q76" i="41"/>
  <c r="Q84" i="41"/>
  <c r="Q108" i="41"/>
  <c r="E8" i="39"/>
  <c r="M8" i="39"/>
  <c r="M9" i="39"/>
  <c r="E11" i="39"/>
  <c r="M12" i="39"/>
  <c r="U12" i="39"/>
  <c r="E13" i="39"/>
  <c r="U14" i="39"/>
  <c r="U18" i="39"/>
  <c r="E20" i="39"/>
  <c r="U23" i="39"/>
  <c r="E26" i="39"/>
  <c r="M28" i="39"/>
  <c r="U28" i="39"/>
  <c r="M30" i="39"/>
  <c r="M31" i="39"/>
  <c r="M32" i="39"/>
  <c r="M33" i="39"/>
  <c r="U34" i="39"/>
  <c r="M35" i="39"/>
  <c r="U35" i="39"/>
  <c r="E36" i="39"/>
  <c r="U37" i="39"/>
  <c r="E41" i="39"/>
  <c r="M42" i="39"/>
  <c r="E43" i="39"/>
  <c r="U43" i="39"/>
  <c r="E44" i="39"/>
  <c r="E45" i="39"/>
  <c r="M45" i="39"/>
  <c r="U45" i="39"/>
  <c r="E46" i="39"/>
  <c r="U48" i="39"/>
  <c r="E49" i="39"/>
  <c r="M49" i="39"/>
  <c r="U49" i="39"/>
  <c r="M50" i="39"/>
  <c r="M51" i="39"/>
  <c r="U51" i="39"/>
  <c r="M52" i="39"/>
  <c r="E53" i="39"/>
  <c r="M53" i="39"/>
  <c r="U54" i="39"/>
  <c r="E56" i="39"/>
  <c r="E57" i="39"/>
  <c r="E59" i="39"/>
  <c r="M60" i="39"/>
  <c r="U61" i="39"/>
  <c r="E63" i="39"/>
  <c r="M63" i="39"/>
  <c r="U63" i="39"/>
  <c r="M65" i="39"/>
  <c r="U65" i="39"/>
  <c r="E66" i="39"/>
  <c r="M66" i="39"/>
  <c r="M68" i="39"/>
  <c r="U68" i="39"/>
  <c r="U69" i="39"/>
  <c r="M70" i="39"/>
  <c r="U71" i="39"/>
  <c r="M72" i="39"/>
  <c r="E74" i="39"/>
  <c r="M75" i="39"/>
  <c r="M76" i="39"/>
  <c r="M78" i="39"/>
  <c r="E79" i="39"/>
  <c r="U79" i="39"/>
  <c r="E80" i="39"/>
  <c r="M81" i="39"/>
  <c r="U81" i="39"/>
  <c r="E83" i="39"/>
  <c r="M85" i="39"/>
  <c r="U85" i="39"/>
  <c r="E86" i="39"/>
  <c r="M87" i="39"/>
  <c r="E88" i="39"/>
  <c r="I65" i="41"/>
  <c r="U5" i="39"/>
  <c r="M6" i="39"/>
  <c r="U9" i="39"/>
  <c r="M11" i="39"/>
  <c r="E12" i="39"/>
  <c r="M14" i="39"/>
  <c r="M18" i="39"/>
  <c r="E21" i="39"/>
  <c r="E23" i="39"/>
  <c r="U29" i="39"/>
  <c r="E32" i="39"/>
  <c r="U32" i="39"/>
  <c r="E33" i="39"/>
  <c r="M36" i="39"/>
  <c r="E37" i="39"/>
  <c r="M37" i="39"/>
  <c r="M38" i="39"/>
  <c r="E39" i="39"/>
  <c r="M39" i="39"/>
  <c r="U39" i="39"/>
  <c r="E40" i="39"/>
  <c r="M40" i="39"/>
  <c r="M43" i="39"/>
  <c r="M44" i="39"/>
  <c r="U44" i="39"/>
  <c r="M46" i="39"/>
  <c r="U46" i="39"/>
  <c r="E47" i="39"/>
  <c r="M47" i="39"/>
  <c r="U53" i="39"/>
  <c r="E54" i="39"/>
  <c r="M54" i="39"/>
  <c r="M56" i="39"/>
  <c r="U56" i="39"/>
  <c r="M58" i="39"/>
  <c r="U60" i="39"/>
  <c r="E61" i="39"/>
  <c r="M62" i="39"/>
  <c r="E65" i="39"/>
  <c r="M67" i="39"/>
  <c r="E68" i="39"/>
  <c r="E69" i="39"/>
  <c r="U70" i="39"/>
  <c r="M71" i="39"/>
  <c r="E72" i="39"/>
  <c r="M74" i="39"/>
  <c r="U74" i="39"/>
  <c r="E76" i="39"/>
  <c r="U76" i="39"/>
  <c r="U77" i="39"/>
  <c r="E78" i="39"/>
  <c r="M80" i="39"/>
  <c r="M83" i="39"/>
  <c r="U83" i="39"/>
  <c r="E84" i="39"/>
  <c r="M84" i="39"/>
  <c r="U84" i="39"/>
  <c r="E87" i="39"/>
  <c r="U87" i="39"/>
  <c r="I6" i="40"/>
  <c r="I112" i="40"/>
  <c r="I82" i="40"/>
  <c r="I121" i="40"/>
  <c r="Q49" i="41"/>
  <c r="Q44" i="41"/>
  <c r="U88" i="39"/>
  <c r="M89" i="39"/>
  <c r="E90" i="39"/>
  <c r="U91" i="39"/>
  <c r="M93" i="39"/>
  <c r="U93" i="39"/>
  <c r="M94" i="39"/>
  <c r="E95" i="39"/>
  <c r="E96" i="39"/>
  <c r="M96" i="39"/>
  <c r="U96" i="39"/>
  <c r="M97" i="39"/>
  <c r="U97" i="39"/>
  <c r="E98" i="39"/>
  <c r="U98" i="39"/>
  <c r="U99" i="39"/>
  <c r="M101" i="39"/>
  <c r="E102" i="39"/>
  <c r="M102" i="39"/>
  <c r="U102" i="39"/>
  <c r="U103" i="39"/>
  <c r="U105" i="39"/>
  <c r="E106" i="39"/>
  <c r="U106" i="39"/>
  <c r="E107" i="39"/>
  <c r="M108" i="39"/>
  <c r="E109" i="39"/>
  <c r="M110" i="39"/>
  <c r="E111" i="39"/>
  <c r="M111" i="39"/>
  <c r="U111" i="39"/>
  <c r="M113" i="39"/>
  <c r="U113" i="39"/>
  <c r="E114" i="39"/>
  <c r="E117" i="39"/>
  <c r="M117" i="39"/>
  <c r="E118" i="39"/>
  <c r="E119" i="39"/>
  <c r="U119" i="39"/>
  <c r="M120" i="39"/>
  <c r="U120" i="39"/>
  <c r="M123" i="39"/>
  <c r="M72" i="41"/>
  <c r="E5" i="40"/>
  <c r="M5" i="40"/>
  <c r="E6" i="40"/>
  <c r="I7" i="40"/>
  <c r="Q7" i="40"/>
  <c r="Y7" i="40"/>
  <c r="I8" i="40"/>
  <c r="Q8" i="40"/>
  <c r="Y8" i="40"/>
  <c r="I9" i="40"/>
  <c r="Q9" i="40"/>
  <c r="Y9" i="40"/>
  <c r="M14" i="40"/>
  <c r="Q17" i="40"/>
  <c r="Y17" i="40"/>
  <c r="M21" i="40"/>
  <c r="U21" i="40"/>
  <c r="I24" i="40"/>
  <c r="Q24" i="40"/>
  <c r="Y24" i="40"/>
  <c r="I25" i="40"/>
  <c r="Q25" i="40"/>
  <c r="Y25" i="40"/>
  <c r="I26" i="40"/>
  <c r="Q26" i="40"/>
  <c r="Y26" i="40"/>
  <c r="U30" i="40"/>
  <c r="Q34" i="40"/>
  <c r="Y34" i="40"/>
  <c r="U38" i="40"/>
  <c r="E39" i="40"/>
  <c r="Q43" i="40"/>
  <c r="Y43" i="40"/>
  <c r="Q49" i="40"/>
  <c r="Y49" i="40"/>
  <c r="U54" i="40"/>
  <c r="I58" i="40"/>
  <c r="Q58" i="40"/>
  <c r="Y58" i="40"/>
  <c r="I59" i="40"/>
  <c r="Q59" i="40"/>
  <c r="Y59" i="40"/>
  <c r="I60" i="40"/>
  <c r="Q60" i="40"/>
  <c r="Y60" i="40"/>
  <c r="I61" i="40"/>
  <c r="Q61" i="40"/>
  <c r="Y61" i="40"/>
  <c r="M63" i="40"/>
  <c r="U65" i="40"/>
  <c r="E66" i="40"/>
  <c r="U67" i="40"/>
  <c r="Q71" i="40"/>
  <c r="Y71" i="40"/>
  <c r="I72" i="40"/>
  <c r="Q72" i="40"/>
  <c r="Y72" i="40"/>
  <c r="M77" i="40"/>
  <c r="E78" i="40"/>
  <c r="Q82" i="40"/>
  <c r="Y82" i="40"/>
  <c r="E91" i="40"/>
  <c r="U91" i="40"/>
  <c r="U94" i="40"/>
  <c r="M95" i="40"/>
  <c r="U97" i="40"/>
  <c r="Q102" i="40"/>
  <c r="Y102" i="40"/>
  <c r="I103" i="40"/>
  <c r="Q103" i="40"/>
  <c r="Y103" i="40"/>
  <c r="I104" i="40"/>
  <c r="Q104" i="40"/>
  <c r="Y104" i="40"/>
  <c r="Q112" i="40"/>
  <c r="Y112" i="40"/>
  <c r="I113" i="40"/>
  <c r="Q113" i="40"/>
  <c r="Y113" i="40"/>
  <c r="M115" i="40"/>
  <c r="U115" i="40"/>
  <c r="I117" i="40"/>
  <c r="Q117" i="40"/>
  <c r="Y117" i="40"/>
  <c r="M119" i="40"/>
  <c r="Q121" i="40"/>
  <c r="Y121" i="40"/>
  <c r="U51" i="41"/>
  <c r="M52" i="41"/>
  <c r="Y121" i="41"/>
  <c r="I10" i="40"/>
  <c r="E24" i="40"/>
  <c r="I34" i="40"/>
  <c r="I39" i="40"/>
  <c r="E47" i="40"/>
  <c r="I57" i="40"/>
  <c r="I62" i="40"/>
  <c r="I73" i="40"/>
  <c r="I79" i="40"/>
  <c r="I86" i="40"/>
  <c r="Q105" i="39"/>
  <c r="Y105" i="39"/>
  <c r="I106" i="39"/>
  <c r="Q106" i="39"/>
  <c r="Y106" i="39"/>
  <c r="I107" i="39"/>
  <c r="Q107" i="39"/>
  <c r="Q108" i="39"/>
  <c r="Y108" i="39"/>
  <c r="Q109" i="39"/>
  <c r="Y109" i="39"/>
  <c r="I110" i="39"/>
  <c r="Q110" i="39"/>
  <c r="Y110" i="39"/>
  <c r="Q111" i="39"/>
  <c r="Y111" i="39"/>
  <c r="I112" i="39"/>
  <c r="Q112" i="39"/>
  <c r="Y112" i="39"/>
  <c r="I113" i="39"/>
  <c r="Y113" i="39"/>
  <c r="Q114" i="39"/>
  <c r="Y114" i="39"/>
  <c r="Q115" i="39"/>
  <c r="Y115" i="39"/>
  <c r="I116" i="39"/>
  <c r="Q116" i="39"/>
  <c r="Y116" i="39"/>
  <c r="I117" i="39"/>
  <c r="Q117" i="39"/>
  <c r="Y117" i="39"/>
  <c r="I118" i="39"/>
  <c r="Q118" i="39"/>
  <c r="I119" i="39"/>
  <c r="Q119" i="39"/>
  <c r="I120" i="39"/>
  <c r="Q120" i="39"/>
  <c r="Y120" i="39"/>
  <c r="I121" i="39"/>
  <c r="Q121" i="39"/>
  <c r="Y121" i="39"/>
  <c r="I122" i="39"/>
  <c r="Q122" i="39"/>
  <c r="Y122" i="39"/>
  <c r="I123" i="39"/>
  <c r="Q123" i="39"/>
  <c r="Y123" i="39"/>
  <c r="Q10" i="40"/>
  <c r="Y10" i="40"/>
  <c r="I11" i="40"/>
  <c r="Q11" i="40"/>
  <c r="Y11" i="40"/>
  <c r="I12" i="40"/>
  <c r="Q12" i="40"/>
  <c r="Y12" i="40"/>
  <c r="I13" i="40"/>
  <c r="Q13" i="40"/>
  <c r="Y13" i="40"/>
  <c r="M16" i="40"/>
  <c r="I18" i="40"/>
  <c r="Q18" i="40"/>
  <c r="Y18" i="40"/>
  <c r="I19" i="40"/>
  <c r="Q19" i="40"/>
  <c r="Y19" i="40"/>
  <c r="I20" i="40"/>
  <c r="Q20" i="40"/>
  <c r="Y20" i="40"/>
  <c r="U23" i="40"/>
  <c r="Y27" i="40"/>
  <c r="I28" i="40"/>
  <c r="Q28" i="40"/>
  <c r="Y28" i="40"/>
  <c r="I29" i="40"/>
  <c r="Q29" i="40"/>
  <c r="Y29" i="40"/>
  <c r="M31" i="40"/>
  <c r="E32" i="40"/>
  <c r="E33" i="40"/>
  <c r="E34" i="40"/>
  <c r="I35" i="40"/>
  <c r="Q35" i="40"/>
  <c r="Y35" i="40"/>
  <c r="I36" i="40"/>
  <c r="Q36" i="40"/>
  <c r="Y36" i="40"/>
  <c r="M42" i="40"/>
  <c r="I44" i="40"/>
  <c r="Q44" i="40"/>
  <c r="Y44" i="40"/>
  <c r="I45" i="40"/>
  <c r="Q45" i="40"/>
  <c r="Y45" i="40"/>
  <c r="M47" i="40"/>
  <c r="E48" i="40"/>
  <c r="I50" i="40"/>
  <c r="Q50" i="40"/>
  <c r="Y50" i="40"/>
  <c r="I51" i="40"/>
  <c r="Q51" i="40"/>
  <c r="Y51" i="40"/>
  <c r="I52" i="40"/>
  <c r="Q52" i="40"/>
  <c r="Y52" i="40"/>
  <c r="M57" i="40"/>
  <c r="Q62" i="40"/>
  <c r="Y62" i="40"/>
  <c r="U70" i="40"/>
  <c r="Q73" i="40"/>
  <c r="Y73" i="40"/>
  <c r="I74" i="40"/>
  <c r="Q74" i="40"/>
  <c r="Y74" i="40"/>
  <c r="I75" i="40"/>
  <c r="Q75" i="40"/>
  <c r="Y75" i="40"/>
  <c r="I76" i="40"/>
  <c r="Q76" i="40"/>
  <c r="Y76" i="40"/>
  <c r="E81" i="40"/>
  <c r="I83" i="40"/>
  <c r="Q83" i="40"/>
  <c r="Y83" i="40"/>
  <c r="Q84" i="40"/>
  <c r="Y84" i="40"/>
  <c r="I85" i="40"/>
  <c r="Q85" i="40"/>
  <c r="Y85" i="40"/>
  <c r="U99" i="40"/>
  <c r="I105" i="40"/>
  <c r="Q105" i="40"/>
  <c r="Y105" i="40"/>
  <c r="I106" i="40"/>
  <c r="Q106" i="40"/>
  <c r="Y106" i="40"/>
  <c r="I107" i="40"/>
  <c r="Q107" i="40"/>
  <c r="I108" i="40"/>
  <c r="Q108" i="40"/>
  <c r="Y108" i="40"/>
  <c r="I109" i="40"/>
  <c r="Q109" i="40"/>
  <c r="Y109" i="40"/>
  <c r="U111" i="40"/>
  <c r="Q114" i="40"/>
  <c r="Y114" i="40"/>
  <c r="Q118" i="40"/>
  <c r="Y118" i="40"/>
  <c r="Q122" i="40"/>
  <c r="Y122" i="40"/>
  <c r="M44" i="41"/>
  <c r="Y45" i="41"/>
  <c r="E49" i="41"/>
  <c r="I17" i="40"/>
  <c r="I102" i="40"/>
  <c r="E105" i="40"/>
  <c r="I46" i="40"/>
  <c r="I53" i="40"/>
  <c r="I114" i="40"/>
  <c r="I116" i="40"/>
  <c r="I118" i="40"/>
  <c r="I122" i="40"/>
  <c r="U18" i="40"/>
  <c r="E19" i="40"/>
  <c r="M19" i="40"/>
  <c r="U19" i="40"/>
  <c r="M20" i="40"/>
  <c r="U20" i="40"/>
  <c r="E21" i="40"/>
  <c r="U35" i="40"/>
  <c r="M36" i="40"/>
  <c r="E37" i="40"/>
  <c r="M50" i="40"/>
  <c r="U51" i="40"/>
  <c r="E52" i="40"/>
  <c r="M52" i="40"/>
  <c r="U84" i="40"/>
  <c r="M85" i="40"/>
  <c r="U85" i="40"/>
  <c r="U105" i="40"/>
  <c r="E106" i="40"/>
  <c r="E107" i="40"/>
  <c r="E108" i="40"/>
  <c r="M108" i="40"/>
  <c r="U108" i="40"/>
  <c r="M109" i="40"/>
  <c r="U109" i="40"/>
  <c r="M118" i="40"/>
  <c r="U7" i="40"/>
  <c r="E8" i="40"/>
  <c r="U8" i="40"/>
  <c r="E9" i="40"/>
  <c r="M17" i="40"/>
  <c r="M24" i="40"/>
  <c r="E26" i="40"/>
  <c r="U34" i="40"/>
  <c r="U49" i="40"/>
  <c r="M71" i="40"/>
  <c r="U71" i="40"/>
  <c r="E72" i="40"/>
  <c r="M82" i="40"/>
  <c r="U82" i="40"/>
  <c r="U103" i="40"/>
  <c r="U104" i="40"/>
  <c r="M117" i="40"/>
  <c r="U117" i="40"/>
  <c r="E118" i="40"/>
  <c r="U62" i="40"/>
  <c r="U63" i="40"/>
  <c r="M64" i="40"/>
  <c r="U64" i="40"/>
  <c r="M66" i="40"/>
  <c r="E67" i="40"/>
  <c r="E68" i="40"/>
  <c r="U68" i="40"/>
  <c r="E69" i="40"/>
  <c r="U69" i="40"/>
  <c r="M81" i="40"/>
  <c r="U81" i="40"/>
  <c r="E117" i="40"/>
  <c r="E123" i="40"/>
  <c r="E4" i="40"/>
  <c r="E35" i="40"/>
  <c r="E22" i="40"/>
  <c r="E50" i="40"/>
  <c r="E111" i="40"/>
  <c r="E119" i="40"/>
  <c r="E7" i="40"/>
  <c r="E83" i="40"/>
  <c r="U14" i="40"/>
  <c r="U16" i="40"/>
  <c r="E17" i="40"/>
  <c r="M30" i="40"/>
  <c r="E31" i="40"/>
  <c r="U31" i="40"/>
  <c r="E44" i="40"/>
  <c r="U44" i="40"/>
  <c r="E45" i="40"/>
  <c r="U45" i="40"/>
  <c r="E58" i="40"/>
  <c r="M58" i="40"/>
  <c r="E60" i="40"/>
  <c r="E61" i="40"/>
  <c r="M61" i="40"/>
  <c r="U61" i="40"/>
  <c r="E62" i="40"/>
  <c r="E79" i="40"/>
  <c r="U98" i="40"/>
  <c r="E99" i="40"/>
  <c r="M100" i="40"/>
  <c r="U100" i="40"/>
  <c r="E101" i="40"/>
  <c r="U101" i="40"/>
  <c r="E102" i="40"/>
  <c r="M114" i="40"/>
  <c r="U114" i="40"/>
  <c r="E115" i="40"/>
  <c r="E116" i="40"/>
  <c r="M121" i="40"/>
  <c r="U121" i="40"/>
  <c r="E122" i="40"/>
  <c r="C124" i="40"/>
  <c r="C125" i="40" s="1"/>
  <c r="U10" i="40"/>
  <c r="E11" i="40"/>
  <c r="M11" i="40"/>
  <c r="U11" i="40"/>
  <c r="M12" i="40"/>
  <c r="U13" i="40"/>
  <c r="M27" i="40"/>
  <c r="U27" i="40"/>
  <c r="E28" i="40"/>
  <c r="U28" i="40"/>
  <c r="E29" i="40"/>
  <c r="M39" i="40"/>
  <c r="E40" i="40"/>
  <c r="U40" i="40"/>
  <c r="U41" i="40"/>
  <c r="U42" i="40"/>
  <c r="E43" i="40"/>
  <c r="U53" i="40"/>
  <c r="E54" i="40"/>
  <c r="E55" i="40"/>
  <c r="M55" i="40"/>
  <c r="E56" i="40"/>
  <c r="U56" i="40"/>
  <c r="E57" i="40"/>
  <c r="M73" i="40"/>
  <c r="M74" i="40"/>
  <c r="M75" i="40"/>
  <c r="M76" i="40"/>
  <c r="U76" i="40"/>
  <c r="E77" i="40"/>
  <c r="U86" i="40"/>
  <c r="M87" i="40"/>
  <c r="E88" i="40"/>
  <c r="M88" i="40"/>
  <c r="U88" i="40"/>
  <c r="U89" i="40"/>
  <c r="U90" i="40"/>
  <c r="E92" i="40"/>
  <c r="U92" i="40"/>
  <c r="E93" i="40"/>
  <c r="M93" i="40"/>
  <c r="E95" i="40"/>
  <c r="U95" i="40"/>
  <c r="E96" i="40"/>
  <c r="M96" i="40"/>
  <c r="U96" i="40"/>
  <c r="M97" i="40"/>
  <c r="E98" i="40"/>
  <c r="M112" i="40"/>
  <c r="U112" i="40"/>
  <c r="E113" i="40"/>
  <c r="M113" i="40"/>
  <c r="U113" i="40"/>
  <c r="E114" i="40"/>
  <c r="M120" i="40"/>
  <c r="U120" i="40"/>
  <c r="E121" i="40"/>
  <c r="M88" i="39"/>
  <c r="M90" i="39"/>
  <c r="M91" i="39"/>
  <c r="E92" i="39"/>
  <c r="M92" i="39"/>
  <c r="M95" i="39"/>
  <c r="U95" i="39"/>
  <c r="E97" i="39"/>
  <c r="E99" i="39"/>
  <c r="M103" i="39"/>
  <c r="M106" i="39"/>
  <c r="M107" i="39"/>
  <c r="M109" i="39"/>
  <c r="E110" i="39"/>
  <c r="E112" i="39"/>
  <c r="M112" i="39"/>
  <c r="E115" i="39"/>
  <c r="E116" i="39"/>
  <c r="M116" i="39"/>
  <c r="U118" i="39"/>
  <c r="E121" i="39"/>
  <c r="M121" i="39"/>
  <c r="M4" i="40"/>
  <c r="M6" i="40"/>
  <c r="U9" i="40"/>
  <c r="E10" i="40"/>
  <c r="M10" i="40"/>
  <c r="E14" i="40"/>
  <c r="U15" i="40"/>
  <c r="E16" i="40"/>
  <c r="U17" i="40"/>
  <c r="E18" i="40"/>
  <c r="M22" i="40"/>
  <c r="M23" i="40"/>
  <c r="M25" i="40"/>
  <c r="U25" i="40"/>
  <c r="E27" i="40"/>
  <c r="M28" i="40"/>
  <c r="M29" i="40"/>
  <c r="M33" i="40"/>
  <c r="U33" i="40"/>
  <c r="M34" i="40"/>
  <c r="E36" i="40"/>
  <c r="U36" i="40"/>
  <c r="U39" i="40"/>
  <c r="E41" i="40"/>
  <c r="M41" i="40"/>
  <c r="M44" i="40"/>
  <c r="E46" i="40"/>
  <c r="M46" i="40"/>
  <c r="E49" i="40"/>
  <c r="M51" i="40"/>
  <c r="U55" i="40"/>
  <c r="M56" i="40"/>
  <c r="U59" i="40"/>
  <c r="M60" i="40"/>
  <c r="U60" i="40"/>
  <c r="E63" i="40"/>
  <c r="U66" i="40"/>
  <c r="M67" i="40"/>
  <c r="M68" i="40"/>
  <c r="E71" i="40"/>
  <c r="M72" i="40"/>
  <c r="E74" i="40"/>
  <c r="M78" i="40"/>
  <c r="U78" i="40"/>
  <c r="U80" i="40"/>
  <c r="E82" i="40"/>
  <c r="M83" i="40"/>
  <c r="M84" i="40"/>
  <c r="M86" i="40"/>
  <c r="E87" i="40"/>
  <c r="E90" i="40"/>
  <c r="M90" i="40"/>
  <c r="M92" i="40"/>
  <c r="U93" i="40"/>
  <c r="E94" i="40"/>
  <c r="E97" i="40"/>
  <c r="E100" i="40"/>
  <c r="M101" i="40"/>
  <c r="M102" i="40"/>
  <c r="M105" i="40"/>
  <c r="U106" i="40"/>
  <c r="E109" i="40"/>
  <c r="E110" i="40"/>
  <c r="Q32" i="39"/>
  <c r="Y32" i="39"/>
  <c r="I33" i="39"/>
  <c r="Q33" i="39"/>
  <c r="Y33" i="39"/>
  <c r="Q34" i="39"/>
  <c r="Y34" i="39"/>
  <c r="I35" i="39"/>
  <c r="Y35" i="39"/>
  <c r="I36" i="39"/>
  <c r="Q36" i="39"/>
  <c r="Y36" i="39"/>
  <c r="I37" i="39"/>
  <c r="Y37" i="39"/>
  <c r="I38" i="39"/>
  <c r="Q38" i="39"/>
  <c r="Y38" i="39"/>
  <c r="Q39" i="39"/>
  <c r="Y39" i="39"/>
  <c r="I40" i="39"/>
  <c r="Q40" i="39"/>
  <c r="Y40" i="39"/>
  <c r="Y41" i="39"/>
  <c r="I42" i="39"/>
  <c r="Q42" i="39"/>
  <c r="I43" i="39"/>
  <c r="Y43" i="39"/>
  <c r="I44" i="39"/>
  <c r="Q44" i="39"/>
  <c r="Y44" i="39"/>
  <c r="Q45" i="39"/>
  <c r="Y45" i="39"/>
  <c r="I46" i="39"/>
  <c r="Q46" i="39"/>
  <c r="Y46" i="39"/>
  <c r="I47" i="39"/>
  <c r="Q47" i="39"/>
  <c r="Q48" i="39"/>
  <c r="I49" i="39"/>
  <c r="Q49" i="39"/>
  <c r="Y49" i="39"/>
  <c r="I50" i="39"/>
  <c r="Q50" i="39"/>
  <c r="Y50" i="39"/>
  <c r="I51" i="39"/>
  <c r="Y51" i="39"/>
  <c r="Q52" i="39"/>
  <c r="I53" i="39"/>
  <c r="Q53" i="39"/>
  <c r="Q54" i="39"/>
  <c r="I55" i="39"/>
  <c r="I56" i="39"/>
  <c r="Y56" i="39"/>
  <c r="I57" i="39"/>
  <c r="Q57" i="39"/>
  <c r="Y57" i="39"/>
  <c r="Q58" i="39"/>
  <c r="Y58" i="39"/>
  <c r="I59" i="39"/>
  <c r="Y59" i="39"/>
  <c r="I60" i="39"/>
  <c r="Y60" i="39"/>
  <c r="I61" i="39"/>
  <c r="Q61" i="39"/>
  <c r="Y61" i="39"/>
  <c r="I62" i="39"/>
  <c r="Q62" i="39"/>
  <c r="I63" i="39"/>
  <c r="Q63" i="39"/>
  <c r="Y63" i="39"/>
  <c r="I64" i="39"/>
  <c r="Q64" i="39"/>
  <c r="Y64" i="39"/>
  <c r="Q65" i="39"/>
  <c r="Y65" i="39"/>
  <c r="I66" i="39"/>
  <c r="Q66" i="39"/>
  <c r="Y66" i="39"/>
  <c r="I67" i="39"/>
  <c r="Q67" i="39"/>
  <c r="Y67" i="39"/>
  <c r="I68" i="39"/>
  <c r="Y68" i="39"/>
  <c r="I69" i="39"/>
  <c r="I70" i="39"/>
  <c r="Q70" i="39"/>
  <c r="Y70" i="39"/>
  <c r="I71" i="39"/>
  <c r="Q71" i="39"/>
  <c r="Y71" i="39"/>
  <c r="I72" i="39"/>
  <c r="Q72" i="39"/>
  <c r="Y72" i="39"/>
  <c r="I73" i="39"/>
  <c r="Q73" i="39"/>
  <c r="Y73" i="39"/>
  <c r="I74" i="39"/>
  <c r="I75" i="39"/>
  <c r="Q75" i="39"/>
  <c r="Y75" i="39"/>
  <c r="I76" i="39"/>
  <c r="Q76" i="39"/>
  <c r="I77" i="39"/>
  <c r="Q77" i="39"/>
  <c r="I78" i="39"/>
  <c r="Q78" i="39"/>
  <c r="Y78" i="39"/>
  <c r="I79" i="39"/>
  <c r="Y79" i="39"/>
  <c r="I80" i="39"/>
  <c r="Q80" i="39"/>
  <c r="Y80" i="39"/>
  <c r="I81" i="39"/>
  <c r="Q81" i="39"/>
  <c r="Y81" i="39"/>
  <c r="I82" i="39"/>
  <c r="Q82" i="39"/>
  <c r="Y82" i="39"/>
  <c r="Q83" i="39"/>
  <c r="I84" i="39"/>
  <c r="Q84" i="39"/>
  <c r="Y84" i="39"/>
  <c r="Q85" i="39"/>
  <c r="Y85" i="39"/>
  <c r="I86" i="39"/>
  <c r="Q86" i="39"/>
  <c r="Y86" i="39"/>
  <c r="I87" i="39"/>
  <c r="Q87" i="39"/>
  <c r="I38" i="41"/>
  <c r="I43" i="41"/>
  <c r="E117" i="41"/>
  <c r="U89" i="39"/>
  <c r="E93" i="39"/>
  <c r="U94" i="39"/>
  <c r="M98" i="39"/>
  <c r="E100" i="39"/>
  <c r="E101" i="39"/>
  <c r="E103" i="39"/>
  <c r="M104" i="39"/>
  <c r="U107" i="39"/>
  <c r="U110" i="39"/>
  <c r="U112" i="39"/>
  <c r="U115" i="39"/>
  <c r="U117" i="39"/>
  <c r="M119" i="39"/>
  <c r="E120" i="39"/>
  <c r="E122" i="39"/>
  <c r="M7" i="40"/>
  <c r="M9" i="40"/>
  <c r="E12" i="40"/>
  <c r="M13" i="40"/>
  <c r="M15" i="40"/>
  <c r="E20" i="40"/>
  <c r="U22" i="40"/>
  <c r="U24" i="40"/>
  <c r="M26" i="40"/>
  <c r="M32" i="40"/>
  <c r="U32" i="40"/>
  <c r="M38" i="40"/>
  <c r="M40" i="40"/>
  <c r="E42" i="40"/>
  <c r="M43" i="40"/>
  <c r="U43" i="40"/>
  <c r="U46" i="40"/>
  <c r="U47" i="40"/>
  <c r="M48" i="40"/>
  <c r="M49" i="40"/>
  <c r="E53" i="40"/>
  <c r="M53" i="40"/>
  <c r="M54" i="40"/>
  <c r="U57" i="40"/>
  <c r="U58" i="40"/>
  <c r="M62" i="40"/>
  <c r="E64" i="40"/>
  <c r="E65" i="40"/>
  <c r="M65" i="40"/>
  <c r="M69" i="40"/>
  <c r="E70" i="40"/>
  <c r="E73" i="40"/>
  <c r="U73" i="40"/>
  <c r="U74" i="40"/>
  <c r="U77" i="40"/>
  <c r="E80" i="40"/>
  <c r="M80" i="40"/>
  <c r="U83" i="40"/>
  <c r="E84" i="40"/>
  <c r="E85" i="40"/>
  <c r="U87" i="40"/>
  <c r="E89" i="40"/>
  <c r="M89" i="40"/>
  <c r="M91" i="40"/>
  <c r="M94" i="40"/>
  <c r="M98" i="40"/>
  <c r="M99" i="40"/>
  <c r="M103" i="40"/>
  <c r="U107" i="40"/>
  <c r="M110" i="40"/>
  <c r="E112" i="40"/>
  <c r="Y9" i="41"/>
  <c r="E13" i="41"/>
  <c r="I66" i="41"/>
  <c r="E4" i="41"/>
  <c r="Y6" i="41"/>
  <c r="E32" i="41"/>
  <c r="E60" i="41"/>
  <c r="E88" i="41"/>
  <c r="Y89" i="41"/>
  <c r="Q79" i="41"/>
  <c r="Q27" i="41"/>
  <c r="Q19" i="41"/>
  <c r="Q105" i="41"/>
  <c r="Q97" i="41"/>
  <c r="Q10" i="41"/>
  <c r="Q34" i="41"/>
  <c r="Q42" i="41"/>
  <c r="M4" i="39"/>
  <c r="E5" i="39"/>
  <c r="M5" i="39"/>
  <c r="E6" i="39"/>
  <c r="U6" i="39"/>
  <c r="E7" i="39"/>
  <c r="U7" i="39"/>
  <c r="U8" i="39"/>
  <c r="E9" i="39"/>
  <c r="E10" i="39"/>
  <c r="M10" i="39"/>
  <c r="U10" i="39"/>
  <c r="U11" i="39"/>
  <c r="M13" i="39"/>
  <c r="E14" i="39"/>
  <c r="U15" i="39"/>
  <c r="E16" i="39"/>
  <c r="M16" i="39"/>
  <c r="U16" i="39"/>
  <c r="E17" i="39"/>
  <c r="M17" i="39"/>
  <c r="U17" i="39"/>
  <c r="U19" i="39"/>
  <c r="M20" i="39"/>
  <c r="U20" i="39"/>
  <c r="M21" i="39"/>
  <c r="E22" i="39"/>
  <c r="M22" i="39"/>
  <c r="U22" i="39"/>
  <c r="M23" i="39"/>
  <c r="E24" i="39"/>
  <c r="M24" i="39"/>
  <c r="E25" i="39"/>
  <c r="M25" i="39"/>
  <c r="U25" i="39"/>
  <c r="M26" i="39"/>
  <c r="E27" i="39"/>
  <c r="M27" i="39"/>
  <c r="U27" i="39"/>
  <c r="E28" i="39"/>
  <c r="M29" i="39"/>
  <c r="E30" i="39"/>
  <c r="U30" i="39"/>
  <c r="E31" i="39"/>
  <c r="Y77" i="41"/>
  <c r="Y81" i="41"/>
  <c r="H4" i="24"/>
  <c r="J4" i="24"/>
  <c r="F43" i="1" s="1"/>
  <c r="L4" i="24"/>
  <c r="F45" i="1" s="1"/>
  <c r="N4" i="24"/>
  <c r="F47" i="1" s="1"/>
  <c r="D10" i="1"/>
  <c r="K199" i="1"/>
  <c r="J199" i="1"/>
  <c r="G171" i="1"/>
  <c r="F180" i="1"/>
  <c r="I5" i="1"/>
  <c r="E180" i="1"/>
  <c r="E171" i="1"/>
  <c r="G180" i="1"/>
  <c r="H171" i="1"/>
  <c r="K193" i="1"/>
  <c r="H180" i="1"/>
  <c r="K3" i="1"/>
  <c r="F171" i="1"/>
  <c r="D5" i="1"/>
  <c r="X5" i="84"/>
  <c r="G16" i="1" s="1"/>
  <c r="Z41" i="85"/>
  <c r="T41" i="85"/>
  <c r="Z64" i="85"/>
  <c r="T64" i="85"/>
  <c r="Q31" i="39"/>
  <c r="Y77" i="39"/>
  <c r="M8" i="41"/>
  <c r="M36" i="41"/>
  <c r="M64" i="41"/>
  <c r="E73" i="41"/>
  <c r="I102" i="41"/>
  <c r="Q65" i="41"/>
  <c r="Y29" i="41"/>
  <c r="M56" i="41"/>
  <c r="Z11" i="85"/>
  <c r="T11" i="85"/>
  <c r="Z55" i="85"/>
  <c r="P55" i="85"/>
  <c r="Z110" i="85"/>
  <c r="T110" i="85"/>
  <c r="Z33" i="85"/>
  <c r="T33" i="85"/>
  <c r="Z73" i="85"/>
  <c r="P73" i="85"/>
  <c r="T83" i="85"/>
  <c r="Z91" i="85"/>
  <c r="P91" i="85"/>
  <c r="Z122" i="85"/>
  <c r="T122" i="85"/>
  <c r="E116" i="41"/>
  <c r="O125" i="36"/>
  <c r="Z57" i="85"/>
  <c r="T57" i="85"/>
  <c r="Z71" i="85"/>
  <c r="P71" i="85"/>
  <c r="Z103" i="85"/>
  <c r="P103" i="85"/>
  <c r="Z116" i="85"/>
  <c r="T116" i="85"/>
  <c r="X7" i="95"/>
  <c r="N4" i="95"/>
  <c r="X4" i="95" s="1"/>
  <c r="R6" i="85"/>
  <c r="Z7" i="85"/>
  <c r="Z8" i="85"/>
  <c r="Z13" i="85"/>
  <c r="Z18" i="85"/>
  <c r="Z23" i="85"/>
  <c r="Z28" i="85"/>
  <c r="Z35" i="85"/>
  <c r="Z36" i="85"/>
  <c r="Z43" i="85"/>
  <c r="Z44" i="85"/>
  <c r="Z46" i="85"/>
  <c r="Z51" i="85"/>
  <c r="Z59" i="85"/>
  <c r="Z63" i="85"/>
  <c r="Z65" i="85"/>
  <c r="Z66" i="85"/>
  <c r="Z75" i="85"/>
  <c r="Z76" i="85"/>
  <c r="Z81" i="85"/>
  <c r="Z82" i="85"/>
  <c r="Z84" i="85"/>
  <c r="Z88" i="85"/>
  <c r="Z94" i="85"/>
  <c r="Z98" i="85"/>
  <c r="Z105" i="85"/>
  <c r="Z111" i="85"/>
  <c r="Z117" i="85"/>
  <c r="Z121" i="85"/>
  <c r="Z123" i="85"/>
  <c r="Z124" i="85"/>
  <c r="R132" i="72"/>
  <c r="J4" i="95"/>
  <c r="U4" i="95" s="1"/>
  <c r="BC126" i="97"/>
  <c r="BC89" i="97"/>
  <c r="Q6" i="85"/>
  <c r="T25" i="85"/>
  <c r="Z45" i="85"/>
  <c r="Z47" i="85"/>
  <c r="Z67" i="85"/>
  <c r="T69" i="85"/>
  <c r="Z77" i="85"/>
  <c r="Z83" i="85"/>
  <c r="Z99" i="85"/>
  <c r="P101" i="85"/>
  <c r="P107" i="85"/>
  <c r="S132" i="72"/>
  <c r="W4" i="95"/>
  <c r="AS29" i="97"/>
  <c r="BA29" i="97" s="1"/>
  <c r="AT8" i="97"/>
  <c r="BB8" i="97" s="1"/>
  <c r="AR102" i="97"/>
  <c r="AZ102" i="97" s="1"/>
  <c r="AS10" i="97"/>
  <c r="BA10" i="97" s="1"/>
  <c r="AR13" i="97"/>
  <c r="AZ13" i="97" s="1"/>
  <c r="AS17" i="97"/>
  <c r="BA17" i="97" s="1"/>
  <c r="AT24" i="97"/>
  <c r="BB24" i="97" s="1"/>
  <c r="AT33" i="97"/>
  <c r="BB33" i="97" s="1"/>
  <c r="AS36" i="97"/>
  <c r="BA36" i="97" s="1"/>
  <c r="AT109" i="97"/>
  <c r="BB109" i="97" s="1"/>
  <c r="AT115" i="97"/>
  <c r="BB115" i="97" s="1"/>
  <c r="BC115" i="97" s="1"/>
  <c r="AT70" i="97"/>
  <c r="BB70" i="97" s="1"/>
  <c r="AR74" i="97"/>
  <c r="AZ74" i="97" s="1"/>
  <c r="AR80" i="97"/>
  <c r="AZ80" i="97" s="1"/>
  <c r="AT91" i="97"/>
  <c r="BB91" i="97" s="1"/>
  <c r="BC91" i="97" s="1"/>
  <c r="AT123" i="97"/>
  <c r="BB123" i="97" s="1"/>
  <c r="AT11" i="97"/>
  <c r="BB11" i="97" s="1"/>
  <c r="AS20" i="97"/>
  <c r="BA20" i="97" s="1"/>
  <c r="AS21" i="97"/>
  <c r="BA21" i="97" s="1"/>
  <c r="AS23" i="97"/>
  <c r="BA23" i="97" s="1"/>
  <c r="AR107" i="97"/>
  <c r="AZ107" i="97" s="1"/>
  <c r="AR61" i="97"/>
  <c r="AZ61" i="97" s="1"/>
  <c r="AR116" i="97"/>
  <c r="AZ116" i="97" s="1"/>
  <c r="BC116" i="97" s="1"/>
  <c r="DI4" i="56"/>
  <c r="W63" i="79" l="1"/>
  <c r="BC19" i="97"/>
  <c r="BC31" i="97"/>
  <c r="BC95" i="97"/>
  <c r="BC43" i="97"/>
  <c r="BC100" i="97"/>
  <c r="BC93" i="97"/>
  <c r="W52" i="79"/>
  <c r="W31" i="79"/>
  <c r="AA78" i="79"/>
  <c r="W98" i="79"/>
  <c r="F11" i="1"/>
  <c r="F12" i="1"/>
  <c r="BC13" i="97"/>
  <c r="BC9" i="97"/>
  <c r="BC39" i="97"/>
  <c r="BC38" i="97"/>
  <c r="BC63" i="97"/>
  <c r="W103" i="79"/>
  <c r="W95" i="79"/>
  <c r="BC47" i="97"/>
  <c r="Y64" i="79"/>
  <c r="W23" i="79"/>
  <c r="F21" i="1"/>
  <c r="F17" i="1"/>
  <c r="F16" i="1"/>
  <c r="F15" i="1"/>
  <c r="F20" i="1"/>
  <c r="F19" i="1"/>
  <c r="F14" i="1"/>
  <c r="F18" i="1"/>
  <c r="F13" i="1"/>
  <c r="F36" i="1"/>
  <c r="F35" i="1"/>
  <c r="F31" i="1"/>
  <c r="E29" i="1"/>
  <c r="E35" i="1"/>
  <c r="E31" i="1"/>
  <c r="F38" i="1"/>
  <c r="F34" i="1"/>
  <c r="F30" i="1"/>
  <c r="E38" i="1"/>
  <c r="E34" i="1"/>
  <c r="E30" i="1"/>
  <c r="F37" i="1"/>
  <c r="F33" i="1"/>
  <c r="F29" i="1"/>
  <c r="E37" i="1"/>
  <c r="E33" i="1"/>
  <c r="E28" i="1"/>
  <c r="F32" i="1"/>
  <c r="F28" i="1"/>
  <c r="E36" i="1"/>
  <c r="E32" i="1"/>
  <c r="H50" i="118"/>
  <c r="H36" i="118"/>
  <c r="H18" i="118"/>
  <c r="H10" i="118"/>
  <c r="H96" i="118"/>
  <c r="H16" i="118"/>
  <c r="H8" i="118"/>
  <c r="H94" i="118"/>
  <c r="G102" i="79"/>
  <c r="G55" i="79"/>
  <c r="G33" i="79"/>
  <c r="G105" i="79"/>
  <c r="G125" i="79"/>
  <c r="L108" i="79"/>
  <c r="T108" i="79" s="1"/>
  <c r="L110" i="79"/>
  <c r="T110" i="79" s="1"/>
  <c r="L80" i="79"/>
  <c r="T80" i="79" s="1"/>
  <c r="L42" i="79"/>
  <c r="T42" i="79" s="1"/>
  <c r="H120" i="118"/>
  <c r="H46" i="118"/>
  <c r="H54" i="118"/>
  <c r="L54" i="79"/>
  <c r="T54" i="79" s="1"/>
  <c r="L82" i="79"/>
  <c r="T82" i="79" s="1"/>
  <c r="L122" i="79"/>
  <c r="T122" i="79" s="1"/>
  <c r="H102" i="118"/>
  <c r="H74" i="118"/>
  <c r="H56" i="118"/>
  <c r="H86" i="118"/>
  <c r="L20" i="79"/>
  <c r="T20" i="79" s="1"/>
  <c r="H58" i="118"/>
  <c r="L50" i="79"/>
  <c r="T50" i="79" s="1"/>
  <c r="H98" i="118"/>
  <c r="H70" i="118"/>
  <c r="H114" i="118"/>
  <c r="L86" i="79"/>
  <c r="T86" i="79" s="1"/>
  <c r="L72" i="79"/>
  <c r="T72" i="79" s="1"/>
  <c r="L28" i="79"/>
  <c r="T28" i="79" s="1"/>
  <c r="H32" i="118"/>
  <c r="H118" i="118"/>
  <c r="H40" i="118"/>
  <c r="L70" i="79"/>
  <c r="T70" i="79" s="1"/>
  <c r="H90" i="118"/>
  <c r="H30" i="118"/>
  <c r="L124" i="79"/>
  <c r="T124" i="79" s="1"/>
  <c r="H48" i="118"/>
  <c r="H38" i="118"/>
  <c r="L96" i="79"/>
  <c r="T96" i="79" s="1"/>
  <c r="L106" i="79"/>
  <c r="T106" i="79" s="1"/>
  <c r="L78" i="79"/>
  <c r="T78" i="79" s="1"/>
  <c r="M114" i="79"/>
  <c r="U114" i="79" s="1"/>
  <c r="L94" i="79"/>
  <c r="T94" i="79" s="1"/>
  <c r="L112" i="79"/>
  <c r="T112" i="79" s="1"/>
  <c r="L104" i="79"/>
  <c r="T104" i="79" s="1"/>
  <c r="L84" i="79"/>
  <c r="T84" i="79" s="1"/>
  <c r="L76" i="79"/>
  <c r="T76" i="79" s="1"/>
  <c r="H62" i="118"/>
  <c r="H44" i="118"/>
  <c r="H66" i="118"/>
  <c r="H26" i="118"/>
  <c r="H121" i="118"/>
  <c r="H65" i="118"/>
  <c r="H57" i="118"/>
  <c r="H49" i="118"/>
  <c r="H41" i="118"/>
  <c r="H33" i="118"/>
  <c r="H25" i="118"/>
  <c r="H17" i="118"/>
  <c r="H9" i="118"/>
  <c r="H68" i="118"/>
  <c r="H64" i="118"/>
  <c r="L49" i="79"/>
  <c r="T49" i="79" s="1"/>
  <c r="L41" i="79"/>
  <c r="T41" i="79" s="1"/>
  <c r="L33" i="79"/>
  <c r="T33" i="79" s="1"/>
  <c r="L25" i="79"/>
  <c r="T25" i="79" s="1"/>
  <c r="L17" i="79"/>
  <c r="T17" i="79" s="1"/>
  <c r="L9" i="79"/>
  <c r="T9" i="79" s="1"/>
  <c r="H88" i="118"/>
  <c r="H24" i="118"/>
  <c r="H123" i="118"/>
  <c r="H115" i="118"/>
  <c r="H107" i="118"/>
  <c r="H99" i="118"/>
  <c r="H91" i="118"/>
  <c r="H83" i="118"/>
  <c r="H75" i="118"/>
  <c r="H67" i="118"/>
  <c r="H59" i="118"/>
  <c r="H51" i="118"/>
  <c r="H43" i="118"/>
  <c r="H27" i="118"/>
  <c r="H19" i="118"/>
  <c r="H11" i="118"/>
  <c r="H113" i="118"/>
  <c r="H97" i="118"/>
  <c r="H73" i="118"/>
  <c r="H116" i="118"/>
  <c r="H52" i="118"/>
  <c r="H119" i="118"/>
  <c r="H111" i="118"/>
  <c r="H103" i="118"/>
  <c r="H95" i="118"/>
  <c r="H87" i="118"/>
  <c r="H79" i="118"/>
  <c r="H63" i="118"/>
  <c r="H47" i="118"/>
  <c r="H39" i="118"/>
  <c r="H31" i="118"/>
  <c r="H23" i="118"/>
  <c r="H15" i="118"/>
  <c r="H105" i="118"/>
  <c r="H89" i="118"/>
  <c r="H81" i="118"/>
  <c r="L121" i="79"/>
  <c r="T121" i="79" s="1"/>
  <c r="L113" i="79"/>
  <c r="T113" i="79" s="1"/>
  <c r="L105" i="79"/>
  <c r="T105" i="79" s="1"/>
  <c r="L97" i="79"/>
  <c r="T97" i="79" s="1"/>
  <c r="L89" i="79"/>
  <c r="T89" i="79" s="1"/>
  <c r="L81" i="79"/>
  <c r="T81" i="79" s="1"/>
  <c r="L73" i="79"/>
  <c r="T73" i="79" s="1"/>
  <c r="L65" i="79"/>
  <c r="T65" i="79" s="1"/>
  <c r="L57" i="79"/>
  <c r="T57" i="79" s="1"/>
  <c r="L66" i="79"/>
  <c r="T66" i="79" s="1"/>
  <c r="L34" i="79"/>
  <c r="T34" i="79" s="1"/>
  <c r="H125" i="118"/>
  <c r="H109" i="118"/>
  <c r="H101" i="118"/>
  <c r="H93" i="118"/>
  <c r="H85" i="118"/>
  <c r="H77" i="118"/>
  <c r="H69" i="118"/>
  <c r="H61" i="118"/>
  <c r="H53" i="118"/>
  <c r="H45" i="118"/>
  <c r="H37" i="118"/>
  <c r="H29" i="118"/>
  <c r="H21" i="118"/>
  <c r="H13" i="118"/>
  <c r="L92" i="79"/>
  <c r="T92" i="79" s="1"/>
  <c r="L60" i="79"/>
  <c r="T60" i="79" s="1"/>
  <c r="L100" i="79"/>
  <c r="T100" i="79" s="1"/>
  <c r="H17" i="108"/>
  <c r="H13" i="108"/>
  <c r="H9" i="108"/>
  <c r="H5" i="108"/>
  <c r="H20" i="108"/>
  <c r="H16" i="108"/>
  <c r="H12" i="108"/>
  <c r="H8" i="108"/>
  <c r="H4" i="108"/>
  <c r="H14" i="108"/>
  <c r="H10" i="108"/>
  <c r="H19" i="108"/>
  <c r="H15" i="108"/>
  <c r="H11" i="108"/>
  <c r="H7" i="108"/>
  <c r="H3" i="108"/>
  <c r="H6" i="108"/>
  <c r="H18" i="108"/>
  <c r="C17" i="108"/>
  <c r="C13" i="108"/>
  <c r="C9" i="108"/>
  <c r="C5" i="108"/>
  <c r="C10" i="108"/>
  <c r="C20" i="108"/>
  <c r="C16" i="108"/>
  <c r="C12" i="108"/>
  <c r="C8" i="108"/>
  <c r="C4" i="108"/>
  <c r="C18" i="108"/>
  <c r="C6" i="108"/>
  <c r="C19" i="108"/>
  <c r="C15" i="108"/>
  <c r="C11" i="108"/>
  <c r="C7" i="108"/>
  <c r="C3" i="108"/>
  <c r="C14" i="108"/>
  <c r="E51" i="1"/>
  <c r="E47" i="1"/>
  <c r="E43" i="1"/>
  <c r="E53" i="1"/>
  <c r="E49" i="1"/>
  <c r="E50" i="1"/>
  <c r="E46" i="1"/>
  <c r="E52" i="1"/>
  <c r="E48" i="1"/>
  <c r="E44" i="1"/>
  <c r="E45" i="1"/>
  <c r="G85" i="79"/>
  <c r="W85" i="79" s="1"/>
  <c r="G57" i="79"/>
  <c r="G71" i="79"/>
  <c r="G100" i="79"/>
  <c r="G77" i="79"/>
  <c r="G37" i="79"/>
  <c r="M72" i="79"/>
  <c r="U72" i="79" s="1"/>
  <c r="M120" i="79"/>
  <c r="U120" i="79" s="1"/>
  <c r="M118" i="79"/>
  <c r="U118" i="79" s="1"/>
  <c r="M74" i="79"/>
  <c r="U74" i="79" s="1"/>
  <c r="M68" i="79"/>
  <c r="U68" i="79" s="1"/>
  <c r="M108" i="79"/>
  <c r="U108" i="79" s="1"/>
  <c r="M94" i="79"/>
  <c r="U94" i="79" s="1"/>
  <c r="BC82" i="97"/>
  <c r="BC113" i="97"/>
  <c r="BC106" i="97"/>
  <c r="BC92" i="97"/>
  <c r="BC18" i="97"/>
  <c r="BC6" i="97"/>
  <c r="BC8" i="97"/>
  <c r="BC123" i="97"/>
  <c r="BC70" i="97"/>
  <c r="BC33" i="97"/>
  <c r="BC101" i="97"/>
  <c r="BC32" i="97"/>
  <c r="BC98" i="97"/>
  <c r="BC76" i="97"/>
  <c r="BC48" i="97"/>
  <c r="BC103" i="97"/>
  <c r="BC122" i="97"/>
  <c r="BC40" i="97"/>
  <c r="BC34" i="97"/>
  <c r="BC20" i="97"/>
  <c r="BC80" i="97"/>
  <c r="BC109" i="97"/>
  <c r="BC17" i="97"/>
  <c r="BC125" i="97"/>
  <c r="BC59" i="97"/>
  <c r="BC119" i="97"/>
  <c r="BC22" i="97"/>
  <c r="BC65" i="97"/>
  <c r="BC97" i="97"/>
  <c r="H6" i="118"/>
  <c r="BC49" i="97"/>
  <c r="BC124" i="97"/>
  <c r="BC114" i="97"/>
  <c r="BC86" i="97"/>
  <c r="BC75" i="97"/>
  <c r="BC99" i="97"/>
  <c r="M42" i="79"/>
  <c r="U42" i="79" s="1"/>
  <c r="M34" i="79"/>
  <c r="U34" i="79" s="1"/>
  <c r="M18" i="79"/>
  <c r="U18" i="79" s="1"/>
  <c r="M44" i="79"/>
  <c r="U44" i="79" s="1"/>
  <c r="M28" i="79"/>
  <c r="U28" i="79" s="1"/>
  <c r="M20" i="79"/>
  <c r="U20" i="79" s="1"/>
  <c r="M46" i="79"/>
  <c r="U46" i="79" s="1"/>
  <c r="M38" i="79"/>
  <c r="U38" i="79" s="1"/>
  <c r="M30" i="79"/>
  <c r="U30" i="79" s="1"/>
  <c r="M22" i="79"/>
  <c r="U22" i="79" s="1"/>
  <c r="M14" i="79"/>
  <c r="U14" i="79" s="1"/>
  <c r="M26" i="79"/>
  <c r="U26" i="79" s="1"/>
  <c r="M10" i="79"/>
  <c r="U10" i="79" s="1"/>
  <c r="M36" i="79"/>
  <c r="U36" i="79" s="1"/>
  <c r="M12" i="79"/>
  <c r="U12" i="79" s="1"/>
  <c r="M48" i="79"/>
  <c r="U48" i="79" s="1"/>
  <c r="M40" i="79"/>
  <c r="U40" i="79" s="1"/>
  <c r="M32" i="79"/>
  <c r="U32" i="79" s="1"/>
  <c r="M24" i="79"/>
  <c r="U24" i="79" s="1"/>
  <c r="M16" i="79"/>
  <c r="U16" i="79" s="1"/>
  <c r="M8" i="79"/>
  <c r="U8" i="79" s="1"/>
  <c r="AG131" i="62"/>
  <c r="J13" i="123"/>
  <c r="K18" i="123"/>
  <c r="K13" i="123" s="1"/>
  <c r="L18" i="123"/>
  <c r="L20" i="123"/>
  <c r="I20" i="123"/>
  <c r="I13" i="123" s="1"/>
  <c r="I24" i="123" s="1"/>
  <c r="I12" i="123" s="1"/>
  <c r="V12" i="123" s="1"/>
  <c r="BC79" i="97"/>
  <c r="BC42" i="97"/>
  <c r="BC120" i="97"/>
  <c r="BC73" i="97"/>
  <c r="AM131" i="62"/>
  <c r="BC53" i="97"/>
  <c r="BC83" i="97"/>
  <c r="O131" i="62"/>
  <c r="M192" i="1"/>
  <c r="M190" i="1"/>
  <c r="L192" i="1"/>
  <c r="K192" i="1"/>
  <c r="J192" i="1"/>
  <c r="J184" i="1"/>
  <c r="I4" i="53"/>
  <c r="G5" i="79" s="1"/>
  <c r="G9" i="79"/>
  <c r="G12" i="79"/>
  <c r="G16" i="79"/>
  <c r="G7" i="79"/>
  <c r="E5" i="79"/>
  <c r="J5" i="123"/>
  <c r="J4" i="53"/>
  <c r="BC21" i="97"/>
  <c r="BC102" i="97"/>
  <c r="BC44" i="97"/>
  <c r="BC55" i="97"/>
  <c r="BC25" i="97"/>
  <c r="BC60" i="97"/>
  <c r="BC74" i="97"/>
  <c r="BC71" i="97"/>
  <c r="BC62" i="97"/>
  <c r="BC26" i="97"/>
  <c r="BC112" i="97"/>
  <c r="BC36" i="97"/>
  <c r="BC117" i="97"/>
  <c r="BC58" i="97"/>
  <c r="BC50" i="97"/>
  <c r="BC66" i="97"/>
  <c r="E5" i="118"/>
  <c r="BC107" i="97"/>
  <c r="BC24" i="97"/>
  <c r="P6" i="85"/>
  <c r="D5" i="79"/>
  <c r="BC96" i="97"/>
  <c r="BC84" i="97"/>
  <c r="BC45" i="97"/>
  <c r="BC105" i="97"/>
  <c r="BC11" i="97"/>
  <c r="BC10" i="97"/>
  <c r="BC56" i="97"/>
  <c r="BC14" i="97"/>
  <c r="BC52" i="97"/>
  <c r="D5" i="118"/>
  <c r="BC61" i="97"/>
  <c r="BC85" i="97"/>
  <c r="BC121" i="97"/>
  <c r="BC104" i="97"/>
  <c r="BC7" i="97"/>
  <c r="BC23" i="97"/>
  <c r="BC16" i="97"/>
  <c r="L184" i="1"/>
  <c r="K184" i="1"/>
  <c r="M184" i="1"/>
  <c r="K4" i="101"/>
  <c r="O116" i="79"/>
  <c r="W116" i="79" s="1"/>
  <c r="O43" i="79"/>
  <c r="O47" i="79"/>
  <c r="W47" i="79" s="1"/>
  <c r="O107" i="79"/>
  <c r="W107" i="79" s="1"/>
  <c r="O115" i="79"/>
  <c r="W115" i="79" s="1"/>
  <c r="O56" i="79"/>
  <c r="O117" i="79"/>
  <c r="O80" i="79"/>
  <c r="O69" i="79"/>
  <c r="O99" i="79"/>
  <c r="O111" i="79"/>
  <c r="O31" i="79"/>
  <c r="O109" i="79"/>
  <c r="W109" i="79" s="1"/>
  <c r="O58" i="79"/>
  <c r="O67" i="79"/>
  <c r="O53" i="79"/>
  <c r="W53" i="79" s="1"/>
  <c r="O90" i="79"/>
  <c r="O77" i="79"/>
  <c r="O51" i="79"/>
  <c r="O125" i="79"/>
  <c r="O123" i="79"/>
  <c r="W123" i="79" s="1"/>
  <c r="Y118" i="79"/>
  <c r="AA21" i="79"/>
  <c r="AA64" i="79"/>
  <c r="Y125" i="79"/>
  <c r="AB95" i="79"/>
  <c r="AB64" i="79"/>
  <c r="Z64" i="79"/>
  <c r="AB62" i="79"/>
  <c r="Z111" i="79"/>
  <c r="Y84" i="79"/>
  <c r="AA17" i="79"/>
  <c r="AA113" i="79"/>
  <c r="AA94" i="79"/>
  <c r="AB32" i="79"/>
  <c r="O7" i="79"/>
  <c r="AA96" i="79"/>
  <c r="AA116" i="79"/>
  <c r="BC35" i="97"/>
  <c r="Z6" i="85"/>
  <c r="H217" i="1" s="1"/>
  <c r="O35" i="79"/>
  <c r="W35" i="79" s="1"/>
  <c r="BC41" i="97"/>
  <c r="BC57" i="97"/>
  <c r="AB97" i="79"/>
  <c r="BC30" i="97"/>
  <c r="BC15" i="97"/>
  <c r="BC111" i="97"/>
  <c r="BC27" i="97"/>
  <c r="O13" i="79"/>
  <c r="O29" i="79"/>
  <c r="Z11" i="79"/>
  <c r="O79" i="79"/>
  <c r="W79" i="79" s="1"/>
  <c r="O19" i="79"/>
  <c r="AA29" i="79"/>
  <c r="O39" i="79"/>
  <c r="W39" i="79" s="1"/>
  <c r="AB109" i="79"/>
  <c r="T6" i="85"/>
  <c r="I60" i="1"/>
  <c r="I59" i="1"/>
  <c r="I58" i="1"/>
  <c r="I61" i="1"/>
  <c r="I56" i="1"/>
  <c r="H2" i="108"/>
  <c r="C2" i="108"/>
  <c r="E59" i="1"/>
  <c r="E58" i="1"/>
  <c r="E61" i="1"/>
  <c r="E56" i="1"/>
  <c r="E60" i="1"/>
  <c r="AA92" i="79"/>
  <c r="Z92" i="79"/>
  <c r="AB92" i="79"/>
  <c r="Y92" i="79"/>
  <c r="O85" i="79"/>
  <c r="O52" i="79"/>
  <c r="AA56" i="79"/>
  <c r="AB89" i="79"/>
  <c r="Y67" i="79"/>
  <c r="AA123" i="79"/>
  <c r="Z49" i="79"/>
  <c r="Z14" i="79"/>
  <c r="AB20" i="79"/>
  <c r="AA68" i="79"/>
  <c r="AA45" i="79"/>
  <c r="AA72" i="79"/>
  <c r="O98" i="79"/>
  <c r="O15" i="79"/>
  <c r="W15" i="79" s="1"/>
  <c r="O88" i="79"/>
  <c r="W88" i="79" s="1"/>
  <c r="BC118" i="97"/>
  <c r="BC46" i="97"/>
  <c r="O119" i="79"/>
  <c r="W119" i="79" s="1"/>
  <c r="O93" i="79"/>
  <c r="W93" i="79" s="1"/>
  <c r="O61" i="79"/>
  <c r="W61" i="79" s="1"/>
  <c r="O37" i="79"/>
  <c r="O23" i="79"/>
  <c r="AB87" i="79"/>
  <c r="O87" i="79"/>
  <c r="O83" i="79"/>
  <c r="AA93" i="79"/>
  <c r="AB93" i="79"/>
  <c r="Z93" i="79"/>
  <c r="O55" i="79"/>
  <c r="BC110" i="97"/>
  <c r="BC68" i="97"/>
  <c r="BC54" i="97"/>
  <c r="BC28" i="97"/>
  <c r="BC37" i="97"/>
  <c r="O103" i="79"/>
  <c r="O91" i="79"/>
  <c r="O62" i="79"/>
  <c r="Y93" i="79"/>
  <c r="O75" i="79"/>
  <c r="O101" i="79"/>
  <c r="W101" i="79" s="1"/>
  <c r="BC29" i="97"/>
  <c r="Y63" i="79"/>
  <c r="Z82" i="79"/>
  <c r="AA41" i="79"/>
  <c r="AA31" i="79"/>
  <c r="F4" i="60"/>
  <c r="BC81" i="97"/>
  <c r="BC51" i="97"/>
  <c r="BC108" i="97"/>
  <c r="BC64" i="97"/>
  <c r="O63" i="79"/>
  <c r="O27" i="79"/>
  <c r="O64" i="79"/>
  <c r="O45" i="79"/>
  <c r="O95" i="79"/>
  <c r="O59" i="79"/>
  <c r="W59" i="79" s="1"/>
  <c r="O71" i="79"/>
  <c r="G215" i="1"/>
  <c r="G216" i="1" s="1"/>
  <c r="F7" i="1"/>
  <c r="AA112" i="79"/>
  <c r="AA10" i="79"/>
  <c r="Z61" i="79"/>
  <c r="Z34" i="79"/>
  <c r="Z114" i="79"/>
  <c r="AB22" i="79"/>
  <c r="AA30" i="79"/>
  <c r="Y73" i="79"/>
  <c r="Z42" i="79"/>
  <c r="Y115" i="79"/>
  <c r="Z50" i="79"/>
  <c r="AB5" i="84"/>
  <c r="G20" i="1" s="1"/>
  <c r="Y5" i="84"/>
  <c r="G17" i="1" s="1"/>
  <c r="G21" i="1"/>
  <c r="Y6" i="79"/>
  <c r="H213" i="1"/>
  <c r="F215" i="1"/>
  <c r="F216" i="1" s="1"/>
  <c r="AB40" i="79"/>
  <c r="AB28" i="79"/>
  <c r="AB8" i="79"/>
  <c r="Y120" i="79"/>
  <c r="AB102" i="79"/>
  <c r="Y70" i="79"/>
  <c r="Y44" i="79"/>
  <c r="AB39" i="79"/>
  <c r="Y83" i="79"/>
  <c r="AB27" i="79"/>
  <c r="AB18" i="79"/>
  <c r="AA15" i="79"/>
  <c r="AB99" i="79"/>
  <c r="O6" i="79"/>
  <c r="AB107" i="79"/>
  <c r="E215" i="1"/>
  <c r="E216" i="1" s="1"/>
  <c r="H214" i="1"/>
  <c r="Z76" i="79"/>
  <c r="Z46" i="79"/>
  <c r="AB78" i="79"/>
  <c r="Y78" i="79"/>
  <c r="Z78" i="79"/>
  <c r="F4" i="55"/>
  <c r="Z90" i="79"/>
  <c r="Z69" i="79"/>
  <c r="Y43" i="79"/>
  <c r="F4" i="53"/>
  <c r="Z24" i="79"/>
  <c r="AB51" i="79"/>
  <c r="D4" i="57"/>
  <c r="Y65" i="79"/>
  <c r="AB58" i="79"/>
  <c r="Y106" i="79"/>
  <c r="E40" i="1"/>
  <c r="E25" i="1"/>
  <c r="Z77" i="79" l="1"/>
  <c r="W77" i="79"/>
  <c r="AF77" i="79" s="1"/>
  <c r="AF98" i="79"/>
  <c r="AF85" i="79"/>
  <c r="Y16" i="79"/>
  <c r="Z37" i="79"/>
  <c r="W37" i="79"/>
  <c r="AF37" i="79" s="1"/>
  <c r="Z57" i="79"/>
  <c r="AB105" i="79"/>
  <c r="W99" i="79"/>
  <c r="AF99" i="79" s="1"/>
  <c r="W62" i="79"/>
  <c r="AF62" i="79" s="1"/>
  <c r="AF95" i="79"/>
  <c r="AF93" i="79"/>
  <c r="AF79" i="79"/>
  <c r="AF53" i="79"/>
  <c r="AF31" i="79"/>
  <c r="AF107" i="79"/>
  <c r="Z100" i="79"/>
  <c r="W100" i="79"/>
  <c r="Y55" i="79"/>
  <c r="W55" i="79"/>
  <c r="AF55" i="79" s="1"/>
  <c r="W43" i="79"/>
  <c r="AF43" i="79" s="1"/>
  <c r="W64" i="79"/>
  <c r="AF64" i="79" s="1"/>
  <c r="W13" i="79"/>
  <c r="AF13" i="79" s="1"/>
  <c r="W56" i="79"/>
  <c r="AF56" i="79" s="1"/>
  <c r="W27" i="79"/>
  <c r="AF27" i="79" s="1"/>
  <c r="W91" i="79"/>
  <c r="AF91" i="79" s="1"/>
  <c r="AF59" i="79"/>
  <c r="AF101" i="79"/>
  <c r="AF61" i="79"/>
  <c r="AF35" i="79"/>
  <c r="AF123" i="79"/>
  <c r="AF109" i="79"/>
  <c r="AF115" i="79"/>
  <c r="AF116" i="79"/>
  <c r="AB12" i="79"/>
  <c r="AF63" i="79"/>
  <c r="AF103" i="79"/>
  <c r="AF88" i="79"/>
  <c r="AF23" i="79"/>
  <c r="AF119" i="79"/>
  <c r="AF15" i="79"/>
  <c r="AF52" i="79"/>
  <c r="AF39" i="79"/>
  <c r="AF47" i="79"/>
  <c r="AB7" i="79"/>
  <c r="W7" i="79"/>
  <c r="AF7" i="79" s="1"/>
  <c r="Z71" i="79"/>
  <c r="W71" i="79"/>
  <c r="AF71" i="79" s="1"/>
  <c r="W125" i="79"/>
  <c r="AF125" i="79" s="1"/>
  <c r="W29" i="79"/>
  <c r="AF29" i="79" s="1"/>
  <c r="W45" i="79"/>
  <c r="AF45" i="79" s="1"/>
  <c r="W75" i="79"/>
  <c r="AF75" i="79" s="1"/>
  <c r="W58" i="79"/>
  <c r="AF58" i="79" s="1"/>
  <c r="W87" i="79"/>
  <c r="AF87" i="79" s="1"/>
  <c r="W51" i="79"/>
  <c r="AF51" i="79" s="1"/>
  <c r="W117" i="79"/>
  <c r="AF117" i="79" s="1"/>
  <c r="W83" i="79"/>
  <c r="AF83" i="79" s="1"/>
  <c r="W90" i="79"/>
  <c r="AF90" i="79" s="1"/>
  <c r="W67" i="79"/>
  <c r="AF67" i="79" s="1"/>
  <c r="W69" i="79"/>
  <c r="AF69" i="79" s="1"/>
  <c r="W80" i="79"/>
  <c r="AF80" i="79" s="1"/>
  <c r="W19" i="79"/>
  <c r="AF19" i="79" s="1"/>
  <c r="W111" i="79"/>
  <c r="AF111" i="79" s="1"/>
  <c r="W6" i="79"/>
  <c r="AF6" i="79" s="1"/>
  <c r="O110" i="79"/>
  <c r="O54" i="79"/>
  <c r="O73" i="79"/>
  <c r="O96" i="79"/>
  <c r="O82" i="79"/>
  <c r="O122" i="79"/>
  <c r="O76" i="79"/>
  <c r="O50" i="79"/>
  <c r="O49" i="79"/>
  <c r="O86" i="79"/>
  <c r="O105" i="79"/>
  <c r="O17" i="79"/>
  <c r="O97" i="79"/>
  <c r="O60" i="79"/>
  <c r="O25" i="79"/>
  <c r="O70" i="79"/>
  <c r="O65" i="79"/>
  <c r="O78" i="79"/>
  <c r="O112" i="79"/>
  <c r="O104" i="79"/>
  <c r="O106" i="79"/>
  <c r="O124" i="79"/>
  <c r="O9" i="79"/>
  <c r="O100" i="79"/>
  <c r="O113" i="79"/>
  <c r="O84" i="79"/>
  <c r="O92" i="79"/>
  <c r="O81" i="79"/>
  <c r="O114" i="79"/>
  <c r="O66" i="79"/>
  <c r="L5" i="79"/>
  <c r="O121" i="79"/>
  <c r="O33" i="79"/>
  <c r="W33" i="79" s="1"/>
  <c r="O89" i="79"/>
  <c r="O57" i="79"/>
  <c r="T5" i="79"/>
  <c r="O120" i="79"/>
  <c r="O72" i="79"/>
  <c r="O94" i="79"/>
  <c r="O14" i="79"/>
  <c r="O36" i="79"/>
  <c r="O74" i="79"/>
  <c r="O68" i="79"/>
  <c r="O118" i="79"/>
  <c r="O108" i="79"/>
  <c r="O26" i="79"/>
  <c r="O44" i="79"/>
  <c r="O12" i="79"/>
  <c r="O24" i="79"/>
  <c r="O18" i="79"/>
  <c r="O20" i="79"/>
  <c r="O32" i="79"/>
  <c r="M5" i="79"/>
  <c r="O16" i="79"/>
  <c r="O34" i="79"/>
  <c r="O48" i="79"/>
  <c r="U5" i="79"/>
  <c r="O8" i="79"/>
  <c r="O10" i="79"/>
  <c r="O42" i="79"/>
  <c r="O46" i="79"/>
  <c r="O28" i="79"/>
  <c r="O30" i="79"/>
  <c r="O40" i="79"/>
  <c r="L13" i="123"/>
  <c r="K22" i="123" s="1"/>
  <c r="H5" i="118"/>
  <c r="L5" i="123"/>
  <c r="J8" i="123" s="1"/>
  <c r="I23" i="123"/>
  <c r="W12" i="123" s="1"/>
  <c r="L190" i="1"/>
  <c r="J190" i="1"/>
  <c r="J24" i="123"/>
  <c r="J9" i="123" s="1"/>
  <c r="U13" i="123" s="1"/>
  <c r="I9" i="123"/>
  <c r="U12" i="123" s="1"/>
  <c r="K190" i="1"/>
  <c r="AB16" i="79"/>
  <c r="Z16" i="79"/>
  <c r="AA16" i="79"/>
  <c r="Y5" i="79"/>
  <c r="K4" i="53"/>
  <c r="K203" i="1"/>
  <c r="M187" i="1"/>
  <c r="M203" i="1"/>
  <c r="L201" i="1"/>
  <c r="M201" i="1"/>
  <c r="J201" i="1"/>
  <c r="L203" i="1"/>
  <c r="K201" i="1"/>
  <c r="K187" i="1"/>
  <c r="J203" i="1"/>
  <c r="L187" i="1"/>
  <c r="J187" i="1"/>
  <c r="Z118" i="79"/>
  <c r="O38" i="79"/>
  <c r="O102" i="79"/>
  <c r="O22" i="79"/>
  <c r="AB125" i="79"/>
  <c r="AA95" i="79"/>
  <c r="Y95" i="79"/>
  <c r="AA59" i="79"/>
  <c r="AA118" i="79"/>
  <c r="Y26" i="79"/>
  <c r="AB118" i="79"/>
  <c r="Z86" i="79"/>
  <c r="Y35" i="79"/>
  <c r="Z33" i="79"/>
  <c r="Z75" i="79"/>
  <c r="Z21" i="79"/>
  <c r="Y21" i="79"/>
  <c r="AA13" i="79"/>
  <c r="AA125" i="79"/>
  <c r="Z125" i="79"/>
  <c r="Z48" i="79"/>
  <c r="Y119" i="79"/>
  <c r="Y66" i="79"/>
  <c r="Z95" i="79"/>
  <c r="AB91" i="79"/>
  <c r="AB21" i="79"/>
  <c r="AB53" i="79"/>
  <c r="Y25" i="79"/>
  <c r="AA9" i="79"/>
  <c r="AB74" i="79"/>
  <c r="Y36" i="79"/>
  <c r="Z55" i="79"/>
  <c r="Z121" i="79"/>
  <c r="Z124" i="79"/>
  <c r="AA52" i="79"/>
  <c r="AA55" i="79"/>
  <c r="AB55" i="79"/>
  <c r="AB41" i="79"/>
  <c r="AA53" i="79"/>
  <c r="AA110" i="79"/>
  <c r="Z123" i="79"/>
  <c r="Y89" i="79"/>
  <c r="AB111" i="79"/>
  <c r="AA89" i="79"/>
  <c r="AB123" i="79"/>
  <c r="Z89" i="79"/>
  <c r="AA111" i="79"/>
  <c r="Y111" i="79"/>
  <c r="AB100" i="79"/>
  <c r="Z17" i="79"/>
  <c r="AB113" i="79"/>
  <c r="AA100" i="79"/>
  <c r="Y17" i="79"/>
  <c r="AA49" i="79"/>
  <c r="Y49" i="79"/>
  <c r="Z116" i="79"/>
  <c r="AB49" i="79"/>
  <c r="Y123" i="79"/>
  <c r="Z62" i="79"/>
  <c r="AA62" i="79"/>
  <c r="Y62" i="79"/>
  <c r="Z18" i="79"/>
  <c r="Z97" i="79"/>
  <c r="Y14" i="79"/>
  <c r="Y94" i="79"/>
  <c r="AB63" i="79"/>
  <c r="Y113" i="79"/>
  <c r="AB115" i="79"/>
  <c r="Y100" i="79"/>
  <c r="AB17" i="79"/>
  <c r="Y77" i="79"/>
  <c r="AA77" i="79"/>
  <c r="AA67" i="79"/>
  <c r="AA101" i="79"/>
  <c r="Y79" i="79"/>
  <c r="AB72" i="79"/>
  <c r="Z113" i="79"/>
  <c r="Y32" i="79"/>
  <c r="Z67" i="79"/>
  <c r="AB77" i="79"/>
  <c r="Y116" i="79"/>
  <c r="Y41" i="79"/>
  <c r="Z110" i="79"/>
  <c r="AA32" i="79"/>
  <c r="Y23" i="79"/>
  <c r="AB84" i="79"/>
  <c r="Z94" i="79"/>
  <c r="Z41" i="79"/>
  <c r="AB85" i="79"/>
  <c r="Z84" i="79"/>
  <c r="AA84" i="79"/>
  <c r="Z63" i="79"/>
  <c r="AB14" i="79"/>
  <c r="Z96" i="79"/>
  <c r="Y50" i="79"/>
  <c r="AB67" i="79"/>
  <c r="Y87" i="79"/>
  <c r="AA46" i="79"/>
  <c r="AB94" i="79"/>
  <c r="AB24" i="79"/>
  <c r="AB116" i="79"/>
  <c r="Y99" i="79"/>
  <c r="Z7" i="79"/>
  <c r="Y39" i="79"/>
  <c r="Z56" i="79"/>
  <c r="AA97" i="79"/>
  <c r="AB11" i="79"/>
  <c r="Z32" i="79"/>
  <c r="AA63" i="79"/>
  <c r="Z87" i="79"/>
  <c r="AA20" i="79"/>
  <c r="Z102" i="79"/>
  <c r="Y96" i="79"/>
  <c r="Y97" i="79"/>
  <c r="AB61" i="79"/>
  <c r="AA87" i="79"/>
  <c r="Y76" i="79"/>
  <c r="AB120" i="79"/>
  <c r="AB96" i="79"/>
  <c r="Y37" i="79"/>
  <c r="Y114" i="79"/>
  <c r="Y20" i="79"/>
  <c r="Z20" i="79"/>
  <c r="AB90" i="79"/>
  <c r="Z8" i="79"/>
  <c r="AA47" i="79"/>
  <c r="Y51" i="79"/>
  <c r="AB43" i="79"/>
  <c r="Y46" i="79"/>
  <c r="Z28" i="79"/>
  <c r="Y90" i="79"/>
  <c r="O41" i="79"/>
  <c r="Z12" i="79"/>
  <c r="Z65" i="79"/>
  <c r="Y40" i="79"/>
  <c r="AB37" i="79"/>
  <c r="AB56" i="79"/>
  <c r="Z22" i="79"/>
  <c r="Z29" i="79"/>
  <c r="Y29" i="79"/>
  <c r="AB29" i="79"/>
  <c r="O11" i="79"/>
  <c r="N5" i="79"/>
  <c r="AJ5" i="79" s="1"/>
  <c r="Z68" i="79"/>
  <c r="AB68" i="79"/>
  <c r="Y68" i="79"/>
  <c r="AA37" i="79"/>
  <c r="Z80" i="79"/>
  <c r="AB80" i="79"/>
  <c r="Y80" i="79"/>
  <c r="Y72" i="79"/>
  <c r="AB70" i="79"/>
  <c r="Y56" i="79"/>
  <c r="Y42" i="79"/>
  <c r="AA80" i="79"/>
  <c r="Y60" i="79"/>
  <c r="Z60" i="79"/>
  <c r="AA60" i="79"/>
  <c r="AB60" i="79"/>
  <c r="AB69" i="79"/>
  <c r="Z109" i="79"/>
  <c r="Z72" i="79"/>
  <c r="Z106" i="79"/>
  <c r="AA70" i="79"/>
  <c r="AB76" i="79"/>
  <c r="Z27" i="79"/>
  <c r="AB44" i="79"/>
  <c r="Z70" i="79"/>
  <c r="AA76" i="79"/>
  <c r="AB42" i="79"/>
  <c r="AB73" i="79"/>
  <c r="Y110" i="79"/>
  <c r="AA90" i="79"/>
  <c r="O21" i="79"/>
  <c r="Y45" i="79"/>
  <c r="AB45" i="79"/>
  <c r="Z45" i="79"/>
  <c r="AA14" i="79"/>
  <c r="H215" i="1"/>
  <c r="I213" i="1" s="1"/>
  <c r="Z88" i="79"/>
  <c r="AB88" i="79"/>
  <c r="Y88" i="79"/>
  <c r="AA6" i="79"/>
  <c r="Y58" i="79"/>
  <c r="AB6" i="79"/>
  <c r="Z58" i="79"/>
  <c r="Y82" i="79"/>
  <c r="AA88" i="79"/>
  <c r="Y103" i="79"/>
  <c r="AA103" i="79"/>
  <c r="AA99" i="79"/>
  <c r="Z99" i="79"/>
  <c r="Y7" i="79"/>
  <c r="AA7" i="79"/>
  <c r="Y117" i="79"/>
  <c r="Z117" i="79"/>
  <c r="AB117" i="79"/>
  <c r="AB65" i="79"/>
  <c r="AA120" i="79"/>
  <c r="Z120" i="79"/>
  <c r="Y105" i="79"/>
  <c r="AA105" i="79"/>
  <c r="AB50" i="79"/>
  <c r="AA115" i="79"/>
  <c r="Z115" i="79"/>
  <c r="AB57" i="79"/>
  <c r="Z73" i="79"/>
  <c r="AB110" i="79"/>
  <c r="AA117" i="79"/>
  <c r="Y22" i="79"/>
  <c r="AA22" i="79"/>
  <c r="AB114" i="79"/>
  <c r="AB34" i="79"/>
  <c r="Y61" i="79"/>
  <c r="AA61" i="79"/>
  <c r="AB103" i="79"/>
  <c r="AA73" i="79"/>
  <c r="AA114" i="79"/>
  <c r="AB108" i="79"/>
  <c r="Y108" i="79"/>
  <c r="Z108" i="79"/>
  <c r="Y107" i="79"/>
  <c r="AA107" i="79"/>
  <c r="AA81" i="79"/>
  <c r="Y81" i="79"/>
  <c r="AA83" i="79"/>
  <c r="Z83" i="79"/>
  <c r="Y12" i="79"/>
  <c r="AA12" i="79"/>
  <c r="Y24" i="79"/>
  <c r="AA24" i="79"/>
  <c r="AA58" i="79"/>
  <c r="AB106" i="79"/>
  <c r="AB46" i="79"/>
  <c r="Z15" i="79"/>
  <c r="Y15" i="79"/>
  <c r="AB15" i="79"/>
  <c r="Y27" i="79"/>
  <c r="AA27" i="79"/>
  <c r="AA44" i="79"/>
  <c r="Z44" i="79"/>
  <c r="Y28" i="79"/>
  <c r="AA28" i="79"/>
  <c r="Z40" i="79"/>
  <c r="AA40" i="79"/>
  <c r="Y71" i="79"/>
  <c r="AA71" i="79"/>
  <c r="AB81" i="79"/>
  <c r="AB71" i="79"/>
  <c r="AA106" i="79"/>
  <c r="Z10" i="79"/>
  <c r="Y10" i="79"/>
  <c r="AB10" i="79"/>
  <c r="AA108" i="79"/>
  <c r="Z54" i="79"/>
  <c r="Y54" i="79"/>
  <c r="AB54" i="79"/>
  <c r="Z107" i="79"/>
  <c r="AA57" i="79"/>
  <c r="Y57" i="79"/>
  <c r="AA34" i="79"/>
  <c r="AB104" i="79"/>
  <c r="Y104" i="79"/>
  <c r="Z104" i="79"/>
  <c r="AA104" i="79"/>
  <c r="Z51" i="79"/>
  <c r="AA51" i="79"/>
  <c r="Z6" i="79"/>
  <c r="Z43" i="79"/>
  <c r="AA43" i="79"/>
  <c r="AA69" i="79"/>
  <c r="Y69" i="79"/>
  <c r="AB82" i="79"/>
  <c r="Y109" i="79"/>
  <c r="AA109" i="79"/>
  <c r="AA18" i="79"/>
  <c r="Y18" i="79"/>
  <c r="AB83" i="79"/>
  <c r="Z39" i="79"/>
  <c r="AA39" i="79"/>
  <c r="AA102" i="79"/>
  <c r="Y102" i="79"/>
  <c r="AA65" i="79"/>
  <c r="Y8" i="79"/>
  <c r="AA8" i="79"/>
  <c r="Y11" i="79"/>
  <c r="AA11" i="79"/>
  <c r="AA50" i="79"/>
  <c r="Z81" i="79"/>
  <c r="Z105" i="79"/>
  <c r="AB30" i="79"/>
  <c r="Y30" i="79"/>
  <c r="Z30" i="79"/>
  <c r="Y34" i="79"/>
  <c r="Z103" i="79"/>
  <c r="AA42" i="79"/>
  <c r="Z31" i="79"/>
  <c r="AB31" i="79"/>
  <c r="Y31" i="79"/>
  <c r="AA82" i="79"/>
  <c r="Z38" i="79"/>
  <c r="Y38" i="79"/>
  <c r="AB38" i="79"/>
  <c r="AA38" i="79"/>
  <c r="AA54" i="79"/>
  <c r="Z112" i="79"/>
  <c r="Y112" i="79"/>
  <c r="AB112" i="79"/>
  <c r="AD6" i="79" l="1"/>
  <c r="AE6" i="79"/>
  <c r="W30" i="79"/>
  <c r="AF30" i="79" s="1"/>
  <c r="W10" i="79"/>
  <c r="AF10" i="79" s="1"/>
  <c r="W34" i="79"/>
  <c r="AF34" i="79" s="1"/>
  <c r="W20" i="79"/>
  <c r="AF20" i="79" s="1"/>
  <c r="W44" i="79"/>
  <c r="AF44" i="79" s="1"/>
  <c r="W92" i="79"/>
  <c r="AE92" i="79" s="1"/>
  <c r="W112" i="79"/>
  <c r="AD112" i="79" s="1"/>
  <c r="W25" i="79"/>
  <c r="AF25" i="79" s="1"/>
  <c r="W76" i="79"/>
  <c r="AF76" i="79" s="1"/>
  <c r="W73" i="79"/>
  <c r="AD73" i="79" s="1"/>
  <c r="W21" i="79"/>
  <c r="AF21" i="79" s="1"/>
  <c r="W11" i="79"/>
  <c r="AF11" i="79" s="1"/>
  <c r="W38" i="79"/>
  <c r="AF38" i="79" s="1"/>
  <c r="W28" i="79"/>
  <c r="AD28" i="79" s="1"/>
  <c r="W8" i="79"/>
  <c r="AF8" i="79" s="1"/>
  <c r="W18" i="79"/>
  <c r="AE18" i="79" s="1"/>
  <c r="W26" i="79"/>
  <c r="AF26" i="79" s="1"/>
  <c r="W74" i="79"/>
  <c r="AE74" i="79" s="1"/>
  <c r="W72" i="79"/>
  <c r="AF72" i="79" s="1"/>
  <c r="W89" i="79"/>
  <c r="AE89" i="79" s="1"/>
  <c r="W66" i="79"/>
  <c r="AF66" i="79" s="1"/>
  <c r="W84" i="79"/>
  <c r="AF84" i="79" s="1"/>
  <c r="W124" i="79"/>
  <c r="AF124" i="79" s="1"/>
  <c r="W78" i="79"/>
  <c r="AF78" i="79" s="1"/>
  <c r="W60" i="79"/>
  <c r="AF60" i="79" s="1"/>
  <c r="W86" i="79"/>
  <c r="AF86" i="79" s="1"/>
  <c r="W122" i="79"/>
  <c r="AF122" i="79" s="1"/>
  <c r="W54" i="79"/>
  <c r="AE54" i="79" s="1"/>
  <c r="W105" i="79"/>
  <c r="AF105" i="79" s="1"/>
  <c r="W94" i="79"/>
  <c r="AE94" i="79" s="1"/>
  <c r="W46" i="79"/>
  <c r="AE46" i="79" s="1"/>
  <c r="W24" i="79"/>
  <c r="AD24" i="79" s="1"/>
  <c r="W108" i="79"/>
  <c r="AF108" i="79" s="1"/>
  <c r="W36" i="79"/>
  <c r="AD36" i="79" s="1"/>
  <c r="W120" i="79"/>
  <c r="AF120" i="79" s="1"/>
  <c r="AF33" i="79"/>
  <c r="W114" i="79"/>
  <c r="AF114" i="79" s="1"/>
  <c r="W113" i="79"/>
  <c r="AF113" i="79" s="1"/>
  <c r="W106" i="79"/>
  <c r="AD106" i="79" s="1"/>
  <c r="W65" i="79"/>
  <c r="AF65" i="79" s="1"/>
  <c r="W97" i="79"/>
  <c r="AF97" i="79" s="1"/>
  <c r="W49" i="79"/>
  <c r="AF49" i="79" s="1"/>
  <c r="W82" i="79"/>
  <c r="AF82" i="79" s="1"/>
  <c r="W110" i="79"/>
  <c r="AF110" i="79" s="1"/>
  <c r="W102" i="79"/>
  <c r="AF102" i="79" s="1"/>
  <c r="W9" i="79"/>
  <c r="AF9" i="79" s="1"/>
  <c r="W68" i="79"/>
  <c r="AF68" i="79" s="1"/>
  <c r="W41" i="79"/>
  <c r="AF41" i="79" s="1"/>
  <c r="W22" i="79"/>
  <c r="AF22" i="79" s="1"/>
  <c r="W40" i="79"/>
  <c r="AE40" i="79" s="1"/>
  <c r="W42" i="79"/>
  <c r="AF42" i="79" s="1"/>
  <c r="W48" i="79"/>
  <c r="AF48" i="79" s="1"/>
  <c r="W32" i="79"/>
  <c r="AF32" i="79" s="1"/>
  <c r="W118" i="79"/>
  <c r="AF118" i="79" s="1"/>
  <c r="W14" i="79"/>
  <c r="AD14" i="79" s="1"/>
  <c r="W121" i="79"/>
  <c r="AF121" i="79" s="1"/>
  <c r="W81" i="79"/>
  <c r="AD81" i="79" s="1"/>
  <c r="AF100" i="79"/>
  <c r="W104" i="79"/>
  <c r="AF104" i="79" s="1"/>
  <c r="W70" i="79"/>
  <c r="AF70" i="79" s="1"/>
  <c r="W17" i="79"/>
  <c r="AF17" i="79" s="1"/>
  <c r="W50" i="79"/>
  <c r="AF50" i="79" s="1"/>
  <c r="W96" i="79"/>
  <c r="AF96" i="79" s="1"/>
  <c r="W12" i="79"/>
  <c r="AD12" i="79" s="1"/>
  <c r="W57" i="79"/>
  <c r="AF57" i="79" s="1"/>
  <c r="W16" i="79"/>
  <c r="AF16" i="79" s="1"/>
  <c r="J22" i="123"/>
  <c r="L22" i="123"/>
  <c r="I22" i="123"/>
  <c r="L8" i="123"/>
  <c r="L24" i="123"/>
  <c r="I25" i="123" s="1"/>
  <c r="I8" i="123"/>
  <c r="J12" i="123"/>
  <c r="V13" i="123" s="1"/>
  <c r="J23" i="123"/>
  <c r="W13" i="123" s="1"/>
  <c r="M202" i="1"/>
  <c r="W196" i="1" s="1"/>
  <c r="M191" i="1"/>
  <c r="V196" i="1" s="1"/>
  <c r="L202" i="1"/>
  <c r="W195" i="1" s="1"/>
  <c r="L191" i="1"/>
  <c r="V195" i="1" s="1"/>
  <c r="K202" i="1"/>
  <c r="W194" i="1" s="1"/>
  <c r="K191" i="1"/>
  <c r="V194" i="1" s="1"/>
  <c r="J202" i="1"/>
  <c r="W193" i="1" s="1"/>
  <c r="J191" i="1"/>
  <c r="V193" i="1" s="1"/>
  <c r="F5" i="79"/>
  <c r="AH5" i="79" s="1"/>
  <c r="K5" i="123"/>
  <c r="K188" i="1"/>
  <c r="U194" i="1" s="1"/>
  <c r="AE7" i="79"/>
  <c r="AD7" i="79"/>
  <c r="AE55" i="79"/>
  <c r="AD55" i="79"/>
  <c r="AE95" i="79"/>
  <c r="AD95" i="79"/>
  <c r="AE111" i="79"/>
  <c r="AD111" i="79"/>
  <c r="AD91" i="79"/>
  <c r="AE91" i="79"/>
  <c r="AD121" i="79"/>
  <c r="AE107" i="79"/>
  <c r="AD107" i="79"/>
  <c r="AE100" i="79"/>
  <c r="AD100" i="79"/>
  <c r="AE109" i="79"/>
  <c r="AD109" i="79"/>
  <c r="AE90" i="79"/>
  <c r="AD90" i="79"/>
  <c r="AE33" i="79"/>
  <c r="AD33" i="79"/>
  <c r="AE49" i="79"/>
  <c r="AD49" i="79"/>
  <c r="AE61" i="79"/>
  <c r="AD61" i="79"/>
  <c r="AE113" i="79"/>
  <c r="AD113" i="79"/>
  <c r="AD124" i="79"/>
  <c r="AE31" i="79"/>
  <c r="AD31" i="79"/>
  <c r="AE79" i="79"/>
  <c r="AD79" i="79"/>
  <c r="AE35" i="79"/>
  <c r="AD35" i="79"/>
  <c r="AE87" i="79"/>
  <c r="AD87" i="79"/>
  <c r="AE115" i="79"/>
  <c r="AD115" i="79"/>
  <c r="AE80" i="79"/>
  <c r="AD80" i="79"/>
  <c r="AE85" i="79"/>
  <c r="AD85" i="79"/>
  <c r="AE119" i="79"/>
  <c r="AD119" i="79"/>
  <c r="AE103" i="79"/>
  <c r="AD103" i="79"/>
  <c r="AE63" i="79"/>
  <c r="AD63" i="79"/>
  <c r="AE47" i="79"/>
  <c r="AD47" i="79"/>
  <c r="AD53" i="79"/>
  <c r="AE53" i="79"/>
  <c r="AE51" i="79"/>
  <c r="AD51" i="79"/>
  <c r="AE17" i="79"/>
  <c r="AE39" i="79"/>
  <c r="AD39" i="79"/>
  <c r="AE93" i="79"/>
  <c r="AD93" i="79"/>
  <c r="AE59" i="79"/>
  <c r="AD59" i="79"/>
  <c r="AE27" i="79"/>
  <c r="AD27" i="79"/>
  <c r="AD120" i="79"/>
  <c r="AE99" i="79"/>
  <c r="AD99" i="79"/>
  <c r="AE67" i="79"/>
  <c r="AD67" i="79"/>
  <c r="AD96" i="79"/>
  <c r="AE34" i="79"/>
  <c r="AD34" i="79"/>
  <c r="AD29" i="79"/>
  <c r="AE29" i="79"/>
  <c r="AE88" i="79"/>
  <c r="AD88" i="79"/>
  <c r="AE37" i="79"/>
  <c r="AD37" i="79"/>
  <c r="AE83" i="79"/>
  <c r="AD83" i="79"/>
  <c r="AD86" i="79"/>
  <c r="AE64" i="79"/>
  <c r="AD64" i="79"/>
  <c r="AE10" i="79"/>
  <c r="AD10" i="79"/>
  <c r="AE56" i="79"/>
  <c r="AD56" i="79"/>
  <c r="AE112" i="79"/>
  <c r="AE58" i="79"/>
  <c r="AD58" i="79"/>
  <c r="AE114" i="79"/>
  <c r="AE125" i="79"/>
  <c r="AD125" i="79"/>
  <c r="AE9" i="79"/>
  <c r="AD9" i="79"/>
  <c r="AE36" i="79"/>
  <c r="AE52" i="79"/>
  <c r="AD52" i="79"/>
  <c r="AE23" i="79"/>
  <c r="AD23" i="79"/>
  <c r="AE75" i="79"/>
  <c r="AD75" i="79"/>
  <c r="AE45" i="79"/>
  <c r="AD45" i="79"/>
  <c r="AE15" i="79"/>
  <c r="AD15" i="79"/>
  <c r="AD82" i="79"/>
  <c r="O5" i="79"/>
  <c r="AE43" i="79"/>
  <c r="AD43" i="79"/>
  <c r="AD66" i="79"/>
  <c r="AE69" i="79"/>
  <c r="AD69" i="79"/>
  <c r="AE77" i="79"/>
  <c r="AD77" i="79"/>
  <c r="AE123" i="79"/>
  <c r="AD123" i="79"/>
  <c r="AE98" i="79"/>
  <c r="AD98" i="79"/>
  <c r="AE50" i="79"/>
  <c r="AE101" i="79"/>
  <c r="AD101" i="79"/>
  <c r="AE116" i="79"/>
  <c r="AD116" i="79"/>
  <c r="AE117" i="79"/>
  <c r="AD117" i="79"/>
  <c r="AD13" i="79"/>
  <c r="AE13" i="79"/>
  <c r="AE62" i="79"/>
  <c r="AD62" i="79"/>
  <c r="AE71" i="79"/>
  <c r="AD71" i="79"/>
  <c r="AE19" i="79"/>
  <c r="AD19" i="79"/>
  <c r="AE8" i="79"/>
  <c r="AD8" i="79"/>
  <c r="M188" i="1"/>
  <c r="U196" i="1" s="1"/>
  <c r="L188" i="1"/>
  <c r="U195" i="1" s="1"/>
  <c r="J188" i="1"/>
  <c r="U193" i="1" s="1"/>
  <c r="AB75" i="79"/>
  <c r="Y13" i="79"/>
  <c r="Z26" i="79"/>
  <c r="AA26" i="79"/>
  <c r="Y33" i="79"/>
  <c r="AA86" i="79"/>
  <c r="AB86" i="79"/>
  <c r="AA91" i="79"/>
  <c r="Y9" i="79"/>
  <c r="Z35" i="79"/>
  <c r="AA48" i="79"/>
  <c r="AB26" i="79"/>
  <c r="Z52" i="79"/>
  <c r="AA74" i="79"/>
  <c r="AA35" i="79"/>
  <c r="Z36" i="79"/>
  <c r="AB35" i="79"/>
  <c r="Z53" i="79"/>
  <c r="AB33" i="79"/>
  <c r="AB9" i="79"/>
  <c r="Y59" i="79"/>
  <c r="Z59" i="79"/>
  <c r="AA33" i="79"/>
  <c r="Y86" i="79"/>
  <c r="Y48" i="79"/>
  <c r="AB59" i="79"/>
  <c r="Y53" i="79"/>
  <c r="AA75" i="79"/>
  <c r="AB119" i="79"/>
  <c r="Z13" i="79"/>
  <c r="AA119" i="79"/>
  <c r="Y75" i="79"/>
  <c r="AA121" i="79"/>
  <c r="Y52" i="79"/>
  <c r="AB13" i="79"/>
  <c r="Z119" i="79"/>
  <c r="Z74" i="79"/>
  <c r="Y74" i="79"/>
  <c r="Z9" i="79"/>
  <c r="AB48" i="79"/>
  <c r="AA66" i="79"/>
  <c r="AB66" i="79"/>
  <c r="Z91" i="79"/>
  <c r="Z66" i="79"/>
  <c r="Y91" i="79"/>
  <c r="AA124" i="79"/>
  <c r="Z25" i="79"/>
  <c r="AB124" i="79"/>
  <c r="AA36" i="79"/>
  <c r="AA25" i="79"/>
  <c r="AB36" i="79"/>
  <c r="AB25" i="79"/>
  <c r="AB121" i="79"/>
  <c r="Y121" i="79"/>
  <c r="AB52" i="79"/>
  <c r="Y124" i="79"/>
  <c r="AA79" i="79"/>
  <c r="Z101" i="79"/>
  <c r="AB101" i="79"/>
  <c r="AA23" i="79"/>
  <c r="Y101" i="79"/>
  <c r="Y85" i="79"/>
  <c r="Z79" i="79"/>
  <c r="AB79" i="79"/>
  <c r="AA85" i="79"/>
  <c r="Z85" i="79"/>
  <c r="Z23" i="79"/>
  <c r="AB23" i="79"/>
  <c r="AB47" i="79"/>
  <c r="Z47" i="79"/>
  <c r="Y47" i="79"/>
  <c r="Z122" i="79"/>
  <c r="AB122" i="79"/>
  <c r="Y122" i="79"/>
  <c r="AA122" i="79"/>
  <c r="L204" i="1"/>
  <c r="H216" i="1"/>
  <c r="I214" i="1"/>
  <c r="I215" i="1"/>
  <c r="K204" i="1"/>
  <c r="J204" i="1"/>
  <c r="Z98" i="79"/>
  <c r="AB98" i="79"/>
  <c r="Y98" i="79"/>
  <c r="AB19" i="79"/>
  <c r="Z19" i="79"/>
  <c r="Y19" i="79"/>
  <c r="AA98" i="79"/>
  <c r="AA19" i="79"/>
  <c r="AD70" i="79" l="1"/>
  <c r="AE96" i="79"/>
  <c r="AE12" i="79"/>
  <c r="AE48" i="79"/>
  <c r="AE70" i="79"/>
  <c r="AD97" i="79"/>
  <c r="AE44" i="79"/>
  <c r="AD48" i="79"/>
  <c r="AE78" i="79"/>
  <c r="AE76" i="79"/>
  <c r="AE121" i="79"/>
  <c r="AE16" i="79"/>
  <c r="AD50" i="79"/>
  <c r="AD78" i="79"/>
  <c r="AD16" i="79"/>
  <c r="AE60" i="79"/>
  <c r="AE106" i="79"/>
  <c r="AE66" i="79"/>
  <c r="AE65" i="79"/>
  <c r="AD46" i="79"/>
  <c r="AE120" i="79"/>
  <c r="AD68" i="79"/>
  <c r="AD54" i="79"/>
  <c r="AF46" i="79"/>
  <c r="AF54" i="79"/>
  <c r="AF74" i="79"/>
  <c r="AE14" i="79"/>
  <c r="AD76" i="79"/>
  <c r="AE105" i="79"/>
  <c r="AD84" i="79"/>
  <c r="AF89" i="79"/>
  <c r="AE28" i="79"/>
  <c r="AE25" i="79"/>
  <c r="AE124" i="79"/>
  <c r="AE108" i="79"/>
  <c r="AD42" i="79"/>
  <c r="AD18" i="79"/>
  <c r="AE82" i="79"/>
  <c r="AD30" i="79"/>
  <c r="AD72" i="79"/>
  <c r="AE86" i="79"/>
  <c r="AD25" i="79"/>
  <c r="AE68" i="79"/>
  <c r="AE26" i="79"/>
  <c r="AD118" i="79"/>
  <c r="AE20" i="79"/>
  <c r="AE73" i="79"/>
  <c r="AD122" i="79"/>
  <c r="AF106" i="79"/>
  <c r="AF18" i="79"/>
  <c r="AF112" i="79"/>
  <c r="AD65" i="79"/>
  <c r="AD26" i="79"/>
  <c r="AE42" i="79"/>
  <c r="AE24" i="79"/>
  <c r="AE30" i="79"/>
  <c r="AE72" i="79"/>
  <c r="AD114" i="79"/>
  <c r="AD44" i="79"/>
  <c r="AD17" i="79"/>
  <c r="AD105" i="79"/>
  <c r="AE110" i="79"/>
  <c r="AE118" i="79"/>
  <c r="AE122" i="79"/>
  <c r="AD60" i="79"/>
  <c r="AE97" i="79"/>
  <c r="AE32" i="79"/>
  <c r="AD110" i="79"/>
  <c r="AD20" i="79"/>
  <c r="AD108" i="79"/>
  <c r="AD57" i="79"/>
  <c r="AD92" i="79"/>
  <c r="AD104" i="79"/>
  <c r="AE84" i="79"/>
  <c r="AF40" i="79"/>
  <c r="AF92" i="79"/>
  <c r="AE57" i="79"/>
  <c r="AD32" i="79"/>
  <c r="AE104" i="79"/>
  <c r="AF12" i="79"/>
  <c r="AD40" i="79"/>
  <c r="AE81" i="79"/>
  <c r="AD74" i="79"/>
  <c r="AD89" i="79"/>
  <c r="AF81" i="79"/>
  <c r="AF14" i="79"/>
  <c r="AF36" i="79"/>
  <c r="AF24" i="79"/>
  <c r="AF94" i="79"/>
  <c r="AF28" i="79"/>
  <c r="AF73" i="79"/>
  <c r="AD94" i="79"/>
  <c r="L12" i="123"/>
  <c r="V15" i="123" s="1"/>
  <c r="L9" i="123"/>
  <c r="U15" i="123" s="1"/>
  <c r="J25" i="123"/>
  <c r="L23" i="123"/>
  <c r="W15" i="123" s="1"/>
  <c r="K24" i="123"/>
  <c r="K9" i="123" s="1"/>
  <c r="U14" i="123" s="1"/>
  <c r="K8" i="123"/>
  <c r="AE22" i="79"/>
  <c r="AD22" i="79"/>
  <c r="AE21" i="79"/>
  <c r="AD21" i="79"/>
  <c r="AD11" i="79"/>
  <c r="AE11" i="79"/>
  <c r="W5" i="79"/>
  <c r="AF5" i="79" s="1"/>
  <c r="AE102" i="79"/>
  <c r="AD102" i="79"/>
  <c r="AE41" i="79"/>
  <c r="AD41" i="79"/>
  <c r="AE38" i="79"/>
  <c r="AD38" i="79"/>
  <c r="AB128" i="79"/>
  <c r="Z128" i="79"/>
  <c r="Y127" i="79"/>
  <c r="AA128" i="79"/>
  <c r="Z127" i="79"/>
  <c r="AA127" i="79"/>
  <c r="AB127" i="79"/>
  <c r="M204" i="1"/>
  <c r="Z5" i="79"/>
  <c r="AB5" i="79"/>
  <c r="AA5" i="79"/>
  <c r="Y128" i="79"/>
  <c r="K12" i="123" l="1"/>
  <c r="V14" i="123" s="1"/>
  <c r="K23" i="123"/>
  <c r="W14" i="123" s="1"/>
  <c r="K25" i="123"/>
  <c r="L25" i="123" s="1"/>
  <c r="AE128" i="79"/>
  <c r="AF127" i="79"/>
  <c r="AD128" i="79"/>
  <c r="AE5" i="79"/>
  <c r="AD5" i="79"/>
  <c r="AE127" i="79"/>
  <c r="AF128" i="79"/>
  <c r="AD127" i="79"/>
</calcChain>
</file>

<file path=xl/comments1.xml><?xml version="1.0" encoding="utf-8"?>
<comments xmlns="http://schemas.openxmlformats.org/spreadsheetml/2006/main">
  <authors>
    <author>AXW09990</author>
  </authors>
  <commentList>
    <comment ref="M4" authorId="0" shapeId="0">
      <text>
        <r>
          <rPr>
            <b/>
            <sz val="10"/>
            <color indexed="81"/>
            <rFont val="Tahoma"/>
            <family val="2"/>
          </rPr>
          <t>AXW09990:</t>
        </r>
        <r>
          <rPr>
            <sz val="10"/>
            <color indexed="81"/>
            <rFont val="Tahoma"/>
            <family val="2"/>
          </rPr>
          <t xml:space="preserve">
</t>
        </r>
      </text>
    </comment>
  </commentList>
</comments>
</file>

<file path=xl/sharedStrings.xml><?xml version="1.0" encoding="utf-8"?>
<sst xmlns="http://schemas.openxmlformats.org/spreadsheetml/2006/main" count="28268" uniqueCount="1456">
  <si>
    <t>FIPS:</t>
  </si>
  <si>
    <t>Locality Name:</t>
  </si>
  <si>
    <t>White</t>
  </si>
  <si>
    <t>African American</t>
  </si>
  <si>
    <t>FIPS</t>
  </si>
  <si>
    <t>Locality</t>
  </si>
  <si>
    <t>Adults</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</si>
  <si>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</si>
  <si>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</si>
  <si>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</si>
  <si>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</si>
  <si>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</si>
  <si>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</si>
  <si>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</si>
  <si>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</si>
  <si>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</si>
  <si>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</si>
  <si>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</si>
  <si>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</si>
  <si>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</si>
  <si>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</si>
  <si>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</si>
  <si>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</si>
  <si>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</si>
  <si>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</si>
  <si>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</si>
  <si>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</si>
  <si>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</si>
  <si>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</si>
  <si>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</si>
  <si>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</si>
  <si>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</si>
  <si>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</si>
  <si>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</si>
  <si>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</si>
  <si>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</si>
  <si>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</si>
  <si>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</si>
  <si>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</si>
  <si>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</si>
  <si>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</si>
  <si>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</si>
  <si>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</si>
  <si>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</si>
  <si>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</si>
  <si>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</si>
  <si>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</si>
  <si>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</si>
  <si>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</si>
  <si>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</si>
  <si>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</si>
  <si>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</si>
  <si>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</si>
  <si>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</si>
  <si>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</si>
  <si>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</si>
  <si>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</si>
  <si>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</si>
  <si>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</si>
  <si>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</si>
  <si>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</si>
  <si>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</si>
  <si>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</si>
  <si>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</si>
  <si>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</si>
  <si>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</si>
  <si>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</si>
  <si>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</si>
  <si>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</si>
  <si>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</si>
  <si>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</si>
  <si>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</si>
  <si>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</si>
  <si>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</si>
  <si>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</si>
  <si>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</si>
  <si>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</si>
  <si>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</si>
  <si>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</si>
  <si>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</si>
  <si>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</si>
  <si>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</si>
  <si>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</si>
  <si>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</si>
  <si>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</si>
  <si>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</si>
  <si>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</si>
  <si>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</si>
  <si>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</si>
  <si>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</si>
  <si>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</si>
  <si>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</si>
  <si>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</si>
  <si>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</si>
  <si>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</si>
  <si>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</si>
  <si>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</si>
  <si>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</si>
  <si>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</si>
  <si>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</si>
  <si>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</si>
  <si>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</si>
  <si>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</si>
  <si>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</si>
  <si>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</si>
  <si>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</si>
  <si>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</si>
  <si>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</si>
  <si>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</si>
  <si>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</si>
  <si>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</si>
  <si>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</si>
  <si>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</si>
  <si>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</si>
  <si>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</si>
  <si>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</si>
  <si>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</si>
  <si>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</si>
  <si>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</si>
  <si>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</si>
  <si>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</si>
  <si>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</si>
  <si>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</si>
  <si>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</si>
  <si>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</si>
  <si>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</si>
  <si>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</si>
  <si>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</si>
  <si>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</si>
  <si>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</si>
  <si>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</si>
  <si>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</si>
  <si>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</si>
  <si>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</si>
  <si>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</si>
  <si>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</si>
  <si>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</si>
  <si>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</si>
  <si>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</si>
  <si>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</si>
  <si>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</si>
  <si>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</si>
  <si>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</si>
  <si>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</si>
  <si>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</si>
  <si>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</si>
  <si>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</si>
  <si>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</si>
  <si>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</si>
  <si>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</si>
  <si>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</si>
  <si>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</si>
  <si>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</si>
  <si>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</si>
  <si>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</si>
  <si>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</si>
  <si>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</si>
  <si>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</si>
  <si>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</si>
  <si>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</si>
  <si>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</si>
  <si>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</si>
  <si>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</si>
  <si>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</si>
  <si>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</si>
  <si>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</si>
  <si>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</si>
  <si>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</si>
  <si>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</si>
  <si>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</si>
  <si>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</si>
  <si>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</si>
  <si>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</si>
  <si>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</si>
  <si>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</si>
  <si>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</si>
  <si>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</si>
  <si>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</si>
  <si>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</si>
  <si>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</si>
  <si>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</si>
  <si>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</si>
  <si>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</si>
  <si>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</si>
  <si>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</si>
  <si>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</si>
  <si>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</si>
  <si>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</si>
  <si>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</si>
  <si>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</si>
  <si>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</si>
  <si>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</si>
  <si>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</si>
  <si>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</si>
  <si>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</si>
  <si>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</si>
  <si>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</si>
  <si>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</si>
  <si>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</si>
  <si>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</si>
  <si>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</si>
  <si>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</si>
  <si>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</si>
  <si>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</si>
  <si>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</si>
  <si>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</si>
  <si>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</si>
  <si>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</si>
  <si>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</si>
  <si>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</si>
  <si>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</si>
  <si>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</si>
  <si>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</si>
  <si>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</si>
  <si>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</si>
  <si>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</si>
  <si>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</si>
  <si>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</si>
  <si>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</si>
  <si>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</si>
  <si>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</si>
  <si>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</si>
  <si>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</si>
  <si>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</si>
  <si>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</si>
  <si>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</si>
  <si>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</si>
  <si>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</si>
  <si>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</si>
  <si>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</si>
  <si>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</si>
  <si>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</si>
  <si>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</si>
  <si>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</si>
  <si>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</si>
  <si>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</si>
  <si>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</si>
  <si>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</si>
  <si>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</si>
  <si>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</si>
  <si>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</si>
  <si>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</si>
  <si>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</si>
  <si>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</si>
  <si>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</si>
  <si>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</si>
  <si>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</si>
  <si>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</si>
  <si>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t>For questions, contact the Virginia Department of Social Services, Office of Research and Planning.</t>
  </si>
  <si>
    <t>Email:</t>
  </si>
  <si>
    <t>Research@dss.virginia.gov</t>
  </si>
  <si>
    <t>Region</t>
  </si>
  <si>
    <t>Civilian Labor Force 2004</t>
  </si>
  <si>
    <t>Unemployed 2004</t>
  </si>
  <si>
    <t>Civilian Labor Force 2005</t>
  </si>
  <si>
    <t>Unemployed 2005</t>
  </si>
  <si>
    <t>Civilian Labor Force 2006</t>
  </si>
  <si>
    <t>Unemployed 2006</t>
  </si>
  <si>
    <t>Civilian Labor Force 2007</t>
  </si>
  <si>
    <t>Unemployed 2007</t>
  </si>
  <si>
    <t>Civilian Labor Force 2008</t>
  </si>
  <si>
    <t>Unemployed 2008</t>
  </si>
  <si>
    <t>Civilian Labor Force 2009</t>
  </si>
  <si>
    <t>Unemployed 2009</t>
  </si>
  <si>
    <t>Eastern</t>
  </si>
  <si>
    <t>Piedmont</t>
  </si>
  <si>
    <t>Central</t>
  </si>
  <si>
    <t>Northern</t>
  </si>
  <si>
    <t>Western</t>
  </si>
  <si>
    <t>Charles City</t>
  </si>
  <si>
    <t>Isle of Wight</t>
  </si>
  <si>
    <t>King &amp; Queen</t>
  </si>
  <si>
    <t>Richmond County</t>
  </si>
  <si>
    <t>Manassas City</t>
  </si>
  <si>
    <t>2004</t>
  </si>
  <si>
    <t>2005</t>
  </si>
  <si>
    <t>2006</t>
  </si>
  <si>
    <t>2007</t>
  </si>
  <si>
    <t>2008</t>
  </si>
  <si>
    <t>2009</t>
  </si>
  <si>
    <t>Percent</t>
  </si>
  <si>
    <t>Total</t>
  </si>
  <si>
    <t>Greensville/Emporia</t>
  </si>
  <si>
    <t>Roanoke County/ Salem</t>
  </si>
  <si>
    <t>Rockbridge/BV/ Lexington</t>
  </si>
  <si>
    <t>James City County</t>
  </si>
  <si>
    <t>Location</t>
  </si>
  <si>
    <t>King and Queen</t>
  </si>
  <si>
    <t>SNAP Participation Rate, 2004-2010, by Locality</t>
  </si>
  <si>
    <t>Alleghany-Covington</t>
  </si>
  <si>
    <t>Fairfax-Falls Church</t>
  </si>
  <si>
    <t>Henry-Martinsville</t>
  </si>
  <si>
    <t>Roanoke Co. Salem</t>
  </si>
  <si>
    <t>Rockbridge/Buena Vista/Lexington</t>
  </si>
  <si>
    <t>Rockingham/Harrisonburg</t>
  </si>
  <si>
    <t>Chesterfield/Colonial Heights</t>
  </si>
  <si>
    <t>Fairfax County/City/Falls Church</t>
  </si>
  <si>
    <t>Alleghany/Covington</t>
  </si>
  <si>
    <t>Augusta/Staunton/Waynesboro</t>
  </si>
  <si>
    <t>Bedford County/City</t>
  </si>
  <si>
    <t>Henry/Martinsville</t>
  </si>
  <si>
    <t>Roanoke County/Salem</t>
  </si>
  <si>
    <t>Fairfax Co./ City/ Falls Church</t>
  </si>
  <si>
    <t>FIPS Number</t>
  </si>
  <si>
    <t>NER</t>
  </si>
  <si>
    <t>Combined FIPS</t>
  </si>
  <si>
    <t>Combined Name</t>
  </si>
  <si>
    <t>Bedford Co./City</t>
  </si>
  <si>
    <t>Franklin Co.</t>
  </si>
  <si>
    <t>Halifax/ So. Boston</t>
  </si>
  <si>
    <t>York/ Poquoson</t>
  </si>
  <si>
    <t>Franklin</t>
  </si>
  <si>
    <t>Richmond</t>
  </si>
  <si>
    <t>Roanoke</t>
  </si>
  <si>
    <t>Federal</t>
  </si>
  <si>
    <t>State</t>
  </si>
  <si>
    <t>Local</t>
  </si>
  <si>
    <t>Administrative costs</t>
  </si>
  <si>
    <t>SNAP</t>
  </si>
  <si>
    <t>000_Fed</t>
  </si>
  <si>
    <t>000_Local</t>
  </si>
  <si>
    <t>000_Total</t>
  </si>
  <si>
    <t>217_Fed</t>
  </si>
  <si>
    <t>217_State</t>
  </si>
  <si>
    <t>217_Local</t>
  </si>
  <si>
    <t>217_Total</t>
  </si>
  <si>
    <t>824_Fed</t>
  </si>
  <si>
    <t>824_State</t>
  </si>
  <si>
    <t>824_Local</t>
  </si>
  <si>
    <t>824_Total</t>
  </si>
  <si>
    <t>829_Fed</t>
  </si>
  <si>
    <t>829_State</t>
  </si>
  <si>
    <t>829_Local</t>
  </si>
  <si>
    <t>829_Total</t>
  </si>
  <si>
    <t>833_Fed</t>
  </si>
  <si>
    <t>833_State</t>
  </si>
  <si>
    <t>833_Local</t>
  </si>
  <si>
    <t>833_Total</t>
  </si>
  <si>
    <t>844_State</t>
  </si>
  <si>
    <t>844_Local</t>
  </si>
  <si>
    <t>844_Total</t>
  </si>
  <si>
    <t>861_Fed</t>
  </si>
  <si>
    <t>861_State</t>
  </si>
  <si>
    <t>861_Local</t>
  </si>
  <si>
    <t>861_Total</t>
  </si>
  <si>
    <t>862_Fed</t>
  </si>
  <si>
    <t>862_State</t>
  </si>
  <si>
    <t>862_Local</t>
  </si>
  <si>
    <t>862_Total</t>
  </si>
  <si>
    <t>864_Fed</t>
  </si>
  <si>
    <t>864_State</t>
  </si>
  <si>
    <t>864_Local</t>
  </si>
  <si>
    <t>864_Total</t>
  </si>
  <si>
    <t>866_Fed</t>
  </si>
  <si>
    <t>866_State</t>
  </si>
  <si>
    <t>866_Local</t>
  </si>
  <si>
    <t>866_Total</t>
  </si>
  <si>
    <t>871_Fed</t>
  </si>
  <si>
    <t>871_State</t>
  </si>
  <si>
    <t>871_Local</t>
  </si>
  <si>
    <t>871_Total</t>
  </si>
  <si>
    <t>872_Fed</t>
  </si>
  <si>
    <t>872_State</t>
  </si>
  <si>
    <t>872_Local</t>
  </si>
  <si>
    <t>872_Total</t>
  </si>
  <si>
    <t>873_Fed</t>
  </si>
  <si>
    <t>873_State</t>
  </si>
  <si>
    <t>873_Local</t>
  </si>
  <si>
    <t>873_Total</t>
  </si>
  <si>
    <t>875_Fed</t>
  </si>
  <si>
    <t>875_State</t>
  </si>
  <si>
    <t>875_Local</t>
  </si>
  <si>
    <t>875_Total</t>
  </si>
  <si>
    <t>878_Fed</t>
  </si>
  <si>
    <t>878_State</t>
  </si>
  <si>
    <t>878_Local</t>
  </si>
  <si>
    <t>878_Total</t>
  </si>
  <si>
    <t>881_Fed</t>
  </si>
  <si>
    <t>881_State</t>
  </si>
  <si>
    <t>881_Local</t>
  </si>
  <si>
    <t>881_Total</t>
  </si>
  <si>
    <t>883_Fed</t>
  </si>
  <si>
    <t>883_State</t>
  </si>
  <si>
    <t>883_Local</t>
  </si>
  <si>
    <t>883_Total</t>
  </si>
  <si>
    <t>890_State</t>
  </si>
  <si>
    <t>890_Local</t>
  </si>
  <si>
    <t>890_Total</t>
  </si>
  <si>
    <t>895_Fed</t>
  </si>
  <si>
    <t>895_State</t>
  </si>
  <si>
    <t>895_Local</t>
  </si>
  <si>
    <t>895_Total</t>
  </si>
  <si>
    <t>Medicaid_Fed</t>
  </si>
  <si>
    <t>SNAP_Total</t>
  </si>
  <si>
    <t>SNAP_FED</t>
  </si>
  <si>
    <t>LIHEAP_Total</t>
  </si>
  <si>
    <t>811_Fed</t>
  </si>
  <si>
    <t>811_State</t>
  </si>
  <si>
    <t>811_Local</t>
  </si>
  <si>
    <t>811_Total</t>
  </si>
  <si>
    <t>812_Fed</t>
  </si>
  <si>
    <t>812_State</t>
  </si>
  <si>
    <t>812_Local</t>
  </si>
  <si>
    <t>812_Total</t>
  </si>
  <si>
    <t>817_Fed</t>
  </si>
  <si>
    <t>817_State</t>
  </si>
  <si>
    <t>817_Local</t>
  </si>
  <si>
    <t>817_Total</t>
  </si>
  <si>
    <t>Non-Reimbursable</t>
  </si>
  <si>
    <t>TANF</t>
  </si>
  <si>
    <t>867_Local</t>
  </si>
  <si>
    <t>867_Total</t>
  </si>
  <si>
    <t>808_Fed</t>
  </si>
  <si>
    <t>808_State</t>
  </si>
  <si>
    <t>808_Local</t>
  </si>
  <si>
    <t>808_Total</t>
  </si>
  <si>
    <t>810_Fed</t>
  </si>
  <si>
    <t>810_State</t>
  </si>
  <si>
    <t>810_Local</t>
  </si>
  <si>
    <t>810_Total</t>
  </si>
  <si>
    <t>848_Fed</t>
  </si>
  <si>
    <t>848_State</t>
  </si>
  <si>
    <t>848_Local</t>
  </si>
  <si>
    <t>848_Total</t>
  </si>
  <si>
    <t>867_Fed</t>
  </si>
  <si>
    <t>867_State</t>
  </si>
  <si>
    <t>804_Fed</t>
  </si>
  <si>
    <t>804_State</t>
  </si>
  <si>
    <t>804_Local</t>
  </si>
  <si>
    <t>804_Total</t>
  </si>
  <si>
    <t>813_Fed</t>
  </si>
  <si>
    <t>813_State</t>
  </si>
  <si>
    <t>813_Local</t>
  </si>
  <si>
    <t>813_Total</t>
  </si>
  <si>
    <t>819_Fed</t>
  </si>
  <si>
    <t>819_State</t>
  </si>
  <si>
    <t>819_Local</t>
  </si>
  <si>
    <t>819_Total</t>
  </si>
  <si>
    <t>Civilian Labor Force 2001</t>
  </si>
  <si>
    <t>Unemployed 2001</t>
  </si>
  <si>
    <t>Civilian Labor Force 2002</t>
  </si>
  <si>
    <t>Unemployed 2002</t>
  </si>
  <si>
    <t>Civilian Labor Force 2003</t>
  </si>
  <si>
    <t>Unemployed 2003</t>
  </si>
  <si>
    <t>2010</t>
  </si>
  <si>
    <t>Black</t>
  </si>
  <si>
    <t>Other</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</si>
  <si>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</si>
  <si>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</si>
  <si>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</si>
  <si>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</si>
  <si>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</si>
  <si>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</si>
  <si>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</si>
  <si>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</si>
  <si>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</si>
  <si>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</si>
  <si>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</si>
  <si>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</si>
  <si>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</si>
  <si>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</si>
  <si>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</si>
  <si>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</si>
  <si>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</si>
  <si>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</si>
  <si>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</si>
  <si>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</si>
  <si>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</si>
  <si>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</si>
  <si>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</si>
  <si>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</si>
  <si>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</si>
  <si>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</si>
  <si>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</si>
  <si>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</si>
  <si>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</si>
  <si>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</si>
  <si>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</si>
  <si>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</si>
  <si>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</si>
  <si>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</si>
  <si>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</si>
  <si>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</si>
  <si>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</si>
  <si>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</si>
  <si>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</si>
  <si>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Isle of Wight County</t>
  </si>
  <si>
    <t>King and Queen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</si>
  <si>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</si>
  <si>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</si>
  <si>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</si>
  <si>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</si>
  <si>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</si>
  <si>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</si>
  <si>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</si>
  <si>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</si>
  <si>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</si>
  <si>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</si>
  <si>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</si>
  <si>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</si>
  <si>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</si>
  <si>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</si>
  <si>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</si>
  <si>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</si>
  <si>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</si>
  <si>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</si>
  <si>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</si>
  <si>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</si>
  <si>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</si>
  <si>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</si>
  <si>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</si>
  <si>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</si>
  <si>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</si>
  <si>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Pulaski County</t>
  </si>
  <si>
    <t>Rappahannock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</si>
  <si>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</si>
  <si>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</si>
  <si>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</si>
  <si>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</si>
  <si>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</si>
  <si>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</si>
  <si>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</si>
  <si>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</si>
  <si>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</si>
  <si>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</si>
  <si>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</si>
  <si>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</si>
  <si>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</si>
  <si>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</si>
  <si>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</si>
  <si>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SNAP SFY 2005</t>
  </si>
  <si>
    <t>SNAP SFY 2006</t>
  </si>
  <si>
    <t>SNAP SFY  2007</t>
  </si>
  <si>
    <t>SNAP SFY 2008</t>
  </si>
  <si>
    <t>SNAP SFY 2009</t>
  </si>
  <si>
    <t>SNAP SFY 2010</t>
  </si>
  <si>
    <t>TANF SFY 2005</t>
  </si>
  <si>
    <t>TANF SFY 2006</t>
  </si>
  <si>
    <t>TANF SFY 2007</t>
  </si>
  <si>
    <t>TANF SFY 2008</t>
  </si>
  <si>
    <t>TANF SFY 2009</t>
  </si>
  <si>
    <t>TANF SFY 2010</t>
  </si>
  <si>
    <t>Asian</t>
  </si>
  <si>
    <t xml:space="preserve"> -  1  - </t>
  </si>
  <si>
    <t>Children in CPS Referral SFY 2010</t>
  </si>
  <si>
    <t>Source: VCWOR - CPS Sysems Annual Reports -Demographic Annual Reports/ Childrens Demograhic Annual Report - All Referrals , 07/01/09 to 06/30/10</t>
  </si>
  <si>
    <t>Local Agency</t>
  </si>
  <si>
    <t>RegionName</t>
  </si>
  <si>
    <t>Male</t>
  </si>
  <si>
    <t>Female</t>
  </si>
  <si>
    <t>Sex Unknown</t>
  </si>
  <si>
    <t>Hispanic</t>
  </si>
  <si>
    <t>American Indian</t>
  </si>
  <si>
    <t>Hawaiian-Pacific Islander</t>
  </si>
  <si>
    <t>Race Unknown</t>
  </si>
  <si>
    <t>Age &gt;= 00 and &lt; 01</t>
  </si>
  <si>
    <t>Age &gt;= 01 and &lt; 04</t>
  </si>
  <si>
    <t>Age &gt;= 04 and &lt; 08</t>
  </si>
  <si>
    <t>Age &gt;= 08 and &lt; 12</t>
  </si>
  <si>
    <t>Age &gt;= 12 and &lt; 16</t>
  </si>
  <si>
    <t>Age &gt;= 16 and &lt; 18</t>
  </si>
  <si>
    <t>Age Unknown</t>
  </si>
  <si>
    <t>Other Calculated</t>
  </si>
  <si>
    <t>WHITE</t>
  </si>
  <si>
    <t>BLACK</t>
  </si>
  <si>
    <t>Notes:  Budget line (BL) key for spending categories.</t>
  </si>
  <si>
    <t>Adoptions_Open</t>
  </si>
  <si>
    <t>Adoptions_Closed</t>
  </si>
  <si>
    <t>Adoptions_Continue</t>
  </si>
  <si>
    <t>Average Adoption Cases Continued</t>
  </si>
  <si>
    <t>Source: OASIS Statistical Care Report</t>
  </si>
  <si>
    <t>http://spark.dss.virginia.gov/divisions/dfs/generic_reports/</t>
  </si>
  <si>
    <t>Medicaid Children</t>
  </si>
  <si>
    <t>Medicaid Adults</t>
  </si>
  <si>
    <t>SNAP Children</t>
  </si>
  <si>
    <t>SNAP Adults</t>
  </si>
  <si>
    <t>TANF Children</t>
  </si>
  <si>
    <t>TANF Adults</t>
  </si>
  <si>
    <t>Recipients</t>
  </si>
  <si>
    <t>Population</t>
  </si>
  <si>
    <t>Percent Receiving Assistance</t>
  </si>
  <si>
    <t>Other race</t>
  </si>
  <si>
    <t>Total Recipients</t>
  </si>
  <si>
    <t>The password for the main sheet is:</t>
  </si>
  <si>
    <t>research</t>
  </si>
  <si>
    <t>lower case</t>
  </si>
  <si>
    <t>Medicaid Clients</t>
  </si>
  <si>
    <t>2011</t>
  </si>
  <si>
    <t>TANF SFY 2011</t>
  </si>
  <si>
    <t>Civilian Labor Force 2010</t>
  </si>
  <si>
    <t>Unemployed 2010</t>
  </si>
  <si>
    <t>Civilian Labor Force 2011</t>
  </si>
  <si>
    <t>Unemployed 2011</t>
  </si>
  <si>
    <t>000_State</t>
  </si>
  <si>
    <t>Medicaid_State</t>
  </si>
  <si>
    <t>FAMIS_TOTAL</t>
  </si>
  <si>
    <t>FAMIS_FED</t>
  </si>
  <si>
    <t>FAMIS_STATE</t>
  </si>
  <si>
    <t>Total_Medicaid</t>
  </si>
  <si>
    <t>Level of IT support</t>
  </si>
  <si>
    <t>Alleghany/Covington/Clifton Forge</t>
  </si>
  <si>
    <t>Fairfax/Fairfax City/Falls Church</t>
  </si>
  <si>
    <t>Halifax/South Boston</t>
  </si>
  <si>
    <t># with Full Support</t>
  </si>
  <si>
    <t># with Shared Support</t>
  </si>
  <si>
    <t>"Full" and "shared" IT support refer to the level of support provided by the VDSS Division of Information Services to local DSS agencies.</t>
  </si>
  <si>
    <t>LDSS</t>
  </si>
  <si>
    <t>ND</t>
  </si>
  <si>
    <t>JW</t>
  </si>
  <si>
    <t>Fairfax Co./Fairfax City/Falls Church</t>
  </si>
  <si>
    <t>Bedford Co./Bedford City</t>
  </si>
  <si>
    <t>Roanoke Co./Salem</t>
  </si>
  <si>
    <t>% of Total Positions</t>
  </si>
  <si>
    <t>Region:</t>
  </si>
  <si>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</si>
  <si>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</si>
  <si>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</si>
  <si>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t>By Age</t>
  </si>
  <si>
    <t>Children (0-17 years)</t>
  </si>
  <si>
    <t>Count</t>
  </si>
  <si>
    <t>Percent of Children Living in Single Parent Households, 2010, by Race/Ethnicity and County/City</t>
  </si>
  <si>
    <t>Total Child Population</t>
  </si>
  <si>
    <t xml:space="preserve">African American </t>
  </si>
  <si>
    <t>Hispanic or Latino</t>
  </si>
  <si>
    <t>Percent in Single Parent Families</t>
  </si>
  <si>
    <t>Number In Single Parent HH</t>
  </si>
  <si>
    <t>Source: U.S. Census Bureau, 2010 Census Summary File 1 (Table P31), Household Type by Relationship for Population Under 18 years.  Refers to population of children (&lt; 18 years) living in their own parents' households. Excludes minors who are heads of households, spouses, or other relatives (e.g., grandchildren) living in the household as well as children living in institutionalized settings.  Hispanic origin is not mutually exclusive of race.</t>
  </si>
  <si>
    <t>Percent of Positions Unfilled</t>
  </si>
  <si>
    <t>Pct. of Positions Unfilled-Statewide</t>
  </si>
  <si>
    <t>RESIDENT TOTAL LIVE BIRTHS</t>
  </si>
  <si>
    <t>RESIDENT NON-MARITAL LIVE BIRTHS</t>
  </si>
  <si>
    <t>Number of Live Births</t>
  </si>
  <si>
    <t>Number of Live Non-Marital Births</t>
  </si>
  <si>
    <t>Percent Non-Marital</t>
  </si>
  <si>
    <t>TOTAL</t>
  </si>
  <si>
    <t>OTHER</t>
  </si>
  <si>
    <t>Filled</t>
  </si>
  <si>
    <t>Married</t>
  </si>
  <si>
    <t>Advisory</t>
  </si>
  <si>
    <t>Fairfax County/Fairfax City/Falls Church</t>
  </si>
  <si>
    <t>Client Benefits Spending</t>
  </si>
  <si>
    <t>Number and Percentage of Households Where Heterosexual Couples are Married or Cohabiting, by Local DSS Agency, 2010</t>
  </si>
  <si>
    <t>Number of Households with Heterosexual Couples</t>
  </si>
  <si>
    <t>Percent (%) of Households with Heterosexual Couples</t>
  </si>
  <si>
    <t>LDSS Agency</t>
  </si>
  <si>
    <t>Cohabiting</t>
  </si>
  <si>
    <t>Source: U.S. Census Bureau, 2010 Census, Summary File 1 (Table PCT15). Excludes households with homosexual couples.</t>
  </si>
  <si>
    <t>Administrative</t>
  </si>
  <si>
    <t>Fairfax Co./ Fairfax City/ Falls Church</t>
  </si>
  <si>
    <t>Halifax/ South Boston</t>
  </si>
  <si>
    <t>Number of Heterosexual Couples in Households With Own Children</t>
  </si>
  <si>
    <t>Percent (%) of Heterosexual Couples in Households With Own Children</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</si>
  <si>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</si>
  <si>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</si>
  <si>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</si>
  <si>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</si>
  <si>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</si>
  <si>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</si>
  <si>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 xml:space="preserve">Source: Virginia Department of Health, Division of Health Statistics, Resident live birth data.  </t>
  </si>
  <si>
    <t>Level of IT Support by Local DSS Agency</t>
  </si>
  <si>
    <t>* For localities with Advisory Boards only</t>
  </si>
  <si>
    <t>Local/NER</t>
  </si>
  <si>
    <t>Total FAMIS &amp; Medicaid</t>
  </si>
  <si>
    <t>Fairfax Co./Fairfax City/ Falls Church</t>
  </si>
  <si>
    <t>Norton City</t>
  </si>
  <si>
    <t>Bristol City</t>
  </si>
  <si>
    <t>Galax City</t>
  </si>
  <si>
    <t>Radford City</t>
  </si>
  <si>
    <t>Winchester City</t>
  </si>
  <si>
    <t>Alexandria City</t>
  </si>
  <si>
    <t>Manassas Park City</t>
  </si>
  <si>
    <t>Charlottesville City</t>
  </si>
  <si>
    <t>Lynchburg City</t>
  </si>
  <si>
    <t>Danville City</t>
  </si>
  <si>
    <t>Fredericksburg City</t>
  </si>
  <si>
    <t>Hopewell City</t>
  </si>
  <si>
    <t>Petersburg City</t>
  </si>
  <si>
    <t>Chesapeake City</t>
  </si>
  <si>
    <t>Norfolk City</t>
  </si>
  <si>
    <t>Portsmouth City</t>
  </si>
  <si>
    <t>Suffolk City</t>
  </si>
  <si>
    <t>Virginia Beach City</t>
  </si>
  <si>
    <t>Hampton City</t>
  </si>
  <si>
    <t>Newport News City</t>
  </si>
  <si>
    <t>Williamsburg City</t>
  </si>
  <si>
    <t>Augusta/ Staunton/ Waynesboro</t>
  </si>
  <si>
    <t>Alleghany County/Covington</t>
  </si>
  <si>
    <t>Bedford County/Bedford City</t>
  </si>
  <si>
    <t>Chesterfield County/Colonial Heights</t>
  </si>
  <si>
    <t>York County/Poquoson</t>
  </si>
  <si>
    <t>Rockbridge County/Buena Vista/Lexington</t>
  </si>
  <si>
    <t>Rockingham County/Harrisonburg</t>
  </si>
  <si>
    <t>Greensville County/Emporia</t>
  </si>
  <si>
    <t>County/City Administrator</t>
  </si>
  <si>
    <t>Total Admin Spending</t>
  </si>
  <si>
    <t>Federal - %</t>
  </si>
  <si>
    <t>State - %</t>
  </si>
  <si>
    <t>Local - %</t>
  </si>
  <si>
    <t>Administrative Costs</t>
  </si>
  <si>
    <t>Purchased Services for Clients</t>
  </si>
  <si>
    <t>MINIMUM</t>
  </si>
  <si>
    <t>MAXIMUM</t>
  </si>
  <si>
    <t>Admin - %</t>
  </si>
  <si>
    <t>Purchased Svcs. - %</t>
  </si>
  <si>
    <t>Benefits - %</t>
  </si>
  <si>
    <t>Fed &amp; State Comb. - %</t>
  </si>
  <si>
    <t>GRAND TOTAL</t>
  </si>
  <si>
    <t>TOTAL LESS INVALID POSITIONS</t>
  </si>
  <si>
    <t>Non-Deviating</t>
  </si>
  <si>
    <t>Partial deviating</t>
  </si>
  <si>
    <t>Jurisdiction-wide</t>
  </si>
  <si>
    <t>II (Two)</t>
  </si>
  <si>
    <t>I (One)</t>
  </si>
  <si>
    <t>III (Three)</t>
  </si>
  <si>
    <t>Shared</t>
  </si>
  <si>
    <t>Full</t>
  </si>
  <si>
    <r>
      <rPr>
        <vertAlign val="superscript"/>
        <sz val="8"/>
        <color indexed="8"/>
        <rFont val="Cambria"/>
        <family val="1"/>
      </rPr>
      <t>3</t>
    </r>
    <r>
      <rPr>
        <sz val="8"/>
        <color indexed="8"/>
        <rFont val="Cambria"/>
        <family val="1"/>
      </rPr>
      <t xml:space="preserve"> Refers to the local agency's level of IT support from VDSS. </t>
    </r>
  </si>
  <si>
    <t>Adults 18-64 years</t>
  </si>
  <si>
    <t>Adults (18-64 years)</t>
  </si>
  <si>
    <t>Agency Level</t>
  </si>
  <si>
    <t>AI/AN</t>
  </si>
  <si>
    <t>Regions</t>
  </si>
  <si>
    <t>Elderly</t>
  </si>
  <si>
    <t>% of Total</t>
  </si>
  <si>
    <t>SNAP SFY 2012</t>
  </si>
  <si>
    <r>
      <t>Type of Agency Board:</t>
    </r>
    <r>
      <rPr>
        <b/>
        <vertAlign val="superscript"/>
        <sz val="9"/>
        <color indexed="8"/>
        <rFont val="Cambria"/>
        <family val="1"/>
      </rPr>
      <t>4</t>
    </r>
  </si>
  <si>
    <t>Unemployed 2000</t>
  </si>
  <si>
    <t>Civilian Labor Force 2000</t>
  </si>
  <si>
    <t>Number of Filled Positions</t>
  </si>
  <si>
    <t>Number of Unfilled Positions</t>
  </si>
  <si>
    <t>Total Number of Positions</t>
  </si>
  <si>
    <t>SNAP SFY 2011</t>
  </si>
  <si>
    <t>TANF SFY 2012</t>
  </si>
  <si>
    <t>Adult 65+ years</t>
  </si>
  <si>
    <t>Source: U.S. Census Bureau, Small Area Income and Poverty Estimates (SAIPE).</t>
  </si>
  <si>
    <t>Poverty Rate (%)</t>
  </si>
  <si>
    <t>All ages</t>
  </si>
  <si>
    <t>Unemploy-ment</t>
  </si>
  <si>
    <t>Rate (%)</t>
  </si>
  <si>
    <t>Alleghany Co./Covington/Clifton Forge</t>
  </si>
  <si>
    <t>Augusta Co./ Staunton/ Waynesboro</t>
  </si>
  <si>
    <t>Chesterfield Co./Colonial Heights</t>
  </si>
  <si>
    <t>Greensville Co./Emporia</t>
  </si>
  <si>
    <t>Halifax Co./South Boston</t>
  </si>
  <si>
    <t>Henry Co./Martinsville</t>
  </si>
  <si>
    <t>Isle Of Wight County</t>
  </si>
  <si>
    <t>King &amp; Queen County</t>
  </si>
  <si>
    <t>Rockbridge Co./Buena Vista/Lexington</t>
  </si>
  <si>
    <t>Rockingham Co./Harrisonburg</t>
  </si>
  <si>
    <t>York Co./Poquoson</t>
  </si>
  <si>
    <t>Est. Number of Children in Poverty</t>
  </si>
  <si>
    <t>Percent of Children in Poverty</t>
  </si>
  <si>
    <t>844_Fed</t>
  </si>
  <si>
    <t>Medicaid SFY 2009</t>
  </si>
  <si>
    <t>Medicaid SFY 2010</t>
  </si>
  <si>
    <t>Medicaid SFY 2011</t>
  </si>
  <si>
    <t>Medicaid SFY 2012</t>
  </si>
  <si>
    <t>18-40</t>
  </si>
  <si>
    <t>Race/Ethnicity</t>
  </si>
  <si>
    <t>Age Group (years)</t>
  </si>
  <si>
    <t>Number of Clients Receiving AG (Auxiliary Grant) Services, SFY 2012</t>
  </si>
  <si>
    <t>NH/PI</t>
  </si>
  <si>
    <t>Unknown</t>
  </si>
  <si>
    <t>Fairfax Co.-City/Falls Church</t>
  </si>
  <si>
    <t>Number of Foster Children Adopted, by Race of Child, FFY 2012</t>
  </si>
  <si>
    <t>"Other" race includes Hispanics, American Indians, Hawaiians and Pacific Islanders, Multi-racial, and missing or unavailable race.</t>
  </si>
  <si>
    <t>Source: VDSS, Division of Family Services, ASAPS (Adult Services Adult Protectives Services) data system.</t>
  </si>
  <si>
    <t>Race</t>
  </si>
  <si>
    <t>Age (in years)</t>
  </si>
  <si>
    <t>41-60</t>
  </si>
  <si>
    <t>61 and older</t>
  </si>
  <si>
    <t>Number of People (All Ages) living in Poverty in locality</t>
  </si>
  <si>
    <t>Percent of People (All Ages) living in Poverty in locality</t>
  </si>
  <si>
    <t>Number of Children (&lt; 18 years) living in Poverty in locality</t>
  </si>
  <si>
    <t>Percent of Children (&lt; 18 years) living in Poverty in locality</t>
  </si>
  <si>
    <t>Halifax County</t>
  </si>
  <si>
    <t>Henry County</t>
  </si>
  <si>
    <t>Martinsville City</t>
  </si>
  <si>
    <t>Elderly (65 years and older)</t>
  </si>
  <si>
    <t>Non-Elderly (18-64 years)</t>
  </si>
  <si>
    <t>Non-Elderly</t>
  </si>
  <si>
    <t>Children (under 18)</t>
  </si>
  <si>
    <t>Augusta County/Staunton/Waynesboro</t>
  </si>
  <si>
    <t>Statewide (subtotal)</t>
  </si>
  <si>
    <t>Total (incl. state mental health facilities)</t>
  </si>
  <si>
    <r>
      <rPr>
        <b/>
        <sz val="12"/>
        <color indexed="8"/>
        <rFont val="Calibri"/>
        <family val="2"/>
      </rPr>
      <t xml:space="preserve">Source: </t>
    </r>
    <r>
      <rPr>
        <sz val="12"/>
        <color indexed="8"/>
        <rFont val="Calibri"/>
        <family val="2"/>
      </rPr>
      <t>VDSS, Division of Family Services, VCWOR (vers. 3.85), "Children Adopted During Year by Race/Ethnicity" report. Reporting period is the federal fiscal year, ending September 30, 2012.</t>
    </r>
  </si>
  <si>
    <t xml:space="preserve">* NER = Position that is not eligible for reimbursable is not reported in LASER.  </t>
  </si>
  <si>
    <t>NER*</t>
  </si>
  <si>
    <r>
      <rPr>
        <b/>
        <sz val="12"/>
        <color indexed="8"/>
        <rFont val="Calibri"/>
        <family val="2"/>
      </rPr>
      <t xml:space="preserve">Source: </t>
    </r>
    <r>
      <rPr>
        <sz val="12"/>
        <color indexed="8"/>
        <rFont val="Calibri"/>
        <family val="2"/>
      </rPr>
      <t>ASAPS (Adult Services Adult Protectives Services) data system. Unduplicated counts. "Other" race includes American Indian, Asian, other race, Spanish American, multiracial, and unknown race.</t>
    </r>
  </si>
  <si>
    <r>
      <t>2010</t>
    </r>
    <r>
      <rPr>
        <b/>
        <vertAlign val="superscript"/>
        <sz val="12"/>
        <color indexed="8"/>
        <rFont val="Calibri"/>
        <family val="2"/>
      </rPr>
      <t>1</t>
    </r>
  </si>
  <si>
    <r>
      <t>1</t>
    </r>
    <r>
      <rPr>
        <sz val="12"/>
        <rFont val="Calibri"/>
        <family val="2"/>
      </rPr>
      <t xml:space="preserve"> Calendar year-to-date through May 2010</t>
    </r>
  </si>
  <si>
    <r>
      <rPr>
        <b/>
        <sz val="12"/>
        <rFont val="Calibri"/>
        <family val="2"/>
      </rPr>
      <t xml:space="preserve">Source: </t>
    </r>
    <r>
      <rPr>
        <sz val="12"/>
        <rFont val="Calibri"/>
        <family val="2"/>
      </rPr>
      <t>VDSS Performance Indicators Report system.</t>
    </r>
  </si>
  <si>
    <r>
      <rPr>
        <b/>
        <sz val="12"/>
        <color indexed="8"/>
        <rFont val="Calibri"/>
        <family val="2"/>
      </rPr>
      <t xml:space="preserve">Source: </t>
    </r>
    <r>
      <rPr>
        <sz val="12"/>
        <color indexed="8"/>
        <rFont val="Calibri"/>
        <family val="2"/>
      </rPr>
      <t>SNAP Recipients - VDSS Data Warehouse, ADAPT Client Cube, December 2010.</t>
    </r>
    <r>
      <rPr>
        <sz val="12"/>
        <color indexed="10"/>
        <rFont val="Calibri"/>
        <family val="2"/>
      </rPr>
      <t xml:space="preserve"> </t>
    </r>
    <r>
      <rPr>
        <sz val="12"/>
        <rFont val="Calibri"/>
        <family val="2"/>
      </rPr>
      <t xml:space="preserve"> Population - U.S. Census, Current Population Survey 2009, file CC-EST2009-ALLDATA.</t>
    </r>
    <r>
      <rPr>
        <sz val="12"/>
        <color indexed="10"/>
        <rFont val="Calibri"/>
        <family val="2"/>
      </rPr>
      <t xml:space="preserve"> </t>
    </r>
  </si>
  <si>
    <t>B17024: AGE BY RATIO OF INCOME TO POVERTY LEVEL IN THE PAST 12 MONTHS - Universe: Population for whom poverty status is determined</t>
  </si>
  <si>
    <t>2007-2011 American Community Survey 5-Year Estimates</t>
  </si>
  <si>
    <t/>
  </si>
  <si>
    <t>Est. Population Count (&lt; 125% FPL)</t>
  </si>
  <si>
    <t>Under 6 years</t>
  </si>
  <si>
    <t>6 to 11 years</t>
  </si>
  <si>
    <t>12 to 17 years</t>
  </si>
  <si>
    <t>18 to 24 years</t>
  </si>
  <si>
    <t>25 to 34 years</t>
  </si>
  <si>
    <t>35 to 44 years</t>
  </si>
  <si>
    <t>45 to 54 years</t>
  </si>
  <si>
    <t>55 to 64 years</t>
  </si>
  <si>
    <t>65 to 74 years</t>
  </si>
  <si>
    <t>75 years and older</t>
  </si>
  <si>
    <t>&lt;125%</t>
  </si>
  <si>
    <t>125% and above</t>
  </si>
  <si>
    <t>&lt;125% FPL</t>
  </si>
  <si>
    <t>Pop - 2011</t>
  </si>
  <si>
    <t>Virginia</t>
  </si>
  <si>
    <t>Total (all ages)</t>
  </si>
  <si>
    <t>SNAP SFY 2013</t>
  </si>
  <si>
    <t>TANF SFY 2013</t>
  </si>
  <si>
    <t>Medicaid SFY 2013</t>
  </si>
  <si>
    <t>2012</t>
  </si>
  <si>
    <t xml:space="preserve">Civilian Labor Force 2012 </t>
  </si>
  <si>
    <t>Unemployed 2012</t>
  </si>
  <si>
    <t xml:space="preserve">Source: Virginia Employment Commission. Rates are not seasonally adjusted. </t>
  </si>
  <si>
    <t>Direct</t>
  </si>
  <si>
    <t>Indirect</t>
  </si>
  <si>
    <t xml:space="preserve">Direct </t>
  </si>
  <si>
    <t>Total (less invalid)</t>
  </si>
  <si>
    <t>By Age Group</t>
  </si>
  <si>
    <t>65+ years</t>
  </si>
  <si>
    <t>0-17 years</t>
  </si>
  <si>
    <t>Other race*</t>
  </si>
  <si>
    <t>Goochlan</t>
  </si>
  <si>
    <t xml:space="preserve">Civilian Labor Force 2013 </t>
  </si>
  <si>
    <t>Unemployed 2013</t>
  </si>
  <si>
    <r>
      <rPr>
        <b/>
        <sz val="12"/>
        <rFont val="Calibri"/>
        <family val="2"/>
      </rPr>
      <t>Source:</t>
    </r>
    <r>
      <rPr>
        <sz val="12"/>
        <rFont val="Calibri"/>
        <family val="2"/>
      </rPr>
      <t xml:space="preserve">  Virginia Employment Commission - Labor Force and Employment and Unemployment (LAUS) data. Unemployment rates are computed on a calendar year basis. Rates are not seasonally-adjusted.  </t>
    </r>
  </si>
  <si>
    <t>Medicaid_Local</t>
  </si>
  <si>
    <t>888_Fed</t>
  </si>
  <si>
    <t>888_State</t>
  </si>
  <si>
    <t>888_Local</t>
  </si>
  <si>
    <t>888_Total</t>
  </si>
  <si>
    <t>816_Fed</t>
  </si>
  <si>
    <t>816_State</t>
  </si>
  <si>
    <t>816_Local</t>
  </si>
  <si>
    <t>816_Total</t>
  </si>
  <si>
    <t>871 (50%/50%)</t>
  </si>
  <si>
    <t>878 (100% Fed)</t>
  </si>
  <si>
    <t>881 (50%/50%)</t>
  </si>
  <si>
    <t>883 (100% Fed)</t>
  </si>
  <si>
    <t>Grand Total</t>
  </si>
  <si>
    <t>Fed/State Total</t>
  </si>
  <si>
    <t>STATE</t>
  </si>
  <si>
    <t>Multiracial</t>
  </si>
  <si>
    <t>Medicaid</t>
  </si>
  <si>
    <r>
      <t>Benefit Program</t>
    </r>
    <r>
      <rPr>
        <b/>
        <vertAlign val="superscript"/>
        <sz val="9"/>
        <color theme="1"/>
        <rFont val="Cambria"/>
        <family val="1"/>
        <scheme val="major"/>
      </rPr>
      <t>1</t>
    </r>
  </si>
  <si>
    <t>Fuel</t>
  </si>
  <si>
    <t>Cooling</t>
  </si>
  <si>
    <t>Crisis</t>
  </si>
  <si>
    <r>
      <t>Child Care</t>
    </r>
    <r>
      <rPr>
        <b/>
        <vertAlign val="superscript"/>
        <sz val="9"/>
        <color theme="1"/>
        <rFont val="Cambria"/>
        <family val="1"/>
        <scheme val="major"/>
      </rPr>
      <t>3</t>
    </r>
  </si>
  <si>
    <r>
      <t>Energy Assistance (EA)</t>
    </r>
    <r>
      <rPr>
        <b/>
        <vertAlign val="superscript"/>
        <sz val="9"/>
        <color theme="1"/>
        <rFont val="Cambria"/>
        <family val="1"/>
        <scheme val="major"/>
      </rPr>
      <t>2</t>
    </r>
  </si>
  <si>
    <t>SNAP SFY 2014</t>
  </si>
  <si>
    <t>TANF SFY 2014</t>
  </si>
  <si>
    <t>Medicaid SFY 2014</t>
  </si>
  <si>
    <t>SFY 2014</t>
  </si>
  <si>
    <t>Gender</t>
  </si>
  <si>
    <t>Children receiving adoption assistance</t>
  </si>
  <si>
    <t>Non-Marital Births</t>
  </si>
  <si>
    <t>Teen Births</t>
  </si>
  <si>
    <t>Rate</t>
  </si>
  <si>
    <t>Age Group</t>
  </si>
  <si>
    <r>
      <t>Any Program</t>
    </r>
    <r>
      <rPr>
        <b/>
        <vertAlign val="superscript"/>
        <sz val="9"/>
        <rFont val="Cambria"/>
        <family val="1"/>
        <scheme val="major"/>
      </rPr>
      <t>2</t>
    </r>
  </si>
  <si>
    <t>Number of Non-Marital Births</t>
  </si>
  <si>
    <t>Percentage of Live Births that are Non-Marital</t>
  </si>
  <si>
    <t>Number of Teen Births</t>
  </si>
  <si>
    <t>Teen Birth Rate (per 1,000 pop.)</t>
  </si>
  <si>
    <t>Teen Birth Rate</t>
  </si>
  <si>
    <t>Pct. Births Non-Marital</t>
  </si>
  <si>
    <t>For more information, contact the VDSS Office of Research and Planning.</t>
  </si>
  <si>
    <t>research@dss.virginia.gov</t>
  </si>
  <si>
    <t>Source: Virginia Department of Health, Center for Health Statistics. Refers to births by teen mothers aged 10-19 years. Teen birth rate is  per 1,000 population and is age-specific (not age-adjusted). "Other" race refers to residents who are Asian, Hawaiian/Pacific Islander, or American Indian/Alaskan Native.</t>
  </si>
  <si>
    <t>Source: Virginia Department of Health. Based on records of live births among unmarried women aged 15-44 years and among teens aged 10-19 years. Teen birth rate is per 1,000 population.</t>
  </si>
  <si>
    <t>Source: Virginia Department of Social Services, Division of Information Services.  Information was updated on 12/11/2012.</t>
  </si>
  <si>
    <t>Total Children under 18 in Family Households</t>
  </si>
  <si>
    <t>Children Under 18 Living in Married-Couple HH</t>
  </si>
  <si>
    <t>Children Under 18 Living in Single Parent HH</t>
  </si>
  <si>
    <t>Children Under 18 Living in Father Only HH</t>
  </si>
  <si>
    <t>Children Under 18 Living in Mother Only HH</t>
  </si>
  <si>
    <t>% Children Under 18 Living in Married Couple HH</t>
  </si>
  <si>
    <t>% Children Under 18 Living in Single Parent HH</t>
  </si>
  <si>
    <t>% Children Under 18 Living in Father Only HH</t>
  </si>
  <si>
    <t>% Children Under 18 Living in Mother Only HH</t>
  </si>
  <si>
    <t>Total Children under 6 in Family Households</t>
  </si>
  <si>
    <t>Children Under 6 Living in Married-Couple HH</t>
  </si>
  <si>
    <t>Children Under 6 Living in Single Parent HH</t>
  </si>
  <si>
    <t>Children Under 6 Living in Father Only HH</t>
  </si>
  <si>
    <t>Children Under 6 Living in Mother Only HH</t>
  </si>
  <si>
    <t>% Children Under 6 Living in Married Couple HH</t>
  </si>
  <si>
    <t>% Children Under 6 Living in Single Parent HH</t>
  </si>
  <si>
    <t>% Children Under 6 Living in Father Only HH</t>
  </si>
  <si>
    <t>% Children Under 6 Living in Mother Only HH</t>
  </si>
  <si>
    <t>PD</t>
  </si>
  <si>
    <t>NA</t>
  </si>
  <si>
    <t>SAIPE Poverty Universe</t>
  </si>
  <si>
    <t>Poverty Count</t>
  </si>
  <si>
    <t>Poverty Percent</t>
  </si>
  <si>
    <t>Bedford</t>
  </si>
  <si>
    <t>Bedford County</t>
  </si>
  <si>
    <r>
      <t>Staff and operations</t>
    </r>
    <r>
      <rPr>
        <vertAlign val="superscript"/>
        <sz val="9"/>
        <color theme="1"/>
        <rFont val="Cambria"/>
        <family val="1"/>
        <scheme val="major"/>
      </rPr>
      <t>1</t>
    </r>
  </si>
  <si>
    <t>850_Fed</t>
  </si>
  <si>
    <t>850_State</t>
  </si>
  <si>
    <t>850_Local</t>
  </si>
  <si>
    <t>850-Fund 0033</t>
  </si>
  <si>
    <t>850-Fund 0077</t>
  </si>
  <si>
    <t>850_Total</t>
  </si>
  <si>
    <t>852_Fed</t>
  </si>
  <si>
    <t>852_State</t>
  </si>
  <si>
    <t>852_Local</t>
  </si>
  <si>
    <t>852_Fund 0033</t>
  </si>
  <si>
    <t>852-Fund 0077</t>
  </si>
  <si>
    <t>852_Total</t>
  </si>
  <si>
    <t>855_Fed</t>
  </si>
  <si>
    <t>855_State</t>
  </si>
  <si>
    <t>855_Local</t>
  </si>
  <si>
    <t>855_Fund 0033</t>
  </si>
  <si>
    <t>855-Fund 0077</t>
  </si>
  <si>
    <t>855_Total</t>
  </si>
  <si>
    <t>858_Fed</t>
  </si>
  <si>
    <t>858_State</t>
  </si>
  <si>
    <t>858_Local</t>
  </si>
  <si>
    <t>858_Fund 0033</t>
  </si>
  <si>
    <t>858-Fund 0077</t>
  </si>
  <si>
    <t>858_Total</t>
  </si>
  <si>
    <t>Fund 0033</t>
  </si>
  <si>
    <t>Fund 0077</t>
  </si>
  <si>
    <t>Non-Reimbursable (0033 &amp; 0077)</t>
  </si>
  <si>
    <t>Local &amp; NER comb.</t>
  </si>
  <si>
    <r>
      <t>Other expenses</t>
    </r>
    <r>
      <rPr>
        <vertAlign val="superscript"/>
        <sz val="9"/>
        <color theme="1"/>
        <rFont val="Cambria"/>
        <family val="1"/>
        <scheme val="major"/>
      </rPr>
      <t>2</t>
    </r>
  </si>
  <si>
    <t>000_Fund 0033</t>
  </si>
  <si>
    <t>000_Fund 0077</t>
  </si>
  <si>
    <r>
      <t>Services purchased for clients</t>
    </r>
    <r>
      <rPr>
        <b/>
        <vertAlign val="superscript"/>
        <sz val="9"/>
        <color theme="1"/>
        <rFont val="Cambria"/>
        <family val="1"/>
        <scheme val="major"/>
      </rPr>
      <t>3</t>
    </r>
  </si>
  <si>
    <r>
      <t>Medicaid &amp; FAMIS</t>
    </r>
    <r>
      <rPr>
        <vertAlign val="superscript"/>
        <sz val="9"/>
        <color theme="1"/>
        <rFont val="Cambria"/>
        <family val="1"/>
        <scheme val="major"/>
      </rPr>
      <t>4</t>
    </r>
  </si>
  <si>
    <t>TANF_Fed</t>
  </si>
  <si>
    <t>TANF_State</t>
  </si>
  <si>
    <t>TANF_Local</t>
  </si>
  <si>
    <t>TANF_NER</t>
  </si>
  <si>
    <t>TANF_Total</t>
  </si>
  <si>
    <r>
      <t>TANF</t>
    </r>
    <r>
      <rPr>
        <vertAlign val="superscript"/>
        <sz val="9"/>
        <color theme="1"/>
        <rFont val="Cambria"/>
        <family val="1"/>
        <scheme val="major"/>
      </rPr>
      <t>5</t>
    </r>
  </si>
  <si>
    <t>810_Fund 0033</t>
  </si>
  <si>
    <t>848_Fund 0033</t>
  </si>
  <si>
    <t>848_Fund 0077</t>
  </si>
  <si>
    <t>867_Fund 0033</t>
  </si>
  <si>
    <t>867_Fund 0077</t>
  </si>
  <si>
    <t>808_Fund 0033</t>
  </si>
  <si>
    <t>LIHEAP_State Share</t>
  </si>
  <si>
    <t>LIHEAP_Local Share</t>
  </si>
  <si>
    <t>LIHEAP_Fed Share</t>
  </si>
  <si>
    <t>LIHEAP_NER</t>
  </si>
  <si>
    <t>LIHEAP_Local/NER</t>
  </si>
  <si>
    <t>843_Fed</t>
  </si>
  <si>
    <t>843_State</t>
  </si>
  <si>
    <t>843_Local</t>
  </si>
  <si>
    <t>843_Fund 0033</t>
  </si>
  <si>
    <t>843_Fund 0077</t>
  </si>
  <si>
    <t>843_Total</t>
  </si>
  <si>
    <r>
      <t>Foster care and adoption</t>
    </r>
    <r>
      <rPr>
        <vertAlign val="superscript"/>
        <sz val="9"/>
        <color theme="1"/>
        <rFont val="Cambria"/>
        <family val="1"/>
        <scheme val="major"/>
      </rPr>
      <t>6</t>
    </r>
  </si>
  <si>
    <t>811_Fund 0033</t>
  </si>
  <si>
    <t>811_Fund 0077</t>
  </si>
  <si>
    <t>Local/NER comb.</t>
  </si>
  <si>
    <t>812_Fund 0033</t>
  </si>
  <si>
    <t>812_Fund 0077</t>
  </si>
  <si>
    <t>817_Fund 0033</t>
  </si>
  <si>
    <t>817_Fund 0077</t>
  </si>
  <si>
    <t>816_Fund 0033</t>
  </si>
  <si>
    <t>816_Fund 0077</t>
  </si>
  <si>
    <t>CSA_LOCAL</t>
  </si>
  <si>
    <t>CSA_FED</t>
  </si>
  <si>
    <t>CSA_STATE</t>
  </si>
  <si>
    <t>CSA_Non-Reimbursed</t>
  </si>
  <si>
    <t>CSA_Total</t>
  </si>
  <si>
    <t>CSA_Local/NER comb.</t>
  </si>
  <si>
    <r>
      <t>Comprehensive Services (Title IV-E)</t>
    </r>
    <r>
      <rPr>
        <vertAlign val="superscript"/>
        <sz val="9"/>
        <color theme="1"/>
        <rFont val="Cambria"/>
        <family val="1"/>
        <scheme val="major"/>
      </rPr>
      <t>7</t>
    </r>
  </si>
  <si>
    <r>
      <t>Child Care</t>
    </r>
    <r>
      <rPr>
        <vertAlign val="superscript"/>
        <sz val="9"/>
        <color theme="1"/>
        <rFont val="Cambria"/>
        <family val="1"/>
        <scheme val="major"/>
      </rPr>
      <t>8</t>
    </r>
  </si>
  <si>
    <r>
      <t>Other Benefits</t>
    </r>
    <r>
      <rPr>
        <vertAlign val="superscript"/>
        <sz val="9"/>
        <color theme="1"/>
        <rFont val="Cambria"/>
        <family val="1"/>
        <scheme val="major"/>
      </rPr>
      <t>9</t>
    </r>
  </si>
  <si>
    <t>804_Fund 0033</t>
  </si>
  <si>
    <t>804_Fund 077</t>
  </si>
  <si>
    <t>813_Fund 0033</t>
  </si>
  <si>
    <t>813_Fund 077</t>
  </si>
  <si>
    <t>819_Fund 0033</t>
  </si>
  <si>
    <t>819_Fund 0077</t>
  </si>
  <si>
    <t>864_Fund 0033</t>
  </si>
  <si>
    <t>864_Fund 0077</t>
  </si>
  <si>
    <t>866_Fund 0077</t>
  </si>
  <si>
    <t>866_Fund 0033</t>
  </si>
  <si>
    <t>217_Fund 0033</t>
  </si>
  <si>
    <t>217_Fund 0077</t>
  </si>
  <si>
    <t>824_Fund 0033</t>
  </si>
  <si>
    <t>824_Fund 0077</t>
  </si>
  <si>
    <t>829_Fund 0033</t>
  </si>
  <si>
    <t>829_Fund 0077</t>
  </si>
  <si>
    <t>833_Fund 0033</t>
  </si>
  <si>
    <t>833_Fund 0077</t>
  </si>
  <si>
    <t>844_Fund 0033</t>
  </si>
  <si>
    <t>844_Fund 0077</t>
  </si>
  <si>
    <t>861_Fund 0033</t>
  </si>
  <si>
    <t>861_Fund 0077</t>
  </si>
  <si>
    <t>862_Fund 0033</t>
  </si>
  <si>
    <t>862_Local 0077</t>
  </si>
  <si>
    <t>871_Fund 0033</t>
  </si>
  <si>
    <t>871_Fund 0077</t>
  </si>
  <si>
    <t>872_Fund 0033</t>
  </si>
  <si>
    <t>872_Fund 0077</t>
  </si>
  <si>
    <t>873_Fund 0033</t>
  </si>
  <si>
    <t>873_Fund 0077</t>
  </si>
  <si>
    <t>875_Fund 0033</t>
  </si>
  <si>
    <t>875_Fund 0077</t>
  </si>
  <si>
    <t>878_Fund 0033</t>
  </si>
  <si>
    <t>878_Fund 0077</t>
  </si>
  <si>
    <t>881_Fund 0033</t>
  </si>
  <si>
    <t>881_Fund 0077</t>
  </si>
  <si>
    <t>883_Fund 0033</t>
  </si>
  <si>
    <t>883_Fund 0077</t>
  </si>
  <si>
    <t>888_Fund 0033</t>
  </si>
  <si>
    <t>888_Fund 0077</t>
  </si>
  <si>
    <t>890_Fund 0033</t>
  </si>
  <si>
    <t>890_Fund 0077</t>
  </si>
  <si>
    <t>895_Fund 0033</t>
  </si>
  <si>
    <t>895_Fund 0077</t>
  </si>
  <si>
    <t>Admin costs - % Total SS spending</t>
  </si>
  <si>
    <t>Services - % Total SS spending</t>
  </si>
  <si>
    <t>Benefits - % Total SS spending</t>
  </si>
  <si>
    <t>Admin costs - % by Funding Source</t>
  </si>
  <si>
    <t>Services - % by Funding Source</t>
  </si>
  <si>
    <t>Benefits - % by Funding Source</t>
  </si>
  <si>
    <t>SS Funding - % by Funding Source</t>
  </si>
  <si>
    <t>Benefits</t>
  </si>
  <si>
    <t>Services</t>
  </si>
  <si>
    <t>Admini-stration</t>
  </si>
  <si>
    <t>All Sources</t>
  </si>
  <si>
    <t>Total SS Spending</t>
  </si>
  <si>
    <t>808_Fund 077</t>
  </si>
  <si>
    <t>810_Fund 077</t>
  </si>
  <si>
    <t>TANF_Local &amp; NER comb.</t>
  </si>
  <si>
    <r>
      <t>SNAP</t>
    </r>
    <r>
      <rPr>
        <vertAlign val="superscript"/>
        <sz val="9"/>
        <color theme="1"/>
        <rFont val="Cambria"/>
        <family val="1"/>
        <scheme val="major"/>
      </rPr>
      <t>5</t>
    </r>
  </si>
  <si>
    <r>
      <t>Energy Assistance</t>
    </r>
    <r>
      <rPr>
        <vertAlign val="superscript"/>
        <sz val="9"/>
        <color theme="1"/>
        <rFont val="Cambria"/>
        <family val="1"/>
        <scheme val="major"/>
      </rPr>
      <t>5</t>
    </r>
  </si>
  <si>
    <t>All Spending</t>
  </si>
  <si>
    <t>Local Spending</t>
  </si>
  <si>
    <t>Missing</t>
  </si>
  <si>
    <t>Source: LASER, Statewide Summary. "NER" = Expenses not eligible for reimbursement. Costs rounded to whole dollars.</t>
  </si>
  <si>
    <t>0-5</t>
  </si>
  <si>
    <t>6-10</t>
  </si>
  <si>
    <t>19+</t>
  </si>
  <si>
    <t>Children in foster care (as of Sept. 30)</t>
  </si>
  <si>
    <t>0-5 years</t>
  </si>
  <si>
    <t>6-10 years</t>
  </si>
  <si>
    <t>11-15 years</t>
  </si>
  <si>
    <t>16-18 years</t>
  </si>
  <si>
    <t>19+ years</t>
  </si>
  <si>
    <t>County Executive</t>
  </si>
  <si>
    <t>Deputy County Administrator</t>
  </si>
  <si>
    <t>City Manager</t>
  </si>
  <si>
    <t>2013 vs 2014</t>
  </si>
  <si>
    <t>2012 vs. 2013</t>
  </si>
  <si>
    <t>Area/Region</t>
  </si>
  <si>
    <t>Source: Virginia Department of Health, Division of Health Statistics, Resident live birth data.  "Other" race refers to residents who are Asian, Hawaiian/Pacific Islander, or American Indian/Alaskan Native. The statewide total includes two births where locality was not specified.</t>
  </si>
  <si>
    <t>Female Teen Population</t>
  </si>
  <si>
    <t>Female Teen (10-19 years) Population</t>
  </si>
  <si>
    <t>Civilian Labor Force 2014</t>
  </si>
  <si>
    <t>Unemployed 2014</t>
  </si>
  <si>
    <t>Number of SNAP Recipients by State Fiscal Year, 2005-2015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</si>
  <si>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t>
  </si>
  <si>
    <t>2014 vs 2015</t>
  </si>
  <si>
    <t>Number of TANF Recipients by State Fiscal Year, 2005-2015</t>
  </si>
  <si>
    <t>TANF SFY 2015</t>
  </si>
  <si>
    <t>Medicaid SFY 2015</t>
  </si>
  <si>
    <t>Number of Medicaid Clients by State Fiscal Year, 2009-2015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</si>
  <si>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 Locality and state counts exclude clients enrolled from state mental health hospitals.</t>
  </si>
  <si>
    <t>SNAP SFY 2015</t>
  </si>
  <si>
    <t>SFY 2015</t>
  </si>
  <si>
    <t>889_Total</t>
  </si>
  <si>
    <t>889_Fund 0077</t>
  </si>
  <si>
    <t>889_Fund 0033</t>
  </si>
  <si>
    <t>889_Local</t>
  </si>
  <si>
    <t>889_Fed</t>
  </si>
  <si>
    <t>889_State</t>
  </si>
  <si>
    <t>820_Total</t>
  </si>
  <si>
    <t>820_Fund 0077</t>
  </si>
  <si>
    <t>820_Local</t>
  </si>
  <si>
    <t>820_Fund 0033</t>
  </si>
  <si>
    <t>820_Fed</t>
  </si>
  <si>
    <t>820_State</t>
  </si>
  <si>
    <t>Amer. Indian/-Alaskan Native</t>
  </si>
  <si>
    <t>"Other Race"</t>
  </si>
  <si>
    <t>"Other race"</t>
  </si>
  <si>
    <t xml:space="preserve"> Hawaiian-Pacific Islander</t>
  </si>
  <si>
    <t>Hispanic*</t>
  </si>
  <si>
    <t>Other**</t>
  </si>
  <si>
    <t>Adult Protective Services (APS)</t>
  </si>
  <si>
    <t>Under 4</t>
  </si>
  <si>
    <t>Under 1</t>
  </si>
  <si>
    <t>1 to 3</t>
  </si>
  <si>
    <t>4 to 7</t>
  </si>
  <si>
    <t>8 to 11</t>
  </si>
  <si>
    <t>12 to 15</t>
  </si>
  <si>
    <t>16 to 17</t>
  </si>
  <si>
    <t>18-60</t>
  </si>
  <si>
    <t>Source: LASER, Statewide Summary. Local expenses and expenses not eligible for reimbursement (NER) are combined.</t>
  </si>
  <si>
    <t>Local &amp; NER (comb.)</t>
  </si>
  <si>
    <t>** Deviation Status: ND=Non-deviating; PD=Partial deviating; JW=Jurisdiction-wide</t>
  </si>
  <si>
    <t>Race*</t>
  </si>
  <si>
    <t>Total Reports</t>
  </si>
  <si>
    <t>Local Board Type</t>
  </si>
  <si>
    <t>Local Policies Followed</t>
  </si>
  <si>
    <t>N/A</t>
  </si>
  <si>
    <t>CC, PE, LV, HD, IW, GV, PR, PA</t>
  </si>
  <si>
    <t>All</t>
  </si>
  <si>
    <t>IW</t>
  </si>
  <si>
    <t>HD</t>
  </si>
  <si>
    <t>County Director of Human Services</t>
  </si>
  <si>
    <t>PE, HD, IW, GV</t>
  </si>
  <si>
    <t>HD, IW</t>
  </si>
  <si>
    <t xml:space="preserve">ND </t>
  </si>
  <si>
    <t>IW, GV</t>
  </si>
  <si>
    <t>CC, PE, LV, HD, IW, AA, LO, PR</t>
  </si>
  <si>
    <t>GV</t>
  </si>
  <si>
    <t>Comp, PE, HD, IW</t>
  </si>
  <si>
    <t>LV, HD, IW, GV, LO, PA</t>
  </si>
  <si>
    <t>Comp</t>
  </si>
  <si>
    <t>HD, IW, GV</t>
  </si>
  <si>
    <t>City Administrator</t>
  </si>
  <si>
    <t>Comp only, PE, SC, LV, HD, IW, PA</t>
  </si>
  <si>
    <t>PE, SC, LV, HD, IW, GV, PR, LO, PA</t>
  </si>
  <si>
    <t>HD, IW, LO</t>
  </si>
  <si>
    <t>LV, HD, IW, AA, PA</t>
  </si>
  <si>
    <t xml:space="preserve">CC, LV, HD, IW, PR, LO, PA </t>
  </si>
  <si>
    <t>Board of Supervisors &amp; County Executive</t>
  </si>
  <si>
    <t>Deputy Chief Administrative Officer</t>
  </si>
  <si>
    <t>SC, LV</t>
  </si>
  <si>
    <t>CC, PE, SC, LV, IW, PR, PA</t>
  </si>
  <si>
    <t>Human Services Director</t>
  </si>
  <si>
    <t>PE, HD, IW</t>
  </si>
  <si>
    <t xml:space="preserve">Count           </t>
  </si>
  <si>
    <t>Level I:    33</t>
  </si>
  <si>
    <t>Level II:   59</t>
  </si>
  <si>
    <t>Level III:  28</t>
  </si>
  <si>
    <t xml:space="preserve">Count                                         </t>
  </si>
  <si>
    <t>Administrative Boards:  78</t>
  </si>
  <si>
    <t>Advisory Boards:  42</t>
  </si>
  <si>
    <t xml:space="preserve">Count                                                           </t>
  </si>
  <si>
    <t>ND: Non-Deviating:  34</t>
  </si>
  <si>
    <t>JW: Jurisdiction Wide Deviation:  26</t>
  </si>
  <si>
    <t>PD: Partial Deviating:  60</t>
  </si>
  <si>
    <t>Director Class/LDSS Level</t>
  </si>
  <si>
    <t>Code</t>
  </si>
  <si>
    <t>Local Human Resource Policy</t>
  </si>
  <si>
    <t xml:space="preserve">AA </t>
  </si>
  <si>
    <t xml:space="preserve"> Affirmative Action</t>
  </si>
  <si>
    <t xml:space="preserve">CC </t>
  </si>
  <si>
    <t xml:space="preserve"> Classification and Compensation</t>
  </si>
  <si>
    <t xml:space="preserve">GV </t>
  </si>
  <si>
    <t xml:space="preserve"> Grievance Procedure</t>
  </si>
  <si>
    <t xml:space="preserve">HD </t>
  </si>
  <si>
    <t xml:space="preserve"> Holiday Schedule/Policy</t>
  </si>
  <si>
    <t xml:space="preserve">IW </t>
  </si>
  <si>
    <t xml:space="preserve"> Inclement Weather</t>
  </si>
  <si>
    <t>LO</t>
  </si>
  <si>
    <t xml:space="preserve"> Layoff</t>
  </si>
  <si>
    <t xml:space="preserve">LV </t>
  </si>
  <si>
    <t xml:space="preserve"> Leave</t>
  </si>
  <si>
    <t xml:space="preserve">N/A </t>
  </si>
  <si>
    <t xml:space="preserve"> Not Applicable</t>
  </si>
  <si>
    <t xml:space="preserve">PA </t>
  </si>
  <si>
    <t xml:space="preserve"> Political Activity</t>
  </si>
  <si>
    <t xml:space="preserve">PE </t>
  </si>
  <si>
    <t xml:space="preserve"> Performance Evaluation</t>
  </si>
  <si>
    <t xml:space="preserve">PP </t>
  </si>
  <si>
    <t xml:space="preserve"> Probationary Period</t>
  </si>
  <si>
    <t xml:space="preserve">SC </t>
  </si>
  <si>
    <t xml:space="preserve"> Standards of Conduct</t>
  </si>
  <si>
    <t>2015 Devia-tion Status*</t>
  </si>
  <si>
    <t>Deviation Classification</t>
  </si>
  <si>
    <t>Local DSS Agency: Region, Local Director/LDSS Level Classification, Local Board Type, &amp; HR Policy/Practice Deviation</t>
  </si>
  <si>
    <t>Serves as Administrative Entity For Local DSS with Advisory Boards*</t>
  </si>
  <si>
    <t>Child Protective Services (CPS)</t>
  </si>
  <si>
    <t>Labor Force 2015</t>
  </si>
  <si>
    <t>Unemployed 2015</t>
  </si>
  <si>
    <t>SFY 2016</t>
  </si>
  <si>
    <t>890_Fed</t>
  </si>
  <si>
    <t>859_Fed</t>
  </si>
  <si>
    <t>859_State</t>
  </si>
  <si>
    <t>859_Local</t>
  </si>
  <si>
    <t>859_Fund 0033</t>
  </si>
  <si>
    <t>859-Fund 0077</t>
  </si>
  <si>
    <t>859_Total</t>
  </si>
  <si>
    <t>FAMIS_Local</t>
  </si>
  <si>
    <r>
      <t>Medicaid &amp; FAMIS</t>
    </r>
    <r>
      <rPr>
        <vertAlign val="superscript"/>
        <sz val="9"/>
        <color theme="1"/>
        <rFont val="Cambria"/>
        <family val="1"/>
        <scheme val="major"/>
      </rPr>
      <t>5</t>
    </r>
  </si>
  <si>
    <t>(9) Other Benefit Payments: 804 (Auxiliary Grant), 808 (TANF - Manual checks), 810 (TANF - Emergency assistance), 813 (General Relief), 819 (Refugee Cash Assistance), 848 (TANF-UP - Manual checks), and 867 (TANF - Competitive Grant).</t>
  </si>
  <si>
    <t>(4) Medicaid, FAMIS, SNAP, TANF/TANF UP, Energy Assistance, Foster Care/Adoption, CSA, and Child Care are coming from Section III - Statewide Benefit Payments of the LASER report. Refugee Assistance payments are made at Local Health Districts, not LDSS.</t>
  </si>
  <si>
    <r>
      <t>Client Benefits Spending</t>
    </r>
    <r>
      <rPr>
        <b/>
        <vertAlign val="superscript"/>
        <sz val="9"/>
        <color theme="1"/>
        <rFont val="Cambria"/>
        <family val="1"/>
        <scheme val="major"/>
      </rPr>
      <t>4</t>
    </r>
  </si>
  <si>
    <t>Energy Assistance</t>
  </si>
  <si>
    <r>
      <t>Foster care/adoption</t>
    </r>
    <r>
      <rPr>
        <vertAlign val="superscript"/>
        <sz val="9"/>
        <color theme="1"/>
        <rFont val="Cambria"/>
        <family val="1"/>
        <scheme val="major"/>
      </rPr>
      <t>6</t>
    </r>
  </si>
  <si>
    <t>(7) CSA Costs are paid at the local level with reimbursement from the State Children's Services Act.</t>
  </si>
  <si>
    <t>(8) Child Care provider payments are made by VDSS through VACMS. Certain funds (871 and 881) are split 50%/50% between federal and state sources.</t>
  </si>
  <si>
    <t>12 to 17</t>
  </si>
  <si>
    <t>4 to 11</t>
  </si>
  <si>
    <t>Age Group (in years)</t>
  </si>
  <si>
    <t>Race/Ethnicity*</t>
  </si>
  <si>
    <t xml:space="preserve">Source: DFS, VCWOR/OASIS, "Children in CPS Referrals". *Child may belong to more than one race. Hispanic origin is not mutually exclusive from race. Race subtotals do not add up to Total Children. </t>
  </si>
  <si>
    <t>&lt; 1 years</t>
  </si>
  <si>
    <t>1-5 years</t>
  </si>
  <si>
    <t>&lt;1 year</t>
  </si>
  <si>
    <t xml:space="preserve">"Other" race includes Asians, American Indians, Hawaiians and Pacific Islanders, Hispanics, and multi-racial clients. </t>
  </si>
  <si>
    <t>11-15</t>
  </si>
  <si>
    <t>16-18</t>
  </si>
  <si>
    <t>Source: U.S. Census Bureau, Small Area Income and Poverty Estimates (SAIPE), using data from the American Community Survey. Estimates are not based on people living in group quarters (e.g., college dormitories, military barracks, group homes).</t>
  </si>
  <si>
    <r>
      <rPr>
        <b/>
        <sz val="12"/>
        <color indexed="8"/>
        <rFont val="Calibri"/>
        <family val="2"/>
      </rPr>
      <t xml:space="preserve">Source: </t>
    </r>
    <r>
      <rPr>
        <sz val="12"/>
        <color indexed="8"/>
        <rFont val="Calibri"/>
        <family val="2"/>
      </rPr>
      <t>U.S. Census Bureau, Small Area Income and Poverty Estimates (SAIPE) Program. Source data is the American Community Survey.</t>
    </r>
  </si>
  <si>
    <r>
      <t>Children's Services Act (CSA)</t>
    </r>
    <r>
      <rPr>
        <vertAlign val="superscript"/>
        <sz val="9"/>
        <color theme="1"/>
        <rFont val="Cambria"/>
        <family val="1"/>
        <scheme val="major"/>
      </rPr>
      <t>7</t>
    </r>
  </si>
  <si>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Last verified 12/31/2015.</t>
    </r>
  </si>
  <si>
    <t>Bedford*</t>
  </si>
  <si>
    <t>Source: Virginia Department of Health, Division of Health Statistics, Resident live birth data.  * In 2013, Bedford City reverted to town status. Bedford County now includes counts for Bedford town.</t>
  </si>
  <si>
    <t>Percentage of Births that are Non-Marital, by LDSS, Virginia, 2002-2015</t>
  </si>
  <si>
    <t>Total - SFY 2017</t>
  </si>
  <si>
    <t>Caseload Per Worker</t>
  </si>
  <si>
    <t>Labor Force 2016</t>
  </si>
  <si>
    <t>Unemployed 2016</t>
  </si>
  <si>
    <t>Annual Unemployment Rate by Locality, 2000-2016</t>
  </si>
  <si>
    <t>Live Births, Nonmarital Births, and Percentage of Births that are Non-Marital, by LDSS Locality and Race of Mother, Virginia, 2015</t>
  </si>
  <si>
    <t>Births (2015)</t>
  </si>
  <si>
    <t>Teen Births and Birth Rates by Race by LDSS, Virginia, 2015</t>
  </si>
  <si>
    <t>Teen Birth Rates (per 1,000 population), by LDSS, Virginia, 1998-2015</t>
  </si>
  <si>
    <t>Received</t>
  </si>
  <si>
    <t>Disposed</t>
  </si>
  <si>
    <t>Medical Assistance</t>
  </si>
  <si>
    <t>Family Services Clients</t>
  </si>
  <si>
    <t>Adoption</t>
  </si>
  <si>
    <t>Adoption:  Post Adoptive</t>
  </si>
  <si>
    <t>CPS:   Investigation</t>
  </si>
  <si>
    <t>CPS:   Ongoing Services</t>
  </si>
  <si>
    <t xml:space="preserve">Dual: CPS &amp; Foster Care </t>
  </si>
  <si>
    <t>Early Prev/Family Preserv</t>
  </si>
  <si>
    <t>Early Prev/Family Supp: Court Order</t>
  </si>
  <si>
    <t>Early Prev/Family Supp: No Court Order</t>
  </si>
  <si>
    <t>Early Prev/Int Fam Preserv: High Risk of FC</t>
  </si>
  <si>
    <t>Former FC: Committed to DJJ</t>
  </si>
  <si>
    <t>Foster Care:  Non-specialized Care (IV-E Non-reimbursable)</t>
  </si>
  <si>
    <t>ICPC</t>
  </si>
  <si>
    <t>IL Former Foster Care (18-21)</t>
  </si>
  <si>
    <t>IL Former Foster Care (21 years and older)</t>
  </si>
  <si>
    <t>Intake:  Short Term Assessment/Crisis Intervention</t>
  </si>
  <si>
    <t>Intake:  Short Term/Assessment</t>
  </si>
  <si>
    <t>Prev &amp; Support for Families:  Home Study/Court Orders</t>
  </si>
  <si>
    <t>Prev &amp; Support for Families:  Placement Prevention</t>
  </si>
  <si>
    <t>Prev &amp; Support for Families:  Prevention of Abuse/Neglect</t>
  </si>
  <si>
    <t>Prev &amp; Support for Families:  Stabilization/Support</t>
  </si>
  <si>
    <t>Prevention: Low or Mod Risk(after CPS)</t>
  </si>
  <si>
    <t>No Case Type</t>
  </si>
  <si>
    <t>Cases</t>
  </si>
  <si>
    <t>Workers</t>
  </si>
  <si>
    <t>Total Number of Family Services Cases</t>
  </si>
  <si>
    <t>Total Number of Family Services Workers</t>
  </si>
  <si>
    <t>Number of Family Services Cases Per Worker (Caseload)</t>
  </si>
  <si>
    <t>Number of Filled and Unfilled Positions by Locality (as of 10/01/2017)</t>
  </si>
  <si>
    <r>
      <rPr>
        <b/>
        <sz val="12"/>
        <color indexed="8"/>
        <rFont val="Calibri"/>
        <family val="2"/>
      </rPr>
      <t>Source:</t>
    </r>
    <r>
      <rPr>
        <sz val="12"/>
        <color indexed="8"/>
        <rFont val="Calibri"/>
        <family val="2"/>
      </rPr>
      <t xml:space="preserve"> VDSS, Human Resources, Locality Employment Tracking System (LETS), Position Reimbursement and Status Report Summary (as of 9/30/2017).  Report run on 10/1/2017. Excludes one unfilled position that was missing classification.</t>
    </r>
  </si>
  <si>
    <t xml:space="preserve">21 filled and 52 unfilled voluntary positions are excluded from the total counts. </t>
  </si>
  <si>
    <t>Social Services Staffing (as of 9/30/2017)</t>
  </si>
  <si>
    <t>Source: LETS, Position Reimbursement And Status Report for State (run on 10/1/2017). Refers to number of positions regardless of percent of time assigned. Invalid filled positions and voluntary positions are excluded. NER= Not eligible for reimbursement.</t>
  </si>
  <si>
    <t>SNAP Benefit Spending, SFY 2017</t>
  </si>
  <si>
    <t>Medicaid and FAMIS Benefit Spending, SFY 2017</t>
  </si>
  <si>
    <r>
      <rPr>
        <b/>
        <sz val="12"/>
        <color indexed="8"/>
        <rFont val="Calibri"/>
        <family val="2"/>
      </rPr>
      <t xml:space="preserve">Source: </t>
    </r>
    <r>
      <rPr>
        <sz val="12"/>
        <color indexed="8"/>
        <rFont val="Calibri"/>
        <family val="2"/>
      </rPr>
      <t>VDSS, Division of Finances, LASER, FY 2017 Master Financial Statement Report. Accessed 11/6/2017.</t>
    </r>
  </si>
  <si>
    <t>TANF/TANF-UP Benefit Spending, SFY 2017</t>
  </si>
  <si>
    <t>LIHEAP Benefit Spending, SFY 2017</t>
  </si>
  <si>
    <t>Children's Services Act (CSA) Expenditures, SFY 2017</t>
  </si>
  <si>
    <t>Child Care Benefit Spending, 2017</t>
  </si>
  <si>
    <t>Foster Care and Adoption Spending, SFY 2017</t>
  </si>
  <si>
    <r>
      <rPr>
        <b/>
        <sz val="10"/>
        <color indexed="8"/>
        <rFont val="Calibri"/>
        <family val="2"/>
      </rPr>
      <t>Source:</t>
    </r>
    <r>
      <rPr>
        <sz val="10"/>
        <color indexed="8"/>
        <rFont val="Calibri"/>
        <family val="2"/>
      </rPr>
      <t xml:space="preserve"> VDSS, Division of Finances, LASER, FY 2017 Master Financial Statement Report. Combines BL 811, 812, 816, 817, and 820.  Accessed 11/6/2017. </t>
    </r>
  </si>
  <si>
    <r>
      <rPr>
        <b/>
        <sz val="12"/>
        <color indexed="8"/>
        <rFont val="Calibri"/>
        <family val="2"/>
      </rPr>
      <t>Source:</t>
    </r>
    <r>
      <rPr>
        <sz val="12"/>
        <color indexed="8"/>
        <rFont val="Calibri"/>
        <family val="2"/>
      </rPr>
      <t xml:space="preserve"> VDSS, Division of Finances, LASER, FY 2017 Master Financial Statement Report. Combines BL 804, 808, 810, 813, 819, 848, and 867.  Accessed 11/6/2017. </t>
    </r>
  </si>
  <si>
    <t>851_Total</t>
  </si>
  <si>
    <t>851-Fund 0077</t>
  </si>
  <si>
    <t>851_Fund 0033</t>
  </si>
  <si>
    <t>851_Fed</t>
  </si>
  <si>
    <t>851_State</t>
  </si>
  <si>
    <t>851_Local</t>
  </si>
  <si>
    <t>Administrative Expenditures - Staffing, SFY 2017</t>
  </si>
  <si>
    <r>
      <rPr>
        <b/>
        <sz val="12"/>
        <color indexed="8"/>
        <rFont val="Calibri"/>
        <family val="2"/>
      </rPr>
      <t xml:space="preserve">Source: </t>
    </r>
    <r>
      <rPr>
        <sz val="12"/>
        <color indexed="8"/>
        <rFont val="Calibri"/>
        <family val="2"/>
      </rPr>
      <t xml:space="preserve">VDSS, Division of Finances, LASER, FY 2017 Master Financial Statement Report. Combines BL 850, 851, 852, 855, 858 and 859.  Accessed 11/6/2017.   </t>
    </r>
  </si>
  <si>
    <t>Expenditures for Client Services, SFY 2017</t>
  </si>
  <si>
    <r>
      <rPr>
        <b/>
        <sz val="12"/>
        <color indexed="8"/>
        <rFont val="Calibri"/>
        <family val="2"/>
      </rPr>
      <t>Source:</t>
    </r>
    <r>
      <rPr>
        <sz val="12"/>
        <color indexed="8"/>
        <rFont val="Calibri"/>
        <family val="2"/>
      </rPr>
      <t xml:space="preserve"> VDSS, Division of Finances, LASER, FY 2017 Master Financial Statement Report. Combines BL 217, 824, 825, 829, 833, 844, 861, 862, 864, 866, 871, 872, 873, 875, 878, 881, 883, 888, 889, 890, and 895.  Accessed 11/6/2017. </t>
    </r>
  </si>
  <si>
    <t>Other Staffing and Operations Expenditures, SFY 2017</t>
  </si>
  <si>
    <r>
      <rPr>
        <b/>
        <sz val="12"/>
        <color indexed="8"/>
        <rFont val="Calibri"/>
        <family val="2"/>
      </rPr>
      <t xml:space="preserve">Source: </t>
    </r>
    <r>
      <rPr>
        <sz val="12"/>
        <color indexed="8"/>
        <rFont val="Calibri"/>
        <family val="2"/>
      </rPr>
      <t xml:space="preserve">VDSS, Division of Finances, LASER, FY 2017 Master Financial Statement Report. Combines BL 000 and 843.  Accessed 11/6/2017. </t>
    </r>
  </si>
  <si>
    <t>814_Fed</t>
  </si>
  <si>
    <t>814_State</t>
  </si>
  <si>
    <t>814_Local</t>
  </si>
  <si>
    <t>814_Fund 0033</t>
  </si>
  <si>
    <t>814_Fund 0077</t>
  </si>
  <si>
    <t>814_Total</t>
  </si>
  <si>
    <t>815_Fed</t>
  </si>
  <si>
    <t>815_State</t>
  </si>
  <si>
    <t>815_Local</t>
  </si>
  <si>
    <t>815_Fund 0033</t>
  </si>
  <si>
    <t>815_Fund 0077</t>
  </si>
  <si>
    <t>815_Total</t>
  </si>
  <si>
    <t>818_Fed</t>
  </si>
  <si>
    <t>818_State</t>
  </si>
  <si>
    <t>818_Local</t>
  </si>
  <si>
    <t>818_Fund 0033</t>
  </si>
  <si>
    <t>818_Fund 0077</t>
  </si>
  <si>
    <t>818_Total</t>
  </si>
  <si>
    <t>Statewide Benefit Payments, SFY 2017</t>
  </si>
  <si>
    <r>
      <t xml:space="preserve">Source: </t>
    </r>
    <r>
      <rPr>
        <sz val="12"/>
        <color indexed="8"/>
        <rFont val="Calibri"/>
        <family val="2"/>
      </rPr>
      <t>VDSS, Division of Finances, LASER, FY 2017 Master Financial Statement Report. Includes CSA, Medicaid, SNAP, Energy Assistance, TANF/TANF-UP, FAMIS, and Child Care. Accessed 11/6/2017.</t>
    </r>
  </si>
  <si>
    <t>Statewide Benefit Payments</t>
  </si>
  <si>
    <t>Other Benefit Payments</t>
  </si>
  <si>
    <t>Other Public Assistance Benefit Payments (excl. Foster Care/Adoption Payments), SFY 2017</t>
  </si>
  <si>
    <t>All Social Services Spending</t>
  </si>
  <si>
    <t>Social Services Spending - Summary, SFY 2017</t>
  </si>
  <si>
    <r>
      <t>Source:</t>
    </r>
    <r>
      <rPr>
        <sz val="12"/>
        <color indexed="8"/>
        <rFont val="Calibri"/>
        <family val="2"/>
      </rPr>
      <t xml:space="preserve"> VDSS, Division of Finances, LASER, FY 2017 Master Financial Statement Report. Accessed 11/6/2017.</t>
    </r>
  </si>
  <si>
    <t>(1) Local staff and operations: 850 (outstationed eligibility staff), 851 (Local VaCMS Extra Work), 852 (dedicated Medicaid local effort), 855 (staff &amp; operations base budget), 858 (staff &amp; operations pass through), and 859 (SNAPET RD &amp; IWR).</t>
  </si>
  <si>
    <t xml:space="preserve">(2) Other operational expenses: 000 (Miscellaneous) and 843 (Central Service Cost Allocation). </t>
  </si>
  <si>
    <t>(3) Services purchased for clients: 217 (Guardianship Petitions), 824 (Other purchased services), 825 (SF ISC), 829 (Family Prevention, or SSBG), 833 (Adult Services), 844 (SNAPET Purchased Services), 861 (Independent Living Program - E&amp;T Vouchers), 862 (Independent Living Program - Basic Allocation), 864 (Respite Care for Foster Families), 866 (Family Preservation/Support - Purchased Services), 871 (TANF/VIEW -Working, Transportation and Child Care), 872 (VIEW), 873 (IV-E Foster/Adoptive Parent Training - enhanced rate), 875 (IV-E Foster/Adoptive Parent Training - admin rate), 878 (Head Start Transition to Work Child Care), 881 (Fee for Child Care - Matching), 883 (Fee for Child Care - 100% Federal), 888 (Non-VIEW Repayment of VACMS), 889 (VIEW Repayment of VaCMS), 890 (Child Care Quality Initiative Program), and 895 (Adult Protective Services).</t>
  </si>
  <si>
    <t>(5) Medicaid and FAMIS are combined. The SLH program was not funded in SFY 2017. Local expenses are reported for Medicaid only.</t>
  </si>
  <si>
    <t>(6) Foster care &amp; adoption benefits: 811 (IV-E Foster Care), 812 (IV-E Adoption Assistance), 814 (Fostering Futures Foster Care Assistance), 815 (Fostering Futures Federal Adoption Assistance), 816 (International Home Studies), 817 (Special Needs Adoptions), 818 (Fostering Futures State Adoption Assistance), and 820 (Adoption Incentives).</t>
  </si>
  <si>
    <t>Social Services Spending, SFY 2017</t>
  </si>
  <si>
    <t>Social Services Spending, SFY 2017:</t>
  </si>
  <si>
    <t>Total amount spent on Social Services (SFY 2017)</t>
  </si>
  <si>
    <r>
      <t xml:space="preserve">Total amount spent on Social Services </t>
    </r>
    <r>
      <rPr>
        <b/>
        <i/>
        <sz val="9"/>
        <color theme="6" tint="-0.499984740745262"/>
        <rFont val="Cambria"/>
        <family val="1"/>
      </rPr>
      <t>contributed by local funding</t>
    </r>
    <r>
      <rPr>
        <b/>
        <sz val="9"/>
        <color theme="6" tint="-0.499984740745262"/>
        <rFont val="Cambria"/>
        <family val="1"/>
      </rPr>
      <t xml:space="preserve"> (SFY 2017)</t>
    </r>
  </si>
  <si>
    <t>Annual Estimated Count and Percent of Children (0-17 Years) Living Below 100% Poverty, 2000-2016</t>
  </si>
  <si>
    <t>Annual Estimated Count and Percent of Population (All Ages) Living Below 100% Poverty, 2000-2016</t>
  </si>
  <si>
    <t>Source: US Census Bureau, Small Area Income and Poverty Estimates (SAIPE). Estimates are for 2016.</t>
  </si>
  <si>
    <t>Estimated Number of People Living in Poverty and Poverty Rate by LDSS, Virginia, 2016 (Source: Census Bureau, Small Area Income and Poverty Estimate Program)</t>
  </si>
  <si>
    <t>Children 5-17 years in Families</t>
  </si>
  <si>
    <t>Children 0-17 years</t>
  </si>
  <si>
    <t>People (All Ages)</t>
  </si>
  <si>
    <t>Children In Single-Parent Homes, by LDSS, Virginia (ACS 2012-2016 5-Year Estimate)</t>
  </si>
  <si>
    <t>Source: U.S. Census Bureau, American Community Survey (2012-2016 5-Year Estimate), Table B09002 "Own Children Under 18 Years by Family Type and Age".</t>
  </si>
  <si>
    <r>
      <t xml:space="preserve">Percent of Children living in a single-parent household 
(2012-2016) </t>
    </r>
    <r>
      <rPr>
        <sz val="9"/>
        <color theme="1"/>
        <rFont val="Cambria"/>
        <family val="1"/>
        <scheme val="major"/>
      </rPr>
      <t>(Source: U.S. Census Bureau, American Community Survey)</t>
    </r>
  </si>
  <si>
    <t>Residents who received benefits (SNAP, TANF or Medicaid) in CY 2017</t>
  </si>
  <si>
    <r>
      <t xml:space="preserve">Source: </t>
    </r>
    <r>
      <rPr>
        <sz val="12"/>
        <color indexed="8"/>
        <rFont val="Calibri"/>
        <family val="2"/>
      </rPr>
      <t>VDSS, VCWOR,  OASIS Rolling Year Data, "Children in Care at the End of the Year by Race/Ethnicity" (in care as of September 30, 2017). "Other" includes children who are Asian, Hawaiian, other Pacific Islander, American Indian, Alaskan Native, Hispanic, and multiracial clients.</t>
    </r>
  </si>
  <si>
    <t>Number of Children By Race and Age In Foster Care at End of Federal Fiscal Year 2017 (9/30/2017)</t>
  </si>
  <si>
    <t>Unavailable</t>
  </si>
  <si>
    <t>Other Race (incl. Multiracial)</t>
  </si>
  <si>
    <t>Missing or Unknown</t>
  </si>
  <si>
    <t>Number of Children in CPS Referrals by Race, SFY 2017</t>
  </si>
  <si>
    <t>By Race</t>
  </si>
  <si>
    <t>Adults 65+ years</t>
  </si>
  <si>
    <t>By Gender</t>
  </si>
  <si>
    <t>Asian alone</t>
  </si>
  <si>
    <t>Two or more races</t>
  </si>
  <si>
    <t>White alone</t>
  </si>
  <si>
    <t>Black alone</t>
  </si>
  <si>
    <t>Adult and Child Population by Locality by Sex, Race and Hispanic Ethnicity, 2016</t>
  </si>
  <si>
    <t>Percent of Population - By Sex</t>
  </si>
  <si>
    <t>Percent of Population - By Race</t>
  </si>
  <si>
    <t>Percent of Population - By Age Group</t>
  </si>
  <si>
    <t>Asian only</t>
  </si>
  <si>
    <t>Black only</t>
  </si>
  <si>
    <t>White only</t>
  </si>
  <si>
    <t>Data formatted and posted at http://demographics.coopercenter.org by the UVA Weldon Cooper Center, Demographics Research Group</t>
  </si>
  <si>
    <t>Data Set: 7/1/2016 County Characteristics Resident Population Estimates</t>
  </si>
  <si>
    <r>
      <rPr>
        <b/>
        <sz val="10.5"/>
        <rFont val="Segoe UI"/>
        <family val="2"/>
      </rPr>
      <t>Data Source:</t>
    </r>
    <r>
      <rPr>
        <sz val="10.5"/>
        <rFont val="Segoe UI"/>
        <family val="2"/>
      </rPr>
      <t xml:space="preserve"> United States Census Bureau, Population Division</t>
    </r>
  </si>
  <si>
    <t>African American only</t>
  </si>
  <si>
    <t>Population, 2016</t>
  </si>
  <si>
    <t>Hispanic/Latino*</t>
  </si>
  <si>
    <t>Source: U.S. Census Bureau, Population Division. Estimates obtained from UVa Weldon Cooper Center. "Other race" includes Hawaiians, Pacific Islanders, American Indians, and Alaskan Natives. * Hispanic origin is not mutually exclusive of race.</t>
  </si>
  <si>
    <t>"Other race" includes Hawaiians, Other Pacific Islanders, American Indians, and Native Alaskans.</t>
  </si>
  <si>
    <t>AGENCY BACKGROUND - NOTES:</t>
  </si>
  <si>
    <t>Sex</t>
  </si>
  <si>
    <t>Adult subjects of APS Reports (SFY 2017)</t>
  </si>
  <si>
    <t>Number of Adult Protective Services Reports, SFY 2017</t>
  </si>
  <si>
    <t>Diff.</t>
  </si>
  <si>
    <r>
      <rPr>
        <b/>
        <sz val="12"/>
        <color indexed="8"/>
        <rFont val="Calibri"/>
        <family val="2"/>
      </rPr>
      <t>Source:</t>
    </r>
    <r>
      <rPr>
        <sz val="12"/>
        <color indexed="8"/>
        <rFont val="Calibri"/>
        <family val="2"/>
      </rPr>
      <t xml:space="preserve"> ASAPS (Adult Services Adult Protectives Services) data system, "APS Report Statistical Count". "Other" race includes American Indian, Asian/Oriental, and Alaskan Native.  Racial counts do not include Hispanics and can contribute to counts by race not summing up to the total.  There are occasional undercounts and overcounts within age categories.</t>
    </r>
  </si>
  <si>
    <t>Age Group (years)**</t>
  </si>
  <si>
    <t>Source: Adult Services Adult Protective Services (ASAPS) system. * Hispanic origin is not included in Race. ** Age groups may not sum up to total and may be undercounted or overcounted.</t>
  </si>
  <si>
    <t>Total - CY 2017</t>
  </si>
  <si>
    <t>Number of SNAP Applications Received by Month, SFY &amp; CY 2017</t>
  </si>
  <si>
    <t>Number of SNAP Applications Disposed by Month,SFY &amp; CY 2017</t>
  </si>
  <si>
    <t>Number of TANF Applications Disposed by Month, SFY &amp; CY 2017</t>
  </si>
  <si>
    <t>Number of TANF Applications Received by Month, SFY &amp; CY 2017</t>
  </si>
  <si>
    <t>Number of Medical Assistance Applications Received by Month, SFY &amp; CY 2017</t>
  </si>
  <si>
    <t>Number of Medical Assistance Applications Disposed by Month, SFY &amp; CY 2017</t>
  </si>
  <si>
    <t>Number of Child Care Subsidy Applications Disposed by Month, SFY &amp; CY 2017</t>
  </si>
  <si>
    <t>Number of Child Care Subsidy Applications Received by Month, SFY &amp; CY 2017</t>
  </si>
  <si>
    <t>Number of Children for which Adoption Subsidies were received, by Race &amp; Age of Child (as of 12/1/2017)</t>
  </si>
  <si>
    <r>
      <rPr>
        <b/>
        <sz val="12"/>
        <color indexed="8"/>
        <rFont val="Calibri"/>
        <family val="2"/>
      </rPr>
      <t xml:space="preserve">Source: </t>
    </r>
    <r>
      <rPr>
        <sz val="12"/>
        <color indexed="8"/>
        <rFont val="Calibri"/>
        <family val="2"/>
      </rPr>
      <t>VDSS, Division of Family Services, OASIS/VCWOR, "Adoption Subsidy Race/Age Count". Based on data as of 12/1/2017.</t>
    </r>
  </si>
  <si>
    <t xml:space="preserve">"Other" race includes Asians, American Indians, Hawaiians and Pacific Islanders, and multi-racial clients; excludes unknown, indeterminant, or declined (not self-reported) race data. </t>
  </si>
  <si>
    <t xml:space="preserve">Sources: Division of Family Services, VCWOR/OASIS. "Children in Foster Care" is a point-in-time count as of 9/30/2017.  "Children Exited to Adoption" is reported for the federal fiscal year, ending September 30. "Children Receiving Adoption Assistance": children receiving adoption services as of 12/1/2017. Clients with missing race are included in total counts. </t>
  </si>
  <si>
    <t>Child Care</t>
  </si>
  <si>
    <t>6-17 years</t>
  </si>
  <si>
    <r>
      <t>Any Benefit Program</t>
    </r>
    <r>
      <rPr>
        <vertAlign val="superscript"/>
        <sz val="9"/>
        <color theme="1"/>
        <rFont val="Cambria"/>
        <family val="1"/>
        <scheme val="major"/>
      </rPr>
      <t>1</t>
    </r>
  </si>
  <si>
    <t>Missing or Invalid</t>
  </si>
  <si>
    <t>Benefit Client Demographics (CY 2017)</t>
  </si>
  <si>
    <t>Hispanic Ethnicity</t>
  </si>
  <si>
    <t>Local Department of Social Services Profile Report, SFY 2017</t>
  </si>
  <si>
    <r>
      <t>Sources: Benefit Programs, VaCMS</t>
    </r>
    <r>
      <rPr>
        <sz val="8"/>
        <color indexed="8"/>
        <rFont val="Cambria"/>
        <family val="1"/>
      </rPr>
      <t xml:space="preserve">. </t>
    </r>
    <r>
      <rPr>
        <vertAlign val="superscript"/>
        <sz val="8"/>
        <color indexed="8"/>
        <rFont val="Cambria"/>
        <family val="1"/>
      </rPr>
      <t>1</t>
    </r>
    <r>
      <rPr>
        <sz val="8"/>
        <color indexed="8"/>
        <rFont val="Cambria"/>
        <family val="1"/>
      </rPr>
      <t xml:space="preserve"> Unduplicated number of clients who received SNAP, TANF, and/or Medicaid (not including Child Care). Note: Refers only to eligible clients (deemed and included clients are excluded). "Other" race includes Asians, Hawaiian/Pacific Islanders and American Indian/Alaskan Natives. Hispanic ethnicity is not mutually exclusive of race categories.</t>
    </r>
  </si>
  <si>
    <t>Age Group (children only)</t>
  </si>
  <si>
    <t>&lt; 2 years</t>
  </si>
  <si>
    <t>2-3 years</t>
  </si>
  <si>
    <t>4-5 years</t>
  </si>
  <si>
    <t>Number of Eligible Child Care Subsidy Clients by Gender, Age Group, Race &amp; Hispanic Ethnicity, CY 2017</t>
  </si>
  <si>
    <t>18-34 years</t>
  </si>
  <si>
    <t>35-64 years</t>
  </si>
  <si>
    <t>18-34 Years</t>
  </si>
  <si>
    <t>35-64 Years</t>
  </si>
  <si>
    <t>Number of Eligible SNAP Clients by Gender, Age Group, Race and Hispanic Ethnicity, CY 2017</t>
  </si>
  <si>
    <t>Number of Eligible TANF Clients by Gender, Age Group, Race &amp; Hispanic Ethnicity, CY 2017</t>
  </si>
  <si>
    <t>Number of Eligible Medicaid and FAMIS Clients by Gender, Age Group, Race &amp; Hispanic Ethnicity, CY 2017</t>
  </si>
  <si>
    <t>Number of Active ("F00") or Eligible SNAP Clients by Calendar Year, 2012-2017</t>
  </si>
  <si>
    <t>Number of Active ("A00") or Eligible TANF Clients by Calendar Year, 2012-2017</t>
  </si>
  <si>
    <t>Benefit Clients Served by Calendar Year (unduplicated)</t>
  </si>
  <si>
    <t>Number of Children Receiving Child Care Subsidies by Calendar Year, 2014-2017</t>
  </si>
  <si>
    <t>Source: VDSS, VaCMS, "Children and Family Counts - Expenditure by Budget Line". Accessed on 1/16/2018.</t>
  </si>
  <si>
    <t xml:space="preserve">Source: VDSS, VaCMS, Client Cross-Program Locality Yearly Analysis. Accessed from the Data Warehouse on 1/17/2018.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</si>
  <si>
    <r>
      <rPr>
        <b/>
        <sz val="12"/>
        <color indexed="8"/>
        <rFont val="Calibri"/>
        <family val="2"/>
      </rPr>
      <t xml:space="preserve">Source: </t>
    </r>
    <r>
      <rPr>
        <sz val="12"/>
        <color indexed="8"/>
        <rFont val="Calibri"/>
        <family val="2"/>
      </rPr>
      <t xml:space="preserve">VDSS, VaCMS, Client Cross-Program Locality Yearly Analysis. Accessed from the Data Warehouse on 1/17/2018.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</si>
  <si>
    <t>18+ years or missing age</t>
  </si>
  <si>
    <t>Number of Eligible Benefit Program* Clients by Gender, Age Group, Race &amp; Hispanic Ethnicity, CY 2017</t>
  </si>
  <si>
    <r>
      <rPr>
        <b/>
        <sz val="12"/>
        <color indexed="8"/>
        <rFont val="Calibri"/>
        <family val="2"/>
      </rPr>
      <t>Source:</t>
    </r>
    <r>
      <rPr>
        <sz val="12"/>
        <color indexed="8"/>
        <rFont val="Calibri"/>
        <family val="2"/>
      </rPr>
      <t xml:space="preserve"> VDSS, VaCMS, Client Cross-Program Locality Yearly Analysis. Accessed from the Data Warehouse on 1/17/2018.  Refers to clients with eligible program status ("included" and "deemed" are omitted) who received SNAP, TANF and/or Medicaid (Child Care is omitted from the count). "Other race" includes Asians, Hawaiians/Pacific Islanders, and American Indians; Hispanic ethnicity is not mutually exclusive of race categories. Persons with missing information on age, gender, or race are not included in the report. </t>
    </r>
  </si>
  <si>
    <r>
      <rPr>
        <vertAlign val="superscript"/>
        <sz val="8"/>
        <color theme="1"/>
        <rFont val="Cambria"/>
        <family val="1"/>
        <scheme val="major"/>
      </rPr>
      <t>1</t>
    </r>
    <r>
      <rPr>
        <sz val="8"/>
        <color theme="1"/>
        <rFont val="Cambria"/>
        <family val="1"/>
        <scheme val="major"/>
      </rPr>
      <t xml:space="preserve"> Source: Data Warehouse, "Client Cross-Program Locality Yearly Analysis" (2012-2016 data come from ADAPT; 2017 data from VaCMS). Unduplicated count within locality. Refers to "eligible" household members. </t>
    </r>
    <r>
      <rPr>
        <vertAlign val="superscript"/>
        <sz val="8"/>
        <color theme="1"/>
        <rFont val="Cambria"/>
        <family val="1"/>
        <scheme val="major"/>
      </rPr>
      <t>2</t>
    </r>
    <r>
      <rPr>
        <sz val="8"/>
        <color theme="1"/>
        <rFont val="Cambria"/>
        <family val="1"/>
        <scheme val="major"/>
      </rPr>
      <t xml:space="preserve"> Received SNAP, TANF and/or Medicaid during the year. </t>
    </r>
    <r>
      <rPr>
        <vertAlign val="superscript"/>
        <sz val="8"/>
        <color theme="1"/>
        <rFont val="Cambria"/>
        <family val="1"/>
        <scheme val="major"/>
      </rPr>
      <t>3</t>
    </r>
    <r>
      <rPr>
        <sz val="8"/>
        <color indexed="8"/>
        <rFont val="Cambria"/>
        <family val="1"/>
      </rPr>
      <t xml:space="preserve"> Source: VaCMS, "Children and Family Counts -- Expenditure by Budget Line"  (not available prior to 2014). </t>
    </r>
  </si>
  <si>
    <t>Source: VDSS, Client Cross-Program Reporting, Client Cross-Program Locality Yearly Analysis (unduplicated counts within locality; clients may be counted more than once if they moved to another locality). Data source for 2012-2016 is ADAPT; source for 2017 is VaCMS. Includes only participating ("F00") or eligible household members. Accessed on 1/17/2018.</t>
  </si>
  <si>
    <t>Number of Eligible Medicaid Clients by Calendar Year, 2012-2017</t>
  </si>
  <si>
    <t>Source: VDSS, Client Cross-Program Reporting, Client Cross-Program Locality Yearly Analysis (unduplicated counts within locality; clients may be counted more than once if they moved to another locality). Data source for 2012-2016 is ADAPT; source for 2017 is VaCMS. Includes only eligible household members. Accessed on 1/17/2018.</t>
  </si>
  <si>
    <t>Source: VDSS, Client Cross-Program Reporting, Client Cross-Program Locality Yearly Analysis (unduplicated counts within locality; clients may be counted more than once if they moved to another locality). Data source for 2012-2016 is ADAPT; source for 2017 is VaCMS. Includes only participating ("A00") or eligible household members. Accessed on 1/17/2018.</t>
  </si>
  <si>
    <t>Number of Eligible Benefit Program* Clients by Calendar Year, 2012-2017</t>
  </si>
  <si>
    <t>Source: VDSS, Client Cross-Program Reporting, Client Cross-Program Locality Yearly Analysis (unduplicated counts within locality; clients may be counted more than once if they moved to another locality). Data source for 2012-2016 is ADAPT; source for 2017 is VaCMS. * Refers to clients who received SNAP, TANF and/or Medicaid (Child Care is excluded).  Includes only eligible household members. Accessed on 1/17/2018.</t>
  </si>
  <si>
    <t>Number of Children by Race and Age Adopted in FFY 2017</t>
  </si>
  <si>
    <r>
      <rPr>
        <b/>
        <sz val="12"/>
        <color indexed="8"/>
        <rFont val="Calibri"/>
        <family val="2"/>
      </rPr>
      <t xml:space="preserve">Source: </t>
    </r>
    <r>
      <rPr>
        <sz val="12"/>
        <color indexed="8"/>
        <rFont val="Calibri"/>
        <family val="2"/>
      </rPr>
      <t>VDSS, Division of Family Services, OASIS/VCWOR, "Children Adopted During Year By Race/ Age Range at Adoption". For federal fiscal year 2017 (October 1, 2016 - September 30, 2017).</t>
    </r>
  </si>
  <si>
    <t>Children exited to adoption (FFY 2017)</t>
  </si>
  <si>
    <t>Total Social Services Spending, SFY2017</t>
  </si>
  <si>
    <r>
      <t xml:space="preserve">Total amount spent on Social Services </t>
    </r>
    <r>
      <rPr>
        <b/>
        <i/>
        <sz val="9"/>
        <color theme="6" tint="-0.499984740745262"/>
        <rFont val="Cambria"/>
        <family val="1"/>
      </rPr>
      <t>contributed by the locality</t>
    </r>
    <r>
      <rPr>
        <b/>
        <sz val="9"/>
        <color theme="6" tint="-0.499984740745262"/>
        <rFont val="Cambria"/>
        <family val="1"/>
      </rPr>
      <t xml:space="preserve"> (SFY 2017)</t>
    </r>
  </si>
  <si>
    <t>Total amount spent on Social Services in the locality (SFY 2017)</t>
  </si>
  <si>
    <t>Source: VDSS, Division of Human Resources. Updated 6/1/2016.</t>
  </si>
  <si>
    <r>
      <rPr>
        <vertAlign val="superscript"/>
        <sz val="8"/>
        <color indexed="8"/>
        <rFont val="Cambria"/>
        <family val="1"/>
      </rPr>
      <t>2</t>
    </r>
    <r>
      <rPr>
        <sz val="8"/>
        <color indexed="8"/>
        <rFont val="Cambria"/>
        <family val="1"/>
      </rPr>
      <t xml:space="preserve"> Refers to the local department's HR policy deviation from VDSS policies: jurisdiction-wide deviation (local policies only), Non-deviating , or partial deviating.  Last verified 6/1/2016.</t>
    </r>
  </si>
  <si>
    <r>
      <rPr>
        <vertAlign val="superscript"/>
        <sz val="8"/>
        <color indexed="8"/>
        <rFont val="Cambria"/>
        <family val="1"/>
      </rPr>
      <t>4</t>
    </r>
    <r>
      <rPr>
        <sz val="8"/>
        <color indexed="8"/>
        <rFont val="Cambria"/>
        <family val="1"/>
      </rPr>
      <t xml:space="preserve"> Refers to the local agency's board type (administrative vs. advisory);for advisory boards, administrative entity is also stated. Last verified 6/1/2016.</t>
    </r>
  </si>
  <si>
    <t xml:space="preserve">Source: VDSS, VaCMS (2017); ADAPT (2010-2016). Represents unduplicated case (household) counts in each locality.  For 2010-2016, the counts are for state fiscal years; for 2017, the calendar year. </t>
  </si>
  <si>
    <r>
      <rPr>
        <b/>
        <sz val="12"/>
        <color indexed="8"/>
        <rFont val="Calibri"/>
        <family val="2"/>
      </rPr>
      <t>Source:</t>
    </r>
    <r>
      <rPr>
        <sz val="12"/>
        <color indexed="8"/>
        <rFont val="Calibri"/>
        <family val="2"/>
      </rPr>
      <t xml:space="preserve"> VDSS, VaCMS (2017); ADAPT (2010-2016). Represents unduplicated case (household) counts in each locality.  For 2010-2016, the counts are for state fiscal years; for 2017, the calendar year. </t>
    </r>
  </si>
  <si>
    <t>Number of SNAP Cases (Households) by Year (Unduplicated Count)</t>
  </si>
  <si>
    <t>Number of Medicaid Cases (Households) by Year (Unduplicated Count)</t>
  </si>
  <si>
    <t>Number of TANF Cases (Households) by Year</t>
  </si>
  <si>
    <t>SFY 2010</t>
  </si>
  <si>
    <t>SFY 2011</t>
  </si>
  <si>
    <t>SFY 2012</t>
  </si>
  <si>
    <t>SFY 2013</t>
  </si>
  <si>
    <t>CY 2017</t>
  </si>
  <si>
    <t>Source: VDSS, VaCMS &amp; MMIS. Represents unduplicated case (household) counts in each locality.  For 2010-2016, the counts are for state fiscal years and come from either MMIS or VaCMS; for 2017, the calendar year count comes from VaCMS only. Statewide totals include enrollments from state mental health facilities.</t>
  </si>
  <si>
    <t>Child Care Subsidy Cases (Families) Served by Year (unduplicated count)</t>
  </si>
  <si>
    <t>Number of Households (Cases) Receiving Fuel, Cooling and Crisis Assistance, by Year</t>
  </si>
  <si>
    <t>FFY 2013</t>
  </si>
  <si>
    <t>FFY 2014</t>
  </si>
  <si>
    <t>FFY 2015</t>
  </si>
  <si>
    <t>FFY 2016</t>
  </si>
  <si>
    <t>Source: FFY 2013-2016 -- Energy Assistance Program Reports (Data Warehouse, "Case Counts Agency Summary Report"); 2017 - VaCMS (calendar year)</t>
  </si>
  <si>
    <t>Any Program</t>
  </si>
  <si>
    <t xml:space="preserve">Source: VDSS, VaCMS. Represents unduplicated number of families (cases) served within each locality as well as statewide.  For 2014-2016, the counts are for state fiscal years; for 2017, the calendar year. </t>
  </si>
  <si>
    <t>No data available per component</t>
  </si>
  <si>
    <t>All Components</t>
  </si>
  <si>
    <t>Households (Cases) Served by Year</t>
  </si>
  <si>
    <r>
      <rPr>
        <vertAlign val="superscript"/>
        <sz val="8"/>
        <color theme="1"/>
        <rFont val="Cambria"/>
        <family val="1"/>
        <scheme val="major"/>
      </rPr>
      <t>1</t>
    </r>
    <r>
      <rPr>
        <sz val="8"/>
        <color theme="1"/>
        <rFont val="Cambria"/>
        <family val="1"/>
        <scheme val="major"/>
      </rPr>
      <t xml:space="preserve"> Source: VDSS, ADAPT (SNAP and TANF for SFY 2010-2016); MMIS (Medicaid for SFY 2010-2016); VaCMS (all benefit programs for CY 2017). Represent unduplicated cases within locality.</t>
    </r>
    <r>
      <rPr>
        <sz val="8"/>
        <color indexed="8"/>
        <rFont val="Cambria"/>
        <family val="1"/>
      </rPr>
      <t xml:space="preserve"> </t>
    </r>
    <r>
      <rPr>
        <vertAlign val="superscript"/>
        <sz val="8"/>
        <color indexed="8"/>
        <rFont val="Cambria"/>
        <family val="1"/>
      </rPr>
      <t>2</t>
    </r>
    <r>
      <rPr>
        <sz val="8"/>
        <color indexed="8"/>
        <rFont val="Cambria"/>
        <family val="1"/>
      </rPr>
      <t xml:space="preserve"> Source: Energy Assistance Case (Household) Counts Agency Summary Reports (2013-2016). </t>
    </r>
    <r>
      <rPr>
        <vertAlign val="superscript"/>
        <sz val="8"/>
        <color indexed="8"/>
        <rFont val="Cambria"/>
        <family val="1"/>
      </rPr>
      <t>3</t>
    </r>
    <r>
      <rPr>
        <sz val="8"/>
        <color indexed="8"/>
        <rFont val="Cambria"/>
        <family val="1"/>
      </rPr>
      <t xml:space="preserve"> Source: VaCMS (represent "families"; data not available prior to 2014).</t>
    </r>
  </si>
  <si>
    <t>2017</t>
  </si>
  <si>
    <r>
      <t xml:space="preserve">Source: </t>
    </r>
    <r>
      <rPr>
        <sz val="12"/>
        <color indexed="8"/>
        <rFont val="Calibri"/>
        <family val="2"/>
      </rPr>
      <t>VDSS, Division of Family Services,</t>
    </r>
    <r>
      <rPr>
        <b/>
        <sz val="12"/>
        <color indexed="8"/>
        <rFont val="Calibri"/>
        <family val="2"/>
      </rPr>
      <t xml:space="preserve"> </t>
    </r>
    <r>
      <rPr>
        <sz val="12"/>
        <color indexed="8"/>
        <rFont val="Calibri"/>
        <family val="2"/>
      </rPr>
      <t>VCWOR ("Child Demographics Annual Report -- All Referrals"), SFY 2017 (report period: 7/1/2016 to 6/30/2017).  Report run on 12/7/2017.   * Hispanic origin is not mutually exclusive from race; racial subgroups do not add up to total number of referred children. **"Other" refers to children who are Asian, Native Hawaiian/Other Pacific Islander, or American Indian/Alaskan Native.</t>
    </r>
  </si>
  <si>
    <t>Children in CPS referrals (SFY 2017)</t>
  </si>
  <si>
    <t>Number of Ongoing and Family Services Caseload &amp; Case Workers</t>
  </si>
  <si>
    <r>
      <t xml:space="preserve">Source: </t>
    </r>
    <r>
      <rPr>
        <sz val="12"/>
        <color indexed="8"/>
        <rFont val="Calibri"/>
        <family val="2"/>
      </rPr>
      <t>VDSS, OASIS, "Caseload" Analysis (Data as of 8/1/2017). Includes CPS, CPS ongoing, early prevention, prevention &amp; support for families, foster care, adoption, post-adoption, and independent living cases. This is a point-in-time count. Numbers of cases and workers are not unduplicated counts.</t>
    </r>
  </si>
  <si>
    <t>Family Services Cases &amp; Caseload (as of August 2017)*</t>
  </si>
  <si>
    <t>* Point-in-time count (as of August 1, 2017). Numbers of family services cases and family services workers involved are not unduplicated counts.</t>
  </si>
  <si>
    <t>Source: VDSS, Data Warehouse, "Application Program Monthly Status Analysis." Data source is VaCMS. Accessed on 9/11/2017 (state fiscal year) and 1/23/2018 (calendar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</si>
</sst>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0"/>
    <numFmt numFmtId="169" formatCode="h\:mm\:ss\ AM/PM;@"/>
    <numFmt numFmtId="170" formatCode="mmm\ d\,\ yyyy;@"/>
    <numFmt numFmtId="171" formatCode="_(* #,##0_);_(* \(#,##0\);_(* &quot;-&quot;??_);_(@_)"/>
    <numFmt numFmtId="172" formatCode="#_)"/>
    <numFmt numFmtId="173" formatCode="#,##0.0_);\(#,##0.0\)"/>
    <numFmt numFmtId="174" formatCode="#,##0_)"/>
    <numFmt numFmtId="175" formatCode="0_);\(0\)"/>
    <numFmt numFmtId="176" formatCode="_(&quot;$&quot;* #,##0_);_(&quot;$&quot;* \(#,##0\);_(&quot;$&quot;* &quot;-&quot;??_);_(@_)"/>
    <numFmt numFmtId="177" formatCode="&quot;$&quot;###.#"/>
    <numFmt numFmtId="178" formatCode="&quot;$&quot;#,##0;\(&quot;$&quot;#,##0\)"/>
    <numFmt numFmtId="179" formatCode="#.0_)"/>
  </numFmts>
  <fonts count="139"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u/>
      <sz val="10"/>
      <color indexed="12"/>
      <name val="Arial"/>
      <family val="2"/>
    </font>
    <font>
      <sz val="12"/>
      <name val="Times New Roman"/>
      <family val="1"/>
    </font>
    <font>
      <sz val="10"/>
      <name val="Arial"/>
      <family val="2"/>
    </font>
    <font>
      <sz val="10"/>
      <name val="Times New Roman"/>
      <family val="1"/>
    </font>
    <font>
      <b/>
      <sz val="12"/>
      <color indexed="8"/>
      <name val="Times New Roman"/>
      <family val="1"/>
    </font>
    <font>
      <sz val="10"/>
      <color indexed="8"/>
      <name val="Arial"/>
      <family val="2"/>
    </font>
    <font>
      <sz val="10"/>
      <color indexed="8"/>
      <name val="Arial"/>
      <family val="2"/>
    </font>
    <font>
      <sz val="10"/>
      <color indexed="81"/>
      <name val="Tahoma"/>
      <family val="2"/>
    </font>
    <font>
      <b/>
      <sz val="10"/>
      <color indexed="81"/>
      <name val="Tahoma"/>
      <family val="2"/>
    </font>
    <font>
      <sz val="10"/>
      <color indexed="8"/>
      <name val="Arial"/>
      <family val="2"/>
    </font>
    <font>
      <sz val="12"/>
      <color indexed="8"/>
      <name val="Times New Roman"/>
      <family val="1"/>
    </font>
    <font>
      <b/>
      <sz val="10"/>
      <color indexed="8"/>
      <name val="Arial"/>
      <family val="2"/>
    </font>
    <font>
      <b/>
      <sz val="12"/>
      <color indexed="8"/>
      <name val="Arial"/>
      <family val="2"/>
    </font>
    <font>
      <sz val="10"/>
      <name val="Arial"/>
      <family val="2"/>
    </font>
    <font>
      <sz val="10"/>
      <color indexed="8"/>
      <name val="Arial"/>
      <family val="2"/>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u/>
      <sz val="10"/>
      <color indexed="12"/>
      <name val="Calibri"/>
      <family val="2"/>
    </font>
    <font>
      <b/>
      <sz val="10"/>
      <name val="Calibri"/>
      <family val="2"/>
    </font>
    <font>
      <b/>
      <sz val="12"/>
      <name val="Calibri"/>
      <family val="2"/>
    </font>
    <font>
      <sz val="12"/>
      <name val="Calibri"/>
      <family val="2"/>
    </font>
    <font>
      <b/>
      <sz val="12"/>
      <color indexed="8"/>
      <name val="Calibri"/>
      <family val="2"/>
    </font>
    <font>
      <sz val="12"/>
      <color indexed="8"/>
      <name val="Calibri"/>
      <family val="2"/>
    </font>
    <font>
      <sz val="10"/>
      <color indexed="8"/>
      <name val="Arial"/>
      <family val="2"/>
    </font>
    <font>
      <b/>
      <sz val="10"/>
      <name val="Arial"/>
      <family val="2"/>
    </font>
    <font>
      <sz val="12"/>
      <color indexed="8"/>
      <name val="Calibri"/>
      <family val="2"/>
    </font>
    <font>
      <u/>
      <sz val="12"/>
      <color indexed="12"/>
      <name val="Calibri"/>
      <family val="2"/>
    </font>
    <font>
      <sz val="12"/>
      <name val="Courier New"/>
      <family val="3"/>
    </font>
    <font>
      <b/>
      <sz val="12"/>
      <color indexed="8"/>
      <name val="Calibri"/>
      <family val="2"/>
    </font>
    <font>
      <b/>
      <vertAlign val="superscript"/>
      <sz val="12"/>
      <color indexed="8"/>
      <name val="Calibri"/>
      <family val="2"/>
    </font>
    <font>
      <vertAlign val="superscript"/>
      <sz val="12"/>
      <name val="Calibri"/>
      <family val="2"/>
    </font>
    <font>
      <sz val="12"/>
      <color indexed="10"/>
      <name val="Calibri"/>
      <family val="2"/>
    </font>
    <font>
      <b/>
      <sz val="10"/>
      <color indexed="8"/>
      <name val="Calibri"/>
      <family val="2"/>
    </font>
    <font>
      <sz val="10"/>
      <color indexed="8"/>
      <name val="Calibri"/>
      <family val="2"/>
    </font>
    <font>
      <sz val="10"/>
      <color indexed="64"/>
      <name val="Arial"/>
      <family val="2"/>
    </font>
    <font>
      <b/>
      <sz val="10"/>
      <color indexed="64"/>
      <name val="Arial"/>
      <family val="2"/>
    </font>
    <font>
      <sz val="12"/>
      <color theme="1"/>
      <name val="Times New Roman"/>
      <family val="2"/>
    </font>
    <font>
      <sz val="10"/>
      <color theme="1"/>
      <name val="Tahoma"/>
      <family val="2"/>
    </font>
    <font>
      <u/>
      <sz val="12"/>
      <color theme="10"/>
      <name val="Times New Roman"/>
      <family val="2"/>
    </font>
    <font>
      <sz val="11"/>
      <color theme="1"/>
      <name val="Calibri"/>
      <family val="2"/>
      <scheme val="minor"/>
    </font>
    <font>
      <u/>
      <sz val="8"/>
      <color rgb="FF000000"/>
      <name val="Tahoma"/>
      <family val="2"/>
    </font>
    <font>
      <sz val="8"/>
      <color rgb="FF000000"/>
      <name val="Tahoma"/>
      <family val="2"/>
    </font>
    <font>
      <sz val="10"/>
      <color rgb="FF000000"/>
      <name val="Tahoma"/>
      <family val="2"/>
    </font>
    <font>
      <sz val="10"/>
      <color theme="1"/>
      <name val="Arial"/>
      <family val="2"/>
    </font>
    <font>
      <b/>
      <sz val="12"/>
      <color rgb="FFFF0000"/>
      <name val="Times New Roman"/>
      <family val="1"/>
    </font>
    <font>
      <b/>
      <sz val="8"/>
      <color rgb="FF000000"/>
      <name val="Tahoma"/>
      <family val="2"/>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sz val="8"/>
      <color theme="1"/>
      <name val="Cambria"/>
      <family val="1"/>
      <scheme val="major"/>
    </font>
    <font>
      <sz val="10"/>
      <color theme="1"/>
      <name val="Times New Roman"/>
      <family val="2"/>
    </font>
    <font>
      <b/>
      <sz val="10"/>
      <color theme="1"/>
      <name val="Calibri"/>
      <family val="2"/>
    </font>
    <font>
      <sz val="10"/>
      <color theme="1"/>
      <name val="Calibri"/>
      <family val="2"/>
    </font>
    <font>
      <sz val="12"/>
      <color theme="1"/>
      <name val="Calibri"/>
      <family val="2"/>
    </font>
    <font>
      <b/>
      <sz val="10"/>
      <color theme="1"/>
      <name val="Cambria"/>
      <family val="1"/>
      <scheme val="major"/>
    </font>
    <font>
      <sz val="10"/>
      <color theme="1"/>
      <name val="Cambria"/>
      <family val="1"/>
      <scheme val="major"/>
    </font>
    <font>
      <u/>
      <sz val="10"/>
      <color indexed="12"/>
      <name val="Calibri"/>
      <family val="2"/>
      <scheme val="minor"/>
    </font>
    <font>
      <b/>
      <sz val="12"/>
      <color theme="1"/>
      <name val="Cambria"/>
      <family val="1"/>
      <scheme val="major"/>
    </font>
    <font>
      <b/>
      <sz val="12"/>
      <color theme="1"/>
      <name val="Calibri"/>
      <family val="2"/>
    </font>
    <font>
      <b/>
      <sz val="12"/>
      <name val="Calibri"/>
      <family val="2"/>
      <scheme val="minor"/>
    </font>
    <font>
      <sz val="10"/>
      <name val="Calibri"/>
      <family val="2"/>
      <scheme val="minor"/>
    </font>
    <font>
      <b/>
      <sz val="12"/>
      <color indexed="8"/>
      <name val="Calibri"/>
      <family val="2"/>
      <scheme val="minor"/>
    </font>
    <font>
      <sz val="12"/>
      <color indexed="8"/>
      <name val="Calibri"/>
      <family val="2"/>
      <scheme val="minor"/>
    </font>
    <font>
      <sz val="10"/>
      <color theme="1"/>
      <name val="Calibri"/>
      <family val="2"/>
      <scheme val="minor"/>
    </font>
    <font>
      <u/>
      <sz val="9"/>
      <color theme="1"/>
      <name val="Cambria"/>
      <family val="1"/>
      <scheme val="major"/>
    </font>
    <font>
      <sz val="12"/>
      <color theme="1"/>
      <name val="Calibri"/>
      <family val="2"/>
      <scheme val="minor"/>
    </font>
    <font>
      <i/>
      <sz val="9"/>
      <color theme="1"/>
      <name val="Cambria"/>
      <family val="1"/>
      <scheme val="major"/>
    </font>
    <font>
      <b/>
      <sz val="16"/>
      <color theme="6" tint="-0.249977111117893"/>
      <name val="Cambria"/>
      <family val="1"/>
      <scheme val="major"/>
    </font>
    <font>
      <b/>
      <sz val="10"/>
      <color theme="1"/>
      <name val="Times New Roman"/>
      <family val="1"/>
    </font>
    <font>
      <i/>
      <sz val="8"/>
      <color theme="1"/>
      <name val="Cambria"/>
      <family val="1"/>
      <scheme val="major"/>
    </font>
    <font>
      <b/>
      <sz val="9"/>
      <color theme="6" tint="-0.499984740745262"/>
      <name val="Cambria"/>
      <family val="1"/>
      <scheme val="major"/>
    </font>
    <font>
      <sz val="12"/>
      <name val="Calibri"/>
      <family val="2"/>
      <scheme val="minor"/>
    </font>
    <font>
      <u/>
      <sz val="12"/>
      <color indexed="12"/>
      <name val="Calibri"/>
      <family val="2"/>
      <scheme val="minor"/>
    </font>
    <font>
      <b/>
      <sz val="12"/>
      <color rgb="FF000000"/>
      <name val="Calibri"/>
      <family val="2"/>
      <scheme val="minor"/>
    </font>
    <font>
      <sz val="12"/>
      <color rgb="FF000000"/>
      <name val="Calibri"/>
      <family val="2"/>
      <scheme val="minor"/>
    </font>
    <font>
      <b/>
      <sz val="10"/>
      <color theme="1"/>
      <name val="Arial"/>
      <family val="2"/>
    </font>
    <font>
      <sz val="10"/>
      <color indexed="8"/>
      <name val="Calibri"/>
      <family val="2"/>
      <scheme val="minor"/>
    </font>
    <font>
      <b/>
      <sz val="10"/>
      <color indexed="8"/>
      <name val="Calibri"/>
      <family val="2"/>
      <scheme val="minor"/>
    </font>
    <font>
      <sz val="11"/>
      <color indexed="8"/>
      <name val="Calibri"/>
      <family val="2"/>
      <scheme val="minor"/>
    </font>
    <font>
      <b/>
      <sz val="11"/>
      <color indexed="8"/>
      <name val="Calibri"/>
      <family val="2"/>
      <scheme val="minor"/>
    </font>
    <font>
      <b/>
      <sz val="11"/>
      <color theme="1"/>
      <name val="Calibri"/>
      <family val="2"/>
      <scheme val="minor"/>
    </font>
    <font>
      <b/>
      <sz val="11"/>
      <color indexed="64"/>
      <name val="Calibri"/>
      <family val="2"/>
      <scheme val="minor"/>
    </font>
    <font>
      <sz val="11"/>
      <color indexed="64"/>
      <name val="Calibri"/>
      <family val="2"/>
      <scheme val="minor"/>
    </font>
    <font>
      <b/>
      <sz val="9"/>
      <color theme="0"/>
      <name val="Cambria"/>
      <family val="1"/>
      <scheme val="major"/>
    </font>
    <font>
      <b/>
      <sz val="10"/>
      <name val="Cambria"/>
      <family val="1"/>
      <scheme val="major"/>
    </font>
    <font>
      <i/>
      <sz val="10"/>
      <color theme="1"/>
      <name val="Cambria"/>
      <family val="1"/>
      <scheme val="major"/>
    </font>
    <font>
      <b/>
      <sz val="14"/>
      <color theme="8" tint="-0.499984740745262"/>
      <name val="Cambria"/>
      <family val="1"/>
      <scheme val="major"/>
    </font>
    <font>
      <b/>
      <sz val="12"/>
      <color theme="8" tint="-0.499984740745262"/>
      <name val="Cambria"/>
      <family val="1"/>
      <scheme val="major"/>
    </font>
    <font>
      <b/>
      <sz val="10"/>
      <color theme="0"/>
      <name val="Cambria"/>
      <family val="1"/>
      <scheme val="major"/>
    </font>
    <font>
      <b/>
      <sz val="9"/>
      <name val="Cambria"/>
      <family val="1"/>
      <scheme val="major"/>
    </font>
    <font>
      <b/>
      <vertAlign val="superscript"/>
      <sz val="9"/>
      <color theme="1"/>
      <name val="Cambria"/>
      <family val="1"/>
      <scheme val="major"/>
    </font>
    <font>
      <vertAlign val="superscript"/>
      <sz val="8"/>
      <color theme="1"/>
      <name val="Cambria"/>
      <family val="1"/>
      <scheme val="major"/>
    </font>
    <font>
      <b/>
      <sz val="14"/>
      <color theme="7" tint="-0.249977111117893"/>
      <name val="Cambria"/>
      <family val="1"/>
      <scheme val="major"/>
    </font>
    <font>
      <b/>
      <sz val="12"/>
      <color theme="2"/>
      <name val="Cambria"/>
      <family val="1"/>
      <scheme val="major"/>
    </font>
    <font>
      <vertAlign val="superscript"/>
      <sz val="9"/>
      <color theme="1"/>
      <name val="Cambria"/>
      <family val="1"/>
      <scheme val="major"/>
    </font>
    <font>
      <sz val="9"/>
      <color theme="0"/>
      <name val="Cambria"/>
      <family val="1"/>
      <scheme val="major"/>
    </font>
    <font>
      <b/>
      <sz val="9"/>
      <color theme="1"/>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sz val="12"/>
      <color theme="1"/>
      <name val="Cambria"/>
      <family val="1"/>
      <scheme val="major"/>
    </font>
    <font>
      <b/>
      <vertAlign val="superscript"/>
      <sz val="9"/>
      <name val="Cambria"/>
      <family val="1"/>
      <scheme val="major"/>
    </font>
    <font>
      <b/>
      <i/>
      <sz val="9"/>
      <color theme="6" tint="-0.499984740745262"/>
      <name val="Cambria"/>
      <family val="1"/>
    </font>
    <font>
      <b/>
      <sz val="9"/>
      <color theme="6" tint="-0.499984740745262"/>
      <name val="Cambria"/>
      <family val="1"/>
    </font>
    <font>
      <b/>
      <sz val="10"/>
      <name val="Calibri"/>
      <family val="2"/>
      <scheme val="minor"/>
    </font>
    <font>
      <u/>
      <sz val="10"/>
      <color theme="10"/>
      <name val="Calibri"/>
      <family val="2"/>
    </font>
    <font>
      <b/>
      <sz val="12"/>
      <color theme="1"/>
      <name val="Times New Roman"/>
      <family val="2"/>
    </font>
    <font>
      <b/>
      <sz val="16"/>
      <color theme="1"/>
      <name val="Cambria"/>
      <family val="1"/>
      <scheme val="major"/>
    </font>
    <font>
      <b/>
      <sz val="8"/>
      <color theme="1"/>
      <name val="Cambria"/>
      <family val="1"/>
      <scheme val="major"/>
    </font>
    <font>
      <b/>
      <sz val="8"/>
      <color rgb="FFFF0000"/>
      <name val="Cambria"/>
      <family val="1"/>
      <scheme val="major"/>
    </font>
    <font>
      <sz val="8.5"/>
      <color theme="1"/>
      <name val="Cambria"/>
      <family val="1"/>
      <scheme val="major"/>
    </font>
    <font>
      <sz val="11"/>
      <color theme="1"/>
      <name val="Calibri"/>
      <family val="2"/>
    </font>
    <font>
      <sz val="11"/>
      <color indexed="8"/>
      <name val="Calibri"/>
      <family val="2"/>
    </font>
    <font>
      <sz val="11"/>
      <color theme="1"/>
      <name val="Times New Roman"/>
      <family val="2"/>
    </font>
    <font>
      <b/>
      <i/>
      <sz val="10"/>
      <color theme="0"/>
      <name val="Cambria"/>
      <family val="1"/>
      <scheme val="major"/>
    </font>
    <font>
      <sz val="11"/>
      <color theme="0"/>
      <name val="Cambria"/>
      <family val="1"/>
      <scheme val="major"/>
    </font>
    <font>
      <sz val="14"/>
      <color theme="1"/>
      <name val="Cambria"/>
      <family val="1"/>
      <scheme val="major"/>
    </font>
    <font>
      <b/>
      <sz val="11"/>
      <color theme="1"/>
      <name val="Calibri"/>
      <family val="2"/>
    </font>
    <font>
      <sz val="11"/>
      <name val="Calibri"/>
      <family val="2"/>
    </font>
    <font>
      <sz val="10.5"/>
      <name val="Segoe UI"/>
      <family val="2"/>
    </font>
    <font>
      <i/>
      <sz val="10.5"/>
      <name val="Segoe UI"/>
      <family val="2"/>
    </font>
    <font>
      <sz val="10.5"/>
      <color theme="1"/>
      <name val="Segoe UI"/>
      <family val="2"/>
    </font>
    <font>
      <sz val="11"/>
      <name val="Cambria"/>
      <family val="1"/>
      <scheme val="major"/>
    </font>
    <font>
      <b/>
      <sz val="10.5"/>
      <name val="Segoe UI"/>
      <family val="2"/>
    </font>
    <font>
      <sz val="9"/>
      <name val="Cambria"/>
      <family val="1"/>
      <scheme val="major"/>
    </font>
    <font>
      <i/>
      <sz val="10"/>
      <name val="Cambria"/>
      <family val="1"/>
      <scheme val="major"/>
    </font>
    <font>
      <b/>
      <sz val="11"/>
      <color theme="1"/>
      <name val="Cambria"/>
      <family val="1"/>
      <scheme val="major"/>
    </font>
    <font>
      <b/>
      <sz val="12"/>
      <color rgb="FFFF0000"/>
      <name val="Calibri"/>
      <family val="2"/>
      <scheme val="minor"/>
    </font>
    <font>
      <sz val="12"/>
      <color rgb="FFFF0000"/>
      <name val="Calibri"/>
      <family val="2"/>
      <scheme val="minor"/>
    </font>
  </fonts>
  <fills count="34">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rgb="FFDFDFDF"/>
        <bgColor indexed="64"/>
      </patternFill>
    </fill>
    <fill>
      <patternFill patternType="solid">
        <fgColor rgb="FFBFD2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DFDFDF"/>
      </patternFill>
    </fill>
    <fill>
      <patternFill patternType="solid">
        <fgColor rgb="FFFFFF00"/>
        <bgColor indexed="64"/>
      </patternFill>
    </fill>
    <fill>
      <patternFill patternType="solid">
        <fgColor theme="4" tint="0.79998168889431442"/>
        <bgColor indexed="0"/>
      </patternFill>
    </fill>
    <fill>
      <patternFill patternType="solid">
        <fgColor theme="4" tint="0.59996337778862885"/>
        <bgColor indexed="64"/>
      </patternFill>
    </fill>
    <fill>
      <patternFill patternType="solid">
        <fgColor rgb="FFFFC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7" tint="-0.24994659260841701"/>
        <bgColor indexed="64"/>
      </patternFill>
    </fill>
    <fill>
      <patternFill patternType="solid">
        <fgColor theme="3" tint="0.59999389629810485"/>
        <bgColor indexed="64"/>
      </patternFill>
    </fill>
    <fill>
      <patternFill patternType="solid">
        <fgColor rgb="FF00B0F0"/>
        <bgColor indexed="64"/>
      </patternFill>
    </fill>
    <fill>
      <patternFill patternType="solid">
        <fgColor theme="7"/>
        <bgColor indexed="64"/>
      </patternFill>
    </fill>
  </fills>
  <borders count="38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2"/>
      </top>
      <bottom style="thin">
        <color indexed="2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right/>
      <top style="thin">
        <color indexed="64"/>
      </top>
      <bottom/>
      <diagonal/>
    </border>
    <border>
      <left style="thin">
        <color indexed="64"/>
      </left>
      <right/>
      <top style="thin">
        <color indexed="64"/>
      </top>
      <bottom/>
      <diagonal/>
    </border>
    <border>
      <left style="dashed">
        <color indexed="64"/>
      </left>
      <right/>
      <top style="thin">
        <color indexed="64"/>
      </top>
      <bottom style="thin">
        <color indexed="64"/>
      </bottom>
      <diagonal/>
    </border>
    <border>
      <left style="thin">
        <color indexed="22"/>
      </left>
      <right/>
      <top/>
      <bottom/>
      <diagonal/>
    </border>
    <border>
      <left style="dashed">
        <color indexed="64"/>
      </left>
      <right/>
      <top/>
      <bottom/>
      <diagonal/>
    </border>
    <border>
      <left style="dashed">
        <color indexed="64"/>
      </left>
      <right/>
      <top style="thin">
        <color indexed="64"/>
      </top>
      <bottom/>
      <diagonal/>
    </border>
    <border>
      <left style="thin">
        <color indexed="64"/>
      </left>
      <right style="dashed">
        <color indexed="64"/>
      </right>
      <top style="thin">
        <color indexed="64"/>
      </top>
      <bottom style="thin">
        <color indexed="8"/>
      </bottom>
      <diagonal/>
    </border>
    <border>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dashed">
        <color indexed="64"/>
      </right>
      <top/>
      <bottom style="thin">
        <color indexed="8"/>
      </bottom>
      <diagonal/>
    </border>
    <border>
      <left style="dashed">
        <color indexed="64"/>
      </left>
      <right style="dashed">
        <color indexed="64"/>
      </right>
      <top/>
      <bottom style="thin">
        <color indexed="8"/>
      </bottom>
      <diagonal/>
    </border>
    <border>
      <left/>
      <right style="dashed">
        <color indexed="64"/>
      </right>
      <top/>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right style="dashed">
        <color indexed="64"/>
      </right>
      <top style="thin">
        <color indexed="22"/>
      </top>
      <bottom style="thin">
        <color indexed="22"/>
      </bottom>
      <diagonal/>
    </border>
    <border>
      <left/>
      <right style="dashed">
        <color indexed="64"/>
      </right>
      <top/>
      <bottom style="thin">
        <color indexed="64"/>
      </bottom>
      <diagonal/>
    </border>
    <border>
      <left style="dashed">
        <color indexed="8"/>
      </left>
      <right style="dashed">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style="dashed">
        <color indexed="8"/>
      </right>
      <top style="thin">
        <color indexed="22"/>
      </top>
      <bottom style="thin">
        <color indexed="22"/>
      </bottom>
      <diagonal/>
    </border>
    <border>
      <left style="dashed">
        <color indexed="8"/>
      </left>
      <right/>
      <top/>
      <bottom/>
      <diagonal/>
    </border>
    <border>
      <left style="dashed">
        <color indexed="8"/>
      </left>
      <right/>
      <top style="thin">
        <color indexed="22"/>
      </top>
      <bottom style="thin">
        <color indexed="22"/>
      </bottom>
      <diagonal/>
    </border>
    <border>
      <left style="dashed">
        <color indexed="8"/>
      </left>
      <right style="dashed">
        <color indexed="8"/>
      </right>
      <top style="thin">
        <color indexed="22"/>
      </top>
      <bottom/>
      <diagonal/>
    </border>
    <border>
      <left style="dashed">
        <color indexed="8"/>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right style="thin">
        <color indexed="64"/>
      </right>
      <top style="thin">
        <color indexed="64"/>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right style="dashed">
        <color indexed="8"/>
      </right>
      <top style="thin">
        <color indexed="22"/>
      </top>
      <bottom style="thin">
        <color indexed="22"/>
      </bottom>
      <diagonal/>
    </border>
    <border>
      <left style="thin">
        <color indexed="8"/>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right style="dashed">
        <color indexed="64"/>
      </right>
      <top style="thin">
        <color indexed="64"/>
      </top>
      <bottom style="thin">
        <color indexed="64"/>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thin">
        <color indexed="22"/>
      </left>
      <right style="thin">
        <color indexed="22"/>
      </right>
      <top style="thin">
        <color indexed="8"/>
      </top>
      <bottom style="thin">
        <color indexed="8"/>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bottom style="thin">
        <color indexed="22"/>
      </bottom>
      <diagonal/>
    </border>
    <border>
      <left style="thin">
        <color indexed="8"/>
      </left>
      <right style="dashed">
        <color indexed="8"/>
      </right>
      <top style="thin">
        <color indexed="22"/>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style="dashed">
        <color indexed="8"/>
      </left>
      <right style="dashed">
        <color indexed="8"/>
      </right>
      <top style="dashed">
        <color indexed="8"/>
      </top>
      <bottom style="thin">
        <color indexed="8"/>
      </bottom>
      <diagonal/>
    </border>
    <border>
      <left style="dashed">
        <color indexed="8"/>
      </left>
      <right style="dashed">
        <color indexed="8"/>
      </right>
      <top style="dashed">
        <color indexed="8"/>
      </top>
      <bottom/>
      <diagonal/>
    </border>
    <border>
      <left style="dashed">
        <color indexed="8"/>
      </left>
      <right style="dashed">
        <color indexed="8"/>
      </right>
      <top style="thin">
        <color indexed="8"/>
      </top>
      <bottom/>
      <diagonal/>
    </border>
    <border>
      <left style="dashed">
        <color indexed="8"/>
      </left>
      <right style="dashed">
        <color indexed="8"/>
      </right>
      <top/>
      <bottom style="thin">
        <color indexed="64"/>
      </bottom>
      <diagonal/>
    </border>
    <border>
      <left style="dashed">
        <color indexed="8"/>
      </left>
      <right/>
      <top style="thin">
        <color indexed="8"/>
      </top>
      <bottom style="thin">
        <color indexed="22"/>
      </bottom>
      <diagonal/>
    </border>
    <border>
      <left style="dashed">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top style="thin">
        <color indexed="8"/>
      </top>
      <bottom/>
      <diagonal/>
    </border>
    <border>
      <left style="thin">
        <color indexed="22"/>
      </left>
      <right/>
      <top style="thin">
        <color indexed="8"/>
      </top>
      <bottom style="thin">
        <color indexed="8"/>
      </bottom>
      <diagonal/>
    </border>
    <border>
      <left style="thin">
        <color indexed="22"/>
      </left>
      <right style="thin">
        <color indexed="22"/>
      </right>
      <top/>
      <bottom/>
      <diagonal/>
    </border>
    <border>
      <left/>
      <right/>
      <top/>
      <bottom style="dashDot">
        <color indexed="64"/>
      </bottom>
      <diagonal/>
    </border>
    <border>
      <left/>
      <right/>
      <top style="dashDot">
        <color indexed="64"/>
      </top>
      <bottom/>
      <diagonal/>
    </border>
    <border>
      <left/>
      <right/>
      <top/>
      <bottom style="dashDotDot">
        <color indexed="64"/>
      </bottom>
      <diagonal/>
    </border>
    <border>
      <left style="thin">
        <color rgb="FFA2C4E0"/>
      </left>
      <right style="thin">
        <color rgb="FFA2C4E0"/>
      </right>
      <top style="thin">
        <color rgb="FFA2C4E0"/>
      </top>
      <bottom style="thin">
        <color rgb="FFA2C4E0"/>
      </bottom>
      <diagonal/>
    </border>
    <border>
      <left/>
      <right style="thin">
        <color rgb="FF93B1CD"/>
      </right>
      <top style="thin">
        <color rgb="FFCFCFCF"/>
      </top>
      <bottom style="thin">
        <color rgb="FF93B1CD"/>
      </bottom>
      <diagonal/>
    </border>
    <border>
      <left style="thin">
        <color rgb="FF93B1CD"/>
      </left>
      <right style="thin">
        <color rgb="FF93B1CD"/>
      </right>
      <top style="thin">
        <color rgb="FF93B1CD"/>
      </top>
      <bottom style="thin">
        <color rgb="FF93B1CD"/>
      </bottom>
      <diagonal/>
    </border>
    <border>
      <left/>
      <right style="thin">
        <color rgb="FF93B1CD"/>
      </right>
      <top style="thin">
        <color rgb="FF93B1CD"/>
      </top>
      <bottom style="thin">
        <color rgb="FF93B1CD"/>
      </bottom>
      <diagonal/>
    </border>
    <border>
      <left style="thin">
        <color theme="1"/>
      </left>
      <right style="dashed">
        <color theme="1"/>
      </right>
      <top/>
      <bottom/>
      <diagonal/>
    </border>
    <border>
      <left style="dashed">
        <color theme="1"/>
      </left>
      <right style="dashed">
        <color theme="1"/>
      </right>
      <top/>
      <bottom/>
      <diagonal/>
    </border>
    <border>
      <left style="dashed">
        <color theme="1"/>
      </left>
      <right style="thin">
        <color theme="1"/>
      </right>
      <top/>
      <bottom/>
      <diagonal/>
    </border>
    <border>
      <left style="thin">
        <color theme="1"/>
      </left>
      <right style="dashed">
        <color theme="1"/>
      </right>
      <top style="thin">
        <color indexed="64"/>
      </top>
      <bottom style="thin">
        <color indexed="64"/>
      </bottom>
      <diagonal/>
    </border>
    <border>
      <left style="dashed">
        <color theme="1"/>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style="thin">
        <color indexed="64"/>
      </left>
      <right style="dashed">
        <color indexed="64"/>
      </right>
      <top style="thin">
        <color theme="1"/>
      </top>
      <bottom/>
      <diagonal/>
    </border>
    <border>
      <left style="thin">
        <color theme="1"/>
      </left>
      <right style="thin">
        <color indexed="64"/>
      </right>
      <top/>
      <bottom/>
      <diagonal/>
    </border>
    <border>
      <left style="thin">
        <color indexed="64"/>
      </left>
      <right style="thin">
        <color indexed="64"/>
      </right>
      <top/>
      <bottom style="thin">
        <color theme="1"/>
      </bottom>
      <diagonal/>
    </border>
    <border>
      <left style="thin">
        <color theme="1"/>
      </left>
      <right/>
      <top/>
      <bottom/>
      <diagonal/>
    </border>
    <border>
      <left style="dashed">
        <color indexed="64"/>
      </left>
      <right style="thin">
        <color indexed="64"/>
      </right>
      <top style="thin">
        <color theme="3" tint="-0.24994659260841701"/>
      </top>
      <bottom style="thin">
        <color theme="3" tint="-0.24994659260841701"/>
      </bottom>
      <diagonal/>
    </border>
    <border>
      <left style="thin">
        <color indexed="64"/>
      </left>
      <right style="thin">
        <color indexed="64"/>
      </right>
      <top/>
      <bottom style="thin">
        <color theme="3" tint="-0.24994659260841701"/>
      </bottom>
      <diagonal/>
    </border>
    <border>
      <left style="thin">
        <color indexed="64"/>
      </left>
      <right style="thin">
        <color indexed="64"/>
      </right>
      <top style="thin">
        <color theme="3" tint="-0.24994659260841701"/>
      </top>
      <bottom style="thin">
        <color theme="3" tint="-0.24994659260841701"/>
      </bottom>
      <diagonal/>
    </border>
    <border>
      <left style="thin">
        <color indexed="64"/>
      </left>
      <right style="dashed">
        <color indexed="64"/>
      </right>
      <top style="thin">
        <color theme="3" tint="-0.24994659260841701"/>
      </top>
      <bottom style="thin">
        <color theme="3" tint="-0.24994659260841701"/>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theme="1"/>
      </right>
      <top style="thin">
        <color theme="1"/>
      </top>
      <bottom style="thin">
        <color theme="1"/>
      </bottom>
      <diagonal/>
    </border>
    <border>
      <left style="dashed">
        <color indexed="64"/>
      </left>
      <right style="thin">
        <color indexed="64"/>
      </right>
      <top style="thin">
        <color theme="1"/>
      </top>
      <bottom/>
      <diagonal/>
    </border>
    <border>
      <left style="thin">
        <color rgb="FFCFCFCF"/>
      </left>
      <right/>
      <top/>
      <bottom/>
      <diagonal/>
    </border>
    <border>
      <left style="thin">
        <color rgb="FF93B1CD"/>
      </left>
      <right/>
      <top/>
      <bottom/>
      <diagonal/>
    </border>
    <border>
      <left style="dashed">
        <color theme="1"/>
      </left>
      <right/>
      <top/>
      <bottom/>
      <diagonal/>
    </border>
    <border>
      <left style="thin">
        <color theme="1"/>
      </left>
      <right style="dashed">
        <color theme="1"/>
      </right>
      <top/>
      <bottom style="thin">
        <color theme="1"/>
      </bottom>
      <diagonal/>
    </border>
    <border>
      <left style="dashed">
        <color theme="1"/>
      </left>
      <right style="dashed">
        <color theme="1"/>
      </right>
      <top/>
      <bottom style="thin">
        <color theme="1"/>
      </bottom>
      <diagonal/>
    </border>
    <border>
      <left style="dashed">
        <color theme="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style="thin">
        <color theme="1"/>
      </left>
      <right/>
      <top style="thin">
        <color theme="1"/>
      </top>
      <bottom/>
      <diagonal/>
    </border>
    <border>
      <left style="thin">
        <color indexed="64"/>
      </left>
      <right style="thin">
        <color indexed="64"/>
      </right>
      <top style="thin">
        <color theme="1"/>
      </top>
      <bottom/>
      <diagonal/>
    </border>
    <border>
      <left/>
      <right/>
      <top style="thin">
        <color theme="1"/>
      </top>
      <bottom style="thin">
        <color theme="1"/>
      </bottom>
      <diagonal/>
    </border>
    <border>
      <left/>
      <right/>
      <top style="thin">
        <color theme="1"/>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diagonal/>
    </border>
    <border>
      <left style="thin">
        <color theme="1"/>
      </left>
      <right style="thin">
        <color indexed="64"/>
      </right>
      <top/>
      <bottom style="thin">
        <color indexed="64"/>
      </bottom>
      <diagonal/>
    </border>
    <border>
      <left style="dashed">
        <color indexed="64"/>
      </left>
      <right style="dashed">
        <color indexed="64"/>
      </right>
      <top/>
      <bottom style="thin">
        <color theme="1"/>
      </bottom>
      <diagonal/>
    </border>
    <border>
      <left style="thin">
        <color theme="1"/>
      </left>
      <right/>
      <top style="thin">
        <color theme="1"/>
      </top>
      <bottom style="thin">
        <color theme="1"/>
      </bottom>
      <diagonal/>
    </border>
    <border>
      <left style="dashed">
        <color indexed="64"/>
      </left>
      <right style="thin">
        <color indexed="64"/>
      </right>
      <top/>
      <bottom style="thin">
        <color theme="1"/>
      </bottom>
      <diagonal/>
    </border>
    <border>
      <left style="thin">
        <color indexed="64"/>
      </left>
      <right style="dashed">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top/>
      <bottom style="thin">
        <color theme="1"/>
      </bottom>
      <diagonal/>
    </border>
    <border>
      <left style="thin">
        <color indexed="64"/>
      </left>
      <right/>
      <top style="thin">
        <color theme="1"/>
      </top>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style="dashed">
        <color theme="1"/>
      </right>
      <top style="thin">
        <color indexed="64"/>
      </top>
      <bottom/>
      <diagonal/>
    </border>
    <border>
      <left style="thin">
        <color theme="1"/>
      </left>
      <right style="dashed">
        <color theme="1"/>
      </right>
      <top/>
      <bottom style="thin">
        <color indexed="64"/>
      </bottom>
      <diagonal/>
    </border>
    <border>
      <left style="dashed">
        <color theme="1"/>
      </left>
      <right style="dashed">
        <color theme="1"/>
      </right>
      <top style="thin">
        <color indexed="64"/>
      </top>
      <bottom/>
      <diagonal/>
    </border>
    <border>
      <left style="dashed">
        <color theme="1"/>
      </left>
      <right style="dashed">
        <color theme="1"/>
      </right>
      <top/>
      <bottom style="thin">
        <color indexed="64"/>
      </bottom>
      <diagonal/>
    </border>
    <border>
      <left style="dashed">
        <color theme="1"/>
      </left>
      <right style="thin">
        <color theme="1"/>
      </right>
      <top style="thin">
        <color indexed="64"/>
      </top>
      <bottom/>
      <diagonal/>
    </border>
    <border>
      <left style="dashed">
        <color theme="1"/>
      </left>
      <right style="thin">
        <color theme="1"/>
      </right>
      <top/>
      <bottom style="thin">
        <color indexed="64"/>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auto="1"/>
      </top>
      <bottom style="thin">
        <color theme="1"/>
      </bottom>
      <diagonal/>
    </border>
    <border>
      <left/>
      <right/>
      <top style="thin">
        <color auto="1"/>
      </top>
      <bottom style="thin">
        <color auto="1"/>
      </bottom>
      <diagonal/>
    </border>
    <border>
      <left style="thin">
        <color rgb="FF93B1CD"/>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auto="1"/>
      </left>
      <right style="thin">
        <color auto="1"/>
      </right>
      <top/>
      <bottom/>
      <diagonal/>
    </border>
    <border>
      <left style="dashed">
        <color auto="1"/>
      </left>
      <right style="dashed">
        <color auto="1"/>
      </right>
      <top/>
      <bottom/>
      <diagonal/>
    </border>
    <border>
      <left style="dashed">
        <color auto="1"/>
      </left>
      <right style="thin">
        <color auto="1"/>
      </right>
      <top/>
      <bottom style="thin">
        <color auto="1"/>
      </bottom>
      <diagonal/>
    </border>
    <border>
      <left style="dashed">
        <color auto="1"/>
      </left>
      <right style="dashed">
        <color auto="1"/>
      </right>
      <top/>
      <bottom style="thin">
        <color auto="1"/>
      </bottom>
      <diagonal/>
    </border>
    <border>
      <left style="thin">
        <color auto="1"/>
      </left>
      <right style="dashed">
        <color auto="1"/>
      </right>
      <top/>
      <bottom/>
      <diagonal/>
    </border>
    <border>
      <left style="dashed">
        <color indexed="8"/>
      </left>
      <right style="dashed">
        <color indexed="8"/>
      </right>
      <top/>
      <bottom style="thin">
        <color indexed="64"/>
      </bottom>
      <diagonal/>
    </border>
    <border>
      <left style="dashed">
        <color indexed="8"/>
      </left>
      <right/>
      <top/>
      <bottom style="thin">
        <color indexed="8"/>
      </bottom>
      <diagonal/>
    </border>
    <border>
      <left style="dashed">
        <color indexed="8"/>
      </left>
      <right style="dashed">
        <color indexed="8"/>
      </right>
      <top/>
      <bottom style="thin">
        <color indexed="8"/>
      </bottom>
      <diagonal/>
    </border>
    <border>
      <left/>
      <right/>
      <top/>
      <bottom style="thin">
        <color indexed="22"/>
      </bottom>
      <diagonal/>
    </border>
    <border>
      <left style="thin">
        <color indexed="64"/>
      </left>
      <right style="dashed">
        <color indexed="64"/>
      </right>
      <top style="dash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right style="dashed">
        <color indexed="64"/>
      </right>
      <top style="dashed">
        <color indexed="64"/>
      </top>
      <bottom/>
      <diagonal/>
    </border>
    <border>
      <left/>
      <right style="thin">
        <color indexed="64"/>
      </right>
      <top style="dashed">
        <color indexed="64"/>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bottom style="thin">
        <color indexed="64"/>
      </bottom>
      <diagonal/>
    </border>
    <border>
      <left/>
      <right/>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theme="1"/>
      </left>
      <right/>
      <top/>
      <bottom style="thin">
        <color indexed="64"/>
      </bottom>
      <diagonal/>
    </border>
    <border>
      <left/>
      <right/>
      <top style="thin">
        <color indexed="64"/>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top/>
      <bottom/>
      <diagonal/>
    </border>
    <border>
      <left style="thin">
        <color indexed="64"/>
      </left>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style="dashed">
        <color indexed="64"/>
      </left>
      <right/>
      <top style="thin">
        <color indexed="64"/>
      </top>
      <bottom style="thin">
        <color indexed="8"/>
      </bottom>
      <diagonal/>
    </border>
    <border>
      <left style="thin">
        <color indexed="64"/>
      </left>
      <right style="dashed">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dashed">
        <color auto="1"/>
      </left>
      <right style="dashed">
        <color auto="1"/>
      </right>
      <top/>
      <bottom style="thin">
        <color indexed="64"/>
      </bottom>
      <diagonal/>
    </border>
    <border>
      <left style="dashed">
        <color auto="1"/>
      </left>
      <right style="thin">
        <color auto="1"/>
      </right>
      <top/>
      <bottom style="thin">
        <color indexed="64"/>
      </bottom>
      <diagonal/>
    </border>
    <border>
      <left style="dash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style="dashed">
        <color indexed="8"/>
      </left>
      <right style="thin">
        <color indexed="8"/>
      </right>
      <top/>
      <bottom/>
      <diagonal/>
    </border>
    <border>
      <left style="dashed">
        <color auto="1"/>
      </left>
      <right style="thin">
        <color auto="1"/>
      </right>
      <top/>
      <bottom/>
      <diagonal/>
    </border>
    <border>
      <left/>
      <right/>
      <top style="thin">
        <color indexed="8"/>
      </top>
      <bottom style="thin">
        <color indexed="8"/>
      </bottom>
      <diagonal/>
    </border>
    <border>
      <left/>
      <right/>
      <top style="thin">
        <color indexed="22"/>
      </top>
      <bottom style="thin">
        <color indexed="22"/>
      </bottom>
      <diagonal/>
    </border>
    <border>
      <left/>
      <right/>
      <top style="thin">
        <color indexed="22"/>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thin">
        <color indexed="64"/>
      </right>
      <top style="thin">
        <color indexed="64"/>
      </top>
      <bottom/>
      <diagonal/>
    </border>
    <border>
      <left style="thin">
        <color indexed="64"/>
      </left>
      <right style="dashed">
        <color theme="1"/>
      </right>
      <top/>
      <bottom/>
      <diagonal/>
    </border>
    <border>
      <left style="thin">
        <color indexed="64"/>
      </left>
      <right style="dashed">
        <color theme="1"/>
      </right>
      <top/>
      <bottom style="thin">
        <color theme="1"/>
      </bottom>
      <diagonal/>
    </border>
    <border>
      <left style="dashed">
        <color theme="1"/>
      </left>
      <right style="thin">
        <color indexed="64"/>
      </right>
      <top/>
      <bottom/>
      <diagonal/>
    </border>
    <border>
      <left style="dashed">
        <color theme="1"/>
      </left>
      <right style="thin">
        <color indexed="64"/>
      </right>
      <top/>
      <bottom style="thin">
        <color theme="1"/>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dashed">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8"/>
      </bottom>
      <diagonal/>
    </border>
    <border>
      <left style="dashed">
        <color indexed="64"/>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style="thin">
        <color auto="1"/>
      </bottom>
      <diagonal/>
    </border>
    <border>
      <left style="thin">
        <color indexed="64"/>
      </left>
      <right style="thin">
        <color auto="1"/>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style="dashed">
        <color indexed="64"/>
      </left>
      <right style="thin">
        <color indexed="64"/>
      </right>
      <top style="thin">
        <color indexed="64"/>
      </top>
      <bottom/>
      <diagonal/>
    </border>
    <border>
      <left style="dashed">
        <color auto="1"/>
      </left>
      <right style="dashed">
        <color auto="1"/>
      </right>
      <top/>
      <bottom/>
      <diagonal/>
    </border>
    <border>
      <left style="dashed">
        <color auto="1"/>
      </left>
      <right style="thin">
        <color auto="1"/>
      </right>
      <top/>
      <bottom style="thin">
        <color indexed="64"/>
      </bottom>
      <diagonal/>
    </border>
    <border>
      <left/>
      <right style="dashed">
        <color auto="1"/>
      </right>
      <top/>
      <bottom/>
      <diagonal/>
    </border>
    <border>
      <left style="dashed">
        <color indexed="64"/>
      </left>
      <right/>
      <top/>
      <bottom/>
      <diagonal/>
    </border>
    <border>
      <left/>
      <right style="dashed">
        <color indexed="64"/>
      </right>
      <top style="thin">
        <color indexed="64"/>
      </top>
      <bottom style="thin">
        <color indexed="64"/>
      </bottom>
      <diagonal/>
    </border>
    <border>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theme="1"/>
      </right>
      <top/>
      <bottom/>
      <diagonal/>
    </border>
    <border>
      <left style="dashed">
        <color indexed="64"/>
      </left>
      <right style="thin">
        <color theme="1"/>
      </right>
      <top style="thin">
        <color indexed="64"/>
      </top>
      <bottom/>
      <diagonal/>
    </border>
    <border>
      <left style="dashed">
        <color indexed="64"/>
      </left>
      <right style="thin">
        <color theme="1"/>
      </right>
      <top/>
      <bottom style="thin">
        <color indexed="64"/>
      </bottom>
      <diagonal/>
    </border>
    <border>
      <left style="dashed">
        <color theme="1"/>
      </left>
      <right style="thin">
        <color indexed="64"/>
      </right>
      <top style="thin">
        <color theme="1"/>
      </top>
      <bottom style="thin">
        <color indexed="64"/>
      </bottom>
      <diagonal/>
    </border>
    <border>
      <left style="dashed">
        <color indexed="64"/>
      </left>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theme="1"/>
      </right>
      <top style="thin">
        <color indexed="64"/>
      </top>
      <bottom/>
      <diagonal/>
    </border>
    <border>
      <left/>
      <right style="thin">
        <color theme="1"/>
      </right>
      <top style="thin">
        <color indexed="64"/>
      </top>
      <bottom style="thin">
        <color theme="1"/>
      </bottom>
      <diagonal/>
    </border>
    <border>
      <left style="thin">
        <color indexed="64"/>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right/>
      <top style="thin">
        <color indexed="64"/>
      </top>
      <bottom style="thin">
        <color indexed="64"/>
      </bottom>
      <diagonal/>
    </border>
    <border>
      <left style="dashed">
        <color indexed="8"/>
      </left>
      <right/>
      <top/>
      <bottom/>
      <diagonal/>
    </border>
    <border>
      <left style="dashed">
        <color indexed="8"/>
      </left>
      <right/>
      <top/>
      <bottom style="thin">
        <color indexed="64"/>
      </bottom>
      <diagonal/>
    </border>
    <border>
      <left style="dashed">
        <color auto="1"/>
      </left>
      <right/>
      <top/>
      <bottom/>
      <diagonal/>
    </border>
    <border>
      <left/>
      <right style="thin">
        <color indexed="64"/>
      </right>
      <top/>
      <bottom style="thin">
        <color theme="1"/>
      </bottom>
      <diagonal/>
    </border>
    <border>
      <left style="thin">
        <color indexed="64"/>
      </left>
      <right style="thin">
        <color indexed="64"/>
      </right>
      <top style="thin">
        <color indexed="64"/>
      </top>
      <bottom style="thin">
        <color indexed="8"/>
      </bottom>
      <diagonal/>
    </border>
    <border>
      <left style="thin">
        <color indexed="64"/>
      </left>
      <right style="dashed">
        <color indexed="64"/>
      </right>
      <top style="thin">
        <color indexed="22"/>
      </top>
      <bottom style="thin">
        <color indexed="64"/>
      </bottom>
      <diagonal/>
    </border>
    <border>
      <left style="dashed">
        <color indexed="64"/>
      </left>
      <right style="dashed">
        <color indexed="64"/>
      </right>
      <top style="thin">
        <color indexed="22"/>
      </top>
      <bottom style="thin">
        <color indexed="64"/>
      </bottom>
      <diagonal/>
    </border>
    <border>
      <left/>
      <right style="dashed">
        <color indexed="64"/>
      </right>
      <top style="thin">
        <color indexed="22"/>
      </top>
      <bottom style="thin">
        <color indexed="64"/>
      </bottom>
      <diagonal/>
    </border>
    <border>
      <left style="dashed">
        <color indexed="64"/>
      </left>
      <right/>
      <top/>
      <bottom style="thin">
        <color indexed="64"/>
      </bottom>
      <diagonal/>
    </border>
    <border>
      <left/>
      <right style="thin">
        <color auto="1"/>
      </right>
      <top/>
      <bottom/>
      <diagonal/>
    </border>
    <border>
      <left/>
      <right style="thin">
        <color auto="1"/>
      </right>
      <top style="thin">
        <color indexed="64"/>
      </top>
      <bottom style="thin">
        <color indexed="64"/>
      </bottom>
      <diagonal/>
    </border>
    <border>
      <left style="thin">
        <color indexed="8"/>
      </left>
      <right style="thin">
        <color indexed="8"/>
      </right>
      <top/>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style="thin">
        <color indexed="22"/>
      </left>
      <right style="thin">
        <color indexed="22"/>
      </right>
      <top style="thin">
        <color indexed="8"/>
      </top>
      <bottom style="thin">
        <color indexed="22"/>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style="thin">
        <color indexed="8"/>
      </left>
      <right style="dashed">
        <color indexed="8"/>
      </right>
      <top style="thin">
        <color indexed="8"/>
      </top>
      <bottom style="thin">
        <color indexed="22"/>
      </bottom>
      <diagonal/>
    </border>
    <border>
      <left style="dashed">
        <color indexed="8"/>
      </left>
      <right style="dashed">
        <color indexed="8"/>
      </right>
      <top style="thin">
        <color indexed="8"/>
      </top>
      <bottom style="thin">
        <color indexed="22"/>
      </bottom>
      <diagonal/>
    </border>
    <border>
      <left style="dashed">
        <color indexed="8"/>
      </left>
      <right style="thin">
        <color indexed="8"/>
      </right>
      <top style="thin">
        <color indexed="8"/>
      </top>
      <bottom style="thin">
        <color indexed="22"/>
      </bottom>
      <diagonal/>
    </border>
    <border>
      <left/>
      <right/>
      <top style="thin">
        <color indexed="22"/>
      </top>
      <bottom style="thin">
        <color indexed="64"/>
      </bottom>
      <diagonal/>
    </border>
    <border>
      <left/>
      <right/>
      <top/>
      <bottom style="thin">
        <color theme="0" tint="-0.24994659260841701"/>
      </bottom>
      <diagonal/>
    </border>
    <border>
      <left style="thin">
        <color indexed="8"/>
      </left>
      <right style="dashed">
        <color indexed="8"/>
      </right>
      <top/>
      <bottom style="thin">
        <color theme="0" tint="-0.24994659260841701"/>
      </bottom>
      <diagonal/>
    </border>
    <border>
      <left style="dashed">
        <color indexed="8"/>
      </left>
      <right style="dashed">
        <color indexed="8"/>
      </right>
      <top/>
      <bottom style="thin">
        <color theme="0" tint="-0.24994659260841701"/>
      </bottom>
      <diagonal/>
    </border>
    <border>
      <left style="dashed">
        <color indexed="8"/>
      </left>
      <right/>
      <top/>
      <bottom style="thin">
        <color theme="0" tint="-0.24994659260841701"/>
      </bottom>
      <diagonal/>
    </border>
    <border>
      <left style="dashed">
        <color indexed="8"/>
      </left>
      <right style="thin">
        <color indexed="8"/>
      </right>
      <top/>
      <bottom style="thin">
        <color theme="0" tint="-0.24994659260841701"/>
      </bottom>
      <diagonal/>
    </border>
    <border>
      <left/>
      <right/>
      <top style="thin">
        <color theme="0" tint="-0.24994659260841701"/>
      </top>
      <bottom style="thin">
        <color theme="0" tint="-0.24994659260841701"/>
      </bottom>
      <diagonal/>
    </border>
    <border>
      <left style="thin">
        <color indexed="8"/>
      </left>
      <right style="dashed">
        <color indexed="8"/>
      </right>
      <top style="thin">
        <color theme="0" tint="-0.24994659260841701"/>
      </top>
      <bottom style="thin">
        <color theme="0" tint="-0.24994659260841701"/>
      </bottom>
      <diagonal/>
    </border>
    <border>
      <left style="dashed">
        <color indexed="8"/>
      </left>
      <right style="dashed">
        <color indexed="8"/>
      </right>
      <top style="thin">
        <color theme="0" tint="-0.24994659260841701"/>
      </top>
      <bottom style="thin">
        <color theme="0" tint="-0.24994659260841701"/>
      </bottom>
      <diagonal/>
    </border>
    <border>
      <left style="dashed">
        <color indexed="8"/>
      </left>
      <right/>
      <top style="thin">
        <color theme="0" tint="-0.24994659260841701"/>
      </top>
      <bottom style="thin">
        <color theme="0" tint="-0.24994659260841701"/>
      </bottom>
      <diagonal/>
    </border>
    <border>
      <left style="dashed">
        <color indexed="8"/>
      </left>
      <right style="thin">
        <color indexed="8"/>
      </right>
      <top style="thin">
        <color theme="0" tint="-0.24994659260841701"/>
      </top>
      <bottom style="thin">
        <color theme="0" tint="-0.24994659260841701"/>
      </bottom>
      <diagonal/>
    </border>
    <border>
      <left style="thin">
        <color indexed="22"/>
      </left>
      <right style="thin">
        <color indexed="8"/>
      </right>
      <top style="thin">
        <color indexed="22"/>
      </top>
      <bottom style="thin">
        <color auto="1"/>
      </bottom>
      <diagonal/>
    </border>
    <border>
      <left style="thin">
        <color indexed="22"/>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8"/>
      </left>
      <right style="dashed">
        <color indexed="8"/>
      </right>
      <top style="thin">
        <color indexed="22"/>
      </top>
      <bottom style="thin">
        <color auto="1"/>
      </bottom>
      <diagonal/>
    </border>
    <border>
      <left style="dashed">
        <color indexed="8"/>
      </left>
      <right style="dashed">
        <color indexed="8"/>
      </right>
      <top style="thin">
        <color indexed="22"/>
      </top>
      <bottom style="thin">
        <color auto="1"/>
      </bottom>
      <diagonal/>
    </border>
    <border>
      <left style="dashed">
        <color indexed="8"/>
      </left>
      <right/>
      <top style="thin">
        <color indexed="22"/>
      </top>
      <bottom style="thin">
        <color auto="1"/>
      </bottom>
      <diagonal/>
    </border>
    <border>
      <left style="dashed">
        <color indexed="8"/>
      </left>
      <right style="thin">
        <color indexed="8"/>
      </right>
      <top style="thin">
        <color indexed="22"/>
      </top>
      <bottom style="thin">
        <color auto="1"/>
      </bottom>
      <diagonal/>
    </border>
    <border>
      <left style="thin">
        <color indexed="8"/>
      </left>
      <right style="thin">
        <color indexed="8"/>
      </right>
      <top style="thin">
        <color indexed="8"/>
      </top>
      <bottom style="thin">
        <color theme="0" tint="-0.24994659260841701"/>
      </bottom>
      <diagonal/>
    </border>
    <border>
      <left/>
      <right/>
      <top style="thin">
        <color indexed="8"/>
      </top>
      <bottom style="thin">
        <color theme="0" tint="-0.24994659260841701"/>
      </bottom>
      <diagonal/>
    </border>
    <border>
      <left style="thin">
        <color indexed="8"/>
      </left>
      <right style="dashed">
        <color indexed="8"/>
      </right>
      <top style="thin">
        <color indexed="8"/>
      </top>
      <bottom style="thin">
        <color theme="0" tint="-0.24994659260841701"/>
      </bottom>
      <diagonal/>
    </border>
    <border>
      <left style="dashed">
        <color indexed="8"/>
      </left>
      <right style="dashed">
        <color indexed="8"/>
      </right>
      <top style="thin">
        <color indexed="8"/>
      </top>
      <bottom style="thin">
        <color theme="0" tint="-0.24994659260841701"/>
      </bottom>
      <diagonal/>
    </border>
    <border>
      <left style="dashed">
        <color indexed="8"/>
      </left>
      <right style="thin">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indexed="8"/>
      </bottom>
      <diagonal/>
    </border>
    <border>
      <left/>
      <right/>
      <top style="thin">
        <color theme="0" tint="-0.24994659260841701"/>
      </top>
      <bottom style="thin">
        <color indexed="8"/>
      </bottom>
      <diagonal/>
    </border>
    <border>
      <left style="thin">
        <color indexed="8"/>
      </left>
      <right style="dashed">
        <color indexed="8"/>
      </right>
      <top style="thin">
        <color theme="0" tint="-0.24994659260841701"/>
      </top>
      <bottom style="thin">
        <color indexed="8"/>
      </bottom>
      <diagonal/>
    </border>
    <border>
      <left style="dashed">
        <color indexed="8"/>
      </left>
      <right style="dashed">
        <color indexed="8"/>
      </right>
      <top style="thin">
        <color theme="0" tint="-0.24994659260841701"/>
      </top>
      <bottom style="thin">
        <color indexed="8"/>
      </bottom>
      <diagonal/>
    </border>
    <border>
      <left style="dashed">
        <color indexed="8"/>
      </left>
      <right style="thin">
        <color indexed="8"/>
      </right>
      <top style="thin">
        <color theme="0" tint="-0.24994659260841701"/>
      </top>
      <bottom style="thin">
        <color indexed="8"/>
      </bottom>
      <diagonal/>
    </border>
    <border>
      <left/>
      <right/>
      <top style="thin">
        <color auto="1"/>
      </top>
      <bottom style="thin">
        <color theme="0" tint="-0.24994659260841701"/>
      </bottom>
      <diagonal/>
    </border>
    <border>
      <left style="thin">
        <color indexed="64"/>
      </left>
      <right style="thin">
        <color indexed="64"/>
      </right>
      <top style="thin">
        <color auto="1"/>
      </top>
      <bottom style="thin">
        <color theme="0" tint="-0.24994659260841701"/>
      </bottom>
      <diagonal/>
    </border>
    <border>
      <left style="thin">
        <color indexed="64"/>
      </left>
      <right/>
      <top style="thin">
        <color auto="1"/>
      </top>
      <bottom style="thin">
        <color theme="0" tint="-0.24994659260841701"/>
      </bottom>
      <diagonal/>
    </border>
    <border>
      <left style="thin">
        <color indexed="8"/>
      </left>
      <right style="dashed">
        <color indexed="8"/>
      </right>
      <top style="thin">
        <color auto="1"/>
      </top>
      <bottom style="thin">
        <color theme="0" tint="-0.24994659260841701"/>
      </bottom>
      <diagonal/>
    </border>
    <border>
      <left style="dashed">
        <color indexed="8"/>
      </left>
      <right style="dashed">
        <color indexed="8"/>
      </right>
      <top style="thin">
        <color auto="1"/>
      </top>
      <bottom style="thin">
        <color theme="0" tint="-0.24994659260841701"/>
      </bottom>
      <diagonal/>
    </border>
    <border>
      <left style="dashed">
        <color indexed="8"/>
      </left>
      <right style="thin">
        <color indexed="8"/>
      </right>
      <top style="thin">
        <color auto="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indexed="64"/>
      </left>
      <right style="thin">
        <color indexed="64"/>
      </right>
      <top style="thin">
        <color theme="0" tint="-0.24994659260841701"/>
      </top>
      <bottom style="thin">
        <color auto="1"/>
      </bottom>
      <diagonal/>
    </border>
    <border>
      <left style="thin">
        <color indexed="64"/>
      </left>
      <right/>
      <top style="thin">
        <color theme="0" tint="-0.24994659260841701"/>
      </top>
      <bottom style="thin">
        <color auto="1"/>
      </bottom>
      <diagonal/>
    </border>
    <border>
      <left style="thin">
        <color indexed="8"/>
      </left>
      <right style="dashed">
        <color indexed="8"/>
      </right>
      <top style="thin">
        <color theme="0" tint="-0.24994659260841701"/>
      </top>
      <bottom style="thin">
        <color auto="1"/>
      </bottom>
      <diagonal/>
    </border>
    <border>
      <left style="dashed">
        <color indexed="8"/>
      </left>
      <right style="dashed">
        <color indexed="8"/>
      </right>
      <top style="thin">
        <color theme="0" tint="-0.24994659260841701"/>
      </top>
      <bottom style="thin">
        <color auto="1"/>
      </bottom>
      <diagonal/>
    </border>
    <border>
      <left style="dashed">
        <color indexed="8"/>
      </left>
      <right style="thin">
        <color indexed="8"/>
      </right>
      <top style="thin">
        <color theme="0" tint="-0.24994659260841701"/>
      </top>
      <bottom style="thin">
        <color auto="1"/>
      </bottom>
      <diagonal/>
    </border>
    <border>
      <left style="thin">
        <color indexed="8"/>
      </left>
      <right/>
      <top style="thin">
        <color indexed="8"/>
      </top>
      <bottom style="thin">
        <color indexed="22"/>
      </bottom>
      <diagonal/>
    </border>
    <border>
      <left/>
      <right style="thin">
        <color indexed="8"/>
      </right>
      <top style="thin">
        <color indexed="8"/>
      </top>
      <bottom style="thin">
        <color indexed="22"/>
      </bottom>
      <diagonal/>
    </border>
    <border>
      <left/>
      <right style="thin">
        <color indexed="22"/>
      </right>
      <top style="thin">
        <color indexed="8"/>
      </top>
      <bottom style="thin">
        <color indexed="22"/>
      </bottom>
      <diagonal/>
    </border>
    <border>
      <left style="thin">
        <color indexed="22"/>
      </left>
      <right style="thin">
        <color indexed="8"/>
      </right>
      <top style="thin">
        <color indexed="8"/>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style="thin">
        <color indexed="8"/>
      </left>
      <right/>
      <top style="thin">
        <color indexed="22"/>
      </top>
      <bottom style="thin">
        <color indexed="22"/>
      </bottom>
      <diagonal/>
    </border>
    <border>
      <left/>
      <right style="thin">
        <color indexed="8"/>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8"/>
      </right>
      <top style="thin">
        <color indexed="22"/>
      </top>
      <bottom style="thin">
        <color indexed="22"/>
      </bottom>
      <diagonal/>
    </border>
    <border>
      <left style="thin">
        <color indexed="8"/>
      </left>
      <right/>
      <top style="thin">
        <color indexed="22"/>
      </top>
      <bottom style="thin">
        <color auto="1"/>
      </bottom>
      <diagonal/>
    </border>
    <border>
      <left/>
      <right style="thin">
        <color indexed="8"/>
      </right>
      <top style="thin">
        <color indexed="22"/>
      </top>
      <bottom style="thin">
        <color auto="1"/>
      </bottom>
      <diagonal/>
    </border>
    <border>
      <left/>
      <right style="thin">
        <color indexed="22"/>
      </right>
      <top style="thin">
        <color indexed="22"/>
      </top>
      <bottom style="thin">
        <color auto="1"/>
      </bottom>
      <diagonal/>
    </border>
    <border>
      <left style="dashed">
        <color indexed="8"/>
      </left>
      <right style="dashed">
        <color indexed="8"/>
      </right>
      <top style="thin">
        <color indexed="22"/>
      </top>
      <bottom style="thin">
        <color indexed="22"/>
      </bottom>
      <diagonal/>
    </border>
    <border>
      <left style="thin">
        <color indexed="8"/>
      </left>
      <right style="dashed">
        <color indexed="8"/>
      </right>
      <top style="thin">
        <color indexed="22"/>
      </top>
      <bottom style="thin">
        <color indexed="64"/>
      </bottom>
      <diagonal/>
    </border>
    <border>
      <left style="dashed">
        <color indexed="8"/>
      </left>
      <right style="dashed">
        <color indexed="8"/>
      </right>
      <top style="thin">
        <color indexed="22"/>
      </top>
      <bottom style="thin">
        <color indexed="64"/>
      </bottom>
      <diagonal/>
    </border>
    <border>
      <left style="dashed">
        <color indexed="8"/>
      </left>
      <right style="thin">
        <color indexed="8"/>
      </right>
      <top style="thin">
        <color indexed="22"/>
      </top>
      <bottom style="thin">
        <color indexed="64"/>
      </bottom>
      <diagonal/>
    </border>
    <border>
      <left style="dashed">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auto="1"/>
      </left>
      <right style="thin">
        <color auto="1"/>
      </right>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style="thin">
        <color auto="1"/>
      </left>
      <right style="dashed">
        <color auto="1"/>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8"/>
      </left>
      <right/>
      <top style="thin">
        <color indexed="8"/>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bottom style="thin">
        <color auto="1"/>
      </bottom>
      <diagonal/>
    </border>
    <border>
      <left style="dashed">
        <color indexed="8"/>
      </left>
      <right style="thin">
        <color indexed="8"/>
      </right>
      <top/>
      <bottom style="thin">
        <color indexed="8"/>
      </bottom>
      <diagonal/>
    </border>
    <border>
      <left style="dashed">
        <color indexed="8"/>
      </left>
      <right/>
      <top/>
      <bottom style="thin">
        <color indexed="8"/>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style="thin">
        <color indexed="64"/>
      </bottom>
      <diagonal/>
    </border>
    <border>
      <left style="thin">
        <color indexed="64"/>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dashed">
        <color auto="1"/>
      </left>
      <right style="thin">
        <color indexed="64"/>
      </right>
      <top/>
      <bottom style="thin">
        <color auto="1"/>
      </bottom>
      <diagonal/>
    </border>
    <border>
      <left style="dashed">
        <color auto="1"/>
      </left>
      <right/>
      <top style="thin">
        <color auto="1"/>
      </top>
      <bottom/>
      <diagonal/>
    </border>
  </borders>
  <cellStyleXfs count="41">
    <xf numFmtId="0" fontId="0" fillId="0" borderId="0"/>
    <xf numFmtId="43" fontId="44" fillId="0" borderId="0" applyFont="0" applyFill="0" applyBorder="0" applyAlignment="0" applyProtection="0"/>
    <xf numFmtId="43" fontId="45" fillId="0" borderId="0" applyFont="0" applyFill="0" applyBorder="0" applyAlignment="0" applyProtection="0"/>
    <xf numFmtId="44" fontId="44" fillId="0" borderId="0" applyFont="0" applyFill="0" applyBorder="0" applyAlignment="0" applyProtection="0"/>
    <xf numFmtId="0" fontId="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0" fontId="7" fillId="0" borderId="0"/>
    <xf numFmtId="0" fontId="12" fillId="0" borderId="0"/>
    <xf numFmtId="0" fontId="8" fillId="0" borderId="0">
      <alignment vertical="top"/>
    </xf>
    <xf numFmtId="0" fontId="44" fillId="0" borderId="0"/>
    <xf numFmtId="0" fontId="8" fillId="0" borderId="0"/>
    <xf numFmtId="0" fontId="45" fillId="0" borderId="0"/>
    <xf numFmtId="0" fontId="11" fillId="0" borderId="0"/>
    <xf numFmtId="0" fontId="8" fillId="0" borderId="0">
      <alignment vertical="top"/>
    </xf>
    <xf numFmtId="0" fontId="15" fillId="0" borderId="0"/>
    <xf numFmtId="0" fontId="19" fillId="0" borderId="0">
      <alignment vertical="top"/>
    </xf>
    <xf numFmtId="0" fontId="11" fillId="0" borderId="0"/>
    <xf numFmtId="0" fontId="20" fillId="0" borderId="0"/>
    <xf numFmtId="0" fontId="20" fillId="0" borderId="0"/>
    <xf numFmtId="0" fontId="20" fillId="0" borderId="0"/>
    <xf numFmtId="0" fontId="20" fillId="0" borderId="0"/>
    <xf numFmtId="0" fontId="11" fillId="0" borderId="0"/>
    <xf numFmtId="0" fontId="31" fillId="0" borderId="0"/>
    <xf numFmtId="0" fontId="11" fillId="0" borderId="0"/>
    <xf numFmtId="0" fontId="31" fillId="0" borderId="0"/>
    <xf numFmtId="0" fontId="12" fillId="0" borderId="0"/>
    <xf numFmtId="0" fontId="31"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1" fillId="0" borderId="0"/>
    <xf numFmtId="9" fontId="44" fillId="0" borderId="0" applyFont="0" applyFill="0" applyBorder="0" applyAlignment="0" applyProtection="0"/>
    <xf numFmtId="0" fontId="44" fillId="0" borderId="0"/>
  </cellStyleXfs>
  <cellXfs count="2817">
    <xf numFmtId="0" fontId="0" fillId="0" borderId="0" xfId="0"/>
    <xf numFmtId="0" fontId="5" fillId="0" borderId="1" xfId="27" applyFont="1" applyFill="1" applyBorder="1" applyAlignment="1">
      <alignment wrapText="1"/>
    </xf>
    <xf numFmtId="49" fontId="48" fillId="0" borderId="0" xfId="12" applyNumberFormat="1" applyFont="1" applyFill="1" applyAlignment="1">
      <alignment vertical="top" wrapText="1"/>
    </xf>
    <xf numFmtId="3" fontId="49" fillId="0" borderId="102" xfId="12" applyNumberFormat="1" applyFont="1" applyFill="1" applyBorder="1" applyAlignment="1">
      <alignment horizontal="right" vertical="top"/>
    </xf>
    <xf numFmtId="49" fontId="50" fillId="0" borderId="0" xfId="12" applyNumberFormat="1" applyFont="1" applyFill="1" applyAlignment="1">
      <alignment horizontal="center" vertical="top" wrapText="1"/>
    </xf>
    <xf numFmtId="0" fontId="5" fillId="0" borderId="0" xfId="18" applyFont="1" applyFill="1"/>
    <xf numFmtId="0" fontId="5" fillId="0" borderId="0" xfId="18" applyFont="1" applyFill="1" applyAlignment="1">
      <alignment wrapText="1"/>
    </xf>
    <xf numFmtId="0" fontId="5" fillId="0" borderId="0" xfId="18" applyFont="1" applyFill="1" applyAlignment="1">
      <alignment horizontal="left" wrapText="1"/>
    </xf>
    <xf numFmtId="0" fontId="5" fillId="0" borderId="2" xfId="18" applyFont="1" applyFill="1" applyBorder="1" applyAlignment="1">
      <alignment horizontal="left"/>
    </xf>
    <xf numFmtId="3" fontId="5" fillId="0" borderId="2" xfId="18" applyNumberFormat="1" applyFont="1" applyFill="1" applyBorder="1" applyAlignment="1">
      <alignment horizontal="right"/>
    </xf>
    <xf numFmtId="3" fontId="5" fillId="0" borderId="0" xfId="18" applyNumberFormat="1" applyFont="1" applyFill="1"/>
    <xf numFmtId="0" fontId="5" fillId="0" borderId="0" xfId="18" quotePrefix="1" applyFont="1" applyFill="1"/>
    <xf numFmtId="9" fontId="51" fillId="0" borderId="0" xfId="0" applyNumberFormat="1" applyFont="1" applyAlignment="1">
      <alignment horizontal="right" indent="1"/>
    </xf>
    <xf numFmtId="0" fontId="16" fillId="2" borderId="2" xfId="18" applyFont="1" applyFill="1" applyBorder="1" applyAlignment="1">
      <alignment horizontal="center" wrapText="1"/>
    </xf>
    <xf numFmtId="0" fontId="16" fillId="2" borderId="3" xfId="18" applyFont="1" applyFill="1" applyBorder="1" applyAlignment="1">
      <alignment horizontal="center" wrapText="1"/>
    </xf>
    <xf numFmtId="0" fontId="15" fillId="0" borderId="0" xfId="18" applyAlignment="1">
      <alignment wrapText="1"/>
    </xf>
    <xf numFmtId="0" fontId="16" fillId="0" borderId="1" xfId="18" applyFont="1" applyFill="1" applyBorder="1" applyAlignment="1">
      <alignment wrapText="1"/>
    </xf>
    <xf numFmtId="0" fontId="16" fillId="0" borderId="1" xfId="18" applyFont="1" applyFill="1" applyBorder="1" applyAlignment="1">
      <alignment horizontal="right" wrapText="1"/>
    </xf>
    <xf numFmtId="0" fontId="15" fillId="0" borderId="0" xfId="18"/>
    <xf numFmtId="0" fontId="9" fillId="0" borderId="0" xfId="18" applyFont="1" applyFill="1" applyBorder="1" applyAlignment="1">
      <alignment horizontal="left" wrapText="1"/>
    </xf>
    <xf numFmtId="0" fontId="16" fillId="0" borderId="2" xfId="18" applyFont="1" applyFill="1" applyBorder="1" applyAlignment="1">
      <alignment horizontal="center" wrapText="1"/>
    </xf>
    <xf numFmtId="0" fontId="15" fillId="0" borderId="0" xfId="18" applyFill="1" applyAlignment="1">
      <alignment wrapText="1"/>
    </xf>
    <xf numFmtId="0" fontId="17" fillId="0" borderId="4" xfId="18" applyFont="1" applyBorder="1" applyAlignment="1">
      <alignment horizontal="center"/>
    </xf>
    <xf numFmtId="0" fontId="10" fillId="0" borderId="2" xfId="18" applyFont="1" applyFill="1" applyBorder="1" applyAlignment="1">
      <alignment horizontal="center" wrapText="1"/>
    </xf>
    <xf numFmtId="0" fontId="17" fillId="0" borderId="0" xfId="18" applyFont="1" applyBorder="1" applyAlignment="1">
      <alignment horizontal="center"/>
    </xf>
    <xf numFmtId="3" fontId="16" fillId="0" borderId="1" xfId="18" applyNumberFormat="1" applyFont="1" applyFill="1" applyBorder="1" applyAlignment="1">
      <alignment horizontal="right" wrapText="1"/>
    </xf>
    <xf numFmtId="3" fontId="16" fillId="0" borderId="1" xfId="18" applyNumberFormat="1" applyFont="1" applyFill="1" applyBorder="1" applyAlignment="1">
      <alignment horizontal="right" wrapText="1" indent="1"/>
    </xf>
    <xf numFmtId="9" fontId="51" fillId="0" borderId="0" xfId="0" applyNumberFormat="1" applyFont="1" applyAlignment="1">
      <alignment horizontal="right"/>
    </xf>
    <xf numFmtId="0" fontId="15" fillId="0" borderId="0" xfId="18" applyAlignment="1">
      <alignment horizontal="right"/>
    </xf>
    <xf numFmtId="0" fontId="52" fillId="0" borderId="1" xfId="18" applyFont="1" applyFill="1" applyBorder="1" applyAlignment="1">
      <alignment wrapText="1"/>
    </xf>
    <xf numFmtId="0" fontId="17" fillId="0" borderId="4" xfId="18" applyFont="1" applyBorder="1" applyAlignment="1">
      <alignment horizontal="center" wrapText="1"/>
    </xf>
    <xf numFmtId="0" fontId="16" fillId="0" borderId="2" xfId="18" applyFont="1" applyFill="1" applyBorder="1" applyAlignment="1">
      <alignment horizontal="right" wrapText="1"/>
    </xf>
    <xf numFmtId="0" fontId="52" fillId="0" borderId="1" xfId="18" applyFont="1" applyFill="1" applyBorder="1" applyAlignment="1">
      <alignment horizontal="right" wrapText="1"/>
    </xf>
    <xf numFmtId="0" fontId="17" fillId="0" borderId="5" xfId="18" applyFont="1" applyBorder="1" applyAlignment="1">
      <alignment horizontal="center"/>
    </xf>
    <xf numFmtId="0" fontId="10" fillId="0" borderId="6" xfId="18" applyFont="1" applyFill="1" applyBorder="1" applyAlignment="1">
      <alignment horizontal="center" wrapText="1"/>
    </xf>
    <xf numFmtId="0" fontId="10" fillId="0" borderId="7" xfId="18" applyFont="1" applyFill="1" applyBorder="1" applyAlignment="1">
      <alignment horizontal="center" wrapText="1"/>
    </xf>
    <xf numFmtId="3" fontId="16" fillId="0" borderId="8" xfId="18" applyNumberFormat="1" applyFont="1" applyFill="1" applyBorder="1" applyAlignment="1">
      <alignment horizontal="right" wrapText="1" indent="1"/>
    </xf>
    <xf numFmtId="0" fontId="17" fillId="0" borderId="0" xfId="18" applyFont="1" applyBorder="1" applyAlignment="1"/>
    <xf numFmtId="0" fontId="10" fillId="0" borderId="0" xfId="18" applyFont="1" applyFill="1" applyBorder="1" applyAlignment="1">
      <alignment horizontal="center" wrapText="1"/>
    </xf>
    <xf numFmtId="9" fontId="51" fillId="0" borderId="0" xfId="0" applyNumberFormat="1" applyFont="1" applyBorder="1" applyAlignment="1">
      <alignment horizontal="right"/>
    </xf>
    <xf numFmtId="0" fontId="15" fillId="0" borderId="0" xfId="18" applyBorder="1"/>
    <xf numFmtId="0" fontId="10" fillId="0" borderId="9" xfId="18" applyFont="1" applyFill="1" applyBorder="1" applyAlignment="1">
      <alignment horizontal="center" wrapText="1"/>
    </xf>
    <xf numFmtId="3" fontId="16" fillId="0" borderId="10" xfId="18" applyNumberFormat="1" applyFont="1" applyFill="1" applyBorder="1" applyAlignment="1">
      <alignment horizontal="right" wrapText="1"/>
    </xf>
    <xf numFmtId="0" fontId="17" fillId="0" borderId="0" xfId="18" applyFont="1" applyBorder="1" applyAlignment="1">
      <alignment horizontal="center" wrapText="1"/>
    </xf>
    <xf numFmtId="3" fontId="16" fillId="0" borderId="11" xfId="18" applyNumberFormat="1" applyFont="1" applyFill="1" applyBorder="1" applyAlignment="1">
      <alignment horizontal="right" wrapText="1" indent="1"/>
    </xf>
    <xf numFmtId="3" fontId="16" fillId="0" borderId="10" xfId="18" applyNumberFormat="1" applyFont="1" applyFill="1" applyBorder="1" applyAlignment="1">
      <alignment horizontal="right" wrapText="1" indent="1"/>
    </xf>
    <xf numFmtId="0" fontId="17" fillId="0" borderId="0" xfId="18" applyFont="1" applyBorder="1" applyAlignment="1">
      <alignment wrapText="1"/>
    </xf>
    <xf numFmtId="0" fontId="45" fillId="0" borderId="0" xfId="15"/>
    <xf numFmtId="0" fontId="5" fillId="0" borderId="1" xfId="18" applyFont="1" applyFill="1" applyBorder="1" applyAlignment="1">
      <alignment wrapText="1"/>
    </xf>
    <xf numFmtId="0" fontId="5" fillId="0" borderId="1" xfId="18" quotePrefix="1" applyFont="1" applyFill="1" applyBorder="1" applyAlignment="1">
      <alignment wrapText="1"/>
    </xf>
    <xf numFmtId="0" fontId="8" fillId="0" borderId="0" xfId="12" applyFont="1" applyAlignment="1">
      <alignment vertical="top"/>
    </xf>
    <xf numFmtId="49" fontId="53" fillId="0" borderId="103" xfId="12" applyNumberFormat="1" applyFont="1" applyBorder="1" applyAlignment="1">
      <alignment horizontal="center" vertical="top" wrapText="1"/>
    </xf>
    <xf numFmtId="49" fontId="53" fillId="4" borderId="104" xfId="12" applyNumberFormat="1" applyFont="1" applyFill="1" applyBorder="1" applyAlignment="1">
      <alignment horizontal="right" vertical="top" wrapText="1" indent="1"/>
    </xf>
    <xf numFmtId="49" fontId="49" fillId="5" borderId="104" xfId="12" applyNumberFormat="1" applyFont="1" applyFill="1" applyBorder="1" applyAlignment="1">
      <alignment vertical="top" wrapText="1"/>
    </xf>
    <xf numFmtId="3" fontId="49" fillId="0" borderId="102" xfId="12" applyNumberFormat="1" applyFont="1" applyFill="1" applyBorder="1" applyAlignment="1">
      <alignment horizontal="right" vertical="top" indent="1"/>
    </xf>
    <xf numFmtId="3" fontId="8" fillId="0" borderId="0" xfId="12" applyNumberFormat="1" applyFont="1" applyAlignment="1">
      <alignment horizontal="right" vertical="top" indent="1"/>
    </xf>
    <xf numFmtId="49" fontId="49" fillId="5" borderId="105" xfId="12" applyNumberFormat="1" applyFont="1" applyFill="1" applyBorder="1" applyAlignment="1">
      <alignment vertical="top" wrapText="1"/>
    </xf>
    <xf numFmtId="3" fontId="8" fillId="0" borderId="0" xfId="12" applyNumberFormat="1" applyFont="1" applyAlignment="1">
      <alignment vertical="top"/>
    </xf>
    <xf numFmtId="49" fontId="53" fillId="4" borderId="105" xfId="12" applyNumberFormat="1" applyFont="1" applyFill="1" applyBorder="1" applyAlignment="1">
      <alignment vertical="top" wrapText="1"/>
    </xf>
    <xf numFmtId="168" fontId="53" fillId="0" borderId="102" xfId="12" applyNumberFormat="1" applyFont="1" applyFill="1" applyBorder="1" applyAlignment="1">
      <alignment horizontal="right" vertical="top"/>
    </xf>
    <xf numFmtId="170" fontId="50" fillId="0" borderId="0" xfId="12" applyNumberFormat="1" applyFont="1" applyAlignment="1">
      <alignment horizontal="left" vertical="top" wrapText="1"/>
    </xf>
    <xf numFmtId="169" fontId="50" fillId="0" borderId="0" xfId="12" applyNumberFormat="1" applyFont="1" applyAlignment="1">
      <alignment horizontal="right" vertical="top" wrapText="1"/>
    </xf>
    <xf numFmtId="170" fontId="50" fillId="0" borderId="0" xfId="12" applyNumberFormat="1" applyFont="1" applyAlignment="1">
      <alignment vertical="top" wrapText="1"/>
    </xf>
    <xf numFmtId="0" fontId="54" fillId="0" borderId="0" xfId="0" applyFont="1" applyAlignment="1">
      <alignment horizontal="left"/>
    </xf>
    <xf numFmtId="0" fontId="54" fillId="0" borderId="0" xfId="0" applyFont="1"/>
    <xf numFmtId="0" fontId="55" fillId="0" borderId="0" xfId="0" applyFont="1"/>
    <xf numFmtId="0" fontId="56" fillId="0" borderId="0" xfId="0" applyFont="1"/>
    <xf numFmtId="0" fontId="57" fillId="0" borderId="0" xfId="0" applyFont="1" applyBorder="1" applyAlignment="1"/>
    <xf numFmtId="0" fontId="56" fillId="0" borderId="0" xfId="0" quotePrefix="1" applyFont="1"/>
    <xf numFmtId="0" fontId="57" fillId="0" borderId="0" xfId="0" applyFont="1" applyAlignment="1">
      <alignment horizontal="right"/>
    </xf>
    <xf numFmtId="0" fontId="57" fillId="0" borderId="0" xfId="0" applyFont="1"/>
    <xf numFmtId="0" fontId="58" fillId="0" borderId="0" xfId="0" applyFont="1" applyAlignment="1">
      <alignment vertical="top" wrapText="1"/>
    </xf>
    <xf numFmtId="0" fontId="56" fillId="0" borderId="0" xfId="0" quotePrefix="1" applyFont="1" applyAlignment="1"/>
    <xf numFmtId="0" fontId="56" fillId="0" borderId="0" xfId="0" quotePrefix="1" applyFont="1" applyAlignment="1">
      <alignment horizontal="center"/>
    </xf>
    <xf numFmtId="0" fontId="58" fillId="0" borderId="0" xfId="0" applyFont="1" applyAlignment="1">
      <alignment horizontal="left" vertical="top" wrapText="1"/>
    </xf>
    <xf numFmtId="0" fontId="57" fillId="0" borderId="0" xfId="0" applyFont="1" applyBorder="1"/>
    <xf numFmtId="0" fontId="57" fillId="0" borderId="0" xfId="0" applyFont="1" applyBorder="1" applyAlignment="1">
      <alignment horizontal="right"/>
    </xf>
    <xf numFmtId="0" fontId="57" fillId="0" borderId="0" xfId="0" applyFont="1" applyBorder="1" applyAlignment="1">
      <alignment horizontal="right" wrapText="1"/>
    </xf>
    <xf numFmtId="0" fontId="56" fillId="0" borderId="0" xfId="0" applyFont="1" applyBorder="1"/>
    <xf numFmtId="3" fontId="56" fillId="0" borderId="0" xfId="0" applyNumberFormat="1" applyFont="1"/>
    <xf numFmtId="9" fontId="56" fillId="0" borderId="0" xfId="0" applyNumberFormat="1" applyFont="1"/>
    <xf numFmtId="167" fontId="56" fillId="0" borderId="0" xfId="0" applyNumberFormat="1" applyFont="1"/>
    <xf numFmtId="0" fontId="56" fillId="0" borderId="0" xfId="0" applyFont="1" applyAlignment="1">
      <alignment horizontal="left" indent="2"/>
    </xf>
    <xf numFmtId="0" fontId="56" fillId="0" borderId="0" xfId="0" applyFont="1" applyBorder="1" applyAlignment="1">
      <alignment horizontal="right"/>
    </xf>
    <xf numFmtId="0" fontId="56" fillId="0" borderId="0" xfId="0" applyFont="1" applyAlignment="1">
      <alignment wrapText="1"/>
    </xf>
    <xf numFmtId="9" fontId="56" fillId="0" borderId="0" xfId="0" applyNumberFormat="1" applyFont="1" applyBorder="1"/>
    <xf numFmtId="3" fontId="56" fillId="0" borderId="0" xfId="0" applyNumberFormat="1" applyFont="1" applyAlignment="1">
      <alignment horizontal="right"/>
    </xf>
    <xf numFmtId="9" fontId="56" fillId="0" borderId="0" xfId="39" applyFont="1"/>
    <xf numFmtId="164" fontId="56" fillId="0" borderId="0" xfId="0" applyNumberFormat="1" applyFont="1" applyAlignment="1">
      <alignment horizontal="center"/>
    </xf>
    <xf numFmtId="3" fontId="56" fillId="0" borderId="0" xfId="0" applyNumberFormat="1" applyFont="1" applyAlignment="1">
      <alignment horizontal="right" indent="1"/>
    </xf>
    <xf numFmtId="0" fontId="59" fillId="0" borderId="0" xfId="0" applyFont="1"/>
    <xf numFmtId="0" fontId="59" fillId="0" borderId="0" xfId="0" applyFont="1" applyAlignment="1">
      <alignment horizontal="left"/>
    </xf>
    <xf numFmtId="0" fontId="56" fillId="0" borderId="0" xfId="0" applyFont="1" applyBorder="1" applyAlignment="1"/>
    <xf numFmtId="0" fontId="60" fillId="0" borderId="0" xfId="0" applyFont="1"/>
    <xf numFmtId="0" fontId="61" fillId="0" borderId="12" xfId="0" applyFont="1" applyBorder="1" applyAlignment="1">
      <alignment wrapText="1"/>
    </xf>
    <xf numFmtId="0" fontId="62" fillId="0" borderId="0" xfId="0" applyFont="1" applyAlignment="1">
      <alignment horizontal="center"/>
    </xf>
    <xf numFmtId="0" fontId="62" fillId="0" borderId="0" xfId="0" applyFont="1"/>
    <xf numFmtId="0" fontId="62" fillId="0" borderId="0" xfId="0" applyFont="1" applyAlignment="1">
      <alignment wrapText="1"/>
    </xf>
    <xf numFmtId="0" fontId="61" fillId="0" borderId="0" xfId="0" applyFont="1" applyBorder="1" applyAlignment="1">
      <alignment horizontal="center" wrapText="1"/>
    </xf>
    <xf numFmtId="49" fontId="61" fillId="0" borderId="12" xfId="0" applyNumberFormat="1" applyFont="1" applyBorder="1" applyAlignment="1">
      <alignment horizontal="center"/>
    </xf>
    <xf numFmtId="0" fontId="61" fillId="0" borderId="12" xfId="0" applyFont="1" applyBorder="1" applyAlignment="1">
      <alignment horizontal="left" wrapText="1"/>
    </xf>
    <xf numFmtId="49" fontId="62" fillId="0" borderId="0" xfId="0" applyNumberFormat="1" applyFont="1" applyBorder="1" applyAlignment="1">
      <alignment horizontal="center"/>
    </xf>
    <xf numFmtId="0" fontId="24" fillId="0" borderId="0" xfId="9" applyFont="1" applyBorder="1"/>
    <xf numFmtId="0" fontId="62" fillId="0" borderId="0" xfId="0" applyFont="1" applyBorder="1"/>
    <xf numFmtId="3" fontId="62" fillId="0" borderId="0" xfId="0" applyNumberFormat="1" applyFont="1" applyAlignment="1">
      <alignment horizontal="right" vertical="top" wrapText="1"/>
    </xf>
    <xf numFmtId="3" fontId="62" fillId="0" borderId="0" xfId="0" applyNumberFormat="1" applyFont="1" applyAlignment="1">
      <alignment horizontal="right" indent="1"/>
    </xf>
    <xf numFmtId="3" fontId="62" fillId="0" borderId="0" xfId="0" applyNumberFormat="1" applyFont="1" applyBorder="1" applyAlignment="1">
      <alignment horizontal="center"/>
    </xf>
    <xf numFmtId="3" fontId="62" fillId="0" borderId="0" xfId="0" applyNumberFormat="1" applyFont="1" applyAlignment="1">
      <alignment horizontal="center"/>
    </xf>
    <xf numFmtId="38" fontId="62" fillId="0" borderId="0" xfId="0" applyNumberFormat="1" applyFont="1"/>
    <xf numFmtId="9" fontId="62" fillId="0" borderId="0" xfId="0" applyNumberFormat="1" applyFont="1"/>
    <xf numFmtId="0" fontId="62" fillId="0" borderId="0" xfId="0" applyFont="1" applyAlignment="1">
      <alignment horizontal="right" wrapText="1"/>
    </xf>
    <xf numFmtId="0" fontId="62" fillId="0" borderId="12" xfId="0" applyFont="1" applyBorder="1"/>
    <xf numFmtId="3" fontId="62" fillId="0" borderId="0" xfId="0" applyNumberFormat="1" applyFont="1" applyBorder="1" applyAlignment="1">
      <alignment horizontal="right" vertical="top" wrapText="1"/>
    </xf>
    <xf numFmtId="0" fontId="62" fillId="0" borderId="0" xfId="0" applyFont="1" applyBorder="1" applyAlignment="1">
      <alignment horizontal="right" wrapText="1"/>
    </xf>
    <xf numFmtId="3" fontId="62" fillId="0" borderId="0" xfId="0" applyNumberFormat="1" applyFont="1" applyBorder="1" applyAlignment="1">
      <alignment horizontal="right" indent="1"/>
    </xf>
    <xf numFmtId="49" fontId="62" fillId="0" borderId="0" xfId="0" applyNumberFormat="1" applyFont="1" applyAlignment="1">
      <alignment horizontal="center"/>
    </xf>
    <xf numFmtId="0" fontId="62" fillId="0" borderId="0" xfId="0" applyFont="1" applyAlignment="1">
      <alignment horizontal="left" vertical="top" wrapText="1"/>
    </xf>
    <xf numFmtId="0" fontId="62" fillId="0" borderId="0" xfId="0" applyFont="1" applyAlignment="1">
      <alignment horizontal="center" wrapText="1"/>
    </xf>
    <xf numFmtId="9" fontId="62" fillId="0" borderId="0" xfId="0" applyNumberFormat="1" applyFont="1" applyAlignment="1">
      <alignment horizontal="center"/>
    </xf>
    <xf numFmtId="0" fontId="61" fillId="0" borderId="0" xfId="0" applyFont="1" applyAlignment="1">
      <alignment vertical="top" wrapText="1"/>
    </xf>
    <xf numFmtId="0" fontId="61" fillId="0" borderId="0" xfId="0" applyFont="1" applyAlignment="1">
      <alignment horizontal="center" vertical="top" wrapText="1"/>
    </xf>
    <xf numFmtId="0" fontId="24" fillId="0" borderId="0" xfId="0" applyFont="1" applyBorder="1" applyAlignment="1">
      <alignment vertical="top" wrapText="1"/>
    </xf>
    <xf numFmtId="0" fontId="24" fillId="0" borderId="0" xfId="0" applyFont="1" applyBorder="1" applyAlignment="1">
      <alignment horizontal="center" vertical="top" wrapText="1"/>
    </xf>
    <xf numFmtId="0" fontId="25" fillId="0" borderId="0" xfId="4" applyFont="1" applyFill="1" applyBorder="1" applyAlignment="1" applyProtection="1">
      <alignment wrapText="1"/>
    </xf>
    <xf numFmtId="0" fontId="24" fillId="0" borderId="0" xfId="0" applyFont="1" applyBorder="1" applyAlignment="1">
      <alignment horizontal="left"/>
    </xf>
    <xf numFmtId="0" fontId="59" fillId="0" borderId="0" xfId="0" applyFont="1" applyFill="1" applyBorder="1" applyAlignment="1">
      <alignment wrapText="1"/>
    </xf>
    <xf numFmtId="0" fontId="59" fillId="0" borderId="0" xfId="0" applyFont="1" applyAlignment="1">
      <alignment vertical="top" wrapText="1"/>
    </xf>
    <xf numFmtId="9" fontId="56" fillId="0" borderId="0" xfId="0" applyNumberFormat="1" applyFont="1" applyBorder="1" applyAlignment="1"/>
    <xf numFmtId="9" fontId="56" fillId="0" borderId="0" xfId="0" applyNumberFormat="1" applyFont="1" applyBorder="1" applyAlignment="1">
      <alignment horizontal="right"/>
    </xf>
    <xf numFmtId="0" fontId="56" fillId="0" borderId="0" xfId="0" applyFont="1" applyBorder="1" applyAlignment="1">
      <alignment horizontal="center"/>
    </xf>
    <xf numFmtId="0" fontId="57" fillId="0" borderId="0" xfId="0" applyFont="1" applyAlignment="1">
      <alignment horizontal="center" wrapText="1"/>
    </xf>
    <xf numFmtId="0" fontId="56" fillId="0" borderId="0" xfId="0" applyFont="1" applyFill="1" applyBorder="1" applyAlignment="1">
      <alignment horizontal="left" vertical="top" wrapText="1"/>
    </xf>
    <xf numFmtId="0" fontId="56" fillId="0" borderId="0" xfId="0" applyFont="1" applyAlignment="1">
      <alignment horizontal="left" vertical="top" wrapText="1"/>
    </xf>
    <xf numFmtId="0" fontId="56" fillId="0" borderId="0" xfId="0" applyFont="1" applyAlignment="1">
      <alignment horizontal="left"/>
    </xf>
    <xf numFmtId="0" fontId="63" fillId="0" borderId="0" xfId="0" applyFont="1"/>
    <xf numFmtId="0" fontId="63" fillId="0" borderId="0" xfId="0" applyFont="1" applyAlignment="1">
      <alignment horizontal="center"/>
    </xf>
    <xf numFmtId="0" fontId="62" fillId="0" borderId="0" xfId="0" applyFont="1" applyAlignment="1">
      <alignment horizontal="left" wrapText="1"/>
    </xf>
    <xf numFmtId="49" fontId="24" fillId="0" borderId="0" xfId="0" applyNumberFormat="1" applyFont="1" applyFill="1"/>
    <xf numFmtId="172" fontId="24" fillId="0" borderId="0" xfId="0" applyNumberFormat="1" applyFont="1" applyFill="1" applyBorder="1" applyAlignment="1" applyProtection="1">
      <alignment horizontal="center" vertical="center"/>
    </xf>
    <xf numFmtId="172" fontId="24" fillId="0" borderId="13" xfId="0" applyNumberFormat="1" applyFont="1" applyFill="1" applyBorder="1" applyAlignment="1" applyProtection="1">
      <alignment horizontal="centerContinuous" vertical="center"/>
    </xf>
    <xf numFmtId="172" fontId="24" fillId="0" borderId="14" xfId="0" applyNumberFormat="1" applyFont="1" applyFill="1" applyBorder="1" applyAlignment="1" applyProtection="1">
      <alignment horizontal="centerContinuous" vertical="center"/>
    </xf>
    <xf numFmtId="172" fontId="24" fillId="0" borderId="15" xfId="0" applyNumberFormat="1" applyFont="1" applyFill="1" applyBorder="1" applyAlignment="1" applyProtection="1">
      <alignment horizontal="centerContinuous" vertical="center"/>
    </xf>
    <xf numFmtId="172" fontId="24" fillId="0" borderId="0" xfId="0" applyNumberFormat="1" applyFont="1" applyFill="1"/>
    <xf numFmtId="172" fontId="24" fillId="0" borderId="16" xfId="0" applyNumberFormat="1" applyFont="1" applyFill="1" applyBorder="1" applyAlignment="1" applyProtection="1">
      <alignment horizontal="center" vertical="center"/>
    </xf>
    <xf numFmtId="172" fontId="24" fillId="0" borderId="17" xfId="0" applyNumberFormat="1" applyFont="1" applyFill="1" applyBorder="1" applyAlignment="1" applyProtection="1">
      <alignment horizontal="center" vertical="center"/>
    </xf>
    <xf numFmtId="172" fontId="24" fillId="0" borderId="18" xfId="0" applyNumberFormat="1" applyFont="1" applyFill="1" applyBorder="1" applyAlignment="1">
      <alignment horizontal="center" vertical="center"/>
    </xf>
    <xf numFmtId="49" fontId="26" fillId="6" borderId="19" xfId="0" applyNumberFormat="1" applyFont="1" applyFill="1" applyBorder="1" applyAlignment="1">
      <alignment horizontal="center"/>
    </xf>
    <xf numFmtId="172" fontId="26" fillId="6" borderId="20" xfId="0" applyNumberFormat="1" applyFont="1" applyFill="1" applyBorder="1" applyAlignment="1" applyProtection="1">
      <alignment horizontal="left" vertical="center"/>
    </xf>
    <xf numFmtId="172" fontId="26" fillId="6" borderId="21" xfId="0" applyNumberFormat="1" applyFont="1" applyFill="1" applyBorder="1" applyAlignment="1" applyProtection="1">
      <alignment horizontal="left" vertical="center"/>
    </xf>
    <xf numFmtId="0" fontId="24" fillId="0" borderId="22" xfId="0" applyNumberFormat="1" applyFont="1" applyBorder="1" applyAlignment="1">
      <alignment horizontal="center"/>
    </xf>
    <xf numFmtId="0" fontId="24" fillId="0" borderId="23" xfId="0" applyNumberFormat="1" applyFont="1" applyBorder="1"/>
    <xf numFmtId="174" fontId="24" fillId="0" borderId="0" xfId="0" applyNumberFormat="1" applyFont="1" applyFill="1" applyBorder="1" applyAlignment="1" applyProtection="1">
      <alignment vertical="center"/>
    </xf>
    <xf numFmtId="174" fontId="24" fillId="0" borderId="0" xfId="0" applyNumberFormat="1" applyFont="1" applyFill="1" applyBorder="1" applyAlignment="1" applyProtection="1">
      <alignment vertical="center"/>
      <protection locked="0"/>
    </xf>
    <xf numFmtId="174" fontId="24" fillId="0" borderId="24" xfId="0" applyNumberFormat="1" applyFont="1" applyFill="1" applyBorder="1" applyAlignment="1" applyProtection="1">
      <alignment vertical="center"/>
      <protection locked="0"/>
    </xf>
    <xf numFmtId="174" fontId="24" fillId="0" borderId="24" xfId="0" applyNumberFormat="1" applyFont="1" applyFill="1" applyBorder="1" applyAlignment="1" applyProtection="1">
      <alignment vertical="center"/>
    </xf>
    <xf numFmtId="0" fontId="24" fillId="0" borderId="25" xfId="0" applyNumberFormat="1" applyFont="1" applyBorder="1" applyAlignment="1">
      <alignment horizontal="center"/>
    </xf>
    <xf numFmtId="0" fontId="24" fillId="0" borderId="26" xfId="0" applyNumberFormat="1" applyFont="1" applyBorder="1"/>
    <xf numFmtId="0" fontId="63" fillId="0" borderId="0" xfId="0" applyFont="1" applyAlignment="1">
      <alignment wrapText="1"/>
    </xf>
    <xf numFmtId="0" fontId="63" fillId="0" borderId="0" xfId="0" applyFont="1" applyAlignment="1">
      <alignment horizontal="left" wrapText="1"/>
    </xf>
    <xf numFmtId="0" fontId="64" fillId="0" borderId="0" xfId="0" applyFont="1"/>
    <xf numFmtId="0" fontId="64" fillId="0" borderId="0" xfId="0" applyFont="1" applyAlignment="1">
      <alignment horizontal="right"/>
    </xf>
    <xf numFmtId="0" fontId="65" fillId="0" borderId="0" xfId="0" applyFont="1"/>
    <xf numFmtId="0" fontId="56" fillId="0" borderId="0" xfId="0" applyFont="1" applyFill="1" applyBorder="1"/>
    <xf numFmtId="0" fontId="59" fillId="0" borderId="0" xfId="0" applyFont="1" applyAlignment="1">
      <alignment horizontal="left" wrapText="1"/>
    </xf>
    <xf numFmtId="0" fontId="55" fillId="0" borderId="0" xfId="0" applyFont="1" applyAlignment="1">
      <alignment horizontal="center"/>
    </xf>
    <xf numFmtId="49" fontId="62" fillId="0" borderId="12" xfId="0" applyNumberFormat="1" applyFont="1" applyBorder="1" applyAlignment="1">
      <alignment horizontal="center"/>
    </xf>
    <xf numFmtId="0" fontId="24" fillId="0" borderId="12" xfId="9" applyFont="1" applyBorder="1"/>
    <xf numFmtId="0" fontId="66" fillId="0" borderId="0" xfId="4" applyFont="1" applyAlignment="1" applyProtection="1"/>
    <xf numFmtId="0" fontId="59" fillId="0" borderId="0" xfId="0" applyFont="1" applyAlignment="1">
      <alignment wrapText="1"/>
    </xf>
    <xf numFmtId="0" fontId="57" fillId="0" borderId="0" xfId="0" applyFont="1" applyFill="1" applyBorder="1" applyAlignment="1"/>
    <xf numFmtId="0" fontId="67" fillId="0" borderId="0" xfId="0" applyFont="1" applyBorder="1" applyAlignment="1"/>
    <xf numFmtId="0" fontId="56" fillId="0" borderId="0" xfId="0" applyFont="1" applyAlignment="1"/>
    <xf numFmtId="0" fontId="59" fillId="0" borderId="0" xfId="0" applyFont="1" applyAlignment="1">
      <alignment horizontal="left" vertical="top" wrapText="1"/>
    </xf>
    <xf numFmtId="0" fontId="56" fillId="0" borderId="0" xfId="0" applyFont="1" applyFill="1" applyBorder="1" applyAlignment="1">
      <alignment horizontal="right"/>
    </xf>
    <xf numFmtId="0" fontId="55" fillId="0" borderId="13" xfId="0" applyFont="1" applyBorder="1" applyAlignment="1">
      <alignment horizontal="center"/>
    </xf>
    <xf numFmtId="0" fontId="55" fillId="0" borderId="15" xfId="0" applyFont="1" applyBorder="1" applyAlignment="1">
      <alignment horizontal="center"/>
    </xf>
    <xf numFmtId="0" fontId="55" fillId="0" borderId="28" xfId="0" applyFont="1" applyBorder="1" applyAlignment="1">
      <alignment horizontal="center"/>
    </xf>
    <xf numFmtId="0" fontId="61" fillId="0" borderId="0" xfId="0" applyFont="1" applyBorder="1" applyAlignment="1">
      <alignment horizontal="center" wrapText="1"/>
    </xf>
    <xf numFmtId="0" fontId="62" fillId="0" borderId="0" xfId="0" applyFont="1" applyAlignment="1">
      <alignment horizontal="left" vertical="top" wrapText="1"/>
    </xf>
    <xf numFmtId="0" fontId="68" fillId="0" borderId="12" xfId="0" applyFont="1" applyBorder="1" applyAlignment="1">
      <alignment horizontal="left" wrapText="1"/>
    </xf>
    <xf numFmtId="0" fontId="69" fillId="0" borderId="0" xfId="9" applyFont="1" applyBorder="1" applyAlignment="1">
      <alignment horizontal="left"/>
    </xf>
    <xf numFmtId="0" fontId="69" fillId="0" borderId="0" xfId="14" applyFont="1"/>
    <xf numFmtId="0" fontId="70" fillId="0" borderId="0" xfId="14" applyFont="1"/>
    <xf numFmtId="0" fontId="71" fillId="0" borderId="4" xfId="14" applyFont="1" applyFill="1" applyBorder="1" applyAlignment="1">
      <alignment horizontal="center" wrapText="1"/>
    </xf>
    <xf numFmtId="164" fontId="71" fillId="0" borderId="0" xfId="14" applyNumberFormat="1" applyFont="1" applyFill="1" applyBorder="1" applyAlignment="1">
      <alignment horizontal="center" wrapText="1"/>
    </xf>
    <xf numFmtId="0" fontId="70" fillId="0" borderId="29" xfId="9" applyFont="1" applyBorder="1"/>
    <xf numFmtId="0" fontId="70" fillId="0" borderId="30" xfId="9" applyFont="1" applyBorder="1"/>
    <xf numFmtId="0" fontId="72" fillId="0" borderId="0" xfId="14" applyFont="1" applyFill="1" applyBorder="1" applyAlignment="1">
      <alignment wrapText="1"/>
    </xf>
    <xf numFmtId="0" fontId="70" fillId="0" borderId="31" xfId="9" applyFont="1" applyBorder="1"/>
    <xf numFmtId="0" fontId="70" fillId="0" borderId="0" xfId="14" applyFont="1" applyAlignment="1">
      <alignment horizontal="right" vertical="top"/>
    </xf>
    <xf numFmtId="0" fontId="71" fillId="0" borderId="0" xfId="16" applyFont="1"/>
    <xf numFmtId="0" fontId="61" fillId="0" borderId="0" xfId="0" applyFont="1" applyBorder="1" applyAlignment="1">
      <alignment wrapText="1"/>
    </xf>
    <xf numFmtId="0" fontId="68" fillId="0" borderId="0" xfId="0" applyFont="1" applyBorder="1" applyAlignment="1">
      <alignment horizontal="left" wrapText="1"/>
    </xf>
    <xf numFmtId="49" fontId="61" fillId="8" borderId="0" xfId="0" quotePrefix="1" applyNumberFormat="1" applyFont="1" applyFill="1" applyBorder="1" applyAlignment="1">
      <alignment horizontal="center"/>
    </xf>
    <xf numFmtId="0" fontId="61" fillId="8" borderId="14" xfId="0" applyFont="1" applyFill="1" applyBorder="1" applyAlignment="1">
      <alignment horizontal="left" vertical="top" wrapText="1"/>
    </xf>
    <xf numFmtId="3" fontId="61" fillId="8" borderId="0" xfId="0" applyNumberFormat="1" applyFont="1" applyFill="1" applyBorder="1" applyAlignment="1">
      <alignment horizontal="right" vertical="top" wrapText="1"/>
    </xf>
    <xf numFmtId="3" fontId="61" fillId="8" borderId="12" xfId="0" applyNumberFormat="1" applyFont="1" applyFill="1" applyBorder="1" applyAlignment="1">
      <alignment horizontal="right" indent="1"/>
    </xf>
    <xf numFmtId="3" fontId="61" fillId="8" borderId="12" xfId="0" applyNumberFormat="1" applyFont="1" applyFill="1" applyBorder="1" applyAlignment="1">
      <alignment horizontal="center"/>
    </xf>
    <xf numFmtId="0" fontId="61" fillId="0" borderId="28" xfId="0" applyFont="1" applyBorder="1" applyAlignment="1">
      <alignment horizontal="center" wrapText="1"/>
    </xf>
    <xf numFmtId="165" fontId="61" fillId="8" borderId="31" xfId="39" applyNumberFormat="1" applyFont="1" applyFill="1" applyBorder="1" applyAlignment="1">
      <alignment horizontal="center"/>
    </xf>
    <xf numFmtId="165" fontId="62" fillId="0" borderId="30" xfId="39" applyNumberFormat="1" applyFont="1" applyBorder="1" applyAlignment="1">
      <alignment horizontal="center"/>
    </xf>
    <xf numFmtId="165" fontId="62" fillId="0" borderId="30" xfId="0" applyNumberFormat="1" applyFont="1" applyBorder="1" applyAlignment="1">
      <alignment horizontal="center"/>
    </xf>
    <xf numFmtId="165" fontId="62" fillId="0" borderId="30" xfId="39" applyNumberFormat="1" applyFont="1" applyBorder="1" applyAlignment="1">
      <alignment horizontal="center" wrapText="1"/>
    </xf>
    <xf numFmtId="165" fontId="62" fillId="0" borderId="31" xfId="39" applyNumberFormat="1" applyFont="1" applyBorder="1" applyAlignment="1">
      <alignment horizontal="center" wrapText="1"/>
    </xf>
    <xf numFmtId="165" fontId="62" fillId="0" borderId="31" xfId="0" applyNumberFormat="1" applyFont="1" applyBorder="1" applyAlignment="1">
      <alignment horizontal="center"/>
    </xf>
    <xf numFmtId="165" fontId="62" fillId="0" borderId="31" xfId="39" applyNumberFormat="1" applyFont="1" applyBorder="1" applyAlignment="1">
      <alignment horizontal="center"/>
    </xf>
    <xf numFmtId="0" fontId="61" fillId="0" borderId="31" xfId="0" applyFont="1" applyBorder="1" applyAlignment="1">
      <alignment horizontal="center" wrapText="1"/>
    </xf>
    <xf numFmtId="3" fontId="61" fillId="8" borderId="31" xfId="0" applyNumberFormat="1" applyFont="1" applyFill="1" applyBorder="1" applyAlignment="1">
      <alignment horizontal="right" indent="1"/>
    </xf>
    <xf numFmtId="3" fontId="62" fillId="0" borderId="30" xfId="0" applyNumberFormat="1" applyFont="1" applyBorder="1" applyAlignment="1">
      <alignment horizontal="right" indent="1"/>
    </xf>
    <xf numFmtId="3" fontId="62" fillId="0" borderId="31" xfId="0" applyNumberFormat="1" applyFont="1" applyBorder="1" applyAlignment="1">
      <alignment horizontal="right" indent="1"/>
    </xf>
    <xf numFmtId="171" fontId="61" fillId="8" borderId="31" xfId="1" applyNumberFormat="1" applyFont="1" applyFill="1" applyBorder="1" applyAlignment="1">
      <alignment horizontal="right" vertical="top" wrapText="1"/>
    </xf>
    <xf numFmtId="3" fontId="61" fillId="8" borderId="31" xfId="0" applyNumberFormat="1" applyFont="1" applyFill="1" applyBorder="1" applyAlignment="1">
      <alignment horizontal="right" vertical="top" wrapText="1"/>
    </xf>
    <xf numFmtId="171" fontId="62" fillId="0" borderId="30" xfId="1" applyNumberFormat="1" applyFont="1" applyBorder="1" applyAlignment="1">
      <alignment horizontal="right" vertical="top" wrapText="1"/>
    </xf>
    <xf numFmtId="3" fontId="62" fillId="0" borderId="30" xfId="0" applyNumberFormat="1" applyFont="1" applyBorder="1" applyAlignment="1">
      <alignment horizontal="right" vertical="top" wrapText="1"/>
    </xf>
    <xf numFmtId="171" fontId="62" fillId="0" borderId="31" xfId="1" applyNumberFormat="1" applyFont="1" applyBorder="1" applyAlignment="1">
      <alignment horizontal="right" vertical="top" wrapText="1"/>
    </xf>
    <xf numFmtId="3" fontId="62" fillId="0" borderId="31" xfId="0" applyNumberFormat="1" applyFont="1" applyBorder="1" applyAlignment="1">
      <alignment horizontal="right" vertical="top" wrapText="1"/>
    </xf>
    <xf numFmtId="0" fontId="72" fillId="0" borderId="32" xfId="14" applyFont="1" applyFill="1" applyBorder="1" applyAlignment="1">
      <alignment wrapText="1"/>
    </xf>
    <xf numFmtId="0" fontId="73" fillId="0" borderId="0" xfId="0" applyFont="1" applyAlignment="1">
      <alignment wrapText="1"/>
    </xf>
    <xf numFmtId="0" fontId="73" fillId="0" borderId="0" xfId="0" applyFont="1" applyAlignment="1">
      <alignment horizontal="center"/>
    </xf>
    <xf numFmtId="0" fontId="73" fillId="0" borderId="0" xfId="0" applyFont="1"/>
    <xf numFmtId="49" fontId="55" fillId="0" borderId="12" xfId="0" applyNumberFormat="1" applyFont="1" applyBorder="1" applyAlignment="1">
      <alignment horizontal="center"/>
    </xf>
    <xf numFmtId="0" fontId="55" fillId="0" borderId="12" xfId="0" applyFont="1" applyBorder="1" applyAlignment="1">
      <alignment horizontal="left" wrapText="1"/>
    </xf>
    <xf numFmtId="0" fontId="55" fillId="0" borderId="0" xfId="0" applyFont="1" applyBorder="1" applyAlignment="1">
      <alignment horizontal="left" wrapText="1"/>
    </xf>
    <xf numFmtId="49" fontId="55" fillId="8" borderId="14" xfId="0" quotePrefix="1" applyNumberFormat="1" applyFont="1" applyFill="1" applyBorder="1" applyAlignment="1">
      <alignment horizontal="center"/>
    </xf>
    <xf numFmtId="0" fontId="55" fillId="8" borderId="14" xfId="0" applyFont="1" applyFill="1" applyBorder="1" applyAlignment="1">
      <alignment horizontal="left" wrapText="1"/>
    </xf>
    <xf numFmtId="0" fontId="55" fillId="0" borderId="0" xfId="0" applyFont="1" applyFill="1" applyBorder="1" applyAlignment="1">
      <alignment horizontal="left" wrapText="1"/>
    </xf>
    <xf numFmtId="171" fontId="55" fillId="8" borderId="15" xfId="1" applyNumberFormat="1" applyFont="1" applyFill="1" applyBorder="1" applyAlignment="1"/>
    <xf numFmtId="171" fontId="55" fillId="8" borderId="28" xfId="1" applyNumberFormat="1" applyFont="1" applyFill="1" applyBorder="1" applyAlignment="1"/>
    <xf numFmtId="171" fontId="55" fillId="8" borderId="13" xfId="1" applyNumberFormat="1" applyFont="1" applyFill="1" applyBorder="1" applyAlignment="1"/>
    <xf numFmtId="164" fontId="55" fillId="8" borderId="15" xfId="39" applyNumberFormat="1" applyFont="1" applyFill="1" applyBorder="1" applyAlignment="1"/>
    <xf numFmtId="164" fontId="55" fillId="8" borderId="13" xfId="39" applyNumberFormat="1" applyFont="1" applyFill="1" applyBorder="1" applyAlignment="1"/>
    <xf numFmtId="171" fontId="55" fillId="0" borderId="0" xfId="1" applyNumberFormat="1" applyFont="1" applyFill="1" applyAlignment="1"/>
    <xf numFmtId="49" fontId="73" fillId="0" borderId="0" xfId="0" applyNumberFormat="1" applyFont="1" applyBorder="1" applyAlignment="1">
      <alignment horizontal="center"/>
    </xf>
    <xf numFmtId="0" fontId="70" fillId="0" borderId="0" xfId="9" applyFont="1" applyBorder="1"/>
    <xf numFmtId="0" fontId="73" fillId="0" borderId="0" xfId="0" applyFont="1" applyBorder="1"/>
    <xf numFmtId="171" fontId="73" fillId="0" borderId="33" xfId="1" applyNumberFormat="1" applyFont="1" applyBorder="1"/>
    <xf numFmtId="171" fontId="73" fillId="0" borderId="30" xfId="1" applyNumberFormat="1" applyFont="1" applyBorder="1"/>
    <xf numFmtId="171" fontId="73" fillId="0" borderId="34" xfId="1" applyNumberFormat="1" applyFont="1" applyBorder="1"/>
    <xf numFmtId="164" fontId="73" fillId="0" borderId="33" xfId="39" applyNumberFormat="1" applyFont="1" applyBorder="1"/>
    <xf numFmtId="164" fontId="73" fillId="0" borderId="34" xfId="39" applyNumberFormat="1" applyFont="1" applyBorder="1"/>
    <xf numFmtId="171" fontId="73" fillId="0" borderId="0" xfId="1" applyNumberFormat="1" applyFont="1"/>
    <xf numFmtId="164" fontId="73" fillId="0" borderId="0" xfId="39" applyNumberFormat="1" applyFont="1"/>
    <xf numFmtId="49" fontId="73" fillId="0" borderId="12" xfId="0" applyNumberFormat="1" applyFont="1" applyBorder="1" applyAlignment="1">
      <alignment horizontal="center"/>
    </xf>
    <xf numFmtId="0" fontId="70" fillId="0" borderId="12" xfId="9" applyFont="1" applyBorder="1"/>
    <xf numFmtId="0" fontId="73" fillId="0" borderId="12" xfId="0" applyFont="1" applyBorder="1"/>
    <xf numFmtId="171" fontId="73" fillId="0" borderId="35" xfId="1" applyNumberFormat="1" applyFont="1" applyBorder="1"/>
    <xf numFmtId="171" fontId="73" fillId="0" borderId="31" xfId="1" applyNumberFormat="1" applyFont="1" applyBorder="1"/>
    <xf numFmtId="171" fontId="73" fillId="0" borderId="36" xfId="1" applyNumberFormat="1" applyFont="1" applyBorder="1"/>
    <xf numFmtId="164" fontId="73" fillId="0" borderId="35" xfId="39" applyNumberFormat="1" applyFont="1" applyBorder="1"/>
    <xf numFmtId="164" fontId="73" fillId="0" borderId="36" xfId="39" applyNumberFormat="1" applyFont="1" applyBorder="1"/>
    <xf numFmtId="49" fontId="73" fillId="0" borderId="0" xfId="0" applyNumberFormat="1" applyFont="1" applyAlignment="1">
      <alignment horizontal="left"/>
    </xf>
    <xf numFmtId="0" fontId="73" fillId="0" borderId="0" xfId="0" applyFont="1" applyAlignment="1">
      <alignment horizontal="left" vertical="top" wrapText="1"/>
    </xf>
    <xf numFmtId="0" fontId="70" fillId="0" borderId="0" xfId="0" applyFont="1" applyBorder="1" applyAlignment="1">
      <alignment vertical="top" wrapText="1"/>
    </xf>
    <xf numFmtId="0" fontId="66" fillId="0" borderId="0" xfId="4" applyFont="1" applyFill="1" applyBorder="1" applyAlignment="1" applyProtection="1">
      <alignment wrapText="1"/>
    </xf>
    <xf numFmtId="0" fontId="69" fillId="0" borderId="0" xfId="19" applyFont="1" applyAlignment="1">
      <alignment vertical="top"/>
    </xf>
    <xf numFmtId="0" fontId="54" fillId="0" borderId="0" xfId="15" applyFont="1"/>
    <xf numFmtId="0" fontId="71" fillId="0" borderId="1" xfId="29" applyFont="1" applyFill="1" applyBorder="1" applyAlignment="1"/>
    <xf numFmtId="0" fontId="57" fillId="0" borderId="0" xfId="0" applyFont="1" applyBorder="1" applyAlignment="1">
      <alignment horizontal="center" wrapText="1"/>
    </xf>
    <xf numFmtId="0" fontId="57" fillId="0" borderId="0" xfId="0" applyFont="1" applyBorder="1" applyAlignment="1">
      <alignment wrapText="1"/>
    </xf>
    <xf numFmtId="0" fontId="71" fillId="0" borderId="1" xfId="37" applyFont="1" applyFill="1" applyBorder="1" applyAlignment="1"/>
    <xf numFmtId="0" fontId="57" fillId="0" borderId="0" xfId="0" applyFont="1" applyAlignment="1">
      <alignment wrapText="1"/>
    </xf>
    <xf numFmtId="0" fontId="74" fillId="9" borderId="0" xfId="0" applyFont="1" applyFill="1" applyAlignment="1">
      <alignment wrapText="1"/>
    </xf>
    <xf numFmtId="9" fontId="56" fillId="0" borderId="0" xfId="0" applyNumberFormat="1" applyFont="1" applyFill="1" applyBorder="1"/>
    <xf numFmtId="0" fontId="56" fillId="0" borderId="0" xfId="0" applyFont="1" applyFill="1" applyBorder="1" applyAlignment="1">
      <alignment horizontal="right" indent="1"/>
    </xf>
    <xf numFmtId="3" fontId="56" fillId="0" borderId="0" xfId="0" applyNumberFormat="1" applyFont="1" applyFill="1" applyBorder="1" applyAlignment="1">
      <alignment horizontal="right" indent="1"/>
    </xf>
    <xf numFmtId="0" fontId="75" fillId="0" borderId="0" xfId="0" applyFont="1"/>
    <xf numFmtId="3" fontId="75" fillId="0" borderId="0" xfId="0" applyNumberFormat="1" applyFont="1"/>
    <xf numFmtId="9" fontId="75" fillId="0" borderId="0" xfId="39" applyFont="1"/>
    <xf numFmtId="171" fontId="75" fillId="0" borderId="0" xfId="1" applyNumberFormat="1" applyFont="1"/>
    <xf numFmtId="0" fontId="57" fillId="0" borderId="0" xfId="0" applyFont="1" applyFill="1" applyBorder="1" applyAlignment="1">
      <alignment horizontal="center"/>
    </xf>
    <xf numFmtId="9" fontId="56" fillId="0" borderId="23" xfId="39" applyFont="1" applyBorder="1" applyAlignment="1">
      <alignment horizontal="right" indent="1"/>
    </xf>
    <xf numFmtId="0" fontId="59" fillId="0" borderId="0" xfId="0" applyFont="1" applyBorder="1" applyAlignment="1">
      <alignment vertical="top" wrapText="1"/>
    </xf>
    <xf numFmtId="0" fontId="59" fillId="0" borderId="0" xfId="0" applyFont="1" applyAlignment="1">
      <alignment vertical="top"/>
    </xf>
    <xf numFmtId="0" fontId="59" fillId="0" borderId="0" xfId="0" applyFont="1" applyFill="1" applyBorder="1" applyAlignment="1">
      <alignment vertical="top" wrapText="1"/>
    </xf>
    <xf numFmtId="3" fontId="56" fillId="0" borderId="106" xfId="0" applyNumberFormat="1" applyFont="1" applyFill="1" applyBorder="1" applyAlignment="1">
      <alignment horizontal="center"/>
    </xf>
    <xf numFmtId="3" fontId="56" fillId="0" borderId="107" xfId="0" applyNumberFormat="1" applyFont="1" applyFill="1" applyBorder="1" applyAlignment="1">
      <alignment horizontal="center"/>
    </xf>
    <xf numFmtId="3" fontId="56" fillId="0" borderId="108" xfId="0" applyNumberFormat="1" applyFont="1" applyFill="1" applyBorder="1" applyAlignment="1">
      <alignment horizontal="center"/>
    </xf>
    <xf numFmtId="0" fontId="24" fillId="0" borderId="0" xfId="0" applyNumberFormat="1" applyFont="1" applyBorder="1" applyAlignment="1">
      <alignment horizontal="center"/>
    </xf>
    <xf numFmtId="0" fontId="24" fillId="0" borderId="0" xfId="0" applyNumberFormat="1" applyFont="1" applyBorder="1"/>
    <xf numFmtId="3" fontId="24" fillId="0" borderId="0" xfId="0" applyNumberFormat="1" applyFont="1" applyFill="1" applyBorder="1" applyAlignment="1" applyProtection="1">
      <alignment vertical="center"/>
    </xf>
    <xf numFmtId="173" fontId="24" fillId="0" borderId="0" xfId="0" applyNumberFormat="1" applyFont="1" applyFill="1" applyBorder="1" applyAlignment="1" applyProtection="1">
      <alignment horizontal="center" vertical="center"/>
    </xf>
    <xf numFmtId="164" fontId="26" fillId="6" borderId="19" xfId="39" applyNumberFormat="1" applyFont="1" applyFill="1" applyBorder="1" applyAlignment="1" applyProtection="1">
      <alignment horizontal="center" vertical="center"/>
    </xf>
    <xf numFmtId="164" fontId="24" fillId="0" borderId="22" xfId="39" applyNumberFormat="1" applyFont="1" applyFill="1" applyBorder="1" applyAlignment="1" applyProtection="1">
      <alignment horizontal="center" vertical="center"/>
    </xf>
    <xf numFmtId="164" fontId="24" fillId="0" borderId="24" xfId="39" applyNumberFormat="1" applyFont="1" applyFill="1" applyBorder="1" applyAlignment="1" applyProtection="1">
      <alignment horizontal="center" vertical="center"/>
    </xf>
    <xf numFmtId="164" fontId="24" fillId="0" borderId="23" xfId="39" applyNumberFormat="1" applyFont="1" applyFill="1" applyBorder="1" applyAlignment="1" applyProtection="1">
      <alignment horizontal="center" vertical="center"/>
    </xf>
    <xf numFmtId="164" fontId="24" fillId="0" borderId="25" xfId="39" applyNumberFormat="1" applyFont="1" applyFill="1" applyBorder="1" applyAlignment="1" applyProtection="1">
      <alignment horizontal="center" vertical="center"/>
    </xf>
    <xf numFmtId="164" fontId="24" fillId="0" borderId="27" xfId="39" applyNumberFormat="1" applyFont="1" applyFill="1" applyBorder="1" applyAlignment="1" applyProtection="1">
      <alignment horizontal="center" vertical="center"/>
    </xf>
    <xf numFmtId="164" fontId="24" fillId="0" borderId="26" xfId="39" applyNumberFormat="1" applyFont="1" applyFill="1" applyBorder="1" applyAlignment="1" applyProtection="1">
      <alignment horizontal="center" vertical="center"/>
    </xf>
    <xf numFmtId="174" fontId="24" fillId="0" borderId="22" xfId="0" applyNumberFormat="1" applyFont="1" applyFill="1" applyBorder="1" applyAlignment="1" applyProtection="1">
      <alignment vertical="center"/>
      <protection locked="0"/>
    </xf>
    <xf numFmtId="3" fontId="24" fillId="0" borderId="23" xfId="0" applyNumberFormat="1" applyFont="1" applyFill="1" applyBorder="1" applyAlignment="1" applyProtection="1">
      <alignment vertical="center"/>
    </xf>
    <xf numFmtId="174" fontId="24" fillId="0" borderId="23" xfId="0" applyNumberFormat="1" applyFont="1" applyFill="1" applyBorder="1" applyAlignment="1" applyProtection="1">
      <alignment vertical="center"/>
    </xf>
    <xf numFmtId="172" fontId="24" fillId="0" borderId="18" xfId="0" applyNumberFormat="1" applyFont="1" applyFill="1" applyBorder="1" applyAlignment="1" applyProtection="1">
      <alignment horizontal="center" vertical="center"/>
    </xf>
    <xf numFmtId="3" fontId="26" fillId="6" borderId="19" xfId="0" applyNumberFormat="1" applyFont="1" applyFill="1" applyBorder="1" applyAlignment="1" applyProtection="1">
      <alignment vertical="center"/>
    </xf>
    <xf numFmtId="3" fontId="26" fillId="6" borderId="20" xfId="0" applyNumberFormat="1" applyFont="1" applyFill="1" applyBorder="1" applyAlignment="1" applyProtection="1">
      <alignment vertical="center"/>
    </xf>
    <xf numFmtId="3" fontId="26" fillId="6" borderId="21" xfId="0" applyNumberFormat="1" applyFont="1" applyFill="1" applyBorder="1" applyAlignment="1" applyProtection="1">
      <alignment vertical="center"/>
    </xf>
    <xf numFmtId="0" fontId="56" fillId="0" borderId="0" xfId="0" applyFont="1" applyBorder="1" applyAlignment="1">
      <alignment vertical="top"/>
    </xf>
    <xf numFmtId="0" fontId="56" fillId="0" borderId="0" xfId="0" applyFont="1" applyBorder="1" applyAlignment="1">
      <alignment vertical="top" wrapText="1"/>
    </xf>
    <xf numFmtId="0" fontId="57" fillId="0" borderId="0" xfId="0" applyFont="1" applyBorder="1" applyAlignment="1">
      <alignment vertical="top"/>
    </xf>
    <xf numFmtId="171" fontId="73" fillId="0" borderId="0" xfId="1" applyNumberFormat="1" applyFont="1" applyBorder="1"/>
    <xf numFmtId="164" fontId="73" fillId="0" borderId="0" xfId="39" applyNumberFormat="1" applyFont="1" applyBorder="1"/>
    <xf numFmtId="49" fontId="55" fillId="0" borderId="0" xfId="0" applyNumberFormat="1" applyFont="1" applyBorder="1" applyAlignment="1">
      <alignment horizontal="center"/>
    </xf>
    <xf numFmtId="0" fontId="56" fillId="0" borderId="0" xfId="0" applyFont="1" applyFill="1" applyBorder="1" applyAlignment="1">
      <alignment horizontal="center"/>
    </xf>
    <xf numFmtId="164" fontId="56" fillId="0" borderId="0" xfId="39" applyNumberFormat="1" applyFont="1" applyFill="1" applyBorder="1" applyAlignment="1">
      <alignment horizontal="center"/>
    </xf>
    <xf numFmtId="164" fontId="56" fillId="0" borderId="0" xfId="0" applyNumberFormat="1" applyFont="1" applyFill="1" applyBorder="1" applyAlignment="1">
      <alignment horizontal="center"/>
    </xf>
    <xf numFmtId="0" fontId="54" fillId="0" borderId="0" xfId="0" applyFont="1" applyAlignment="1"/>
    <xf numFmtId="0" fontId="76" fillId="0" borderId="0" xfId="0" applyFont="1" applyBorder="1" applyAlignment="1">
      <alignment vertical="top" wrapText="1"/>
    </xf>
    <xf numFmtId="177" fontId="77" fillId="0" borderId="0" xfId="0" applyNumberFormat="1" applyFont="1" applyBorder="1" applyAlignment="1">
      <alignment vertical="center"/>
    </xf>
    <xf numFmtId="0" fontId="68" fillId="0" borderId="0" xfId="0" applyFont="1" applyBorder="1" applyAlignment="1">
      <alignment horizontal="left"/>
    </xf>
    <xf numFmtId="0" fontId="63" fillId="0" borderId="0" xfId="0" applyFont="1" applyAlignment="1">
      <alignment horizontal="left"/>
    </xf>
    <xf numFmtId="0" fontId="71" fillId="0" borderId="0" xfId="16" applyFont="1" applyBorder="1" applyAlignment="1">
      <alignment horizontal="center"/>
    </xf>
    <xf numFmtId="0" fontId="54" fillId="0" borderId="0" xfId="0" applyFont="1" applyBorder="1" applyAlignment="1">
      <alignment horizontal="center"/>
    </xf>
    <xf numFmtId="0" fontId="75" fillId="0" borderId="23" xfId="0" applyFont="1" applyBorder="1"/>
    <xf numFmtId="0" fontId="62" fillId="0" borderId="0" xfId="0" applyFont="1" applyAlignment="1">
      <alignment horizontal="left" vertical="top" wrapText="1"/>
    </xf>
    <xf numFmtId="0" fontId="68" fillId="0" borderId="0" xfId="0" applyFont="1" applyBorder="1" applyAlignment="1">
      <alignment horizontal="left" wrapText="1"/>
    </xf>
    <xf numFmtId="174" fontId="24" fillId="0" borderId="30" xfId="0" applyNumberFormat="1" applyFont="1" applyFill="1" applyBorder="1" applyAlignment="1" applyProtection="1">
      <alignment vertical="center"/>
      <protection locked="0"/>
    </xf>
    <xf numFmtId="165" fontId="62" fillId="0" borderId="30" xfId="39" applyNumberFormat="1" applyFont="1" applyBorder="1" applyAlignment="1">
      <alignment horizontal="center" wrapText="1"/>
    </xf>
    <xf numFmtId="165" fontId="62" fillId="0" borderId="30" xfId="0" applyNumberFormat="1" applyFont="1" applyBorder="1" applyAlignment="1">
      <alignment horizontal="center"/>
    </xf>
    <xf numFmtId="165" fontId="62" fillId="0" borderId="30" xfId="39" applyNumberFormat="1" applyFont="1" applyBorder="1" applyAlignment="1">
      <alignment horizontal="center"/>
    </xf>
    <xf numFmtId="3" fontId="56" fillId="0" borderId="22" xfId="0" applyNumberFormat="1" applyFont="1" applyFill="1" applyBorder="1" applyAlignment="1">
      <alignment horizontal="right" indent="1"/>
    </xf>
    <xf numFmtId="0" fontId="32" fillId="0" borderId="0" xfId="0" applyFont="1"/>
    <xf numFmtId="0" fontId="8" fillId="0" borderId="0" xfId="0" applyFont="1"/>
    <xf numFmtId="0" fontId="78" fillId="0" borderId="0" xfId="0" applyFont="1"/>
    <xf numFmtId="9" fontId="56" fillId="10" borderId="109" xfId="39" applyFont="1" applyFill="1" applyBorder="1" applyAlignment="1">
      <alignment horizontal="center"/>
    </xf>
    <xf numFmtId="9" fontId="56" fillId="10" borderId="110" xfId="39" applyFont="1" applyFill="1" applyBorder="1" applyAlignment="1">
      <alignment horizontal="center"/>
    </xf>
    <xf numFmtId="9" fontId="56" fillId="10" borderId="111" xfId="39" applyFont="1" applyFill="1" applyBorder="1" applyAlignment="1">
      <alignment horizontal="center"/>
    </xf>
    <xf numFmtId="0" fontId="56" fillId="12" borderId="23" xfId="0" applyFont="1" applyFill="1" applyBorder="1"/>
    <xf numFmtId="0" fontId="64" fillId="6" borderId="19" xfId="0" applyFont="1" applyFill="1" applyBorder="1" applyAlignment="1">
      <alignment horizontal="center"/>
    </xf>
    <xf numFmtId="0" fontId="64" fillId="6" borderId="21" xfId="0" applyFont="1" applyFill="1" applyBorder="1" applyAlignment="1">
      <alignment horizontal="center"/>
    </xf>
    <xf numFmtId="0" fontId="64" fillId="6" borderId="28" xfId="0" applyFont="1" applyFill="1" applyBorder="1" applyAlignment="1">
      <alignment horizontal="center"/>
    </xf>
    <xf numFmtId="0" fontId="64" fillId="13" borderId="40" xfId="0" applyFont="1" applyFill="1" applyBorder="1" applyAlignment="1"/>
    <xf numFmtId="171" fontId="57" fillId="13" borderId="16" xfId="1" applyNumberFormat="1" applyFont="1" applyFill="1" applyBorder="1" applyAlignment="1"/>
    <xf numFmtId="171" fontId="57" fillId="12" borderId="30" xfId="1" applyNumberFormat="1" applyFont="1" applyFill="1" applyBorder="1"/>
    <xf numFmtId="171" fontId="56" fillId="0" borderId="22" xfId="1" applyNumberFormat="1" applyFont="1" applyBorder="1" applyAlignment="1"/>
    <xf numFmtId="171" fontId="56" fillId="0" borderId="22" xfId="1" applyNumberFormat="1" applyFont="1" applyBorder="1"/>
    <xf numFmtId="0" fontId="56" fillId="14" borderId="0" xfId="0" quotePrefix="1" applyFont="1" applyFill="1" applyAlignment="1">
      <alignment horizontal="left"/>
    </xf>
    <xf numFmtId="0" fontId="56" fillId="14" borderId="0" xfId="0" quotePrefix="1" applyFont="1" applyFill="1" applyAlignment="1"/>
    <xf numFmtId="0" fontId="56" fillId="14" borderId="0" xfId="0" applyFont="1" applyFill="1" applyAlignment="1">
      <alignment horizontal="center"/>
    </xf>
    <xf numFmtId="0" fontId="64" fillId="14" borderId="28" xfId="0" applyFont="1" applyFill="1" applyBorder="1" applyAlignment="1"/>
    <xf numFmtId="0" fontId="64" fillId="14" borderId="28" xfId="0" quotePrefix="1" applyFont="1" applyFill="1" applyBorder="1" applyAlignment="1">
      <alignment horizontal="left"/>
    </xf>
    <xf numFmtId="0" fontId="56" fillId="0" borderId="34" xfId="0" applyFont="1" applyFill="1" applyBorder="1" applyAlignment="1">
      <alignment horizontal="left"/>
    </xf>
    <xf numFmtId="164" fontId="56" fillId="0" borderId="113" xfId="39" applyNumberFormat="1" applyFont="1" applyFill="1" applyBorder="1"/>
    <xf numFmtId="164" fontId="80" fillId="0" borderId="113" xfId="39" applyNumberFormat="1" applyFont="1" applyFill="1" applyBorder="1"/>
    <xf numFmtId="0" fontId="56" fillId="0" borderId="114" xfId="0" applyFont="1" applyFill="1" applyBorder="1" applyAlignment="1">
      <alignment horizontal="right" indent="1"/>
    </xf>
    <xf numFmtId="0" fontId="56" fillId="16" borderId="34" xfId="0" applyFont="1" applyFill="1" applyBorder="1" applyAlignment="1">
      <alignment horizontal="left" indent="1"/>
    </xf>
    <xf numFmtId="0" fontId="56" fillId="0" borderId="34" xfId="0" applyFont="1" applyBorder="1" applyAlignment="1">
      <alignment horizontal="left" indent="1"/>
    </xf>
    <xf numFmtId="0" fontId="64" fillId="6" borderId="15" xfId="0" applyFont="1" applyFill="1" applyBorder="1" applyAlignment="1">
      <alignment horizontal="center"/>
    </xf>
    <xf numFmtId="0" fontId="64" fillId="13" borderId="41" xfId="0" applyFont="1" applyFill="1" applyBorder="1" applyAlignment="1"/>
    <xf numFmtId="0" fontId="56" fillId="12" borderId="33" xfId="0" applyFont="1" applyFill="1" applyBorder="1"/>
    <xf numFmtId="9" fontId="56" fillId="0" borderId="33" xfId="39" applyFont="1" applyBorder="1" applyAlignment="1">
      <alignment horizontal="right" indent="1"/>
    </xf>
    <xf numFmtId="0" fontId="57" fillId="17" borderId="116" xfId="0" applyFont="1" applyFill="1" applyBorder="1" applyAlignment="1">
      <alignment horizontal="center"/>
    </xf>
    <xf numFmtId="164" fontId="56" fillId="0" borderId="23" xfId="39" applyNumberFormat="1" applyFont="1" applyBorder="1" applyAlignment="1">
      <alignment horizontal="center"/>
    </xf>
    <xf numFmtId="164" fontId="56" fillId="16" borderId="23" xfId="39" applyNumberFormat="1" applyFont="1" applyFill="1" applyBorder="1" applyAlignment="1">
      <alignment horizontal="center"/>
    </xf>
    <xf numFmtId="0" fontId="57" fillId="17" borderId="19" xfId="0" applyFont="1" applyFill="1" applyBorder="1" applyAlignment="1">
      <alignment horizontal="center"/>
    </xf>
    <xf numFmtId="0" fontId="57" fillId="17" borderId="21" xfId="0" applyFont="1" applyFill="1" applyBorder="1" applyAlignment="1">
      <alignment horizontal="center"/>
    </xf>
    <xf numFmtId="0" fontId="57" fillId="17" borderId="117" xfId="0" applyFont="1" applyFill="1" applyBorder="1" applyAlignment="1">
      <alignment horizontal="center"/>
    </xf>
    <xf numFmtId="0" fontId="57" fillId="17" borderId="118" xfId="0" applyFont="1" applyFill="1" applyBorder="1" applyAlignment="1">
      <alignment horizontal="center"/>
    </xf>
    <xf numFmtId="164" fontId="56" fillId="0" borderId="30" xfId="39" applyNumberFormat="1" applyFont="1" applyBorder="1" applyAlignment="1">
      <alignment horizontal="center"/>
    </xf>
    <xf numFmtId="164" fontId="56" fillId="0" borderId="30" xfId="0" applyNumberFormat="1" applyFont="1" applyBorder="1" applyAlignment="1">
      <alignment horizontal="center"/>
    </xf>
    <xf numFmtId="164" fontId="56" fillId="16" borderId="30" xfId="39" applyNumberFormat="1" applyFont="1" applyFill="1" applyBorder="1" applyAlignment="1">
      <alignment horizontal="center"/>
    </xf>
    <xf numFmtId="164" fontId="56" fillId="16" borderId="30" xfId="0" applyNumberFormat="1" applyFont="1" applyFill="1" applyBorder="1" applyAlignment="1">
      <alignment horizontal="center"/>
    </xf>
    <xf numFmtId="0" fontId="57" fillId="17" borderId="119" xfId="0" applyFont="1" applyFill="1" applyBorder="1" applyAlignment="1">
      <alignment horizontal="center"/>
    </xf>
    <xf numFmtId="37" fontId="56" fillId="0" borderId="22" xfId="1" applyNumberFormat="1" applyFont="1" applyBorder="1" applyAlignment="1">
      <alignment horizontal="center"/>
    </xf>
    <xf numFmtId="37" fontId="56" fillId="16" borderId="22" xfId="1" applyNumberFormat="1" applyFont="1" applyFill="1" applyBorder="1" applyAlignment="1">
      <alignment horizontal="center"/>
    </xf>
    <xf numFmtId="0" fontId="57" fillId="19" borderId="120" xfId="0" applyFont="1" applyFill="1" applyBorder="1" applyAlignment="1">
      <alignment horizontal="center"/>
    </xf>
    <xf numFmtId="0" fontId="57" fillId="19" borderId="121" xfId="0" applyFont="1" applyFill="1" applyBorder="1" applyAlignment="1">
      <alignment horizontal="center"/>
    </xf>
    <xf numFmtId="0" fontId="57" fillId="19" borderId="122" xfId="0" applyFont="1" applyFill="1" applyBorder="1" applyAlignment="1">
      <alignment horizontal="center"/>
    </xf>
    <xf numFmtId="167" fontId="59" fillId="9" borderId="23" xfId="0" applyNumberFormat="1" applyFont="1" applyFill="1" applyBorder="1"/>
    <xf numFmtId="9" fontId="59" fillId="0" borderId="27" xfId="39" applyFont="1" applyFill="1" applyBorder="1"/>
    <xf numFmtId="9" fontId="59" fillId="0" borderId="26" xfId="39" applyFont="1" applyFill="1" applyBorder="1"/>
    <xf numFmtId="0" fontId="72" fillId="0" borderId="0" xfId="16" applyFont="1"/>
    <xf numFmtId="0" fontId="54" fillId="0" borderId="19" xfId="0" applyFont="1" applyBorder="1"/>
    <xf numFmtId="0" fontId="54" fillId="0" borderId="20" xfId="0" applyFont="1" applyBorder="1"/>
    <xf numFmtId="0" fontId="54" fillId="0" borderId="42" xfId="0" applyFont="1" applyBorder="1"/>
    <xf numFmtId="0" fontId="54" fillId="0" borderId="21" xfId="0" applyFont="1" applyBorder="1"/>
    <xf numFmtId="0" fontId="71" fillId="6" borderId="0" xfId="16" quotePrefix="1" applyFont="1" applyFill="1"/>
    <xf numFmtId="0" fontId="71" fillId="6" borderId="43" xfId="16" applyFont="1" applyFill="1" applyBorder="1" applyAlignment="1">
      <alignment wrapText="1"/>
    </xf>
    <xf numFmtId="164" fontId="75" fillId="8" borderId="22" xfId="39" applyNumberFormat="1" applyFont="1" applyFill="1" applyBorder="1"/>
    <xf numFmtId="164" fontId="75" fillId="8" borderId="24" xfId="39" applyNumberFormat="1" applyFont="1" applyFill="1" applyBorder="1"/>
    <xf numFmtId="164" fontId="75" fillId="8" borderId="44" xfId="39" applyNumberFormat="1" applyFont="1" applyFill="1" applyBorder="1"/>
    <xf numFmtId="0" fontId="72" fillId="0" borderId="1" xfId="16" applyFont="1" applyFill="1" applyBorder="1" applyAlignment="1">
      <alignment wrapText="1"/>
    </xf>
    <xf numFmtId="0" fontId="72" fillId="0" borderId="11" xfId="16" applyFont="1" applyFill="1" applyBorder="1" applyAlignment="1">
      <alignment wrapText="1"/>
    </xf>
    <xf numFmtId="171" fontId="75" fillId="0" borderId="22" xfId="1" applyNumberFormat="1" applyFont="1" applyBorder="1"/>
    <xf numFmtId="171" fontId="75" fillId="0" borderId="24" xfId="1" applyNumberFormat="1" applyFont="1" applyBorder="1"/>
    <xf numFmtId="171" fontId="75" fillId="0" borderId="44" xfId="1" applyNumberFormat="1" applyFont="1" applyBorder="1"/>
    <xf numFmtId="164" fontId="75" fillId="0" borderId="22" xfId="39" applyNumberFormat="1" applyFont="1" applyBorder="1"/>
    <xf numFmtId="164" fontId="75" fillId="0" borderId="24" xfId="39" applyNumberFormat="1" applyFont="1" applyBorder="1"/>
    <xf numFmtId="164" fontId="75" fillId="0" borderId="44" xfId="39" applyNumberFormat="1" applyFont="1" applyBorder="1"/>
    <xf numFmtId="0" fontId="72" fillId="0" borderId="0" xfId="16" applyFont="1" applyFill="1" applyBorder="1" applyAlignment="1">
      <alignment wrapText="1"/>
    </xf>
    <xf numFmtId="0" fontId="71" fillId="0" borderId="0" xfId="16" applyFont="1" applyFill="1" applyBorder="1" applyAlignment="1">
      <alignment wrapText="1"/>
    </xf>
    <xf numFmtId="0" fontId="81" fillId="0" borderId="0" xfId="14" applyFont="1"/>
    <xf numFmtId="0" fontId="81" fillId="0" borderId="0" xfId="14" applyFont="1" applyAlignment="1">
      <alignment horizontal="right" vertical="top"/>
    </xf>
    <xf numFmtId="0" fontId="82" fillId="0" borderId="0" xfId="4" applyFont="1" applyAlignment="1" applyProtection="1"/>
    <xf numFmtId="0" fontId="71" fillId="0" borderId="4" xfId="14" applyFont="1" applyFill="1" applyBorder="1" applyAlignment="1">
      <alignment horizontal="right" wrapText="1" indent="1"/>
    </xf>
    <xf numFmtId="0" fontId="71" fillId="0" borderId="46" xfId="14" applyFont="1" applyFill="1" applyBorder="1" applyAlignment="1">
      <alignment horizontal="center" wrapText="1"/>
    </xf>
    <xf numFmtId="0" fontId="71" fillId="0" borderId="47" xfId="14" applyFont="1" applyFill="1" applyBorder="1" applyAlignment="1">
      <alignment horizontal="center" wrapText="1"/>
    </xf>
    <xf numFmtId="0" fontId="71" fillId="0" borderId="48" xfId="14" applyFont="1" applyFill="1" applyBorder="1" applyAlignment="1">
      <alignment horizontal="center" wrapText="1"/>
    </xf>
    <xf numFmtId="0" fontId="71" fillId="0" borderId="49" xfId="14" quotePrefix="1" applyFont="1" applyFill="1" applyBorder="1" applyAlignment="1">
      <alignment horizontal="center" wrapText="1"/>
    </xf>
    <xf numFmtId="0" fontId="71" fillId="0" borderId="50" xfId="14" quotePrefix="1" applyFont="1" applyFill="1" applyBorder="1" applyAlignment="1">
      <alignment horizontal="center" wrapText="1"/>
    </xf>
    <xf numFmtId="0" fontId="71" fillId="0" borderId="48" xfId="14" applyFont="1" applyFill="1" applyBorder="1" applyAlignment="1">
      <alignment horizontal="center" wrapText="1"/>
    </xf>
    <xf numFmtId="0" fontId="71" fillId="0" borderId="46" xfId="14" applyFont="1" applyFill="1" applyBorder="1" applyAlignment="1">
      <alignment horizontal="center" wrapText="1"/>
    </xf>
    <xf numFmtId="0" fontId="71" fillId="0" borderId="47" xfId="14" applyFont="1" applyFill="1" applyBorder="1" applyAlignment="1">
      <alignment horizontal="center" wrapText="1"/>
    </xf>
    <xf numFmtId="0" fontId="71" fillId="0" borderId="51" xfId="14" applyFont="1" applyFill="1" applyBorder="1" applyAlignment="1">
      <alignment horizontal="center" wrapText="1"/>
    </xf>
    <xf numFmtId="0" fontId="71" fillId="0" borderId="52" xfId="14" applyFont="1" applyFill="1" applyBorder="1" applyAlignment="1">
      <alignment horizontal="center" wrapText="1"/>
    </xf>
    <xf numFmtId="0" fontId="72" fillId="0" borderId="0" xfId="14" applyFont="1" applyFill="1" applyBorder="1" applyAlignment="1">
      <alignment horizontal="right" wrapText="1" indent="1"/>
    </xf>
    <xf numFmtId="0" fontId="81" fillId="0" borderId="29" xfId="9" applyFont="1" applyBorder="1"/>
    <xf numFmtId="164" fontId="72" fillId="0" borderId="22" xfId="39" applyNumberFormat="1" applyFont="1" applyFill="1" applyBorder="1" applyAlignment="1">
      <alignment wrapText="1"/>
    </xf>
    <xf numFmtId="164" fontId="72" fillId="0" borderId="53" xfId="14" applyNumberFormat="1" applyFont="1" applyFill="1" applyBorder="1" applyAlignment="1">
      <alignment horizontal="center" wrapText="1"/>
    </xf>
    <xf numFmtId="164" fontId="72" fillId="0" borderId="24" xfId="14" applyNumberFormat="1" applyFont="1" applyFill="1" applyBorder="1" applyAlignment="1">
      <alignment horizontal="center" wrapText="1"/>
    </xf>
    <xf numFmtId="164" fontId="72" fillId="0" borderId="23" xfId="14" applyNumberFormat="1" applyFont="1" applyFill="1" applyBorder="1" applyAlignment="1">
      <alignment horizontal="center" wrapText="1"/>
    </xf>
    <xf numFmtId="164" fontId="72" fillId="0" borderId="30" xfId="14" applyNumberFormat="1" applyFont="1" applyFill="1" applyBorder="1" applyAlignment="1">
      <alignment horizontal="center" wrapText="1"/>
    </xf>
    <xf numFmtId="171" fontId="72" fillId="0" borderId="54" xfId="1" applyNumberFormat="1" applyFont="1" applyFill="1" applyBorder="1" applyAlignment="1">
      <alignment wrapText="1"/>
    </xf>
    <xf numFmtId="171" fontId="72" fillId="0" borderId="55" xfId="1" applyNumberFormat="1" applyFont="1" applyFill="1" applyBorder="1" applyAlignment="1">
      <alignment wrapText="1"/>
    </xf>
    <xf numFmtId="3" fontId="72" fillId="0" borderId="54" xfId="14" applyNumberFormat="1" applyFont="1" applyFill="1" applyBorder="1" applyAlignment="1">
      <alignment horizontal="right" wrapText="1"/>
    </xf>
    <xf numFmtId="3" fontId="72" fillId="0" borderId="55" xfId="14" applyNumberFormat="1" applyFont="1" applyFill="1" applyBorder="1" applyAlignment="1">
      <alignment horizontal="right" wrapText="1"/>
    </xf>
    <xf numFmtId="3" fontId="72" fillId="0" borderId="56" xfId="14" applyNumberFormat="1" applyFont="1" applyFill="1" applyBorder="1" applyAlignment="1">
      <alignment horizontal="right" wrapText="1"/>
    </xf>
    <xf numFmtId="3" fontId="72" fillId="0" borderId="22" xfId="14" applyNumberFormat="1" applyFont="1" applyFill="1" applyBorder="1" applyAlignment="1">
      <alignment horizontal="right" wrapText="1"/>
    </xf>
    <xf numFmtId="3" fontId="72" fillId="0" borderId="24" xfId="14" applyNumberFormat="1" applyFont="1" applyFill="1" applyBorder="1" applyAlignment="1">
      <alignment horizontal="right" wrapText="1"/>
    </xf>
    <xf numFmtId="171" fontId="81" fillId="0" borderId="22" xfId="1" applyNumberFormat="1" applyFont="1" applyBorder="1"/>
    <xf numFmtId="3" fontId="75" fillId="0" borderId="24" xfId="0" applyNumberFormat="1" applyFont="1" applyBorder="1"/>
    <xf numFmtId="0" fontId="81" fillId="0" borderId="30" xfId="9" applyFont="1" applyBorder="1"/>
    <xf numFmtId="171" fontId="72" fillId="0" borderId="22" xfId="1" applyNumberFormat="1" applyFont="1" applyFill="1" applyBorder="1" applyAlignment="1">
      <alignment wrapText="1"/>
    </xf>
    <xf numFmtId="171" fontId="72" fillId="0" borderId="24" xfId="1" applyNumberFormat="1" applyFont="1" applyFill="1" applyBorder="1" applyAlignment="1">
      <alignment wrapText="1"/>
    </xf>
    <xf numFmtId="3" fontId="72" fillId="0" borderId="53" xfId="14" applyNumberFormat="1" applyFont="1" applyFill="1" applyBorder="1" applyAlignment="1">
      <alignment horizontal="right" wrapText="1"/>
    </xf>
    <xf numFmtId="0" fontId="81" fillId="0" borderId="30" xfId="9" applyFont="1" applyBorder="1" applyAlignment="1">
      <alignment wrapText="1"/>
    </xf>
    <xf numFmtId="0" fontId="72" fillId="0" borderId="12" xfId="14" applyFont="1" applyFill="1" applyBorder="1" applyAlignment="1">
      <alignment horizontal="right" wrapText="1" indent="1"/>
    </xf>
    <xf numFmtId="0" fontId="81" fillId="0" borderId="31" xfId="9" applyFont="1" applyBorder="1"/>
    <xf numFmtId="0" fontId="72" fillId="0" borderId="12" xfId="14" applyFont="1" applyFill="1" applyBorder="1" applyAlignment="1">
      <alignment wrapText="1"/>
    </xf>
    <xf numFmtId="164" fontId="72" fillId="0" borderId="25" xfId="39" applyNumberFormat="1" applyFont="1" applyFill="1" applyBorder="1" applyAlignment="1">
      <alignment wrapText="1"/>
    </xf>
    <xf numFmtId="164" fontId="72" fillId="0" borderId="57" xfId="14" applyNumberFormat="1" applyFont="1" applyFill="1" applyBorder="1" applyAlignment="1">
      <alignment horizontal="center" wrapText="1"/>
    </xf>
    <xf numFmtId="164" fontId="72" fillId="0" borderId="27" xfId="14" applyNumberFormat="1" applyFont="1" applyFill="1" applyBorder="1" applyAlignment="1">
      <alignment horizontal="center" wrapText="1"/>
    </xf>
    <xf numFmtId="164" fontId="72" fillId="0" borderId="26" xfId="14" applyNumberFormat="1" applyFont="1" applyFill="1" applyBorder="1" applyAlignment="1">
      <alignment horizontal="center" wrapText="1"/>
    </xf>
    <xf numFmtId="164" fontId="72" fillId="0" borderId="31" xfId="14" applyNumberFormat="1" applyFont="1" applyFill="1" applyBorder="1" applyAlignment="1">
      <alignment horizontal="center" wrapText="1"/>
    </xf>
    <xf numFmtId="0" fontId="81" fillId="0" borderId="0" xfId="9" applyFont="1" applyBorder="1"/>
    <xf numFmtId="164" fontId="72" fillId="0" borderId="0" xfId="14" applyNumberFormat="1" applyFont="1" applyFill="1" applyBorder="1" applyAlignment="1">
      <alignment horizontal="center" wrapText="1"/>
    </xf>
    <xf numFmtId="3" fontId="72" fillId="0" borderId="0" xfId="14" applyNumberFormat="1" applyFont="1" applyFill="1" applyBorder="1" applyAlignment="1">
      <alignment horizontal="right" wrapText="1"/>
    </xf>
    <xf numFmtId="3" fontId="71" fillId="0" borderId="0" xfId="14" applyNumberFormat="1" applyFont="1" applyFill="1" applyBorder="1" applyAlignment="1">
      <alignment horizontal="right" wrapText="1"/>
    </xf>
    <xf numFmtId="0" fontId="72" fillId="0" borderId="0" xfId="14" applyFont="1" applyFill="1" applyBorder="1" applyAlignment="1">
      <alignment horizontal="right" wrapText="1"/>
    </xf>
    <xf numFmtId="164" fontId="72" fillId="0" borderId="22" xfId="14" applyNumberFormat="1" applyFont="1" applyFill="1" applyBorder="1" applyAlignment="1">
      <alignment horizontal="center" wrapText="1"/>
    </xf>
    <xf numFmtId="3" fontId="72" fillId="0" borderId="22" xfId="14" applyNumberFormat="1" applyFont="1" applyFill="1" applyBorder="1" applyAlignment="1">
      <alignment horizontal="right" wrapText="1"/>
    </xf>
    <xf numFmtId="3" fontId="81" fillId="0" borderId="0" xfId="14" applyNumberFormat="1" applyFont="1"/>
    <xf numFmtId="0" fontId="71" fillId="0" borderId="0" xfId="11" applyFont="1" applyFill="1" applyBorder="1" applyAlignment="1">
      <alignment horizontal="center"/>
    </xf>
    <xf numFmtId="164" fontId="71" fillId="6" borderId="38" xfId="16" applyNumberFormat="1" applyFont="1" applyFill="1" applyBorder="1" applyAlignment="1">
      <alignment wrapText="1"/>
    </xf>
    <xf numFmtId="164" fontId="71" fillId="0" borderId="0" xfId="16" applyNumberFormat="1" applyFont="1" applyFill="1" applyBorder="1" applyAlignment="1">
      <alignment wrapText="1"/>
    </xf>
    <xf numFmtId="3" fontId="71" fillId="6" borderId="38" xfId="16" applyNumberFormat="1" applyFont="1" applyFill="1" applyBorder="1" applyAlignment="1">
      <alignment wrapText="1"/>
    </xf>
    <xf numFmtId="0" fontId="71" fillId="0" borderId="58" xfId="16" applyFont="1" applyFill="1" applyBorder="1" applyAlignment="1">
      <alignment horizontal="center"/>
    </xf>
    <xf numFmtId="0" fontId="71" fillId="0" borderId="58" xfId="11" applyFont="1" applyFill="1" applyBorder="1" applyAlignment="1">
      <alignment horizontal="center"/>
    </xf>
    <xf numFmtId="0" fontId="71" fillId="0" borderId="59" xfId="11" applyFont="1" applyFill="1" applyBorder="1" applyAlignment="1">
      <alignment horizontal="center"/>
    </xf>
    <xf numFmtId="175" fontId="71" fillId="0" borderId="58" xfId="1" applyNumberFormat="1" applyFont="1" applyFill="1" applyBorder="1" applyAlignment="1">
      <alignment horizontal="center"/>
    </xf>
    <xf numFmtId="175" fontId="71" fillId="0" borderId="59" xfId="1" applyNumberFormat="1" applyFont="1" applyFill="1" applyBorder="1" applyAlignment="1">
      <alignment horizontal="center"/>
    </xf>
    <xf numFmtId="164" fontId="71" fillId="6" borderId="60" xfId="16" applyNumberFormat="1" applyFont="1" applyFill="1" applyBorder="1" applyAlignment="1">
      <alignment wrapText="1"/>
    </xf>
    <xf numFmtId="164" fontId="71" fillId="6" borderId="61" xfId="16" applyNumberFormat="1" applyFont="1" applyFill="1" applyBorder="1" applyAlignment="1">
      <alignment wrapText="1"/>
    </xf>
    <xf numFmtId="3" fontId="71" fillId="6" borderId="60" xfId="16" applyNumberFormat="1" applyFont="1" applyFill="1" applyBorder="1" applyAlignment="1">
      <alignment wrapText="1"/>
    </xf>
    <xf numFmtId="3" fontId="71" fillId="6" borderId="61" xfId="16" applyNumberFormat="1" applyFont="1" applyFill="1" applyBorder="1"/>
    <xf numFmtId="164" fontId="72" fillId="0" borderId="60" xfId="16" applyNumberFormat="1" applyFont="1" applyFill="1" applyBorder="1" applyAlignment="1">
      <alignment wrapText="1"/>
    </xf>
    <xf numFmtId="164" fontId="72" fillId="0" borderId="61" xfId="16" applyNumberFormat="1" applyFont="1" applyFill="1" applyBorder="1" applyAlignment="1">
      <alignment wrapText="1"/>
    </xf>
    <xf numFmtId="164" fontId="72" fillId="0" borderId="32" xfId="16" applyNumberFormat="1" applyFont="1" applyFill="1" applyBorder="1" applyAlignment="1">
      <alignment wrapText="1"/>
    </xf>
    <xf numFmtId="3" fontId="72" fillId="0" borderId="60" xfId="16" applyNumberFormat="1" applyFont="1" applyFill="1" applyBorder="1" applyAlignment="1">
      <alignment wrapText="1"/>
    </xf>
    <xf numFmtId="3" fontId="72" fillId="0" borderId="62" xfId="0" applyNumberFormat="1" applyFont="1" applyFill="1" applyBorder="1" applyAlignment="1">
      <alignment horizontal="right" wrapText="1"/>
    </xf>
    <xf numFmtId="0" fontId="75" fillId="0" borderId="0" xfId="0" applyFont="1" applyBorder="1"/>
    <xf numFmtId="0" fontId="72" fillId="0" borderId="60" xfId="16" applyNumberFormat="1" applyFont="1" applyFill="1" applyBorder="1" applyAlignment="1">
      <alignment wrapText="1"/>
    </xf>
    <xf numFmtId="164" fontId="72" fillId="0" borderId="63" xfId="16" applyNumberFormat="1" applyFont="1" applyFill="1" applyBorder="1" applyAlignment="1">
      <alignment wrapText="1"/>
    </xf>
    <xf numFmtId="3" fontId="72" fillId="0" borderId="63" xfId="16" applyNumberFormat="1" applyFont="1" applyFill="1" applyBorder="1" applyAlignment="1">
      <alignment wrapText="1"/>
    </xf>
    <xf numFmtId="3" fontId="81" fillId="0" borderId="106" xfId="14" applyNumberFormat="1" applyFont="1" applyBorder="1"/>
    <xf numFmtId="3" fontId="81" fillId="0" borderId="107" xfId="14" applyNumberFormat="1" applyFont="1" applyBorder="1"/>
    <xf numFmtId="164" fontId="72" fillId="0" borderId="37" xfId="39" applyNumberFormat="1" applyFont="1" applyBorder="1"/>
    <xf numFmtId="164" fontId="72" fillId="0" borderId="38" xfId="39" applyNumberFormat="1" applyFont="1" applyBorder="1"/>
    <xf numFmtId="164" fontId="72" fillId="0" borderId="61" xfId="39" applyNumberFormat="1" applyFont="1" applyFill="1" applyBorder="1" applyAlignment="1">
      <alignment wrapText="1"/>
    </xf>
    <xf numFmtId="0" fontId="72" fillId="0" borderId="65" xfId="16" applyFont="1" applyFill="1" applyBorder="1" applyAlignment="1">
      <alignment wrapText="1"/>
    </xf>
    <xf numFmtId="0" fontId="72" fillId="0" borderId="66" xfId="16" applyFont="1" applyFill="1" applyBorder="1" applyAlignment="1">
      <alignment wrapText="1"/>
    </xf>
    <xf numFmtId="164" fontId="72" fillId="0" borderId="67" xfId="16" applyNumberFormat="1" applyFont="1" applyFill="1" applyBorder="1" applyAlignment="1">
      <alignment wrapText="1"/>
    </xf>
    <xf numFmtId="164" fontId="72" fillId="0" borderId="37" xfId="39" applyNumberFormat="1" applyFont="1" applyBorder="1"/>
    <xf numFmtId="0" fontId="71" fillId="0" borderId="40" xfId="16" applyFont="1" applyFill="1" applyBorder="1" applyAlignment="1">
      <alignment wrapText="1"/>
    </xf>
    <xf numFmtId="0" fontId="72" fillId="0" borderId="40" xfId="16" applyFont="1" applyFill="1" applyBorder="1" applyAlignment="1">
      <alignment wrapText="1"/>
    </xf>
    <xf numFmtId="164" fontId="72" fillId="0" borderId="40" xfId="16" applyNumberFormat="1" applyFont="1" applyFill="1" applyBorder="1" applyAlignment="1">
      <alignment wrapText="1"/>
    </xf>
    <xf numFmtId="3" fontId="72" fillId="0" borderId="40" xfId="16" applyNumberFormat="1" applyFont="1" applyFill="1" applyBorder="1" applyAlignment="1">
      <alignment wrapText="1"/>
    </xf>
    <xf numFmtId="3" fontId="72" fillId="0" borderId="40" xfId="0" applyNumberFormat="1" applyFont="1" applyFill="1" applyBorder="1" applyAlignment="1">
      <alignment horizontal="right" wrapText="1"/>
    </xf>
    <xf numFmtId="0" fontId="81" fillId="0" borderId="0" xfId="19" applyFont="1" applyAlignment="1">
      <alignment vertical="top"/>
    </xf>
    <xf numFmtId="0" fontId="81" fillId="0" borderId="0" xfId="19" applyFont="1" applyFill="1" applyAlignment="1">
      <alignment vertical="top"/>
    </xf>
    <xf numFmtId="0" fontId="81" fillId="0" borderId="0" xfId="19" applyFont="1" applyAlignment="1"/>
    <xf numFmtId="49" fontId="83" fillId="0" borderId="124" xfId="19" applyNumberFormat="1" applyFont="1" applyBorder="1" applyAlignment="1">
      <alignment wrapText="1"/>
    </xf>
    <xf numFmtId="0" fontId="69" fillId="0" borderId="0" xfId="19" applyFont="1" applyAlignment="1">
      <alignment horizontal="center"/>
    </xf>
    <xf numFmtId="170" fontId="84" fillId="0" borderId="0" xfId="19" applyNumberFormat="1" applyFont="1" applyAlignment="1">
      <alignment horizontal="left" vertical="top" wrapText="1"/>
    </xf>
    <xf numFmtId="0" fontId="81" fillId="0" borderId="0" xfId="14" applyFont="1" applyFill="1" applyBorder="1" applyAlignment="1">
      <alignment horizontal="left" vertical="top" wrapText="1"/>
    </xf>
    <xf numFmtId="0" fontId="81" fillId="0" borderId="0" xfId="14" applyFont="1" applyAlignment="1"/>
    <xf numFmtId="0" fontId="75" fillId="0" borderId="0" xfId="0" applyFont="1" applyAlignment="1">
      <alignment horizontal="left" vertical="top" wrapText="1"/>
    </xf>
    <xf numFmtId="0" fontId="71" fillId="0" borderId="2" xfId="16" applyFont="1" applyFill="1" applyBorder="1" applyAlignment="1">
      <alignment horizontal="left"/>
    </xf>
    <xf numFmtId="0" fontId="71" fillId="0" borderId="6" xfId="16" applyFont="1" applyFill="1" applyBorder="1" applyAlignment="1">
      <alignment horizontal="left"/>
    </xf>
    <xf numFmtId="0" fontId="81" fillId="0" borderId="0" xfId="0" applyFont="1" applyFill="1" applyBorder="1" applyAlignment="1">
      <alignment wrapText="1"/>
    </xf>
    <xf numFmtId="0" fontId="69" fillId="0" borderId="0" xfId="0" applyFont="1" applyBorder="1"/>
    <xf numFmtId="49" fontId="81" fillId="0" borderId="0" xfId="0" applyNumberFormat="1" applyFont="1" applyFill="1" applyBorder="1" applyAlignment="1">
      <alignment horizontal="left"/>
    </xf>
    <xf numFmtId="0" fontId="69" fillId="0" borderId="0" xfId="0" applyFont="1" applyFill="1" applyBorder="1" applyAlignment="1">
      <alignment wrapText="1"/>
    </xf>
    <xf numFmtId="0" fontId="75" fillId="0" borderId="0" xfId="0" applyFont="1" applyAlignment="1">
      <alignment horizontal="center"/>
    </xf>
    <xf numFmtId="0" fontId="69" fillId="0" borderId="0" xfId="0" applyFont="1" applyFill="1" applyBorder="1" applyAlignment="1">
      <alignment horizontal="center" wrapText="1"/>
    </xf>
    <xf numFmtId="0" fontId="81" fillId="0" borderId="0" xfId="0" applyFont="1" applyFill="1" applyBorder="1" applyAlignment="1">
      <alignment horizontal="center" wrapText="1"/>
    </xf>
    <xf numFmtId="49" fontId="69" fillId="0" borderId="0" xfId="0" applyNumberFormat="1" applyFont="1" applyBorder="1" applyAlignment="1">
      <alignment horizontal="center"/>
    </xf>
    <xf numFmtId="49" fontId="69" fillId="0" borderId="0" xfId="0" applyNumberFormat="1" applyFont="1" applyBorder="1"/>
    <xf numFmtId="49" fontId="69" fillId="0" borderId="0" xfId="0" applyNumberFormat="1" applyFont="1" applyBorder="1" applyAlignment="1">
      <alignment horizontal="center" wrapText="1"/>
    </xf>
    <xf numFmtId="49" fontId="75" fillId="0" borderId="0" xfId="0" applyNumberFormat="1" applyFont="1" applyBorder="1" applyAlignment="1">
      <alignment horizontal="center"/>
    </xf>
    <xf numFmtId="0" fontId="75" fillId="0" borderId="0" xfId="0" applyFont="1" applyBorder="1" applyAlignment="1">
      <alignment horizontal="center"/>
    </xf>
    <xf numFmtId="0" fontId="75" fillId="0" borderId="0" xfId="0" applyFont="1" applyFill="1" applyAlignment="1">
      <alignment horizontal="center"/>
    </xf>
    <xf numFmtId="0" fontId="75" fillId="0" borderId="0" xfId="0" applyFont="1" applyAlignment="1">
      <alignment horizontal="left"/>
    </xf>
    <xf numFmtId="0" fontId="71" fillId="0" borderId="12" xfId="14" applyFont="1" applyFill="1" applyBorder="1" applyAlignment="1">
      <alignment horizontal="left" wrapText="1"/>
    </xf>
    <xf numFmtId="49" fontId="81" fillId="0" borderId="0" xfId="0" applyNumberFormat="1" applyFont="1" applyFill="1" applyBorder="1" applyAlignment="1">
      <alignment horizontal="center"/>
    </xf>
    <xf numFmtId="49" fontId="84" fillId="0" borderId="0" xfId="0" applyNumberFormat="1" applyFont="1" applyFill="1" applyBorder="1" applyAlignment="1">
      <alignment wrapText="1"/>
    </xf>
    <xf numFmtId="49" fontId="81" fillId="0" borderId="0" xfId="0" quotePrefix="1" applyNumberFormat="1" applyFont="1" applyFill="1" applyBorder="1" applyAlignment="1">
      <alignment horizontal="center"/>
    </xf>
    <xf numFmtId="0" fontId="75" fillId="0" borderId="0" xfId="15" applyFont="1"/>
    <xf numFmtId="0" fontId="54" fillId="0" borderId="28" xfId="15" applyFont="1" applyBorder="1" applyAlignment="1">
      <alignment horizontal="center" wrapText="1"/>
    </xf>
    <xf numFmtId="0" fontId="75" fillId="0" borderId="0" xfId="15" applyFont="1" applyAlignment="1">
      <alignment horizontal="center" wrapText="1"/>
    </xf>
    <xf numFmtId="3" fontId="54" fillId="20" borderId="28" xfId="15" applyNumberFormat="1" applyFont="1" applyFill="1" applyBorder="1" applyAlignment="1">
      <alignment horizontal="right" vertical="top"/>
    </xf>
    <xf numFmtId="3" fontId="54" fillId="11" borderId="28" xfId="15" applyNumberFormat="1" applyFont="1" applyFill="1" applyBorder="1" applyAlignment="1">
      <alignment horizontal="right" vertical="top"/>
    </xf>
    <xf numFmtId="0" fontId="54" fillId="0" borderId="28" xfId="15" applyFont="1" applyBorder="1"/>
    <xf numFmtId="0" fontId="54" fillId="0" borderId="28" xfId="15" applyFont="1" applyBorder="1" applyAlignment="1">
      <alignment horizontal="left" wrapText="1"/>
    </xf>
    <xf numFmtId="0" fontId="75" fillId="0" borderId="29" xfId="15" applyFont="1" applyBorder="1"/>
    <xf numFmtId="0" fontId="75" fillId="0" borderId="30" xfId="15" applyFont="1" applyBorder="1"/>
    <xf numFmtId="0" fontId="75" fillId="0" borderId="31" xfId="15" applyFont="1" applyBorder="1"/>
    <xf numFmtId="0" fontId="75" fillId="0" borderId="29" xfId="15" applyFont="1" applyFill="1" applyBorder="1" applyAlignment="1">
      <alignment vertical="top"/>
    </xf>
    <xf numFmtId="0" fontId="75" fillId="0" borderId="30" xfId="15" applyFont="1" applyFill="1" applyBorder="1" applyAlignment="1">
      <alignment vertical="top"/>
    </xf>
    <xf numFmtId="0" fontId="75" fillId="0" borderId="31" xfId="15" applyFont="1" applyFill="1" applyBorder="1" applyAlignment="1">
      <alignment vertical="top"/>
    </xf>
    <xf numFmtId="3" fontId="75" fillId="0" borderId="29" xfId="15" applyNumberFormat="1" applyFont="1" applyFill="1" applyBorder="1" applyAlignment="1">
      <alignment horizontal="right" vertical="top"/>
    </xf>
    <xf numFmtId="171" fontId="75" fillId="0" borderId="29" xfId="1" applyNumberFormat="1" applyFont="1" applyFill="1" applyBorder="1"/>
    <xf numFmtId="3" fontId="75" fillId="0" borderId="30" xfId="15" applyNumberFormat="1" applyFont="1" applyFill="1" applyBorder="1" applyAlignment="1">
      <alignment horizontal="right" vertical="top"/>
    </xf>
    <xf numFmtId="171" fontId="75" fillId="0" borderId="30" xfId="1" applyNumberFormat="1" applyFont="1" applyFill="1" applyBorder="1"/>
    <xf numFmtId="3" fontId="75" fillId="0" borderId="31" xfId="15" applyNumberFormat="1" applyFont="1" applyFill="1" applyBorder="1" applyAlignment="1">
      <alignment horizontal="right" vertical="top"/>
    </xf>
    <xf numFmtId="3" fontId="54" fillId="0" borderId="28" xfId="15" applyNumberFormat="1" applyFont="1" applyFill="1" applyBorder="1" applyAlignment="1">
      <alignment horizontal="right" vertical="top"/>
    </xf>
    <xf numFmtId="0" fontId="75" fillId="0" borderId="29" xfId="15" applyFont="1" applyBorder="1" applyAlignment="1">
      <alignment horizontal="center"/>
    </xf>
    <xf numFmtId="3" fontId="75" fillId="0" borderId="29" xfId="15" applyNumberFormat="1" applyFont="1" applyBorder="1"/>
    <xf numFmtId="0" fontId="75" fillId="0" borderId="30" xfId="15" applyFont="1" applyBorder="1" applyAlignment="1">
      <alignment horizontal="center"/>
    </xf>
    <xf numFmtId="3" fontId="75" fillId="0" borderId="30" xfId="15" applyNumberFormat="1" applyFont="1" applyBorder="1"/>
    <xf numFmtId="0" fontId="75" fillId="0" borderId="31" xfId="15" applyFont="1" applyBorder="1" applyAlignment="1">
      <alignment horizontal="center"/>
    </xf>
    <xf numFmtId="3" fontId="75" fillId="0" borderId="31" xfId="15" applyNumberFormat="1" applyFont="1" applyBorder="1"/>
    <xf numFmtId="0" fontId="54" fillId="0" borderId="28" xfId="15" applyFont="1" applyBorder="1" applyAlignment="1">
      <alignment horizontal="center"/>
    </xf>
    <xf numFmtId="0" fontId="54" fillId="0" borderId="28" xfId="15" applyFont="1" applyFill="1" applyBorder="1" applyAlignment="1">
      <alignment horizontal="center" wrapText="1"/>
    </xf>
    <xf numFmtId="3" fontId="54" fillId="6" borderId="28" xfId="15" applyNumberFormat="1" applyFont="1" applyFill="1" applyBorder="1" applyAlignment="1">
      <alignment horizontal="right" vertical="top"/>
    </xf>
    <xf numFmtId="3" fontId="54" fillId="6" borderId="28" xfId="15" applyNumberFormat="1" applyFont="1" applyFill="1" applyBorder="1"/>
    <xf numFmtId="0" fontId="75" fillId="0" borderId="28" xfId="15" quotePrefix="1" applyFont="1" applyBorder="1" applyAlignment="1">
      <alignment horizontal="center"/>
    </xf>
    <xf numFmtId="0" fontId="75" fillId="0" borderId="0" xfId="15" applyFont="1" applyAlignment="1">
      <alignment horizontal="left" wrapText="1"/>
    </xf>
    <xf numFmtId="0" fontId="68" fillId="0" borderId="0" xfId="9" applyFont="1" applyBorder="1" applyAlignment="1">
      <alignment wrapText="1"/>
    </xf>
    <xf numFmtId="0" fontId="63" fillId="0" borderId="0" xfId="9" applyFont="1"/>
    <xf numFmtId="0" fontId="68" fillId="0" borderId="0" xfId="9" applyFont="1" applyBorder="1" applyAlignment="1">
      <alignment horizontal="left" wrapText="1"/>
    </xf>
    <xf numFmtId="0" fontId="68" fillId="0" borderId="12" xfId="9" applyFont="1" applyBorder="1" applyAlignment="1">
      <alignment horizontal="left" wrapText="1"/>
    </xf>
    <xf numFmtId="0" fontId="68" fillId="0" borderId="12" xfId="9" applyFont="1" applyBorder="1" applyAlignment="1">
      <alignment wrapText="1"/>
    </xf>
    <xf numFmtId="0" fontId="63" fillId="0" borderId="0" xfId="9" applyFont="1" applyAlignment="1">
      <alignment wrapText="1"/>
    </xf>
    <xf numFmtId="0" fontId="68" fillId="0" borderId="0" xfId="9" applyFont="1" applyBorder="1" applyAlignment="1">
      <alignment horizontal="center"/>
    </xf>
    <xf numFmtId="49" fontId="68" fillId="0" borderId="12" xfId="9" applyNumberFormat="1" applyFont="1" applyBorder="1" applyAlignment="1">
      <alignment horizontal="center"/>
    </xf>
    <xf numFmtId="0" fontId="68" fillId="0" borderId="12" xfId="9" applyFont="1" applyBorder="1" applyAlignment="1">
      <alignment horizontal="left" wrapText="1"/>
    </xf>
    <xf numFmtId="0" fontId="68" fillId="0" borderId="12" xfId="9" applyFont="1" applyBorder="1" applyAlignment="1">
      <alignment horizontal="center" wrapText="1"/>
    </xf>
    <xf numFmtId="49" fontId="68" fillId="6" borderId="0" xfId="9" quotePrefix="1" applyNumberFormat="1" applyFont="1" applyFill="1" applyAlignment="1">
      <alignment horizontal="center"/>
    </xf>
    <xf numFmtId="0" fontId="68" fillId="6" borderId="0" xfId="9" applyFont="1" applyFill="1" applyAlignment="1">
      <alignment horizontal="left" wrapText="1"/>
    </xf>
    <xf numFmtId="3" fontId="68" fillId="6" borderId="0" xfId="9" applyNumberFormat="1" applyFont="1" applyFill="1" applyAlignment="1">
      <alignment horizontal="right" indent="1"/>
    </xf>
    <xf numFmtId="3" fontId="68" fillId="6" borderId="0" xfId="9" applyNumberFormat="1" applyFont="1" applyFill="1" applyAlignment="1">
      <alignment horizontal="right" indent="2"/>
    </xf>
    <xf numFmtId="9" fontId="68" fillId="6" borderId="0" xfId="9" applyNumberFormat="1" applyFont="1" applyFill="1" applyAlignment="1">
      <alignment horizontal="right" wrapText="1" indent="1"/>
    </xf>
    <xf numFmtId="49" fontId="63" fillId="0" borderId="0" xfId="9" applyNumberFormat="1" applyFont="1" applyAlignment="1">
      <alignment horizontal="center"/>
    </xf>
    <xf numFmtId="0" fontId="63" fillId="0" borderId="0" xfId="9" applyFont="1" applyAlignment="1">
      <alignment horizontal="left" wrapText="1"/>
    </xf>
    <xf numFmtId="0" fontId="33" fillId="0" borderId="0" xfId="32" applyFont="1" applyFill="1" applyBorder="1" applyAlignment="1">
      <alignment wrapText="1"/>
    </xf>
    <xf numFmtId="3" fontId="63" fillId="0" borderId="0" xfId="9" applyNumberFormat="1" applyFont="1" applyAlignment="1">
      <alignment horizontal="right" indent="1"/>
    </xf>
    <xf numFmtId="3" fontId="63" fillId="0" borderId="0" xfId="9" applyNumberFormat="1" applyFont="1" applyAlignment="1">
      <alignment horizontal="right" indent="2"/>
    </xf>
    <xf numFmtId="9" fontId="63" fillId="0" borderId="0" xfId="9" applyNumberFormat="1" applyFont="1" applyAlignment="1">
      <alignment horizontal="right" wrapText="1" indent="1"/>
    </xf>
    <xf numFmtId="49" fontId="28" fillId="0" borderId="0" xfId="9" applyNumberFormat="1" applyFont="1" applyAlignment="1">
      <alignment horizontal="center"/>
    </xf>
    <xf numFmtId="165" fontId="33" fillId="0" borderId="0" xfId="14" applyNumberFormat="1" applyFont="1" applyFill="1" applyBorder="1" applyAlignment="1">
      <alignment horizontal="left" wrapText="1"/>
    </xf>
    <xf numFmtId="49" fontId="63" fillId="0" borderId="12" xfId="9" applyNumberFormat="1" applyFont="1" applyBorder="1" applyAlignment="1">
      <alignment horizontal="center"/>
    </xf>
    <xf numFmtId="0" fontId="63" fillId="0" borderId="12" xfId="9" applyFont="1" applyBorder="1" applyAlignment="1">
      <alignment horizontal="left" wrapText="1"/>
    </xf>
    <xf numFmtId="3" fontId="63" fillId="0" borderId="12" xfId="9" applyNumberFormat="1" applyFont="1" applyBorder="1" applyAlignment="1">
      <alignment horizontal="right" indent="2"/>
    </xf>
    <xf numFmtId="0" fontId="28" fillId="0" borderId="0" xfId="9" applyFont="1" applyAlignment="1">
      <alignment horizontal="right" vertical="top"/>
    </xf>
    <xf numFmtId="0" fontId="34" fillId="0" borderId="0" xfId="4" applyFont="1" applyAlignment="1" applyProtection="1"/>
    <xf numFmtId="0" fontId="28" fillId="0" borderId="0" xfId="9" applyFont="1" applyBorder="1"/>
    <xf numFmtId="0" fontId="68" fillId="0" borderId="0" xfId="9" applyFont="1" applyAlignment="1">
      <alignment horizontal="left" vertical="top" wrapText="1"/>
    </xf>
    <xf numFmtId="165" fontId="33" fillId="0" borderId="12" xfId="14" applyNumberFormat="1" applyFont="1" applyFill="1" applyBorder="1" applyAlignment="1">
      <alignment horizontal="left" wrapText="1"/>
    </xf>
    <xf numFmtId="0" fontId="54" fillId="0" borderId="28" xfId="15" applyFont="1" applyBorder="1" applyAlignment="1">
      <alignment horizontal="left" wrapText="1"/>
    </xf>
    <xf numFmtId="0" fontId="54" fillId="6" borderId="28" xfId="15" applyFont="1" applyFill="1" applyBorder="1" applyAlignment="1">
      <alignment horizontal="center" wrapText="1"/>
    </xf>
    <xf numFmtId="0" fontId="75" fillId="0" borderId="29" xfId="15" applyFont="1" applyFill="1" applyBorder="1" applyAlignment="1">
      <alignment vertical="top"/>
    </xf>
    <xf numFmtId="0" fontId="75" fillId="0" borderId="30" xfId="15" applyFont="1" applyFill="1" applyBorder="1" applyAlignment="1">
      <alignment vertical="top"/>
    </xf>
    <xf numFmtId="0" fontId="54" fillId="6" borderId="28" xfId="15" applyFont="1" applyFill="1" applyBorder="1" applyAlignment="1">
      <alignment horizontal="left" wrapText="1"/>
    </xf>
    <xf numFmtId="0" fontId="54" fillId="6" borderId="28" xfId="15" applyFont="1" applyFill="1" applyBorder="1" applyAlignment="1">
      <alignment horizontal="center"/>
    </xf>
    <xf numFmtId="49" fontId="84" fillId="0" borderId="0" xfId="19" applyNumberFormat="1" applyFont="1" applyFill="1" applyBorder="1" applyAlignment="1">
      <alignment vertical="top" wrapText="1"/>
    </xf>
    <xf numFmtId="49" fontId="84" fillId="0" borderId="125" xfId="19" applyNumberFormat="1" applyFont="1" applyFill="1" applyBorder="1" applyAlignment="1">
      <alignment vertical="top" wrapText="1"/>
    </xf>
    <xf numFmtId="3" fontId="81" fillId="0" borderId="0" xfId="19" applyNumberFormat="1" applyFont="1" applyBorder="1" applyAlignment="1">
      <alignment vertical="top"/>
    </xf>
    <xf numFmtId="0" fontId="81" fillId="0" borderId="0" xfId="19" applyFont="1" applyBorder="1" applyAlignment="1">
      <alignment vertical="top"/>
    </xf>
    <xf numFmtId="49" fontId="83" fillId="0" borderId="0" xfId="19" applyNumberFormat="1" applyFont="1" applyBorder="1" applyAlignment="1">
      <alignment wrapText="1"/>
    </xf>
    <xf numFmtId="0" fontId="81" fillId="0" borderId="0" xfId="19" applyFont="1" applyBorder="1" applyAlignment="1">
      <alignment horizontal="center" vertical="top"/>
    </xf>
    <xf numFmtId="0" fontId="71" fillId="0" borderId="4" xfId="14" applyFont="1" applyFill="1" applyBorder="1" applyAlignment="1">
      <alignment horizontal="left" wrapText="1"/>
    </xf>
    <xf numFmtId="0" fontId="81" fillId="0" borderId="0" xfId="14" applyFont="1" applyFill="1" applyBorder="1" applyAlignment="1">
      <alignment vertical="top" wrapText="1"/>
    </xf>
    <xf numFmtId="0" fontId="54" fillId="7" borderId="0" xfId="0" applyFont="1" applyFill="1" applyAlignment="1">
      <alignment horizontal="left"/>
    </xf>
    <xf numFmtId="0" fontId="54" fillId="7" borderId="0" xfId="0" applyFont="1" applyFill="1"/>
    <xf numFmtId="9" fontId="54" fillId="13" borderId="0" xfId="39" applyFont="1" applyFill="1"/>
    <xf numFmtId="0" fontId="54" fillId="0" borderId="34" xfId="0" applyFont="1" applyBorder="1"/>
    <xf numFmtId="3" fontId="54" fillId="7" borderId="34" xfId="0" applyNumberFormat="1" applyFont="1" applyFill="1" applyBorder="1"/>
    <xf numFmtId="3" fontId="54" fillId="7" borderId="0" xfId="0" applyNumberFormat="1" applyFont="1" applyFill="1" applyBorder="1"/>
    <xf numFmtId="3" fontId="54" fillId="7" borderId="33" xfId="0" applyNumberFormat="1" applyFont="1" applyFill="1" applyBorder="1"/>
    <xf numFmtId="3" fontId="75" fillId="0" borderId="34" xfId="0" applyNumberFormat="1" applyFont="1" applyBorder="1"/>
    <xf numFmtId="3" fontId="75" fillId="0" borderId="0" xfId="0" applyNumberFormat="1" applyFont="1" applyBorder="1"/>
    <xf numFmtId="3" fontId="75" fillId="0" borderId="33" xfId="0" applyNumberFormat="1" applyFont="1" applyBorder="1"/>
    <xf numFmtId="9" fontId="54" fillId="7" borderId="34" xfId="39" applyFont="1" applyFill="1" applyBorder="1"/>
    <xf numFmtId="9" fontId="54" fillId="7" borderId="0" xfId="39" applyFont="1" applyFill="1" applyBorder="1"/>
    <xf numFmtId="9" fontId="54" fillId="7" borderId="33" xfId="39" applyFont="1" applyFill="1" applyBorder="1"/>
    <xf numFmtId="9" fontId="75" fillId="0" borderId="34" xfId="39" applyFont="1" applyBorder="1"/>
    <xf numFmtId="9" fontId="75" fillId="0" borderId="0" xfId="39" applyFont="1" applyBorder="1"/>
    <xf numFmtId="9" fontId="75" fillId="0" borderId="33" xfId="39" applyFont="1" applyBorder="1"/>
    <xf numFmtId="0" fontId="72" fillId="0" borderId="40" xfId="16" applyFont="1" applyBorder="1"/>
    <xf numFmtId="0" fontId="72" fillId="0" borderId="0" xfId="14" applyFont="1" applyFill="1" applyBorder="1" applyAlignment="1">
      <alignment horizontal="left" wrapText="1"/>
    </xf>
    <xf numFmtId="0" fontId="54" fillId="6" borderId="28" xfId="15" applyFont="1" applyFill="1" applyBorder="1" applyAlignment="1">
      <alignment horizontal="left"/>
    </xf>
    <xf numFmtId="0" fontId="54" fillId="6" borderId="28" xfId="15" applyFont="1" applyFill="1" applyBorder="1" applyAlignment="1">
      <alignment horizontal="left" wrapText="1"/>
    </xf>
    <xf numFmtId="0" fontId="54" fillId="0" borderId="28" xfId="15" applyFont="1" applyFill="1" applyBorder="1" applyAlignment="1">
      <alignment vertical="top"/>
    </xf>
    <xf numFmtId="0" fontId="75" fillId="0" borderId="30" xfId="15" applyFont="1" applyBorder="1" applyAlignment="1">
      <alignment horizontal="center"/>
    </xf>
    <xf numFmtId="0" fontId="75" fillId="0" borderId="30" xfId="15" applyFont="1" applyFill="1" applyBorder="1" applyAlignment="1">
      <alignment vertical="top"/>
    </xf>
    <xf numFmtId="3" fontId="75" fillId="0" borderId="30" xfId="15" applyNumberFormat="1" applyFont="1" applyFill="1" applyBorder="1" applyAlignment="1">
      <alignment horizontal="right" vertical="top"/>
    </xf>
    <xf numFmtId="3" fontId="75" fillId="0" borderId="30" xfId="15" applyNumberFormat="1" applyFont="1" applyFill="1" applyBorder="1"/>
    <xf numFmtId="0" fontId="75" fillId="0" borderId="0" xfId="15" applyFont="1" applyBorder="1"/>
    <xf numFmtId="0" fontId="54" fillId="0" borderId="28" xfId="15" applyFont="1" applyBorder="1" applyAlignment="1">
      <alignment horizontal="center"/>
    </xf>
    <xf numFmtId="0" fontId="54" fillId="0" borderId="28" xfId="15" applyFont="1" applyFill="1" applyBorder="1" applyAlignment="1">
      <alignment vertical="top" wrapText="1"/>
    </xf>
    <xf numFmtId="3" fontId="54" fillId="0" borderId="28" xfId="15" applyNumberFormat="1" applyFont="1" applyFill="1" applyBorder="1" applyAlignment="1">
      <alignment vertical="top"/>
    </xf>
    <xf numFmtId="0" fontId="54" fillId="6" borderId="30" xfId="15" applyFont="1" applyFill="1" applyBorder="1" applyAlignment="1">
      <alignment horizontal="center"/>
    </xf>
    <xf numFmtId="0" fontId="54" fillId="6" borderId="30" xfId="15" applyFont="1" applyFill="1" applyBorder="1" applyAlignment="1">
      <alignment horizontal="left" wrapText="1"/>
    </xf>
    <xf numFmtId="171" fontId="54" fillId="6" borderId="30" xfId="1" applyNumberFormat="1" applyFont="1" applyFill="1" applyBorder="1" applyAlignment="1">
      <alignment horizontal="center" wrapText="1"/>
    </xf>
    <xf numFmtId="0" fontId="54" fillId="0" borderId="28" xfId="15" applyFont="1" applyFill="1" applyBorder="1" applyAlignment="1">
      <alignment horizontal="center" wrapText="1"/>
    </xf>
    <xf numFmtId="0" fontId="71" fillId="0" borderId="6" xfId="33" applyFont="1" applyFill="1" applyBorder="1" applyAlignment="1">
      <alignment horizontal="center"/>
    </xf>
    <xf numFmtId="0" fontId="71" fillId="0" borderId="69" xfId="33" applyFont="1" applyFill="1" applyBorder="1" applyAlignment="1">
      <alignment horizontal="left"/>
    </xf>
    <xf numFmtId="0" fontId="71" fillId="0" borderId="70" xfId="33" applyFont="1" applyFill="1" applyBorder="1" applyAlignment="1">
      <alignment horizontal="left"/>
    </xf>
    <xf numFmtId="0" fontId="71" fillId="0" borderId="46" xfId="33" applyFont="1" applyFill="1" applyBorder="1" applyAlignment="1">
      <alignment horizontal="center" wrapText="1"/>
    </xf>
    <xf numFmtId="0" fontId="71" fillId="0" borderId="47" xfId="33" applyFont="1" applyFill="1" applyBorder="1" applyAlignment="1">
      <alignment horizontal="center" wrapText="1"/>
    </xf>
    <xf numFmtId="0" fontId="71" fillId="0" borderId="48" xfId="33" applyFont="1" applyFill="1" applyBorder="1" applyAlignment="1">
      <alignment horizontal="center" wrapText="1"/>
    </xf>
    <xf numFmtId="0" fontId="72" fillId="0" borderId="0" xfId="16" applyFont="1" applyFill="1" applyBorder="1" applyAlignment="1">
      <alignment horizontal="center" vertical="center"/>
    </xf>
    <xf numFmtId="0" fontId="71" fillId="6" borderId="0" xfId="33" applyFont="1" applyFill="1" applyBorder="1" applyAlignment="1">
      <alignment horizontal="center"/>
    </xf>
    <xf numFmtId="0" fontId="71" fillId="6" borderId="0" xfId="33" applyFont="1" applyFill="1" applyBorder="1" applyAlignment="1">
      <alignment horizontal="left"/>
    </xf>
    <xf numFmtId="3" fontId="71" fillId="6" borderId="22" xfId="33" applyNumberFormat="1" applyFont="1" applyFill="1" applyBorder="1" applyAlignment="1">
      <alignment horizontal="center" wrapText="1"/>
    </xf>
    <xf numFmtId="0" fontId="72" fillId="0" borderId="1" xfId="33" applyFont="1" applyFill="1" applyBorder="1" applyAlignment="1">
      <alignment horizontal="center" wrapText="1"/>
    </xf>
    <xf numFmtId="0" fontId="72" fillId="0" borderId="11" xfId="33" applyFont="1" applyFill="1" applyBorder="1" applyAlignment="1">
      <alignment wrapText="1"/>
    </xf>
    <xf numFmtId="3" fontId="72" fillId="0" borderId="54" xfId="33" applyNumberFormat="1" applyFont="1" applyFill="1" applyBorder="1" applyAlignment="1">
      <alignment horizontal="right" wrapText="1"/>
    </xf>
    <xf numFmtId="3" fontId="72" fillId="0" borderId="56" xfId="33" applyNumberFormat="1" applyFont="1" applyFill="1" applyBorder="1" applyAlignment="1">
      <alignment horizontal="right" wrapText="1"/>
    </xf>
    <xf numFmtId="3" fontId="72" fillId="0" borderId="55" xfId="33" applyNumberFormat="1" applyFont="1" applyFill="1" applyBorder="1" applyAlignment="1">
      <alignment horizontal="right" wrapText="1"/>
    </xf>
    <xf numFmtId="3" fontId="72" fillId="0" borderId="0" xfId="16" applyNumberFormat="1" applyFont="1"/>
    <xf numFmtId="3" fontId="72" fillId="0" borderId="10" xfId="16" applyNumberFormat="1" applyFont="1" applyFill="1" applyBorder="1" applyAlignment="1">
      <alignment horizontal="right" vertical="center" wrapText="1"/>
    </xf>
    <xf numFmtId="3" fontId="72" fillId="0" borderId="1" xfId="16" applyNumberFormat="1" applyFont="1" applyFill="1" applyBorder="1" applyAlignment="1">
      <alignment horizontal="right" vertical="center" wrapText="1"/>
    </xf>
    <xf numFmtId="3" fontId="72" fillId="0" borderId="0" xfId="16" applyNumberFormat="1" applyFont="1" applyFill="1" applyAlignment="1">
      <alignment horizontal="right" vertical="center" wrapText="1"/>
    </xf>
    <xf numFmtId="3" fontId="72" fillId="0" borderId="1" xfId="16" applyNumberFormat="1" applyFont="1" applyBorder="1"/>
    <xf numFmtId="3" fontId="72" fillId="0" borderId="24" xfId="33" applyNumberFormat="1" applyFont="1" applyBorder="1"/>
    <xf numFmtId="3" fontId="72" fillId="0" borderId="53" xfId="33" applyNumberFormat="1" applyFont="1" applyFill="1" applyBorder="1" applyAlignment="1">
      <alignment horizontal="right" wrapText="1"/>
    </xf>
    <xf numFmtId="3" fontId="72" fillId="0" borderId="8" xfId="16" applyNumberFormat="1" applyFont="1" applyBorder="1"/>
    <xf numFmtId="3" fontId="72" fillId="0" borderId="22" xfId="33" applyNumberFormat="1" applyFont="1" applyBorder="1"/>
    <xf numFmtId="3" fontId="72" fillId="0" borderId="53" xfId="33" applyNumberFormat="1" applyFont="1" applyBorder="1"/>
    <xf numFmtId="3" fontId="72" fillId="0" borderId="0" xfId="16" applyNumberFormat="1" applyFont="1" applyFill="1" applyBorder="1" applyAlignment="1">
      <alignment horizontal="right" vertical="center" wrapText="1"/>
    </xf>
    <xf numFmtId="0" fontId="72" fillId="0" borderId="0" xfId="16" applyFont="1" applyAlignment="1"/>
    <xf numFmtId="0" fontId="0" fillId="0" borderId="0" xfId="0" applyFont="1"/>
    <xf numFmtId="0" fontId="71" fillId="7" borderId="0" xfId="14" applyFont="1" applyFill="1" applyBorder="1" applyAlignment="1">
      <alignment horizontal="left"/>
    </xf>
    <xf numFmtId="0" fontId="33" fillId="0" borderId="0" xfId="14" applyFont="1" applyFill="1" applyBorder="1" applyAlignment="1">
      <alignment horizontal="center" wrapText="1"/>
    </xf>
    <xf numFmtId="0" fontId="33" fillId="0" borderId="0" xfId="14" applyFont="1" applyFill="1" applyBorder="1" applyAlignment="1">
      <alignment wrapText="1"/>
    </xf>
    <xf numFmtId="165" fontId="33" fillId="0" borderId="0" xfId="14" applyNumberFormat="1" applyFont="1" applyFill="1" applyBorder="1" applyAlignment="1">
      <alignment horizontal="center" wrapText="1"/>
    </xf>
    <xf numFmtId="0" fontId="33" fillId="0" borderId="12" xfId="14" applyFont="1" applyFill="1" applyBorder="1" applyAlignment="1">
      <alignment horizontal="center" wrapText="1"/>
    </xf>
    <xf numFmtId="0" fontId="33" fillId="0" borderId="12" xfId="14" applyFont="1" applyFill="1" applyBorder="1" applyAlignment="1">
      <alignment wrapText="1"/>
    </xf>
    <xf numFmtId="165" fontId="33" fillId="0" borderId="12" xfId="14" applyNumberFormat="1" applyFont="1" applyFill="1" applyBorder="1" applyAlignment="1">
      <alignment horizontal="center" wrapText="1"/>
    </xf>
    <xf numFmtId="0" fontId="35" fillId="0" borderId="0" xfId="14" applyFont="1" applyBorder="1"/>
    <xf numFmtId="0" fontId="28" fillId="0" borderId="0" xfId="9" applyFont="1" applyAlignment="1">
      <alignment vertical="top" wrapText="1"/>
    </xf>
    <xf numFmtId="0" fontId="35" fillId="0" borderId="0" xfId="14" applyFont="1"/>
    <xf numFmtId="0" fontId="71" fillId="0" borderId="12" xfId="14" applyFont="1" applyFill="1" applyBorder="1" applyAlignment="1">
      <alignment horizontal="center"/>
    </xf>
    <xf numFmtId="0" fontId="71" fillId="0" borderId="12" xfId="14" applyFont="1" applyFill="1" applyBorder="1" applyAlignment="1">
      <alignment horizontal="center"/>
    </xf>
    <xf numFmtId="0" fontId="71" fillId="7" borderId="0" xfId="14" applyFont="1" applyFill="1" applyBorder="1" applyAlignment="1">
      <alignment horizontal="center"/>
    </xf>
    <xf numFmtId="0" fontId="72" fillId="0" borderId="0" xfId="14" applyFont="1" applyFill="1" applyBorder="1" applyAlignment="1">
      <alignment horizontal="center" wrapText="1"/>
    </xf>
    <xf numFmtId="0" fontId="72" fillId="0" borderId="12" xfId="14" applyFont="1" applyFill="1" applyBorder="1" applyAlignment="1">
      <alignment horizontal="center" wrapText="1"/>
    </xf>
    <xf numFmtId="0" fontId="71" fillId="0" borderId="36" xfId="14" applyFont="1" applyFill="1" applyBorder="1" applyAlignment="1">
      <alignment horizontal="center"/>
    </xf>
    <xf numFmtId="3" fontId="75" fillId="0" borderId="36" xfId="0" applyNumberFormat="1" applyFont="1" applyBorder="1"/>
    <xf numFmtId="37" fontId="75" fillId="0" borderId="34" xfId="1" applyNumberFormat="1" applyFont="1" applyBorder="1"/>
    <xf numFmtId="37" fontId="75" fillId="0" borderId="0" xfId="1" applyNumberFormat="1" applyFont="1" applyBorder="1"/>
    <xf numFmtId="37" fontId="54" fillId="7" borderId="34" xfId="1" applyNumberFormat="1" applyFont="1" applyFill="1" applyBorder="1"/>
    <xf numFmtId="37" fontId="54" fillId="7" borderId="0" xfId="1" applyNumberFormat="1" applyFont="1" applyFill="1" applyBorder="1"/>
    <xf numFmtId="0" fontId="0" fillId="0" borderId="0" xfId="0" applyFont="1" applyAlignment="1">
      <alignment horizontal="left"/>
    </xf>
    <xf numFmtId="0" fontId="71" fillId="0" borderId="12" xfId="14" applyFont="1" applyFill="1" applyBorder="1" applyAlignment="1">
      <alignment horizontal="left"/>
    </xf>
    <xf numFmtId="165" fontId="72" fillId="0" borderId="0" xfId="14" applyNumberFormat="1" applyFont="1" applyFill="1" applyBorder="1" applyAlignment="1">
      <alignment horizontal="left" wrapText="1"/>
    </xf>
    <xf numFmtId="165" fontId="72" fillId="0" borderId="12" xfId="14" applyNumberFormat="1" applyFont="1" applyFill="1" applyBorder="1" applyAlignment="1">
      <alignment horizontal="left" wrapText="1"/>
    </xf>
    <xf numFmtId="0" fontId="35" fillId="0" borderId="0" xfId="14" applyFont="1" applyBorder="1" applyAlignment="1">
      <alignment horizontal="left"/>
    </xf>
    <xf numFmtId="0" fontId="28" fillId="0" borderId="0" xfId="9" applyFont="1" applyBorder="1" applyAlignment="1">
      <alignment horizontal="left"/>
    </xf>
    <xf numFmtId="0" fontId="35" fillId="0" borderId="0" xfId="14" applyFont="1" applyAlignment="1">
      <alignment horizontal="left"/>
    </xf>
    <xf numFmtId="7" fontId="75" fillId="0" borderId="0" xfId="0" applyNumberFormat="1" applyFont="1"/>
    <xf numFmtId="0" fontId="71" fillId="6" borderId="10" xfId="27" applyFont="1" applyFill="1" applyBorder="1" applyAlignment="1">
      <alignment horizontal="center" vertical="center" wrapText="1"/>
    </xf>
    <xf numFmtId="0" fontId="71" fillId="6" borderId="71" xfId="27" applyFont="1" applyFill="1" applyBorder="1" applyAlignment="1">
      <alignment wrapText="1"/>
    </xf>
    <xf numFmtId="0" fontId="72" fillId="0" borderId="0" xfId="27" applyFont="1"/>
    <xf numFmtId="0" fontId="72" fillId="0" borderId="1" xfId="27" applyFont="1" applyFill="1" applyBorder="1" applyAlignment="1">
      <alignment wrapText="1"/>
    </xf>
    <xf numFmtId="166" fontId="72" fillId="0" borderId="1" xfId="27" applyNumberFormat="1" applyFont="1" applyFill="1" applyBorder="1" applyAlignment="1">
      <alignment horizontal="right" wrapText="1"/>
    </xf>
    <xf numFmtId="0" fontId="72" fillId="0" borderId="0" xfId="16" applyFont="1" applyAlignment="1">
      <alignment horizontal="left"/>
    </xf>
    <xf numFmtId="0" fontId="71" fillId="0" borderId="2" xfId="27" applyFont="1" applyFill="1" applyBorder="1" applyAlignment="1">
      <alignment horizontal="center"/>
    </xf>
    <xf numFmtId="0" fontId="71" fillId="0" borderId="2" xfId="27" applyFont="1" applyFill="1" applyBorder="1" applyAlignment="1">
      <alignment horizontal="left"/>
    </xf>
    <xf numFmtId="0" fontId="71" fillId="6" borderId="1" xfId="31" quotePrefix="1" applyFont="1" applyFill="1" applyBorder="1" applyAlignment="1">
      <alignment horizontal="center" wrapText="1"/>
    </xf>
    <xf numFmtId="0" fontId="72" fillId="0" borderId="1" xfId="31" applyFont="1" applyFill="1" applyBorder="1" applyAlignment="1">
      <alignment horizontal="center" wrapText="1"/>
    </xf>
    <xf numFmtId="0" fontId="71" fillId="0" borderId="76" xfId="34" applyFont="1" applyFill="1" applyBorder="1" applyAlignment="1">
      <alignment horizontal="center" wrapText="1"/>
    </xf>
    <xf numFmtId="167" fontId="75" fillId="0" borderId="0" xfId="0" applyNumberFormat="1" applyFont="1"/>
    <xf numFmtId="0" fontId="75" fillId="0" borderId="0" xfId="0" applyFont="1" applyFill="1" applyAlignment="1">
      <alignment wrapText="1"/>
    </xf>
    <xf numFmtId="0" fontId="71" fillId="6" borderId="11" xfId="34" applyFont="1" applyFill="1" applyBorder="1" applyAlignment="1">
      <alignment wrapText="1"/>
    </xf>
    <xf numFmtId="0" fontId="72" fillId="0" borderId="11" xfId="34" applyFont="1" applyFill="1" applyBorder="1" applyAlignment="1">
      <alignment wrapText="1"/>
    </xf>
    <xf numFmtId="0" fontId="71" fillId="0" borderId="2" xfId="31" applyFont="1" applyFill="1" applyBorder="1" applyAlignment="1">
      <alignment horizontal="center" wrapText="1"/>
    </xf>
    <xf numFmtId="0" fontId="71" fillId="0" borderId="6" xfId="34" applyFont="1" applyFill="1" applyBorder="1" applyAlignment="1">
      <alignment horizontal="left" wrapText="1"/>
    </xf>
    <xf numFmtId="0" fontId="71" fillId="0" borderId="75" xfId="34" applyFont="1" applyFill="1" applyBorder="1" applyAlignment="1">
      <alignment horizontal="center" wrapText="1"/>
    </xf>
    <xf numFmtId="0" fontId="71" fillId="0" borderId="58" xfId="34" applyFont="1" applyFill="1" applyBorder="1" applyAlignment="1">
      <alignment horizontal="center" wrapText="1"/>
    </xf>
    <xf numFmtId="0" fontId="71" fillId="0" borderId="77" xfId="34" applyFont="1" applyFill="1" applyBorder="1" applyAlignment="1">
      <alignment horizontal="center" wrapText="1"/>
    </xf>
    <xf numFmtId="0" fontId="68" fillId="0" borderId="0" xfId="0" applyFont="1"/>
    <xf numFmtId="0" fontId="0" fillId="0" borderId="0" xfId="0" applyFont="1"/>
    <xf numFmtId="49" fontId="68" fillId="0" borderId="12" xfId="0" applyNumberFormat="1" applyFont="1" applyBorder="1" applyAlignment="1">
      <alignment horizontal="center"/>
    </xf>
    <xf numFmtId="0" fontId="54" fillId="0" borderId="19" xfId="0" applyFont="1" applyBorder="1" applyAlignment="1">
      <alignment wrapText="1"/>
    </xf>
    <xf numFmtId="0" fontId="54" fillId="0" borderId="20" xfId="0" applyFont="1" applyBorder="1" applyAlignment="1">
      <alignment wrapText="1"/>
    </xf>
    <xf numFmtId="0" fontId="54" fillId="0" borderId="21" xfId="0" applyFont="1" applyBorder="1" applyAlignment="1">
      <alignment wrapText="1"/>
    </xf>
    <xf numFmtId="0" fontId="54" fillId="0" borderId="19" xfId="0" applyFont="1" applyBorder="1" applyAlignment="1">
      <alignment horizontal="center" wrapText="1"/>
    </xf>
    <xf numFmtId="0" fontId="54" fillId="0" borderId="78" xfId="0" applyFont="1" applyBorder="1" applyAlignment="1">
      <alignment horizontal="center" wrapText="1"/>
    </xf>
    <xf numFmtId="0" fontId="54" fillId="0" borderId="20" xfId="0" applyFont="1" applyBorder="1" applyAlignment="1">
      <alignment horizontal="center" wrapText="1"/>
    </xf>
    <xf numFmtId="0" fontId="54" fillId="0" borderId="21" xfId="0" applyFont="1" applyBorder="1" applyAlignment="1">
      <alignment horizontal="center"/>
    </xf>
    <xf numFmtId="49" fontId="63" fillId="0" borderId="0" xfId="0" applyNumberFormat="1" applyFont="1" applyBorder="1" applyAlignment="1">
      <alignment horizontal="center"/>
    </xf>
    <xf numFmtId="0" fontId="63" fillId="0" borderId="0" xfId="0" applyFont="1" applyBorder="1"/>
    <xf numFmtId="49" fontId="63" fillId="0" borderId="12" xfId="0" applyNumberFormat="1" applyFont="1" applyBorder="1" applyAlignment="1">
      <alignment horizontal="center"/>
    </xf>
    <xf numFmtId="0" fontId="28" fillId="0" borderId="12" xfId="9" applyFont="1" applyBorder="1"/>
    <xf numFmtId="0" fontId="63" fillId="0" borderId="12" xfId="0" applyFont="1" applyBorder="1"/>
    <xf numFmtId="0" fontId="63" fillId="0" borderId="0" xfId="0" applyFont="1" applyAlignment="1">
      <alignment horizontal="left" vertical="top" wrapText="1"/>
    </xf>
    <xf numFmtId="0" fontId="28" fillId="0" borderId="0" xfId="0" applyFont="1" applyBorder="1" applyAlignment="1">
      <alignment vertical="top" wrapText="1"/>
    </xf>
    <xf numFmtId="0" fontId="34" fillId="0" borderId="0" xfId="4" applyFont="1" applyFill="1" applyBorder="1" applyAlignment="1" applyProtection="1">
      <alignment wrapText="1"/>
    </xf>
    <xf numFmtId="0" fontId="75" fillId="0" borderId="0" xfId="0" applyFont="1" applyAlignment="1">
      <alignment wrapText="1"/>
    </xf>
    <xf numFmtId="49" fontId="54" fillId="0" borderId="12" xfId="0" applyNumberFormat="1" applyFont="1" applyBorder="1" applyAlignment="1">
      <alignment horizontal="center"/>
    </xf>
    <xf numFmtId="0" fontId="54" fillId="0" borderId="12" xfId="0" applyFont="1" applyBorder="1" applyAlignment="1">
      <alignment horizontal="left" wrapText="1"/>
    </xf>
    <xf numFmtId="49" fontId="54" fillId="8" borderId="14" xfId="0" quotePrefix="1" applyNumberFormat="1" applyFont="1" applyFill="1" applyBorder="1" applyAlignment="1">
      <alignment horizontal="center"/>
    </xf>
    <xf numFmtId="0" fontId="54" fillId="8" borderId="14" xfId="0" applyFont="1" applyFill="1" applyBorder="1" applyAlignment="1">
      <alignment horizontal="left" wrapText="1"/>
    </xf>
    <xf numFmtId="0" fontId="75" fillId="0" borderId="22" xfId="0" applyFont="1" applyBorder="1"/>
    <xf numFmtId="0" fontId="75" fillId="0" borderId="24" xfId="0" applyFont="1" applyBorder="1"/>
    <xf numFmtId="0" fontId="75" fillId="0" borderId="30" xfId="0" applyFont="1" applyBorder="1" applyAlignment="1">
      <alignment horizontal="right"/>
    </xf>
    <xf numFmtId="9" fontId="75" fillId="0" borderId="22" xfId="39" applyFont="1" applyBorder="1" applyAlignment="1">
      <alignment horizontal="center"/>
    </xf>
    <xf numFmtId="9" fontId="75" fillId="0" borderId="53" xfId="39" applyFont="1" applyBorder="1" applyAlignment="1">
      <alignment horizontal="center"/>
    </xf>
    <xf numFmtId="9" fontId="75" fillId="0" borderId="24" xfId="39" applyFont="1" applyBorder="1" applyAlignment="1">
      <alignment horizontal="center"/>
    </xf>
    <xf numFmtId="9" fontId="75" fillId="0" borderId="23" xfId="39" applyFont="1" applyBorder="1" applyAlignment="1">
      <alignment horizontal="center"/>
    </xf>
    <xf numFmtId="0" fontId="75" fillId="0" borderId="30" xfId="1" applyNumberFormat="1" applyFont="1" applyBorder="1" applyAlignment="1">
      <alignment horizontal="right"/>
    </xf>
    <xf numFmtId="49" fontId="75" fillId="0" borderId="12" xfId="0" applyNumberFormat="1" applyFont="1" applyBorder="1" applyAlignment="1">
      <alignment horizontal="center"/>
    </xf>
    <xf numFmtId="0" fontId="81" fillId="0" borderId="12" xfId="9" applyFont="1" applyBorder="1"/>
    <xf numFmtId="0" fontId="75" fillId="0" borderId="12" xfId="0" applyFont="1" applyBorder="1"/>
    <xf numFmtId="0" fontId="75" fillId="0" borderId="0" xfId="0" applyFont="1" applyAlignment="1">
      <alignment horizontal="left" vertical="top"/>
    </xf>
    <xf numFmtId="0" fontId="75" fillId="0" borderId="0" xfId="0" applyFont="1" applyAlignment="1">
      <alignment vertical="top"/>
    </xf>
    <xf numFmtId="0" fontId="81" fillId="0" borderId="0" xfId="0" applyFont="1" applyBorder="1" applyAlignment="1">
      <alignment vertical="top" wrapText="1"/>
    </xf>
    <xf numFmtId="0" fontId="82" fillId="0" borderId="0" xfId="4" applyFont="1" applyFill="1" applyBorder="1" applyAlignment="1" applyProtection="1">
      <alignment wrapText="1"/>
    </xf>
    <xf numFmtId="9" fontId="54" fillId="6" borderId="22" xfId="39" applyFont="1" applyFill="1" applyBorder="1" applyAlignment="1">
      <alignment horizontal="center"/>
    </xf>
    <xf numFmtId="9" fontId="54" fillId="6" borderId="23" xfId="39" applyFont="1" applyFill="1" applyBorder="1" applyAlignment="1">
      <alignment horizontal="center"/>
    </xf>
    <xf numFmtId="3" fontId="54" fillId="6" borderId="19" xfId="0" applyNumberFormat="1" applyFont="1" applyFill="1" applyBorder="1"/>
    <xf numFmtId="3" fontId="54" fillId="6" borderId="20" xfId="0" applyNumberFormat="1" applyFont="1" applyFill="1" applyBorder="1"/>
    <xf numFmtId="3" fontId="54" fillId="6" borderId="21" xfId="0" applyNumberFormat="1" applyFont="1" applyFill="1" applyBorder="1"/>
    <xf numFmtId="0" fontId="54" fillId="6" borderId="19" xfId="0" applyFont="1" applyFill="1" applyBorder="1"/>
    <xf numFmtId="0" fontId="54" fillId="6" borderId="20" xfId="0" applyFont="1" applyFill="1" applyBorder="1"/>
    <xf numFmtId="0" fontId="54" fillId="6" borderId="21" xfId="0" applyFont="1" applyFill="1" applyBorder="1"/>
    <xf numFmtId="171" fontId="54" fillId="6" borderId="28" xfId="1" applyNumberFormat="1" applyFont="1" applyFill="1" applyBorder="1"/>
    <xf numFmtId="176" fontId="75" fillId="0" borderId="0" xfId="3" applyNumberFormat="1" applyFont="1"/>
    <xf numFmtId="176" fontId="54" fillId="0" borderId="0" xfId="3" applyNumberFormat="1" applyFont="1" applyAlignment="1">
      <alignment horizontal="center"/>
    </xf>
    <xf numFmtId="176" fontId="54" fillId="0" borderId="0" xfId="3" applyNumberFormat="1" applyFont="1"/>
    <xf numFmtId="49" fontId="68" fillId="13" borderId="14" xfId="0" quotePrefix="1" applyNumberFormat="1" applyFont="1" applyFill="1" applyBorder="1" applyAlignment="1">
      <alignment horizontal="center"/>
    </xf>
    <xf numFmtId="0" fontId="68" fillId="13" borderId="14" xfId="0" applyFont="1" applyFill="1" applyBorder="1" applyAlignment="1">
      <alignment horizontal="left" wrapText="1"/>
    </xf>
    <xf numFmtId="176" fontId="54" fillId="0" borderId="0" xfId="3" applyNumberFormat="1" applyFont="1" applyFill="1"/>
    <xf numFmtId="9" fontId="54" fillId="21" borderId="0" xfId="39" applyFont="1" applyFill="1"/>
    <xf numFmtId="176" fontId="54" fillId="13" borderId="13" xfId="3" applyNumberFormat="1" applyFont="1" applyFill="1" applyBorder="1"/>
    <xf numFmtId="176" fontId="54" fillId="13" borderId="14" xfId="3" applyNumberFormat="1" applyFont="1" applyFill="1" applyBorder="1"/>
    <xf numFmtId="176" fontId="75" fillId="0" borderId="34" xfId="3" applyNumberFormat="1" applyFont="1" applyBorder="1"/>
    <xf numFmtId="176" fontId="75" fillId="0" borderId="0" xfId="3" applyNumberFormat="1" applyFont="1" applyBorder="1"/>
    <xf numFmtId="176" fontId="75" fillId="0" borderId="33" xfId="3" applyNumberFormat="1" applyFont="1" applyBorder="1"/>
    <xf numFmtId="9" fontId="54" fillId="0" borderId="34" xfId="39" applyFont="1" applyBorder="1"/>
    <xf numFmtId="9" fontId="54" fillId="0" borderId="33" xfId="39" applyFont="1" applyBorder="1" applyAlignment="1">
      <alignment wrapText="1"/>
    </xf>
    <xf numFmtId="9" fontId="54" fillId="13" borderId="13" xfId="39" applyFont="1" applyFill="1" applyBorder="1"/>
    <xf numFmtId="9" fontId="54" fillId="13" borderId="14" xfId="39" applyFont="1" applyFill="1" applyBorder="1"/>
    <xf numFmtId="9" fontId="54" fillId="13" borderId="15" xfId="39" applyFont="1" applyFill="1" applyBorder="1"/>
    <xf numFmtId="9" fontId="75" fillId="0" borderId="36" xfId="39" applyFont="1" applyBorder="1"/>
    <xf numFmtId="9" fontId="75" fillId="0" borderId="12" xfId="39" applyFont="1" applyBorder="1"/>
    <xf numFmtId="9" fontId="75" fillId="0" borderId="35" xfId="39" applyFont="1" applyBorder="1"/>
    <xf numFmtId="9" fontId="54" fillId="0" borderId="0" xfId="39" applyFont="1" applyBorder="1" applyAlignment="1">
      <alignment wrapText="1"/>
    </xf>
    <xf numFmtId="9" fontId="54" fillId="0" borderId="33" xfId="39" applyFont="1" applyBorder="1"/>
    <xf numFmtId="0" fontId="75" fillId="0" borderId="0" xfId="0" applyFont="1" applyFill="1" applyBorder="1"/>
    <xf numFmtId="0" fontId="72" fillId="0" borderId="1" xfId="37" applyFont="1" applyFill="1" applyBorder="1" applyAlignment="1">
      <alignment wrapText="1"/>
    </xf>
    <xf numFmtId="0" fontId="71" fillId="0" borderId="75" xfId="21" applyFont="1" applyFill="1" applyBorder="1" applyAlignment="1">
      <alignment horizontal="center"/>
    </xf>
    <xf numFmtId="0" fontId="71" fillId="0" borderId="58" xfId="21" applyFont="1" applyFill="1" applyBorder="1" applyAlignment="1">
      <alignment horizontal="center"/>
    </xf>
    <xf numFmtId="0" fontId="71" fillId="0" borderId="76" xfId="21" applyFont="1" applyFill="1" applyBorder="1" applyAlignment="1">
      <alignment horizontal="center"/>
    </xf>
    <xf numFmtId="0" fontId="72" fillId="0" borderId="1" xfId="29" applyFont="1" applyFill="1" applyBorder="1" applyAlignment="1">
      <alignment wrapText="1"/>
    </xf>
    <xf numFmtId="0" fontId="72" fillId="0" borderId="0" xfId="29" applyFont="1" applyFill="1" applyBorder="1" applyAlignment="1">
      <alignment wrapText="1"/>
    </xf>
    <xf numFmtId="167" fontId="72" fillId="0" borderId="0" xfId="29" applyNumberFormat="1" applyFont="1" applyFill="1" applyBorder="1" applyAlignment="1">
      <alignment horizontal="right" wrapText="1"/>
    </xf>
    <xf numFmtId="0" fontId="71" fillId="22" borderId="0" xfId="29" applyFont="1" applyFill="1" applyBorder="1" applyAlignment="1">
      <alignment horizontal="left"/>
    </xf>
    <xf numFmtId="167" fontId="72" fillId="0" borderId="1" xfId="29" applyNumberFormat="1" applyFont="1" applyFill="1" applyBorder="1" applyAlignment="1">
      <alignment wrapText="1"/>
    </xf>
    <xf numFmtId="166" fontId="63" fillId="0" borderId="0" xfId="0" applyNumberFormat="1" applyFont="1"/>
    <xf numFmtId="0" fontId="71" fillId="0" borderId="2" xfId="29" applyFont="1" applyFill="1" applyBorder="1" applyAlignment="1">
      <alignment horizontal="center"/>
    </xf>
    <xf numFmtId="167" fontId="75" fillId="0" borderId="0" xfId="0" applyNumberFormat="1" applyFont="1" applyBorder="1"/>
    <xf numFmtId="166" fontId="0" fillId="0" borderId="0" xfId="0" applyNumberFormat="1" applyFont="1"/>
    <xf numFmtId="166" fontId="75" fillId="0" borderId="0" xfId="0" applyNumberFormat="1" applyFont="1"/>
    <xf numFmtId="0" fontId="71" fillId="0" borderId="2" xfId="36" applyFont="1" applyFill="1" applyBorder="1" applyAlignment="1">
      <alignment horizontal="left"/>
    </xf>
    <xf numFmtId="0" fontId="71" fillId="0" borderId="6" xfId="36" applyFont="1" applyFill="1" applyBorder="1" applyAlignment="1">
      <alignment horizontal="left"/>
    </xf>
    <xf numFmtId="0" fontId="71" fillId="0" borderId="75" xfId="36" applyFont="1" applyFill="1" applyBorder="1" applyAlignment="1">
      <alignment horizontal="center" wrapText="1"/>
    </xf>
    <xf numFmtId="0" fontId="71" fillId="0" borderId="58" xfId="36" applyFont="1" applyFill="1" applyBorder="1" applyAlignment="1">
      <alignment horizontal="center" wrapText="1"/>
    </xf>
    <xf numFmtId="1" fontId="0" fillId="0" borderId="0" xfId="0" applyNumberFormat="1" applyFont="1"/>
    <xf numFmtId="1" fontId="71" fillId="0" borderId="14" xfId="14" applyNumberFormat="1" applyFont="1" applyFill="1" applyBorder="1" applyAlignment="1">
      <alignment horizontal="center"/>
    </xf>
    <xf numFmtId="1" fontId="54" fillId="0" borderId="14" xfId="0" applyNumberFormat="1" applyFont="1" applyBorder="1" applyAlignment="1">
      <alignment horizontal="center"/>
    </xf>
    <xf numFmtId="1" fontId="75" fillId="0" borderId="0" xfId="0" applyNumberFormat="1" applyFont="1"/>
    <xf numFmtId="1" fontId="75" fillId="0" borderId="12" xfId="0" applyNumberFormat="1" applyFont="1" applyBorder="1"/>
    <xf numFmtId="0" fontId="33" fillId="0" borderId="0" xfId="14" applyFont="1" applyFill="1" applyBorder="1" applyAlignment="1">
      <alignment horizontal="left" wrapText="1"/>
    </xf>
    <xf numFmtId="0" fontId="28" fillId="0" borderId="0" xfId="14" applyFont="1"/>
    <xf numFmtId="0" fontId="28" fillId="0" borderId="0" xfId="14" applyFont="1" applyAlignment="1">
      <alignment horizontal="right" vertical="top"/>
    </xf>
    <xf numFmtId="0" fontId="28" fillId="0" borderId="0" xfId="14" applyFont="1" applyBorder="1"/>
    <xf numFmtId="0" fontId="81" fillId="0" borderId="0" xfId="14" applyFont="1" applyBorder="1"/>
    <xf numFmtId="0" fontId="71" fillId="6" borderId="0" xfId="14" applyFont="1" applyFill="1" applyBorder="1" applyAlignment="1">
      <alignment horizontal="center"/>
    </xf>
    <xf numFmtId="0" fontId="71" fillId="6" borderId="0" xfId="14" applyFont="1" applyFill="1" applyBorder="1" applyAlignment="1">
      <alignment horizontal="left"/>
    </xf>
    <xf numFmtId="0" fontId="75" fillId="0" borderId="0" xfId="0" applyFont="1" applyAlignment="1">
      <alignment horizontal="right"/>
    </xf>
    <xf numFmtId="0" fontId="71" fillId="6" borderId="14" xfId="14" applyFont="1" applyFill="1" applyBorder="1" applyAlignment="1">
      <alignment horizontal="center"/>
    </xf>
    <xf numFmtId="0" fontId="71" fillId="6" borderId="14" xfId="14" applyFont="1" applyFill="1" applyBorder="1" applyAlignment="1">
      <alignment horizontal="left"/>
    </xf>
    <xf numFmtId="0" fontId="36" fillId="0" borderId="12" xfId="32" applyFont="1" applyFill="1" applyBorder="1" applyAlignment="1">
      <alignment horizontal="center"/>
    </xf>
    <xf numFmtId="0" fontId="36" fillId="0" borderId="12" xfId="32" quotePrefix="1" applyFont="1" applyFill="1" applyBorder="1" applyAlignment="1">
      <alignment horizontal="center"/>
    </xf>
    <xf numFmtId="0" fontId="38" fillId="0" borderId="0" xfId="14" applyFont="1"/>
    <xf numFmtId="0" fontId="36" fillId="0" borderId="12" xfId="32" applyFont="1" applyFill="1" applyBorder="1" applyAlignment="1">
      <alignment horizontal="left"/>
    </xf>
    <xf numFmtId="0" fontId="27" fillId="0" borderId="12" xfId="14" applyFont="1" applyBorder="1" applyAlignment="1">
      <alignment horizontal="center"/>
    </xf>
    <xf numFmtId="0" fontId="28" fillId="0" borderId="12" xfId="14" applyFont="1" applyBorder="1" applyAlignment="1"/>
    <xf numFmtId="0" fontId="27" fillId="0" borderId="0" xfId="14" applyFont="1" applyBorder="1" applyAlignment="1"/>
    <xf numFmtId="0" fontId="28" fillId="0" borderId="0" xfId="14" applyFont="1" applyBorder="1" applyAlignment="1"/>
    <xf numFmtId="0" fontId="71" fillId="0" borderId="0" xfId="32" applyFont="1" applyFill="1" applyBorder="1" applyAlignment="1">
      <alignment horizontal="left"/>
    </xf>
    <xf numFmtId="0" fontId="71" fillId="0" borderId="0" xfId="32" applyFont="1" applyFill="1" applyBorder="1" applyAlignment="1">
      <alignment horizontal="center"/>
    </xf>
    <xf numFmtId="9" fontId="71" fillId="0" borderId="0" xfId="32" applyNumberFormat="1" applyFont="1" applyFill="1" applyBorder="1" applyAlignment="1">
      <alignment horizontal="right" wrapText="1"/>
    </xf>
    <xf numFmtId="0" fontId="72" fillId="0" borderId="0" xfId="32" applyFont="1" applyFill="1" applyBorder="1" applyAlignment="1">
      <alignment horizontal="center" wrapText="1"/>
    </xf>
    <xf numFmtId="0" fontId="72" fillId="0" borderId="0" xfId="32" applyFont="1" applyFill="1" applyBorder="1" applyAlignment="1">
      <alignment wrapText="1"/>
    </xf>
    <xf numFmtId="9" fontId="72" fillId="0" borderId="0" xfId="32" applyNumberFormat="1" applyFont="1" applyFill="1" applyBorder="1" applyAlignment="1">
      <alignment horizontal="right" wrapText="1"/>
    </xf>
    <xf numFmtId="0" fontId="72" fillId="0" borderId="0" xfId="32" applyFont="1" applyFill="1" applyBorder="1" applyAlignment="1">
      <alignment vertical="top" wrapText="1"/>
    </xf>
    <xf numFmtId="0" fontId="72" fillId="0" borderId="12" xfId="32" quotePrefix="1" applyFont="1" applyFill="1" applyBorder="1" applyAlignment="1">
      <alignment horizontal="center" wrapText="1"/>
    </xf>
    <xf numFmtId="0" fontId="72" fillId="0" borderId="12" xfId="32" applyFont="1" applyFill="1" applyBorder="1" applyAlignment="1">
      <alignment wrapText="1"/>
    </xf>
    <xf numFmtId="9" fontId="72" fillId="0" borderId="12" xfId="32" applyNumberFormat="1" applyFont="1" applyFill="1" applyBorder="1" applyAlignment="1">
      <alignment horizontal="right" wrapText="1"/>
    </xf>
    <xf numFmtId="0" fontId="75" fillId="0" borderId="25" xfId="0" applyFont="1" applyBorder="1"/>
    <xf numFmtId="0" fontId="75" fillId="0" borderId="27" xfId="0" applyFont="1" applyBorder="1"/>
    <xf numFmtId="0" fontId="75" fillId="0" borderId="26" xfId="0" applyFont="1" applyBorder="1"/>
    <xf numFmtId="0" fontId="75" fillId="0" borderId="31" xfId="0" applyFont="1" applyBorder="1" applyAlignment="1">
      <alignment horizontal="right"/>
    </xf>
    <xf numFmtId="9" fontId="75" fillId="0" borderId="25" xfId="39" applyFont="1" applyBorder="1" applyAlignment="1">
      <alignment horizontal="center"/>
    </xf>
    <xf numFmtId="9" fontId="75" fillId="0" borderId="57" xfId="39" applyFont="1" applyBorder="1" applyAlignment="1">
      <alignment horizontal="center"/>
    </xf>
    <xf numFmtId="9" fontId="75" fillId="0" borderId="27" xfId="39" applyFont="1" applyBorder="1" applyAlignment="1">
      <alignment horizontal="center"/>
    </xf>
    <xf numFmtId="9" fontId="75" fillId="0" borderId="26" xfId="39" applyFont="1" applyBorder="1" applyAlignment="1">
      <alignment horizontal="center"/>
    </xf>
    <xf numFmtId="0" fontId="75" fillId="0" borderId="0" xfId="9" applyFont="1"/>
    <xf numFmtId="0" fontId="75" fillId="0" borderId="0" xfId="9" applyFont="1" applyAlignment="1">
      <alignment horizontal="right" wrapText="1"/>
    </xf>
    <xf numFmtId="0" fontId="54" fillId="0" borderId="12" xfId="9" applyFont="1" applyBorder="1" applyAlignment="1"/>
    <xf numFmtId="0" fontId="54" fillId="0" borderId="0" xfId="9" applyFont="1" applyAlignment="1">
      <alignment horizontal="center"/>
    </xf>
    <xf numFmtId="0" fontId="54" fillId="0" borderId="0" xfId="9" applyFont="1" applyAlignment="1">
      <alignment horizontal="right"/>
    </xf>
    <xf numFmtId="0" fontId="75" fillId="0" borderId="12" xfId="9" applyFont="1" applyBorder="1" applyAlignment="1"/>
    <xf numFmtId="0" fontId="75" fillId="0" borderId="12" xfId="9" applyFont="1" applyBorder="1" applyAlignment="1">
      <alignment horizontal="right"/>
    </xf>
    <xf numFmtId="0" fontId="54" fillId="0" borderId="0" xfId="9" applyFont="1" applyAlignment="1"/>
    <xf numFmtId="0" fontId="54" fillId="0" borderId="0" xfId="9" applyFont="1" applyAlignment="1">
      <alignment horizontal="right" wrapText="1"/>
    </xf>
    <xf numFmtId="49" fontId="54" fillId="0" borderId="12" xfId="9" applyNumberFormat="1" applyFont="1" applyBorder="1" applyAlignment="1">
      <alignment horizontal="center"/>
    </xf>
    <xf numFmtId="0" fontId="54" fillId="0" borderId="12" xfId="9" applyFont="1" applyBorder="1" applyAlignment="1">
      <alignment horizontal="right" wrapText="1"/>
    </xf>
    <xf numFmtId="0" fontId="54" fillId="0" borderId="12" xfId="9" applyFont="1" applyBorder="1"/>
    <xf numFmtId="49" fontId="75" fillId="0" borderId="0" xfId="9" quotePrefix="1" applyNumberFormat="1" applyFont="1" applyAlignment="1">
      <alignment horizontal="center"/>
    </xf>
    <xf numFmtId="49" fontId="75" fillId="0" borderId="0" xfId="9" applyNumberFormat="1" applyFont="1" applyAlignment="1">
      <alignment horizontal="center"/>
    </xf>
    <xf numFmtId="0" fontId="75" fillId="0" borderId="0" xfId="9" applyNumberFormat="1" applyFont="1" applyAlignment="1">
      <alignment horizontal="right"/>
    </xf>
    <xf numFmtId="49" fontId="75" fillId="0" borderId="0" xfId="9" quotePrefix="1" applyNumberFormat="1" applyFont="1" applyAlignment="1">
      <alignment horizontal="right"/>
    </xf>
    <xf numFmtId="49" fontId="75" fillId="0" borderId="0" xfId="9" applyNumberFormat="1" applyFont="1" applyAlignment="1">
      <alignment horizontal="right"/>
    </xf>
    <xf numFmtId="0" fontId="75" fillId="0" borderId="0" xfId="9" quotePrefix="1" applyNumberFormat="1" applyFont="1" applyAlignment="1">
      <alignment horizontal="center"/>
    </xf>
    <xf numFmtId="0" fontId="75" fillId="0" borderId="0" xfId="9" quotePrefix="1" applyNumberFormat="1" applyFont="1" applyAlignment="1">
      <alignment horizontal="right"/>
    </xf>
    <xf numFmtId="49" fontId="75" fillId="0" borderId="12" xfId="9" applyNumberFormat="1" applyFont="1" applyBorder="1" applyAlignment="1">
      <alignment horizontal="center"/>
    </xf>
    <xf numFmtId="0" fontId="75" fillId="0" borderId="12" xfId="9" applyNumberFormat="1" applyFont="1" applyBorder="1" applyAlignment="1">
      <alignment horizontal="right"/>
    </xf>
    <xf numFmtId="0" fontId="75" fillId="0" borderId="12" xfId="9" applyFont="1" applyBorder="1" applyAlignment="1">
      <alignment horizontal="right" wrapText="1"/>
    </xf>
    <xf numFmtId="49" fontId="75" fillId="0" borderId="12" xfId="9" applyNumberFormat="1" applyFont="1" applyBorder="1" applyAlignment="1">
      <alignment horizontal="right"/>
    </xf>
    <xf numFmtId="0" fontId="81" fillId="0" borderId="0" xfId="9" applyFont="1" applyAlignment="1">
      <alignment horizontal="right" vertical="top"/>
    </xf>
    <xf numFmtId="0" fontId="82" fillId="0" borderId="0" xfId="4" applyFont="1" applyAlignment="1" applyProtection="1">
      <alignment horizontal="right"/>
    </xf>
    <xf numFmtId="0" fontId="72" fillId="0" borderId="0" xfId="37" applyFont="1" applyFill="1" applyBorder="1" applyAlignment="1">
      <alignment wrapText="1"/>
    </xf>
    <xf numFmtId="0" fontId="71" fillId="0" borderId="6" xfId="36" applyFont="1" applyFill="1" applyBorder="1" applyAlignment="1">
      <alignment horizontal="left"/>
    </xf>
    <xf numFmtId="167" fontId="72" fillId="0" borderId="1" xfId="29" applyNumberFormat="1" applyFont="1" applyFill="1" applyBorder="1" applyAlignment="1">
      <alignment wrapText="1"/>
    </xf>
    <xf numFmtId="0" fontId="71" fillId="6" borderId="0" xfId="27" applyFont="1" applyFill="1" applyBorder="1" applyAlignment="1">
      <alignment wrapText="1"/>
    </xf>
    <xf numFmtId="0" fontId="72" fillId="0" borderId="0" xfId="27" applyFont="1" applyFill="1" applyBorder="1" applyAlignment="1">
      <alignment wrapText="1"/>
    </xf>
    <xf numFmtId="0" fontId="71" fillId="0" borderId="6" xfId="34" applyFont="1" applyFill="1" applyBorder="1" applyAlignment="1">
      <alignment horizontal="left" wrapText="1"/>
    </xf>
    <xf numFmtId="0" fontId="71" fillId="6" borderId="32" xfId="34" applyFont="1" applyFill="1" applyBorder="1" applyAlignment="1">
      <alignment wrapText="1"/>
    </xf>
    <xf numFmtId="0" fontId="72" fillId="0" borderId="32" xfId="34" applyFont="1" applyFill="1" applyBorder="1" applyAlignment="1">
      <alignment wrapText="1"/>
    </xf>
    <xf numFmtId="171" fontId="54" fillId="6" borderId="0" xfId="1" applyNumberFormat="1" applyFont="1" applyFill="1"/>
    <xf numFmtId="0" fontId="30" fillId="0" borderId="0" xfId="0" applyFont="1" applyAlignment="1">
      <alignment horizontal="left" vertical="top"/>
    </xf>
    <xf numFmtId="0" fontId="17" fillId="3" borderId="0" xfId="0" applyFont="1" applyFill="1" applyBorder="1" applyAlignment="1">
      <alignment horizontal="left" vertical="top" wrapText="1"/>
    </xf>
    <xf numFmtId="171" fontId="17" fillId="3" borderId="0" xfId="1" applyNumberFormat="1" applyFont="1" applyFill="1" applyBorder="1" applyAlignment="1">
      <alignment horizontal="left" vertical="top" wrapText="1"/>
    </xf>
    <xf numFmtId="0" fontId="51" fillId="0" borderId="0" xfId="0" applyFont="1"/>
    <xf numFmtId="171" fontId="51" fillId="0" borderId="0" xfId="1" applyNumberFormat="1" applyFont="1"/>
    <xf numFmtId="3" fontId="51" fillId="0" borderId="0" xfId="0" applyNumberFormat="1" applyFont="1"/>
    <xf numFmtId="164" fontId="51" fillId="8" borderId="0" xfId="39" applyNumberFormat="1" applyFont="1" applyFill="1"/>
    <xf numFmtId="171" fontId="51" fillId="8" borderId="0" xfId="1" applyNumberFormat="1" applyFont="1" applyFill="1"/>
    <xf numFmtId="0" fontId="11" fillId="3" borderId="0" xfId="0" applyFont="1" applyFill="1" applyBorder="1" applyAlignment="1">
      <alignment horizontal="left" vertical="top"/>
    </xf>
    <xf numFmtId="0" fontId="51" fillId="0" borderId="0" xfId="0" applyFont="1" applyAlignment="1">
      <alignment horizontal="right"/>
    </xf>
    <xf numFmtId="3" fontId="51" fillId="0" borderId="0" xfId="0" applyNumberFormat="1" applyFont="1" applyAlignment="1">
      <alignment horizontal="right"/>
    </xf>
    <xf numFmtId="164" fontId="51" fillId="0" borderId="0" xfId="39" applyNumberFormat="1" applyFont="1" applyAlignment="1">
      <alignment horizontal="right"/>
    </xf>
    <xf numFmtId="171" fontId="51" fillId="0" borderId="0" xfId="1" applyNumberFormat="1" applyFont="1" applyAlignment="1">
      <alignment horizontal="right"/>
    </xf>
    <xf numFmtId="0" fontId="11" fillId="3" borderId="0" xfId="0" applyFont="1" applyFill="1" applyBorder="1" applyAlignment="1">
      <alignment vertical="top" wrapText="1"/>
    </xf>
    <xf numFmtId="0" fontId="11" fillId="3" borderId="86" xfId="0" applyFont="1" applyFill="1" applyBorder="1" applyAlignment="1">
      <alignment vertical="center" wrapText="1"/>
    </xf>
    <xf numFmtId="0" fontId="11" fillId="3" borderId="9" xfId="0" applyFont="1" applyFill="1" applyBorder="1" applyAlignment="1">
      <alignment vertical="top" wrapText="1"/>
    </xf>
    <xf numFmtId="0" fontId="51" fillId="0" borderId="0" xfId="0" applyFont="1" applyAlignment="1"/>
    <xf numFmtId="0" fontId="85" fillId="0" borderId="0" xfId="0" applyFont="1"/>
    <xf numFmtId="3" fontId="51" fillId="8" borderId="0" xfId="0" applyNumberFormat="1" applyFont="1" applyFill="1"/>
    <xf numFmtId="0" fontId="85" fillId="0" borderId="14" xfId="0" applyFont="1" applyBorder="1"/>
    <xf numFmtId="0" fontId="17" fillId="3" borderId="87" xfId="0" applyFont="1" applyFill="1" applyBorder="1" applyAlignment="1">
      <alignment vertical="top" wrapText="1"/>
    </xf>
    <xf numFmtId="0" fontId="17" fillId="3" borderId="88" xfId="0" applyFont="1" applyFill="1" applyBorder="1" applyAlignment="1">
      <alignment horizontal="left" vertical="top" wrapText="1"/>
    </xf>
    <xf numFmtId="0" fontId="51" fillId="0" borderId="12" xfId="0" applyFont="1" applyBorder="1"/>
    <xf numFmtId="0" fontId="32" fillId="0" borderId="12" xfId="0" applyFont="1" applyBorder="1"/>
    <xf numFmtId="171" fontId="32" fillId="0" borderId="12" xfId="1" applyNumberFormat="1" applyFont="1" applyBorder="1"/>
    <xf numFmtId="3" fontId="51" fillId="8" borderId="29" xfId="0" applyNumberFormat="1" applyFont="1" applyFill="1" applyBorder="1"/>
    <xf numFmtId="3" fontId="51" fillId="0" borderId="30" xfId="0" applyNumberFormat="1" applyFont="1" applyBorder="1" applyAlignment="1">
      <alignment horizontal="right"/>
    </xf>
    <xf numFmtId="0" fontId="51" fillId="8" borderId="0" xfId="0" applyFont="1" applyFill="1"/>
    <xf numFmtId="0" fontId="11" fillId="8" borderId="9" xfId="0" applyFont="1" applyFill="1" applyBorder="1" applyAlignment="1">
      <alignment vertical="top" wrapText="1"/>
    </xf>
    <xf numFmtId="171" fontId="51" fillId="0" borderId="0" xfId="0" applyNumberFormat="1" applyFont="1"/>
    <xf numFmtId="171" fontId="51" fillId="8" borderId="0" xfId="0" applyNumberFormat="1" applyFont="1" applyFill="1"/>
    <xf numFmtId="0" fontId="75" fillId="0" borderId="0" xfId="15" applyFont="1" applyAlignment="1">
      <alignment horizontal="left" wrapText="1"/>
    </xf>
    <xf numFmtId="3" fontId="54" fillId="11" borderId="30" xfId="15" applyNumberFormat="1" applyFont="1" applyFill="1" applyBorder="1" applyAlignment="1">
      <alignment horizontal="right" vertical="top"/>
    </xf>
    <xf numFmtId="171" fontId="75" fillId="0" borderId="30" xfId="1" applyNumberFormat="1" applyFont="1" applyFill="1" applyBorder="1"/>
    <xf numFmtId="171" fontId="75" fillId="0" borderId="31" xfId="1" applyNumberFormat="1" applyFont="1" applyFill="1" applyBorder="1"/>
    <xf numFmtId="171" fontId="54" fillId="6" borderId="30" xfId="1" applyNumberFormat="1" applyFont="1" applyFill="1" applyBorder="1" applyAlignment="1">
      <alignment horizontal="center" wrapText="1"/>
    </xf>
    <xf numFmtId="3" fontId="75" fillId="0" borderId="30" xfId="15" applyNumberFormat="1" applyFont="1" applyFill="1" applyBorder="1"/>
    <xf numFmtId="3" fontId="84" fillId="0" borderId="0" xfId="19" applyNumberFormat="1" applyFont="1" applyFill="1" applyBorder="1" applyAlignment="1">
      <alignment vertical="top" wrapText="1"/>
    </xf>
    <xf numFmtId="3" fontId="56" fillId="0" borderId="34" xfId="0" applyNumberFormat="1" applyFont="1" applyFill="1" applyBorder="1" applyAlignment="1">
      <alignment horizontal="center"/>
    </xf>
    <xf numFmtId="3" fontId="56" fillId="0" borderId="0" xfId="0" applyNumberFormat="1" applyFont="1" applyFill="1" applyBorder="1" applyAlignment="1">
      <alignment horizontal="center"/>
    </xf>
    <xf numFmtId="9" fontId="56" fillId="0" borderId="34" xfId="39" applyFont="1" applyFill="1" applyBorder="1" applyAlignment="1">
      <alignment horizontal="center"/>
    </xf>
    <xf numFmtId="9" fontId="56" fillId="0" borderId="0" xfId="39" applyFont="1" applyFill="1" applyBorder="1" applyAlignment="1">
      <alignment horizontal="center"/>
    </xf>
    <xf numFmtId="0" fontId="54" fillId="0" borderId="31" xfId="0" applyFont="1" applyBorder="1" applyAlignment="1">
      <alignment horizontal="center" wrapText="1"/>
    </xf>
    <xf numFmtId="0" fontId="75" fillId="0" borderId="30" xfId="0" applyFont="1" applyBorder="1" applyAlignment="1">
      <alignment horizontal="right"/>
    </xf>
    <xf numFmtId="0" fontId="75" fillId="0" borderId="30" xfId="1" applyNumberFormat="1" applyFont="1" applyBorder="1" applyAlignment="1">
      <alignment horizontal="right"/>
    </xf>
    <xf numFmtId="0" fontId="75" fillId="0" borderId="31" xfId="0" applyFont="1" applyBorder="1" applyAlignment="1">
      <alignment horizontal="right"/>
    </xf>
    <xf numFmtId="0" fontId="56" fillId="0" borderId="0" xfId="0" applyFont="1" applyFill="1" applyBorder="1" applyAlignment="1">
      <alignment horizontal="center"/>
    </xf>
    <xf numFmtId="164" fontId="72" fillId="0" borderId="40" xfId="16" applyNumberFormat="1" applyFont="1" applyFill="1" applyBorder="1" applyAlignment="1">
      <alignment wrapText="1"/>
    </xf>
    <xf numFmtId="0" fontId="71" fillId="0" borderId="89" xfId="11" applyFont="1" applyFill="1" applyBorder="1" applyAlignment="1">
      <alignment horizontal="center"/>
    </xf>
    <xf numFmtId="0" fontId="71" fillId="0" borderId="90" xfId="11" applyFont="1" applyFill="1" applyBorder="1" applyAlignment="1">
      <alignment horizontal="center"/>
    </xf>
    <xf numFmtId="164" fontId="71" fillId="6" borderId="91" xfId="16" applyNumberFormat="1" applyFont="1" applyFill="1" applyBorder="1" applyAlignment="1">
      <alignment wrapText="1"/>
    </xf>
    <xf numFmtId="164" fontId="72" fillId="0" borderId="38" xfId="16" applyNumberFormat="1" applyFont="1" applyFill="1" applyBorder="1" applyAlignment="1">
      <alignment wrapText="1"/>
    </xf>
    <xf numFmtId="164" fontId="72" fillId="0" borderId="92" xfId="16" applyNumberFormat="1" applyFont="1" applyFill="1" applyBorder="1" applyAlignment="1">
      <alignment wrapText="1"/>
    </xf>
    <xf numFmtId="164" fontId="71" fillId="6" borderId="58" xfId="16" applyNumberFormat="1" applyFont="1" applyFill="1" applyBorder="1" applyAlignment="1">
      <alignment wrapText="1"/>
    </xf>
    <xf numFmtId="0" fontId="55" fillId="0" borderId="0" xfId="0" applyFont="1" applyAlignment="1">
      <alignment wrapText="1"/>
    </xf>
    <xf numFmtId="3" fontId="73" fillId="0" borderId="0" xfId="0" applyNumberFormat="1" applyFont="1"/>
    <xf numFmtId="175" fontId="71" fillId="0" borderId="59" xfId="1" applyNumberFormat="1" applyFont="1" applyFill="1" applyBorder="1" applyAlignment="1">
      <alignment horizontal="center"/>
    </xf>
    <xf numFmtId="3" fontId="71" fillId="6" borderId="93" xfId="16" applyNumberFormat="1" applyFont="1" applyFill="1" applyBorder="1"/>
    <xf numFmtId="3" fontId="72" fillId="0" borderId="62" xfId="0" applyNumberFormat="1" applyFont="1" applyFill="1" applyBorder="1" applyAlignment="1">
      <alignment horizontal="right" wrapText="1"/>
    </xf>
    <xf numFmtId="3" fontId="72" fillId="0" borderId="64" xfId="0" applyNumberFormat="1" applyFont="1" applyFill="1" applyBorder="1" applyAlignment="1">
      <alignment horizontal="right" wrapText="1"/>
    </xf>
    <xf numFmtId="3" fontId="81" fillId="0" borderId="126" xfId="14" applyNumberFormat="1" applyFont="1" applyBorder="1"/>
    <xf numFmtId="171" fontId="72" fillId="0" borderId="108" xfId="1" applyNumberFormat="1" applyFont="1" applyBorder="1"/>
    <xf numFmtId="164" fontId="75" fillId="8" borderId="45" xfId="39" applyNumberFormat="1" applyFont="1" applyFill="1" applyBorder="1"/>
    <xf numFmtId="0" fontId="30" fillId="0" borderId="0" xfId="16" applyFont="1"/>
    <xf numFmtId="37" fontId="56" fillId="9" borderId="22" xfId="1" applyNumberFormat="1" applyFont="1" applyFill="1" applyBorder="1" applyAlignment="1">
      <alignment horizontal="center"/>
    </xf>
    <xf numFmtId="164" fontId="56" fillId="9" borderId="23" xfId="39" applyNumberFormat="1" applyFont="1" applyFill="1" applyBorder="1" applyAlignment="1">
      <alignment horizontal="center"/>
    </xf>
    <xf numFmtId="164" fontId="56" fillId="9" borderId="30" xfId="0" applyNumberFormat="1" applyFont="1" applyFill="1" applyBorder="1" applyAlignment="1">
      <alignment horizontal="center"/>
    </xf>
    <xf numFmtId="37" fontId="56" fillId="16" borderId="25" xfId="1" applyNumberFormat="1" applyFont="1" applyFill="1" applyBorder="1" applyAlignment="1">
      <alignment horizontal="center"/>
    </xf>
    <xf numFmtId="164" fontId="56" fillId="16" borderId="26" xfId="39" applyNumberFormat="1" applyFont="1" applyFill="1" applyBorder="1" applyAlignment="1">
      <alignment horizontal="center"/>
    </xf>
    <xf numFmtId="164" fontId="56" fillId="16" borderId="31" xfId="0" applyNumberFormat="1" applyFont="1" applyFill="1" applyBorder="1" applyAlignment="1">
      <alignment horizontal="center"/>
    </xf>
    <xf numFmtId="164" fontId="72" fillId="0" borderId="30" xfId="14" applyNumberFormat="1" applyFont="1" applyFill="1" applyBorder="1" applyAlignment="1">
      <alignment horizontal="center" wrapText="1"/>
    </xf>
    <xf numFmtId="0" fontId="71" fillId="0" borderId="46" xfId="14" applyFont="1" applyFill="1" applyBorder="1" applyAlignment="1">
      <alignment horizontal="center" wrapText="1"/>
    </xf>
    <xf numFmtId="44" fontId="75" fillId="0" borderId="0" xfId="3" applyFont="1"/>
    <xf numFmtId="44" fontId="72" fillId="0" borderId="0" xfId="3" applyFont="1"/>
    <xf numFmtId="44" fontId="81" fillId="0" borderId="0" xfId="3" applyFont="1"/>
    <xf numFmtId="7" fontId="75" fillId="0" borderId="0" xfId="3" applyNumberFormat="1" applyFont="1" applyAlignment="1"/>
    <xf numFmtId="7" fontId="71" fillId="0" borderId="6" xfId="34" applyNumberFormat="1" applyFont="1" applyFill="1" applyBorder="1" applyAlignment="1">
      <alignment horizontal="center" wrapText="1"/>
    </xf>
    <xf numFmtId="7" fontId="72" fillId="0" borderId="0" xfId="16" applyNumberFormat="1" applyFont="1"/>
    <xf numFmtId="7" fontId="72" fillId="0" borderId="0" xfId="3" applyNumberFormat="1" applyFont="1" applyAlignment="1"/>
    <xf numFmtId="7" fontId="81" fillId="0" borderId="0" xfId="14" applyNumberFormat="1" applyFont="1"/>
    <xf numFmtId="7" fontId="81" fillId="0" borderId="0" xfId="3" applyNumberFormat="1" applyFont="1" applyAlignment="1"/>
    <xf numFmtId="7" fontId="71" fillId="0" borderId="58" xfId="21" applyNumberFormat="1" applyFont="1" applyFill="1" applyBorder="1" applyAlignment="1">
      <alignment horizontal="center"/>
    </xf>
    <xf numFmtId="5" fontId="54" fillId="6" borderId="38" xfId="0" applyNumberFormat="1" applyFont="1" applyFill="1" applyBorder="1" applyAlignment="1"/>
    <xf numFmtId="5" fontId="54" fillId="6" borderId="37" xfId="0" applyNumberFormat="1" applyFont="1" applyFill="1" applyBorder="1" applyAlignment="1"/>
    <xf numFmtId="5" fontId="72" fillId="0" borderId="60" xfId="28" applyNumberFormat="1" applyFont="1" applyFill="1" applyBorder="1" applyAlignment="1">
      <alignment wrapText="1"/>
    </xf>
    <xf numFmtId="5" fontId="72" fillId="0" borderId="73" xfId="28" applyNumberFormat="1" applyFont="1" applyFill="1" applyBorder="1" applyAlignment="1">
      <alignment wrapText="1"/>
    </xf>
    <xf numFmtId="5" fontId="72" fillId="0" borderId="37" xfId="28" applyNumberFormat="1" applyFont="1" applyBorder="1" applyAlignment="1"/>
    <xf numFmtId="5" fontId="72" fillId="0" borderId="38" xfId="28" applyNumberFormat="1" applyFont="1" applyBorder="1" applyAlignment="1"/>
    <xf numFmtId="5" fontId="72" fillId="0" borderId="72" xfId="28" applyNumberFormat="1" applyFont="1" applyFill="1" applyBorder="1" applyAlignment="1">
      <alignment wrapText="1"/>
    </xf>
    <xf numFmtId="5" fontId="71" fillId="6" borderId="72" xfId="34" applyNumberFormat="1" applyFont="1" applyFill="1" applyBorder="1" applyAlignment="1">
      <alignment wrapText="1"/>
    </xf>
    <xf numFmtId="5" fontId="71" fillId="6" borderId="60" xfId="34" applyNumberFormat="1" applyFont="1" applyFill="1" applyBorder="1" applyAlignment="1">
      <alignment wrapText="1"/>
    </xf>
    <xf numFmtId="5" fontId="71" fillId="6" borderId="73" xfId="34" applyNumberFormat="1" applyFont="1" applyFill="1" applyBorder="1" applyAlignment="1">
      <alignment wrapText="1"/>
    </xf>
    <xf numFmtId="5" fontId="71" fillId="6" borderId="74" xfId="34" applyNumberFormat="1" applyFont="1" applyFill="1" applyBorder="1" applyAlignment="1">
      <alignment wrapText="1"/>
    </xf>
    <xf numFmtId="5" fontId="72" fillId="0" borderId="72" xfId="34" applyNumberFormat="1" applyFont="1" applyFill="1" applyBorder="1" applyAlignment="1">
      <alignment wrapText="1"/>
    </xf>
    <xf numFmtId="5" fontId="72" fillId="0" borderId="73" xfId="34" applyNumberFormat="1" applyFont="1" applyFill="1" applyBorder="1" applyAlignment="1">
      <alignment wrapText="1"/>
    </xf>
    <xf numFmtId="5" fontId="72" fillId="0" borderId="74" xfId="34" applyNumberFormat="1" applyFont="1" applyFill="1" applyBorder="1" applyAlignment="1">
      <alignment wrapText="1"/>
    </xf>
    <xf numFmtId="5" fontId="72" fillId="0" borderId="72" xfId="3" applyNumberFormat="1" applyFont="1" applyFill="1" applyBorder="1" applyAlignment="1">
      <alignment wrapText="1"/>
    </xf>
    <xf numFmtId="5" fontId="72" fillId="0" borderId="37" xfId="3" applyNumberFormat="1" applyFont="1" applyBorder="1" applyAlignment="1"/>
    <xf numFmtId="167" fontId="72" fillId="0" borderId="0" xfId="16" applyNumberFormat="1" applyFont="1"/>
    <xf numFmtId="167" fontId="81" fillId="0" borderId="0" xfId="14" applyNumberFormat="1" applyFont="1"/>
    <xf numFmtId="167" fontId="73" fillId="0" borderId="0" xfId="0" applyNumberFormat="1" applyFont="1"/>
    <xf numFmtId="0" fontId="86" fillId="0" borderId="0" xfId="36" applyFont="1" applyFill="1" applyBorder="1" applyAlignment="1">
      <alignment horizontal="center"/>
    </xf>
    <xf numFmtId="0" fontId="86" fillId="0" borderId="4" xfId="36" applyFont="1" applyFill="1" applyBorder="1" applyAlignment="1">
      <alignment horizontal="center"/>
    </xf>
    <xf numFmtId="0" fontId="87" fillId="0" borderId="83" xfId="23" applyFont="1" applyFill="1" applyBorder="1" applyAlignment="1">
      <alignment horizontal="center" wrapText="1"/>
    </xf>
    <xf numFmtId="0" fontId="87" fillId="0" borderId="86" xfId="35" applyFont="1" applyFill="1" applyBorder="1" applyAlignment="1">
      <alignment horizontal="left"/>
    </xf>
    <xf numFmtId="0" fontId="87" fillId="0" borderId="95" xfId="35" applyFont="1" applyFill="1" applyBorder="1" applyAlignment="1">
      <alignment horizontal="center" wrapText="1"/>
    </xf>
    <xf numFmtId="0" fontId="87" fillId="0" borderId="91" xfId="35" applyFont="1" applyFill="1" applyBorder="1" applyAlignment="1">
      <alignment horizontal="center" wrapText="1"/>
    </xf>
    <xf numFmtId="0" fontId="87" fillId="0" borderId="94" xfId="35" applyFont="1" applyFill="1" applyBorder="1" applyAlignment="1">
      <alignment horizontal="center" wrapText="1"/>
    </xf>
    <xf numFmtId="167" fontId="73" fillId="0" borderId="0" xfId="0" applyNumberFormat="1" applyFont="1" applyBorder="1"/>
    <xf numFmtId="0" fontId="86" fillId="0" borderId="0" xfId="16" applyFont="1"/>
    <xf numFmtId="0" fontId="86" fillId="0" borderId="0" xfId="16" applyFont="1" applyAlignment="1">
      <alignment horizontal="left"/>
    </xf>
    <xf numFmtId="3" fontId="86" fillId="0" borderId="0" xfId="16" applyNumberFormat="1" applyFont="1"/>
    <xf numFmtId="0" fontId="89" fillId="22" borderId="2" xfId="37" applyFont="1" applyFill="1" applyBorder="1" applyAlignment="1">
      <alignment horizontal="left"/>
    </xf>
    <xf numFmtId="0" fontId="89" fillId="22" borderId="6" xfId="37" applyFont="1" applyFill="1" applyBorder="1" applyAlignment="1">
      <alignment horizontal="left"/>
    </xf>
    <xf numFmtId="176" fontId="89" fillId="6" borderId="58" xfId="3" applyNumberFormat="1" applyFont="1" applyFill="1" applyBorder="1" applyAlignment="1">
      <alignment wrapText="1"/>
    </xf>
    <xf numFmtId="176" fontId="89" fillId="22" borderId="75" xfId="3" applyNumberFormat="1" applyFont="1" applyFill="1" applyBorder="1" applyAlignment="1">
      <alignment horizontal="center"/>
    </xf>
    <xf numFmtId="176" fontId="89" fillId="22" borderId="58" xfId="3" applyNumberFormat="1" applyFont="1" applyFill="1" applyBorder="1" applyAlignment="1">
      <alignment horizontal="center"/>
    </xf>
    <xf numFmtId="176" fontId="89" fillId="22" borderId="76" xfId="3" applyNumberFormat="1" applyFont="1" applyFill="1" applyBorder="1" applyAlignment="1">
      <alignment horizontal="center"/>
    </xf>
    <xf numFmtId="49" fontId="43" fillId="0" borderId="0" xfId="9" applyNumberFormat="1" applyFont="1" applyAlignment="1">
      <alignment horizontal="center"/>
    </xf>
    <xf numFmtId="0" fontId="43" fillId="0" borderId="0" xfId="9" applyFont="1" applyAlignment="1">
      <alignment horizontal="center"/>
    </xf>
    <xf numFmtId="49" fontId="47" fillId="0" borderId="0" xfId="9" applyNumberFormat="1" applyAlignment="1">
      <alignment horizontal="center"/>
    </xf>
    <xf numFmtId="0" fontId="47" fillId="0" borderId="0" xfId="9"/>
    <xf numFmtId="171" fontId="44" fillId="0" borderId="0" xfId="2" applyNumberFormat="1" applyFont="1"/>
    <xf numFmtId="171" fontId="42" fillId="0" borderId="0" xfId="1" applyNumberFormat="1" applyFont="1"/>
    <xf numFmtId="0" fontId="47" fillId="0" borderId="0" xfId="9" applyFont="1"/>
    <xf numFmtId="49" fontId="90" fillId="0" borderId="0" xfId="9" applyNumberFormat="1" applyFont="1" applyAlignment="1">
      <alignment horizontal="left"/>
    </xf>
    <xf numFmtId="49" fontId="43" fillId="8" borderId="0" xfId="9" applyNumberFormat="1" applyFont="1" applyFill="1" applyAlignment="1">
      <alignment horizontal="center"/>
    </xf>
    <xf numFmtId="0" fontId="43" fillId="8" borderId="0" xfId="9" applyFont="1" applyFill="1" applyAlignment="1">
      <alignment horizontal="center"/>
    </xf>
    <xf numFmtId="0" fontId="68" fillId="0" borderId="0" xfId="9" applyFont="1" applyAlignment="1">
      <alignment horizontal="left" vertical="top" wrapText="1"/>
    </xf>
    <xf numFmtId="0" fontId="68" fillId="0" borderId="0" xfId="9" applyFont="1" applyAlignment="1">
      <alignment horizontal="left" vertical="top" wrapText="1"/>
    </xf>
    <xf numFmtId="0" fontId="68" fillId="0" borderId="0" xfId="9" applyFont="1" applyBorder="1" applyAlignment="1">
      <alignment horizontal="left"/>
    </xf>
    <xf numFmtId="49" fontId="63" fillId="0" borderId="0" xfId="9" applyNumberFormat="1" applyFont="1" applyBorder="1" applyAlignment="1">
      <alignment horizontal="center"/>
    </xf>
    <xf numFmtId="0" fontId="63" fillId="0" borderId="0" xfId="9" applyFont="1" applyBorder="1" applyAlignment="1">
      <alignment horizontal="left" wrapText="1"/>
    </xf>
    <xf numFmtId="3" fontId="63" fillId="0" borderId="0" xfId="9" applyNumberFormat="1" applyFont="1" applyBorder="1" applyAlignment="1">
      <alignment horizontal="right" indent="1"/>
    </xf>
    <xf numFmtId="3" fontId="63" fillId="0" borderId="0" xfId="9" applyNumberFormat="1" applyFont="1" applyBorder="1" applyAlignment="1">
      <alignment horizontal="right" indent="2"/>
    </xf>
    <xf numFmtId="0" fontId="68" fillId="0" borderId="12" xfId="9" applyFont="1" applyBorder="1" applyAlignment="1">
      <alignment horizontal="center" wrapText="1"/>
    </xf>
    <xf numFmtId="3" fontId="63" fillId="0" borderId="12" xfId="9" applyNumberFormat="1" applyFont="1" applyBorder="1" applyAlignment="1">
      <alignment horizontal="right" indent="1"/>
    </xf>
    <xf numFmtId="0" fontId="68" fillId="0" borderId="0" xfId="9" applyFont="1" applyBorder="1" applyAlignment="1"/>
    <xf numFmtId="0" fontId="71" fillId="0" borderId="12" xfId="14" applyFont="1" applyFill="1" applyBorder="1" applyAlignment="1">
      <alignment horizontal="center"/>
    </xf>
    <xf numFmtId="3" fontId="75" fillId="0" borderId="12" xfId="0" applyNumberFormat="1" applyFont="1" applyBorder="1"/>
    <xf numFmtId="3" fontId="72" fillId="0" borderId="24" xfId="33" applyNumberFormat="1" applyFont="1" applyFill="1" applyBorder="1" applyAlignment="1">
      <alignment horizontal="right" wrapText="1"/>
    </xf>
    <xf numFmtId="3" fontId="72" fillId="0" borderId="0" xfId="16" applyNumberFormat="1" applyFont="1" applyBorder="1"/>
    <xf numFmtId="0" fontId="71" fillId="0" borderId="48" xfId="33" applyFont="1" applyFill="1" applyBorder="1" applyAlignment="1">
      <alignment horizontal="center" wrapText="1"/>
    </xf>
    <xf numFmtId="0" fontId="59" fillId="0" borderId="0" xfId="0" applyFont="1" applyBorder="1" applyAlignment="1">
      <alignment horizontal="left" vertical="top" wrapText="1"/>
    </xf>
    <xf numFmtId="0" fontId="30" fillId="0" borderId="0" xfId="15" applyFont="1" applyAlignment="1">
      <alignment horizontal="left" wrapText="1"/>
    </xf>
    <xf numFmtId="0" fontId="75" fillId="0" borderId="0" xfId="15" applyFont="1" applyAlignment="1">
      <alignment horizontal="left" wrapText="1"/>
    </xf>
    <xf numFmtId="3" fontId="75" fillId="23" borderId="0" xfId="0" applyNumberFormat="1" applyFont="1" applyFill="1"/>
    <xf numFmtId="9" fontId="75" fillId="23" borderId="34" xfId="39" applyFont="1" applyFill="1" applyBorder="1"/>
    <xf numFmtId="9" fontId="75" fillId="23" borderId="0" xfId="39" applyFont="1" applyFill="1" applyBorder="1"/>
    <xf numFmtId="9" fontId="75" fillId="23" borderId="33" xfId="39" applyFont="1" applyFill="1" applyBorder="1"/>
    <xf numFmtId="9" fontId="75" fillId="23" borderId="0" xfId="39" applyFont="1" applyFill="1"/>
    <xf numFmtId="171" fontId="71" fillId="23" borderId="22" xfId="1" applyNumberFormat="1" applyFont="1" applyFill="1" applyBorder="1" applyAlignment="1">
      <alignment horizontal="center" wrapText="1"/>
    </xf>
    <xf numFmtId="171" fontId="71" fillId="23" borderId="24" xfId="1" applyNumberFormat="1" applyFont="1" applyFill="1" applyBorder="1" applyAlignment="1">
      <alignment horizontal="center" wrapText="1"/>
    </xf>
    <xf numFmtId="3" fontId="71" fillId="23" borderId="22" xfId="14" applyNumberFormat="1" applyFont="1" applyFill="1" applyBorder="1" applyAlignment="1">
      <alignment horizontal="right" wrapText="1"/>
    </xf>
    <xf numFmtId="3" fontId="71" fillId="23" borderId="24" xfId="14" applyNumberFormat="1" applyFont="1" applyFill="1" applyBorder="1" applyAlignment="1">
      <alignment horizontal="right" wrapText="1"/>
    </xf>
    <xf numFmtId="3" fontId="71" fillId="23" borderId="53" xfId="14" applyNumberFormat="1" applyFont="1" applyFill="1" applyBorder="1" applyAlignment="1">
      <alignment horizontal="right" wrapText="1"/>
    </xf>
    <xf numFmtId="171" fontId="69" fillId="23" borderId="22" xfId="1" applyNumberFormat="1" applyFont="1" applyFill="1" applyBorder="1"/>
    <xf numFmtId="3" fontId="54" fillId="23" borderId="24" xfId="0" applyNumberFormat="1" applyFont="1" applyFill="1" applyBorder="1"/>
    <xf numFmtId="0" fontId="71" fillId="23" borderId="0" xfId="14" quotePrefix="1" applyFont="1" applyFill="1" applyBorder="1" applyAlignment="1">
      <alignment horizontal="right" wrapText="1" indent="1"/>
    </xf>
    <xf numFmtId="0" fontId="71" fillId="23" borderId="0" xfId="14" applyFont="1" applyFill="1" applyBorder="1" applyAlignment="1">
      <alignment horizontal="left" wrapText="1"/>
    </xf>
    <xf numFmtId="0" fontId="71" fillId="23" borderId="0" xfId="14" applyFont="1" applyFill="1" applyBorder="1" applyAlignment="1">
      <alignment horizontal="center" wrapText="1"/>
    </xf>
    <xf numFmtId="164" fontId="71" fillId="23" borderId="22" xfId="14" applyNumberFormat="1" applyFont="1" applyFill="1" applyBorder="1" applyAlignment="1">
      <alignment horizontal="center" wrapText="1"/>
    </xf>
    <xf numFmtId="164" fontId="71" fillId="23" borderId="53" xfId="14" applyNumberFormat="1" applyFont="1" applyFill="1" applyBorder="1" applyAlignment="1">
      <alignment horizontal="center" wrapText="1"/>
    </xf>
    <xf numFmtId="164" fontId="71" fillId="23" borderId="24" xfId="14" applyNumberFormat="1" applyFont="1" applyFill="1" applyBorder="1" applyAlignment="1">
      <alignment horizontal="center" wrapText="1"/>
    </xf>
    <xf numFmtId="164" fontId="71" fillId="23" borderId="23" xfId="14" applyNumberFormat="1" applyFont="1" applyFill="1" applyBorder="1" applyAlignment="1">
      <alignment horizontal="center" wrapText="1"/>
    </xf>
    <xf numFmtId="164" fontId="71" fillId="23" borderId="30" xfId="14" applyNumberFormat="1" applyFont="1" applyFill="1" applyBorder="1" applyAlignment="1">
      <alignment horizontal="center" wrapText="1"/>
    </xf>
    <xf numFmtId="9" fontId="96" fillId="0" borderId="0" xfId="39" applyFont="1" applyAlignment="1">
      <alignment vertical="center"/>
    </xf>
    <xf numFmtId="0" fontId="67" fillId="0" borderId="0" xfId="0" applyFont="1" applyFill="1" applyBorder="1" applyAlignment="1">
      <alignment vertical="center" wrapText="1"/>
    </xf>
    <xf numFmtId="171" fontId="97" fillId="0" borderId="0" xfId="1" applyNumberFormat="1" applyFont="1" applyFill="1" applyAlignment="1">
      <alignment vertical="center"/>
    </xf>
    <xf numFmtId="0" fontId="59" fillId="0" borderId="0" xfId="0" applyFont="1" applyBorder="1" applyAlignment="1">
      <alignment horizontal="center" vertical="top" wrapText="1"/>
    </xf>
    <xf numFmtId="3" fontId="54" fillId="6" borderId="30" xfId="15" applyNumberFormat="1" applyFont="1" applyFill="1" applyBorder="1"/>
    <xf numFmtId="0" fontId="59" fillId="0" borderId="12" xfId="0" applyFont="1" applyBorder="1" applyAlignment="1">
      <alignment vertical="top" wrapText="1"/>
    </xf>
    <xf numFmtId="3" fontId="56" fillId="0" borderId="0" xfId="0" applyNumberFormat="1" applyFont="1" applyBorder="1" applyAlignment="1">
      <alignment horizontal="right" indent="1"/>
    </xf>
    <xf numFmtId="3" fontId="56" fillId="0" borderId="34" xfId="0" applyNumberFormat="1" applyFont="1" applyFill="1" applyBorder="1" applyAlignment="1">
      <alignment horizontal="right" indent="1"/>
    </xf>
    <xf numFmtId="49" fontId="83" fillId="0" borderId="0" xfId="19" applyNumberFormat="1" applyFont="1" applyBorder="1" applyAlignment="1">
      <alignment horizontal="center" wrapText="1"/>
    </xf>
    <xf numFmtId="0" fontId="30" fillId="0" borderId="0" xfId="0" applyFont="1" applyAlignment="1">
      <alignment horizontal="left" vertical="top" wrapText="1"/>
    </xf>
    <xf numFmtId="0" fontId="30" fillId="0" borderId="0" xfId="15" applyFont="1" applyAlignment="1">
      <alignment horizontal="left" wrapText="1"/>
    </xf>
    <xf numFmtId="0" fontId="106" fillId="7" borderId="145" xfId="0" applyFont="1" applyFill="1" applyBorder="1" applyAlignment="1"/>
    <xf numFmtId="0" fontId="107" fillId="0" borderId="34" xfId="0" applyFont="1" applyFill="1" applyBorder="1" applyAlignment="1"/>
    <xf numFmtId="0" fontId="107" fillId="0" borderId="36" xfId="0" applyFont="1" applyFill="1" applyBorder="1" applyAlignment="1"/>
    <xf numFmtId="0" fontId="108" fillId="0" borderId="0" xfId="0" applyFont="1" applyBorder="1" applyAlignment="1">
      <alignment horizontal="left" vertical="top" wrapText="1"/>
    </xf>
    <xf numFmtId="0" fontId="109" fillId="0" borderId="34" xfId="0" applyFont="1" applyFill="1" applyBorder="1" applyAlignment="1">
      <alignment vertical="center" wrapText="1"/>
    </xf>
    <xf numFmtId="0" fontId="106" fillId="0" borderId="34" xfId="0" applyFont="1" applyFill="1" applyBorder="1" applyAlignment="1"/>
    <xf numFmtId="37" fontId="106" fillId="7" borderId="133" xfId="1" applyNumberFormat="1" applyFont="1" applyFill="1" applyBorder="1" applyAlignment="1">
      <alignment horizontal="center"/>
    </xf>
    <xf numFmtId="9" fontId="106" fillId="7" borderId="133" xfId="39" applyNumberFormat="1" applyFont="1" applyFill="1" applyBorder="1" applyAlignment="1">
      <alignment horizontal="center"/>
    </xf>
    <xf numFmtId="9" fontId="106" fillId="7" borderId="133" xfId="39" applyFont="1" applyFill="1" applyBorder="1" applyAlignment="1">
      <alignment horizontal="center"/>
    </xf>
    <xf numFmtId="37" fontId="107" fillId="0" borderId="30" xfId="1" applyNumberFormat="1" applyFont="1" applyFill="1" applyBorder="1" applyAlignment="1">
      <alignment horizontal="center"/>
    </xf>
    <xf numFmtId="9" fontId="107" fillId="0" borderId="30" xfId="39" applyNumberFormat="1" applyFont="1" applyFill="1" applyBorder="1" applyAlignment="1">
      <alignment horizontal="center"/>
    </xf>
    <xf numFmtId="9" fontId="107" fillId="0" borderId="30" xfId="39" applyFont="1" applyBorder="1" applyAlignment="1">
      <alignment horizontal="center"/>
    </xf>
    <xf numFmtId="37" fontId="107" fillId="0" borderId="31" xfId="1" applyNumberFormat="1" applyFont="1" applyFill="1" applyBorder="1" applyAlignment="1">
      <alignment horizontal="center"/>
    </xf>
    <xf numFmtId="9" fontId="107" fillId="0" borderId="31" xfId="39" applyNumberFormat="1" applyFont="1" applyFill="1" applyBorder="1" applyAlignment="1">
      <alignment horizontal="center"/>
    </xf>
    <xf numFmtId="9" fontId="107" fillId="0" borderId="31" xfId="39" applyFont="1" applyBorder="1" applyAlignment="1">
      <alignment horizontal="center"/>
    </xf>
    <xf numFmtId="0" fontId="69" fillId="23" borderId="157" xfId="19" quotePrefix="1" applyFont="1" applyFill="1" applyBorder="1" applyAlignment="1">
      <alignment horizontal="center" vertical="top"/>
    </xf>
    <xf numFmtId="49" fontId="83" fillId="23" borderId="158" xfId="19" applyNumberFormat="1" applyFont="1" applyFill="1" applyBorder="1" applyAlignment="1">
      <alignment vertical="top" wrapText="1"/>
    </xf>
    <xf numFmtId="49" fontId="83" fillId="23" borderId="157" xfId="19" applyNumberFormat="1" applyFont="1" applyFill="1" applyBorder="1" applyAlignment="1">
      <alignment vertical="top" wrapText="1"/>
    </xf>
    <xf numFmtId="3" fontId="69" fillId="8" borderId="157" xfId="19" applyNumberFormat="1" applyFont="1" applyFill="1" applyBorder="1" applyAlignment="1">
      <alignment vertical="top"/>
    </xf>
    <xf numFmtId="0" fontId="54" fillId="0" borderId="159" xfId="15" applyFont="1" applyBorder="1" applyAlignment="1">
      <alignment horizontal="left" wrapText="1"/>
    </xf>
    <xf numFmtId="0" fontId="54" fillId="6" borderId="159" xfId="15" applyFont="1" applyFill="1" applyBorder="1" applyAlignment="1">
      <alignment horizontal="left" wrapText="1"/>
    </xf>
    <xf numFmtId="0" fontId="75" fillId="0" borderId="41" xfId="15" applyFont="1" applyFill="1" applyBorder="1" applyAlignment="1">
      <alignment vertical="top"/>
    </xf>
    <xf numFmtId="0" fontId="75" fillId="0" borderId="34" xfId="15" applyFont="1" applyFill="1" applyBorder="1" applyAlignment="1">
      <alignment vertical="top"/>
    </xf>
    <xf numFmtId="0" fontId="75" fillId="0" borderId="36" xfId="15" applyFont="1" applyFill="1" applyBorder="1" applyAlignment="1">
      <alignment vertical="top"/>
    </xf>
    <xf numFmtId="0" fontId="54" fillId="0" borderId="20" xfId="15" applyFont="1" applyFill="1" applyBorder="1" applyAlignment="1">
      <alignment horizontal="center" wrapText="1"/>
    </xf>
    <xf numFmtId="3" fontId="24" fillId="0" borderId="23" xfId="0" applyNumberFormat="1" applyFont="1" applyFill="1" applyBorder="1" applyAlignment="1" applyProtection="1">
      <alignment horizontal="right" vertical="center"/>
    </xf>
    <xf numFmtId="3" fontId="24" fillId="0" borderId="22" xfId="0" applyNumberFormat="1" applyFont="1" applyFill="1" applyBorder="1" applyAlignment="1" applyProtection="1">
      <alignment horizontal="right" vertical="center"/>
      <protection locked="0"/>
    </xf>
    <xf numFmtId="3" fontId="24" fillId="0" borderId="24" xfId="0" applyNumberFormat="1" applyFont="1" applyFill="1" applyBorder="1" applyAlignment="1" applyProtection="1">
      <alignment horizontal="right" vertical="center"/>
    </xf>
    <xf numFmtId="3" fontId="24" fillId="0" borderId="24" xfId="0" applyNumberFormat="1" applyFont="1" applyFill="1" applyBorder="1" applyAlignment="1" applyProtection="1">
      <alignment horizontal="right" vertical="center"/>
      <protection locked="0"/>
    </xf>
    <xf numFmtId="3" fontId="24" fillId="0" borderId="25" xfId="0" applyNumberFormat="1" applyFont="1" applyFill="1" applyBorder="1" applyAlignment="1" applyProtection="1">
      <alignment horizontal="right" vertical="center"/>
      <protection locked="0"/>
    </xf>
    <xf numFmtId="3" fontId="24" fillId="0" borderId="27" xfId="0" applyNumberFormat="1" applyFont="1" applyFill="1" applyBorder="1" applyAlignment="1" applyProtection="1">
      <alignment horizontal="right" vertical="center"/>
    </xf>
    <xf numFmtId="3" fontId="24" fillId="0" borderId="27" xfId="0" applyNumberFormat="1" applyFont="1" applyFill="1" applyBorder="1" applyAlignment="1" applyProtection="1">
      <alignment horizontal="right" vertical="center"/>
      <protection locked="0"/>
    </xf>
    <xf numFmtId="3" fontId="24" fillId="0" borderId="26" xfId="0" applyNumberFormat="1" applyFont="1" applyFill="1" applyBorder="1" applyAlignment="1" applyProtection="1">
      <alignment horizontal="right" vertical="center"/>
    </xf>
    <xf numFmtId="172" fontId="24" fillId="0" borderId="29" xfId="0" applyNumberFormat="1" applyFont="1" applyFill="1" applyBorder="1" applyAlignment="1" applyProtection="1">
      <alignment vertical="center"/>
    </xf>
    <xf numFmtId="49" fontId="24" fillId="0" borderId="29" xfId="0" applyNumberFormat="1" applyFont="1" applyFill="1" applyBorder="1" applyAlignment="1">
      <alignment vertical="center"/>
    </xf>
    <xf numFmtId="3" fontId="24" fillId="0" borderId="24" xfId="39" applyNumberFormat="1" applyFont="1" applyFill="1" applyBorder="1" applyAlignment="1" applyProtection="1">
      <alignment horizontal="center" vertical="center"/>
    </xf>
    <xf numFmtId="3" fontId="26" fillId="6" borderId="160" xfId="0" applyNumberFormat="1" applyFont="1" applyFill="1" applyBorder="1" applyAlignment="1" applyProtection="1">
      <alignment horizontal="right" vertical="center"/>
    </xf>
    <xf numFmtId="3" fontId="26" fillId="6" borderId="20" xfId="0" applyNumberFormat="1" applyFont="1" applyFill="1" applyBorder="1" applyAlignment="1" applyProtection="1">
      <alignment horizontal="right" vertical="center"/>
    </xf>
    <xf numFmtId="3" fontId="26" fillId="6" borderId="20" xfId="39" applyNumberFormat="1" applyFont="1" applyFill="1" applyBorder="1" applyAlignment="1" applyProtection="1">
      <alignment horizontal="right" vertical="center"/>
    </xf>
    <xf numFmtId="3" fontId="26" fillId="6" borderId="20" xfId="0" applyNumberFormat="1" applyFont="1" applyFill="1" applyBorder="1" applyAlignment="1">
      <alignment horizontal="right" vertical="center"/>
    </xf>
    <xf numFmtId="3" fontId="26" fillId="6" borderId="21" xfId="0" applyNumberFormat="1" applyFont="1" applyFill="1" applyBorder="1" applyAlignment="1">
      <alignment horizontal="right" vertical="center"/>
    </xf>
    <xf numFmtId="3" fontId="24" fillId="0" borderId="24" xfId="39" applyNumberFormat="1" applyFont="1" applyFill="1" applyBorder="1" applyAlignment="1" applyProtection="1">
      <alignment horizontal="right" vertical="center"/>
    </xf>
    <xf numFmtId="3" fontId="24" fillId="0" borderId="24" xfId="0" applyNumberFormat="1" applyFont="1" applyFill="1" applyBorder="1" applyAlignment="1">
      <alignment horizontal="right" vertical="center"/>
    </xf>
    <xf numFmtId="3" fontId="24" fillId="0" borderId="27" xfId="39" applyNumberFormat="1" applyFont="1" applyFill="1" applyBorder="1" applyAlignment="1" applyProtection="1">
      <alignment horizontal="right" vertical="center"/>
    </xf>
    <xf numFmtId="172" fontId="26" fillId="0" borderId="160" xfId="0" applyNumberFormat="1" applyFont="1" applyFill="1" applyBorder="1" applyAlignment="1" applyProtection="1">
      <alignment horizontal="center" vertical="center"/>
    </xf>
    <xf numFmtId="172" fontId="26" fillId="0" borderId="20" xfId="0" applyNumberFormat="1" applyFont="1" applyFill="1" applyBorder="1" applyAlignment="1" applyProtection="1">
      <alignment horizontal="center" vertical="center"/>
    </xf>
    <xf numFmtId="172" fontId="26" fillId="0" borderId="20" xfId="0" applyNumberFormat="1" applyFont="1" applyFill="1" applyBorder="1" applyAlignment="1">
      <alignment horizontal="center" vertical="center"/>
    </xf>
    <xf numFmtId="172" fontId="26" fillId="0" borderId="20" xfId="0" applyNumberFormat="1" applyFont="1" applyFill="1" applyBorder="1"/>
    <xf numFmtId="172" fontId="26" fillId="0" borderId="21" xfId="0" applyNumberFormat="1" applyFont="1" applyFill="1" applyBorder="1"/>
    <xf numFmtId="3" fontId="24" fillId="0" borderId="22" xfId="0" applyNumberFormat="1" applyFont="1" applyFill="1" applyBorder="1"/>
    <xf numFmtId="3" fontId="24" fillId="0" borderId="24" xfId="0" applyNumberFormat="1" applyFont="1" applyFill="1" applyBorder="1"/>
    <xf numFmtId="3" fontId="26" fillId="6" borderId="160" xfId="0" applyNumberFormat="1" applyFont="1" applyFill="1" applyBorder="1"/>
    <xf numFmtId="3" fontId="26" fillId="6" borderId="20" xfId="0" applyNumberFormat="1" applyFont="1" applyFill="1" applyBorder="1"/>
    <xf numFmtId="3" fontId="26" fillId="6" borderId="21" xfId="0" applyNumberFormat="1" applyFont="1" applyFill="1" applyBorder="1"/>
    <xf numFmtId="172" fontId="26" fillId="0" borderId="160" xfId="0" applyNumberFormat="1" applyFont="1" applyFill="1" applyBorder="1"/>
    <xf numFmtId="9" fontId="24" fillId="0" borderId="22" xfId="39" applyFont="1" applyFill="1" applyBorder="1"/>
    <xf numFmtId="9" fontId="24" fillId="0" borderId="24" xfId="39" applyFont="1" applyFill="1" applyBorder="1"/>
    <xf numFmtId="9" fontId="24" fillId="0" borderId="22" xfId="0" applyNumberFormat="1" applyFont="1" applyFill="1" applyBorder="1"/>
    <xf numFmtId="9" fontId="24" fillId="0" borderId="24" xfId="0" applyNumberFormat="1" applyFont="1" applyFill="1" applyBorder="1"/>
    <xf numFmtId="9" fontId="26" fillId="6" borderId="160" xfId="39" applyFont="1" applyFill="1" applyBorder="1"/>
    <xf numFmtId="9" fontId="26" fillId="6" borderId="20" xfId="39" applyFont="1" applyFill="1" applyBorder="1"/>
    <xf numFmtId="9" fontId="26" fillId="6" borderId="21" xfId="39" applyFont="1" applyFill="1" applyBorder="1"/>
    <xf numFmtId="3" fontId="24" fillId="0" borderId="22" xfId="0" applyNumberFormat="1" applyFont="1" applyFill="1" applyBorder="1" applyAlignment="1" applyProtection="1">
      <alignment vertical="center"/>
      <protection locked="0"/>
    </xf>
    <xf numFmtId="3" fontId="24" fillId="0" borderId="24" xfId="0" applyNumberFormat="1" applyFont="1" applyFill="1" applyBorder="1" applyAlignment="1" applyProtection="1">
      <alignment vertical="center"/>
    </xf>
    <xf numFmtId="3" fontId="24" fillId="0" borderId="24" xfId="0" applyNumberFormat="1" applyFont="1" applyFill="1" applyBorder="1" applyAlignment="1" applyProtection="1">
      <alignment vertical="center"/>
      <protection locked="0"/>
    </xf>
    <xf numFmtId="9" fontId="0" fillId="0" borderId="0" xfId="39" applyFont="1"/>
    <xf numFmtId="49" fontId="75" fillId="0" borderId="0" xfId="9" applyNumberFormat="1" applyFont="1" applyBorder="1" applyAlignment="1">
      <alignment horizontal="center"/>
    </xf>
    <xf numFmtId="49" fontId="75" fillId="0" borderId="0" xfId="9" quotePrefix="1" applyNumberFormat="1" applyFont="1" applyBorder="1" applyAlignment="1">
      <alignment horizontal="center"/>
    </xf>
    <xf numFmtId="0" fontId="54" fillId="0" borderId="0" xfId="9" applyFont="1" applyBorder="1" applyAlignment="1">
      <alignment horizontal="right" wrapText="1"/>
    </xf>
    <xf numFmtId="0" fontId="106" fillId="31" borderId="156" xfId="0" applyFont="1" applyFill="1" applyBorder="1" applyAlignment="1">
      <alignment horizontal="center" vertical="center"/>
    </xf>
    <xf numFmtId="0" fontId="106" fillId="31" borderId="143" xfId="0" applyFont="1" applyFill="1" applyBorder="1" applyAlignment="1">
      <alignment horizontal="center"/>
    </xf>
    <xf numFmtId="165" fontId="26" fillId="6" borderId="160" xfId="39" applyNumberFormat="1" applyFont="1" applyFill="1" applyBorder="1"/>
    <xf numFmtId="165" fontId="26" fillId="6" borderId="20" xfId="39" applyNumberFormat="1" applyFont="1" applyFill="1" applyBorder="1"/>
    <xf numFmtId="165" fontId="24" fillId="0" borderId="22" xfId="39" applyNumberFormat="1" applyFont="1" applyFill="1" applyBorder="1"/>
    <xf numFmtId="165" fontId="24" fillId="0" borderId="24" xfId="39" applyNumberFormat="1" applyFont="1" applyFill="1" applyBorder="1"/>
    <xf numFmtId="165" fontId="24" fillId="0" borderId="22" xfId="0" applyNumberFormat="1" applyFont="1" applyFill="1" applyBorder="1"/>
    <xf numFmtId="165" fontId="24" fillId="0" borderId="24" xfId="0" applyNumberFormat="1" applyFont="1" applyFill="1" applyBorder="1"/>
    <xf numFmtId="165" fontId="0" fillId="0" borderId="0" xfId="39" applyNumberFormat="1" applyFont="1"/>
    <xf numFmtId="0" fontId="69" fillId="0" borderId="0" xfId="0" applyFont="1"/>
    <xf numFmtId="0" fontId="70" fillId="0" borderId="0" xfId="0" applyFont="1"/>
    <xf numFmtId="0" fontId="114" fillId="0" borderId="0" xfId="0" applyFont="1"/>
    <xf numFmtId="0" fontId="114" fillId="0" borderId="12" xfId="0" applyFont="1" applyBorder="1"/>
    <xf numFmtId="0" fontId="114" fillId="0" borderId="160" xfId="0" applyFont="1" applyBorder="1"/>
    <xf numFmtId="0" fontId="114" fillId="0" borderId="20" xfId="0" applyFont="1" applyBorder="1"/>
    <xf numFmtId="0" fontId="114" fillId="0" borderId="21" xfId="0" applyFont="1" applyBorder="1"/>
    <xf numFmtId="3" fontId="70" fillId="0" borderId="22" xfId="0" applyNumberFormat="1" applyFont="1" applyBorder="1"/>
    <xf numFmtId="3" fontId="70" fillId="0" borderId="162" xfId="0" applyNumberFormat="1" applyFont="1" applyBorder="1"/>
    <xf numFmtId="3" fontId="70" fillId="0" borderId="161" xfId="0" applyNumberFormat="1" applyFont="1" applyBorder="1"/>
    <xf numFmtId="0" fontId="115" fillId="0" borderId="0" xfId="4" applyFont="1" applyAlignment="1" applyProtection="1"/>
    <xf numFmtId="49" fontId="70" fillId="7" borderId="0" xfId="0" applyNumberFormat="1" applyFont="1" applyFill="1"/>
    <xf numFmtId="0" fontId="114" fillId="7" borderId="0" xfId="0" applyFont="1" applyFill="1"/>
    <xf numFmtId="3" fontId="114" fillId="7" borderId="22" xfId="0" applyNumberFormat="1" applyFont="1" applyFill="1" applyBorder="1"/>
    <xf numFmtId="3" fontId="114" fillId="7" borderId="24" xfId="0" applyNumberFormat="1" applyFont="1" applyFill="1" applyBorder="1"/>
    <xf numFmtId="3" fontId="114" fillId="7" borderId="161" xfId="0" applyNumberFormat="1" applyFont="1" applyFill="1" applyBorder="1"/>
    <xf numFmtId="3" fontId="114" fillId="7" borderId="162" xfId="0" applyNumberFormat="1" applyFont="1" applyFill="1" applyBorder="1"/>
    <xf numFmtId="0" fontId="70" fillId="0" borderId="12" xfId="0" applyFont="1" applyBorder="1"/>
    <xf numFmtId="3" fontId="70" fillId="0" borderId="25" xfId="0" applyNumberFormat="1" applyFont="1" applyBorder="1"/>
    <xf numFmtId="3" fontId="70" fillId="0" borderId="27" xfId="0" applyNumberFormat="1" applyFont="1" applyBorder="1"/>
    <xf numFmtId="3" fontId="70" fillId="0" borderId="163" xfId="0" applyNumberFormat="1" applyFont="1" applyBorder="1"/>
    <xf numFmtId="3" fontId="70" fillId="0" borderId="164" xfId="0" applyNumberFormat="1" applyFont="1" applyBorder="1"/>
    <xf numFmtId="3" fontId="70" fillId="0" borderId="165" xfId="0" applyNumberFormat="1" applyFont="1" applyBorder="1"/>
    <xf numFmtId="165" fontId="70" fillId="0" borderId="22" xfId="0" applyNumberFormat="1" applyFont="1" applyBorder="1"/>
    <xf numFmtId="165" fontId="70" fillId="0" borderId="162" xfId="0" applyNumberFormat="1" applyFont="1" applyBorder="1"/>
    <xf numFmtId="165" fontId="70" fillId="0" borderId="161" xfId="0" applyNumberFormat="1" applyFont="1" applyBorder="1"/>
    <xf numFmtId="165" fontId="114" fillId="7" borderId="22" xfId="0" applyNumberFormat="1" applyFont="1" applyFill="1" applyBorder="1" applyAlignment="1">
      <alignment horizontal="right"/>
    </xf>
    <xf numFmtId="165" fontId="114" fillId="7" borderId="162" xfId="0" applyNumberFormat="1" applyFont="1" applyFill="1" applyBorder="1" applyAlignment="1">
      <alignment horizontal="right"/>
    </xf>
    <xf numFmtId="165" fontId="114" fillId="7" borderId="161" xfId="0" applyNumberFormat="1" applyFont="1" applyFill="1" applyBorder="1" applyAlignment="1">
      <alignment horizontal="right"/>
    </xf>
    <xf numFmtId="165" fontId="70" fillId="0" borderId="22" xfId="0" applyNumberFormat="1" applyFont="1" applyBorder="1" applyAlignment="1">
      <alignment horizontal="right"/>
    </xf>
    <xf numFmtId="165" fontId="70" fillId="0" borderId="162" xfId="0" applyNumberFormat="1" applyFont="1" applyBorder="1" applyAlignment="1">
      <alignment horizontal="right"/>
    </xf>
    <xf numFmtId="165" fontId="70" fillId="0" borderId="161" xfId="0" applyNumberFormat="1" applyFont="1" applyBorder="1" applyAlignment="1">
      <alignment horizontal="right"/>
    </xf>
    <xf numFmtId="165" fontId="70" fillId="0" borderId="25" xfId="0" applyNumberFormat="1" applyFont="1" applyBorder="1" applyAlignment="1">
      <alignment horizontal="right"/>
    </xf>
    <xf numFmtId="165" fontId="70" fillId="0" borderId="27" xfId="0" applyNumberFormat="1" applyFont="1" applyBorder="1" applyAlignment="1">
      <alignment horizontal="right"/>
    </xf>
    <xf numFmtId="165" fontId="70" fillId="0" borderId="163" xfId="0" applyNumberFormat="1" applyFont="1" applyBorder="1" applyAlignment="1">
      <alignment horizontal="right"/>
    </xf>
    <xf numFmtId="165" fontId="106" fillId="7" borderId="133" xfId="39" applyNumberFormat="1" applyFont="1" applyFill="1" applyBorder="1" applyAlignment="1">
      <alignment horizontal="center"/>
    </xf>
    <xf numFmtId="165" fontId="107" fillId="0" borderId="30" xfId="39" applyNumberFormat="1" applyFont="1" applyFill="1" applyBorder="1" applyAlignment="1">
      <alignment horizontal="center"/>
    </xf>
    <xf numFmtId="165" fontId="107" fillId="0" borderId="31" xfId="39" applyNumberFormat="1" applyFont="1" applyFill="1" applyBorder="1" applyAlignment="1">
      <alignment horizontal="center"/>
    </xf>
    <xf numFmtId="165" fontId="107" fillId="0" borderId="30" xfId="39" applyNumberFormat="1" applyFont="1" applyBorder="1" applyAlignment="1">
      <alignment horizontal="center"/>
    </xf>
    <xf numFmtId="165" fontId="107" fillId="0" borderId="31" xfId="39" applyNumberFormat="1" applyFont="1" applyBorder="1" applyAlignment="1">
      <alignment horizontal="center"/>
    </xf>
    <xf numFmtId="49" fontId="57" fillId="19" borderId="121" xfId="0" applyNumberFormat="1" applyFont="1" applyFill="1" applyBorder="1" applyAlignment="1">
      <alignment horizontal="center"/>
    </xf>
    <xf numFmtId="3" fontId="56" fillId="0" borderId="162" xfId="0" applyNumberFormat="1" applyFont="1" applyFill="1" applyBorder="1" applyAlignment="1">
      <alignment horizontal="right" indent="1"/>
    </xf>
    <xf numFmtId="0" fontId="56" fillId="0" borderId="142" xfId="0" applyFont="1" applyFill="1" applyBorder="1" applyAlignment="1">
      <alignment horizontal="right" indent="1"/>
    </xf>
    <xf numFmtId="0" fontId="56" fillId="0" borderId="139" xfId="0" applyFont="1" applyFill="1" applyBorder="1" applyAlignment="1">
      <alignment horizontal="right" indent="1"/>
    </xf>
    <xf numFmtId="171" fontId="69" fillId="23" borderId="22" xfId="14" applyNumberFormat="1" applyFont="1" applyFill="1" applyBorder="1"/>
    <xf numFmtId="0" fontId="75" fillId="0" borderId="0" xfId="0" applyFont="1" applyFill="1"/>
    <xf numFmtId="9" fontId="73" fillId="0" borderId="0" xfId="1" applyNumberFormat="1" applyFont="1"/>
    <xf numFmtId="37" fontId="73" fillId="0" borderId="0" xfId="1" applyNumberFormat="1" applyFont="1"/>
    <xf numFmtId="9" fontId="73" fillId="0" borderId="0" xfId="0" applyNumberFormat="1" applyFont="1"/>
    <xf numFmtId="171" fontId="55" fillId="6" borderId="159" xfId="1" applyNumberFormat="1" applyFont="1" applyFill="1" applyBorder="1"/>
    <xf numFmtId="171" fontId="55" fillId="6" borderId="157" xfId="1" applyNumberFormat="1" applyFont="1" applyFill="1" applyBorder="1"/>
    <xf numFmtId="9" fontId="55" fillId="6" borderId="157" xfId="39" applyFont="1" applyFill="1" applyBorder="1"/>
    <xf numFmtId="0" fontId="0" fillId="0" borderId="157" xfId="0" applyBorder="1"/>
    <xf numFmtId="37" fontId="55" fillId="6" borderId="157" xfId="1" applyNumberFormat="1" applyFont="1" applyFill="1" applyBorder="1"/>
    <xf numFmtId="0" fontId="116" fillId="6" borderId="157" xfId="0" applyFont="1" applyFill="1" applyBorder="1"/>
    <xf numFmtId="49" fontId="26" fillId="0" borderId="29" xfId="0" applyNumberFormat="1" applyFont="1" applyFill="1" applyBorder="1" applyAlignment="1">
      <alignment vertical="center"/>
    </xf>
    <xf numFmtId="172" fontId="26" fillId="0" borderId="29" xfId="0" applyNumberFormat="1" applyFont="1" applyFill="1" applyBorder="1" applyAlignment="1" applyProtection="1">
      <alignment vertical="center"/>
    </xf>
    <xf numFmtId="0" fontId="24" fillId="0" borderId="0" xfId="0" applyNumberFormat="1" applyFont="1" applyFill="1" applyBorder="1" applyAlignment="1">
      <alignment horizontal="left"/>
    </xf>
    <xf numFmtId="3" fontId="73" fillId="0" borderId="0" xfId="1" applyNumberFormat="1" applyFont="1" applyFill="1" applyBorder="1"/>
    <xf numFmtId="3" fontId="73" fillId="0" borderId="0" xfId="1" applyNumberFormat="1" applyFont="1"/>
    <xf numFmtId="9" fontId="117" fillId="0" borderId="0" xfId="0" applyNumberFormat="1" applyFont="1" applyAlignment="1">
      <alignment vertical="center"/>
    </xf>
    <xf numFmtId="0" fontId="57" fillId="0" borderId="0" xfId="0" applyFont="1" applyFill="1" applyBorder="1" applyAlignment="1">
      <alignment vertical="center" wrapText="1"/>
    </xf>
    <xf numFmtId="0" fontId="90" fillId="0" borderId="0" xfId="0" applyFont="1"/>
    <xf numFmtId="0" fontId="55" fillId="6" borderId="0" xfId="0" applyFont="1" applyFill="1"/>
    <xf numFmtId="0" fontId="55" fillId="6" borderId="0" xfId="0" applyFont="1" applyFill="1" applyAlignment="1">
      <alignment horizontal="left"/>
    </xf>
    <xf numFmtId="3" fontId="55" fillId="6" borderId="0" xfId="0" applyNumberFormat="1" applyFont="1" applyFill="1"/>
    <xf numFmtId="164" fontId="55" fillId="6" borderId="0" xfId="39" applyNumberFormat="1" applyFont="1" applyFill="1"/>
    <xf numFmtId="171" fontId="73" fillId="0" borderId="0" xfId="1" applyNumberFormat="1" applyFont="1" applyFill="1"/>
    <xf numFmtId="0" fontId="71" fillId="0" borderId="91" xfId="11" applyFont="1" applyFill="1" applyBorder="1" applyAlignment="1">
      <alignment horizontal="center"/>
    </xf>
    <xf numFmtId="164" fontId="72" fillId="0" borderId="166" xfId="16" applyNumberFormat="1" applyFont="1" applyFill="1" applyBorder="1" applyAlignment="1">
      <alignment wrapText="1"/>
    </xf>
    <xf numFmtId="0" fontId="71" fillId="0" borderId="96" xfId="16" applyFont="1" applyBorder="1" applyAlignment="1">
      <alignment horizontal="center"/>
    </xf>
    <xf numFmtId="171" fontId="71" fillId="6" borderId="59" xfId="1" applyNumberFormat="1" applyFont="1" applyFill="1" applyBorder="1"/>
    <xf numFmtId="171" fontId="72" fillId="0" borderId="61" xfId="1" applyNumberFormat="1" applyFont="1" applyBorder="1"/>
    <xf numFmtId="171" fontId="72" fillId="0" borderId="167" xfId="1" applyNumberFormat="1" applyFont="1" applyBorder="1"/>
    <xf numFmtId="164" fontId="72" fillId="0" borderId="38" xfId="39" applyNumberFormat="1" applyFont="1" applyFill="1" applyBorder="1" applyAlignment="1">
      <alignment wrapText="1"/>
    </xf>
    <xf numFmtId="0" fontId="71" fillId="0" borderId="58" xfId="16" applyFont="1" applyBorder="1" applyAlignment="1">
      <alignment horizontal="center"/>
    </xf>
    <xf numFmtId="3" fontId="72" fillId="0" borderId="38" xfId="16" applyNumberFormat="1" applyFont="1" applyBorder="1"/>
    <xf numFmtId="3" fontId="72" fillId="0" borderId="168" xfId="16" applyNumberFormat="1" applyFont="1" applyBorder="1"/>
    <xf numFmtId="3" fontId="71" fillId="6" borderId="58" xfId="16" applyNumberFormat="1" applyFont="1" applyFill="1" applyBorder="1"/>
    <xf numFmtId="171" fontId="75" fillId="0" borderId="0" xfId="1" applyNumberFormat="1" applyFont="1" applyBorder="1"/>
    <xf numFmtId="164" fontId="75" fillId="0" borderId="0" xfId="39" applyNumberFormat="1" applyFont="1" applyBorder="1"/>
    <xf numFmtId="0" fontId="54" fillId="0" borderId="45" xfId="0" applyFont="1" applyBorder="1" applyAlignment="1">
      <alignment horizontal="center"/>
    </xf>
    <xf numFmtId="164" fontId="75" fillId="8" borderId="42" xfId="39" applyNumberFormat="1" applyFont="1" applyFill="1" applyBorder="1"/>
    <xf numFmtId="0" fontId="56" fillId="0" borderId="0" xfId="0" applyFont="1" applyAlignment="1">
      <alignment horizontal="left" wrapText="1"/>
    </xf>
    <xf numFmtId="0" fontId="72" fillId="0" borderId="4" xfId="37" applyFont="1" applyFill="1" applyBorder="1" applyAlignment="1">
      <alignment horizontal="center"/>
    </xf>
    <xf numFmtId="167" fontId="59" fillId="9" borderId="165" xfId="0" applyNumberFormat="1" applyFont="1" applyFill="1" applyBorder="1"/>
    <xf numFmtId="7" fontId="75" fillId="0" borderId="0" xfId="3" applyNumberFormat="1" applyFont="1" applyBorder="1" applyAlignment="1"/>
    <xf numFmtId="0" fontId="56" fillId="0" borderId="0" xfId="0" applyFont="1" applyAlignment="1">
      <alignment horizontal="left" wrapText="1"/>
    </xf>
    <xf numFmtId="5" fontId="75" fillId="0" borderId="0" xfId="0" applyNumberFormat="1" applyFont="1" applyFill="1" applyBorder="1" applyAlignment="1"/>
    <xf numFmtId="0" fontId="71" fillId="0" borderId="58" xfId="21" applyFont="1" applyFill="1" applyBorder="1" applyAlignment="1">
      <alignment horizontal="center" wrapText="1"/>
    </xf>
    <xf numFmtId="0" fontId="71" fillId="0" borderId="69" xfId="34" applyFont="1" applyFill="1" applyBorder="1" applyAlignment="1">
      <alignment horizontal="center" wrapText="1"/>
    </xf>
    <xf numFmtId="5" fontId="72" fillId="0" borderId="32" xfId="34" applyNumberFormat="1" applyFont="1" applyFill="1" applyBorder="1" applyAlignment="1">
      <alignment wrapText="1"/>
    </xf>
    <xf numFmtId="0" fontId="56" fillId="0" borderId="0" xfId="0" applyFont="1" applyAlignment="1">
      <alignment horizontal="left" wrapText="1"/>
    </xf>
    <xf numFmtId="167" fontId="86" fillId="0" borderId="0" xfId="36" applyNumberFormat="1" applyFont="1" applyFill="1" applyBorder="1" applyAlignment="1">
      <alignment horizontal="right" wrapText="1"/>
    </xf>
    <xf numFmtId="5" fontId="89" fillId="6" borderId="75" xfId="3" applyNumberFormat="1" applyFont="1" applyFill="1" applyBorder="1" applyAlignment="1">
      <alignment wrapText="1"/>
    </xf>
    <xf numFmtId="5" fontId="89" fillId="6" borderId="58" xfId="3" applyNumberFormat="1" applyFont="1" applyFill="1" applyBorder="1" applyAlignment="1">
      <alignment wrapText="1"/>
    </xf>
    <xf numFmtId="0" fontId="56" fillId="9" borderId="0" xfId="0" applyFont="1" applyFill="1" applyBorder="1" applyAlignment="1">
      <alignment horizontal="left" indent="1"/>
    </xf>
    <xf numFmtId="0" fontId="75" fillId="0" borderId="0" xfId="15" applyFont="1" applyAlignment="1">
      <alignment horizontal="left" wrapText="1"/>
    </xf>
    <xf numFmtId="5" fontId="89" fillId="22" borderId="75" xfId="3" applyNumberFormat="1" applyFont="1" applyFill="1" applyBorder="1" applyAlignment="1">
      <alignment horizontal="center"/>
    </xf>
    <xf numFmtId="5" fontId="89" fillId="22" borderId="58" xfId="3" applyNumberFormat="1" applyFont="1" applyFill="1" applyBorder="1" applyAlignment="1">
      <alignment horizontal="center"/>
    </xf>
    <xf numFmtId="0" fontId="57" fillId="15" borderId="172" xfId="0" applyFont="1" applyFill="1" applyBorder="1" applyAlignment="1"/>
    <xf numFmtId="0" fontId="76" fillId="15" borderId="171" xfId="0" applyFont="1" applyFill="1" applyBorder="1" applyAlignment="1"/>
    <xf numFmtId="9" fontId="79" fillId="15" borderId="170" xfId="39" applyFont="1" applyFill="1" applyBorder="1"/>
    <xf numFmtId="9" fontId="79" fillId="15" borderId="173" xfId="39" applyFont="1" applyFill="1" applyBorder="1"/>
    <xf numFmtId="9" fontId="79" fillId="15" borderId="174" xfId="39" applyFont="1" applyFill="1" applyBorder="1"/>
    <xf numFmtId="9" fontId="79" fillId="15" borderId="175" xfId="39" applyFont="1" applyFill="1" applyBorder="1"/>
    <xf numFmtId="167" fontId="118" fillId="10" borderId="16" xfId="0" applyNumberFormat="1" applyFont="1" applyFill="1" applyBorder="1"/>
    <xf numFmtId="167" fontId="118" fillId="10" borderId="17" xfId="0" applyNumberFormat="1" applyFont="1" applyFill="1" applyBorder="1"/>
    <xf numFmtId="167" fontId="118" fillId="10" borderId="18" xfId="0" applyNumberFormat="1" applyFont="1" applyFill="1" applyBorder="1"/>
    <xf numFmtId="167" fontId="118" fillId="10" borderId="112" xfId="0" applyNumberFormat="1" applyFont="1" applyFill="1" applyBorder="1"/>
    <xf numFmtId="167" fontId="119" fillId="10" borderId="123" xfId="0" applyNumberFormat="1" applyFont="1" applyFill="1" applyBorder="1"/>
    <xf numFmtId="164" fontId="56" fillId="0" borderId="0" xfId="39" applyNumberFormat="1" applyFont="1"/>
    <xf numFmtId="5" fontId="89" fillId="22" borderId="76" xfId="3" applyNumberFormat="1" applyFont="1" applyFill="1" applyBorder="1" applyAlignment="1">
      <alignment horizontal="center"/>
    </xf>
    <xf numFmtId="167" fontId="89" fillId="22" borderId="75" xfId="3" applyNumberFormat="1" applyFont="1" applyFill="1" applyBorder="1" applyAlignment="1">
      <alignment horizontal="center"/>
    </xf>
    <xf numFmtId="167" fontId="89" fillId="22" borderId="58" xfId="3" applyNumberFormat="1" applyFont="1" applyFill="1" applyBorder="1" applyAlignment="1">
      <alignment horizontal="center"/>
    </xf>
    <xf numFmtId="0" fontId="71" fillId="0" borderId="59" xfId="36" applyFont="1" applyFill="1" applyBorder="1" applyAlignment="1">
      <alignment horizontal="center" wrapText="1"/>
    </xf>
    <xf numFmtId="0" fontId="54" fillId="0" borderId="177" xfId="0" applyFont="1" applyBorder="1" applyAlignment="1">
      <alignment wrapText="1"/>
    </xf>
    <xf numFmtId="0" fontId="56" fillId="9" borderId="178" xfId="0" applyFont="1" applyFill="1" applyBorder="1" applyAlignment="1">
      <alignment horizontal="left" indent="1"/>
    </xf>
    <xf numFmtId="164" fontId="54" fillId="13" borderId="13" xfId="39" applyNumberFormat="1" applyFont="1" applyFill="1" applyBorder="1"/>
    <xf numFmtId="164" fontId="54" fillId="13" borderId="14" xfId="39" applyNumberFormat="1" applyFont="1" applyFill="1" applyBorder="1"/>
    <xf numFmtId="164" fontId="54" fillId="13" borderId="15" xfId="39" applyNumberFormat="1" applyFont="1" applyFill="1" applyBorder="1"/>
    <xf numFmtId="164" fontId="75" fillId="0" borderId="12" xfId="39" applyNumberFormat="1" applyFont="1" applyBorder="1"/>
    <xf numFmtId="164" fontId="75" fillId="0" borderId="34" xfId="39" applyNumberFormat="1" applyFont="1" applyBorder="1"/>
    <xf numFmtId="164" fontId="75" fillId="0" borderId="36" xfId="39" applyNumberFormat="1" applyFont="1" applyBorder="1"/>
    <xf numFmtId="164" fontId="75" fillId="0" borderId="33" xfId="39" applyNumberFormat="1" applyFont="1" applyBorder="1"/>
    <xf numFmtId="164" fontId="75" fillId="0" borderId="35" xfId="39" applyNumberFormat="1" applyFont="1" applyBorder="1"/>
    <xf numFmtId="9" fontId="54" fillId="0" borderId="34" xfId="39" applyFont="1" applyBorder="1" applyAlignment="1">
      <alignment wrapText="1"/>
    </xf>
    <xf numFmtId="0" fontId="71" fillId="0" borderId="0" xfId="14" applyFont="1" applyFill="1" applyBorder="1" applyAlignment="1">
      <alignment horizontal="center" wrapText="1"/>
    </xf>
    <xf numFmtId="167" fontId="118" fillId="10" borderId="165" xfId="0" applyNumberFormat="1" applyFont="1" applyFill="1" applyBorder="1"/>
    <xf numFmtId="167" fontId="118" fillId="10" borderId="176" xfId="0" applyNumberFormat="1" applyFont="1" applyFill="1" applyBorder="1"/>
    <xf numFmtId="167" fontId="59" fillId="9" borderId="162" xfId="0" applyNumberFormat="1" applyFont="1" applyFill="1" applyBorder="1"/>
    <xf numFmtId="9" fontId="79" fillId="15" borderId="165" xfId="0" applyNumberFormat="1" applyFont="1" applyFill="1" applyBorder="1"/>
    <xf numFmtId="9" fontId="79" fillId="15" borderId="176" xfId="0" applyNumberFormat="1" applyFont="1" applyFill="1" applyBorder="1"/>
    <xf numFmtId="9" fontId="79" fillId="15" borderId="182" xfId="39" applyFont="1" applyFill="1" applyBorder="1"/>
    <xf numFmtId="164" fontId="79" fillId="15" borderId="182" xfId="39" applyNumberFormat="1" applyFont="1" applyFill="1" applyBorder="1"/>
    <xf numFmtId="164" fontId="79" fillId="15" borderId="181" xfId="39" applyNumberFormat="1" applyFont="1" applyFill="1" applyBorder="1"/>
    <xf numFmtId="167" fontId="59" fillId="9" borderId="176" xfId="0" applyNumberFormat="1" applyFont="1" applyFill="1" applyBorder="1"/>
    <xf numFmtId="9" fontId="79" fillId="15" borderId="165" xfId="39" applyFont="1" applyFill="1" applyBorder="1"/>
    <xf numFmtId="9" fontId="79" fillId="15" borderId="176" xfId="39" applyFont="1" applyFill="1" applyBorder="1"/>
    <xf numFmtId="0" fontId="57" fillId="0" borderId="179" xfId="0" applyFont="1" applyFill="1" applyBorder="1" applyAlignment="1"/>
    <xf numFmtId="0" fontId="56" fillId="0" borderId="183" xfId="0" applyFont="1" applyBorder="1" applyAlignment="1"/>
    <xf numFmtId="0" fontId="57" fillId="0" borderId="183" xfId="0" applyFont="1" applyFill="1" applyBorder="1" applyAlignment="1"/>
    <xf numFmtId="9" fontId="59" fillId="0" borderId="182" xfId="39" applyFont="1" applyFill="1" applyBorder="1"/>
    <xf numFmtId="0" fontId="68" fillId="0" borderId="0" xfId="9" applyFont="1"/>
    <xf numFmtId="49" fontId="57" fillId="19" borderId="122" xfId="0" applyNumberFormat="1" applyFont="1" applyFill="1" applyBorder="1" applyAlignment="1">
      <alignment horizontal="center"/>
    </xf>
    <xf numFmtId="0" fontId="56" fillId="0" borderId="106" xfId="0" applyFont="1" applyBorder="1" applyAlignment="1">
      <alignment horizontal="right" indent="1"/>
    </xf>
    <xf numFmtId="3" fontId="56" fillId="0" borderId="107" xfId="0" applyNumberFormat="1" applyFont="1" applyFill="1" applyBorder="1" applyAlignment="1">
      <alignment horizontal="right" indent="1"/>
    </xf>
    <xf numFmtId="3" fontId="56" fillId="0" borderId="108" xfId="0" applyNumberFormat="1" applyFont="1" applyFill="1" applyBorder="1" applyAlignment="1">
      <alignment horizontal="right" indent="1"/>
    </xf>
    <xf numFmtId="0" fontId="56" fillId="0" borderId="127" xfId="0" applyFont="1" applyBorder="1" applyAlignment="1">
      <alignment horizontal="right" indent="1"/>
    </xf>
    <xf numFmtId="0" fontId="56" fillId="0" borderId="128" xfId="0" applyFont="1" applyFill="1" applyBorder="1" applyAlignment="1">
      <alignment horizontal="right" indent="1"/>
    </xf>
    <xf numFmtId="0" fontId="56" fillId="0" borderId="129" xfId="0" applyFont="1" applyFill="1" applyBorder="1" applyAlignment="1">
      <alignment horizontal="right" indent="1"/>
    </xf>
    <xf numFmtId="171" fontId="54" fillId="6" borderId="14" xfId="1" applyNumberFormat="1" applyFont="1" applyFill="1" applyBorder="1"/>
    <xf numFmtId="0" fontId="22" fillId="0" borderId="0" xfId="0" applyFont="1"/>
    <xf numFmtId="0" fontId="22" fillId="0" borderId="0" xfId="0" applyFont="1" applyAlignment="1">
      <alignment horizontal="left"/>
    </xf>
    <xf numFmtId="0" fontId="22" fillId="0" borderId="0" xfId="0" applyFont="1" applyAlignment="1"/>
    <xf numFmtId="0" fontId="120" fillId="9" borderId="0" xfId="0" applyFont="1" applyFill="1" applyAlignment="1">
      <alignment vertical="top" wrapText="1"/>
    </xf>
    <xf numFmtId="0" fontId="71" fillId="0" borderId="0" xfId="16" applyFont="1" applyFill="1" applyBorder="1" applyAlignment="1">
      <alignment horizontal="center" vertical="center"/>
    </xf>
    <xf numFmtId="0" fontId="71" fillId="0" borderId="0" xfId="16" applyFont="1" applyAlignment="1">
      <alignment vertical="center"/>
    </xf>
    <xf numFmtId="9" fontId="75" fillId="21" borderId="0" xfId="39" applyFont="1" applyFill="1"/>
    <xf numFmtId="0" fontId="75" fillId="0" borderId="34" xfId="0" applyFont="1" applyBorder="1"/>
    <xf numFmtId="3" fontId="81" fillId="0" borderId="22" xfId="14" applyNumberFormat="1" applyFont="1" applyBorder="1"/>
    <xf numFmtId="3" fontId="81" fillId="0" borderId="24" xfId="14" applyNumberFormat="1" applyFont="1" applyBorder="1"/>
    <xf numFmtId="3" fontId="81" fillId="0" borderId="53" xfId="14" applyNumberFormat="1" applyFont="1" applyBorder="1"/>
    <xf numFmtId="0" fontId="56" fillId="9" borderId="178" xfId="0" applyFont="1" applyFill="1" applyBorder="1" applyAlignment="1">
      <alignment horizontal="left" indent="1"/>
    </xf>
    <xf numFmtId="0" fontId="56" fillId="9" borderId="0" xfId="0" applyFont="1" applyFill="1" applyBorder="1" applyAlignment="1">
      <alignment horizontal="left" indent="1"/>
    </xf>
    <xf numFmtId="0" fontId="76" fillId="15" borderId="171" xfId="0" applyFont="1" applyFill="1" applyBorder="1" applyAlignment="1"/>
    <xf numFmtId="0" fontId="64" fillId="0" borderId="0" xfId="0" applyFont="1" applyAlignment="1">
      <alignment horizontal="right"/>
    </xf>
    <xf numFmtId="0" fontId="72" fillId="0" borderId="0" xfId="27" applyFont="1" applyFill="1" applyBorder="1" applyAlignment="1">
      <alignment horizontal="center" wrapText="1"/>
    </xf>
    <xf numFmtId="5" fontId="75" fillId="0" borderId="0" xfId="0" applyNumberFormat="1" applyFont="1" applyBorder="1" applyAlignment="1"/>
    <xf numFmtId="5" fontId="72" fillId="0" borderId="190" xfId="26" applyNumberFormat="1" applyFont="1" applyFill="1" applyBorder="1" applyAlignment="1">
      <alignment wrapText="1"/>
    </xf>
    <xf numFmtId="5" fontId="72" fillId="0" borderId="190" xfId="3" applyNumberFormat="1" applyFont="1" applyFill="1" applyBorder="1" applyAlignment="1">
      <alignment wrapText="1"/>
    </xf>
    <xf numFmtId="5" fontId="72" fillId="0" borderId="190" xfId="3" applyNumberFormat="1" applyFont="1" applyBorder="1" applyAlignment="1"/>
    <xf numFmtId="5" fontId="72" fillId="0" borderId="0" xfId="3" applyNumberFormat="1" applyFont="1" applyBorder="1" applyAlignment="1"/>
    <xf numFmtId="5" fontId="72" fillId="0" borderId="0" xfId="3" applyNumberFormat="1" applyFont="1" applyFill="1" applyBorder="1" applyAlignment="1">
      <alignment wrapText="1"/>
    </xf>
    <xf numFmtId="5" fontId="72" fillId="0" borderId="0" xfId="27" applyNumberFormat="1" applyFont="1" applyFill="1" applyBorder="1" applyAlignment="1">
      <alignment wrapText="1"/>
    </xf>
    <xf numFmtId="167" fontId="86" fillId="0" borderId="0" xfId="36" applyNumberFormat="1" applyFont="1" applyBorder="1"/>
    <xf numFmtId="49" fontId="4" fillId="0" borderId="0" xfId="9" applyNumberFormat="1" applyFont="1" applyAlignment="1">
      <alignment horizontal="center"/>
    </xf>
    <xf numFmtId="166" fontId="33" fillId="0" borderId="0" xfId="38" applyNumberFormat="1" applyFont="1" applyFill="1" applyBorder="1" applyAlignment="1">
      <alignment horizontal="right" wrapText="1"/>
    </xf>
    <xf numFmtId="0" fontId="64" fillId="0" borderId="0" xfId="0" applyFont="1" applyFill="1" applyBorder="1" applyAlignment="1">
      <alignment horizontal="right"/>
    </xf>
    <xf numFmtId="0" fontId="64" fillId="0" borderId="0" xfId="0" quotePrefix="1" applyFont="1" applyFill="1" applyBorder="1" applyAlignment="1">
      <alignment horizontal="left"/>
    </xf>
    <xf numFmtId="0" fontId="64" fillId="0" borderId="0" xfId="0" applyFont="1" applyFill="1" applyBorder="1" applyAlignment="1"/>
    <xf numFmtId="0" fontId="64" fillId="0" borderId="40" xfId="0" applyFont="1" applyFill="1" applyBorder="1" applyAlignment="1" applyProtection="1">
      <alignment vertical="center"/>
      <protection locked="0"/>
    </xf>
    <xf numFmtId="0" fontId="64" fillId="0" borderId="178" xfId="0" applyFont="1" applyFill="1" applyBorder="1" applyAlignment="1">
      <alignment horizontal="right"/>
    </xf>
    <xf numFmtId="0" fontId="65" fillId="0" borderId="0" xfId="0" applyFont="1" applyBorder="1"/>
    <xf numFmtId="172" fontId="26" fillId="0" borderId="42" xfId="0" applyNumberFormat="1" applyFont="1" applyFill="1" applyBorder="1"/>
    <xf numFmtId="9" fontId="26" fillId="6" borderId="42" xfId="39" applyFont="1" applyFill="1" applyBorder="1"/>
    <xf numFmtId="9" fontId="24" fillId="0" borderId="194" xfId="39" applyFont="1" applyFill="1" applyBorder="1"/>
    <xf numFmtId="9" fontId="24" fillId="0" borderId="194" xfId="0" applyNumberFormat="1" applyFont="1" applyFill="1" applyBorder="1"/>
    <xf numFmtId="9" fontId="24" fillId="0" borderId="161" xfId="39" applyFont="1" applyFill="1" applyBorder="1"/>
    <xf numFmtId="9" fontId="24" fillId="0" borderId="161" xfId="0" applyNumberFormat="1" applyFont="1" applyFill="1" applyBorder="1"/>
    <xf numFmtId="3" fontId="26" fillId="6" borderId="42" xfId="0" applyNumberFormat="1" applyFont="1" applyFill="1" applyBorder="1" applyAlignment="1">
      <alignment horizontal="right" vertical="center"/>
    </xf>
    <xf numFmtId="3" fontId="24" fillId="0" borderId="194" xfId="0" applyNumberFormat="1" applyFont="1" applyFill="1" applyBorder="1" applyAlignment="1">
      <alignment horizontal="right" vertical="center"/>
    </xf>
    <xf numFmtId="3" fontId="24" fillId="0" borderId="161" xfId="0" applyNumberFormat="1" applyFont="1" applyFill="1" applyBorder="1" applyAlignment="1">
      <alignment horizontal="right" vertical="center"/>
    </xf>
    <xf numFmtId="3" fontId="26" fillId="6" borderId="42" xfId="0" applyNumberFormat="1" applyFont="1" applyFill="1" applyBorder="1"/>
    <xf numFmtId="3" fontId="24" fillId="0" borderId="194" xfId="0" applyNumberFormat="1" applyFont="1" applyFill="1" applyBorder="1"/>
    <xf numFmtId="3" fontId="24" fillId="0" borderId="161" xfId="0" applyNumberFormat="1" applyFont="1" applyFill="1" applyBorder="1"/>
    <xf numFmtId="165" fontId="26" fillId="6" borderId="42" xfId="39" applyNumberFormat="1" applyFont="1" applyFill="1" applyBorder="1"/>
    <xf numFmtId="165" fontId="24" fillId="0" borderId="194" xfId="39" applyNumberFormat="1" applyFont="1" applyFill="1" applyBorder="1"/>
    <xf numFmtId="165" fontId="24" fillId="0" borderId="194" xfId="0" applyNumberFormat="1" applyFont="1" applyFill="1" applyBorder="1"/>
    <xf numFmtId="179" fontId="26" fillId="6" borderId="21" xfId="0" applyNumberFormat="1" applyFont="1" applyFill="1" applyBorder="1"/>
    <xf numFmtId="179" fontId="24" fillId="0" borderId="161" xfId="0" applyNumberFormat="1" applyFont="1" applyFill="1" applyBorder="1"/>
    <xf numFmtId="0" fontId="30" fillId="0" borderId="0" xfId="15" applyFont="1" applyAlignment="1">
      <alignment horizontal="left" wrapText="1"/>
    </xf>
    <xf numFmtId="0" fontId="71" fillId="0" borderId="195" xfId="14" quotePrefix="1" applyFont="1" applyFill="1" applyBorder="1" applyAlignment="1">
      <alignment horizontal="center" wrapText="1"/>
    </xf>
    <xf numFmtId="164" fontId="71" fillId="23" borderId="178" xfId="14" applyNumberFormat="1" applyFont="1" applyFill="1" applyBorder="1" applyAlignment="1">
      <alignment horizontal="center" wrapText="1"/>
    </xf>
    <xf numFmtId="164" fontId="72" fillId="0" borderId="178" xfId="14" applyNumberFormat="1" applyFont="1" applyFill="1" applyBorder="1" applyAlignment="1">
      <alignment horizontal="center" wrapText="1"/>
    </xf>
    <xf numFmtId="0" fontId="71" fillId="0" borderId="196" xfId="14" quotePrefix="1" applyFont="1" applyFill="1" applyBorder="1" applyAlignment="1">
      <alignment horizontal="center" wrapText="1"/>
    </xf>
    <xf numFmtId="164" fontId="71" fillId="23" borderId="161" xfId="14" applyNumberFormat="1" applyFont="1" applyFill="1" applyBorder="1" applyAlignment="1">
      <alignment horizontal="center" wrapText="1"/>
    </xf>
    <xf numFmtId="164" fontId="72" fillId="0" borderId="161" xfId="14" applyNumberFormat="1" applyFont="1" applyFill="1" applyBorder="1" applyAlignment="1">
      <alignment horizontal="center" wrapText="1"/>
    </xf>
    <xf numFmtId="164" fontId="72" fillId="0" borderId="182" xfId="14" applyNumberFormat="1" applyFont="1" applyFill="1" applyBorder="1" applyAlignment="1">
      <alignment horizontal="center" wrapText="1"/>
    </xf>
    <xf numFmtId="164" fontId="72" fillId="0" borderId="194" xfId="14" applyNumberFormat="1" applyFont="1" applyFill="1" applyBorder="1" applyAlignment="1">
      <alignment horizontal="center" wrapText="1"/>
    </xf>
    <xf numFmtId="164" fontId="72" fillId="0" borderId="162" xfId="14" applyNumberFormat="1" applyFont="1" applyFill="1" applyBorder="1" applyAlignment="1">
      <alignment horizontal="center" wrapText="1"/>
    </xf>
    <xf numFmtId="0" fontId="71" fillId="0" borderId="197" xfId="14" applyFont="1" applyFill="1" applyBorder="1" applyAlignment="1">
      <alignment horizontal="center" wrapText="1"/>
    </xf>
    <xf numFmtId="171" fontId="69" fillId="23" borderId="194" xfId="14" applyNumberFormat="1" applyFont="1" applyFill="1" applyBorder="1"/>
    <xf numFmtId="171" fontId="81" fillId="0" borderId="194" xfId="1" applyNumberFormat="1" applyFont="1" applyBorder="1"/>
    <xf numFmtId="0" fontId="71" fillId="0" borderId="198" xfId="14" applyFont="1" applyFill="1" applyBorder="1" applyAlignment="1">
      <alignment horizontal="center" wrapText="1"/>
    </xf>
    <xf numFmtId="0" fontId="71" fillId="0" borderId="196" xfId="14" applyFont="1" applyFill="1" applyBorder="1" applyAlignment="1">
      <alignment horizontal="center" wrapText="1"/>
    </xf>
    <xf numFmtId="0" fontId="81" fillId="0" borderId="193" xfId="14" applyFont="1" applyBorder="1"/>
    <xf numFmtId="0" fontId="81" fillId="0" borderId="161" xfId="14" applyFont="1" applyBorder="1"/>
    <xf numFmtId="3" fontId="72" fillId="0" borderId="194" xfId="14" applyNumberFormat="1" applyFont="1" applyFill="1" applyBorder="1" applyAlignment="1">
      <alignment horizontal="right" wrapText="1"/>
    </xf>
    <xf numFmtId="171" fontId="69" fillId="23" borderId="193" xfId="1" applyNumberFormat="1" applyFont="1" applyFill="1" applyBorder="1"/>
    <xf numFmtId="171" fontId="69" fillId="23" borderId="161" xfId="1" applyNumberFormat="1" applyFont="1" applyFill="1" applyBorder="1"/>
    <xf numFmtId="0" fontId="30" fillId="0" borderId="0" xfId="15" applyFont="1" applyAlignment="1">
      <alignment horizontal="left" wrapText="1"/>
    </xf>
    <xf numFmtId="0" fontId="75" fillId="0" borderId="0" xfId="15" applyFont="1" applyAlignment="1">
      <alignment horizontal="left" wrapText="1"/>
    </xf>
    <xf numFmtId="49" fontId="83" fillId="0" borderId="0" xfId="19" applyNumberFormat="1" applyFont="1" applyBorder="1" applyAlignment="1">
      <alignment horizontal="center" wrapText="1"/>
    </xf>
    <xf numFmtId="3" fontId="54" fillId="11" borderId="0" xfId="15" applyNumberFormat="1" applyFont="1" applyFill="1" applyBorder="1" applyAlignment="1">
      <alignment horizontal="right" vertical="top"/>
    </xf>
    <xf numFmtId="171" fontId="75" fillId="0" borderId="0" xfId="1" applyNumberFormat="1" applyFont="1" applyFill="1" applyBorder="1"/>
    <xf numFmtId="3" fontId="54" fillId="6" borderId="0" xfId="15" applyNumberFormat="1" applyFont="1" applyFill="1" applyBorder="1"/>
    <xf numFmtId="3" fontId="75" fillId="0" borderId="0" xfId="15" applyNumberFormat="1" applyFont="1" applyBorder="1"/>
    <xf numFmtId="0" fontId="54" fillId="0" borderId="199" xfId="15" applyFont="1" applyFill="1" applyBorder="1" applyAlignment="1">
      <alignment horizontal="center" wrapText="1"/>
    </xf>
    <xf numFmtId="171" fontId="54" fillId="6" borderId="176" xfId="1" applyNumberFormat="1" applyFont="1" applyFill="1" applyBorder="1" applyAlignment="1">
      <alignment horizontal="center" wrapText="1"/>
    </xf>
    <xf numFmtId="3" fontId="75" fillId="0" borderId="176" xfId="15" applyNumberFormat="1" applyFont="1" applyFill="1" applyBorder="1"/>
    <xf numFmtId="3" fontId="54" fillId="0" borderId="199" xfId="15" applyNumberFormat="1" applyFont="1" applyFill="1" applyBorder="1" applyAlignment="1">
      <alignment vertical="top"/>
    </xf>
    <xf numFmtId="3" fontId="56" fillId="9" borderId="193" xfId="0" applyNumberFormat="1" applyFont="1" applyFill="1" applyBorder="1" applyAlignment="1">
      <alignment horizontal="right" indent="1"/>
    </xf>
    <xf numFmtId="3" fontId="56" fillId="11" borderId="193" xfId="0" applyNumberFormat="1" applyFont="1" applyFill="1" applyBorder="1" applyAlignment="1">
      <alignment horizontal="right" indent="1"/>
    </xf>
    <xf numFmtId="3" fontId="56" fillId="0" borderId="193" xfId="0" applyNumberFormat="1" applyFont="1" applyBorder="1" applyAlignment="1">
      <alignment horizontal="right" indent="1"/>
    </xf>
    <xf numFmtId="9" fontId="103" fillId="0" borderId="0" xfId="39" applyFont="1" applyFill="1" applyAlignment="1">
      <alignment vertical="center" wrapText="1"/>
    </xf>
    <xf numFmtId="0" fontId="54" fillId="0" borderId="42" xfId="15" applyFont="1" applyFill="1" applyBorder="1" applyAlignment="1">
      <alignment horizontal="center" wrapText="1"/>
    </xf>
    <xf numFmtId="171" fontId="75" fillId="0" borderId="194" xfId="1" applyNumberFormat="1" applyFont="1" applyFill="1" applyBorder="1"/>
    <xf numFmtId="171" fontId="75" fillId="0" borderId="202" xfId="1" applyNumberFormat="1" applyFont="1" applyFill="1" applyBorder="1"/>
    <xf numFmtId="0" fontId="54" fillId="0" borderId="203" xfId="15" applyFont="1" applyFill="1" applyBorder="1" applyAlignment="1">
      <alignment horizontal="center" wrapText="1"/>
    </xf>
    <xf numFmtId="171" fontId="75" fillId="0" borderId="193" xfId="1" applyNumberFormat="1" applyFont="1" applyFill="1" applyBorder="1"/>
    <xf numFmtId="171" fontId="75" fillId="0" borderId="162" xfId="1" applyNumberFormat="1" applyFont="1" applyFill="1" applyBorder="1"/>
    <xf numFmtId="171" fontId="75" fillId="0" borderId="161" xfId="1" applyNumberFormat="1" applyFont="1" applyFill="1" applyBorder="1"/>
    <xf numFmtId="171" fontId="75" fillId="0" borderId="182" xfId="1" applyNumberFormat="1" applyFont="1" applyFill="1" applyBorder="1"/>
    <xf numFmtId="171" fontId="75" fillId="0" borderId="200" xfId="1" applyNumberFormat="1" applyFont="1" applyFill="1" applyBorder="1"/>
    <xf numFmtId="171" fontId="75" fillId="0" borderId="201" xfId="1" applyNumberFormat="1" applyFont="1" applyFill="1" applyBorder="1"/>
    <xf numFmtId="0" fontId="30" fillId="0" borderId="0" xfId="15" applyFont="1" applyAlignment="1">
      <alignment horizontal="left" wrapText="1"/>
    </xf>
    <xf numFmtId="3" fontId="75" fillId="0" borderId="176" xfId="15" applyNumberFormat="1" applyFont="1" applyFill="1" applyBorder="1" applyAlignment="1">
      <alignment horizontal="right" vertical="top"/>
    </xf>
    <xf numFmtId="3" fontId="75" fillId="0" borderId="181" xfId="15" applyNumberFormat="1" applyFont="1" applyFill="1" applyBorder="1" applyAlignment="1">
      <alignment horizontal="right" vertical="top"/>
    </xf>
    <xf numFmtId="3" fontId="54" fillId="6" borderId="199" xfId="15" applyNumberFormat="1" applyFont="1" applyFill="1" applyBorder="1" applyAlignment="1">
      <alignment horizontal="right" vertical="top"/>
    </xf>
    <xf numFmtId="171" fontId="75" fillId="0" borderId="176" xfId="1" applyNumberFormat="1" applyFont="1" applyBorder="1"/>
    <xf numFmtId="171" fontId="75" fillId="0" borderId="181" xfId="1" applyNumberFormat="1" applyFont="1" applyBorder="1"/>
    <xf numFmtId="0" fontId="54" fillId="0" borderId="199" xfId="15" applyFont="1" applyBorder="1"/>
    <xf numFmtId="3" fontId="54" fillId="6" borderId="199" xfId="15" applyNumberFormat="1" applyFont="1" applyFill="1" applyBorder="1"/>
    <xf numFmtId="0" fontId="75" fillId="0" borderId="0" xfId="15" applyFont="1" applyAlignment="1">
      <alignment horizontal="left" wrapText="1"/>
    </xf>
    <xf numFmtId="167" fontId="55" fillId="0" borderId="0" xfId="0" applyNumberFormat="1" applyFont="1" applyBorder="1"/>
    <xf numFmtId="0" fontId="89" fillId="6" borderId="65" xfId="36" applyFont="1" applyFill="1" applyBorder="1" applyAlignment="1">
      <alignment horizontal="left" wrapText="1"/>
    </xf>
    <xf numFmtId="0" fontId="89" fillId="6" borderId="66" xfId="36" applyFont="1" applyFill="1" applyBorder="1" applyAlignment="1">
      <alignment wrapText="1"/>
    </xf>
    <xf numFmtId="0" fontId="89" fillId="6" borderId="67" xfId="36" applyFont="1" applyFill="1" applyBorder="1" applyAlignment="1">
      <alignment wrapText="1"/>
    </xf>
    <xf numFmtId="5" fontId="90" fillId="6" borderId="37" xfId="3" applyNumberFormat="1" applyFont="1" applyFill="1" applyBorder="1"/>
    <xf numFmtId="5" fontId="90" fillId="6" borderId="177" xfId="0" applyNumberFormat="1" applyFont="1" applyFill="1" applyBorder="1"/>
    <xf numFmtId="0" fontId="3" fillId="0" borderId="0" xfId="0" applyFont="1"/>
    <xf numFmtId="167" fontId="88" fillId="0" borderId="0" xfId="36" applyNumberFormat="1" applyFont="1" applyFill="1" applyBorder="1" applyAlignment="1">
      <alignment wrapText="1"/>
    </xf>
    <xf numFmtId="0" fontId="88" fillId="0" borderId="0" xfId="36" applyFont="1" applyFill="1" applyBorder="1" applyAlignment="1">
      <alignment wrapText="1"/>
    </xf>
    <xf numFmtId="0" fontId="121" fillId="0" borderId="0" xfId="0" applyFont="1" applyBorder="1"/>
    <xf numFmtId="167" fontId="88" fillId="0" borderId="85" xfId="37" applyNumberFormat="1" applyFont="1" applyFill="1" applyBorder="1" applyAlignment="1">
      <alignment horizontal="right" wrapText="1"/>
    </xf>
    <xf numFmtId="167" fontId="88" fillId="0" borderId="63" xfId="37" applyNumberFormat="1" applyFont="1" applyFill="1" applyBorder="1" applyAlignment="1">
      <alignment horizontal="right" wrapText="1"/>
    </xf>
    <xf numFmtId="5" fontId="88" fillId="0" borderId="64" xfId="37" applyNumberFormat="1" applyFont="1" applyFill="1" applyBorder="1" applyAlignment="1">
      <alignment horizontal="right" wrapText="1"/>
    </xf>
    <xf numFmtId="5" fontId="3" fillId="0" borderId="176" xfId="0" applyNumberFormat="1" applyFont="1" applyBorder="1"/>
    <xf numFmtId="0" fontId="3" fillId="0" borderId="0" xfId="0" applyFont="1" applyBorder="1"/>
    <xf numFmtId="167" fontId="88" fillId="0" borderId="37" xfId="37" applyNumberFormat="1" applyFont="1" applyBorder="1"/>
    <xf numFmtId="167" fontId="88" fillId="0" borderId="38" xfId="37" applyNumberFormat="1" applyFont="1" applyBorder="1"/>
    <xf numFmtId="167" fontId="88" fillId="0" borderId="37" xfId="37" applyNumberFormat="1" applyFont="1" applyFill="1" applyBorder="1" applyAlignment="1">
      <alignment horizontal="right" wrapText="1"/>
    </xf>
    <xf numFmtId="167" fontId="88" fillId="0" borderId="38" xfId="37" applyNumberFormat="1" applyFont="1" applyFill="1" applyBorder="1" applyAlignment="1">
      <alignment horizontal="right" wrapText="1"/>
    </xf>
    <xf numFmtId="0" fontId="121" fillId="0" borderId="12" xfId="0" applyFont="1" applyBorder="1"/>
    <xf numFmtId="167" fontId="88" fillId="0" borderId="79" xfId="37" applyNumberFormat="1" applyFont="1" applyFill="1" applyBorder="1" applyAlignment="1">
      <alignment horizontal="right" wrapText="1"/>
    </xf>
    <xf numFmtId="167" fontId="88" fillId="0" borderId="80" xfId="37" applyNumberFormat="1" applyFont="1" applyFill="1" applyBorder="1" applyAlignment="1">
      <alignment horizontal="right" wrapText="1"/>
    </xf>
    <xf numFmtId="166" fontId="3" fillId="0" borderId="0" xfId="0" applyNumberFormat="1" applyFont="1"/>
    <xf numFmtId="0" fontId="89" fillId="0" borderId="2" xfId="23" applyFont="1" applyFill="1" applyBorder="1" applyAlignment="1">
      <alignment horizontal="center" wrapText="1"/>
    </xf>
    <xf numFmtId="0" fontId="89" fillId="0" borderId="6" xfId="23" applyFont="1" applyFill="1" applyBorder="1" applyAlignment="1">
      <alignment horizontal="left"/>
    </xf>
    <xf numFmtId="0" fontId="89" fillId="0" borderId="2" xfId="23" applyFont="1" applyFill="1" applyBorder="1" applyAlignment="1">
      <alignment horizontal="center"/>
    </xf>
    <xf numFmtId="0" fontId="89" fillId="22" borderId="0" xfId="23" applyFont="1" applyFill="1" applyBorder="1" applyAlignment="1">
      <alignment horizontal="center"/>
    </xf>
    <xf numFmtId="0" fontId="89" fillId="22" borderId="0" xfId="23" applyFont="1" applyFill="1" applyBorder="1" applyAlignment="1">
      <alignment horizontal="left"/>
    </xf>
    <xf numFmtId="167" fontId="90" fillId="6" borderId="3" xfId="0" applyNumberFormat="1" applyFont="1" applyFill="1" applyBorder="1"/>
    <xf numFmtId="0" fontId="88" fillId="0" borderId="1" xfId="23" applyFont="1" applyFill="1" applyBorder="1" applyAlignment="1">
      <alignment horizontal="center" wrapText="1"/>
    </xf>
    <xf numFmtId="0" fontId="88" fillId="0" borderId="11" xfId="23" applyFont="1" applyFill="1" applyBorder="1" applyAlignment="1">
      <alignment wrapText="1"/>
    </xf>
    <xf numFmtId="5" fontId="122" fillId="0" borderId="82" xfId="34" applyNumberFormat="1" applyFont="1" applyFill="1" applyBorder="1" applyAlignment="1">
      <alignment horizontal="right" wrapText="1"/>
    </xf>
    <xf numFmtId="0" fontId="89" fillId="0" borderId="83" xfId="23" applyFont="1" applyFill="1" applyBorder="1" applyAlignment="1">
      <alignment horizontal="center" wrapText="1"/>
    </xf>
    <xf numFmtId="0" fontId="89" fillId="0" borderId="83" xfId="24" applyFont="1" applyFill="1" applyBorder="1" applyAlignment="1">
      <alignment horizontal="left"/>
    </xf>
    <xf numFmtId="0" fontId="89" fillId="22" borderId="3" xfId="23" applyFont="1" applyFill="1" applyBorder="1" applyAlignment="1">
      <alignment horizontal="center"/>
    </xf>
    <xf numFmtId="0" fontId="89" fillId="22" borderId="3" xfId="24" applyFont="1" applyFill="1" applyBorder="1" applyAlignment="1">
      <alignment horizontal="left"/>
    </xf>
    <xf numFmtId="0" fontId="88" fillId="0" borderId="3" xfId="23" applyFont="1" applyFill="1" applyBorder="1" applyAlignment="1">
      <alignment horizontal="center" wrapText="1"/>
    </xf>
    <xf numFmtId="0" fontId="88" fillId="0" borderId="3" xfId="24" applyFont="1" applyFill="1" applyBorder="1" applyAlignment="1">
      <alignment wrapText="1"/>
    </xf>
    <xf numFmtId="0" fontId="88" fillId="0" borderId="84" xfId="23" applyFont="1" applyFill="1" applyBorder="1" applyAlignment="1">
      <alignment horizontal="center" wrapText="1"/>
    </xf>
    <xf numFmtId="0" fontId="88" fillId="0" borderId="84" xfId="24" applyFont="1" applyFill="1" applyBorder="1" applyAlignment="1">
      <alignment wrapText="1"/>
    </xf>
    <xf numFmtId="166" fontId="123" fillId="0" borderId="0" xfId="0" applyNumberFormat="1" applyFont="1"/>
    <xf numFmtId="171" fontId="56" fillId="0" borderId="204" xfId="1" applyNumberFormat="1" applyFont="1" applyFill="1" applyBorder="1" applyAlignment="1">
      <alignment horizontal="right"/>
    </xf>
    <xf numFmtId="171" fontId="56" fillId="0" borderId="204" xfId="1" applyNumberFormat="1" applyFont="1" applyFill="1" applyBorder="1"/>
    <xf numFmtId="37" fontId="102" fillId="0" borderId="0" xfId="39" applyNumberFormat="1" applyFont="1" applyAlignment="1">
      <alignment vertical="center"/>
    </xf>
    <xf numFmtId="9" fontId="103" fillId="0" borderId="0" xfId="39" applyFont="1" applyFill="1" applyBorder="1" applyAlignment="1">
      <alignment vertical="center" wrapText="1"/>
    </xf>
    <xf numFmtId="0" fontId="57" fillId="0" borderId="204" xfId="0" applyFont="1" applyFill="1" applyBorder="1" applyAlignment="1">
      <alignment vertical="center"/>
    </xf>
    <xf numFmtId="3" fontId="75" fillId="0" borderId="205" xfId="15" applyNumberFormat="1" applyFont="1" applyFill="1" applyBorder="1"/>
    <xf numFmtId="0" fontId="54" fillId="6" borderId="199" xfId="15" applyFont="1" applyFill="1" applyBorder="1" applyAlignment="1">
      <alignment horizontal="center"/>
    </xf>
    <xf numFmtId="0" fontId="54" fillId="6" borderId="199" xfId="15" applyFont="1" applyFill="1" applyBorder="1" applyAlignment="1">
      <alignment horizontal="left" wrapText="1"/>
    </xf>
    <xf numFmtId="7" fontId="75" fillId="0" borderId="0" xfId="7" applyNumberFormat="1" applyFont="1" applyBorder="1"/>
    <xf numFmtId="5" fontId="81" fillId="0" borderId="0" xfId="14" applyNumberFormat="1" applyFont="1"/>
    <xf numFmtId="167" fontId="118" fillId="0" borderId="16" xfId="0" applyNumberFormat="1" applyFont="1" applyFill="1" applyBorder="1"/>
    <xf numFmtId="167" fontId="118" fillId="0" borderId="17" xfId="0" applyNumberFormat="1" applyFont="1" applyFill="1" applyBorder="1"/>
    <xf numFmtId="167" fontId="118" fillId="0" borderId="18" xfId="0" applyNumberFormat="1" applyFont="1" applyFill="1" applyBorder="1"/>
    <xf numFmtId="167" fontId="59" fillId="0" borderId="165" xfId="0" applyNumberFormat="1" applyFont="1" applyFill="1" applyBorder="1"/>
    <xf numFmtId="167" fontId="59" fillId="0" borderId="162" xfId="0" applyNumberFormat="1" applyFont="1" applyFill="1" applyBorder="1"/>
    <xf numFmtId="167" fontId="59" fillId="0" borderId="23" xfId="0" applyNumberFormat="1" applyFont="1" applyFill="1" applyBorder="1"/>
    <xf numFmtId="167" fontId="59" fillId="0" borderId="176" xfId="0" applyNumberFormat="1" applyFont="1" applyFill="1" applyBorder="1"/>
    <xf numFmtId="0" fontId="54" fillId="0" borderId="0" xfId="0" applyFont="1" applyBorder="1" applyAlignment="1">
      <alignment horizontal="center"/>
    </xf>
    <xf numFmtId="164" fontId="72" fillId="0" borderId="206" xfId="16" applyNumberFormat="1" applyFont="1" applyFill="1" applyBorder="1" applyAlignment="1">
      <alignment wrapText="1"/>
    </xf>
    <xf numFmtId="3" fontId="72" fillId="0" borderId="208" xfId="16" applyNumberFormat="1" applyFont="1" applyBorder="1"/>
    <xf numFmtId="0" fontId="71" fillId="0" borderId="209" xfId="16" applyFont="1" applyFill="1" applyBorder="1" applyAlignment="1">
      <alignment horizontal="left"/>
    </xf>
    <xf numFmtId="0" fontId="71" fillId="6" borderId="0" xfId="16" applyFont="1" applyFill="1" applyBorder="1" applyAlignment="1">
      <alignment wrapText="1"/>
    </xf>
    <xf numFmtId="0" fontId="72" fillId="0" borderId="210" xfId="16" applyFont="1" applyFill="1" applyBorder="1" applyAlignment="1">
      <alignment wrapText="1"/>
    </xf>
    <xf numFmtId="0" fontId="72" fillId="0" borderId="211" xfId="16" applyFont="1" applyFill="1" applyBorder="1" applyAlignment="1">
      <alignment wrapText="1"/>
    </xf>
    <xf numFmtId="0" fontId="72" fillId="0" borderId="206" xfId="16" applyFont="1" applyFill="1" applyBorder="1" applyAlignment="1">
      <alignment wrapText="1"/>
    </xf>
    <xf numFmtId="0" fontId="72" fillId="0" borderId="206" xfId="16" applyFont="1" applyBorder="1"/>
    <xf numFmtId="171" fontId="75" fillId="8" borderId="162" xfId="1" applyNumberFormat="1" applyFont="1" applyFill="1" applyBorder="1"/>
    <xf numFmtId="171" fontId="75" fillId="8" borderId="212" xfId="1" applyNumberFormat="1" applyFont="1" applyFill="1" applyBorder="1"/>
    <xf numFmtId="171" fontId="75" fillId="8" borderId="20" xfId="1" applyNumberFormat="1" applyFont="1" applyFill="1" applyBorder="1"/>
    <xf numFmtId="171" fontId="75" fillId="0" borderId="162" xfId="1" applyNumberFormat="1" applyFont="1" applyBorder="1"/>
    <xf numFmtId="0" fontId="54" fillId="0" borderId="42" xfId="0" applyFont="1" applyBorder="1" applyAlignment="1">
      <alignment horizontal="center"/>
    </xf>
    <xf numFmtId="164" fontId="75" fillId="0" borderId="213" xfId="39" applyNumberFormat="1" applyFont="1" applyBorder="1"/>
    <xf numFmtId="164" fontId="75" fillId="0" borderId="194" xfId="39" applyNumberFormat="1" applyFont="1" applyBorder="1"/>
    <xf numFmtId="0" fontId="72" fillId="0" borderId="214" xfId="16" applyFont="1" applyBorder="1"/>
    <xf numFmtId="164" fontId="75" fillId="0" borderId="193" xfId="39" applyNumberFormat="1" applyFont="1" applyBorder="1"/>
    <xf numFmtId="164" fontId="75" fillId="0" borderId="162" xfId="39" applyNumberFormat="1" applyFont="1" applyBorder="1"/>
    <xf numFmtId="171" fontId="75" fillId="0" borderId="193" xfId="1" applyNumberFormat="1" applyFont="1" applyBorder="1"/>
    <xf numFmtId="171" fontId="75" fillId="0" borderId="194" xfId="1" applyNumberFormat="1" applyFont="1" applyBorder="1"/>
    <xf numFmtId="164" fontId="56" fillId="16" borderId="193" xfId="0" applyNumberFormat="1" applyFont="1" applyFill="1" applyBorder="1" applyAlignment="1">
      <alignment horizontal="center"/>
    </xf>
    <xf numFmtId="164" fontId="56" fillId="0" borderId="193" xfId="0" applyNumberFormat="1" applyFont="1" applyBorder="1" applyAlignment="1">
      <alignment horizontal="center"/>
    </xf>
    <xf numFmtId="164" fontId="56" fillId="0" borderId="215" xfId="0" applyNumberFormat="1" applyFont="1" applyFill="1" applyBorder="1" applyAlignment="1">
      <alignment horizontal="center"/>
    </xf>
    <xf numFmtId="164" fontId="56" fillId="16" borderId="161" xfId="0" applyNumberFormat="1" applyFont="1" applyFill="1" applyBorder="1" applyAlignment="1">
      <alignment horizontal="center"/>
    </xf>
    <xf numFmtId="164" fontId="56" fillId="0" borderId="161" xfId="0" applyNumberFormat="1" applyFont="1" applyBorder="1" applyAlignment="1">
      <alignment horizontal="center"/>
    </xf>
    <xf numFmtId="164" fontId="56" fillId="16" borderId="161" xfId="39" applyNumberFormat="1" applyFont="1" applyFill="1" applyBorder="1" applyAlignment="1">
      <alignment horizontal="center"/>
    </xf>
    <xf numFmtId="164" fontId="56" fillId="0" borderId="217" xfId="39" applyNumberFormat="1" applyFont="1" applyFill="1" applyBorder="1" applyAlignment="1">
      <alignment horizontal="center"/>
    </xf>
    <xf numFmtId="164" fontId="56" fillId="0" borderId="193" xfId="0" applyNumberFormat="1" applyFont="1" applyFill="1" applyBorder="1" applyAlignment="1">
      <alignment horizontal="center"/>
    </xf>
    <xf numFmtId="164" fontId="56" fillId="0" borderId="161" xfId="39" applyNumberFormat="1" applyFont="1" applyFill="1" applyBorder="1" applyAlignment="1">
      <alignment horizontal="center"/>
    </xf>
    <xf numFmtId="164" fontId="56" fillId="0" borderId="161" xfId="39" applyNumberFormat="1" applyFont="1" applyBorder="1" applyAlignment="1">
      <alignment horizontal="center"/>
    </xf>
    <xf numFmtId="164" fontId="56" fillId="16" borderId="216" xfId="0" applyNumberFormat="1" applyFont="1" applyFill="1" applyBorder="1" applyAlignment="1">
      <alignment horizontal="center"/>
    </xf>
    <xf numFmtId="164" fontId="56" fillId="16" borderId="218" xfId="39" applyNumberFormat="1" applyFont="1" applyFill="1" applyBorder="1" applyAlignment="1">
      <alignment horizontal="center"/>
    </xf>
    <xf numFmtId="164" fontId="56" fillId="16" borderId="142" xfId="0" applyNumberFormat="1" applyFont="1" applyFill="1" applyBorder="1" applyAlignment="1">
      <alignment horizontal="center"/>
    </xf>
    <xf numFmtId="164" fontId="56" fillId="16" borderId="141" xfId="39" applyNumberFormat="1" applyFont="1" applyFill="1" applyBorder="1" applyAlignment="1">
      <alignment horizontal="center"/>
    </xf>
    <xf numFmtId="0" fontId="68" fillId="0" borderId="0" xfId="9" applyFont="1" applyAlignment="1">
      <alignment horizontal="left" vertical="top" wrapText="1"/>
    </xf>
    <xf numFmtId="3" fontId="72" fillId="0" borderId="219" xfId="16" applyNumberFormat="1" applyFont="1" applyFill="1" applyBorder="1" applyAlignment="1">
      <alignment horizontal="right" vertical="center" wrapText="1"/>
    </xf>
    <xf numFmtId="3" fontId="72" fillId="0" borderId="220" xfId="16" applyNumberFormat="1" applyFont="1" applyFill="1" applyBorder="1" applyAlignment="1">
      <alignment horizontal="right" vertical="center" wrapText="1"/>
    </xf>
    <xf numFmtId="3" fontId="72" fillId="0" borderId="220" xfId="16" applyNumberFormat="1" applyFont="1" applyBorder="1"/>
    <xf numFmtId="0" fontId="72" fillId="0" borderId="0" xfId="16" applyFont="1" applyBorder="1"/>
    <xf numFmtId="0" fontId="68" fillId="0" borderId="183" xfId="9" applyFont="1" applyBorder="1" applyAlignment="1">
      <alignment horizontal="center" wrapText="1"/>
    </xf>
    <xf numFmtId="3" fontId="63" fillId="0" borderId="183" xfId="9" applyNumberFormat="1" applyFont="1" applyBorder="1" applyAlignment="1">
      <alignment horizontal="right" indent="1"/>
    </xf>
    <xf numFmtId="49" fontId="57" fillId="19" borderId="199" xfId="0" applyNumberFormat="1" applyFont="1" applyFill="1" applyBorder="1" applyAlignment="1">
      <alignment horizontal="center"/>
    </xf>
    <xf numFmtId="3" fontId="56" fillId="0" borderId="114" xfId="0" applyNumberFormat="1" applyFont="1" applyFill="1" applyBorder="1" applyAlignment="1">
      <alignment horizontal="right" indent="1"/>
    </xf>
    <xf numFmtId="3" fontId="56" fillId="0" borderId="199" xfId="0" applyNumberFormat="1" applyFont="1" applyFill="1" applyBorder="1" applyAlignment="1">
      <alignment horizontal="right" indent="1"/>
    </xf>
    <xf numFmtId="0" fontId="54" fillId="0" borderId="0" xfId="0" applyFont="1" applyAlignment="1">
      <alignment wrapText="1"/>
    </xf>
    <xf numFmtId="3" fontId="73" fillId="0" borderId="0" xfId="0" applyNumberFormat="1" applyFont="1" applyFill="1"/>
    <xf numFmtId="171" fontId="81" fillId="0" borderId="193" xfId="1" applyNumberFormat="1" applyFont="1" applyBorder="1"/>
    <xf numFmtId="171" fontId="81" fillId="0" borderId="161" xfId="1" applyNumberFormat="1" applyFont="1" applyBorder="1"/>
    <xf numFmtId="9" fontId="75" fillId="0" borderId="0" xfId="39" applyFont="1" applyFill="1"/>
    <xf numFmtId="0" fontId="54" fillId="0" borderId="0" xfId="0" applyFont="1" applyAlignment="1">
      <alignment horizontal="center" wrapText="1"/>
    </xf>
    <xf numFmtId="0" fontId="71" fillId="0" borderId="221" xfId="16" applyFont="1" applyFill="1" applyBorder="1" applyAlignment="1">
      <alignment horizontal="center" vertical="center"/>
    </xf>
    <xf numFmtId="3" fontId="72" fillId="6" borderId="221" xfId="16" applyNumberFormat="1" applyFont="1" applyFill="1" applyBorder="1" applyAlignment="1">
      <alignment horizontal="center" vertical="center"/>
    </xf>
    <xf numFmtId="0" fontId="71" fillId="0" borderId="222" xfId="16" applyFont="1" applyFill="1" applyBorder="1" applyAlignment="1">
      <alignment horizontal="center" vertical="center"/>
    </xf>
    <xf numFmtId="0" fontId="71" fillId="0" borderId="223" xfId="16" applyFont="1" applyFill="1" applyBorder="1" applyAlignment="1">
      <alignment horizontal="center" vertical="center"/>
    </xf>
    <xf numFmtId="0" fontId="71" fillId="0" borderId="223" xfId="16" applyFont="1" applyBorder="1" applyAlignment="1">
      <alignment vertical="center"/>
    </xf>
    <xf numFmtId="0" fontId="71" fillId="0" borderId="224" xfId="16" applyFont="1" applyBorder="1" applyAlignment="1">
      <alignment vertical="center"/>
    </xf>
    <xf numFmtId="5" fontId="75" fillId="0" borderId="205" xfId="0" applyNumberFormat="1" applyFont="1" applyBorder="1" applyAlignment="1"/>
    <xf numFmtId="5" fontId="75" fillId="0" borderId="205" xfId="0" applyNumberFormat="1" applyFont="1" applyBorder="1"/>
    <xf numFmtId="0" fontId="71" fillId="0" borderId="225" xfId="14" quotePrefix="1" applyFont="1" applyFill="1" applyBorder="1" applyAlignment="1">
      <alignment horizontal="center" wrapText="1"/>
    </xf>
    <xf numFmtId="164" fontId="71" fillId="23" borderId="205" xfId="14" applyNumberFormat="1" applyFont="1" applyFill="1" applyBorder="1" applyAlignment="1">
      <alignment horizontal="center" wrapText="1"/>
    </xf>
    <xf numFmtId="164" fontId="72" fillId="0" borderId="205" xfId="14" applyNumberFormat="1" applyFont="1" applyFill="1" applyBorder="1" applyAlignment="1">
      <alignment horizontal="center" wrapText="1"/>
    </xf>
    <xf numFmtId="164" fontId="72" fillId="0" borderId="181" xfId="14" applyNumberFormat="1" applyFont="1" applyFill="1" applyBorder="1" applyAlignment="1">
      <alignment horizontal="center" wrapText="1"/>
    </xf>
    <xf numFmtId="171" fontId="81" fillId="0" borderId="0" xfId="1" applyNumberFormat="1" applyFont="1" applyBorder="1"/>
    <xf numFmtId="171" fontId="69" fillId="23" borderId="208" xfId="1" applyNumberFormat="1" applyFont="1" applyFill="1" applyBorder="1"/>
    <xf numFmtId="0" fontId="71" fillId="0" borderId="203" xfId="14" applyFont="1" applyFill="1" applyBorder="1" applyAlignment="1">
      <alignment horizontal="center" wrapText="1"/>
    </xf>
    <xf numFmtId="0" fontId="71" fillId="0" borderId="226" xfId="14" applyFont="1" applyFill="1" applyBorder="1" applyAlignment="1">
      <alignment horizontal="center" wrapText="1"/>
    </xf>
    <xf numFmtId="171" fontId="81" fillId="0" borderId="208" xfId="1" applyNumberFormat="1" applyFont="1" applyBorder="1"/>
    <xf numFmtId="9" fontId="57" fillId="18" borderId="230" xfId="39" applyFont="1" applyFill="1" applyBorder="1" applyAlignment="1">
      <alignment horizontal="center" vertical="center"/>
    </xf>
    <xf numFmtId="9" fontId="57" fillId="18" borderId="212" xfId="39" applyFont="1" applyFill="1" applyBorder="1" applyAlignment="1">
      <alignment horizontal="center" vertical="center"/>
    </xf>
    <xf numFmtId="0" fontId="94" fillId="18" borderId="213" xfId="0" applyFont="1" applyFill="1" applyBorder="1" applyAlignment="1">
      <alignment horizontal="center" vertical="center" wrapText="1"/>
    </xf>
    <xf numFmtId="0" fontId="99" fillId="18" borderId="229" xfId="0" applyFont="1" applyFill="1" applyBorder="1" applyAlignment="1">
      <alignment horizontal="center" wrapText="1"/>
    </xf>
    <xf numFmtId="9" fontId="57" fillId="18" borderId="182" xfId="39" applyFont="1" applyFill="1" applyBorder="1" applyAlignment="1">
      <alignment horizontal="center" vertical="center"/>
    </xf>
    <xf numFmtId="9" fontId="57" fillId="18" borderId="231" xfId="39" applyFont="1" applyFill="1" applyBorder="1" applyAlignment="1">
      <alignment horizontal="center" vertical="center"/>
    </xf>
    <xf numFmtId="0" fontId="94" fillId="18" borderId="232" xfId="0" applyFont="1" applyFill="1" applyBorder="1" applyAlignment="1">
      <alignment horizontal="center" vertical="center" wrapText="1"/>
    </xf>
    <xf numFmtId="0" fontId="99" fillId="18" borderId="181" xfId="0" applyFont="1" applyFill="1" applyBorder="1" applyAlignment="1">
      <alignment horizontal="center" wrapText="1"/>
    </xf>
    <xf numFmtId="3" fontId="56" fillId="0" borderId="230" xfId="0" applyNumberFormat="1" applyFont="1" applyBorder="1" applyAlignment="1">
      <alignment horizontal="right" indent="1"/>
    </xf>
    <xf numFmtId="3" fontId="56" fillId="0" borderId="212" xfId="0" applyNumberFormat="1" applyFont="1" applyBorder="1" applyAlignment="1">
      <alignment horizontal="right" indent="1"/>
    </xf>
    <xf numFmtId="3" fontId="56" fillId="0" borderId="233" xfId="0" quotePrefix="1" applyNumberFormat="1" applyFont="1" applyFill="1" applyBorder="1" applyAlignment="1">
      <alignment horizontal="right" indent="1"/>
    </xf>
    <xf numFmtId="171" fontId="56" fillId="0" borderId="229" xfId="1" applyNumberFormat="1" applyFont="1" applyBorder="1"/>
    <xf numFmtId="171" fontId="56" fillId="0" borderId="229" xfId="1" applyNumberFormat="1" applyFont="1" applyBorder="1" applyAlignment="1">
      <alignment horizontal="right"/>
    </xf>
    <xf numFmtId="3" fontId="56" fillId="11" borderId="234" xfId="0" applyNumberFormat="1" applyFont="1" applyFill="1" applyBorder="1" applyAlignment="1">
      <alignment horizontal="right" indent="1"/>
    </xf>
    <xf numFmtId="3" fontId="56" fillId="11" borderId="208" xfId="0" quotePrefix="1" applyNumberFormat="1" applyFont="1" applyFill="1" applyBorder="1" applyAlignment="1">
      <alignment horizontal="right" indent="1"/>
    </xf>
    <xf numFmtId="171" fontId="56" fillId="11" borderId="205" xfId="1" applyNumberFormat="1" applyFont="1" applyFill="1" applyBorder="1"/>
    <xf numFmtId="171" fontId="56" fillId="11" borderId="205" xfId="1" applyNumberFormat="1" applyFont="1" applyFill="1" applyBorder="1" applyAlignment="1">
      <alignment horizontal="right"/>
    </xf>
    <xf numFmtId="3" fontId="56" fillId="0" borderId="234" xfId="0" applyNumberFormat="1" applyFont="1" applyBorder="1" applyAlignment="1">
      <alignment horizontal="right" indent="1"/>
    </xf>
    <xf numFmtId="3" fontId="56" fillId="0" borderId="208" xfId="0" quotePrefix="1" applyNumberFormat="1" applyFont="1" applyFill="1" applyBorder="1" applyAlignment="1">
      <alignment horizontal="right" indent="1"/>
    </xf>
    <xf numFmtId="171" fontId="56" fillId="0" borderId="205" xfId="1" applyNumberFormat="1" applyFont="1" applyBorder="1"/>
    <xf numFmtId="171" fontId="56" fillId="0" borderId="205" xfId="1" applyNumberFormat="1" applyFont="1" applyBorder="1" applyAlignment="1">
      <alignment horizontal="right"/>
    </xf>
    <xf numFmtId="0" fontId="41" fillId="0" borderId="0" xfId="16" applyFont="1"/>
    <xf numFmtId="0" fontId="75" fillId="0" borderId="0" xfId="15" applyFont="1" applyAlignment="1">
      <alignment horizontal="left" wrapText="1"/>
    </xf>
    <xf numFmtId="0" fontId="75" fillId="0" borderId="0" xfId="15" applyFont="1" applyAlignment="1">
      <alignment horizontal="left" wrapText="1"/>
    </xf>
    <xf numFmtId="171" fontId="75" fillId="0" borderId="205" xfId="1" applyNumberFormat="1" applyFont="1" applyFill="1" applyBorder="1"/>
    <xf numFmtId="171" fontId="75" fillId="0" borderId="181" xfId="1" applyNumberFormat="1" applyFont="1" applyFill="1" applyBorder="1"/>
    <xf numFmtId="3" fontId="75" fillId="0" borderId="205" xfId="15" applyNumberFormat="1" applyFont="1" applyBorder="1"/>
    <xf numFmtId="3" fontId="75" fillId="0" borderId="181" xfId="15" applyNumberFormat="1" applyFont="1" applyBorder="1"/>
    <xf numFmtId="0" fontId="68" fillId="0" borderId="183" xfId="0" applyFont="1" applyBorder="1" applyAlignment="1">
      <alignment horizontal="center" wrapText="1"/>
    </xf>
    <xf numFmtId="0" fontId="68" fillId="0" borderId="183" xfId="0" applyFont="1" applyBorder="1" applyAlignment="1">
      <alignment horizontal="center"/>
    </xf>
    <xf numFmtId="0" fontId="30" fillId="0" borderId="0" xfId="15" applyFont="1" applyAlignment="1">
      <alignment horizontal="left" wrapText="1"/>
    </xf>
    <xf numFmtId="167" fontId="59" fillId="9" borderId="193" xfId="0" applyNumberFormat="1" applyFont="1" applyFill="1" applyBorder="1"/>
    <xf numFmtId="167" fontId="59" fillId="9" borderId="236" xfId="0" applyNumberFormat="1" applyFont="1" applyFill="1" applyBorder="1"/>
    <xf numFmtId="167" fontId="118" fillId="0" borderId="112" xfId="0" applyNumberFormat="1" applyFont="1" applyFill="1" applyBorder="1"/>
    <xf numFmtId="167" fontId="59" fillId="9" borderId="234" xfId="0" applyNumberFormat="1" applyFont="1" applyFill="1" applyBorder="1"/>
    <xf numFmtId="167" fontId="59" fillId="9" borderId="208" xfId="0" applyNumberFormat="1" applyFont="1" applyFill="1" applyBorder="1"/>
    <xf numFmtId="0" fontId="29" fillId="0" borderId="0" xfId="16" applyFont="1"/>
    <xf numFmtId="5" fontId="90" fillId="6" borderId="9" xfId="3" applyNumberFormat="1" applyFont="1" applyFill="1" applyBorder="1"/>
    <xf numFmtId="5" fontId="54" fillId="6" borderId="39" xfId="0" applyNumberFormat="1" applyFont="1" applyFill="1" applyBorder="1" applyAlignment="1"/>
    <xf numFmtId="172" fontId="26" fillId="0" borderId="228" xfId="0" applyNumberFormat="1" applyFont="1" applyFill="1" applyBorder="1"/>
    <xf numFmtId="3" fontId="26" fillId="6" borderId="228" xfId="0" applyNumberFormat="1" applyFont="1" applyFill="1" applyBorder="1" applyAlignment="1">
      <alignment horizontal="right" vertical="center"/>
    </xf>
    <xf numFmtId="3" fontId="24" fillId="0" borderId="0" xfId="0" applyNumberFormat="1" applyFont="1" applyFill="1" applyBorder="1" applyAlignment="1">
      <alignment horizontal="right" vertical="center"/>
    </xf>
    <xf numFmtId="3" fontId="24" fillId="0" borderId="0" xfId="0" applyNumberFormat="1" applyFont="1" applyFill="1" applyBorder="1"/>
    <xf numFmtId="3" fontId="26" fillId="6" borderId="228" xfId="0" applyNumberFormat="1" applyFont="1" applyFill="1" applyBorder="1"/>
    <xf numFmtId="9" fontId="24" fillId="0" borderId="205" xfId="0" applyNumberFormat="1" applyFont="1" applyFill="1" applyBorder="1"/>
    <xf numFmtId="172" fontId="26" fillId="0" borderId="199" xfId="0" applyNumberFormat="1" applyFont="1" applyFill="1" applyBorder="1"/>
    <xf numFmtId="0" fontId="70" fillId="0" borderId="0" xfId="0" applyFont="1" applyBorder="1"/>
    <xf numFmtId="179" fontId="24" fillId="0" borderId="205" xfId="0" applyNumberFormat="1" applyFont="1" applyFill="1" applyBorder="1"/>
    <xf numFmtId="165" fontId="24" fillId="0" borderId="237" xfId="0" applyNumberFormat="1" applyFont="1" applyFill="1" applyBorder="1"/>
    <xf numFmtId="179" fontId="24" fillId="0" borderId="234" xfId="0" applyNumberFormat="1" applyFont="1" applyFill="1" applyBorder="1"/>
    <xf numFmtId="179" fontId="24" fillId="0" borderId="208" xfId="0" applyNumberFormat="1" applyFont="1" applyFill="1" applyBorder="1"/>
    <xf numFmtId="179" fontId="26" fillId="6" borderId="199" xfId="0" applyNumberFormat="1" applyFont="1" applyFill="1" applyBorder="1"/>
    <xf numFmtId="165" fontId="0" fillId="0" borderId="0" xfId="0" applyNumberFormat="1"/>
    <xf numFmtId="0" fontId="54" fillId="0" borderId="228" xfId="15" applyFont="1" applyFill="1" applyBorder="1" applyAlignment="1">
      <alignment horizontal="center" wrapText="1"/>
    </xf>
    <xf numFmtId="171" fontId="75" fillId="0" borderId="183" xfId="1" applyNumberFormat="1" applyFont="1" applyFill="1" applyBorder="1"/>
    <xf numFmtId="0" fontId="54" fillId="0" borderId="240" xfId="15" applyFont="1" applyFill="1" applyBorder="1" applyAlignment="1">
      <alignment horizontal="center" wrapText="1"/>
    </xf>
    <xf numFmtId="171" fontId="75" fillId="0" borderId="231" xfId="1" applyNumberFormat="1" applyFont="1" applyFill="1" applyBorder="1"/>
    <xf numFmtId="0" fontId="57" fillId="18" borderId="240" xfId="0" applyFont="1" applyFill="1" applyBorder="1" applyAlignment="1">
      <alignment horizontal="center"/>
    </xf>
    <xf numFmtId="3" fontId="56" fillId="0" borderId="234" xfId="0" applyNumberFormat="1" applyFont="1" applyFill="1" applyBorder="1" applyAlignment="1">
      <alignment horizontal="right" indent="1"/>
    </xf>
    <xf numFmtId="3" fontId="56" fillId="0" borderId="182" xfId="0" applyNumberFormat="1" applyFont="1" applyFill="1" applyBorder="1" applyAlignment="1">
      <alignment horizontal="right" indent="1"/>
    </xf>
    <xf numFmtId="3" fontId="56" fillId="0" borderId="231" xfId="0" applyNumberFormat="1" applyFont="1" applyFill="1" applyBorder="1" applyAlignment="1">
      <alignment horizontal="right" indent="1"/>
    </xf>
    <xf numFmtId="3" fontId="54" fillId="6" borderId="203" xfId="15" applyNumberFormat="1" applyFont="1" applyFill="1" applyBorder="1" applyAlignment="1">
      <alignment horizontal="right" vertical="top"/>
    </xf>
    <xf numFmtId="3" fontId="54" fillId="6" borderId="20" xfId="15" applyNumberFormat="1" applyFont="1" applyFill="1" applyBorder="1" applyAlignment="1">
      <alignment horizontal="right" vertical="top"/>
    </xf>
    <xf numFmtId="3" fontId="54" fillId="6" borderId="238" xfId="15" applyNumberFormat="1" applyFont="1" applyFill="1" applyBorder="1" applyAlignment="1">
      <alignment horizontal="right" vertical="top"/>
    </xf>
    <xf numFmtId="3" fontId="54" fillId="6" borderId="239" xfId="15" applyNumberFormat="1" applyFont="1" applyFill="1" applyBorder="1" applyAlignment="1">
      <alignment horizontal="right" vertical="top"/>
    </xf>
    <xf numFmtId="3" fontId="54" fillId="6" borderId="182" xfId="15" applyNumberFormat="1" applyFont="1" applyFill="1" applyBorder="1" applyAlignment="1">
      <alignment horizontal="right" vertical="top"/>
    </xf>
    <xf numFmtId="3" fontId="54" fillId="6" borderId="231" xfId="15" applyNumberFormat="1" applyFont="1" applyFill="1" applyBorder="1" applyAlignment="1">
      <alignment horizontal="right" vertical="top"/>
    </xf>
    <xf numFmtId="3" fontId="56" fillId="9" borderId="234" xfId="0" applyNumberFormat="1" applyFont="1" applyFill="1" applyBorder="1" applyAlignment="1">
      <alignment horizontal="right" indent="1"/>
    </xf>
    <xf numFmtId="3" fontId="56" fillId="9" borderId="208" xfId="0" quotePrefix="1" applyNumberFormat="1" applyFont="1" applyFill="1" applyBorder="1" applyAlignment="1">
      <alignment horizontal="right" indent="1"/>
    </xf>
    <xf numFmtId="171" fontId="56" fillId="0" borderId="230" xfId="1" applyNumberFormat="1" applyFont="1" applyBorder="1" applyAlignment="1">
      <alignment horizontal="right"/>
    </xf>
    <xf numFmtId="171" fontId="56" fillId="0" borderId="212" xfId="1" applyNumberFormat="1" applyFont="1" applyBorder="1" applyAlignment="1">
      <alignment horizontal="right"/>
    </xf>
    <xf numFmtId="171" fontId="56" fillId="0" borderId="233" xfId="1" applyNumberFormat="1" applyFont="1" applyBorder="1" applyAlignment="1">
      <alignment horizontal="right"/>
    </xf>
    <xf numFmtId="171" fontId="56" fillId="11" borderId="193" xfId="1" applyNumberFormat="1" applyFont="1" applyFill="1" applyBorder="1" applyAlignment="1">
      <alignment horizontal="right"/>
    </xf>
    <xf numFmtId="171" fontId="56" fillId="11" borderId="234" xfId="1" applyNumberFormat="1" applyFont="1" applyFill="1" applyBorder="1" applyAlignment="1">
      <alignment horizontal="right"/>
    </xf>
    <xf numFmtId="171" fontId="56" fillId="11" borderId="208" xfId="1" applyNumberFormat="1" applyFont="1" applyFill="1" applyBorder="1" applyAlignment="1">
      <alignment horizontal="right"/>
    </xf>
    <xf numFmtId="171" fontId="56" fillId="0" borderId="193" xfId="1" applyNumberFormat="1" applyFont="1" applyBorder="1" applyAlignment="1">
      <alignment horizontal="right"/>
    </xf>
    <xf numFmtId="171" fontId="56" fillId="0" borderId="234" xfId="1" applyNumberFormat="1" applyFont="1" applyBorder="1" applyAlignment="1">
      <alignment horizontal="right"/>
    </xf>
    <xf numFmtId="171" fontId="56" fillId="0" borderId="208" xfId="1" applyNumberFormat="1" applyFont="1" applyBorder="1" applyAlignment="1">
      <alignment horizontal="right"/>
    </xf>
    <xf numFmtId="171" fontId="56" fillId="11" borderId="193" xfId="1" applyNumberFormat="1" applyFont="1" applyFill="1" applyBorder="1"/>
    <xf numFmtId="171" fontId="56" fillId="11" borderId="234" xfId="1" applyNumberFormat="1" applyFont="1" applyFill="1" applyBorder="1"/>
    <xf numFmtId="171" fontId="56" fillId="11" borderId="208" xfId="1" applyNumberFormat="1" applyFont="1" applyFill="1" applyBorder="1"/>
    <xf numFmtId="171" fontId="56" fillId="9" borderId="193" xfId="1" applyNumberFormat="1" applyFont="1" applyFill="1" applyBorder="1"/>
    <xf numFmtId="171" fontId="56" fillId="9" borderId="234" xfId="1" applyNumberFormat="1" applyFont="1" applyFill="1" applyBorder="1"/>
    <xf numFmtId="171" fontId="56" fillId="9" borderId="208" xfId="1" applyNumberFormat="1" applyFont="1" applyFill="1" applyBorder="1"/>
    <xf numFmtId="0" fontId="30" fillId="0" borderId="0" xfId="15" applyFont="1" applyAlignment="1">
      <alignment horizontal="left" wrapText="1"/>
    </xf>
    <xf numFmtId="0" fontId="75" fillId="0" borderId="0" xfId="15" applyFont="1" applyAlignment="1">
      <alignment horizontal="left" wrapText="1"/>
    </xf>
    <xf numFmtId="0" fontId="56" fillId="0" borderId="241" xfId="0" applyFont="1" applyBorder="1"/>
    <xf numFmtId="0" fontId="56" fillId="0" borderId="242" xfId="0" applyFont="1" applyBorder="1"/>
    <xf numFmtId="0" fontId="56" fillId="0" borderId="243" xfId="0" applyFont="1" applyBorder="1"/>
    <xf numFmtId="0" fontId="57" fillId="19" borderId="245" xfId="0" applyFont="1" applyFill="1" applyBorder="1" applyAlignment="1">
      <alignment horizontal="center"/>
    </xf>
    <xf numFmtId="0" fontId="57" fillId="19" borderId="244" xfId="0" applyFont="1" applyFill="1" applyBorder="1" applyAlignment="1">
      <alignment horizontal="center"/>
    </xf>
    <xf numFmtId="0" fontId="57" fillId="19" borderId="203" xfId="0" applyFont="1" applyFill="1" applyBorder="1" applyAlignment="1">
      <alignment horizontal="center"/>
    </xf>
    <xf numFmtId="0" fontId="57" fillId="19" borderId="240" xfId="0" applyFont="1" applyFill="1" applyBorder="1" applyAlignment="1">
      <alignment horizontal="center"/>
    </xf>
    <xf numFmtId="0" fontId="56" fillId="0" borderId="235" xfId="0" applyFont="1" applyBorder="1"/>
    <xf numFmtId="0" fontId="57" fillId="19" borderId="226" xfId="0" applyFont="1" applyFill="1" applyBorder="1" applyAlignment="1">
      <alignment horizontal="center"/>
    </xf>
    <xf numFmtId="3" fontId="56" fillId="0" borderId="203" xfId="0" applyNumberFormat="1" applyFont="1" applyFill="1" applyBorder="1" applyAlignment="1">
      <alignment horizontal="right" indent="1"/>
    </xf>
    <xf numFmtId="3" fontId="56" fillId="0" borderId="240" xfId="0" applyNumberFormat="1" applyFont="1" applyFill="1" applyBorder="1" applyAlignment="1">
      <alignment horizontal="right" indent="1"/>
    </xf>
    <xf numFmtId="3" fontId="75" fillId="0" borderId="205" xfId="15" applyNumberFormat="1" applyFont="1" applyFill="1" applyBorder="1" applyAlignment="1">
      <alignment horizontal="right" vertical="top"/>
    </xf>
    <xf numFmtId="171" fontId="75" fillId="0" borderId="205" xfId="1" applyNumberFormat="1" applyFont="1" applyBorder="1"/>
    <xf numFmtId="0" fontId="57" fillId="19" borderId="221" xfId="0" applyFont="1" applyFill="1" applyBorder="1" applyAlignment="1">
      <alignment horizontal="center"/>
    </xf>
    <xf numFmtId="0" fontId="56" fillId="0" borderId="221" xfId="0" applyFont="1" applyBorder="1"/>
    <xf numFmtId="49" fontId="57" fillId="19" borderId="226" xfId="0" applyNumberFormat="1" applyFont="1" applyFill="1" applyBorder="1" applyAlignment="1">
      <alignment horizontal="center"/>
    </xf>
    <xf numFmtId="3" fontId="56" fillId="0" borderId="226" xfId="0" applyNumberFormat="1" applyFont="1" applyFill="1" applyBorder="1" applyAlignment="1">
      <alignment horizontal="right" indent="1"/>
    </xf>
    <xf numFmtId="0" fontId="81" fillId="0" borderId="0" xfId="14" applyFont="1" applyAlignment="1">
      <alignment horizontal="left" vertical="top" wrapText="1"/>
    </xf>
    <xf numFmtId="0" fontId="30" fillId="0" borderId="0" xfId="14" applyFont="1" applyFill="1" applyBorder="1" applyAlignment="1">
      <alignment horizontal="left" wrapText="1"/>
    </xf>
    <xf numFmtId="3" fontId="71" fillId="6" borderId="193" xfId="33" applyNumberFormat="1" applyFont="1" applyFill="1" applyBorder="1" applyAlignment="1">
      <alignment horizontal="center" wrapText="1"/>
    </xf>
    <xf numFmtId="0" fontId="72" fillId="0" borderId="0" xfId="33" applyFont="1" applyFill="1" applyBorder="1" applyAlignment="1">
      <alignment horizontal="center" wrapText="1"/>
    </xf>
    <xf numFmtId="0" fontId="72" fillId="0" borderId="0" xfId="33" applyFont="1" applyFill="1" applyBorder="1" applyAlignment="1">
      <alignment wrapText="1"/>
    </xf>
    <xf numFmtId="0" fontId="71" fillId="0" borderId="209" xfId="33" applyFont="1" applyFill="1" applyBorder="1" applyAlignment="1">
      <alignment horizontal="left"/>
    </xf>
    <xf numFmtId="3" fontId="71" fillId="6" borderId="236" xfId="33" applyNumberFormat="1" applyFont="1" applyFill="1" applyBorder="1" applyAlignment="1">
      <alignment horizontal="center" wrapText="1"/>
    </xf>
    <xf numFmtId="0" fontId="71" fillId="0" borderId="249" xfId="33" applyFont="1" applyFill="1" applyBorder="1" applyAlignment="1">
      <alignment horizontal="center" wrapText="1"/>
    </xf>
    <xf numFmtId="0" fontId="71" fillId="0" borderId="250" xfId="33" applyFont="1" applyFill="1" applyBorder="1" applyAlignment="1">
      <alignment horizontal="center" wrapText="1"/>
    </xf>
    <xf numFmtId="0" fontId="71" fillId="0" borderId="251" xfId="33" applyFont="1" applyFill="1" applyBorder="1" applyAlignment="1">
      <alignment horizontal="center" wrapText="1"/>
    </xf>
    <xf numFmtId="3" fontId="71" fillId="6" borderId="234" xfId="33" applyNumberFormat="1" applyFont="1" applyFill="1" applyBorder="1" applyAlignment="1">
      <alignment horizontal="center" wrapText="1"/>
    </xf>
    <xf numFmtId="3" fontId="71" fillId="6" borderId="208" xfId="33" applyNumberFormat="1" applyFont="1" applyFill="1" applyBorder="1" applyAlignment="1">
      <alignment horizontal="center" wrapText="1"/>
    </xf>
    <xf numFmtId="3" fontId="72" fillId="0" borderId="193" xfId="33" applyNumberFormat="1" applyFont="1" applyFill="1" applyBorder="1" applyAlignment="1">
      <alignment horizontal="right" wrapText="1"/>
    </xf>
    <xf numFmtId="3" fontId="72" fillId="0" borderId="234" xfId="33" applyNumberFormat="1" applyFont="1" applyFill="1" applyBorder="1" applyAlignment="1">
      <alignment horizontal="right" wrapText="1"/>
    </xf>
    <xf numFmtId="3" fontId="72" fillId="0" borderId="208" xfId="33" applyNumberFormat="1" applyFont="1" applyFill="1" applyBorder="1" applyAlignment="1">
      <alignment horizontal="right" wrapText="1"/>
    </xf>
    <xf numFmtId="3" fontId="72" fillId="0" borderId="234" xfId="33" applyNumberFormat="1" applyFont="1" applyBorder="1"/>
    <xf numFmtId="3" fontId="72" fillId="0" borderId="234" xfId="33" applyNumberFormat="1" applyFont="1" applyFill="1" applyBorder="1"/>
    <xf numFmtId="3" fontId="72" fillId="0" borderId="208" xfId="33" applyNumberFormat="1" applyFont="1" applyBorder="1"/>
    <xf numFmtId="3" fontId="72" fillId="0" borderId="193" xfId="33" applyNumberFormat="1" applyFont="1" applyBorder="1"/>
    <xf numFmtId="0" fontId="71" fillId="0" borderId="0" xfId="14" applyFont="1" applyFill="1" applyBorder="1" applyAlignment="1">
      <alignment horizontal="center"/>
    </xf>
    <xf numFmtId="0" fontId="71" fillId="0" borderId="183" xfId="14" applyFont="1" applyFill="1" applyBorder="1" applyAlignment="1">
      <alignment horizontal="center"/>
    </xf>
    <xf numFmtId="0" fontId="71" fillId="0" borderId="14" xfId="14" applyFont="1" applyFill="1" applyBorder="1" applyAlignment="1">
      <alignment horizontal="center" wrapText="1"/>
    </xf>
    <xf numFmtId="0" fontId="56" fillId="0" borderId="226" xfId="0" applyFont="1" applyBorder="1" applyAlignment="1">
      <alignment horizontal="right" indent="1"/>
    </xf>
    <xf numFmtId="171" fontId="56" fillId="0" borderId="199" xfId="1" applyNumberFormat="1" applyFont="1" applyFill="1" applyBorder="1" applyAlignment="1">
      <alignment horizontal="right" vertical="top" wrapText="1" indent="1"/>
    </xf>
    <xf numFmtId="3" fontId="73" fillId="0" borderId="0" xfId="1" applyNumberFormat="1" applyFont="1" applyFill="1"/>
    <xf numFmtId="3" fontId="70" fillId="0" borderId="22" xfId="0" applyNumberFormat="1" applyFont="1" applyFill="1" applyBorder="1"/>
    <xf numFmtId="0" fontId="54" fillId="0" borderId="0" xfId="0" applyFont="1" applyBorder="1" applyAlignment="1">
      <alignment horizontal="center"/>
    </xf>
    <xf numFmtId="3" fontId="72" fillId="0" borderId="56" xfId="33" applyNumberFormat="1" applyFont="1" applyBorder="1"/>
    <xf numFmtId="3" fontId="72" fillId="0" borderId="55" xfId="33" applyNumberFormat="1" applyFont="1" applyBorder="1"/>
    <xf numFmtId="3" fontId="72" fillId="0" borderId="55" xfId="33" applyNumberFormat="1" applyFont="1" applyFill="1" applyBorder="1"/>
    <xf numFmtId="164" fontId="71" fillId="6" borderId="59" xfId="16" applyNumberFormat="1" applyFont="1" applyFill="1" applyBorder="1" applyAlignment="1">
      <alignment wrapText="1"/>
    </xf>
    <xf numFmtId="164" fontId="72" fillId="0" borderId="253" xfId="16" applyNumberFormat="1" applyFont="1" applyFill="1" applyBorder="1" applyAlignment="1">
      <alignment wrapText="1"/>
    </xf>
    <xf numFmtId="164" fontId="72" fillId="0" borderId="254" xfId="16" applyNumberFormat="1" applyFont="1" applyFill="1" applyBorder="1" applyAlignment="1">
      <alignment wrapText="1"/>
    </xf>
    <xf numFmtId="164" fontId="72" fillId="0" borderId="253" xfId="39" applyNumberFormat="1" applyFont="1" applyFill="1" applyBorder="1" applyAlignment="1">
      <alignment wrapText="1"/>
    </xf>
    <xf numFmtId="0" fontId="71" fillId="0" borderId="59" xfId="16" applyFont="1" applyBorder="1" applyAlignment="1">
      <alignment horizontal="center"/>
    </xf>
    <xf numFmtId="3" fontId="71" fillId="6" borderId="59" xfId="16" applyNumberFormat="1" applyFont="1" applyFill="1" applyBorder="1"/>
    <xf numFmtId="3" fontId="72" fillId="0" borderId="253" xfId="16" applyNumberFormat="1" applyFont="1" applyBorder="1"/>
    <xf numFmtId="3" fontId="72" fillId="0" borderId="167" xfId="16" applyNumberFormat="1" applyFont="1" applyBorder="1"/>
    <xf numFmtId="3" fontId="72" fillId="0" borderId="255" xfId="16" applyNumberFormat="1" applyFont="1" applyBorder="1"/>
    <xf numFmtId="164" fontId="75" fillId="0" borderId="255" xfId="39" applyNumberFormat="1" applyFont="1" applyBorder="1"/>
    <xf numFmtId="0" fontId="54" fillId="0" borderId="221" xfId="0" applyFont="1" applyBorder="1" applyAlignment="1">
      <alignment horizontal="center"/>
    </xf>
    <xf numFmtId="164" fontId="75" fillId="8" borderId="221" xfId="39" applyNumberFormat="1" applyFont="1" applyFill="1" applyBorder="1"/>
    <xf numFmtId="0" fontId="54" fillId="0" borderId="53" xfId="0" applyFont="1" applyFill="1" applyBorder="1" applyAlignment="1">
      <alignment horizontal="center"/>
    </xf>
    <xf numFmtId="164" fontId="75" fillId="0" borderId="53" xfId="39" applyNumberFormat="1" applyFont="1" applyFill="1" applyBorder="1"/>
    <xf numFmtId="164" fontId="75" fillId="0" borderId="23" xfId="39" applyNumberFormat="1" applyFont="1" applyBorder="1"/>
    <xf numFmtId="0" fontId="54" fillId="0" borderId="226" xfId="0" applyFont="1" applyBorder="1" applyAlignment="1">
      <alignment horizontal="center"/>
    </xf>
    <xf numFmtId="164" fontId="75" fillId="8" borderId="226" xfId="39" applyNumberFormat="1" applyFont="1" applyFill="1" applyBorder="1"/>
    <xf numFmtId="0" fontId="54" fillId="0" borderId="221" xfId="0" applyFont="1" applyBorder="1"/>
    <xf numFmtId="171" fontId="75" fillId="8" borderId="221" xfId="1" applyNumberFormat="1" applyFont="1" applyFill="1" applyBorder="1"/>
    <xf numFmtId="171" fontId="75" fillId="0" borderId="255" xfId="1" applyNumberFormat="1" applyFont="1" applyFill="1" applyBorder="1"/>
    <xf numFmtId="0" fontId="54" fillId="0" borderId="226" xfId="0" applyFont="1" applyBorder="1"/>
    <xf numFmtId="171" fontId="75" fillId="8" borderId="226" xfId="1" applyNumberFormat="1" applyFont="1" applyFill="1" applyBorder="1"/>
    <xf numFmtId="171" fontId="75" fillId="0" borderId="255" xfId="1" applyNumberFormat="1" applyFont="1" applyBorder="1"/>
    <xf numFmtId="49" fontId="68" fillId="0" borderId="0" xfId="9" applyNumberFormat="1" applyFont="1"/>
    <xf numFmtId="0" fontId="68" fillId="0" borderId="183" xfId="0" applyFont="1" applyBorder="1" applyAlignment="1">
      <alignment horizontal="center" wrapText="1"/>
    </xf>
    <xf numFmtId="0" fontId="68" fillId="0" borderId="183" xfId="0" applyFont="1" applyBorder="1" applyAlignment="1">
      <alignment horizontal="center"/>
    </xf>
    <xf numFmtId="0" fontId="68" fillId="0" borderId="0" xfId="0" applyFont="1" applyBorder="1" applyAlignment="1">
      <alignment horizontal="center"/>
    </xf>
    <xf numFmtId="0" fontId="68" fillId="0" borderId="0" xfId="9" applyFont="1" applyAlignment="1">
      <alignment horizontal="left" vertical="top" wrapText="1"/>
    </xf>
    <xf numFmtId="172" fontId="26" fillId="0" borderId="224" xfId="0" applyNumberFormat="1" applyFont="1" applyFill="1" applyBorder="1"/>
    <xf numFmtId="9" fontId="26" fillId="6" borderId="224" xfId="39" applyFont="1" applyFill="1" applyBorder="1"/>
    <xf numFmtId="9" fontId="24" fillId="0" borderId="178" xfId="39" applyFont="1" applyFill="1" applyBorder="1"/>
    <xf numFmtId="9" fontId="24" fillId="0" borderId="178" xfId="0" applyNumberFormat="1" applyFont="1" applyFill="1" applyBorder="1"/>
    <xf numFmtId="9" fontId="24" fillId="0" borderId="208" xfId="39" applyFont="1" applyFill="1" applyBorder="1"/>
    <xf numFmtId="9" fontId="24" fillId="0" borderId="208" xfId="0" applyNumberFormat="1" applyFont="1" applyFill="1" applyBorder="1"/>
    <xf numFmtId="172" fontId="26" fillId="0" borderId="226" xfId="0" applyNumberFormat="1" applyFont="1" applyFill="1" applyBorder="1"/>
    <xf numFmtId="9" fontId="26" fillId="6" borderId="226" xfId="39" applyFont="1" applyFill="1" applyBorder="1"/>
    <xf numFmtId="3" fontId="26" fillId="6" borderId="221" xfId="0" applyNumberFormat="1" applyFont="1" applyFill="1" applyBorder="1" applyAlignment="1">
      <alignment horizontal="right" vertical="center"/>
    </xf>
    <xf numFmtId="3" fontId="24" fillId="0" borderId="255" xfId="0" applyNumberFormat="1" applyFont="1" applyFill="1" applyBorder="1" applyAlignment="1">
      <alignment horizontal="right" vertical="center"/>
    </xf>
    <xf numFmtId="3" fontId="26" fillId="6" borderId="240" xfId="0" applyNumberFormat="1" applyFont="1" applyFill="1" applyBorder="1" applyAlignment="1">
      <alignment horizontal="right" vertical="center"/>
    </xf>
    <xf numFmtId="3" fontId="26" fillId="6" borderId="226" xfId="0" applyNumberFormat="1" applyFont="1" applyFill="1" applyBorder="1" applyAlignment="1">
      <alignment horizontal="right" vertical="center"/>
    </xf>
    <xf numFmtId="3" fontId="24" fillId="0" borderId="234" xfId="0" applyNumberFormat="1" applyFont="1" applyFill="1" applyBorder="1" applyAlignment="1">
      <alignment horizontal="right" vertical="center"/>
    </xf>
    <xf numFmtId="3" fontId="24" fillId="0" borderId="208" xfId="0" applyNumberFormat="1" applyFont="1" applyFill="1" applyBorder="1" applyAlignment="1">
      <alignment horizontal="right" vertical="center"/>
    </xf>
    <xf numFmtId="3" fontId="24" fillId="0" borderId="255" xfId="0" applyNumberFormat="1" applyFont="1" applyFill="1" applyBorder="1"/>
    <xf numFmtId="3" fontId="24" fillId="0" borderId="234" xfId="0" applyNumberFormat="1" applyFont="1" applyFill="1" applyBorder="1"/>
    <xf numFmtId="3" fontId="24" fillId="0" borderId="208" xfId="0" applyNumberFormat="1" applyFont="1" applyFill="1" applyBorder="1"/>
    <xf numFmtId="172" fontId="26" fillId="0" borderId="221" xfId="0" applyNumberFormat="1" applyFont="1" applyFill="1" applyBorder="1"/>
    <xf numFmtId="3" fontId="26" fillId="6" borderId="221" xfId="0" applyNumberFormat="1" applyFont="1" applyFill="1" applyBorder="1"/>
    <xf numFmtId="172" fontId="26" fillId="0" borderId="240" xfId="0" applyNumberFormat="1" applyFont="1" applyFill="1" applyBorder="1"/>
    <xf numFmtId="3" fontId="26" fillId="6" borderId="240" xfId="0" applyNumberFormat="1" applyFont="1" applyFill="1" applyBorder="1"/>
    <xf numFmtId="3" fontId="26" fillId="6" borderId="226" xfId="0" applyNumberFormat="1" applyFont="1" applyFill="1" applyBorder="1"/>
    <xf numFmtId="0" fontId="68" fillId="0" borderId="183" xfId="0" applyFont="1" applyBorder="1" applyAlignment="1">
      <alignment horizontal="center" wrapText="1"/>
    </xf>
    <xf numFmtId="0" fontId="68" fillId="0" borderId="183" xfId="0" applyFont="1" applyBorder="1" applyAlignment="1">
      <alignment horizontal="center"/>
    </xf>
    <xf numFmtId="17" fontId="54" fillId="0" borderId="0" xfId="15" applyNumberFormat="1" applyFont="1" applyAlignment="1">
      <alignment horizontal="center" wrapText="1"/>
    </xf>
    <xf numFmtId="17" fontId="54" fillId="0" borderId="0" xfId="15" applyNumberFormat="1" applyFont="1"/>
    <xf numFmtId="0" fontId="54" fillId="0" borderId="0" xfId="15" applyFont="1" applyAlignment="1">
      <alignment wrapText="1"/>
    </xf>
    <xf numFmtId="171" fontId="75" fillId="6" borderId="224" xfId="1" applyNumberFormat="1" applyFont="1" applyFill="1" applyBorder="1" applyAlignment="1">
      <alignment horizontal="center" wrapText="1"/>
    </xf>
    <xf numFmtId="171" fontId="75" fillId="6" borderId="252" xfId="1" applyNumberFormat="1" applyFont="1" applyFill="1" applyBorder="1" applyAlignment="1">
      <alignment horizontal="center" wrapText="1"/>
    </xf>
    <xf numFmtId="171" fontId="75" fillId="6" borderId="252" xfId="1" applyNumberFormat="1" applyFont="1" applyFill="1" applyBorder="1"/>
    <xf numFmtId="0" fontId="68" fillId="0" borderId="0" xfId="9" applyFont="1" applyAlignment="1">
      <alignment wrapText="1"/>
    </xf>
    <xf numFmtId="2" fontId="63" fillId="0" borderId="0" xfId="9" applyNumberFormat="1" applyFont="1"/>
    <xf numFmtId="0" fontId="71" fillId="0" borderId="257" xfId="14" quotePrefix="1" applyFont="1" applyFill="1" applyBorder="1" applyAlignment="1">
      <alignment horizontal="center" wrapText="1"/>
    </xf>
    <xf numFmtId="171" fontId="72" fillId="0" borderId="258" xfId="1" applyNumberFormat="1" applyFont="1" applyFill="1" applyBorder="1" applyAlignment="1">
      <alignment wrapText="1"/>
    </xf>
    <xf numFmtId="171" fontId="72" fillId="0" borderId="259" xfId="1" applyNumberFormat="1" applyFont="1" applyFill="1" applyBorder="1" applyAlignment="1">
      <alignment wrapText="1"/>
    </xf>
    <xf numFmtId="3" fontId="72" fillId="0" borderId="258" xfId="14" applyNumberFormat="1" applyFont="1" applyFill="1" applyBorder="1" applyAlignment="1">
      <alignment horizontal="right" wrapText="1"/>
    </xf>
    <xf numFmtId="3" fontId="72" fillId="0" borderId="259" xfId="14" applyNumberFormat="1" applyFont="1" applyFill="1" applyBorder="1" applyAlignment="1">
      <alignment horizontal="right" wrapText="1"/>
    </xf>
    <xf numFmtId="3" fontId="72" fillId="0" borderId="260" xfId="14" applyNumberFormat="1" applyFont="1" applyFill="1" applyBorder="1" applyAlignment="1">
      <alignment horizontal="right" wrapText="1"/>
    </xf>
    <xf numFmtId="3" fontId="72" fillId="0" borderId="182" xfId="14" applyNumberFormat="1" applyFont="1" applyFill="1" applyBorder="1" applyAlignment="1">
      <alignment horizontal="right" wrapText="1"/>
    </xf>
    <xf numFmtId="3" fontId="72" fillId="0" borderId="231" xfId="14" applyNumberFormat="1" applyFont="1" applyFill="1" applyBorder="1" applyAlignment="1">
      <alignment horizontal="right" wrapText="1"/>
    </xf>
    <xf numFmtId="171" fontId="81" fillId="0" borderId="182" xfId="1" applyNumberFormat="1" applyFont="1" applyBorder="1"/>
    <xf numFmtId="3" fontId="75" fillId="0" borderId="231" xfId="0" applyNumberFormat="1" applyFont="1" applyBorder="1"/>
    <xf numFmtId="171" fontId="81" fillId="0" borderId="261" xfId="1" applyNumberFormat="1" applyFont="1" applyBorder="1"/>
    <xf numFmtId="0" fontId="81" fillId="0" borderId="182" xfId="14" applyFont="1" applyBorder="1"/>
    <xf numFmtId="0" fontId="81" fillId="0" borderId="235" xfId="14" applyFont="1" applyBorder="1"/>
    <xf numFmtId="171" fontId="81" fillId="0" borderId="235" xfId="1" applyNumberFormat="1" applyFont="1" applyBorder="1"/>
    <xf numFmtId="0" fontId="72" fillId="0" borderId="205" xfId="14" applyFont="1" applyFill="1" applyBorder="1" applyAlignment="1">
      <alignment wrapText="1"/>
    </xf>
    <xf numFmtId="3" fontId="26" fillId="6" borderId="199" xfId="0" applyNumberFormat="1" applyFont="1" applyFill="1" applyBorder="1"/>
    <xf numFmtId="3" fontId="24" fillId="0" borderId="205" xfId="0" applyNumberFormat="1" applyFont="1" applyFill="1" applyBorder="1"/>
    <xf numFmtId="3" fontId="24" fillId="0" borderId="181" xfId="0" applyNumberFormat="1" applyFont="1" applyFill="1" applyBorder="1"/>
    <xf numFmtId="172" fontId="26" fillId="0" borderId="229" xfId="0" applyNumberFormat="1" applyFont="1" applyFill="1" applyBorder="1"/>
    <xf numFmtId="179" fontId="24" fillId="0" borderId="181" xfId="0" applyNumberFormat="1" applyFont="1" applyFill="1" applyBorder="1"/>
    <xf numFmtId="165" fontId="24" fillId="0" borderId="182" xfId="0" applyNumberFormat="1" applyFont="1" applyFill="1" applyBorder="1"/>
    <xf numFmtId="165" fontId="24" fillId="0" borderId="231" xfId="0" applyNumberFormat="1" applyFont="1" applyFill="1" applyBorder="1"/>
    <xf numFmtId="165" fontId="24" fillId="0" borderId="261" xfId="0" applyNumberFormat="1" applyFont="1" applyFill="1" applyBorder="1"/>
    <xf numFmtId="179" fontId="24" fillId="0" borderId="235" xfId="0" applyNumberFormat="1" applyFont="1" applyFill="1" applyBorder="1"/>
    <xf numFmtId="3" fontId="26" fillId="6" borderId="199" xfId="0" applyNumberFormat="1" applyFont="1" applyFill="1" applyBorder="1" applyAlignment="1">
      <alignment horizontal="right" vertical="center"/>
    </xf>
    <xf numFmtId="3" fontId="24" fillId="0" borderId="205" xfId="0" applyNumberFormat="1" applyFont="1" applyFill="1" applyBorder="1" applyAlignment="1">
      <alignment horizontal="right" vertical="center"/>
    </xf>
    <xf numFmtId="3" fontId="24" fillId="0" borderId="181" xfId="0" applyNumberFormat="1" applyFont="1" applyFill="1" applyBorder="1" applyAlignment="1">
      <alignment horizontal="right" vertical="center"/>
    </xf>
    <xf numFmtId="3" fontId="24" fillId="0" borderId="182" xfId="0" applyNumberFormat="1" applyFont="1" applyFill="1" applyBorder="1" applyAlignment="1" applyProtection="1">
      <alignment horizontal="right" vertical="center"/>
      <protection locked="0"/>
    </xf>
    <xf numFmtId="3" fontId="24" fillId="0" borderId="231" xfId="0" applyNumberFormat="1" applyFont="1" applyFill="1" applyBorder="1" applyAlignment="1" applyProtection="1">
      <alignment horizontal="right" vertical="center"/>
    </xf>
    <xf numFmtId="3" fontId="24" fillId="0" borderId="231" xfId="0" applyNumberFormat="1" applyFont="1" applyFill="1" applyBorder="1" applyAlignment="1" applyProtection="1">
      <alignment horizontal="right" vertical="center"/>
      <protection locked="0"/>
    </xf>
    <xf numFmtId="3" fontId="24" fillId="0" borderId="231" xfId="39" applyNumberFormat="1" applyFont="1" applyFill="1" applyBorder="1" applyAlignment="1" applyProtection="1">
      <alignment horizontal="right" vertical="center"/>
    </xf>
    <xf numFmtId="3" fontId="24" fillId="0" borderId="231" xfId="0" applyNumberFormat="1" applyFont="1" applyFill="1" applyBorder="1" applyAlignment="1">
      <alignment horizontal="right" vertical="center"/>
    </xf>
    <xf numFmtId="3" fontId="24" fillId="0" borderId="261" xfId="0" applyNumberFormat="1" applyFont="1" applyFill="1" applyBorder="1" applyAlignment="1">
      <alignment horizontal="right" vertical="center"/>
    </xf>
    <xf numFmtId="3" fontId="24" fillId="0" borderId="235" xfId="0" applyNumberFormat="1" applyFont="1" applyFill="1" applyBorder="1" applyAlignment="1">
      <alignment horizontal="right" vertical="center"/>
    </xf>
    <xf numFmtId="3" fontId="24" fillId="0" borderId="183" xfId="0" applyNumberFormat="1" applyFont="1" applyFill="1" applyBorder="1" applyAlignment="1">
      <alignment horizontal="right" vertical="center"/>
    </xf>
    <xf numFmtId="3" fontId="24" fillId="0" borderId="182" xfId="0" applyNumberFormat="1" applyFont="1" applyFill="1" applyBorder="1"/>
    <xf numFmtId="3" fontId="24" fillId="0" borderId="231" xfId="0" applyNumberFormat="1" applyFont="1" applyFill="1" applyBorder="1"/>
    <xf numFmtId="3" fontId="24" fillId="0" borderId="261" xfId="0" applyNumberFormat="1" applyFont="1" applyFill="1" applyBorder="1"/>
    <xf numFmtId="3" fontId="24" fillId="0" borderId="235" xfId="0" applyNumberFormat="1" applyFont="1" applyFill="1" applyBorder="1"/>
    <xf numFmtId="17" fontId="0" fillId="0" borderId="0" xfId="0" applyNumberFormat="1"/>
    <xf numFmtId="171" fontId="63" fillId="0" borderId="0" xfId="1" applyNumberFormat="1" applyFont="1"/>
    <xf numFmtId="171" fontId="63" fillId="0" borderId="0" xfId="1" applyNumberFormat="1" applyFont="1" applyFill="1"/>
    <xf numFmtId="0" fontId="75" fillId="0" borderId="178" xfId="0" applyFont="1" applyBorder="1"/>
    <xf numFmtId="0" fontId="75" fillId="0" borderId="262" xfId="0" applyFont="1" applyBorder="1"/>
    <xf numFmtId="49" fontId="68" fillId="0" borderId="0" xfId="9" applyNumberFormat="1" applyFont="1" applyBorder="1" applyAlignment="1">
      <alignment horizontal="center"/>
    </xf>
    <xf numFmtId="49" fontId="68" fillId="8" borderId="206" xfId="9" quotePrefix="1" applyNumberFormat="1" applyFont="1" applyFill="1" applyBorder="1" applyAlignment="1">
      <alignment horizontal="center"/>
    </xf>
    <xf numFmtId="0" fontId="68" fillId="8" borderId="206" xfId="9" applyFont="1" applyFill="1" applyBorder="1" applyAlignment="1">
      <alignment horizontal="left" wrapText="1"/>
    </xf>
    <xf numFmtId="171" fontId="63" fillId="8" borderId="206" xfId="1" applyNumberFormat="1" applyFont="1" applyFill="1" applyBorder="1"/>
    <xf numFmtId="2" fontId="63" fillId="8" borderId="206" xfId="9" applyNumberFormat="1" applyFont="1" applyFill="1" applyBorder="1"/>
    <xf numFmtId="0" fontId="75" fillId="8" borderId="227" xfId="0" applyFont="1" applyFill="1" applyBorder="1"/>
    <xf numFmtId="0" fontId="75" fillId="8" borderId="214" xfId="0" applyFont="1" applyFill="1" applyBorder="1"/>
    <xf numFmtId="0" fontId="69" fillId="0" borderId="224" xfId="0" applyFont="1" applyBorder="1"/>
    <xf numFmtId="0" fontId="69" fillId="0" borderId="263" xfId="0" applyFont="1" applyBorder="1"/>
    <xf numFmtId="5" fontId="54" fillId="6" borderId="264" xfId="0" applyNumberFormat="1" applyFont="1" applyFill="1" applyBorder="1" applyAlignment="1"/>
    <xf numFmtId="5" fontId="72" fillId="0" borderId="264" xfId="26" applyNumberFormat="1" applyFont="1" applyFill="1" applyBorder="1" applyAlignment="1">
      <alignment wrapText="1"/>
    </xf>
    <xf numFmtId="7" fontId="71" fillId="0" borderId="2" xfId="34" applyNumberFormat="1" applyFont="1" applyFill="1" applyBorder="1" applyAlignment="1">
      <alignment horizontal="center" wrapText="1"/>
    </xf>
    <xf numFmtId="5" fontId="89" fillId="6" borderId="59" xfId="3" applyNumberFormat="1" applyFont="1" applyFill="1" applyBorder="1" applyAlignment="1">
      <alignment wrapText="1"/>
    </xf>
    <xf numFmtId="0" fontId="89" fillId="0" borderId="2" xfId="37" applyFont="1" applyFill="1" applyBorder="1" applyAlignment="1">
      <alignment horizontal="left"/>
    </xf>
    <xf numFmtId="0" fontId="89" fillId="0" borderId="6" xfId="37" applyFont="1" applyFill="1" applyBorder="1" applyAlignment="1">
      <alignment horizontal="left"/>
    </xf>
    <xf numFmtId="0" fontId="89" fillId="0" borderId="75" xfId="37" applyFont="1" applyFill="1" applyBorder="1" applyAlignment="1">
      <alignment horizontal="center" wrapText="1"/>
    </xf>
    <xf numFmtId="0" fontId="89" fillId="0" borderId="58" xfId="37" applyFont="1" applyFill="1" applyBorder="1" applyAlignment="1">
      <alignment horizontal="center" wrapText="1"/>
    </xf>
    <xf numFmtId="0" fontId="89" fillId="0" borderId="76" xfId="37" applyFont="1" applyFill="1" applyBorder="1" applyAlignment="1">
      <alignment horizontal="center" wrapText="1"/>
    </xf>
    <xf numFmtId="0" fontId="89" fillId="0" borderId="69" xfId="37" applyFont="1" applyFill="1" applyBorder="1" applyAlignment="1">
      <alignment horizontal="center" wrapText="1"/>
    </xf>
    <xf numFmtId="0" fontId="89" fillId="0" borderId="75" xfId="20" applyFont="1" applyFill="1" applyBorder="1" applyAlignment="1">
      <alignment horizontal="center" wrapText="1"/>
    </xf>
    <xf numFmtId="0" fontId="89" fillId="0" borderId="58" xfId="20" applyFont="1" applyFill="1" applyBorder="1" applyAlignment="1">
      <alignment horizontal="center" wrapText="1"/>
    </xf>
    <xf numFmtId="0" fontId="89" fillId="0" borderId="76" xfId="20" applyFont="1" applyFill="1" applyBorder="1" applyAlignment="1">
      <alignment horizontal="center" wrapText="1"/>
    </xf>
    <xf numFmtId="166" fontId="33" fillId="0" borderId="265" xfId="38" applyNumberFormat="1" applyFont="1" applyFill="1" applyBorder="1" applyAlignment="1">
      <alignment horizontal="right" wrapText="1"/>
    </xf>
    <xf numFmtId="166" fontId="33" fillId="0" borderId="266" xfId="38" applyNumberFormat="1" applyFont="1" applyFill="1" applyBorder="1" applyAlignment="1">
      <alignment horizontal="right" wrapText="1"/>
    </xf>
    <xf numFmtId="166" fontId="33" fillId="0" borderId="267" xfId="38" applyNumberFormat="1" applyFont="1" applyFill="1" applyBorder="1" applyAlignment="1">
      <alignment horizontal="right" wrapText="1"/>
    </xf>
    <xf numFmtId="167" fontId="88" fillId="0" borderId="295" xfId="37" applyNumberFormat="1" applyFont="1" applyFill="1" applyBorder="1" applyAlignment="1">
      <alignment wrapText="1"/>
    </xf>
    <xf numFmtId="0" fontId="47" fillId="0" borderId="296" xfId="0" applyFont="1" applyBorder="1"/>
    <xf numFmtId="5" fontId="88" fillId="0" borderId="297" xfId="3" applyNumberFormat="1" applyFont="1" applyFill="1" applyBorder="1" applyAlignment="1">
      <alignment wrapText="1"/>
    </xf>
    <xf numFmtId="5" fontId="88" fillId="0" borderId="298" xfId="3" applyNumberFormat="1" applyFont="1" applyFill="1" applyBorder="1" applyAlignment="1">
      <alignment wrapText="1"/>
    </xf>
    <xf numFmtId="5" fontId="88" fillId="0" borderId="299" xfId="3" applyNumberFormat="1" applyFont="1" applyFill="1" applyBorder="1" applyAlignment="1">
      <alignment wrapText="1"/>
    </xf>
    <xf numFmtId="5" fontId="88" fillId="0" borderId="296" xfId="3" applyNumberFormat="1" applyFont="1" applyFill="1" applyBorder="1" applyAlignment="1">
      <alignment wrapText="1"/>
    </xf>
    <xf numFmtId="5" fontId="88" fillId="0" borderId="297" xfId="38" applyNumberFormat="1" applyFont="1" applyFill="1" applyBorder="1" applyAlignment="1">
      <alignment horizontal="right" wrapText="1"/>
    </xf>
    <xf numFmtId="5" fontId="88" fillId="0" borderId="298" xfId="38" applyNumberFormat="1" applyFont="1" applyFill="1" applyBorder="1" applyAlignment="1">
      <alignment horizontal="right" wrapText="1"/>
    </xf>
    <xf numFmtId="5" fontId="88" fillId="0" borderId="299" xfId="38" applyNumberFormat="1" applyFont="1" applyFill="1" applyBorder="1" applyAlignment="1">
      <alignment horizontal="right" wrapText="1"/>
    </xf>
    <xf numFmtId="167" fontId="88" fillId="0" borderId="297" xfId="38" applyNumberFormat="1" applyFont="1" applyBorder="1"/>
    <xf numFmtId="167" fontId="88" fillId="0" borderId="298" xfId="38" applyNumberFormat="1" applyFont="1" applyBorder="1"/>
    <xf numFmtId="167" fontId="88" fillId="0" borderId="299" xfId="38" applyNumberFormat="1" applyFont="1" applyBorder="1"/>
    <xf numFmtId="167" fontId="88" fillId="0" borderId="297" xfId="38" applyNumberFormat="1" applyFont="1" applyFill="1" applyBorder="1" applyAlignment="1">
      <alignment horizontal="right" wrapText="1"/>
    </xf>
    <xf numFmtId="167" fontId="88" fillId="0" borderId="298" xfId="38" applyNumberFormat="1" applyFont="1" applyFill="1" applyBorder="1" applyAlignment="1">
      <alignment horizontal="right" wrapText="1"/>
    </xf>
    <xf numFmtId="167" fontId="88" fillId="0" borderId="300" xfId="37" applyNumberFormat="1" applyFont="1" applyFill="1" applyBorder="1" applyAlignment="1">
      <alignment wrapText="1"/>
    </xf>
    <xf numFmtId="0" fontId="47" fillId="0" borderId="283" xfId="0" applyFont="1" applyBorder="1"/>
    <xf numFmtId="5" fontId="88" fillId="0" borderId="284" xfId="3" applyNumberFormat="1" applyFont="1" applyFill="1" applyBorder="1" applyAlignment="1">
      <alignment wrapText="1"/>
    </xf>
    <xf numFmtId="5" fontId="88" fillId="0" borderId="285" xfId="3" applyNumberFormat="1" applyFont="1" applyFill="1" applyBorder="1" applyAlignment="1">
      <alignment wrapText="1"/>
    </xf>
    <xf numFmtId="5" fontId="88" fillId="0" borderId="287" xfId="3" applyNumberFormat="1" applyFont="1" applyFill="1" applyBorder="1" applyAlignment="1">
      <alignment wrapText="1"/>
    </xf>
    <xf numFmtId="5" fontId="88" fillId="0" borderId="283" xfId="3" applyNumberFormat="1" applyFont="1" applyFill="1" applyBorder="1" applyAlignment="1">
      <alignment wrapText="1"/>
    </xf>
    <xf numFmtId="5" fontId="88" fillId="0" borderId="284" xfId="38" applyNumberFormat="1" applyFont="1" applyFill="1" applyBorder="1" applyAlignment="1">
      <alignment horizontal="right" wrapText="1"/>
    </xf>
    <xf numFmtId="5" fontId="88" fillId="0" borderId="285" xfId="38" applyNumberFormat="1" applyFont="1" applyFill="1" applyBorder="1" applyAlignment="1">
      <alignment horizontal="right" wrapText="1"/>
    </xf>
    <xf numFmtId="5" fontId="88" fillId="0" borderId="287" xfId="38" applyNumberFormat="1" applyFont="1" applyFill="1" applyBorder="1" applyAlignment="1">
      <alignment horizontal="right" wrapText="1"/>
    </xf>
    <xf numFmtId="167" fontId="88" fillId="0" borderId="284" xfId="38" applyNumberFormat="1" applyFont="1" applyFill="1" applyBorder="1" applyAlignment="1">
      <alignment horizontal="right" wrapText="1"/>
    </xf>
    <xf numFmtId="167" fontId="88" fillId="0" borderId="285" xfId="38" applyNumberFormat="1" applyFont="1" applyFill="1" applyBorder="1" applyAlignment="1">
      <alignment horizontal="right" wrapText="1"/>
    </xf>
    <xf numFmtId="167" fontId="88" fillId="0" borderId="287" xfId="38" applyNumberFormat="1" applyFont="1" applyBorder="1"/>
    <xf numFmtId="167" fontId="88" fillId="0" borderId="284" xfId="38" applyNumberFormat="1" applyFont="1" applyBorder="1"/>
    <xf numFmtId="167" fontId="88" fillId="0" borderId="285" xfId="38" applyNumberFormat="1" applyFont="1" applyBorder="1"/>
    <xf numFmtId="176" fontId="88" fillId="0" borderId="300" xfId="3" applyNumberFormat="1" applyFont="1" applyFill="1" applyBorder="1" applyAlignment="1">
      <alignment wrapText="1"/>
    </xf>
    <xf numFmtId="0" fontId="47" fillId="0" borderId="302" xfId="0" applyFont="1" applyBorder="1"/>
    <xf numFmtId="5" fontId="88" fillId="0" borderId="303" xfId="3" applyNumberFormat="1" applyFont="1" applyFill="1" applyBorder="1" applyAlignment="1">
      <alignment wrapText="1"/>
    </xf>
    <xf numFmtId="5" fontId="88" fillId="0" borderId="304" xfId="3" applyNumberFormat="1" applyFont="1" applyFill="1" applyBorder="1" applyAlignment="1">
      <alignment wrapText="1"/>
    </xf>
    <xf numFmtId="5" fontId="88" fillId="0" borderId="305" xfId="3" applyNumberFormat="1" applyFont="1" applyFill="1" applyBorder="1" applyAlignment="1">
      <alignment wrapText="1"/>
    </xf>
    <xf numFmtId="5" fontId="88" fillId="0" borderId="302" xfId="3" applyNumberFormat="1" applyFont="1" applyFill="1" applyBorder="1" applyAlignment="1">
      <alignment wrapText="1"/>
    </xf>
    <xf numFmtId="5" fontId="88" fillId="0" borderId="303" xfId="38" applyNumberFormat="1" applyFont="1" applyFill="1" applyBorder="1" applyAlignment="1">
      <alignment horizontal="right" wrapText="1"/>
    </xf>
    <xf numFmtId="5" fontId="88" fillId="0" borderId="304" xfId="38" applyNumberFormat="1" applyFont="1" applyFill="1" applyBorder="1" applyAlignment="1">
      <alignment horizontal="right" wrapText="1"/>
    </xf>
    <xf numFmtId="5" fontId="88" fillId="0" borderId="305" xfId="38" applyNumberFormat="1" applyFont="1" applyFill="1" applyBorder="1" applyAlignment="1">
      <alignment horizontal="right" wrapText="1"/>
    </xf>
    <xf numFmtId="167" fontId="88" fillId="0" borderId="303" xfId="38" applyNumberFormat="1" applyFont="1" applyFill="1" applyBorder="1" applyAlignment="1">
      <alignment horizontal="right" wrapText="1"/>
    </xf>
    <xf numFmtId="167" fontId="88" fillId="0" borderId="304" xfId="38" applyNumberFormat="1" applyFont="1" applyFill="1" applyBorder="1" applyAlignment="1">
      <alignment horizontal="right" wrapText="1"/>
    </xf>
    <xf numFmtId="167" fontId="88" fillId="0" borderId="305" xfId="38" applyNumberFormat="1" applyFont="1" applyBorder="1"/>
    <xf numFmtId="0" fontId="75" fillId="0" borderId="306" xfId="0" applyFont="1" applyBorder="1"/>
    <xf numFmtId="0" fontId="75" fillId="0" borderId="283" xfId="0" applyFont="1" applyBorder="1"/>
    <xf numFmtId="0" fontId="75" fillId="0" borderId="314" xfId="0" applyFont="1" applyBorder="1"/>
    <xf numFmtId="5" fontId="75" fillId="0" borderId="193" xfId="0" applyNumberFormat="1" applyFont="1" applyBorder="1" applyAlignment="1"/>
    <xf numFmtId="5" fontId="75" fillId="0" borderId="234" xfId="0" applyNumberFormat="1" applyFont="1" applyBorder="1" applyAlignment="1"/>
    <xf numFmtId="5" fontId="75" fillId="0" borderId="208" xfId="0" applyNumberFormat="1" applyFont="1" applyBorder="1" applyAlignment="1"/>
    <xf numFmtId="5" fontId="75" fillId="0" borderId="193" xfId="0" applyNumberFormat="1" applyFont="1" applyBorder="1"/>
    <xf numFmtId="5" fontId="75" fillId="0" borderId="234" xfId="0" applyNumberFormat="1" applyFont="1" applyBorder="1"/>
    <xf numFmtId="5" fontId="75" fillId="0" borderId="208" xfId="0" applyNumberFormat="1" applyFont="1" applyBorder="1"/>
    <xf numFmtId="0" fontId="71" fillId="0" borderId="6" xfId="27" applyFont="1" applyFill="1" applyBorder="1" applyAlignment="1">
      <alignment horizontal="left"/>
    </xf>
    <xf numFmtId="7" fontId="71" fillId="0" borderId="75" xfId="27" applyNumberFormat="1" applyFont="1" applyFill="1" applyBorder="1" applyAlignment="1">
      <alignment horizontal="center" wrapText="1"/>
    </xf>
    <xf numFmtId="7" fontId="71" fillId="0" borderId="58" xfId="27" applyNumberFormat="1" applyFont="1" applyFill="1" applyBorder="1" applyAlignment="1">
      <alignment horizontal="center" wrapText="1"/>
    </xf>
    <xf numFmtId="7" fontId="71" fillId="0" borderId="76" xfId="27" applyNumberFormat="1" applyFont="1" applyFill="1" applyBorder="1" applyAlignment="1">
      <alignment horizontal="center" wrapText="1"/>
    </xf>
    <xf numFmtId="5" fontId="54" fillId="6" borderId="265" xfId="0" applyNumberFormat="1" applyFont="1" applyFill="1" applyBorder="1" applyAlignment="1"/>
    <xf numFmtId="5" fontId="54" fillId="6" borderId="340" xfId="0" applyNumberFormat="1" applyFont="1" applyFill="1" applyBorder="1" applyAlignment="1"/>
    <xf numFmtId="5" fontId="54" fillId="6" borderId="207" xfId="0" applyNumberFormat="1" applyFont="1" applyFill="1" applyBorder="1" applyAlignment="1"/>
    <xf numFmtId="7" fontId="71" fillId="0" borderId="75" xfId="27" applyNumberFormat="1" applyFont="1" applyFill="1" applyBorder="1" applyAlignment="1">
      <alignment horizontal="center"/>
    </xf>
    <xf numFmtId="7" fontId="71" fillId="0" borderId="58" xfId="27" applyNumberFormat="1" applyFont="1" applyFill="1" applyBorder="1" applyAlignment="1">
      <alignment horizontal="center"/>
    </xf>
    <xf numFmtId="7" fontId="71" fillId="0" borderId="76" xfId="27" applyNumberFormat="1" applyFont="1" applyFill="1" applyBorder="1" applyAlignment="1">
      <alignment horizontal="center"/>
    </xf>
    <xf numFmtId="5" fontId="72" fillId="0" borderId="327" xfId="26" applyNumberFormat="1" applyFont="1" applyFill="1" applyBorder="1" applyAlignment="1">
      <alignment wrapText="1"/>
    </xf>
    <xf numFmtId="5" fontId="72" fillId="0" borderId="336" xfId="26" applyNumberFormat="1" applyFont="1" applyFill="1" applyBorder="1" applyAlignment="1">
      <alignment wrapText="1"/>
    </xf>
    <xf numFmtId="5" fontId="72" fillId="0" borderId="328" xfId="26" applyNumberFormat="1" applyFont="1" applyFill="1" applyBorder="1" applyAlignment="1">
      <alignment wrapText="1"/>
    </xf>
    <xf numFmtId="5" fontId="75" fillId="0" borderId="162" xfId="0" applyNumberFormat="1" applyFont="1" applyBorder="1" applyAlignment="1"/>
    <xf numFmtId="5" fontId="75" fillId="0" borderId="161" xfId="0" applyNumberFormat="1" applyFont="1" applyBorder="1" applyAlignment="1"/>
    <xf numFmtId="5" fontId="75" fillId="0" borderId="193" xfId="0" applyNumberFormat="1" applyFont="1" applyFill="1" applyBorder="1" applyAlignment="1"/>
    <xf numFmtId="5" fontId="75" fillId="0" borderId="162" xfId="0" applyNumberFormat="1" applyFont="1" applyFill="1" applyBorder="1" applyAlignment="1"/>
    <xf numFmtId="5" fontId="75" fillId="0" borderId="161" xfId="0" applyNumberFormat="1" applyFont="1" applyFill="1" applyBorder="1" applyAlignment="1"/>
    <xf numFmtId="5" fontId="54" fillId="6" borderId="341" xfId="0" applyNumberFormat="1" applyFont="1" applyFill="1" applyBorder="1" applyAlignment="1"/>
    <xf numFmtId="5" fontId="54" fillId="6" borderId="342" xfId="0" applyNumberFormat="1" applyFont="1" applyFill="1" applyBorder="1" applyAlignment="1"/>
    <xf numFmtId="7" fontId="71" fillId="0" borderId="75" xfId="3" applyNumberFormat="1" applyFont="1" applyFill="1" applyBorder="1" applyAlignment="1"/>
    <xf numFmtId="7" fontId="71" fillId="0" borderId="58" xfId="3" applyNumberFormat="1" applyFont="1" applyFill="1" applyBorder="1" applyAlignment="1"/>
    <xf numFmtId="7" fontId="71" fillId="0" borderId="76" xfId="3" applyNumberFormat="1" applyFont="1" applyFill="1" applyBorder="1" applyAlignment="1"/>
    <xf numFmtId="5" fontId="54" fillId="6" borderId="265" xfId="3" applyNumberFormat="1" applyFont="1" applyFill="1" applyBorder="1" applyAlignment="1"/>
    <xf numFmtId="5" fontId="54" fillId="6" borderId="341" xfId="3" applyNumberFormat="1" applyFont="1" applyFill="1" applyBorder="1" applyAlignment="1"/>
    <xf numFmtId="5" fontId="54" fillId="6" borderId="342" xfId="3" applyNumberFormat="1" applyFont="1" applyFill="1" applyBorder="1" applyAlignment="1"/>
    <xf numFmtId="5" fontId="72" fillId="0" borderId="327" xfId="3" applyNumberFormat="1" applyFont="1" applyFill="1" applyBorder="1" applyAlignment="1">
      <alignment wrapText="1"/>
    </xf>
    <xf numFmtId="5" fontId="72" fillId="0" borderId="336" xfId="3" applyNumberFormat="1" applyFont="1" applyFill="1" applyBorder="1" applyAlignment="1">
      <alignment wrapText="1"/>
    </xf>
    <xf numFmtId="5" fontId="75" fillId="0" borderId="343" xfId="0" applyNumberFormat="1" applyFont="1" applyBorder="1" applyAlignment="1"/>
    <xf numFmtId="5" fontId="75" fillId="0" borderId="344" xfId="0" applyNumberFormat="1" applyFont="1" applyBorder="1" applyAlignment="1"/>
    <xf numFmtId="5" fontId="75" fillId="0" borderId="343" xfId="0" applyNumberFormat="1" applyFont="1" applyFill="1" applyBorder="1" applyAlignment="1"/>
    <xf numFmtId="5" fontId="75" fillId="0" borderId="344" xfId="0" applyNumberFormat="1" applyFont="1" applyFill="1" applyBorder="1" applyAlignment="1"/>
    <xf numFmtId="0" fontId="72" fillId="0" borderId="324" xfId="27" quotePrefix="1" applyFont="1" applyFill="1" applyBorder="1" applyAlignment="1">
      <alignment horizontal="center" wrapText="1"/>
    </xf>
    <xf numFmtId="0" fontId="72" fillId="0" borderId="325" xfId="27" applyFont="1" applyFill="1" applyBorder="1" applyAlignment="1">
      <alignment wrapText="1"/>
    </xf>
    <xf numFmtId="0" fontId="72" fillId="0" borderId="169" xfId="27" applyFont="1" applyFill="1" applyBorder="1" applyAlignment="1">
      <alignment wrapText="1"/>
    </xf>
    <xf numFmtId="5" fontId="75" fillId="0" borderId="268" xfId="0" applyNumberFormat="1" applyFont="1" applyBorder="1" applyAlignment="1"/>
    <xf numFmtId="5" fontId="75" fillId="0" borderId="269" xfId="0" applyNumberFormat="1" applyFont="1" applyBorder="1" applyAlignment="1"/>
    <xf numFmtId="5" fontId="75" fillId="0" borderId="270" xfId="0" applyNumberFormat="1" applyFont="1" applyBorder="1" applyAlignment="1"/>
    <xf numFmtId="5" fontId="75" fillId="0" borderId="345" xfId="0" applyNumberFormat="1" applyFont="1" applyFill="1" applyBorder="1" applyAlignment="1"/>
    <xf numFmtId="5" fontId="72" fillId="0" borderId="268" xfId="26" applyNumberFormat="1" applyFont="1" applyFill="1" applyBorder="1" applyAlignment="1">
      <alignment wrapText="1"/>
    </xf>
    <xf numFmtId="5" fontId="72" fillId="0" borderId="269" xfId="26" applyNumberFormat="1" applyFont="1" applyFill="1" applyBorder="1" applyAlignment="1">
      <alignment wrapText="1"/>
    </xf>
    <xf numFmtId="5" fontId="72" fillId="0" borderId="270" xfId="26" applyNumberFormat="1" applyFont="1" applyFill="1" applyBorder="1" applyAlignment="1">
      <alignment wrapText="1"/>
    </xf>
    <xf numFmtId="5" fontId="72" fillId="0" borderId="268" xfId="3" applyNumberFormat="1" applyFont="1" applyBorder="1" applyAlignment="1"/>
    <xf numFmtId="5" fontId="72" fillId="0" borderId="269" xfId="3" applyNumberFormat="1" applyFont="1" applyBorder="1" applyAlignment="1"/>
    <xf numFmtId="5" fontId="72" fillId="0" borderId="270" xfId="3" applyNumberFormat="1" applyFont="1" applyBorder="1" applyAlignment="1"/>
    <xf numFmtId="0" fontId="72" fillId="0" borderId="324" xfId="27" applyFont="1" applyFill="1" applyBorder="1" applyAlignment="1">
      <alignment horizontal="center" wrapText="1"/>
    </xf>
    <xf numFmtId="0" fontId="72" fillId="0" borderId="326" xfId="27" applyFont="1" applyFill="1" applyBorder="1" applyAlignment="1">
      <alignment wrapText="1"/>
    </xf>
    <xf numFmtId="5" fontId="75" fillId="0" borderId="327" xfId="0" applyNumberFormat="1" applyFont="1" applyBorder="1" applyAlignment="1"/>
    <xf numFmtId="5" fontId="75" fillId="0" borderId="336" xfId="0" applyNumberFormat="1" applyFont="1" applyBorder="1" applyAlignment="1"/>
    <xf numFmtId="5" fontId="75" fillId="0" borderId="328" xfId="0" applyNumberFormat="1" applyFont="1" applyBorder="1" applyAlignment="1"/>
    <xf numFmtId="5" fontId="75" fillId="0" borderId="346" xfId="0" applyNumberFormat="1" applyFont="1" applyFill="1" applyBorder="1" applyAlignment="1"/>
    <xf numFmtId="5" fontId="72" fillId="0" borderId="328" xfId="3" applyNumberFormat="1" applyFont="1" applyBorder="1" applyAlignment="1"/>
    <xf numFmtId="5" fontId="72" fillId="0" borderId="327" xfId="3" applyNumberFormat="1" applyFont="1" applyBorder="1" applyAlignment="1"/>
    <xf numFmtId="5" fontId="72" fillId="0" borderId="336" xfId="3" applyNumberFormat="1" applyFont="1" applyBorder="1" applyAlignment="1"/>
    <xf numFmtId="0" fontId="71" fillId="0" borderId="6" xfId="29" applyFont="1" applyFill="1" applyBorder="1" applyAlignment="1">
      <alignment horizontal="left"/>
    </xf>
    <xf numFmtId="167" fontId="72" fillId="0" borderId="325" xfId="29" applyNumberFormat="1" applyFont="1" applyFill="1" applyBorder="1" applyAlignment="1">
      <alignment wrapText="1"/>
    </xf>
    <xf numFmtId="0" fontId="71" fillId="0" borderId="75" xfId="29" applyFont="1" applyFill="1" applyBorder="1" applyAlignment="1">
      <alignment horizontal="center" wrapText="1"/>
    </xf>
    <xf numFmtId="0" fontId="71" fillId="0" borderId="58" xfId="29" applyFont="1" applyFill="1" applyBorder="1" applyAlignment="1">
      <alignment horizontal="center"/>
    </xf>
    <xf numFmtId="0" fontId="71" fillId="0" borderId="76" xfId="29" applyFont="1" applyFill="1" applyBorder="1" applyAlignment="1">
      <alignment horizontal="center"/>
    </xf>
    <xf numFmtId="167" fontId="71" fillId="6" borderId="327" xfId="29" applyNumberFormat="1" applyFont="1" applyFill="1" applyBorder="1" applyAlignment="1">
      <alignment wrapText="1"/>
    </xf>
    <xf numFmtId="167" fontId="71" fillId="6" borderId="336" xfId="29" applyNumberFormat="1" applyFont="1" applyFill="1" applyBorder="1" applyAlignment="1">
      <alignment wrapText="1"/>
    </xf>
    <xf numFmtId="167" fontId="71" fillId="6" borderId="328" xfId="29" applyNumberFormat="1" applyFont="1" applyFill="1" applyBorder="1" applyAlignment="1">
      <alignment wrapText="1"/>
    </xf>
    <xf numFmtId="167" fontId="72" fillId="0" borderId="327" xfId="29" applyNumberFormat="1" applyFont="1" applyFill="1" applyBorder="1" applyAlignment="1">
      <alignment wrapText="1"/>
    </xf>
    <xf numFmtId="167" fontId="72" fillId="0" borderId="336" xfId="29" applyNumberFormat="1" applyFont="1" applyFill="1" applyBorder="1" applyAlignment="1">
      <alignment horizontal="right" wrapText="1"/>
    </xf>
    <xf numFmtId="167" fontId="72" fillId="0" borderId="328" xfId="29" applyNumberFormat="1" applyFont="1" applyFill="1" applyBorder="1" applyAlignment="1">
      <alignment horizontal="right" wrapText="1"/>
    </xf>
    <xf numFmtId="0" fontId="75" fillId="0" borderId="265" xfId="0" applyFont="1" applyBorder="1"/>
    <xf numFmtId="0" fontId="75" fillId="0" borderId="341" xfId="0" applyFont="1" applyBorder="1"/>
    <xf numFmtId="0" fontId="75" fillId="0" borderId="342" xfId="0" applyFont="1" applyBorder="1"/>
    <xf numFmtId="0" fontId="71" fillId="0" borderId="75" xfId="22" applyFont="1" applyFill="1" applyBorder="1" applyAlignment="1">
      <alignment horizontal="center"/>
    </xf>
    <xf numFmtId="0" fontId="71" fillId="0" borderId="58" xfId="22" applyFont="1" applyFill="1" applyBorder="1" applyAlignment="1">
      <alignment horizontal="center"/>
    </xf>
    <xf numFmtId="0" fontId="71" fillId="0" borderId="76" xfId="22" applyFont="1" applyFill="1" applyBorder="1" applyAlignment="1">
      <alignment horizontal="center" wrapText="1"/>
    </xf>
    <xf numFmtId="167" fontId="33" fillId="0" borderId="327" xfId="31" applyNumberFormat="1" applyFont="1" applyFill="1" applyBorder="1" applyAlignment="1">
      <alignment horizontal="right" wrapText="1"/>
    </xf>
    <xf numFmtId="167" fontId="33" fillId="0" borderId="336" xfId="31" applyNumberFormat="1" applyFont="1" applyFill="1" applyBorder="1" applyAlignment="1">
      <alignment horizontal="right" wrapText="1"/>
    </xf>
    <xf numFmtId="167" fontId="33" fillId="0" borderId="328" xfId="31" applyNumberFormat="1" applyFont="1" applyFill="1" applyBorder="1" applyAlignment="1">
      <alignment horizontal="right" wrapText="1"/>
    </xf>
    <xf numFmtId="5" fontId="75" fillId="0" borderId="341" xfId="0" applyNumberFormat="1" applyFont="1" applyBorder="1"/>
    <xf numFmtId="5" fontId="75" fillId="0" borderId="342" xfId="0" applyNumberFormat="1" applyFont="1" applyBorder="1"/>
    <xf numFmtId="5" fontId="75" fillId="0" borderId="341" xfId="0" applyNumberFormat="1" applyFont="1" applyFill="1" applyBorder="1" applyAlignment="1"/>
    <xf numFmtId="5" fontId="75" fillId="0" borderId="342" xfId="0" applyNumberFormat="1" applyFont="1" applyFill="1" applyBorder="1" applyAlignment="1"/>
    <xf numFmtId="0" fontId="54" fillId="0" borderId="76" xfId="0" applyFont="1" applyBorder="1"/>
    <xf numFmtId="167" fontId="71" fillId="6" borderId="270" xfId="29" applyNumberFormat="1" applyFont="1" applyFill="1" applyBorder="1" applyAlignment="1">
      <alignment wrapText="1"/>
    </xf>
    <xf numFmtId="167" fontId="75" fillId="0" borderId="342" xfId="3" applyNumberFormat="1" applyFont="1" applyBorder="1"/>
    <xf numFmtId="5" fontId="3" fillId="0" borderId="347" xfId="0" applyNumberFormat="1" applyFont="1" applyBorder="1" applyAlignment="1"/>
    <xf numFmtId="5" fontId="3" fillId="0" borderId="347" xfId="0" applyNumberFormat="1" applyFont="1" applyBorder="1"/>
    <xf numFmtId="5" fontId="3" fillId="0" borderId="193" xfId="0" applyNumberFormat="1" applyFont="1" applyBorder="1" applyAlignment="1">
      <alignment horizontal="right"/>
    </xf>
    <xf numFmtId="5" fontId="3" fillId="0" borderId="343" xfId="0" applyNumberFormat="1" applyFont="1" applyBorder="1" applyAlignment="1">
      <alignment horizontal="right"/>
    </xf>
    <xf numFmtId="167" fontId="3" fillId="0" borderId="343" xfId="0" applyNumberFormat="1" applyFont="1" applyBorder="1" applyAlignment="1"/>
    <xf numFmtId="167" fontId="3" fillId="0" borderId="344" xfId="0" applyNumberFormat="1" applyFont="1" applyBorder="1" applyAlignment="1"/>
    <xf numFmtId="178" fontId="3" fillId="0" borderId="193" xfId="0" applyNumberFormat="1" applyFont="1" applyBorder="1" applyAlignment="1">
      <alignment horizontal="right"/>
    </xf>
    <xf numFmtId="178" fontId="3" fillId="0" borderId="343" xfId="0" applyNumberFormat="1" applyFont="1" applyBorder="1" applyAlignment="1">
      <alignment horizontal="right"/>
    </xf>
    <xf numFmtId="0" fontId="89" fillId="0" borderId="95" xfId="24" applyFont="1" applyFill="1" applyBorder="1" applyAlignment="1">
      <alignment horizontal="center"/>
    </xf>
    <xf numFmtId="0" fontId="89" fillId="0" borderId="91" xfId="24" applyFont="1" applyFill="1" applyBorder="1" applyAlignment="1">
      <alignment horizontal="center"/>
    </xf>
    <xf numFmtId="0" fontId="89" fillId="0" borderId="94" xfId="24" applyFont="1" applyFill="1" applyBorder="1" applyAlignment="1">
      <alignment horizontal="center"/>
    </xf>
    <xf numFmtId="167" fontId="89" fillId="22" borderId="265" xfId="24" applyNumberFormat="1" applyFont="1" applyFill="1" applyBorder="1" applyAlignment="1"/>
    <xf numFmtId="167" fontId="89" fillId="22" borderId="341" xfId="24" applyNumberFormat="1" applyFont="1" applyFill="1" applyBorder="1" applyAlignment="1"/>
    <xf numFmtId="167" fontId="89" fillId="22" borderId="342" xfId="24" applyNumberFormat="1" applyFont="1" applyFill="1" applyBorder="1" applyAlignment="1"/>
    <xf numFmtId="167" fontId="122" fillId="0" borderId="265" xfId="35" applyNumberFormat="1" applyFont="1" applyFill="1" applyBorder="1" applyAlignment="1">
      <alignment horizontal="right" wrapText="1"/>
    </xf>
    <xf numFmtId="167" fontId="122" fillId="0" borderId="341" xfId="35" applyNumberFormat="1" applyFont="1" applyFill="1" applyBorder="1" applyAlignment="1">
      <alignment horizontal="right" wrapText="1"/>
    </xf>
    <xf numFmtId="167" fontId="122" fillId="0" borderId="342" xfId="35" applyNumberFormat="1" applyFont="1" applyFill="1" applyBorder="1" applyAlignment="1">
      <alignment horizontal="right" wrapText="1"/>
    </xf>
    <xf numFmtId="167" fontId="122" fillId="0" borderId="348" xfId="35" applyNumberFormat="1" applyFont="1" applyFill="1" applyBorder="1" applyAlignment="1">
      <alignment horizontal="right" wrapText="1"/>
    </xf>
    <xf numFmtId="167" fontId="122" fillId="0" borderId="168" xfId="35" applyNumberFormat="1" applyFont="1" applyFill="1" applyBorder="1" applyAlignment="1">
      <alignment horizontal="right" wrapText="1"/>
    </xf>
    <xf numFmtId="167" fontId="122" fillId="0" borderId="349" xfId="35" applyNumberFormat="1" applyFont="1" applyFill="1" applyBorder="1" applyAlignment="1">
      <alignment horizontal="right" wrapText="1"/>
    </xf>
    <xf numFmtId="5" fontId="3" fillId="0" borderId="193" xfId="0" applyNumberFormat="1" applyFont="1" applyBorder="1" applyAlignment="1"/>
    <xf numFmtId="5" fontId="3" fillId="0" borderId="343" xfId="0" applyNumberFormat="1" applyFont="1" applyBorder="1" applyAlignment="1"/>
    <xf numFmtId="5" fontId="3" fillId="0" borderId="344" xfId="0" applyNumberFormat="1" applyFont="1" applyBorder="1" applyAlignment="1"/>
    <xf numFmtId="0" fontId="89" fillId="0" borderId="86" xfId="35" applyFont="1" applyFill="1" applyBorder="1" applyAlignment="1">
      <alignment horizontal="left"/>
    </xf>
    <xf numFmtId="0" fontId="89" fillId="0" borderId="95" xfId="35" applyFont="1" applyFill="1" applyBorder="1" applyAlignment="1">
      <alignment horizontal="center" wrapText="1"/>
    </xf>
    <xf numFmtId="0" fontId="89" fillId="0" borderId="91" xfId="35" applyFont="1" applyFill="1" applyBorder="1" applyAlignment="1">
      <alignment horizontal="center" wrapText="1"/>
    </xf>
    <xf numFmtId="0" fontId="89" fillId="0" borderId="96" xfId="35" applyFont="1" applyFill="1" applyBorder="1" applyAlignment="1">
      <alignment horizontal="center" wrapText="1"/>
    </xf>
    <xf numFmtId="0" fontId="89" fillId="0" borderId="5" xfId="35" applyFont="1" applyFill="1" applyBorder="1" applyAlignment="1">
      <alignment horizontal="center" wrapText="1"/>
    </xf>
    <xf numFmtId="0" fontId="89" fillId="0" borderId="94" xfId="35" applyFont="1" applyFill="1" applyBorder="1" applyAlignment="1">
      <alignment horizontal="center" wrapText="1"/>
    </xf>
    <xf numFmtId="0" fontId="89" fillId="22" borderId="69" xfId="23" applyFont="1" applyFill="1" applyBorder="1" applyAlignment="1">
      <alignment horizontal="center"/>
    </xf>
    <xf numFmtId="0" fontId="89" fillId="6" borderId="97" xfId="35" applyFont="1" applyFill="1" applyBorder="1" applyAlignment="1">
      <alignment wrapText="1"/>
    </xf>
    <xf numFmtId="0" fontId="89" fillId="6" borderId="69" xfId="35" applyFont="1" applyFill="1" applyBorder="1" applyAlignment="1">
      <alignment wrapText="1"/>
    </xf>
    <xf numFmtId="167" fontId="89" fillId="6" borderId="75" xfId="3" applyNumberFormat="1" applyFont="1" applyFill="1" applyBorder="1" applyAlignment="1">
      <alignment horizontal="right" wrapText="1"/>
    </xf>
    <xf numFmtId="167" fontId="89" fillId="6" borderId="58" xfId="3" applyNumberFormat="1" applyFont="1" applyFill="1" applyBorder="1" applyAlignment="1">
      <alignment horizontal="right" wrapText="1"/>
    </xf>
    <xf numFmtId="167" fontId="89" fillId="6" borderId="59" xfId="3" applyNumberFormat="1" applyFont="1" applyFill="1" applyBorder="1" applyAlignment="1">
      <alignment horizontal="right" wrapText="1"/>
    </xf>
    <xf numFmtId="167" fontId="89" fillId="6" borderId="76" xfId="3" applyNumberFormat="1" applyFont="1" applyFill="1" applyBorder="1" applyAlignment="1">
      <alignment horizontal="right" wrapText="1"/>
    </xf>
    <xf numFmtId="5" fontId="90" fillId="6" borderId="75" xfId="3" applyNumberFormat="1" applyFont="1" applyFill="1" applyBorder="1"/>
    <xf numFmtId="5" fontId="90" fillId="6" borderId="58" xfId="3" applyNumberFormat="1" applyFont="1" applyFill="1" applyBorder="1"/>
    <xf numFmtId="5" fontId="90" fillId="6" borderId="76" xfId="3" applyNumberFormat="1" applyFont="1" applyFill="1" applyBorder="1"/>
    <xf numFmtId="0" fontId="88" fillId="0" borderId="271" xfId="23" applyFont="1" applyFill="1" applyBorder="1" applyAlignment="1">
      <alignment horizontal="center" wrapText="1"/>
    </xf>
    <xf numFmtId="167" fontId="88" fillId="0" borderId="272" xfId="35" applyNumberFormat="1" applyFont="1" applyFill="1" applyBorder="1" applyAlignment="1">
      <alignment wrapText="1"/>
    </xf>
    <xf numFmtId="0" fontId="121" fillId="0" borderId="273" xfId="0" applyFont="1" applyBorder="1"/>
    <xf numFmtId="167" fontId="88" fillId="0" borderId="274" xfId="3" applyNumberFormat="1" applyFont="1" applyFill="1" applyBorder="1" applyAlignment="1">
      <alignment wrapText="1"/>
    </xf>
    <xf numFmtId="167" fontId="88" fillId="0" borderId="275" xfId="3" applyNumberFormat="1" applyFont="1" applyFill="1" applyBorder="1" applyAlignment="1">
      <alignment wrapText="1"/>
    </xf>
    <xf numFmtId="167" fontId="88" fillId="0" borderId="93" xfId="3" applyNumberFormat="1" applyFont="1" applyFill="1" applyBorder="1" applyAlignment="1">
      <alignment wrapText="1"/>
    </xf>
    <xf numFmtId="167" fontId="88" fillId="0" borderId="274" xfId="36" applyNumberFormat="1" applyFont="1" applyFill="1" applyBorder="1" applyAlignment="1">
      <alignment horizontal="right" wrapText="1"/>
    </xf>
    <xf numFmtId="167" fontId="88" fillId="0" borderId="275" xfId="36" applyNumberFormat="1" applyFont="1" applyFill="1" applyBorder="1" applyAlignment="1">
      <alignment horizontal="right" wrapText="1"/>
    </xf>
    <xf numFmtId="167" fontId="88" fillId="0" borderId="276" xfId="36" applyNumberFormat="1" applyFont="1" applyFill="1" applyBorder="1" applyAlignment="1">
      <alignment horizontal="right" wrapText="1"/>
    </xf>
    <xf numFmtId="167" fontId="88" fillId="0" borderId="274" xfId="36" applyNumberFormat="1" applyFont="1" applyBorder="1"/>
    <xf numFmtId="167" fontId="88" fillId="0" borderId="275" xfId="36" applyNumberFormat="1" applyFont="1" applyBorder="1"/>
    <xf numFmtId="167" fontId="88" fillId="0" borderId="276" xfId="36" applyNumberFormat="1" applyFont="1" applyBorder="1"/>
    <xf numFmtId="5" fontId="1" fillId="0" borderId="274" xfId="3" applyNumberFormat="1" applyFont="1" applyBorder="1"/>
    <xf numFmtId="5" fontId="1" fillId="0" borderId="275" xfId="3" applyNumberFormat="1" applyFont="1" applyBorder="1"/>
    <xf numFmtId="5" fontId="1" fillId="0" borderId="276" xfId="3" applyNumberFormat="1" applyFont="1" applyBorder="1"/>
    <xf numFmtId="167" fontId="88" fillId="0" borderId="11" xfId="35" applyNumberFormat="1" applyFont="1" applyFill="1" applyBorder="1" applyAlignment="1">
      <alignment wrapText="1"/>
    </xf>
    <xf numFmtId="0" fontId="121" fillId="0" borderId="32" xfId="0" applyFont="1" applyBorder="1"/>
    <xf numFmtId="167" fontId="88" fillId="0" borderId="72" xfId="3" applyNumberFormat="1" applyFont="1" applyFill="1" applyBorder="1" applyAlignment="1">
      <alignment wrapText="1"/>
    </xf>
    <xf numFmtId="167" fontId="88" fillId="0" borderId="60" xfId="3" applyNumberFormat="1" applyFont="1" applyFill="1" applyBorder="1" applyAlignment="1">
      <alignment wrapText="1"/>
    </xf>
    <xf numFmtId="167" fontId="88" fillId="0" borderId="62" xfId="3" applyNumberFormat="1" applyFont="1" applyFill="1" applyBorder="1" applyAlignment="1">
      <alignment wrapText="1"/>
    </xf>
    <xf numFmtId="167" fontId="88" fillId="0" borderId="72" xfId="36" applyNumberFormat="1" applyFont="1" applyFill="1" applyBorder="1" applyAlignment="1">
      <alignment horizontal="right" wrapText="1"/>
    </xf>
    <xf numFmtId="167" fontId="88" fillId="0" borderId="60" xfId="36" applyNumberFormat="1" applyFont="1" applyFill="1" applyBorder="1" applyAlignment="1">
      <alignment horizontal="right" wrapText="1"/>
    </xf>
    <xf numFmtId="167" fontId="88" fillId="0" borderId="73" xfId="36" applyNumberFormat="1" applyFont="1" applyFill="1" applyBorder="1" applyAlignment="1">
      <alignment horizontal="right" wrapText="1"/>
    </xf>
    <xf numFmtId="167" fontId="88" fillId="0" borderId="72" xfId="36" applyNumberFormat="1" applyFont="1" applyBorder="1"/>
    <xf numFmtId="167" fontId="88" fillId="0" borderId="60" xfId="36" applyNumberFormat="1" applyFont="1" applyBorder="1"/>
    <xf numFmtId="167" fontId="88" fillId="0" borderId="73" xfId="36" applyNumberFormat="1" applyFont="1" applyBorder="1"/>
    <xf numFmtId="5" fontId="1" fillId="0" borderId="72" xfId="3" applyNumberFormat="1" applyFont="1" applyBorder="1"/>
    <xf numFmtId="5" fontId="1" fillId="0" borderId="60" xfId="3" applyNumberFormat="1" applyFont="1" applyBorder="1"/>
    <xf numFmtId="5" fontId="1" fillId="0" borderId="73" xfId="3" applyNumberFormat="1" applyFont="1" applyBorder="1"/>
    <xf numFmtId="0" fontId="88" fillId="0" borderId="289" xfId="23" applyFont="1" applyFill="1" applyBorder="1" applyAlignment="1">
      <alignment horizontal="center" wrapText="1"/>
    </xf>
    <xf numFmtId="167" fontId="88" fillId="0" borderId="290" xfId="35" applyNumberFormat="1" applyFont="1" applyFill="1" applyBorder="1" applyAlignment="1">
      <alignment wrapText="1"/>
    </xf>
    <xf numFmtId="0" fontId="121" fillId="0" borderId="277" xfId="0" applyFont="1" applyBorder="1"/>
    <xf numFmtId="167" fontId="88" fillId="0" borderId="291" xfId="3" applyNumberFormat="1" applyFont="1" applyFill="1" applyBorder="1" applyAlignment="1">
      <alignment wrapText="1"/>
    </xf>
    <xf numFmtId="167" fontId="88" fillId="0" borderId="292" xfId="3" applyNumberFormat="1" applyFont="1" applyFill="1" applyBorder="1" applyAlignment="1">
      <alignment wrapText="1"/>
    </xf>
    <xf numFmtId="167" fontId="88" fillId="0" borderId="293" xfId="3" applyNumberFormat="1" applyFont="1" applyFill="1" applyBorder="1" applyAlignment="1">
      <alignment wrapText="1"/>
    </xf>
    <xf numFmtId="167" fontId="88" fillId="0" borderId="291" xfId="36" applyNumberFormat="1" applyFont="1" applyFill="1" applyBorder="1" applyAlignment="1">
      <alignment horizontal="right" wrapText="1"/>
    </xf>
    <xf numFmtId="167" fontId="88" fillId="0" borderId="292" xfId="36" applyNumberFormat="1" applyFont="1" applyFill="1" applyBorder="1" applyAlignment="1">
      <alignment horizontal="right" wrapText="1"/>
    </xf>
    <xf numFmtId="167" fontId="88" fillId="0" borderId="294" xfId="36" applyNumberFormat="1" applyFont="1" applyFill="1" applyBorder="1" applyAlignment="1">
      <alignment horizontal="right" wrapText="1"/>
    </xf>
    <xf numFmtId="167" fontId="88" fillId="0" borderId="291" xfId="36" applyNumberFormat="1" applyFont="1" applyBorder="1"/>
    <xf numFmtId="167" fontId="88" fillId="0" borderId="292" xfId="36" applyNumberFormat="1" applyFont="1" applyBorder="1"/>
    <xf numFmtId="167" fontId="88" fillId="0" borderId="294" xfId="36" applyNumberFormat="1" applyFont="1" applyBorder="1"/>
    <xf numFmtId="5" fontId="1" fillId="0" borderId="291" xfId="3" applyNumberFormat="1" applyFont="1" applyBorder="1"/>
    <xf numFmtId="5" fontId="1" fillId="0" borderId="292" xfId="3" applyNumberFormat="1" applyFont="1" applyBorder="1"/>
    <xf numFmtId="5" fontId="1" fillId="0" borderId="294" xfId="3" applyNumberFormat="1" applyFont="1" applyBorder="1"/>
    <xf numFmtId="0" fontId="1" fillId="0" borderId="0" xfId="0" applyFont="1" applyBorder="1"/>
    <xf numFmtId="167" fontId="1" fillId="0" borderId="265" xfId="0" applyNumberFormat="1" applyFont="1" applyBorder="1"/>
    <xf numFmtId="167" fontId="1" fillId="0" borderId="266" xfId="0" applyNumberFormat="1" applyFont="1" applyBorder="1"/>
    <xf numFmtId="167" fontId="88" fillId="0" borderId="267" xfId="36" applyNumberFormat="1" applyFont="1" applyFill="1" applyBorder="1" applyAlignment="1">
      <alignment horizontal="right" wrapText="1"/>
    </xf>
    <xf numFmtId="167" fontId="88" fillId="0" borderId="267" xfId="36" applyNumberFormat="1" applyFont="1" applyBorder="1"/>
    <xf numFmtId="0" fontId="1" fillId="0" borderId="265" xfId="0" applyFont="1" applyBorder="1"/>
    <xf numFmtId="0" fontId="1" fillId="0" borderId="266" xfId="0" applyFont="1" applyBorder="1"/>
    <xf numFmtId="0" fontId="1" fillId="0" borderId="267" xfId="0" applyFont="1" applyBorder="1"/>
    <xf numFmtId="0" fontId="1" fillId="0" borderId="278" xfId="0" applyFont="1" applyBorder="1"/>
    <xf numFmtId="167" fontId="88" fillId="0" borderId="279" xfId="3" applyNumberFormat="1" applyFont="1" applyFill="1" applyBorder="1" applyAlignment="1">
      <alignment wrapText="1"/>
    </xf>
    <xf numFmtId="167" fontId="88" fillId="0" borderId="280" xfId="3" applyNumberFormat="1" applyFont="1" applyFill="1" applyBorder="1" applyAlignment="1">
      <alignment wrapText="1"/>
    </xf>
    <xf numFmtId="167" fontId="88" fillId="0" borderId="281" xfId="3" applyNumberFormat="1" applyFont="1" applyFill="1" applyBorder="1" applyAlignment="1">
      <alignment wrapText="1"/>
    </xf>
    <xf numFmtId="5" fontId="1" fillId="0" borderId="279" xfId="0" applyNumberFormat="1" applyFont="1" applyBorder="1" applyAlignment="1"/>
    <xf numFmtId="5" fontId="1" fillId="0" borderId="280" xfId="0" applyNumberFormat="1" applyFont="1" applyBorder="1" applyAlignment="1"/>
    <xf numFmtId="167" fontId="88" fillId="0" borderId="282" xfId="36" applyNumberFormat="1" applyFont="1" applyFill="1" applyBorder="1" applyAlignment="1">
      <alignment horizontal="right" wrapText="1"/>
    </xf>
    <xf numFmtId="167" fontId="88" fillId="0" borderId="282" xfId="36" applyNumberFormat="1" applyFont="1" applyBorder="1"/>
    <xf numFmtId="0" fontId="1" fillId="0" borderId="283" xfId="0" applyFont="1" applyBorder="1"/>
    <xf numFmtId="167" fontId="88" fillId="0" borderId="284" xfId="3" applyNumberFormat="1" applyFont="1" applyFill="1" applyBorder="1" applyAlignment="1">
      <alignment wrapText="1"/>
    </xf>
    <xf numFmtId="167" fontId="88" fillId="0" borderId="285" xfId="3" applyNumberFormat="1" applyFont="1" applyFill="1" applyBorder="1" applyAlignment="1">
      <alignment wrapText="1"/>
    </xf>
    <xf numFmtId="167" fontId="88" fillId="0" borderId="286" xfId="3" applyNumberFormat="1" applyFont="1" applyFill="1" applyBorder="1" applyAlignment="1">
      <alignment wrapText="1"/>
    </xf>
    <xf numFmtId="5" fontId="1" fillId="0" borderId="284" xfId="0" applyNumberFormat="1" applyFont="1" applyBorder="1" applyAlignment="1"/>
    <xf numFmtId="5" fontId="1" fillId="0" borderId="285" xfId="0" applyNumberFormat="1" applyFont="1" applyBorder="1" applyAlignment="1"/>
    <xf numFmtId="167" fontId="88" fillId="0" borderId="287" xfId="36" applyNumberFormat="1" applyFont="1" applyFill="1" applyBorder="1" applyAlignment="1">
      <alignment horizontal="right" wrapText="1"/>
    </xf>
    <xf numFmtId="167" fontId="88" fillId="0" borderId="287" xfId="36" applyNumberFormat="1" applyFont="1" applyBorder="1"/>
    <xf numFmtId="5" fontId="1" fillId="0" borderId="284" xfId="0" applyNumberFormat="1" applyFont="1" applyBorder="1"/>
    <xf numFmtId="5" fontId="1" fillId="0" borderId="285" xfId="0" applyNumberFormat="1" applyFont="1" applyBorder="1"/>
    <xf numFmtId="5" fontId="73" fillId="0" borderId="350" xfId="0" applyNumberFormat="1" applyFont="1" applyBorder="1" applyAlignment="1"/>
    <xf numFmtId="5" fontId="73" fillId="0" borderId="162" xfId="0" applyNumberFormat="1" applyFont="1" applyBorder="1" applyAlignment="1"/>
    <xf numFmtId="5" fontId="2" fillId="0" borderId="162" xfId="0" applyNumberFormat="1" applyFont="1" applyBorder="1" applyAlignment="1"/>
    <xf numFmtId="5" fontId="47" fillId="0" borderId="162" xfId="2" applyNumberFormat="1" applyFont="1" applyBorder="1"/>
    <xf numFmtId="5" fontId="92" fillId="24" borderId="162" xfId="1" applyNumberFormat="1" applyFont="1" applyFill="1" applyBorder="1"/>
    <xf numFmtId="5" fontId="92" fillId="0" borderId="161" xfId="1" applyNumberFormat="1" applyFont="1" applyBorder="1" applyAlignment="1">
      <alignment horizontal="right"/>
    </xf>
    <xf numFmtId="171" fontId="73" fillId="0" borderId="350" xfId="2" applyNumberFormat="1" applyFont="1" applyBorder="1"/>
    <xf numFmtId="171" fontId="73" fillId="0" borderId="162" xfId="2" applyNumberFormat="1" applyFont="1" applyBorder="1"/>
    <xf numFmtId="171" fontId="91" fillId="0" borderId="350" xfId="2" applyNumberFormat="1" applyFont="1" applyBorder="1" applyAlignment="1">
      <alignment horizontal="center"/>
    </xf>
    <xf numFmtId="171" fontId="91" fillId="0" borderId="162" xfId="2" applyNumberFormat="1" applyFont="1" applyBorder="1" applyAlignment="1">
      <alignment horizontal="center"/>
    </xf>
    <xf numFmtId="171" fontId="91" fillId="24" borderId="162" xfId="1" applyNumberFormat="1" applyFont="1" applyFill="1" applyBorder="1" applyAlignment="1">
      <alignment horizontal="center"/>
    </xf>
    <xf numFmtId="171" fontId="91" fillId="0" borderId="161" xfId="1" applyNumberFormat="1" applyFont="1" applyBorder="1" applyAlignment="1">
      <alignment horizontal="center"/>
    </xf>
    <xf numFmtId="5" fontId="91" fillId="8" borderId="350" xfId="2" applyNumberFormat="1" applyFont="1" applyFill="1" applyBorder="1" applyAlignment="1">
      <alignment horizontal="center"/>
    </xf>
    <xf numFmtId="5" fontId="91" fillId="8" borderId="162" xfId="2" applyNumberFormat="1" applyFont="1" applyFill="1" applyBorder="1" applyAlignment="1">
      <alignment horizontal="center"/>
    </xf>
    <xf numFmtId="5" fontId="91" fillId="8" borderId="161" xfId="2" applyNumberFormat="1" applyFont="1" applyFill="1" applyBorder="1" applyAlignment="1">
      <alignment horizontal="right"/>
    </xf>
    <xf numFmtId="5" fontId="47" fillId="0" borderId="350" xfId="2" applyNumberFormat="1" applyFont="1" applyBorder="1"/>
    <xf numFmtId="5" fontId="1" fillId="0" borderId="307" xfId="0" applyNumberFormat="1" applyFont="1" applyBorder="1" applyAlignment="1"/>
    <xf numFmtId="5" fontId="1" fillId="0" borderId="308" xfId="0" applyNumberFormat="1" applyFont="1" applyBorder="1" applyAlignment="1"/>
    <xf numFmtId="5" fontId="1" fillId="0" borderId="309" xfId="0" applyNumberFormat="1" applyFont="1" applyBorder="1" applyAlignment="1"/>
    <xf numFmtId="5" fontId="1" fillId="0" borderId="310" xfId="0" applyNumberFormat="1" applyFont="1" applyBorder="1" applyAlignment="1"/>
    <xf numFmtId="5" fontId="1" fillId="0" borderId="311" xfId="0" applyNumberFormat="1" applyFont="1" applyBorder="1" applyAlignment="1"/>
    <xf numFmtId="5" fontId="1" fillId="0" borderId="312" xfId="0" applyNumberFormat="1" applyFont="1" applyBorder="1" applyAlignment="1"/>
    <xf numFmtId="5" fontId="1" fillId="0" borderId="313" xfId="0" applyNumberFormat="1" applyFont="1" applyBorder="1" applyAlignment="1"/>
    <xf numFmtId="5" fontId="1" fillId="0" borderId="287" xfId="0" applyNumberFormat="1" applyFont="1" applyBorder="1" applyAlignment="1"/>
    <xf numFmtId="5" fontId="1" fillId="0" borderId="315" xfId="0" applyNumberFormat="1" applyFont="1" applyBorder="1"/>
    <xf numFmtId="5" fontId="1" fillId="0" borderId="316" xfId="0" applyNumberFormat="1" applyFont="1" applyBorder="1"/>
    <xf numFmtId="5" fontId="1" fillId="0" borderId="317" xfId="0" applyNumberFormat="1" applyFont="1" applyBorder="1"/>
    <xf numFmtId="5" fontId="1" fillId="0" borderId="318" xfId="0" applyNumberFormat="1" applyFont="1" applyBorder="1"/>
    <xf numFmtId="5" fontId="1" fillId="0" borderId="319" xfId="0" applyNumberFormat="1" applyFont="1" applyBorder="1"/>
    <xf numFmtId="0" fontId="88" fillId="0" borderId="98" xfId="23" applyFont="1" applyFill="1" applyBorder="1" applyAlignment="1">
      <alignment horizontal="center" wrapText="1"/>
    </xf>
    <xf numFmtId="167" fontId="88" fillId="0" borderId="43" xfId="35" applyNumberFormat="1" applyFont="1" applyFill="1" applyBorder="1" applyAlignment="1">
      <alignment wrapText="1"/>
    </xf>
    <xf numFmtId="167" fontId="88" fillId="0" borderId="37" xfId="36" applyNumberFormat="1" applyFont="1" applyFill="1" applyBorder="1" applyAlignment="1">
      <alignment horizontal="right" wrapText="1"/>
    </xf>
    <xf numFmtId="167" fontId="88" fillId="0" borderId="38" xfId="36" applyNumberFormat="1" applyFont="1" applyFill="1" applyBorder="1" applyAlignment="1">
      <alignment horizontal="right" wrapText="1"/>
    </xf>
    <xf numFmtId="167" fontId="88" fillId="0" borderId="38" xfId="36" applyNumberFormat="1" applyFont="1" applyBorder="1"/>
    <xf numFmtId="167" fontId="88" fillId="0" borderId="39" xfId="36" applyNumberFormat="1" applyFont="1" applyFill="1" applyBorder="1" applyAlignment="1">
      <alignment horizontal="right" wrapText="1"/>
    </xf>
    <xf numFmtId="167" fontId="1" fillId="0" borderId="0" xfId="0" applyNumberFormat="1" applyFont="1" applyBorder="1"/>
    <xf numFmtId="167" fontId="1" fillId="0" borderId="265" xfId="0" applyNumberFormat="1" applyFont="1" applyBorder="1" applyAlignment="1"/>
    <xf numFmtId="167" fontId="1" fillId="0" borderId="341" xfId="0" applyNumberFormat="1" applyFont="1" applyBorder="1" applyAlignment="1"/>
    <xf numFmtId="167" fontId="88" fillId="0" borderId="341" xfId="36" applyNumberFormat="1" applyFont="1" applyFill="1" applyBorder="1" applyAlignment="1">
      <alignment horizontal="right" wrapText="1"/>
    </xf>
    <xf numFmtId="167" fontId="88" fillId="0" borderId="342" xfId="36" applyNumberFormat="1" applyFont="1" applyFill="1" applyBorder="1" applyAlignment="1">
      <alignment horizontal="right" wrapText="1"/>
    </xf>
    <xf numFmtId="167" fontId="1" fillId="0" borderId="341" xfId="0" applyNumberFormat="1" applyFont="1" applyBorder="1"/>
    <xf numFmtId="0" fontId="89" fillId="0" borderId="2" xfId="31" applyFont="1" applyFill="1" applyBorder="1" applyAlignment="1">
      <alignment horizontal="left" wrapText="1"/>
    </xf>
    <xf numFmtId="0" fontId="89" fillId="0" borderId="2" xfId="25" applyFont="1" applyFill="1" applyBorder="1" applyAlignment="1">
      <alignment horizontal="left"/>
    </xf>
    <xf numFmtId="0" fontId="89" fillId="0" borderId="75" xfId="25" applyFont="1" applyFill="1" applyBorder="1" applyAlignment="1">
      <alignment horizontal="center"/>
    </xf>
    <xf numFmtId="0" fontId="89" fillId="0" borderId="58" xfId="25" applyFont="1" applyFill="1" applyBorder="1" applyAlignment="1">
      <alignment horizontal="center"/>
    </xf>
    <xf numFmtId="0" fontId="89" fillId="0" borderId="58" xfId="34" applyFont="1" applyFill="1" applyBorder="1" applyAlignment="1">
      <alignment horizontal="center" wrapText="1"/>
    </xf>
    <xf numFmtId="0" fontId="89" fillId="0" borderId="76" xfId="34" applyFont="1" applyFill="1" applyBorder="1" applyAlignment="1">
      <alignment horizontal="center" wrapText="1"/>
    </xf>
    <xf numFmtId="0" fontId="89" fillId="0" borderId="58" xfId="25" applyFont="1" applyFill="1" applyBorder="1" applyAlignment="1">
      <alignment horizontal="center" wrapText="1"/>
    </xf>
    <xf numFmtId="0" fontId="89" fillId="0" borderId="76" xfId="25" applyFont="1" applyFill="1" applyBorder="1" applyAlignment="1">
      <alignment horizontal="center"/>
    </xf>
    <xf numFmtId="0" fontId="89" fillId="0" borderId="2" xfId="25" applyFont="1" applyFill="1" applyBorder="1" applyAlignment="1">
      <alignment horizontal="center"/>
    </xf>
    <xf numFmtId="0" fontId="89" fillId="0" borderId="2" xfId="25" applyFont="1" applyFill="1" applyBorder="1" applyAlignment="1">
      <alignment horizontal="center" wrapText="1"/>
    </xf>
    <xf numFmtId="167" fontId="89" fillId="0" borderId="2" xfId="25" applyNumberFormat="1" applyFont="1" applyFill="1" applyBorder="1" applyAlignment="1">
      <alignment horizontal="center"/>
    </xf>
    <xf numFmtId="167" fontId="89" fillId="0" borderId="2" xfId="25" applyNumberFormat="1" applyFont="1" applyFill="1" applyBorder="1" applyAlignment="1">
      <alignment horizontal="center" wrapText="1"/>
    </xf>
    <xf numFmtId="167" fontId="89" fillId="0" borderId="75" xfId="25" applyNumberFormat="1" applyFont="1" applyFill="1" applyBorder="1" applyAlignment="1">
      <alignment horizontal="center"/>
    </xf>
    <xf numFmtId="167" fontId="89" fillId="0" borderId="58" xfId="25" applyNumberFormat="1" applyFont="1" applyFill="1" applyBorder="1" applyAlignment="1">
      <alignment horizontal="center"/>
    </xf>
    <xf numFmtId="167" fontId="89" fillId="0" borderId="58" xfId="25" applyNumberFormat="1" applyFont="1" applyFill="1" applyBorder="1" applyAlignment="1">
      <alignment horizontal="center" wrapText="1"/>
    </xf>
    <xf numFmtId="167" fontId="89" fillId="0" borderId="76" xfId="25" applyNumberFormat="1" applyFont="1" applyFill="1" applyBorder="1" applyAlignment="1">
      <alignment horizontal="center"/>
    </xf>
    <xf numFmtId="0" fontId="89" fillId="0" borderId="75" xfId="25" applyFont="1" applyFill="1" applyBorder="1" applyAlignment="1">
      <alignment horizontal="center" wrapText="1"/>
    </xf>
    <xf numFmtId="0" fontId="1" fillId="0" borderId="0" xfId="0" applyFont="1"/>
    <xf numFmtId="0" fontId="89" fillId="6" borderId="81" xfId="31" quotePrefix="1" applyFont="1" applyFill="1" applyBorder="1" applyAlignment="1">
      <alignment horizontal="center" wrapText="1"/>
    </xf>
    <xf numFmtId="0" fontId="89" fillId="6" borderId="2" xfId="25" applyFont="1" applyFill="1" applyBorder="1" applyAlignment="1">
      <alignment wrapText="1"/>
    </xf>
    <xf numFmtId="167" fontId="89" fillId="6" borderId="75" xfId="25" applyNumberFormat="1" applyFont="1" applyFill="1" applyBorder="1" applyAlignment="1">
      <alignment wrapText="1"/>
    </xf>
    <xf numFmtId="167" fontId="89" fillId="6" borderId="58" xfId="25" applyNumberFormat="1" applyFont="1" applyFill="1" applyBorder="1" applyAlignment="1">
      <alignment wrapText="1"/>
    </xf>
    <xf numFmtId="167" fontId="89" fillId="6" borderId="76" xfId="25" applyNumberFormat="1" applyFont="1" applyFill="1" applyBorder="1" applyAlignment="1">
      <alignment wrapText="1"/>
    </xf>
    <xf numFmtId="167" fontId="90" fillId="6" borderId="75" xfId="0" applyNumberFormat="1" applyFont="1" applyFill="1" applyBorder="1"/>
    <xf numFmtId="167" fontId="90" fillId="6" borderId="58" xfId="0" applyNumberFormat="1" applyFont="1" applyFill="1" applyBorder="1"/>
    <xf numFmtId="167" fontId="90" fillId="6" borderId="76" xfId="0" applyNumberFormat="1" applyFont="1" applyFill="1" applyBorder="1"/>
    <xf numFmtId="167" fontId="90" fillId="6" borderId="2" xfId="0" applyNumberFormat="1" applyFont="1" applyFill="1" applyBorder="1"/>
    <xf numFmtId="0" fontId="88" fillId="0" borderId="271" xfId="31" applyFont="1" applyFill="1" applyBorder="1" applyAlignment="1">
      <alignment horizontal="center" wrapText="1"/>
    </xf>
    <xf numFmtId="0" fontId="88" fillId="0" borderId="272" xfId="25" applyFont="1" applyFill="1" applyBorder="1" applyAlignment="1">
      <alignment wrapText="1"/>
    </xf>
    <xf numFmtId="0" fontId="88" fillId="0" borderId="273" xfId="25" applyFont="1" applyFill="1" applyBorder="1" applyAlignment="1">
      <alignment wrapText="1"/>
    </xf>
    <xf numFmtId="167" fontId="88" fillId="0" borderId="274" xfId="25" applyNumberFormat="1" applyFont="1" applyFill="1" applyBorder="1" applyAlignment="1">
      <alignment wrapText="1"/>
    </xf>
    <xf numFmtId="167" fontId="88" fillId="0" borderId="275" xfId="25" applyNumberFormat="1" applyFont="1" applyFill="1" applyBorder="1" applyAlignment="1">
      <alignment wrapText="1"/>
    </xf>
    <xf numFmtId="167" fontId="88" fillId="0" borderId="276" xfId="25" applyNumberFormat="1" applyFont="1" applyFill="1" applyBorder="1" applyAlignment="1">
      <alignment wrapText="1"/>
    </xf>
    <xf numFmtId="5" fontId="88" fillId="0" borderId="274" xfId="30" applyNumberFormat="1" applyFont="1" applyBorder="1" applyAlignment="1"/>
    <xf numFmtId="5" fontId="88" fillId="0" borderId="275" xfId="30" applyNumberFormat="1" applyFont="1" applyBorder="1" applyAlignment="1"/>
    <xf numFmtId="5" fontId="88" fillId="0" borderId="276" xfId="30" applyNumberFormat="1" applyFont="1" applyBorder="1" applyAlignment="1"/>
    <xf numFmtId="167" fontId="88" fillId="0" borderId="274" xfId="30" applyNumberFormat="1" applyFont="1" applyFill="1" applyBorder="1" applyAlignment="1">
      <alignment wrapText="1"/>
    </xf>
    <xf numFmtId="167" fontId="88" fillId="0" borderId="275" xfId="30" applyNumberFormat="1" applyFont="1" applyFill="1" applyBorder="1" applyAlignment="1">
      <alignment wrapText="1"/>
    </xf>
    <xf numFmtId="167" fontId="1" fillId="0" borderId="275" xfId="3" applyNumberFormat="1" applyFont="1" applyBorder="1" applyAlignment="1"/>
    <xf numFmtId="167" fontId="88" fillId="0" borderId="276" xfId="30" applyNumberFormat="1" applyFont="1" applyFill="1" applyBorder="1" applyAlignment="1">
      <alignment wrapText="1"/>
    </xf>
    <xf numFmtId="167" fontId="88" fillId="0" borderId="274" xfId="30" applyNumberFormat="1" applyFont="1" applyFill="1" applyBorder="1" applyAlignment="1">
      <alignment horizontal="right" wrapText="1"/>
    </xf>
    <xf numFmtId="167" fontId="88" fillId="0" borderId="275" xfId="30" applyNumberFormat="1" applyFont="1" applyFill="1" applyBorder="1" applyAlignment="1">
      <alignment horizontal="right" wrapText="1"/>
    </xf>
    <xf numFmtId="167" fontId="88" fillId="0" borderId="276" xfId="30" applyNumberFormat="1" applyFont="1" applyFill="1" applyBorder="1" applyAlignment="1">
      <alignment horizontal="right" wrapText="1"/>
    </xf>
    <xf numFmtId="167" fontId="88" fillId="0" borderId="274" xfId="30" applyNumberFormat="1" applyFont="1" applyBorder="1" applyAlignment="1"/>
    <xf numFmtId="167" fontId="88" fillId="0" borderId="275" xfId="30" applyNumberFormat="1" applyFont="1" applyBorder="1" applyAlignment="1"/>
    <xf numFmtId="167" fontId="88" fillId="0" borderId="276" xfId="30" applyNumberFormat="1" applyFont="1" applyBorder="1" applyAlignment="1"/>
    <xf numFmtId="167" fontId="1" fillId="0" borderId="320" xfId="3" applyNumberFormat="1" applyFont="1" applyBorder="1" applyAlignment="1"/>
    <xf numFmtId="167" fontId="1" fillId="0" borderId="273" xfId="3" applyNumberFormat="1" applyFont="1" applyBorder="1" applyAlignment="1"/>
    <xf numFmtId="167" fontId="1" fillId="0" borderId="322" xfId="3" applyNumberFormat="1" applyFont="1" applyBorder="1" applyAlignment="1"/>
    <xf numFmtId="167" fontId="88" fillId="0" borderId="323" xfId="30" applyNumberFormat="1" applyFont="1" applyFill="1" applyBorder="1" applyAlignment="1">
      <alignment wrapText="1"/>
    </xf>
    <xf numFmtId="167" fontId="88" fillId="0" borderId="320" xfId="30" applyNumberFormat="1" applyFont="1" applyBorder="1"/>
    <xf numFmtId="167" fontId="88" fillId="0" borderId="273" xfId="30" applyNumberFormat="1" applyFont="1" applyBorder="1"/>
    <xf numFmtId="167" fontId="88" fillId="0" borderId="321" xfId="30" applyNumberFormat="1" applyFont="1" applyBorder="1"/>
    <xf numFmtId="167" fontId="88" fillId="0" borderId="274" xfId="30" applyNumberFormat="1" applyFont="1" applyBorder="1"/>
    <xf numFmtId="167" fontId="88" fillId="0" borderId="275" xfId="30" applyNumberFormat="1" applyFont="1" applyBorder="1"/>
    <xf numFmtId="167" fontId="88" fillId="0" borderId="276" xfId="30" applyNumberFormat="1" applyFont="1" applyBorder="1"/>
    <xf numFmtId="5" fontId="88" fillId="0" borderId="276" xfId="30" applyNumberFormat="1" applyFont="1" applyFill="1" applyBorder="1" applyAlignment="1">
      <alignment horizontal="right" wrapText="1"/>
    </xf>
    <xf numFmtId="0" fontId="88" fillId="0" borderId="324" xfId="31" applyFont="1" applyFill="1" applyBorder="1" applyAlignment="1">
      <alignment horizontal="center" wrapText="1"/>
    </xf>
    <xf numFmtId="0" fontId="88" fillId="0" borderId="325" xfId="25" applyFont="1" applyFill="1" applyBorder="1" applyAlignment="1">
      <alignment wrapText="1"/>
    </xf>
    <xf numFmtId="0" fontId="88" fillId="0" borderId="326" xfId="25" applyFont="1" applyFill="1" applyBorder="1" applyAlignment="1">
      <alignment wrapText="1"/>
    </xf>
    <xf numFmtId="167" fontId="88" fillId="0" borderId="327" xfId="25" applyNumberFormat="1" applyFont="1" applyFill="1" applyBorder="1" applyAlignment="1">
      <alignment wrapText="1"/>
    </xf>
    <xf numFmtId="167" fontId="88" fillId="0" borderId="336" xfId="25" applyNumberFormat="1" applyFont="1" applyFill="1" applyBorder="1" applyAlignment="1">
      <alignment wrapText="1"/>
    </xf>
    <xf numFmtId="167" fontId="88" fillId="0" borderId="328" xfId="25" applyNumberFormat="1" applyFont="1" applyFill="1" applyBorder="1" applyAlignment="1">
      <alignment wrapText="1"/>
    </xf>
    <xf numFmtId="5" fontId="88" fillId="0" borderId="327" xfId="30" applyNumberFormat="1" applyFont="1" applyBorder="1" applyAlignment="1"/>
    <xf numFmtId="5" fontId="88" fillId="0" borderId="336" xfId="30" applyNumberFormat="1" applyFont="1" applyBorder="1" applyAlignment="1"/>
    <xf numFmtId="5" fontId="88" fillId="0" borderId="328" xfId="30" applyNumberFormat="1" applyFont="1" applyBorder="1" applyAlignment="1"/>
    <xf numFmtId="167" fontId="88" fillId="0" borderId="327" xfId="30" applyNumberFormat="1" applyFont="1" applyBorder="1" applyAlignment="1"/>
    <xf numFmtId="167" fontId="88" fillId="0" borderId="336" xfId="30" applyNumberFormat="1" applyFont="1" applyBorder="1" applyAlignment="1"/>
    <xf numFmtId="167" fontId="88" fillId="0" borderId="328" xfId="30" applyNumberFormat="1" applyFont="1" applyFill="1" applyBorder="1" applyAlignment="1">
      <alignment wrapText="1"/>
    </xf>
    <xf numFmtId="167" fontId="88" fillId="0" borderId="327" xfId="30" applyNumberFormat="1" applyFont="1" applyFill="1" applyBorder="1" applyAlignment="1">
      <alignment wrapText="1"/>
    </xf>
    <xf numFmtId="167" fontId="88" fillId="0" borderId="336" xfId="30" applyNumberFormat="1" applyFont="1" applyFill="1" applyBorder="1" applyAlignment="1">
      <alignment wrapText="1"/>
    </xf>
    <xf numFmtId="167" fontId="88" fillId="0" borderId="327" xfId="30" applyNumberFormat="1" applyFont="1" applyFill="1" applyBorder="1" applyAlignment="1">
      <alignment horizontal="right" wrapText="1"/>
    </xf>
    <xf numFmtId="167" fontId="88" fillId="0" borderId="336" xfId="30" applyNumberFormat="1" applyFont="1" applyFill="1" applyBorder="1" applyAlignment="1">
      <alignment horizontal="right" wrapText="1"/>
    </xf>
    <xf numFmtId="167" fontId="88" fillId="0" borderId="328" xfId="30" applyNumberFormat="1" applyFont="1" applyFill="1" applyBorder="1" applyAlignment="1">
      <alignment horizontal="right" wrapText="1"/>
    </xf>
    <xf numFmtId="167" fontId="88" fillId="0" borderId="328" xfId="30" applyNumberFormat="1" applyFont="1" applyBorder="1" applyAlignment="1"/>
    <xf numFmtId="167" fontId="1" fillId="0" borderId="329" xfId="3" applyNumberFormat="1" applyFont="1" applyBorder="1" applyAlignment="1"/>
    <xf numFmtId="167" fontId="1" fillId="0" borderId="326" xfId="3" applyNumberFormat="1" applyFont="1" applyBorder="1" applyAlignment="1"/>
    <xf numFmtId="167" fontId="1" fillId="0" borderId="331" xfId="3" applyNumberFormat="1" applyFont="1" applyBorder="1" applyAlignment="1"/>
    <xf numFmtId="167" fontId="88" fillId="0" borderId="332" xfId="30" applyNumberFormat="1" applyFont="1" applyFill="1" applyBorder="1" applyAlignment="1">
      <alignment wrapText="1"/>
    </xf>
    <xf numFmtId="167" fontId="88" fillId="0" borderId="329" xfId="30" applyNumberFormat="1" applyFont="1" applyFill="1" applyBorder="1" applyAlignment="1">
      <alignment horizontal="right" wrapText="1"/>
    </xf>
    <xf numFmtId="167" fontId="88" fillId="0" borderId="326" xfId="30" applyNumberFormat="1" applyFont="1" applyFill="1" applyBorder="1" applyAlignment="1">
      <alignment horizontal="right" wrapText="1"/>
    </xf>
    <xf numFmtId="167" fontId="88" fillId="0" borderId="331" xfId="30" applyNumberFormat="1" applyFont="1" applyFill="1" applyBorder="1" applyAlignment="1">
      <alignment horizontal="right" wrapText="1"/>
    </xf>
    <xf numFmtId="167" fontId="88" fillId="0" borderId="330" xfId="30" applyNumberFormat="1" applyFont="1" applyBorder="1"/>
    <xf numFmtId="167" fontId="88" fillId="0" borderId="327" xfId="30" applyNumberFormat="1" applyFont="1" applyBorder="1"/>
    <xf numFmtId="167" fontId="88" fillId="0" borderId="336" xfId="30" applyNumberFormat="1" applyFont="1" applyBorder="1"/>
    <xf numFmtId="167" fontId="88" fillId="0" borderId="328" xfId="30" applyNumberFormat="1" applyFont="1" applyBorder="1"/>
    <xf numFmtId="5" fontId="88" fillId="0" borderId="328" xfId="30" applyNumberFormat="1" applyFont="1" applyFill="1" applyBorder="1" applyAlignment="1">
      <alignment horizontal="right" wrapText="1"/>
    </xf>
    <xf numFmtId="167" fontId="88" fillId="0" borderId="329" xfId="30" applyNumberFormat="1" applyFont="1" applyBorder="1"/>
    <xf numFmtId="167" fontId="88" fillId="0" borderId="326" xfId="30" applyNumberFormat="1" applyFont="1" applyBorder="1"/>
    <xf numFmtId="167" fontId="88" fillId="0" borderId="329" xfId="30" applyNumberFormat="1" applyFont="1" applyBorder="1" applyAlignment="1"/>
    <xf numFmtId="167" fontId="88" fillId="0" borderId="326" xfId="30" applyNumberFormat="1" applyFont="1" applyBorder="1" applyAlignment="1"/>
    <xf numFmtId="167" fontId="88" fillId="0" borderId="331" xfId="30" applyNumberFormat="1" applyFont="1" applyBorder="1" applyAlignment="1"/>
    <xf numFmtId="167" fontId="88" fillId="0" borderId="329" xfId="30" applyNumberFormat="1" applyFont="1" applyFill="1" applyBorder="1" applyAlignment="1">
      <alignment wrapText="1"/>
    </xf>
    <xf numFmtId="167" fontId="88" fillId="0" borderId="326" xfId="30" applyNumberFormat="1" applyFont="1" applyFill="1" applyBorder="1" applyAlignment="1">
      <alignment wrapText="1"/>
    </xf>
    <xf numFmtId="167" fontId="88" fillId="0" borderId="331" xfId="30" applyNumberFormat="1" applyFont="1" applyFill="1" applyBorder="1" applyAlignment="1">
      <alignment wrapText="1"/>
    </xf>
    <xf numFmtId="5" fontId="88" fillId="0" borderId="327" xfId="30" applyNumberFormat="1" applyFont="1" applyFill="1" applyBorder="1" applyAlignment="1">
      <alignment wrapText="1"/>
    </xf>
    <xf numFmtId="5" fontId="88" fillId="0" borderId="336" xfId="30" applyNumberFormat="1" applyFont="1" applyFill="1" applyBorder="1" applyAlignment="1">
      <alignment wrapText="1"/>
    </xf>
    <xf numFmtId="5" fontId="1" fillId="0" borderId="336" xfId="3" applyNumberFormat="1" applyFont="1" applyBorder="1" applyAlignment="1"/>
    <xf numFmtId="0" fontId="88" fillId="0" borderId="289" xfId="31" applyFont="1" applyFill="1" applyBorder="1" applyAlignment="1">
      <alignment horizontal="center" wrapText="1"/>
    </xf>
    <xf numFmtId="0" fontId="88" fillId="0" borderId="290" xfId="25" applyFont="1" applyFill="1" applyBorder="1" applyAlignment="1">
      <alignment wrapText="1"/>
    </xf>
    <xf numFmtId="0" fontId="88" fillId="0" borderId="277" xfId="25" applyFont="1" applyFill="1" applyBorder="1" applyAlignment="1">
      <alignment wrapText="1"/>
    </xf>
    <xf numFmtId="167" fontId="88" fillId="0" borderId="337" xfId="25" applyNumberFormat="1" applyFont="1" applyFill="1" applyBorder="1" applyAlignment="1">
      <alignment wrapText="1"/>
    </xf>
    <xf numFmtId="167" fontId="88" fillId="0" borderId="338" xfId="25" applyNumberFormat="1" applyFont="1" applyFill="1" applyBorder="1" applyAlignment="1">
      <alignment wrapText="1"/>
    </xf>
    <xf numFmtId="167" fontId="88" fillId="0" borderId="339" xfId="25" applyNumberFormat="1" applyFont="1" applyFill="1" applyBorder="1" applyAlignment="1">
      <alignment wrapText="1"/>
    </xf>
    <xf numFmtId="5" fontId="88" fillId="0" borderId="291" xfId="30" applyNumberFormat="1" applyFont="1" applyBorder="1" applyAlignment="1"/>
    <xf numFmtId="5" fontId="88" fillId="0" borderId="292" xfId="30" applyNumberFormat="1" applyFont="1" applyBorder="1" applyAlignment="1"/>
    <xf numFmtId="5" fontId="88" fillId="0" borderId="294" xfId="30" applyNumberFormat="1" applyFont="1" applyBorder="1" applyAlignment="1"/>
    <xf numFmtId="167" fontId="88" fillId="0" borderId="291" xfId="30" applyNumberFormat="1" applyFont="1" applyBorder="1" applyAlignment="1"/>
    <xf numFmtId="167" fontId="88" fillId="0" borderId="292" xfId="30" applyNumberFormat="1" applyFont="1" applyBorder="1" applyAlignment="1"/>
    <xf numFmtId="167" fontId="88" fillId="0" borderId="294" xfId="30" applyNumberFormat="1" applyFont="1" applyFill="1" applyBorder="1" applyAlignment="1">
      <alignment wrapText="1"/>
    </xf>
    <xf numFmtId="167" fontId="88" fillId="0" borderId="291" xfId="30" applyNumberFormat="1" applyFont="1" applyFill="1" applyBorder="1" applyAlignment="1">
      <alignment wrapText="1"/>
    </xf>
    <xf numFmtId="167" fontId="88" fillId="0" borderId="292" xfId="30" applyNumberFormat="1" applyFont="1" applyFill="1" applyBorder="1" applyAlignment="1">
      <alignment wrapText="1"/>
    </xf>
    <xf numFmtId="167" fontId="88" fillId="0" borderId="291" xfId="30" applyNumberFormat="1" applyFont="1" applyFill="1" applyBorder="1" applyAlignment="1">
      <alignment horizontal="right" wrapText="1"/>
    </xf>
    <xf numFmtId="167" fontId="88" fillId="0" borderId="292" xfId="30" applyNumberFormat="1" applyFont="1" applyFill="1" applyBorder="1" applyAlignment="1">
      <alignment horizontal="right" wrapText="1"/>
    </xf>
    <xf numFmtId="167" fontId="88" fillId="0" borderId="294" xfId="30" applyNumberFormat="1" applyFont="1" applyFill="1" applyBorder="1" applyAlignment="1">
      <alignment horizontal="right" wrapText="1"/>
    </xf>
    <xf numFmtId="167" fontId="88" fillId="0" borderId="294" xfId="30" applyNumberFormat="1" applyFont="1" applyBorder="1" applyAlignment="1"/>
    <xf numFmtId="167" fontId="1" fillId="0" borderId="333" xfId="3" applyNumberFormat="1" applyFont="1" applyBorder="1" applyAlignment="1"/>
    <xf numFmtId="167" fontId="1" fillId="0" borderId="277" xfId="3" applyNumberFormat="1" applyFont="1" applyBorder="1" applyAlignment="1"/>
    <xf numFmtId="167" fontId="1" fillId="0" borderId="335" xfId="3" applyNumberFormat="1" applyFont="1" applyBorder="1" applyAlignment="1"/>
    <xf numFmtId="167" fontId="88" fillId="0" borderId="288" xfId="30" applyNumberFormat="1" applyFont="1" applyFill="1" applyBorder="1" applyAlignment="1">
      <alignment wrapText="1"/>
    </xf>
    <xf numFmtId="167" fontId="88" fillId="0" borderId="333" xfId="30" applyNumberFormat="1" applyFont="1" applyFill="1" applyBorder="1" applyAlignment="1">
      <alignment horizontal="right" wrapText="1"/>
    </xf>
    <xf numFmtId="167" fontId="88" fillId="0" borderId="277" xfId="30" applyNumberFormat="1" applyFont="1" applyFill="1" applyBorder="1" applyAlignment="1">
      <alignment horizontal="right" wrapText="1"/>
    </xf>
    <xf numFmtId="167" fontId="88" fillId="0" borderId="335" xfId="30" applyNumberFormat="1" applyFont="1" applyFill="1" applyBorder="1" applyAlignment="1">
      <alignment horizontal="right" wrapText="1"/>
    </xf>
    <xf numFmtId="167" fontId="88" fillId="0" borderId="334" xfId="30" applyNumberFormat="1" applyFont="1" applyBorder="1"/>
    <xf numFmtId="167" fontId="88" fillId="0" borderId="294" xfId="30" applyNumberFormat="1" applyFont="1" applyBorder="1"/>
    <xf numFmtId="167" fontId="88" fillId="0" borderId="291" xfId="30" applyNumberFormat="1" applyFont="1" applyBorder="1"/>
    <xf numFmtId="167" fontId="88" fillId="0" borderId="292" xfId="30" applyNumberFormat="1" applyFont="1" applyBorder="1"/>
    <xf numFmtId="167" fontId="88" fillId="0" borderId="337" xfId="30" applyNumberFormat="1" applyFont="1" applyFill="1" applyBorder="1" applyAlignment="1">
      <alignment horizontal="right" wrapText="1"/>
    </xf>
    <xf numFmtId="167" fontId="88" fillId="0" borderId="338" xfId="30" applyNumberFormat="1" applyFont="1" applyFill="1" applyBorder="1" applyAlignment="1">
      <alignment horizontal="right" wrapText="1"/>
    </xf>
    <xf numFmtId="167" fontId="88" fillId="0" borderId="339" xfId="30" applyNumberFormat="1" applyFont="1" applyFill="1" applyBorder="1" applyAlignment="1">
      <alignment horizontal="right" wrapText="1"/>
    </xf>
    <xf numFmtId="5" fontId="88" fillId="0" borderId="294" xfId="30" applyNumberFormat="1" applyFont="1" applyFill="1" applyBorder="1" applyAlignment="1">
      <alignment horizontal="right" wrapText="1"/>
    </xf>
    <xf numFmtId="167" fontId="1" fillId="0" borderId="0" xfId="0" applyNumberFormat="1" applyFont="1"/>
    <xf numFmtId="5" fontId="1" fillId="0" borderId="0" xfId="0" applyNumberFormat="1" applyFont="1" applyBorder="1" applyAlignment="1"/>
    <xf numFmtId="5" fontId="1" fillId="0" borderId="205" xfId="0" applyNumberFormat="1" applyFont="1" applyBorder="1" applyAlignment="1"/>
    <xf numFmtId="5" fontId="1" fillId="0" borderId="193" xfId="0" applyNumberFormat="1" applyFont="1" applyBorder="1" applyAlignment="1"/>
    <xf numFmtId="5" fontId="1" fillId="0" borderId="234" xfId="0" applyNumberFormat="1" applyFont="1" applyBorder="1" applyAlignment="1"/>
    <xf numFmtId="5" fontId="1" fillId="0" borderId="208" xfId="0" applyNumberFormat="1" applyFont="1" applyBorder="1" applyAlignment="1"/>
    <xf numFmtId="5" fontId="1" fillId="0" borderId="0" xfId="0" applyNumberFormat="1" applyFont="1"/>
    <xf numFmtId="5" fontId="1" fillId="0" borderId="205" xfId="0" applyNumberFormat="1" applyFont="1" applyBorder="1"/>
    <xf numFmtId="5" fontId="1" fillId="0" borderId="193" xfId="0" applyNumberFormat="1" applyFont="1" applyBorder="1"/>
    <xf numFmtId="5" fontId="1" fillId="0" borderId="234" xfId="0" applyNumberFormat="1" applyFont="1" applyBorder="1"/>
    <xf numFmtId="5" fontId="1" fillId="0" borderId="208" xfId="0" applyNumberFormat="1" applyFont="1" applyBorder="1"/>
    <xf numFmtId="176" fontId="88" fillId="0" borderId="301" xfId="3" applyNumberFormat="1" applyFont="1" applyFill="1" applyBorder="1" applyAlignment="1">
      <alignment wrapText="1"/>
    </xf>
    <xf numFmtId="49" fontId="121" fillId="0" borderId="0" xfId="0" applyNumberFormat="1" applyFont="1" applyBorder="1" applyAlignment="1">
      <alignment horizontal="center"/>
    </xf>
    <xf numFmtId="0" fontId="128" fillId="0" borderId="0" xfId="9" applyFont="1" applyBorder="1"/>
    <xf numFmtId="49" fontId="127" fillId="0" borderId="351" xfId="0" applyNumberFormat="1" applyFont="1" applyBorder="1" applyAlignment="1">
      <alignment horizontal="center"/>
    </xf>
    <xf numFmtId="0" fontId="127" fillId="0" borderId="351" xfId="0" applyFont="1" applyBorder="1" applyAlignment="1">
      <alignment horizontal="left" wrapText="1"/>
    </xf>
    <xf numFmtId="49" fontId="127" fillId="13" borderId="351" xfId="0" quotePrefix="1" applyNumberFormat="1" applyFont="1" applyFill="1" applyBorder="1" applyAlignment="1">
      <alignment horizontal="center"/>
    </xf>
    <xf numFmtId="0" fontId="127" fillId="13" borderId="351" xfId="0" applyFont="1" applyFill="1" applyBorder="1" applyAlignment="1">
      <alignment horizontal="left" wrapText="1"/>
    </xf>
    <xf numFmtId="49" fontId="121" fillId="0" borderId="353" xfId="0" applyNumberFormat="1" applyFont="1" applyBorder="1" applyAlignment="1">
      <alignment horizontal="center"/>
    </xf>
    <xf numFmtId="0" fontId="128" fillId="0" borderId="353" xfId="9" applyFont="1" applyBorder="1"/>
    <xf numFmtId="0" fontId="121" fillId="0" borderId="353" xfId="0" applyFont="1" applyBorder="1"/>
    <xf numFmtId="0" fontId="90" fillId="0" borderId="354" xfId="0" applyFont="1" applyBorder="1"/>
    <xf numFmtId="0" fontId="90" fillId="0" borderId="355" xfId="0" applyFont="1" applyBorder="1"/>
    <xf numFmtId="0" fontId="90" fillId="0" borderId="356" xfId="0" applyFont="1" applyBorder="1"/>
    <xf numFmtId="5" fontId="90" fillId="13" borderId="357" xfId="3" applyNumberFormat="1" applyFont="1" applyFill="1" applyBorder="1"/>
    <xf numFmtId="5" fontId="90" fillId="13" borderId="358" xfId="3" applyNumberFormat="1" applyFont="1" applyFill="1" applyBorder="1"/>
    <xf numFmtId="5" fontId="90" fillId="31" borderId="358" xfId="3" applyNumberFormat="1" applyFont="1" applyFill="1" applyBorder="1"/>
    <xf numFmtId="5" fontId="90" fillId="13" borderId="359" xfId="3" applyNumberFormat="1" applyFont="1" applyFill="1" applyBorder="1"/>
    <xf numFmtId="5" fontId="1" fillId="0" borderId="350" xfId="3" applyNumberFormat="1" applyFont="1" applyBorder="1"/>
    <xf numFmtId="5" fontId="1" fillId="0" borderId="162" xfId="3" applyNumberFormat="1" applyFont="1" applyBorder="1"/>
    <xf numFmtId="5" fontId="1" fillId="0" borderId="161" xfId="3" applyNumberFormat="1" applyFont="1" applyBorder="1"/>
    <xf numFmtId="5" fontId="1" fillId="0" borderId="360" xfId="3" applyNumberFormat="1" applyFont="1" applyBorder="1"/>
    <xf numFmtId="5" fontId="1" fillId="0" borderId="361" xfId="3" applyNumberFormat="1" applyFont="1" applyBorder="1"/>
    <xf numFmtId="5" fontId="1" fillId="0" borderId="362" xfId="3" applyNumberFormat="1" applyFont="1" applyBorder="1"/>
    <xf numFmtId="0" fontId="121" fillId="0" borderId="0" xfId="0" applyFont="1" applyAlignment="1">
      <alignment horizontal="left" vertical="top" wrapText="1"/>
    </xf>
    <xf numFmtId="176" fontId="121" fillId="0" borderId="350" xfId="3" applyNumberFormat="1" applyFont="1" applyBorder="1"/>
    <xf numFmtId="176" fontId="121" fillId="0" borderId="162" xfId="3" applyNumberFormat="1" applyFont="1" applyBorder="1"/>
    <xf numFmtId="5" fontId="121" fillId="0" borderId="162" xfId="3" applyNumberFormat="1" applyFont="1" applyFill="1" applyBorder="1"/>
    <xf numFmtId="176" fontId="121" fillId="0" borderId="161" xfId="3" applyNumberFormat="1" applyFont="1" applyBorder="1"/>
    <xf numFmtId="176" fontId="121" fillId="0" borderId="350" xfId="0" applyNumberFormat="1" applyFont="1" applyBorder="1"/>
    <xf numFmtId="176" fontId="54" fillId="31" borderId="15" xfId="3" applyNumberFormat="1" applyFont="1" applyFill="1" applyBorder="1"/>
    <xf numFmtId="176" fontId="54" fillId="13" borderId="357" xfId="3" applyNumberFormat="1" applyFont="1" applyFill="1" applyBorder="1"/>
    <xf numFmtId="176" fontId="54" fillId="13" borderId="358" xfId="3" applyNumberFormat="1" applyFont="1" applyFill="1" applyBorder="1"/>
    <xf numFmtId="176" fontId="54" fillId="31" borderId="359" xfId="3" applyNumberFormat="1" applyFont="1" applyFill="1" applyBorder="1"/>
    <xf numFmtId="176" fontId="75" fillId="0" borderId="350" xfId="3" applyNumberFormat="1" applyFont="1" applyBorder="1"/>
    <xf numFmtId="176" fontId="75" fillId="0" borderId="162" xfId="3" applyNumberFormat="1" applyFont="1" applyBorder="1"/>
    <xf numFmtId="176" fontId="75" fillId="0" borderId="161" xfId="3" applyNumberFormat="1" applyFont="1" applyBorder="1"/>
    <xf numFmtId="176" fontId="75" fillId="0" borderId="360" xfId="3" applyNumberFormat="1" applyFont="1" applyBorder="1"/>
    <xf numFmtId="176" fontId="75" fillId="0" borderId="361" xfId="3" applyNumberFormat="1" applyFont="1" applyBorder="1"/>
    <xf numFmtId="176" fontId="75" fillId="0" borderId="362" xfId="3" applyNumberFormat="1" applyFont="1" applyBorder="1"/>
    <xf numFmtId="176" fontId="54" fillId="31" borderId="357" xfId="3" applyNumberFormat="1" applyFont="1" applyFill="1" applyBorder="1"/>
    <xf numFmtId="176" fontId="54" fillId="31" borderId="358" xfId="3" applyNumberFormat="1" applyFont="1" applyFill="1" applyBorder="1"/>
    <xf numFmtId="176" fontId="54" fillId="0" borderId="357" xfId="3" applyNumberFormat="1" applyFont="1" applyBorder="1"/>
    <xf numFmtId="176" fontId="54" fillId="0" borderId="358" xfId="3" applyNumberFormat="1" applyFont="1" applyBorder="1"/>
    <xf numFmtId="176" fontId="54" fillId="0" borderId="359" xfId="3" applyNumberFormat="1" applyFont="1" applyBorder="1"/>
    <xf numFmtId="176" fontId="54" fillId="0" borderId="358" xfId="3" applyNumberFormat="1" applyFont="1" applyBorder="1" applyAlignment="1">
      <alignment wrapText="1"/>
    </xf>
    <xf numFmtId="5" fontId="54" fillId="13" borderId="357" xfId="3" applyNumberFormat="1" applyFont="1" applyFill="1" applyBorder="1"/>
    <xf numFmtId="5" fontId="54" fillId="13" borderId="358" xfId="3" applyNumberFormat="1" applyFont="1" applyFill="1" applyBorder="1"/>
    <xf numFmtId="5" fontId="54" fillId="21" borderId="359" xfId="3" applyNumberFormat="1" applyFont="1" applyFill="1" applyBorder="1"/>
    <xf numFmtId="176" fontId="54" fillId="0" borderId="354" xfId="3" applyNumberFormat="1" applyFont="1" applyBorder="1"/>
    <xf numFmtId="176" fontId="54" fillId="0" borderId="355" xfId="3" applyNumberFormat="1" applyFont="1" applyBorder="1" applyAlignment="1">
      <alignment wrapText="1"/>
    </xf>
    <xf numFmtId="176" fontId="54" fillId="0" borderId="355" xfId="3" applyNumberFormat="1" applyFont="1" applyBorder="1"/>
    <xf numFmtId="176" fontId="54" fillId="0" borderId="356" xfId="3" applyNumberFormat="1" applyFont="1" applyBorder="1"/>
    <xf numFmtId="176" fontId="54" fillId="0" borderId="365" xfId="3" applyNumberFormat="1" applyFont="1" applyBorder="1"/>
    <xf numFmtId="176" fontId="54" fillId="0" borderId="351" xfId="3" applyNumberFormat="1" applyFont="1" applyBorder="1" applyAlignment="1">
      <alignment wrapText="1"/>
    </xf>
    <xf numFmtId="176" fontId="54" fillId="0" borderId="351" xfId="3" applyNumberFormat="1" applyFont="1" applyBorder="1"/>
    <xf numFmtId="176" fontId="54" fillId="0" borderId="366" xfId="3" applyNumberFormat="1" applyFont="1" applyBorder="1"/>
    <xf numFmtId="0" fontId="54" fillId="0" borderId="0" xfId="0" applyFont="1" applyBorder="1" applyAlignment="1">
      <alignment horizontal="center"/>
    </xf>
    <xf numFmtId="0" fontId="30" fillId="0" borderId="0" xfId="15" applyFont="1" applyAlignment="1">
      <alignment horizontal="left" wrapText="1"/>
    </xf>
    <xf numFmtId="164" fontId="72" fillId="0" borderId="352" xfId="16" applyNumberFormat="1" applyFont="1" applyFill="1" applyBorder="1" applyAlignment="1">
      <alignment wrapText="1"/>
    </xf>
    <xf numFmtId="0" fontId="71" fillId="0" borderId="367" xfId="11" applyFont="1" applyFill="1" applyBorder="1" applyAlignment="1">
      <alignment horizontal="center"/>
    </xf>
    <xf numFmtId="164" fontId="71" fillId="6" borderId="367" xfId="16" applyNumberFormat="1" applyFont="1" applyFill="1" applyBorder="1" applyAlignment="1">
      <alignment wrapText="1"/>
    </xf>
    <xf numFmtId="0" fontId="71" fillId="0" borderId="368" xfId="11" applyFont="1" applyFill="1" applyBorder="1" applyAlignment="1">
      <alignment horizontal="center"/>
    </xf>
    <xf numFmtId="164" fontId="71" fillId="6" borderId="368" xfId="16" applyNumberFormat="1" applyFont="1" applyFill="1" applyBorder="1" applyAlignment="1">
      <alignment wrapText="1"/>
    </xf>
    <xf numFmtId="164" fontId="72" fillId="0" borderId="342" xfId="16" applyNumberFormat="1" applyFont="1" applyFill="1" applyBorder="1" applyAlignment="1">
      <alignment wrapText="1"/>
    </xf>
    <xf numFmtId="164" fontId="72" fillId="0" borderId="369" xfId="16" applyNumberFormat="1" applyFont="1" applyFill="1" applyBorder="1" applyAlignment="1">
      <alignment wrapText="1"/>
    </xf>
    <xf numFmtId="0" fontId="71" fillId="0" borderId="367" xfId="16" applyFont="1" applyBorder="1" applyAlignment="1">
      <alignment horizontal="center"/>
    </xf>
    <xf numFmtId="3" fontId="71" fillId="6" borderId="367" xfId="16" applyNumberFormat="1" applyFont="1" applyFill="1" applyBorder="1"/>
    <xf numFmtId="0" fontId="71" fillId="0" borderId="368" xfId="16" applyFont="1" applyBorder="1" applyAlignment="1">
      <alignment horizontal="center"/>
    </xf>
    <xf numFmtId="3" fontId="71" fillId="6" borderId="368" xfId="16" applyNumberFormat="1" applyFont="1" applyFill="1" applyBorder="1"/>
    <xf numFmtId="3" fontId="72" fillId="0" borderId="342" xfId="16" applyNumberFormat="1" applyFont="1" applyBorder="1"/>
    <xf numFmtId="3" fontId="72" fillId="0" borderId="371" xfId="16" applyNumberFormat="1" applyFont="1" applyBorder="1"/>
    <xf numFmtId="3" fontId="72" fillId="0" borderId="370" xfId="16" applyNumberFormat="1" applyFont="1" applyBorder="1"/>
    <xf numFmtId="164" fontId="72" fillId="0" borderId="342" xfId="39" applyNumberFormat="1" applyFont="1" applyFill="1" applyBorder="1" applyAlignment="1">
      <alignment wrapText="1"/>
    </xf>
    <xf numFmtId="0" fontId="71" fillId="0" borderId="263" xfId="16" applyFont="1" applyFill="1" applyBorder="1" applyAlignment="1">
      <alignment horizontal="left"/>
    </xf>
    <xf numFmtId="164" fontId="75" fillId="0" borderId="344" xfId="39" applyNumberFormat="1" applyFont="1" applyBorder="1"/>
    <xf numFmtId="171" fontId="75" fillId="0" borderId="344" xfId="1" applyNumberFormat="1" applyFont="1" applyFill="1" applyBorder="1"/>
    <xf numFmtId="171" fontId="75" fillId="0" borderId="344" xfId="1" applyNumberFormat="1" applyFont="1" applyBorder="1"/>
    <xf numFmtId="0" fontId="68" fillId="0" borderId="0" xfId="9" applyFont="1" applyAlignment="1">
      <alignment horizontal="left" vertical="top" wrapText="1"/>
    </xf>
    <xf numFmtId="171" fontId="56" fillId="0" borderId="372" xfId="1" applyNumberFormat="1" applyFont="1" applyFill="1" applyBorder="1" applyAlignment="1">
      <alignment horizontal="right"/>
    </xf>
    <xf numFmtId="3" fontId="56" fillId="0" borderId="350" xfId="0" applyNumberFormat="1" applyFont="1" applyFill="1" applyBorder="1" applyAlignment="1">
      <alignment horizontal="right" indent="1"/>
    </xf>
    <xf numFmtId="3" fontId="56" fillId="0" borderId="343" xfId="0" applyNumberFormat="1" applyFont="1" applyFill="1" applyBorder="1" applyAlignment="1">
      <alignment horizontal="right" indent="1"/>
    </xf>
    <xf numFmtId="3" fontId="56" fillId="0" borderId="344" xfId="0" quotePrefix="1" applyNumberFormat="1" applyFont="1" applyFill="1" applyBorder="1" applyAlignment="1">
      <alignment horizontal="right" indent="1"/>
    </xf>
    <xf numFmtId="171" fontId="56" fillId="0" borderId="347" xfId="1" applyNumberFormat="1" applyFont="1" applyFill="1" applyBorder="1"/>
    <xf numFmtId="171" fontId="56" fillId="0" borderId="347" xfId="1" applyNumberFormat="1" applyFont="1" applyFill="1" applyBorder="1" applyAlignment="1">
      <alignment horizontal="right"/>
    </xf>
    <xf numFmtId="3" fontId="56" fillId="11" borderId="182" xfId="0" applyNumberFormat="1" applyFont="1" applyFill="1" applyBorder="1" applyAlignment="1">
      <alignment horizontal="right" indent="1"/>
    </xf>
    <xf numFmtId="3" fontId="56" fillId="11" borderId="231" xfId="0" applyNumberFormat="1" applyFont="1" applyFill="1" applyBorder="1" applyAlignment="1">
      <alignment horizontal="right" indent="1"/>
    </xf>
    <xf numFmtId="3" fontId="56" fillId="11" borderId="235" xfId="0" quotePrefix="1" applyNumberFormat="1" applyFont="1" applyFill="1" applyBorder="1" applyAlignment="1">
      <alignment horizontal="right" indent="1"/>
    </xf>
    <xf numFmtId="171" fontId="56" fillId="11" borderId="181" xfId="1" applyNumberFormat="1" applyFont="1" applyFill="1" applyBorder="1"/>
    <xf numFmtId="171" fontId="56" fillId="0" borderId="350" xfId="1" applyNumberFormat="1" applyFont="1" applyFill="1" applyBorder="1"/>
    <xf numFmtId="171" fontId="56" fillId="0" borderId="343" xfId="1" applyNumberFormat="1" applyFont="1" applyFill="1" applyBorder="1"/>
    <xf numFmtId="171" fontId="56" fillId="0" borderId="344" xfId="1" applyNumberFormat="1" applyFont="1" applyFill="1" applyBorder="1"/>
    <xf numFmtId="0" fontId="54" fillId="0" borderId="373" xfId="15" applyFont="1" applyFill="1" applyBorder="1" applyAlignment="1">
      <alignment horizontal="center" wrapText="1"/>
    </xf>
    <xf numFmtId="171" fontId="75" fillId="0" borderId="347" xfId="1" applyNumberFormat="1" applyFont="1" applyFill="1" applyBorder="1"/>
    <xf numFmtId="171" fontId="75" fillId="0" borderId="374" xfId="1" applyNumberFormat="1" applyFont="1" applyFill="1" applyBorder="1"/>
    <xf numFmtId="3" fontId="63" fillId="0" borderId="183" xfId="9" applyNumberFormat="1" applyFont="1" applyBorder="1" applyAlignment="1">
      <alignment horizontal="right" indent="2"/>
    </xf>
    <xf numFmtId="3" fontId="75" fillId="0" borderId="183" xfId="0" applyNumberFormat="1" applyFont="1" applyBorder="1"/>
    <xf numFmtId="0" fontId="71" fillId="0" borderId="183" xfId="14" applyFont="1" applyFill="1" applyBorder="1" applyAlignment="1">
      <alignment horizontal="center" wrapText="1"/>
    </xf>
    <xf numFmtId="0" fontId="71" fillId="0" borderId="12" xfId="14" applyFont="1" applyFill="1" applyBorder="1" applyAlignment="1">
      <alignment horizontal="center" wrapText="1"/>
    </xf>
    <xf numFmtId="0" fontId="95" fillId="0" borderId="34" xfId="0" applyFont="1" applyBorder="1" applyAlignment="1">
      <alignment horizontal="left"/>
    </xf>
    <xf numFmtId="0" fontId="95" fillId="0" borderId="0" xfId="0" applyFont="1" applyBorder="1" applyAlignment="1">
      <alignment horizontal="left"/>
    </xf>
    <xf numFmtId="37" fontId="97" fillId="0" borderId="0" xfId="1" applyNumberFormat="1" applyFont="1" applyFill="1" applyAlignment="1">
      <alignment horizontal="center" vertical="center"/>
    </xf>
    <xf numFmtId="0" fontId="57" fillId="19" borderId="226" xfId="0" applyFont="1" applyFill="1" applyBorder="1" applyAlignment="1">
      <alignment horizontal="center"/>
    </xf>
    <xf numFmtId="0" fontId="54" fillId="0" borderId="0" xfId="0" applyFont="1" applyBorder="1" applyAlignment="1">
      <alignment horizontal="center"/>
    </xf>
    <xf numFmtId="0" fontId="54" fillId="0" borderId="372" xfId="0" applyFont="1" applyBorder="1" applyAlignment="1"/>
    <xf numFmtId="0" fontId="54" fillId="0" borderId="372" xfId="0" applyFont="1" applyBorder="1"/>
    <xf numFmtId="0" fontId="54" fillId="0" borderId="262" xfId="0" applyFont="1" applyBorder="1"/>
    <xf numFmtId="3" fontId="54" fillId="7" borderId="372" xfId="0" applyNumberFormat="1" applyFont="1" applyFill="1" applyBorder="1"/>
    <xf numFmtId="3" fontId="54" fillId="7" borderId="262" xfId="0" applyNumberFormat="1" applyFont="1" applyFill="1" applyBorder="1"/>
    <xf numFmtId="3" fontId="75" fillId="0" borderId="372" xfId="0" applyNumberFormat="1" applyFont="1" applyBorder="1"/>
    <xf numFmtId="3" fontId="75" fillId="0" borderId="262" xfId="0" applyNumberFormat="1" applyFont="1" applyBorder="1"/>
    <xf numFmtId="0" fontId="54" fillId="0" borderId="372" xfId="0" applyFont="1" applyBorder="1" applyAlignment="1">
      <alignment wrapText="1"/>
    </xf>
    <xf numFmtId="0" fontId="54" fillId="0" borderId="0" xfId="0" applyFont="1" applyBorder="1" applyAlignment="1">
      <alignment wrapText="1"/>
    </xf>
    <xf numFmtId="0" fontId="54" fillId="0" borderId="262" xfId="0" applyFont="1" applyBorder="1" applyAlignment="1">
      <alignment wrapText="1"/>
    </xf>
    <xf numFmtId="3" fontId="75" fillId="23" borderId="372" xfId="0" applyNumberFormat="1" applyFont="1" applyFill="1" applyBorder="1"/>
    <xf numFmtId="3" fontId="75" fillId="23" borderId="0" xfId="0" applyNumberFormat="1" applyFont="1" applyFill="1" applyBorder="1"/>
    <xf numFmtId="3" fontId="75" fillId="23" borderId="262" xfId="0" applyNumberFormat="1" applyFont="1" applyFill="1" applyBorder="1"/>
    <xf numFmtId="0" fontId="54" fillId="0" borderId="33" xfId="0" applyFont="1" applyBorder="1" applyAlignment="1">
      <alignment wrapText="1"/>
    </xf>
    <xf numFmtId="164" fontId="54" fillId="7" borderId="0" xfId="39" applyNumberFormat="1" applyFont="1" applyFill="1" applyBorder="1"/>
    <xf numFmtId="164" fontId="75" fillId="23" borderId="0" xfId="39" applyNumberFormat="1" applyFont="1" applyFill="1"/>
    <xf numFmtId="164" fontId="75" fillId="23" borderId="34" xfId="39" applyNumberFormat="1" applyFont="1" applyFill="1" applyBorder="1"/>
    <xf numFmtId="164" fontId="75" fillId="23" borderId="0" xfId="39" applyNumberFormat="1" applyFont="1" applyFill="1" applyBorder="1"/>
    <xf numFmtId="164" fontId="75" fillId="23" borderId="33" xfId="39" applyNumberFormat="1" applyFont="1" applyFill="1" applyBorder="1"/>
    <xf numFmtId="164" fontId="54" fillId="7" borderId="34" xfId="39" applyNumberFormat="1" applyFont="1" applyFill="1" applyBorder="1"/>
    <xf numFmtId="164" fontId="54" fillId="7" borderId="33" xfId="39" applyNumberFormat="1" applyFont="1" applyFill="1" applyBorder="1"/>
    <xf numFmtId="0" fontId="54" fillId="0" borderId="33" xfId="0" applyFont="1" applyBorder="1" applyAlignment="1">
      <alignment horizontal="center" wrapText="1"/>
    </xf>
    <xf numFmtId="0" fontId="54" fillId="0" borderId="34" xfId="0" applyFont="1" applyBorder="1" applyAlignment="1">
      <alignment horizontal="center" wrapText="1"/>
    </xf>
    <xf numFmtId="0" fontId="54" fillId="0" borderId="0" xfId="0" applyFont="1" applyBorder="1" applyAlignment="1">
      <alignment horizontal="center" wrapText="1"/>
    </xf>
    <xf numFmtId="165" fontId="129" fillId="0" borderId="0" xfId="0" applyNumberFormat="1" applyFont="1" applyAlignment="1"/>
    <xf numFmtId="165" fontId="130" fillId="0" borderId="0" xfId="0" applyNumberFormat="1" applyFont="1" applyAlignment="1"/>
    <xf numFmtId="0" fontId="131" fillId="0" borderId="0" xfId="0" applyFont="1"/>
    <xf numFmtId="0" fontId="132" fillId="0" borderId="0" xfId="0" applyFont="1" applyAlignment="1">
      <alignment vertical="top" wrapText="1"/>
    </xf>
    <xf numFmtId="171" fontId="56" fillId="0" borderId="354" xfId="1" applyNumberFormat="1" applyFont="1" applyBorder="1"/>
    <xf numFmtId="9" fontId="56" fillId="0" borderId="356" xfId="39" applyFont="1" applyBorder="1" applyAlignment="1">
      <alignment horizontal="right" indent="1"/>
    </xf>
    <xf numFmtId="9" fontId="56" fillId="0" borderId="364" xfId="39" applyFont="1" applyBorder="1" applyAlignment="1">
      <alignment horizontal="right" indent="1"/>
    </xf>
    <xf numFmtId="171" fontId="56" fillId="0" borderId="357" xfId="1" applyNumberFormat="1" applyFont="1" applyBorder="1"/>
    <xf numFmtId="9" fontId="56" fillId="0" borderId="359" xfId="39" applyFont="1" applyBorder="1" applyAlignment="1">
      <alignment horizontal="right" indent="1"/>
    </xf>
    <xf numFmtId="9" fontId="56" fillId="0" borderId="366" xfId="39" applyFont="1" applyBorder="1" applyAlignment="1">
      <alignment horizontal="right" indent="1"/>
    </xf>
    <xf numFmtId="37" fontId="97" fillId="0" borderId="0" xfId="1" applyNumberFormat="1" applyFont="1" applyFill="1" applyAlignment="1">
      <alignment vertical="center"/>
    </xf>
    <xf numFmtId="0" fontId="56" fillId="0" borderId="0" xfId="0" applyFont="1" applyFill="1"/>
    <xf numFmtId="171" fontId="134" fillId="0" borderId="350" xfId="1" applyNumberFormat="1" applyFont="1" applyFill="1" applyBorder="1" applyAlignment="1"/>
    <xf numFmtId="171" fontId="134" fillId="0" borderId="360" xfId="1" applyNumberFormat="1" applyFont="1" applyFill="1" applyBorder="1" applyAlignment="1"/>
    <xf numFmtId="9" fontId="134" fillId="0" borderId="344" xfId="39" applyFont="1" applyFill="1" applyBorder="1" applyAlignment="1">
      <alignment horizontal="right" indent="1"/>
    </xf>
    <xf numFmtId="9" fontId="134" fillId="0" borderId="26" xfId="39" applyFont="1" applyFill="1" applyBorder="1" applyAlignment="1">
      <alignment horizontal="right" indent="1"/>
    </xf>
    <xf numFmtId="9" fontId="134" fillId="0" borderId="262" xfId="39" applyFont="1" applyFill="1" applyBorder="1" applyAlignment="1">
      <alignment horizontal="right" indent="1"/>
    </xf>
    <xf numFmtId="9" fontId="134" fillId="0" borderId="35" xfId="39" applyFont="1" applyFill="1" applyBorder="1" applyAlignment="1">
      <alignment horizontal="right" indent="1"/>
    </xf>
    <xf numFmtId="9" fontId="134" fillId="0" borderId="347" xfId="39" applyFont="1" applyFill="1" applyBorder="1" applyAlignment="1">
      <alignment horizontal="right" indent="1"/>
    </xf>
    <xf numFmtId="9" fontId="134" fillId="0" borderId="376" xfId="39" applyFont="1" applyFill="1" applyBorder="1" applyAlignment="1">
      <alignment horizontal="right" indent="1"/>
    </xf>
    <xf numFmtId="9" fontId="56" fillId="0" borderId="30" xfId="39" applyFont="1" applyBorder="1" applyAlignment="1">
      <alignment horizontal="right" indent="1"/>
    </xf>
    <xf numFmtId="9" fontId="56" fillId="0" borderId="375" xfId="39" applyFont="1" applyBorder="1" applyAlignment="1">
      <alignment horizontal="right" indent="1"/>
    </xf>
    <xf numFmtId="9" fontId="56" fillId="0" borderId="373" xfId="39" applyFont="1" applyBorder="1" applyAlignment="1">
      <alignment horizontal="right" indent="1"/>
    </xf>
    <xf numFmtId="0" fontId="0" fillId="0" borderId="0" xfId="0" applyFont="1" applyFill="1"/>
    <xf numFmtId="0" fontId="75" fillId="0" borderId="12" xfId="0" applyFont="1" applyFill="1" applyBorder="1"/>
    <xf numFmtId="0" fontId="81" fillId="0" borderId="0" xfId="14" applyFont="1" applyAlignment="1">
      <alignment horizontal="left" vertical="top" wrapText="1"/>
    </xf>
    <xf numFmtId="0" fontId="30" fillId="0" borderId="0" xfId="14" applyFont="1" applyFill="1" applyBorder="1" applyAlignment="1">
      <alignment horizontal="left" wrapText="1"/>
    </xf>
    <xf numFmtId="171" fontId="54" fillId="6" borderId="351" xfId="1" applyNumberFormat="1" applyFont="1" applyFill="1" applyBorder="1"/>
    <xf numFmtId="0" fontId="57" fillId="19" borderId="366" xfId="0" applyFont="1" applyFill="1" applyBorder="1" applyAlignment="1">
      <alignment horizontal="center"/>
    </xf>
    <xf numFmtId="0" fontId="75" fillId="0" borderId="353" xfId="0" applyFont="1" applyFill="1" applyBorder="1"/>
    <xf numFmtId="0" fontId="71" fillId="0" borderId="365" xfId="14" applyFont="1" applyFill="1" applyBorder="1" applyAlignment="1">
      <alignment horizontal="center"/>
    </xf>
    <xf numFmtId="0" fontId="71" fillId="0" borderId="351" xfId="14" applyFont="1" applyFill="1" applyBorder="1" applyAlignment="1">
      <alignment horizontal="center"/>
    </xf>
    <xf numFmtId="0" fontId="137" fillId="0" borderId="35" xfId="14" applyFont="1" applyFill="1" applyBorder="1" applyAlignment="1">
      <alignment horizontal="center"/>
    </xf>
    <xf numFmtId="171" fontId="54" fillId="6" borderId="365" xfId="1" applyNumberFormat="1" applyFont="1" applyFill="1" applyBorder="1"/>
    <xf numFmtId="171" fontId="137" fillId="6" borderId="366" xfId="1" applyNumberFormat="1" applyFont="1" applyFill="1" applyBorder="1"/>
    <xf numFmtId="0" fontId="75" fillId="0" borderId="372" xfId="0" applyFont="1" applyBorder="1"/>
    <xf numFmtId="0" fontId="75" fillId="0" borderId="372" xfId="0" applyFont="1" applyFill="1" applyBorder="1"/>
    <xf numFmtId="0" fontId="138" fillId="0" borderId="262" xfId="0" applyFont="1" applyFill="1" applyBorder="1"/>
    <xf numFmtId="0" fontId="75" fillId="0" borderId="372" xfId="0" applyFont="1" applyBorder="1" applyAlignment="1">
      <alignment horizontal="right"/>
    </xf>
    <xf numFmtId="0" fontId="75" fillId="0" borderId="0" xfId="0" applyFont="1" applyBorder="1" applyAlignment="1">
      <alignment horizontal="right"/>
    </xf>
    <xf numFmtId="0" fontId="75" fillId="0" borderId="379" xfId="0" applyFont="1" applyFill="1" applyBorder="1"/>
    <xf numFmtId="0" fontId="75" fillId="0" borderId="378" xfId="0" applyFont="1" applyBorder="1"/>
    <xf numFmtId="0" fontId="71" fillId="0" borderId="379" xfId="14" applyFont="1" applyFill="1" applyBorder="1" applyAlignment="1">
      <alignment horizontal="center"/>
    </xf>
    <xf numFmtId="0" fontId="71" fillId="0" borderId="353" xfId="14" applyFont="1" applyFill="1" applyBorder="1" applyAlignment="1">
      <alignment horizontal="center"/>
    </xf>
    <xf numFmtId="0" fontId="137" fillId="0" borderId="262" xfId="14" applyFont="1" applyFill="1" applyBorder="1" applyAlignment="1">
      <alignment horizontal="center"/>
    </xf>
    <xf numFmtId="171" fontId="54" fillId="6" borderId="366" xfId="1" applyNumberFormat="1" applyFont="1" applyFill="1" applyBorder="1"/>
    <xf numFmtId="0" fontId="71" fillId="0" borderId="372" xfId="14" applyFont="1" applyFill="1" applyBorder="1" applyAlignment="1">
      <alignment horizontal="center"/>
    </xf>
    <xf numFmtId="0" fontId="137" fillId="0" borderId="378" xfId="14" applyFont="1" applyFill="1" applyBorder="1" applyAlignment="1">
      <alignment horizontal="center"/>
    </xf>
    <xf numFmtId="171" fontId="54" fillId="6" borderId="262" xfId="1" applyNumberFormat="1" applyFont="1" applyFill="1" applyBorder="1"/>
    <xf numFmtId="0" fontId="56" fillId="0" borderId="366" xfId="0" applyFont="1" applyBorder="1" applyAlignment="1">
      <alignment horizontal="right" indent="1"/>
    </xf>
    <xf numFmtId="0" fontId="57" fillId="19" borderId="357" xfId="0" applyFont="1" applyFill="1" applyBorder="1" applyAlignment="1">
      <alignment horizontal="center"/>
    </xf>
    <xf numFmtId="0" fontId="57" fillId="19" borderId="359" xfId="0" applyFont="1" applyFill="1" applyBorder="1" applyAlignment="1">
      <alignment horizontal="center"/>
    </xf>
    <xf numFmtId="3" fontId="56" fillId="0" borderId="357" xfId="0" applyNumberFormat="1" applyFont="1" applyFill="1" applyBorder="1" applyAlignment="1">
      <alignment horizontal="right" indent="1"/>
    </xf>
    <xf numFmtId="3" fontId="56" fillId="0" borderId="359" xfId="0" applyNumberFormat="1" applyFont="1" applyFill="1" applyBorder="1" applyAlignment="1">
      <alignment horizontal="right" indent="1"/>
    </xf>
    <xf numFmtId="0" fontId="30" fillId="0" borderId="0" xfId="15" applyFont="1" applyAlignment="1">
      <alignment horizontal="left" wrapText="1"/>
    </xf>
    <xf numFmtId="0" fontId="75" fillId="0" borderId="0" xfId="15" applyFont="1" applyAlignment="1">
      <alignment horizontal="left" wrapText="1"/>
    </xf>
    <xf numFmtId="171" fontId="75" fillId="6" borderId="351" xfId="1" applyNumberFormat="1" applyFont="1" applyFill="1" applyBorder="1"/>
    <xf numFmtId="49" fontId="83" fillId="0" borderId="0" xfId="19" applyNumberFormat="1" applyFont="1" applyBorder="1" applyAlignment="1">
      <alignment horizontal="center" wrapText="1"/>
    </xf>
    <xf numFmtId="49" fontId="83" fillId="0" borderId="0" xfId="19" applyNumberFormat="1" applyFont="1" applyBorder="1" applyAlignment="1">
      <alignment horizontal="center" wrapText="1"/>
    </xf>
    <xf numFmtId="0" fontId="30" fillId="0" borderId="0" xfId="0" applyFont="1" applyAlignment="1">
      <alignment horizontal="left" vertical="top" wrapText="1"/>
    </xf>
    <xf numFmtId="0" fontId="56" fillId="0" borderId="344" xfId="0" applyFont="1" applyBorder="1"/>
    <xf numFmtId="0" fontId="56" fillId="0" borderId="26" xfId="0" applyFont="1" applyBorder="1"/>
    <xf numFmtId="0" fontId="56" fillId="0" borderId="359" xfId="0" applyFont="1" applyBorder="1"/>
    <xf numFmtId="0" fontId="57" fillId="18" borderId="357" xfId="0" applyFont="1" applyFill="1" applyBorder="1" applyAlignment="1">
      <alignment horizontal="center"/>
    </xf>
    <xf numFmtId="0" fontId="57" fillId="18" borderId="359" xfId="0" applyFont="1" applyFill="1" applyBorder="1" applyAlignment="1">
      <alignment horizontal="center"/>
    </xf>
    <xf numFmtId="0" fontId="57" fillId="18" borderId="365" xfId="0" applyFont="1" applyFill="1" applyBorder="1" applyAlignment="1">
      <alignment horizontal="center"/>
    </xf>
    <xf numFmtId="3" fontId="56" fillId="0" borderId="365" xfId="0" applyNumberFormat="1" applyFont="1" applyFill="1" applyBorder="1" applyAlignment="1">
      <alignment horizontal="right" indent="1"/>
    </xf>
    <xf numFmtId="3" fontId="56" fillId="0" borderId="372" xfId="0" applyNumberFormat="1" applyFont="1" applyFill="1" applyBorder="1" applyAlignment="1">
      <alignment horizontal="right" indent="1"/>
    </xf>
    <xf numFmtId="0" fontId="57" fillId="18" borderId="351" xfId="0" applyFont="1" applyFill="1" applyBorder="1" applyAlignment="1">
      <alignment horizontal="center"/>
    </xf>
    <xf numFmtId="3" fontId="56" fillId="0" borderId="351" xfId="0" applyNumberFormat="1" applyFont="1" applyFill="1" applyBorder="1" applyAlignment="1">
      <alignment horizontal="right" indent="1"/>
    </xf>
    <xf numFmtId="3" fontId="56" fillId="0" borderId="355" xfId="0" applyNumberFormat="1" applyFont="1" applyFill="1" applyBorder="1" applyAlignment="1">
      <alignment horizontal="right" indent="1"/>
    </xf>
    <xf numFmtId="3" fontId="56" fillId="0" borderId="354" xfId="0" applyNumberFormat="1" applyFont="1" applyFill="1" applyBorder="1" applyAlignment="1">
      <alignment horizontal="right" indent="1"/>
    </xf>
    <xf numFmtId="0" fontId="56" fillId="0" borderId="377" xfId="0" applyFont="1" applyFill="1" applyBorder="1" applyAlignment="1">
      <alignment horizontal="left"/>
    </xf>
    <xf numFmtId="0" fontId="56" fillId="0" borderId="180" xfId="0" applyFont="1" applyFill="1" applyBorder="1" applyAlignment="1">
      <alignment horizontal="left"/>
    </xf>
    <xf numFmtId="0" fontId="56" fillId="0" borderId="372" xfId="0" applyFont="1" applyFill="1" applyBorder="1" applyAlignment="1">
      <alignment horizontal="left"/>
    </xf>
    <xf numFmtId="0" fontId="56" fillId="0" borderId="262" xfId="0" applyFont="1" applyFill="1" applyBorder="1" applyAlignment="1">
      <alignment horizontal="left"/>
    </xf>
    <xf numFmtId="3" fontId="83" fillId="23" borderId="351" xfId="19" applyNumberFormat="1" applyFont="1" applyFill="1" applyBorder="1" applyAlignment="1">
      <alignment vertical="top" wrapText="1"/>
    </xf>
    <xf numFmtId="49" fontId="83" fillId="0" borderId="372" xfId="19" applyNumberFormat="1" applyFont="1" applyBorder="1" applyAlignment="1">
      <alignment horizontal="center" wrapText="1"/>
    </xf>
    <xf numFmtId="49" fontId="83" fillId="0" borderId="262" xfId="19" applyNumberFormat="1" applyFont="1" applyBorder="1" applyAlignment="1">
      <alignment horizontal="center" wrapText="1"/>
    </xf>
    <xf numFmtId="3" fontId="69" fillId="8" borderId="365" xfId="19" applyNumberFormat="1" applyFont="1" applyFill="1" applyBorder="1" applyAlignment="1">
      <alignment vertical="top"/>
    </xf>
    <xf numFmtId="3" fontId="69" fillId="8" borderId="351" xfId="19" applyNumberFormat="1" applyFont="1" applyFill="1" applyBorder="1" applyAlignment="1">
      <alignment vertical="top"/>
    </xf>
    <xf numFmtId="3" fontId="69" fillId="8" borderId="366" xfId="19" applyNumberFormat="1" applyFont="1" applyFill="1" applyBorder="1" applyAlignment="1">
      <alignment vertical="top"/>
    </xf>
    <xf numFmtId="3" fontId="81" fillId="0" borderId="372" xfId="19" applyNumberFormat="1" applyFont="1" applyBorder="1" applyAlignment="1">
      <alignment vertical="top"/>
    </xf>
    <xf numFmtId="3" fontId="81" fillId="0" borderId="262" xfId="19" applyNumberFormat="1" applyFont="1" applyBorder="1" applyAlignment="1">
      <alignment vertical="top"/>
    </xf>
    <xf numFmtId="3" fontId="83" fillId="23" borderId="365" xfId="19" applyNumberFormat="1" applyFont="1" applyFill="1" applyBorder="1" applyAlignment="1">
      <alignment vertical="top" wrapText="1"/>
    </xf>
    <xf numFmtId="3" fontId="84" fillId="0" borderId="372" xfId="19" applyNumberFormat="1" applyFont="1" applyFill="1" applyBorder="1" applyAlignment="1">
      <alignment vertical="top" wrapText="1"/>
    </xf>
    <xf numFmtId="3" fontId="84" fillId="0" borderId="262" xfId="19" applyNumberFormat="1" applyFont="1" applyFill="1" applyBorder="1" applyAlignment="1">
      <alignment vertical="top" wrapText="1"/>
    </xf>
    <xf numFmtId="0" fontId="30" fillId="0" borderId="0" xfId="0" applyFont="1" applyAlignment="1">
      <alignment horizontal="left" vertical="top" wrapText="1"/>
    </xf>
    <xf numFmtId="49" fontId="83" fillId="0" borderId="372" xfId="19" applyNumberFormat="1" applyFont="1" applyBorder="1" applyAlignment="1">
      <alignment horizontal="center" wrapText="1"/>
    </xf>
    <xf numFmtId="49" fontId="83" fillId="0" borderId="0" xfId="19" applyNumberFormat="1" applyFont="1" applyBorder="1" applyAlignment="1">
      <alignment horizontal="center" wrapText="1"/>
    </xf>
    <xf numFmtId="49" fontId="83" fillId="0" borderId="262" xfId="19" applyNumberFormat="1" applyFont="1" applyBorder="1" applyAlignment="1">
      <alignment horizontal="center" wrapText="1"/>
    </xf>
    <xf numFmtId="3" fontId="83" fillId="23" borderId="366" xfId="19" applyNumberFormat="1" applyFont="1" applyFill="1" applyBorder="1" applyAlignment="1">
      <alignment vertical="top" wrapText="1"/>
    </xf>
    <xf numFmtId="3" fontId="56" fillId="0" borderId="380" xfId="0" applyNumberFormat="1" applyFont="1" applyFill="1" applyBorder="1" applyAlignment="1">
      <alignment horizontal="right" indent="1"/>
    </xf>
    <xf numFmtId="0" fontId="57" fillId="18" borderId="221" xfId="0" applyFont="1" applyFill="1" applyBorder="1" applyAlignment="1">
      <alignment horizontal="center"/>
    </xf>
    <xf numFmtId="3" fontId="56" fillId="0" borderId="261" xfId="0" applyNumberFormat="1" applyFont="1" applyFill="1" applyBorder="1" applyAlignment="1">
      <alignment horizontal="right" indent="1"/>
    </xf>
    <xf numFmtId="3" fontId="56" fillId="0" borderId="381" xfId="0" applyNumberFormat="1" applyFont="1" applyFill="1" applyBorder="1" applyAlignment="1">
      <alignment horizontal="right" indent="1"/>
    </xf>
    <xf numFmtId="3" fontId="56" fillId="0" borderId="237" xfId="0" applyNumberFormat="1" applyFont="1" applyFill="1" applyBorder="1" applyAlignment="1">
      <alignment horizontal="right" indent="1"/>
    </xf>
    <xf numFmtId="3" fontId="56" fillId="0" borderId="221" xfId="0" applyNumberFormat="1" applyFont="1" applyFill="1" applyBorder="1" applyAlignment="1">
      <alignment horizontal="right" indent="1"/>
    </xf>
    <xf numFmtId="0" fontId="57" fillId="18" borderId="373" xfId="0" applyFont="1" applyFill="1" applyBorder="1" applyAlignment="1">
      <alignment horizontal="center" wrapText="1"/>
    </xf>
    <xf numFmtId="3" fontId="56" fillId="0" borderId="376" xfId="0" applyNumberFormat="1" applyFont="1" applyFill="1" applyBorder="1" applyAlignment="1">
      <alignment horizontal="right" indent="1"/>
    </xf>
    <xf numFmtId="3" fontId="56" fillId="0" borderId="347" xfId="0" applyNumberFormat="1" applyFont="1" applyFill="1" applyBorder="1" applyAlignment="1">
      <alignment horizontal="right" indent="1"/>
    </xf>
    <xf numFmtId="3" fontId="56" fillId="0" borderId="373" xfId="0" applyNumberFormat="1" applyFont="1" applyFill="1" applyBorder="1" applyAlignment="1">
      <alignment horizontal="right" indent="1"/>
    </xf>
    <xf numFmtId="0" fontId="30" fillId="0" borderId="0" xfId="15" applyFont="1" applyAlignment="1">
      <alignment horizontal="left" wrapText="1"/>
    </xf>
    <xf numFmtId="49" fontId="83" fillId="0" borderId="372" xfId="19" applyNumberFormat="1" applyFont="1" applyBorder="1" applyAlignment="1">
      <alignment horizontal="center" wrapText="1"/>
    </xf>
    <xf numFmtId="49" fontId="83" fillId="0" borderId="0" xfId="19" applyNumberFormat="1" applyFont="1" applyBorder="1" applyAlignment="1">
      <alignment horizontal="center" wrapText="1"/>
    </xf>
    <xf numFmtId="49" fontId="83" fillId="0" borderId="262" xfId="19" applyNumberFormat="1" applyFont="1" applyBorder="1" applyAlignment="1">
      <alignment horizontal="center" wrapText="1"/>
    </xf>
    <xf numFmtId="3" fontId="69" fillId="8" borderId="373" xfId="19" applyNumberFormat="1" applyFont="1" applyFill="1" applyBorder="1" applyAlignment="1">
      <alignment vertical="top"/>
    </xf>
    <xf numFmtId="3" fontId="81" fillId="0" borderId="347" xfId="19" applyNumberFormat="1" applyFont="1" applyBorder="1" applyAlignment="1">
      <alignment vertical="top"/>
    </xf>
    <xf numFmtId="0" fontId="81" fillId="0" borderId="347" xfId="19" applyFont="1" applyBorder="1" applyAlignment="1">
      <alignment vertical="top"/>
    </xf>
    <xf numFmtId="171" fontId="84" fillId="0" borderId="0" xfId="1" applyNumberFormat="1" applyFont="1" applyFill="1" applyBorder="1" applyAlignment="1">
      <alignment vertical="top" wrapText="1"/>
    </xf>
    <xf numFmtId="171" fontId="83" fillId="23" borderId="351" xfId="1" applyNumberFormat="1" applyFont="1" applyFill="1" applyBorder="1" applyAlignment="1">
      <alignment vertical="top" wrapText="1"/>
    </xf>
    <xf numFmtId="171" fontId="69" fillId="8" borderId="373" xfId="1" applyNumberFormat="1" applyFont="1" applyFill="1" applyBorder="1" applyAlignment="1">
      <alignment vertical="top"/>
    </xf>
    <xf numFmtId="0" fontId="54" fillId="0" borderId="373" xfId="15" applyFont="1" applyBorder="1" applyAlignment="1">
      <alignment horizontal="center" wrapText="1"/>
    </xf>
    <xf numFmtId="3" fontId="75" fillId="0" borderId="347" xfId="15" applyNumberFormat="1" applyFont="1" applyBorder="1"/>
    <xf numFmtId="3" fontId="75" fillId="0" borderId="376" xfId="15" applyNumberFormat="1" applyFont="1" applyBorder="1"/>
    <xf numFmtId="3" fontId="75" fillId="0" borderId="347" xfId="15" applyNumberFormat="1" applyFont="1" applyFill="1" applyBorder="1"/>
    <xf numFmtId="0" fontId="30" fillId="0" borderId="0" xfId="15" applyFont="1" applyAlignment="1">
      <alignment horizontal="left" wrapText="1"/>
    </xf>
    <xf numFmtId="0" fontId="75" fillId="0" borderId="0" xfId="15" applyFont="1" applyAlignment="1">
      <alignment horizontal="left" wrapText="1"/>
    </xf>
    <xf numFmtId="0" fontId="30" fillId="0" borderId="0" xfId="0" applyFont="1" applyAlignment="1">
      <alignment horizontal="left" vertical="top" wrapText="1"/>
    </xf>
    <xf numFmtId="49" fontId="83" fillId="0" borderId="372" xfId="19" applyNumberFormat="1" applyFont="1" applyBorder="1" applyAlignment="1">
      <alignment horizontal="center" wrapText="1"/>
    </xf>
    <xf numFmtId="49" fontId="83" fillId="0" borderId="0" xfId="19" applyNumberFormat="1" applyFont="1" applyBorder="1" applyAlignment="1">
      <alignment horizontal="center" wrapText="1"/>
    </xf>
    <xf numFmtId="49" fontId="83" fillId="0" borderId="262" xfId="19" applyNumberFormat="1" applyFont="1" applyBorder="1" applyAlignment="1">
      <alignment horizontal="center" wrapText="1"/>
    </xf>
    <xf numFmtId="37" fontId="75" fillId="0" borderId="0" xfId="1" applyNumberFormat="1" applyFont="1"/>
    <xf numFmtId="49" fontId="83" fillId="0" borderId="372" xfId="19" applyNumberFormat="1" applyFont="1" applyBorder="1" applyAlignment="1">
      <alignment wrapText="1"/>
    </xf>
    <xf numFmtId="0" fontId="69" fillId="0" borderId="0" xfId="19" applyFont="1" applyAlignment="1">
      <alignment horizontal="center" vertical="top" wrapText="1"/>
    </xf>
    <xf numFmtId="0" fontId="75" fillId="0" borderId="347" xfId="15" applyFont="1" applyBorder="1"/>
    <xf numFmtId="0" fontId="75" fillId="0" borderId="347" xfId="15" applyFont="1" applyFill="1" applyBorder="1" applyAlignment="1">
      <alignment vertical="top"/>
    </xf>
    <xf numFmtId="0" fontId="30" fillId="0" borderId="0" xfId="15" applyFont="1" applyAlignment="1">
      <alignment horizontal="left" wrapText="1"/>
    </xf>
    <xf numFmtId="3" fontId="54" fillId="6" borderId="373" xfId="15" applyNumberFormat="1" applyFont="1" applyFill="1" applyBorder="1" applyAlignment="1">
      <alignment horizontal="right" vertical="top"/>
    </xf>
    <xf numFmtId="3" fontId="75" fillId="0" borderId="347" xfId="15" applyNumberFormat="1" applyFont="1" applyFill="1" applyBorder="1" applyAlignment="1">
      <alignment horizontal="right" vertical="top"/>
    </xf>
    <xf numFmtId="3" fontId="75" fillId="0" borderId="376" xfId="15" applyNumberFormat="1" applyFont="1" applyFill="1" applyBorder="1" applyAlignment="1">
      <alignment horizontal="right" vertical="top"/>
    </xf>
    <xf numFmtId="171" fontId="75" fillId="0" borderId="347" xfId="1" applyNumberFormat="1" applyFont="1" applyBorder="1"/>
    <xf numFmtId="171" fontId="75" fillId="0" borderId="376" xfId="1" applyNumberFormat="1" applyFont="1" applyBorder="1"/>
    <xf numFmtId="0" fontId="54" fillId="0" borderId="373" xfId="15" applyFont="1" applyBorder="1"/>
    <xf numFmtId="3" fontId="54" fillId="6" borderId="373" xfId="15" applyNumberFormat="1" applyFont="1" applyFill="1" applyBorder="1"/>
    <xf numFmtId="171" fontId="54" fillId="6" borderId="373" xfId="1" applyNumberFormat="1" applyFont="1" applyFill="1" applyBorder="1" applyAlignment="1">
      <alignment horizontal="center" wrapText="1"/>
    </xf>
    <xf numFmtId="3" fontId="75" fillId="0" borderId="376" xfId="15" applyNumberFormat="1" applyFont="1" applyFill="1" applyBorder="1"/>
    <xf numFmtId="171" fontId="75" fillId="0" borderId="376" xfId="1" applyNumberFormat="1" applyFont="1" applyFill="1" applyBorder="1"/>
    <xf numFmtId="3" fontId="54" fillId="11" borderId="373" xfId="15" applyNumberFormat="1" applyFont="1" applyFill="1" applyBorder="1" applyAlignment="1">
      <alignment horizontal="right" vertical="top"/>
    </xf>
    <xf numFmtId="0" fontId="30" fillId="0" borderId="0" xfId="15" applyFont="1" applyBorder="1" applyAlignment="1">
      <alignment horizontal="left" wrapText="1"/>
    </xf>
    <xf numFmtId="0" fontId="54" fillId="0" borderId="262" xfId="15" applyFont="1" applyBorder="1" applyAlignment="1">
      <alignment horizontal="center"/>
    </xf>
    <xf numFmtId="0" fontId="54" fillId="0" borderId="366" xfId="15" applyFont="1" applyFill="1" applyBorder="1" applyAlignment="1">
      <alignment horizontal="center" wrapText="1"/>
    </xf>
    <xf numFmtId="171" fontId="75" fillId="0" borderId="262" xfId="1" applyNumberFormat="1" applyFont="1" applyFill="1" applyBorder="1"/>
    <xf numFmtId="0" fontId="54" fillId="0" borderId="378" xfId="15" applyFont="1" applyFill="1" applyBorder="1" applyAlignment="1">
      <alignment horizontal="center" wrapText="1"/>
    </xf>
    <xf numFmtId="3" fontId="54" fillId="0" borderId="262" xfId="15" applyNumberFormat="1" applyFont="1" applyFill="1" applyBorder="1" applyAlignment="1">
      <alignment horizontal="right" vertical="top"/>
    </xf>
    <xf numFmtId="0" fontId="54" fillId="0" borderId="221" xfId="15" applyFont="1" applyFill="1" applyBorder="1" applyAlignment="1">
      <alignment horizontal="center" wrapText="1"/>
    </xf>
    <xf numFmtId="3" fontId="54" fillId="32" borderId="380" xfId="15" applyNumberFormat="1" applyFont="1" applyFill="1" applyBorder="1" applyAlignment="1">
      <alignment horizontal="right" vertical="top"/>
    </xf>
    <xf numFmtId="171" fontId="75" fillId="0" borderId="350" xfId="1" applyNumberFormat="1" applyFont="1" applyFill="1" applyBorder="1"/>
    <xf numFmtId="171" fontId="75" fillId="0" borderId="343" xfId="1" applyNumberFormat="1" applyFont="1" applyFill="1" applyBorder="1"/>
    <xf numFmtId="171" fontId="75" fillId="0" borderId="380" xfId="1" applyNumberFormat="1" applyFont="1" applyFill="1" applyBorder="1"/>
    <xf numFmtId="0" fontId="54" fillId="0" borderId="366" xfId="15" applyFont="1" applyBorder="1" applyAlignment="1">
      <alignment horizontal="center"/>
    </xf>
    <xf numFmtId="3" fontId="56" fillId="11" borderId="380" xfId="0" applyNumberFormat="1" applyFont="1" applyFill="1" applyBorder="1" applyAlignment="1">
      <alignment horizontal="right" indent="1"/>
    </xf>
    <xf numFmtId="1" fontId="56" fillId="0" borderId="214" xfId="1" applyNumberFormat="1" applyFont="1" applyBorder="1" applyAlignment="1">
      <alignment horizontal="right" indent="1"/>
    </xf>
    <xf numFmtId="1" fontId="56" fillId="11" borderId="33" xfId="1" applyNumberFormat="1" applyFont="1" applyFill="1" applyBorder="1" applyAlignment="1">
      <alignment horizontal="right" indent="1"/>
    </xf>
    <xf numFmtId="1" fontId="56" fillId="0" borderId="33" xfId="1" applyNumberFormat="1" applyFont="1" applyBorder="1" applyAlignment="1">
      <alignment horizontal="right" indent="1"/>
    </xf>
    <xf numFmtId="1" fontId="56" fillId="9" borderId="33" xfId="1" applyNumberFormat="1" applyFont="1" applyFill="1" applyBorder="1" applyAlignment="1">
      <alignment horizontal="right" indent="1"/>
    </xf>
    <xf numFmtId="1" fontId="56" fillId="0" borderId="262" xfId="1" applyNumberFormat="1" applyFont="1" applyFill="1" applyBorder="1" applyAlignment="1">
      <alignment horizontal="right" indent="1"/>
    </xf>
    <xf numFmtId="1" fontId="56" fillId="11" borderId="376" xfId="0" applyNumberFormat="1" applyFont="1" applyFill="1" applyBorder="1" applyAlignment="1">
      <alignment horizontal="right" indent="1"/>
    </xf>
    <xf numFmtId="0" fontId="56" fillId="9" borderId="178" xfId="0" applyFont="1" applyFill="1" applyBorder="1" applyAlignment="1">
      <alignment horizontal="left" indent="1"/>
    </xf>
    <xf numFmtId="0" fontId="56" fillId="9" borderId="0" xfId="0" applyFont="1" applyFill="1" applyBorder="1" applyAlignment="1">
      <alignment horizontal="left" indent="1"/>
    </xf>
    <xf numFmtId="0" fontId="56" fillId="9" borderId="204" xfId="0" applyFont="1" applyFill="1" applyBorder="1" applyAlignment="1">
      <alignment horizontal="left" indent="1"/>
    </xf>
    <xf numFmtId="0" fontId="56" fillId="9" borderId="33" xfId="0" applyFont="1" applyFill="1" applyBorder="1" applyAlignment="1">
      <alignment horizontal="left" indent="1"/>
    </xf>
    <xf numFmtId="0" fontId="80" fillId="0" borderId="0" xfId="0" applyFont="1" applyAlignment="1">
      <alignment horizontal="center" vertical="center" wrapText="1"/>
    </xf>
    <xf numFmtId="0" fontId="56" fillId="0" borderId="0" xfId="0" applyFont="1" applyAlignment="1">
      <alignment horizontal="center"/>
    </xf>
    <xf numFmtId="0" fontId="57" fillId="10" borderId="178" xfId="0" applyFont="1" applyFill="1" applyBorder="1" applyAlignment="1"/>
    <xf numFmtId="0" fontId="57" fillId="10" borderId="0" xfId="0" applyFont="1" applyFill="1" applyBorder="1" applyAlignment="1"/>
    <xf numFmtId="0" fontId="76" fillId="15" borderId="179" xfId="0" applyFont="1" applyFill="1" applyBorder="1" applyAlignment="1"/>
    <xf numFmtId="0" fontId="76" fillId="15" borderId="183" xfId="0" applyFont="1" applyFill="1" applyBorder="1" applyAlignment="1"/>
    <xf numFmtId="0" fontId="57" fillId="10" borderId="41" xfId="0" applyFont="1" applyFill="1" applyBorder="1" applyAlignment="1"/>
    <xf numFmtId="0" fontId="57" fillId="10" borderId="40" xfId="0" applyFont="1" applyFill="1" applyBorder="1" applyAlignment="1"/>
    <xf numFmtId="0" fontId="76" fillId="15" borderId="171" xfId="0" applyFont="1" applyFill="1" applyBorder="1" applyAlignment="1"/>
    <xf numFmtId="0" fontId="76" fillId="15" borderId="172" xfId="0" applyFont="1" applyFill="1" applyBorder="1" applyAlignment="1"/>
    <xf numFmtId="0" fontId="59" fillId="0" borderId="206" xfId="0" applyFont="1" applyBorder="1" applyAlignment="1">
      <alignment horizontal="left"/>
    </xf>
    <xf numFmtId="0" fontId="57" fillId="10" borderId="145" xfId="0" applyFont="1" applyFill="1" applyBorder="1" applyAlignment="1"/>
    <xf numFmtId="0" fontId="57" fillId="10" borderId="135" xfId="0" applyFont="1" applyFill="1" applyBorder="1" applyAlignment="1"/>
    <xf numFmtId="0" fontId="76" fillId="15" borderId="178" xfId="0" applyFont="1" applyFill="1" applyBorder="1" applyAlignment="1"/>
    <xf numFmtId="0" fontId="76" fillId="15" borderId="0" xfId="0" applyFont="1" applyFill="1" applyBorder="1" applyAlignment="1"/>
    <xf numFmtId="0" fontId="56" fillId="0" borderId="0" xfId="0" applyFont="1" applyAlignment="1">
      <alignment horizontal="left" wrapText="1"/>
    </xf>
    <xf numFmtId="0" fontId="57" fillId="0" borderId="0" xfId="0" applyFont="1" applyFill="1" applyBorder="1" applyAlignment="1">
      <alignment horizontal="center" vertical="center" wrapText="1"/>
    </xf>
    <xf numFmtId="164" fontId="56" fillId="0" borderId="0" xfId="39" applyNumberFormat="1" applyFont="1" applyFill="1" applyBorder="1" applyAlignment="1">
      <alignment horizontal="center"/>
    </xf>
    <xf numFmtId="0" fontId="98" fillId="28" borderId="41" xfId="0" applyFont="1" applyFill="1" applyBorder="1" applyAlignment="1">
      <alignment horizontal="left" vertical="center" wrapText="1"/>
    </xf>
    <xf numFmtId="0" fontId="98" fillId="28" borderId="40" xfId="0" applyFont="1" applyFill="1" applyBorder="1" applyAlignment="1">
      <alignment horizontal="left" vertical="center" wrapText="1"/>
    </xf>
    <xf numFmtId="0" fontId="98" fillId="28" borderId="146" xfId="0" applyFont="1" applyFill="1" applyBorder="1" applyAlignment="1">
      <alignment horizontal="left" vertical="center" wrapText="1"/>
    </xf>
    <xf numFmtId="0" fontId="98" fillId="28" borderId="36" xfId="0" applyFont="1" applyFill="1" applyBorder="1" applyAlignment="1">
      <alignment horizontal="left" vertical="center" wrapText="1"/>
    </xf>
    <xf numFmtId="0" fontId="98" fillId="28" borderId="12" xfId="0" applyFont="1" applyFill="1" applyBorder="1" applyAlignment="1">
      <alignment horizontal="left" vertical="center" wrapText="1"/>
    </xf>
    <xf numFmtId="0" fontId="98" fillId="28" borderId="147" xfId="0" applyFont="1" applyFill="1" applyBorder="1" applyAlignment="1">
      <alignment horizontal="left" vertical="center" wrapText="1"/>
    </xf>
    <xf numFmtId="0" fontId="59"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57" fillId="10" borderId="178" xfId="0" applyFont="1" applyFill="1" applyBorder="1" applyAlignment="1">
      <alignment horizontal="left"/>
    </xf>
    <xf numFmtId="0" fontId="57" fillId="10" borderId="0" xfId="0" applyFont="1" applyFill="1" applyBorder="1" applyAlignment="1">
      <alignment horizontal="left"/>
    </xf>
    <xf numFmtId="0" fontId="57" fillId="29" borderId="17" xfId="0" applyFont="1" applyFill="1" applyBorder="1" applyAlignment="1">
      <alignment horizontal="center" vertical="center"/>
    </xf>
    <xf numFmtId="0" fontId="57" fillId="29" borderId="139" xfId="0" applyFont="1" applyFill="1" applyBorder="1" applyAlignment="1">
      <alignment horizontal="center" vertical="center"/>
    </xf>
    <xf numFmtId="0" fontId="57" fillId="29" borderId="17" xfId="0" applyFont="1" applyFill="1" applyBorder="1" applyAlignment="1">
      <alignment horizontal="center" vertical="center" wrapText="1"/>
    </xf>
    <xf numFmtId="0" fontId="57" fillId="29" borderId="139" xfId="0" applyFont="1" applyFill="1" applyBorder="1" applyAlignment="1">
      <alignment horizontal="center" vertical="center" wrapText="1"/>
    </xf>
    <xf numFmtId="0" fontId="57" fillId="19" borderId="133" xfId="0" applyFont="1" applyFill="1" applyBorder="1" applyAlignment="1">
      <alignment horizontal="center" wrapText="1"/>
    </xf>
    <xf numFmtId="0" fontId="57" fillId="19" borderId="181" xfId="0" applyFont="1" applyFill="1" applyBorder="1" applyAlignment="1">
      <alignment horizontal="center" wrapText="1"/>
    </xf>
    <xf numFmtId="0" fontId="98" fillId="28" borderId="227" xfId="0" applyFont="1" applyFill="1" applyBorder="1" applyAlignment="1">
      <alignment horizontal="left" wrapText="1"/>
    </xf>
    <xf numFmtId="0" fontId="98" fillId="28" borderId="206" xfId="0" applyFont="1" applyFill="1" applyBorder="1" applyAlignment="1">
      <alignment horizontal="left" wrapText="1"/>
    </xf>
    <xf numFmtId="0" fontId="98" fillId="28" borderId="214" xfId="0" applyFont="1" applyFill="1" applyBorder="1" applyAlignment="1">
      <alignment horizontal="left" wrapText="1"/>
    </xf>
    <xf numFmtId="0" fontId="57" fillId="29" borderId="18" xfId="0" applyFont="1" applyFill="1" applyBorder="1" applyAlignment="1">
      <alignment horizontal="center" vertical="center"/>
    </xf>
    <xf numFmtId="0" fontId="57" fillId="29" borderId="141" xfId="0" applyFont="1" applyFill="1" applyBorder="1" applyAlignment="1">
      <alignment horizontal="center" vertical="center"/>
    </xf>
    <xf numFmtId="0" fontId="124" fillId="28" borderId="144" xfId="0" applyFont="1" applyFill="1" applyBorder="1" applyAlignment="1">
      <alignment horizontal="left" wrapText="1"/>
    </xf>
    <xf numFmtId="0" fontId="124" fillId="28" borderId="131" xfId="0" applyFont="1" applyFill="1" applyBorder="1" applyAlignment="1">
      <alignment horizontal="left" wrapText="1"/>
    </xf>
    <xf numFmtId="0" fontId="124" fillId="28" borderId="256" xfId="0" applyFont="1" applyFill="1" applyBorder="1" applyAlignment="1">
      <alignment horizontal="left" wrapText="1"/>
    </xf>
    <xf numFmtId="0" fontId="56" fillId="0" borderId="184" xfId="0" applyFont="1" applyFill="1" applyBorder="1" applyAlignment="1">
      <alignment horizontal="left"/>
    </xf>
    <xf numFmtId="0" fontId="56" fillId="0" borderId="185" xfId="0" applyFont="1" applyFill="1" applyBorder="1" applyAlignment="1">
      <alignment horizontal="left"/>
    </xf>
    <xf numFmtId="0" fontId="56" fillId="0" borderId="186" xfId="0" applyFont="1" applyFill="1" applyBorder="1" applyAlignment="1">
      <alignment horizontal="left"/>
    </xf>
    <xf numFmtId="0" fontId="57" fillId="29" borderId="16" xfId="0" applyFont="1" applyFill="1" applyBorder="1" applyAlignment="1">
      <alignment horizontal="center" vertical="center"/>
    </xf>
    <xf numFmtId="0" fontId="57" fillId="29" borderId="142" xfId="0" applyFont="1" applyFill="1" applyBorder="1" applyAlignment="1">
      <alignment horizontal="center" vertical="center"/>
    </xf>
    <xf numFmtId="0" fontId="56" fillId="0" borderId="204" xfId="0" quotePrefix="1" applyFont="1" applyFill="1" applyBorder="1" applyAlignment="1">
      <alignment horizontal="left"/>
    </xf>
    <xf numFmtId="0" fontId="56" fillId="0" borderId="33" xfId="0" quotePrefix="1" applyFont="1" applyFill="1" applyBorder="1" applyAlignment="1">
      <alignment horizontal="left"/>
    </xf>
    <xf numFmtId="0" fontId="56" fillId="11" borderId="204" xfId="0" quotePrefix="1" applyFont="1" applyFill="1" applyBorder="1" applyAlignment="1">
      <alignment horizontal="left"/>
    </xf>
    <xf numFmtId="0" fontId="56" fillId="11" borderId="33" xfId="0" quotePrefix="1" applyFont="1" applyFill="1" applyBorder="1" applyAlignment="1">
      <alignment horizontal="left"/>
    </xf>
    <xf numFmtId="0" fontId="56" fillId="0" borderId="204" xfId="0" quotePrefix="1" applyFont="1" applyBorder="1" applyAlignment="1">
      <alignment horizontal="left"/>
    </xf>
    <xf numFmtId="0" fontId="56" fillId="0" borderId="33" xfId="0" quotePrefix="1" applyFont="1" applyBorder="1" applyAlignment="1">
      <alignment horizontal="left"/>
    </xf>
    <xf numFmtId="0" fontId="56" fillId="0" borderId="372" xfId="0" quotePrefix="1" applyFont="1" applyFill="1" applyBorder="1" applyAlignment="1">
      <alignment horizontal="left"/>
    </xf>
    <xf numFmtId="0" fontId="56" fillId="0" borderId="262" xfId="0" quotePrefix="1" applyFont="1" applyFill="1" applyBorder="1" applyAlignment="1">
      <alignment horizontal="left"/>
    </xf>
    <xf numFmtId="0" fontId="93" fillId="25" borderId="132" xfId="0" applyFont="1" applyFill="1" applyBorder="1" applyAlignment="1">
      <alignment horizontal="left" vertical="center" wrapText="1"/>
    </xf>
    <xf numFmtId="0" fontId="93" fillId="25" borderId="115" xfId="0" applyFont="1" applyFill="1" applyBorder="1" applyAlignment="1">
      <alignment horizontal="left" vertical="center" wrapText="1"/>
    </xf>
    <xf numFmtId="0" fontId="57" fillId="18" borderId="365" xfId="0" applyFont="1" applyFill="1" applyBorder="1" applyAlignment="1">
      <alignment horizontal="center"/>
    </xf>
    <xf numFmtId="0" fontId="57" fillId="18" borderId="351" xfId="0" applyFont="1" applyFill="1" applyBorder="1" applyAlignment="1">
      <alignment horizontal="center"/>
    </xf>
    <xf numFmtId="0" fontId="57" fillId="18" borderId="366" xfId="0" applyFont="1" applyFill="1" applyBorder="1" applyAlignment="1">
      <alignment horizontal="center"/>
    </xf>
    <xf numFmtId="0" fontId="56" fillId="0" borderId="0" xfId="0" applyFont="1" applyBorder="1" applyAlignment="1">
      <alignment horizontal="center"/>
    </xf>
    <xf numFmtId="0" fontId="56" fillId="10" borderId="13" xfId="0" applyFont="1" applyFill="1" applyBorder="1" applyAlignment="1">
      <alignment horizontal="left"/>
    </xf>
    <xf numFmtId="0" fontId="56" fillId="10" borderId="14" xfId="0" applyFont="1" applyFill="1" applyBorder="1" applyAlignment="1">
      <alignment horizontal="left"/>
    </xf>
    <xf numFmtId="0" fontId="56" fillId="10" borderId="136" xfId="0" applyFont="1" applyFill="1" applyBorder="1" applyAlignment="1">
      <alignment horizontal="left"/>
    </xf>
    <xf numFmtId="0" fontId="56" fillId="28" borderId="137" xfId="0" applyFont="1" applyFill="1" applyBorder="1" applyAlignment="1">
      <alignment horizontal="center"/>
    </xf>
    <xf numFmtId="0" fontId="56" fillId="28" borderId="138" xfId="0" applyFont="1" applyFill="1" applyBorder="1" applyAlignment="1">
      <alignment horizontal="center"/>
    </xf>
    <xf numFmtId="0" fontId="57" fillId="0" borderId="34" xfId="0" applyFont="1" applyFill="1" applyBorder="1" applyAlignment="1">
      <alignment horizontal="center" vertical="center" wrapText="1"/>
    </xf>
    <xf numFmtId="0" fontId="57" fillId="10" borderId="148" xfId="0" applyFont="1" applyFill="1" applyBorder="1" applyAlignment="1">
      <alignment horizontal="center" vertical="center" wrapText="1"/>
    </xf>
    <xf numFmtId="0" fontId="57" fillId="10" borderId="149" xfId="0" applyFont="1" applyFill="1" applyBorder="1" applyAlignment="1">
      <alignment horizontal="center" vertical="center" wrapText="1"/>
    </xf>
    <xf numFmtId="0" fontId="57" fillId="10" borderId="150" xfId="0" applyFont="1" applyFill="1" applyBorder="1" applyAlignment="1">
      <alignment horizontal="center" vertical="center" wrapText="1"/>
    </xf>
    <xf numFmtId="0" fontId="57" fillId="10" borderId="151" xfId="0" applyFont="1" applyFill="1" applyBorder="1" applyAlignment="1">
      <alignment horizontal="center" vertical="center" wrapText="1"/>
    </xf>
    <xf numFmtId="0" fontId="57" fillId="10" borderId="152" xfId="0" applyFont="1" applyFill="1" applyBorder="1" applyAlignment="1">
      <alignment horizontal="center" vertical="center" wrapText="1"/>
    </xf>
    <xf numFmtId="0" fontId="57" fillId="10" borderId="153" xfId="0" applyFont="1" applyFill="1" applyBorder="1" applyAlignment="1">
      <alignment horizontal="center" vertical="center" wrapText="1"/>
    </xf>
    <xf numFmtId="0" fontId="57" fillId="10" borderId="154" xfId="0" applyFont="1" applyFill="1" applyBorder="1" applyAlignment="1">
      <alignment horizontal="center" wrapText="1"/>
    </xf>
    <xf numFmtId="0" fontId="57" fillId="10" borderId="155" xfId="0" applyFont="1" applyFill="1" applyBorder="1" applyAlignment="1">
      <alignment horizontal="center" wrapText="1"/>
    </xf>
    <xf numFmtId="0" fontId="56" fillId="0" borderId="0" xfId="0" applyNumberFormat="1" applyFont="1" applyAlignment="1">
      <alignment horizontal="left" wrapText="1"/>
    </xf>
    <xf numFmtId="49" fontId="56" fillId="0" borderId="0" xfId="0" applyNumberFormat="1" applyFont="1" applyAlignment="1">
      <alignment horizontal="left" wrapText="1"/>
    </xf>
    <xf numFmtId="0" fontId="59" fillId="0" borderId="0" xfId="0" applyFont="1" applyFill="1" applyAlignment="1">
      <alignment horizontal="left" vertical="top" wrapText="1"/>
    </xf>
    <xf numFmtId="0" fontId="57" fillId="17" borderId="112" xfId="0" applyFont="1" applyFill="1" applyBorder="1" applyAlignment="1">
      <alignment horizontal="center" vertical="center" wrapText="1"/>
    </xf>
    <xf numFmtId="0" fontId="57" fillId="17" borderId="123" xfId="0" applyFont="1" applyFill="1" applyBorder="1" applyAlignment="1">
      <alignment horizontal="center" vertical="center" wrapText="1"/>
    </xf>
    <xf numFmtId="0" fontId="57" fillId="17" borderId="22" xfId="0" applyFont="1" applyFill="1" applyBorder="1" applyAlignment="1">
      <alignment horizontal="center" vertical="center" wrapText="1"/>
    </xf>
    <xf numFmtId="0" fontId="57" fillId="17" borderId="23" xfId="0" applyFont="1" applyFill="1" applyBorder="1" applyAlignment="1">
      <alignment horizontal="center" vertical="center" wrapText="1"/>
    </xf>
    <xf numFmtId="0" fontId="57" fillId="17" borderId="112" xfId="0" applyFont="1" applyFill="1" applyBorder="1" applyAlignment="1">
      <alignment horizontal="center" vertical="center"/>
    </xf>
    <xf numFmtId="0" fontId="57" fillId="17" borderId="123" xfId="0" applyFont="1" applyFill="1" applyBorder="1" applyAlignment="1">
      <alignment horizontal="center" vertical="center"/>
    </xf>
    <xf numFmtId="0" fontId="57" fillId="17" borderId="22" xfId="0" applyFont="1" applyFill="1" applyBorder="1" applyAlignment="1">
      <alignment horizontal="center" vertical="center"/>
    </xf>
    <xf numFmtId="0" fontId="57" fillId="17" borderId="23" xfId="0" applyFont="1" applyFill="1" applyBorder="1" applyAlignment="1">
      <alignment horizontal="center" vertical="center"/>
    </xf>
    <xf numFmtId="0" fontId="57" fillId="17" borderId="29" xfId="0" applyFont="1" applyFill="1" applyBorder="1" applyAlignment="1">
      <alignment horizontal="center" vertical="center" wrapText="1"/>
    </xf>
    <xf numFmtId="0" fontId="57" fillId="17" borderId="117" xfId="0" applyFont="1" applyFill="1" applyBorder="1" applyAlignment="1">
      <alignment horizontal="center" vertical="center" wrapText="1"/>
    </xf>
    <xf numFmtId="0" fontId="93" fillId="25" borderId="41" xfId="0" applyFont="1" applyFill="1" applyBorder="1" applyAlignment="1">
      <alignment horizontal="left" vertical="center" wrapText="1"/>
    </xf>
    <xf numFmtId="0" fontId="93" fillId="25" borderId="34" xfId="0" applyFont="1" applyFill="1" applyBorder="1" applyAlignment="1">
      <alignment horizontal="left" vertical="center" wrapText="1"/>
    </xf>
    <xf numFmtId="0" fontId="110" fillId="6" borderId="0" xfId="0" applyFont="1" applyFill="1" applyAlignment="1">
      <alignment horizontal="center" vertical="top" wrapText="1"/>
    </xf>
    <xf numFmtId="0" fontId="59" fillId="0" borderId="40" xfId="0" applyFont="1" applyBorder="1" applyAlignment="1">
      <alignment horizontal="center" vertical="top" wrapText="1"/>
    </xf>
    <xf numFmtId="0" fontId="106" fillId="31" borderId="156" xfId="0" applyFont="1" applyFill="1" applyBorder="1" applyAlignment="1">
      <alignment horizontal="center" vertical="center" wrapText="1"/>
    </xf>
    <xf numFmtId="0" fontId="109" fillId="31" borderId="28" xfId="0" applyFont="1" applyFill="1" applyBorder="1" applyAlignment="1">
      <alignment horizontal="center" vertical="top" wrapText="1"/>
    </xf>
    <xf numFmtId="0" fontId="109" fillId="31" borderId="159" xfId="0" applyFont="1" applyFill="1" applyBorder="1" applyAlignment="1">
      <alignment horizontal="center" vertical="top"/>
    </xf>
    <xf numFmtId="0" fontId="109" fillId="31" borderId="157" xfId="0" applyFont="1" applyFill="1" applyBorder="1" applyAlignment="1">
      <alignment horizontal="center" vertical="top"/>
    </xf>
    <xf numFmtId="0" fontId="109" fillId="31" borderId="15" xfId="0" applyFont="1" applyFill="1" applyBorder="1" applyAlignment="1">
      <alignment horizontal="center" vertical="top"/>
    </xf>
    <xf numFmtId="0" fontId="67" fillId="0" borderId="12" xfId="0" applyFont="1" applyBorder="1" applyAlignment="1">
      <alignment horizontal="center"/>
    </xf>
    <xf numFmtId="0" fontId="64" fillId="14" borderId="159" xfId="0" applyFont="1" applyFill="1" applyBorder="1" applyAlignment="1" applyProtection="1">
      <alignment horizontal="center" vertical="center"/>
      <protection locked="0"/>
    </xf>
    <xf numFmtId="0" fontId="64" fillId="14" borderId="157" xfId="0" applyFont="1" applyFill="1" applyBorder="1" applyAlignment="1" applyProtection="1">
      <alignment horizontal="center" vertical="center"/>
      <protection locked="0"/>
    </xf>
    <xf numFmtId="0" fontId="64" fillId="14" borderId="15" xfId="0" applyFont="1" applyFill="1" applyBorder="1" applyAlignment="1" applyProtection="1">
      <alignment horizontal="center" vertical="center"/>
      <protection locked="0"/>
    </xf>
    <xf numFmtId="0" fontId="57" fillId="0" borderId="0" xfId="0" applyFont="1" applyAlignment="1">
      <alignment horizontal="right"/>
    </xf>
    <xf numFmtId="0" fontId="56" fillId="14" borderId="0" xfId="0" applyFont="1" applyFill="1" applyAlignment="1">
      <alignment horizontal="left"/>
    </xf>
    <xf numFmtId="0" fontId="64" fillId="0" borderId="0" xfId="0" applyFont="1" applyAlignment="1">
      <alignment horizontal="right"/>
    </xf>
    <xf numFmtId="0" fontId="67" fillId="16" borderId="40" xfId="0" applyFont="1" applyFill="1" applyBorder="1" applyAlignment="1">
      <alignment horizontal="center" vertical="center" wrapText="1"/>
    </xf>
    <xf numFmtId="0" fontId="67" fillId="16" borderId="0" xfId="0" applyFont="1" applyFill="1" applyBorder="1" applyAlignment="1">
      <alignment horizontal="center" vertical="center" wrapText="1"/>
    </xf>
    <xf numFmtId="0" fontId="67" fillId="16" borderId="99" xfId="0" applyFont="1" applyFill="1" applyBorder="1" applyAlignment="1">
      <alignment horizontal="center" vertical="center" wrapText="1"/>
    </xf>
    <xf numFmtId="0" fontId="67" fillId="16" borderId="100" xfId="0" applyFont="1" applyFill="1" applyBorder="1" applyAlignment="1">
      <alignment horizontal="center" vertical="center" wrapText="1"/>
    </xf>
    <xf numFmtId="9" fontId="96" fillId="0" borderId="0" xfId="39" applyFont="1" applyAlignment="1">
      <alignment horizontal="center" vertical="center"/>
    </xf>
    <xf numFmtId="0" fontId="57" fillId="0" borderId="0" xfId="0" applyFont="1" applyAlignment="1">
      <alignment horizontal="center"/>
    </xf>
    <xf numFmtId="0" fontId="95" fillId="0" borderId="34" xfId="0" applyFont="1" applyBorder="1" applyAlignment="1">
      <alignment horizontal="left"/>
    </xf>
    <xf numFmtId="0" fontId="95" fillId="0" borderId="0" xfId="0" applyFont="1" applyBorder="1" applyAlignment="1">
      <alignment horizontal="left"/>
    </xf>
    <xf numFmtId="0" fontId="95" fillId="0" borderId="363" xfId="0" applyFont="1" applyBorder="1" applyAlignment="1">
      <alignment horizontal="left"/>
    </xf>
    <xf numFmtId="0" fontId="95" fillId="0" borderId="352" xfId="0" applyFont="1" applyBorder="1" applyAlignment="1">
      <alignment horizontal="left"/>
    </xf>
    <xf numFmtId="171" fontId="97" fillId="0" borderId="0" xfId="1" applyNumberFormat="1" applyFont="1" applyAlignment="1">
      <alignment horizontal="center" vertical="center"/>
    </xf>
    <xf numFmtId="0" fontId="98" fillId="27" borderId="41" xfId="0" applyFont="1" applyFill="1" applyBorder="1" applyAlignment="1">
      <alignment horizontal="left" vertical="center"/>
    </xf>
    <xf numFmtId="0" fontId="98" fillId="27" borderId="40" xfId="0" applyFont="1" applyFill="1" applyBorder="1" applyAlignment="1">
      <alignment horizontal="left" vertical="center"/>
    </xf>
    <xf numFmtId="0" fontId="98" fillId="27" borderId="34" xfId="0" applyFont="1" applyFill="1" applyBorder="1" applyAlignment="1">
      <alignment horizontal="left" vertical="center"/>
    </xf>
    <xf numFmtId="0" fontId="98" fillId="27" borderId="0" xfId="0" applyFont="1" applyFill="1" applyBorder="1" applyAlignment="1">
      <alignment horizontal="left" vertical="center"/>
    </xf>
    <xf numFmtId="0" fontId="98" fillId="27" borderId="36" xfId="0" applyFont="1" applyFill="1" applyBorder="1" applyAlignment="1">
      <alignment horizontal="left" vertical="center"/>
    </xf>
    <xf numFmtId="0" fontId="98" fillId="27" borderId="12" xfId="0" applyFont="1" applyFill="1" applyBorder="1" applyAlignment="1">
      <alignment horizontal="left" vertical="center"/>
    </xf>
    <xf numFmtId="0" fontId="64" fillId="6" borderId="29" xfId="0" applyFont="1" applyFill="1" applyBorder="1" applyAlignment="1">
      <alignment horizontal="center" vertical="center"/>
    </xf>
    <xf numFmtId="0" fontId="64" fillId="6" borderId="31" xfId="0" applyFont="1" applyFill="1" applyBorder="1" applyAlignment="1">
      <alignment horizontal="center" vertical="center"/>
    </xf>
    <xf numFmtId="0" fontId="57" fillId="6" borderId="41" xfId="0" applyFont="1" applyFill="1" applyBorder="1" applyAlignment="1">
      <alignment horizontal="center" vertical="center" wrapText="1"/>
    </xf>
    <xf numFmtId="0" fontId="57" fillId="6" borderId="68" xfId="0" applyFont="1" applyFill="1" applyBorder="1" applyAlignment="1">
      <alignment horizontal="center" vertical="center" wrapText="1"/>
    </xf>
    <xf numFmtId="0" fontId="57" fillId="6" borderId="36" xfId="0" applyFont="1" applyFill="1" applyBorder="1" applyAlignment="1">
      <alignment horizontal="center" vertical="center" wrapText="1"/>
    </xf>
    <xf numFmtId="0" fontId="57" fillId="6" borderId="35" xfId="0" applyFont="1" applyFill="1" applyBorder="1" applyAlignment="1">
      <alignment horizontal="center" vertical="center" wrapText="1"/>
    </xf>
    <xf numFmtId="0" fontId="95" fillId="0" borderId="365" xfId="0" applyFont="1" applyBorder="1" applyAlignment="1">
      <alignment horizontal="left"/>
    </xf>
    <xf numFmtId="0" fontId="95" fillId="0" borderId="351" xfId="0" applyFont="1" applyBorder="1" applyAlignment="1">
      <alignment horizontal="left"/>
    </xf>
    <xf numFmtId="0" fontId="120" fillId="9" borderId="0" xfId="0" applyFont="1" applyFill="1" applyAlignment="1">
      <alignment horizontal="left" vertical="top" wrapText="1"/>
    </xf>
    <xf numFmtId="0" fontId="135" fillId="0" borderId="372" xfId="0" applyFont="1" applyFill="1" applyBorder="1" applyAlignment="1">
      <alignment horizontal="left"/>
    </xf>
    <xf numFmtId="0" fontId="135" fillId="0" borderId="262" xfId="0" applyFont="1" applyFill="1" applyBorder="1" applyAlignment="1">
      <alignment horizontal="left"/>
    </xf>
    <xf numFmtId="0" fontId="135" fillId="0" borderId="377" xfId="0" applyFont="1" applyFill="1" applyBorder="1" applyAlignment="1">
      <alignment horizontal="left"/>
    </xf>
    <xf numFmtId="0" fontId="135" fillId="0" borderId="35" xfId="0" applyFont="1" applyFill="1" applyBorder="1" applyAlignment="1">
      <alignment horizontal="left"/>
    </xf>
    <xf numFmtId="0" fontId="67" fillId="16" borderId="101" xfId="0" applyFont="1" applyFill="1" applyBorder="1" applyAlignment="1">
      <alignment horizontal="center" vertical="center" wrapText="1"/>
    </xf>
    <xf numFmtId="0" fontId="57" fillId="19" borderId="365" xfId="0" applyFont="1" applyFill="1" applyBorder="1" applyAlignment="1">
      <alignment horizontal="center"/>
    </xf>
    <xf numFmtId="0" fontId="57" fillId="19" borderId="366" xfId="0" applyFont="1" applyFill="1" applyBorder="1" applyAlignment="1">
      <alignment horizontal="center"/>
    </xf>
    <xf numFmtId="0" fontId="99" fillId="19" borderId="354" xfId="0" applyFont="1" applyFill="1" applyBorder="1" applyAlignment="1">
      <alignment horizontal="center" vertical="center" wrapText="1"/>
    </xf>
    <xf numFmtId="0" fontId="99" fillId="19" borderId="182" xfId="0" applyFont="1" applyFill="1" applyBorder="1" applyAlignment="1">
      <alignment horizontal="center" vertical="center" wrapText="1"/>
    </xf>
    <xf numFmtId="0" fontId="57" fillId="18" borderId="229" xfId="0" applyFont="1" applyFill="1" applyBorder="1" applyAlignment="1">
      <alignment horizontal="center" vertical="center"/>
    </xf>
    <xf numFmtId="0" fontId="57" fillId="18" borderId="205" xfId="0" applyFont="1" applyFill="1" applyBorder="1" applyAlignment="1">
      <alignment horizontal="center" vertical="center"/>
    </xf>
    <xf numFmtId="0" fontId="57" fillId="18" borderId="181" xfId="0" applyFont="1" applyFill="1" applyBorder="1" applyAlignment="1">
      <alignment horizontal="center" vertical="center"/>
    </xf>
    <xf numFmtId="0" fontId="108" fillId="0" borderId="0" xfId="0" applyFont="1" applyBorder="1" applyAlignment="1">
      <alignment horizontal="left" vertical="top" wrapText="1"/>
    </xf>
    <xf numFmtId="0" fontId="109" fillId="27" borderId="41" xfId="0" applyFont="1" applyFill="1" applyBorder="1" applyAlignment="1">
      <alignment horizontal="center" vertical="center" wrapText="1"/>
    </xf>
    <xf numFmtId="0" fontId="109" fillId="27" borderId="34" xfId="0" applyFont="1" applyFill="1" applyBorder="1" applyAlignment="1">
      <alignment horizontal="center" vertical="center" wrapText="1"/>
    </xf>
    <xf numFmtId="0" fontId="109" fillId="27" borderId="144" xfId="0" applyFont="1" applyFill="1" applyBorder="1" applyAlignment="1">
      <alignment horizontal="center" vertical="center" wrapText="1"/>
    </xf>
    <xf numFmtId="0" fontId="57" fillId="19" borderId="355" xfId="0" applyFont="1" applyFill="1" applyBorder="1" applyAlignment="1">
      <alignment horizontal="center" vertical="center"/>
    </xf>
    <xf numFmtId="0" fontId="57" fillId="19" borderId="231" xfId="0" applyFont="1" applyFill="1" applyBorder="1" applyAlignment="1">
      <alignment horizontal="center" vertical="center"/>
    </xf>
    <xf numFmtId="0" fontId="57" fillId="19" borderId="224" xfId="0" applyFont="1" applyFill="1" applyBorder="1" applyAlignment="1">
      <alignment horizontal="center" wrapText="1"/>
    </xf>
    <xf numFmtId="0" fontId="57" fillId="19" borderId="228" xfId="0" applyFont="1" applyFill="1" applyBorder="1" applyAlignment="1">
      <alignment horizontal="center" wrapText="1"/>
    </xf>
    <xf numFmtId="0" fontId="57" fillId="19" borderId="222" xfId="0" applyFont="1" applyFill="1" applyBorder="1" applyAlignment="1">
      <alignment horizontal="center" wrapText="1"/>
    </xf>
    <xf numFmtId="0" fontId="57" fillId="19" borderId="224" xfId="0" applyFont="1" applyFill="1" applyBorder="1" applyAlignment="1">
      <alignment horizontal="center"/>
    </xf>
    <xf numFmtId="0" fontId="57" fillId="19" borderId="228" xfId="0" applyFont="1" applyFill="1" applyBorder="1" applyAlignment="1">
      <alignment horizontal="center"/>
    </xf>
    <xf numFmtId="37" fontId="102" fillId="0" borderId="0" xfId="39" applyNumberFormat="1" applyFont="1" applyAlignment="1">
      <alignment horizontal="center" vertical="center"/>
    </xf>
    <xf numFmtId="0" fontId="105" fillId="26" borderId="365" xfId="0" applyFont="1" applyFill="1" applyBorder="1" applyAlignment="1">
      <alignment horizontal="left" vertical="center" wrapText="1"/>
    </xf>
    <xf numFmtId="0" fontId="105" fillId="26" borderId="366" xfId="0" applyFont="1" applyFill="1" applyBorder="1" applyAlignment="1">
      <alignment horizontal="left" vertical="center" wrapText="1"/>
    </xf>
    <xf numFmtId="9" fontId="103" fillId="30" borderId="0" xfId="39" applyFont="1" applyFill="1" applyAlignment="1">
      <alignment horizontal="center" vertical="center" wrapText="1"/>
    </xf>
    <xf numFmtId="0" fontId="57" fillId="19" borderId="356" xfId="0" applyFont="1" applyFill="1" applyBorder="1" applyAlignment="1">
      <alignment horizontal="center" vertical="center"/>
    </xf>
    <xf numFmtId="0" fontId="57" fillId="19" borderId="380" xfId="0" applyFont="1" applyFill="1" applyBorder="1" applyAlignment="1">
      <alignment horizontal="center" vertical="center"/>
    </xf>
    <xf numFmtId="9" fontId="57" fillId="18" borderId="191" xfId="39" applyFont="1" applyFill="1" applyBorder="1" applyAlignment="1">
      <alignment horizontal="center"/>
    </xf>
    <xf numFmtId="9" fontId="57" fillId="18" borderId="228" xfId="39" applyFont="1" applyFill="1" applyBorder="1" applyAlignment="1">
      <alignment horizontal="center"/>
    </xf>
    <xf numFmtId="9" fontId="57" fillId="18" borderId="222" xfId="39" applyFont="1" applyFill="1" applyBorder="1" applyAlignment="1">
      <alignment horizontal="center"/>
    </xf>
    <xf numFmtId="9" fontId="57" fillId="19" borderId="227" xfId="39" applyFont="1" applyFill="1" applyBorder="1" applyAlignment="1">
      <alignment horizontal="center"/>
    </xf>
    <xf numFmtId="9" fontId="57" fillId="19" borderId="206" xfId="39" applyFont="1" applyFill="1" applyBorder="1" applyAlignment="1">
      <alignment horizontal="center"/>
    </xf>
    <xf numFmtId="9" fontId="57" fillId="19" borderId="214" xfId="39" applyFont="1" applyFill="1" applyBorder="1" applyAlignment="1">
      <alignment horizontal="center"/>
    </xf>
    <xf numFmtId="9" fontId="57" fillId="19" borderId="203" xfId="39" applyFont="1" applyFill="1" applyBorder="1" applyAlignment="1">
      <alignment horizontal="center" vertical="center"/>
    </xf>
    <xf numFmtId="9" fontId="57" fillId="19" borderId="240" xfId="39" applyFont="1" applyFill="1" applyBorder="1" applyAlignment="1">
      <alignment horizontal="center" vertical="center"/>
    </xf>
    <xf numFmtId="0" fontId="94" fillId="19" borderId="226" xfId="0" applyFont="1" applyFill="1" applyBorder="1" applyAlignment="1">
      <alignment horizontal="center" vertical="center" wrapText="1"/>
    </xf>
    <xf numFmtId="0" fontId="59" fillId="0" borderId="40" xfId="0" applyFont="1" applyFill="1" applyBorder="1" applyAlignment="1">
      <alignment horizontal="left" vertical="top" wrapText="1"/>
    </xf>
    <xf numFmtId="0" fontId="57" fillId="0" borderId="0" xfId="0" applyFont="1" applyFill="1" applyBorder="1" applyAlignment="1">
      <alignment horizontal="center" vertical="center"/>
    </xf>
    <xf numFmtId="0" fontId="56" fillId="11" borderId="178" xfId="0" quotePrefix="1" applyFont="1" applyFill="1" applyBorder="1" applyAlignment="1">
      <alignment horizontal="left"/>
    </xf>
    <xf numFmtId="0" fontId="56" fillId="11" borderId="0" xfId="0" quotePrefix="1" applyFont="1" applyFill="1" applyBorder="1" applyAlignment="1">
      <alignment horizontal="left"/>
    </xf>
    <xf numFmtId="0" fontId="59" fillId="0" borderId="0" xfId="0" applyFont="1" applyBorder="1" applyAlignment="1">
      <alignment horizontal="left" vertical="top" wrapText="1"/>
    </xf>
    <xf numFmtId="0" fontId="57" fillId="19" borderId="351" xfId="0" applyFont="1" applyFill="1" applyBorder="1" applyAlignment="1">
      <alignment horizontal="center"/>
    </xf>
    <xf numFmtId="0" fontId="93" fillId="26" borderId="227" xfId="0" applyFont="1" applyFill="1" applyBorder="1" applyAlignment="1">
      <alignment horizontal="left" vertical="center" wrapText="1"/>
    </xf>
    <xf numFmtId="0" fontId="93" fillId="26" borderId="214" xfId="0" applyFont="1" applyFill="1" applyBorder="1" applyAlignment="1">
      <alignment horizontal="left" vertical="center" wrapText="1"/>
    </xf>
    <xf numFmtId="0" fontId="93" fillId="26" borderId="178" xfId="0" applyFont="1" applyFill="1" applyBorder="1" applyAlignment="1">
      <alignment horizontal="left" vertical="center" wrapText="1"/>
    </xf>
    <xf numFmtId="0" fontId="93" fillId="26" borderId="0" xfId="0" applyFont="1" applyFill="1" applyBorder="1" applyAlignment="1">
      <alignment horizontal="left" vertical="center" wrapText="1"/>
    </xf>
    <xf numFmtId="0" fontId="56" fillId="26" borderId="372" xfId="0" applyFont="1" applyFill="1" applyBorder="1" applyAlignment="1">
      <alignment horizontal="center"/>
    </xf>
    <xf numFmtId="0" fontId="56" fillId="26" borderId="262" xfId="0" applyFont="1" applyFill="1" applyBorder="1" applyAlignment="1">
      <alignment horizontal="center"/>
    </xf>
    <xf numFmtId="0" fontId="57" fillId="18" borderId="375" xfId="0" applyFont="1" applyFill="1" applyBorder="1" applyAlignment="1">
      <alignment horizontal="center" wrapText="1"/>
    </xf>
    <xf numFmtId="0" fontId="57" fillId="18" borderId="376" xfId="0" applyFont="1" applyFill="1" applyBorder="1" applyAlignment="1">
      <alignment horizontal="center" wrapText="1"/>
    </xf>
    <xf numFmtId="3" fontId="57" fillId="11" borderId="379" xfId="0" applyNumberFormat="1" applyFont="1" applyFill="1" applyBorder="1" applyAlignment="1">
      <alignment horizontal="center"/>
    </xf>
    <xf numFmtId="3" fontId="57" fillId="11" borderId="353" xfId="0" applyNumberFormat="1" applyFont="1" applyFill="1" applyBorder="1" applyAlignment="1">
      <alignment horizontal="center"/>
    </xf>
    <xf numFmtId="3" fontId="57" fillId="11" borderId="378" xfId="0" applyNumberFormat="1" applyFont="1" applyFill="1" applyBorder="1" applyAlignment="1">
      <alignment horizontal="center"/>
    </xf>
    <xf numFmtId="0" fontId="56" fillId="0" borderId="178" xfId="0" quotePrefix="1" applyFont="1" applyBorder="1" applyAlignment="1">
      <alignment horizontal="left"/>
    </xf>
    <xf numFmtId="0" fontId="56" fillId="0" borderId="0" xfId="0" quotePrefix="1" applyFont="1" applyBorder="1" applyAlignment="1">
      <alignment horizontal="left"/>
    </xf>
    <xf numFmtId="0" fontId="56" fillId="0" borderId="115" xfId="0" applyFont="1" applyFill="1" applyBorder="1" applyAlignment="1">
      <alignment horizontal="left"/>
    </xf>
    <xf numFmtId="0" fontId="56" fillId="0" borderId="0" xfId="0" applyFont="1" applyFill="1" applyBorder="1" applyAlignment="1">
      <alignment horizontal="left"/>
    </xf>
    <xf numFmtId="0" fontId="93" fillId="26" borderId="132" xfId="0" applyFont="1" applyFill="1" applyBorder="1" applyAlignment="1">
      <alignment horizontal="left" vertical="center" wrapText="1"/>
    </xf>
    <xf numFmtId="0" fontId="93" fillId="26" borderId="135" xfId="0" applyFont="1" applyFill="1" applyBorder="1" applyAlignment="1">
      <alignment horizontal="left" vertical="center" wrapText="1"/>
    </xf>
    <xf numFmtId="0" fontId="93" fillId="26" borderId="187" xfId="0" applyFont="1" applyFill="1" applyBorder="1" applyAlignment="1">
      <alignment horizontal="left" vertical="center" wrapText="1"/>
    </xf>
    <xf numFmtId="0" fontId="93" fillId="26" borderId="188" xfId="0" applyFont="1" applyFill="1" applyBorder="1" applyAlignment="1">
      <alignment horizontal="left" vertical="center" wrapText="1"/>
    </xf>
    <xf numFmtId="0" fontId="93" fillId="26" borderId="183" xfId="0" applyFont="1" applyFill="1" applyBorder="1" applyAlignment="1">
      <alignment horizontal="left" vertical="center" wrapText="1"/>
    </xf>
    <xf numFmtId="0" fontId="93" fillId="26" borderId="180" xfId="0" applyFont="1" applyFill="1" applyBorder="1" applyAlignment="1">
      <alignment horizontal="left" vertical="center" wrapText="1"/>
    </xf>
    <xf numFmtId="0" fontId="57" fillId="19" borderId="191" xfId="0" applyFont="1" applyFill="1" applyBorder="1" applyAlignment="1">
      <alignment horizontal="center"/>
    </xf>
    <xf numFmtId="0" fontId="57" fillId="19" borderId="222" xfId="0" applyFont="1" applyFill="1" applyBorder="1" applyAlignment="1">
      <alignment horizontal="center"/>
    </xf>
    <xf numFmtId="0" fontId="57" fillId="19" borderId="229" xfId="0" applyFont="1" applyFill="1" applyBorder="1" applyAlignment="1">
      <alignment horizontal="center" vertical="center"/>
    </xf>
    <xf numFmtId="0" fontId="57" fillId="19" borderId="33" xfId="0" applyFont="1" applyFill="1" applyBorder="1" applyAlignment="1">
      <alignment horizontal="center" vertical="center"/>
    </xf>
    <xf numFmtId="0" fontId="57" fillId="19" borderId="180" xfId="0" applyFont="1" applyFill="1" applyBorder="1" applyAlignment="1">
      <alignment horizontal="center" vertical="center"/>
    </xf>
    <xf numFmtId="0" fontId="57" fillId="19" borderId="363" xfId="0" applyFont="1" applyFill="1" applyBorder="1" applyAlignment="1">
      <alignment horizontal="center" vertical="center"/>
    </xf>
    <xf numFmtId="0" fontId="57" fillId="19" borderId="352" xfId="0" applyFont="1" applyFill="1" applyBorder="1" applyAlignment="1">
      <alignment horizontal="center" vertical="center"/>
    </xf>
    <xf numFmtId="0" fontId="57" fillId="19" borderId="364" xfId="0" applyFont="1" applyFill="1" applyBorder="1" applyAlignment="1">
      <alignment horizontal="center" vertical="center"/>
    </xf>
    <xf numFmtId="0" fontId="57" fillId="19" borderId="375" xfId="0" applyFont="1" applyFill="1" applyBorder="1" applyAlignment="1">
      <alignment horizontal="center" vertical="center" wrapText="1"/>
    </xf>
    <xf numFmtId="0" fontId="57" fillId="19" borderId="376" xfId="0" applyFont="1" applyFill="1" applyBorder="1" applyAlignment="1">
      <alignment horizontal="center" vertical="center" wrapText="1"/>
    </xf>
    <xf numFmtId="0" fontId="59" fillId="0" borderId="352" xfId="0" applyFont="1" applyBorder="1" applyAlignment="1">
      <alignment horizontal="left" vertical="top" wrapText="1"/>
    </xf>
    <xf numFmtId="9" fontId="117" fillId="0" borderId="0" xfId="0" applyNumberFormat="1" applyFont="1" applyAlignment="1">
      <alignment horizontal="center" vertical="center"/>
    </xf>
    <xf numFmtId="0" fontId="56" fillId="0" borderId="179" xfId="0" quotePrefix="1" applyFont="1" applyFill="1" applyBorder="1" applyAlignment="1">
      <alignment horizontal="left"/>
    </xf>
    <xf numFmtId="0" fontId="56" fillId="0" borderId="180" xfId="0" quotePrefix="1" applyFont="1" applyFill="1" applyBorder="1" applyAlignment="1">
      <alignment horizontal="left"/>
    </xf>
    <xf numFmtId="0" fontId="56" fillId="9" borderId="178" xfId="0" quotePrefix="1" applyFont="1" applyFill="1" applyBorder="1" applyAlignment="1">
      <alignment horizontal="left"/>
    </xf>
    <xf numFmtId="0" fontId="56" fillId="9" borderId="0" xfId="0" quotePrefix="1" applyFont="1" applyFill="1" applyBorder="1" applyAlignment="1">
      <alignment horizontal="left"/>
    </xf>
    <xf numFmtId="0" fontId="93" fillId="26" borderId="204" xfId="0" applyFont="1" applyFill="1" applyBorder="1" applyAlignment="1">
      <alignment horizontal="left" vertical="center" wrapText="1"/>
    </xf>
    <xf numFmtId="0" fontId="93" fillId="26" borderId="33" xfId="0" applyFont="1" applyFill="1" applyBorder="1" applyAlignment="1">
      <alignment horizontal="left" vertical="center" wrapText="1"/>
    </xf>
    <xf numFmtId="0" fontId="93" fillId="26" borderId="140" xfId="0" applyFont="1" applyFill="1" applyBorder="1" applyAlignment="1">
      <alignment horizontal="left" vertical="center"/>
    </xf>
    <xf numFmtId="0" fontId="93" fillId="26" borderId="134" xfId="0" applyFont="1" applyFill="1" applyBorder="1" applyAlignment="1">
      <alignment horizontal="left" vertical="center"/>
    </xf>
    <xf numFmtId="0" fontId="56" fillId="11" borderId="179" xfId="0" quotePrefix="1" applyFont="1" applyFill="1" applyBorder="1" applyAlignment="1">
      <alignment horizontal="left"/>
    </xf>
    <xf numFmtId="0" fontId="56" fillId="11" borderId="183" xfId="0" quotePrefix="1" applyFont="1" applyFill="1" applyBorder="1" applyAlignment="1">
      <alignment horizontal="left"/>
    </xf>
    <xf numFmtId="9" fontId="57" fillId="19" borderId="184" xfId="0" applyNumberFormat="1" applyFont="1" applyFill="1" applyBorder="1" applyAlignment="1">
      <alignment horizontal="center"/>
    </xf>
    <xf numFmtId="9" fontId="57" fillId="19" borderId="185" xfId="0" applyNumberFormat="1" applyFont="1" applyFill="1" applyBorder="1" applyAlignment="1">
      <alignment horizontal="center"/>
    </xf>
    <xf numFmtId="9" fontId="57" fillId="19" borderId="248" xfId="0" applyNumberFormat="1" applyFont="1" applyFill="1" applyBorder="1" applyAlignment="1">
      <alignment horizontal="center"/>
    </xf>
    <xf numFmtId="9" fontId="57" fillId="19" borderId="227" xfId="0" applyNumberFormat="1" applyFont="1" applyFill="1" applyBorder="1" applyAlignment="1">
      <alignment horizontal="center"/>
    </xf>
    <xf numFmtId="9" fontId="57" fillId="19" borderId="206" xfId="0" applyNumberFormat="1" applyFont="1" applyFill="1" applyBorder="1" applyAlignment="1">
      <alignment horizontal="center"/>
    </xf>
    <xf numFmtId="9" fontId="57" fillId="19" borderId="247" xfId="0" applyNumberFormat="1" applyFont="1" applyFill="1" applyBorder="1" applyAlignment="1">
      <alignment horizontal="center"/>
    </xf>
    <xf numFmtId="0" fontId="56" fillId="0" borderId="130" xfId="0" applyFont="1" applyFill="1" applyBorder="1" applyAlignment="1">
      <alignment horizontal="left"/>
    </xf>
    <xf numFmtId="0" fontId="56" fillId="0" borderId="131" xfId="0" applyFont="1" applyFill="1" applyBorder="1" applyAlignment="1">
      <alignment horizontal="left"/>
    </xf>
    <xf numFmtId="0" fontId="56" fillId="0" borderId="33" xfId="0" applyFont="1" applyFill="1" applyBorder="1" applyAlignment="1">
      <alignment horizontal="left"/>
    </xf>
    <xf numFmtId="0" fontId="125" fillId="33" borderId="0" xfId="0" applyFont="1" applyFill="1" applyBorder="1" applyAlignment="1">
      <alignment horizontal="center" vertical="center" wrapText="1"/>
    </xf>
    <xf numFmtId="2" fontId="126" fillId="0" borderId="0" xfId="0" applyNumberFormat="1" applyFont="1" applyBorder="1" applyAlignment="1">
      <alignment horizontal="center" vertical="center" wrapText="1"/>
    </xf>
    <xf numFmtId="0" fontId="126" fillId="0" borderId="0" xfId="0" applyFont="1" applyBorder="1" applyAlignment="1">
      <alignment horizontal="center" vertical="center" wrapText="1"/>
    </xf>
    <xf numFmtId="0" fontId="136" fillId="0" borderId="0" xfId="0" applyFont="1" applyBorder="1" applyAlignment="1">
      <alignment horizontal="left" vertical="top" wrapText="1"/>
    </xf>
    <xf numFmtId="0" fontId="57" fillId="19" borderId="246" xfId="0" applyFont="1" applyFill="1" applyBorder="1" applyAlignment="1">
      <alignment horizontal="center" wrapText="1"/>
    </xf>
    <xf numFmtId="0" fontId="57" fillId="19" borderId="143" xfId="0" applyFont="1" applyFill="1" applyBorder="1" applyAlignment="1">
      <alignment horizontal="center" wrapText="1"/>
    </xf>
    <xf numFmtId="0" fontId="0" fillId="0" borderId="0" xfId="0" applyAlignment="1">
      <alignment horizontal="center"/>
    </xf>
    <xf numFmtId="0" fontId="64" fillId="14" borderId="191" xfId="0" applyFont="1" applyFill="1" applyBorder="1" applyAlignment="1" applyProtection="1">
      <alignment horizontal="center" vertical="center"/>
      <protection locked="0"/>
    </xf>
    <xf numFmtId="0" fontId="64" fillId="14" borderId="189" xfId="0" applyFont="1" applyFill="1" applyBorder="1" applyAlignment="1" applyProtection="1">
      <alignment horizontal="center" vertical="center"/>
      <protection locked="0"/>
    </xf>
    <xf numFmtId="0" fontId="64" fillId="14" borderId="192" xfId="0" applyFont="1" applyFill="1" applyBorder="1" applyAlignment="1" applyProtection="1">
      <alignment horizontal="center" vertical="center"/>
      <protection locked="0"/>
    </xf>
    <xf numFmtId="0" fontId="59" fillId="0" borderId="40" xfId="0" applyFont="1" applyBorder="1" applyAlignment="1">
      <alignment horizontal="center"/>
    </xf>
    <xf numFmtId="0" fontId="54" fillId="0" borderId="34" xfId="0" applyFont="1" applyBorder="1" applyAlignment="1">
      <alignment horizontal="center"/>
    </xf>
    <xf numFmtId="0" fontId="54" fillId="0" borderId="0" xfId="0" applyFont="1" applyBorder="1" applyAlignment="1">
      <alignment horizontal="center"/>
    </xf>
    <xf numFmtId="0" fontId="54" fillId="0" borderId="33" xfId="0" applyFont="1" applyBorder="1" applyAlignment="1">
      <alignment horizontal="center"/>
    </xf>
    <xf numFmtId="9" fontId="54" fillId="0" borderId="372" xfId="39" applyFont="1" applyBorder="1" applyAlignment="1">
      <alignment horizontal="center" wrapText="1"/>
    </xf>
    <xf numFmtId="9" fontId="54" fillId="0" borderId="0" xfId="39" applyFont="1" applyBorder="1" applyAlignment="1">
      <alignment horizontal="center" wrapText="1"/>
    </xf>
    <xf numFmtId="9" fontId="54" fillId="0" borderId="262" xfId="39" applyFont="1" applyBorder="1" applyAlignment="1">
      <alignment horizontal="center" wrapText="1"/>
    </xf>
    <xf numFmtId="0" fontId="54" fillId="0" borderId="372" xfId="0" applyFont="1" applyBorder="1" applyAlignment="1">
      <alignment horizontal="center"/>
    </xf>
    <xf numFmtId="0" fontId="54" fillId="0" borderId="262" xfId="0" applyFont="1" applyBorder="1" applyAlignment="1">
      <alignment horizontal="center"/>
    </xf>
    <xf numFmtId="0" fontId="129" fillId="0" borderId="0" xfId="0" applyFont="1" applyAlignment="1">
      <alignment horizontal="left" vertical="top" wrapText="1"/>
    </xf>
    <xf numFmtId="0" fontId="54" fillId="0" borderId="0" xfId="0" applyFont="1" applyBorder="1" applyAlignment="1">
      <alignment horizontal="center" wrapText="1"/>
    </xf>
    <xf numFmtId="0" fontId="54" fillId="0" borderId="262" xfId="0" applyFont="1" applyBorder="1" applyAlignment="1">
      <alignment horizontal="center" wrapText="1"/>
    </xf>
    <xf numFmtId="0" fontId="55" fillId="0" borderId="0" xfId="0" applyFont="1" applyAlignment="1">
      <alignment horizontal="center"/>
    </xf>
    <xf numFmtId="0" fontId="71" fillId="0" borderId="4" xfId="16" applyFont="1" applyBorder="1" applyAlignment="1">
      <alignment horizontal="center"/>
    </xf>
    <xf numFmtId="0" fontId="54" fillId="0" borderId="183" xfId="0" applyFont="1" applyBorder="1" applyAlignment="1">
      <alignment horizontal="center"/>
    </xf>
    <xf numFmtId="0" fontId="32" fillId="0" borderId="12" xfId="0" applyFont="1" applyBorder="1" applyAlignment="1">
      <alignment horizontal="center"/>
    </xf>
    <xf numFmtId="0" fontId="32" fillId="0" borderId="0" xfId="0" applyFont="1" applyAlignment="1">
      <alignment horizontal="center"/>
    </xf>
    <xf numFmtId="16" fontId="32" fillId="0" borderId="12" xfId="0" applyNumberFormat="1" applyFont="1" applyBorder="1" applyAlignment="1">
      <alignment horizontal="center"/>
    </xf>
    <xf numFmtId="0" fontId="28" fillId="0" borderId="0" xfId="14" applyFont="1" applyFill="1" applyBorder="1" applyAlignment="1">
      <alignment horizontal="left" vertical="top" wrapText="1"/>
    </xf>
    <xf numFmtId="0" fontId="81" fillId="0" borderId="0" xfId="14" applyFont="1" applyFill="1" applyBorder="1" applyAlignment="1">
      <alignment horizontal="left" vertical="top" wrapText="1"/>
    </xf>
    <xf numFmtId="0" fontId="62" fillId="0" borderId="0" xfId="0" applyFont="1" applyAlignment="1">
      <alignment horizontal="left" vertical="top" wrapText="1"/>
    </xf>
    <xf numFmtId="172" fontId="24" fillId="0" borderId="13" xfId="0" applyNumberFormat="1" applyFont="1" applyFill="1" applyBorder="1" applyAlignment="1" applyProtection="1">
      <alignment horizontal="center" vertical="center"/>
    </xf>
    <xf numFmtId="172" fontId="24" fillId="0" borderId="14" xfId="0" applyNumberFormat="1" applyFont="1" applyFill="1" applyBorder="1" applyAlignment="1" applyProtection="1">
      <alignment horizontal="center" vertical="center"/>
    </xf>
    <xf numFmtId="172" fontId="24" fillId="0" borderId="15" xfId="0" applyNumberFormat="1" applyFont="1" applyFill="1" applyBorder="1" applyAlignment="1" applyProtection="1">
      <alignment horizontal="center" vertical="center"/>
    </xf>
    <xf numFmtId="0" fontId="61" fillId="0" borderId="12" xfId="0" applyFont="1" applyBorder="1" applyAlignment="1">
      <alignment horizontal="center" wrapText="1"/>
    </xf>
    <xf numFmtId="49" fontId="24" fillId="0" borderId="29" xfId="0" applyNumberFormat="1" applyFont="1" applyFill="1" applyBorder="1" applyAlignment="1">
      <alignment horizontal="center" vertical="center"/>
    </xf>
    <xf numFmtId="49" fontId="24" fillId="0" borderId="31" xfId="0" applyNumberFormat="1" applyFont="1" applyFill="1" applyBorder="1" applyAlignment="1">
      <alignment horizontal="center" vertical="center"/>
    </xf>
    <xf numFmtId="172" fontId="24" fillId="0" borderId="29" xfId="0" applyNumberFormat="1" applyFont="1" applyFill="1" applyBorder="1" applyAlignment="1" applyProtection="1">
      <alignment horizontal="center" vertical="center"/>
    </xf>
    <xf numFmtId="172" fontId="24" fillId="0" borderId="31" xfId="0" applyNumberFormat="1" applyFont="1" applyFill="1" applyBorder="1" applyAlignment="1" applyProtection="1">
      <alignment horizontal="center" vertical="center"/>
    </xf>
    <xf numFmtId="0" fontId="114" fillId="0" borderId="160" xfId="0" applyFont="1" applyBorder="1" applyAlignment="1">
      <alignment horizontal="center"/>
    </xf>
    <xf numFmtId="0" fontId="114" fillId="0" borderId="20" xfId="0" applyFont="1" applyBorder="1" applyAlignment="1">
      <alignment horizontal="center"/>
    </xf>
    <xf numFmtId="0" fontId="114" fillId="0" borderId="21" xfId="0" applyFont="1" applyBorder="1" applyAlignment="1">
      <alignment horizontal="center"/>
    </xf>
    <xf numFmtId="0" fontId="114" fillId="0" borderId="157" xfId="0" applyFont="1" applyBorder="1" applyAlignment="1">
      <alignment horizontal="center"/>
    </xf>
    <xf numFmtId="0" fontId="61" fillId="0" borderId="0" xfId="0" applyFont="1" applyBorder="1" applyAlignment="1">
      <alignment horizontal="center" wrapText="1"/>
    </xf>
    <xf numFmtId="0" fontId="68" fillId="0" borderId="183" xfId="0" applyFont="1" applyBorder="1" applyAlignment="1">
      <alignment horizontal="center" wrapText="1"/>
    </xf>
    <xf numFmtId="0" fontId="68" fillId="0" borderId="183" xfId="0" applyFont="1" applyBorder="1" applyAlignment="1">
      <alignment horizontal="center"/>
    </xf>
    <xf numFmtId="0" fontId="68" fillId="0" borderId="0" xfId="0" applyFont="1" applyBorder="1" applyAlignment="1">
      <alignment horizontal="center"/>
    </xf>
    <xf numFmtId="0" fontId="68" fillId="0" borderId="12" xfId="0" applyFont="1" applyBorder="1" applyAlignment="1">
      <alignment horizontal="center"/>
    </xf>
    <xf numFmtId="0" fontId="30" fillId="0" borderId="0" xfId="15" applyFont="1" applyAlignment="1">
      <alignment horizontal="left" wrapText="1"/>
    </xf>
    <xf numFmtId="0" fontId="75" fillId="0" borderId="0" xfId="15" applyFont="1" applyAlignment="1">
      <alignment horizontal="left" wrapText="1"/>
    </xf>
    <xf numFmtId="0" fontId="54" fillId="0" borderId="354" xfId="15" applyFont="1" applyBorder="1" applyAlignment="1">
      <alignment horizontal="center"/>
    </xf>
    <xf numFmtId="0" fontId="54" fillId="0" borderId="355" xfId="15" applyFont="1" applyBorder="1" applyAlignment="1">
      <alignment horizontal="center"/>
    </xf>
    <xf numFmtId="0" fontId="54" fillId="0" borderId="356" xfId="15" applyFont="1" applyBorder="1" applyAlignment="1">
      <alignment horizontal="center"/>
    </xf>
    <xf numFmtId="0" fontId="54" fillId="0" borderId="224" xfId="15" applyFont="1" applyBorder="1" applyAlignment="1">
      <alignment horizontal="center"/>
    </xf>
    <xf numFmtId="0" fontId="54" fillId="0" borderId="228" xfId="15" applyFont="1" applyBorder="1" applyAlignment="1">
      <alignment horizontal="center"/>
    </xf>
    <xf numFmtId="0" fontId="54" fillId="0" borderId="222" xfId="15" applyFont="1" applyBorder="1" applyAlignment="1">
      <alignment horizontal="center"/>
    </xf>
    <xf numFmtId="0" fontId="54" fillId="0" borderId="221" xfId="15" applyFont="1" applyBorder="1" applyAlignment="1">
      <alignment horizontal="center"/>
    </xf>
    <xf numFmtId="0" fontId="30" fillId="0" borderId="0" xfId="0" applyFont="1" applyAlignment="1">
      <alignment horizontal="left" vertical="top" wrapText="1"/>
    </xf>
    <xf numFmtId="49" fontId="83" fillId="0" borderId="372" xfId="19" applyNumberFormat="1" applyFont="1" applyBorder="1" applyAlignment="1">
      <alignment horizontal="center" wrapText="1"/>
    </xf>
    <xf numFmtId="49" fontId="83" fillId="0" borderId="0" xfId="19" applyNumberFormat="1" applyFont="1" applyBorder="1" applyAlignment="1">
      <alignment horizontal="center" wrapText="1"/>
    </xf>
    <xf numFmtId="49" fontId="83" fillId="0" borderId="262" xfId="19" applyNumberFormat="1" applyFont="1" applyBorder="1" applyAlignment="1">
      <alignment horizontal="center" wrapText="1"/>
    </xf>
    <xf numFmtId="0" fontId="69" fillId="0" borderId="372" xfId="19" applyFont="1" applyBorder="1" applyAlignment="1">
      <alignment horizontal="center" vertical="top" wrapText="1"/>
    </xf>
    <xf numFmtId="0" fontId="69" fillId="0" borderId="347" xfId="19" applyFont="1" applyBorder="1" applyAlignment="1">
      <alignment horizontal="center" vertical="top" wrapText="1"/>
    </xf>
    <xf numFmtId="49" fontId="83" fillId="0" borderId="347" xfId="19" applyNumberFormat="1" applyFont="1" applyBorder="1" applyAlignment="1">
      <alignment horizontal="center" wrapText="1"/>
    </xf>
    <xf numFmtId="49" fontId="83" fillId="0" borderId="376" xfId="19" applyNumberFormat="1" applyFont="1" applyBorder="1" applyAlignment="1">
      <alignment horizontal="center" wrapText="1"/>
    </xf>
    <xf numFmtId="0" fontId="60" fillId="0" borderId="0" xfId="0" applyFont="1" applyAlignment="1">
      <alignment horizontal="center"/>
    </xf>
    <xf numFmtId="0" fontId="78" fillId="0" borderId="0" xfId="0" applyFont="1" applyAlignment="1">
      <alignment horizontal="center"/>
    </xf>
    <xf numFmtId="0" fontId="69" fillId="0" borderId="178" xfId="0" applyFont="1" applyBorder="1" applyAlignment="1">
      <alignment horizontal="center" wrapText="1"/>
    </xf>
    <xf numFmtId="0" fontId="69" fillId="0" borderId="262" xfId="0" applyFont="1" applyBorder="1" applyAlignment="1">
      <alignment horizontal="center" wrapText="1"/>
    </xf>
    <xf numFmtId="0" fontId="68" fillId="0" borderId="0" xfId="9" applyFont="1" applyAlignment="1">
      <alignment horizontal="left" vertical="top" wrapText="1"/>
    </xf>
    <xf numFmtId="0" fontId="28" fillId="0" borderId="0" xfId="9" applyFont="1" applyAlignment="1">
      <alignment horizontal="left" vertical="top" wrapText="1"/>
    </xf>
    <xf numFmtId="0" fontId="68" fillId="0" borderId="12" xfId="9" applyFont="1" applyBorder="1" applyAlignment="1">
      <alignment horizontal="center" wrapText="1"/>
    </xf>
    <xf numFmtId="0" fontId="68" fillId="0" borderId="351" xfId="9" applyFont="1" applyBorder="1" applyAlignment="1">
      <alignment horizontal="center"/>
    </xf>
    <xf numFmtId="0" fontId="72" fillId="0" borderId="0" xfId="16" applyFont="1" applyAlignment="1">
      <alignment horizontal="left" wrapText="1"/>
    </xf>
    <xf numFmtId="0" fontId="30" fillId="0" borderId="0" xfId="16" applyFont="1" applyAlignment="1">
      <alignment horizontal="left" wrapText="1"/>
    </xf>
    <xf numFmtId="0" fontId="33" fillId="0" borderId="0" xfId="14" applyFont="1" applyFill="1" applyBorder="1" applyAlignment="1">
      <alignment horizontal="left" wrapText="1"/>
    </xf>
    <xf numFmtId="0" fontId="81" fillId="0" borderId="0" xfId="14" applyFont="1" applyAlignment="1">
      <alignment horizontal="left" vertical="top" wrapText="1"/>
    </xf>
    <xf numFmtId="0" fontId="30" fillId="0" borderId="0" xfId="14" applyFont="1" applyFill="1" applyBorder="1" applyAlignment="1">
      <alignment horizontal="left" wrapText="1"/>
    </xf>
    <xf numFmtId="0" fontId="54" fillId="0" borderId="379" xfId="0" applyFont="1" applyBorder="1" applyAlignment="1">
      <alignment horizontal="center"/>
    </xf>
    <xf numFmtId="0" fontId="54" fillId="0" borderId="353" xfId="0" applyFont="1" applyBorder="1" applyAlignment="1">
      <alignment horizontal="center"/>
    </xf>
    <xf numFmtId="0" fontId="54" fillId="0" borderId="378" xfId="0" applyFont="1" applyBorder="1" applyAlignment="1">
      <alignment horizontal="center"/>
    </xf>
    <xf numFmtId="0" fontId="54" fillId="0" borderId="377" xfId="0" applyFont="1" applyBorder="1" applyAlignment="1">
      <alignment horizontal="center"/>
    </xf>
    <xf numFmtId="0" fontId="68" fillId="0" borderId="0" xfId="9" applyFont="1" applyBorder="1" applyAlignment="1">
      <alignment horizontal="left"/>
    </xf>
    <xf numFmtId="0" fontId="17" fillId="0" borderId="4" xfId="18" applyFont="1" applyBorder="1" applyAlignment="1">
      <alignment horizontal="center"/>
    </xf>
    <xf numFmtId="0" fontId="18" fillId="0" borderId="0" xfId="18" applyFont="1" applyBorder="1" applyAlignment="1">
      <alignment horizontal="center"/>
    </xf>
    <xf numFmtId="0" fontId="9" fillId="0" borderId="0" xfId="18" applyFont="1" applyFill="1" applyBorder="1" applyAlignment="1">
      <alignment horizontal="left" wrapText="1"/>
    </xf>
    <xf numFmtId="0" fontId="9" fillId="0" borderId="33" xfId="18" applyFont="1" applyFill="1" applyBorder="1" applyAlignment="1">
      <alignment horizontal="left" wrapText="1"/>
    </xf>
    <xf numFmtId="0" fontId="18" fillId="0" borderId="12" xfId="18" applyFont="1" applyBorder="1" applyAlignment="1">
      <alignment horizontal="center"/>
    </xf>
    <xf numFmtId="0" fontId="18" fillId="0" borderId="4" xfId="18" applyFont="1" applyBorder="1" applyAlignment="1">
      <alignment horizontal="center"/>
    </xf>
    <xf numFmtId="0" fontId="17" fillId="0" borderId="69" xfId="18" applyFont="1" applyBorder="1" applyAlignment="1">
      <alignment horizontal="center"/>
    </xf>
    <xf numFmtId="9" fontId="54" fillId="0" borderId="41" xfId="39" applyFont="1" applyBorder="1" applyAlignment="1">
      <alignment horizontal="center"/>
    </xf>
    <xf numFmtId="9" fontId="54" fillId="0" borderId="40" xfId="39" applyFont="1" applyBorder="1" applyAlignment="1">
      <alignment horizontal="center"/>
    </xf>
    <xf numFmtId="9" fontId="54" fillId="0" borderId="68" xfId="39" applyFont="1" applyBorder="1" applyAlignment="1">
      <alignment horizontal="center"/>
    </xf>
    <xf numFmtId="176" fontId="54" fillId="0" borderId="41" xfId="3" applyNumberFormat="1" applyFont="1" applyBorder="1" applyAlignment="1">
      <alignment horizontal="center"/>
    </xf>
    <xf numFmtId="176" fontId="54" fillId="0" borderId="40" xfId="3" applyNumberFormat="1" applyFont="1" applyBorder="1" applyAlignment="1">
      <alignment horizontal="center"/>
    </xf>
    <xf numFmtId="176" fontId="54" fillId="0" borderId="68" xfId="3" applyNumberFormat="1" applyFont="1" applyBorder="1" applyAlignment="1">
      <alignment horizontal="center"/>
    </xf>
    <xf numFmtId="0" fontId="54" fillId="0" borderId="41" xfId="0" applyFont="1" applyBorder="1" applyAlignment="1">
      <alignment horizontal="center"/>
    </xf>
    <xf numFmtId="0" fontId="54" fillId="0" borderId="40" xfId="0" applyFont="1" applyBorder="1" applyAlignment="1">
      <alignment horizontal="center"/>
    </xf>
    <xf numFmtId="0" fontId="54" fillId="0" borderId="68" xfId="0" applyFont="1" applyBorder="1" applyAlignment="1">
      <alignment horizontal="center"/>
    </xf>
    <xf numFmtId="176" fontId="54" fillId="0" borderId="354" xfId="3" applyNumberFormat="1" applyFont="1" applyBorder="1" applyAlignment="1">
      <alignment horizontal="center"/>
    </xf>
    <xf numFmtId="176" fontId="54" fillId="0" borderId="355" xfId="3" applyNumberFormat="1" applyFont="1" applyBorder="1" applyAlignment="1">
      <alignment horizontal="center"/>
    </xf>
    <xf numFmtId="176" fontId="54" fillId="0" borderId="356" xfId="3" applyNumberFormat="1" applyFont="1" applyBorder="1" applyAlignment="1">
      <alignment horizontal="center"/>
    </xf>
    <xf numFmtId="176" fontId="54" fillId="0" borderId="159" xfId="3" applyNumberFormat="1" applyFont="1" applyBorder="1" applyAlignment="1">
      <alignment horizontal="center"/>
    </xf>
    <xf numFmtId="176" fontId="54" fillId="0" borderId="157" xfId="3" applyNumberFormat="1" applyFont="1" applyBorder="1" applyAlignment="1">
      <alignment horizontal="center"/>
    </xf>
    <xf numFmtId="176" fontId="54" fillId="0" borderId="15" xfId="3" applyNumberFormat="1" applyFont="1" applyBorder="1" applyAlignment="1">
      <alignment horizontal="center"/>
    </xf>
    <xf numFmtId="176" fontId="54" fillId="0" borderId="363" xfId="3" applyNumberFormat="1" applyFont="1" applyBorder="1" applyAlignment="1">
      <alignment horizontal="center"/>
    </xf>
    <xf numFmtId="176" fontId="54" fillId="0" borderId="352" xfId="3" applyNumberFormat="1" applyFont="1" applyBorder="1" applyAlignment="1">
      <alignment horizontal="center"/>
    </xf>
    <xf numFmtId="176" fontId="54" fillId="0" borderId="364" xfId="3" applyNumberFormat="1" applyFont="1" applyBorder="1" applyAlignment="1">
      <alignment horizontal="center"/>
    </xf>
    <xf numFmtId="0" fontId="54" fillId="0" borderId="19" xfId="0" applyFont="1" applyBorder="1" applyAlignment="1">
      <alignment horizontal="center"/>
    </xf>
    <xf numFmtId="0" fontId="54" fillId="0" borderId="78" xfId="0" applyFont="1" applyBorder="1" applyAlignment="1">
      <alignment horizontal="center"/>
    </xf>
    <xf numFmtId="0" fontId="54" fillId="0" borderId="20" xfId="0" applyFont="1" applyBorder="1" applyAlignment="1">
      <alignment horizontal="center"/>
    </xf>
    <xf numFmtId="0" fontId="54" fillId="0" borderId="21" xfId="0" applyFont="1" applyBorder="1" applyAlignment="1">
      <alignment horizontal="center"/>
    </xf>
    <xf numFmtId="0" fontId="54" fillId="0" borderId="29" xfId="0" applyFont="1" applyBorder="1" applyAlignment="1">
      <alignment horizontal="center" wrapText="1"/>
    </xf>
    <xf numFmtId="0" fontId="54" fillId="0" borderId="31" xfId="0" applyFont="1" applyBorder="1" applyAlignment="1">
      <alignment horizontal="center" wrapText="1"/>
    </xf>
    <xf numFmtId="0" fontId="54" fillId="0" borderId="28" xfId="0" applyFont="1" applyBorder="1" applyAlignment="1">
      <alignment horizontal="center" wrapText="1"/>
    </xf>
    <xf numFmtId="0" fontId="54" fillId="0" borderId="41" xfId="0" applyFont="1" applyBorder="1" applyAlignment="1">
      <alignment horizontal="center" wrapText="1"/>
    </xf>
    <xf numFmtId="0" fontId="54" fillId="0" borderId="40" xfId="0" applyFont="1" applyBorder="1" applyAlignment="1">
      <alignment horizontal="center" wrapText="1"/>
    </xf>
    <xf numFmtId="0" fontId="54" fillId="0" borderId="68" xfId="0" applyFont="1" applyBorder="1" applyAlignment="1">
      <alignment horizontal="center" wrapText="1"/>
    </xf>
    <xf numFmtId="0" fontId="61" fillId="0" borderId="28" xfId="0" applyFont="1" applyBorder="1" applyAlignment="1">
      <alignment horizontal="center" wrapText="1"/>
    </xf>
    <xf numFmtId="0" fontId="24" fillId="0" borderId="0" xfId="0" applyFont="1" applyBorder="1" applyAlignment="1">
      <alignment horizontal="left" vertical="top" wrapText="1"/>
    </xf>
    <xf numFmtId="0" fontId="25" fillId="0" borderId="0" xfId="4" applyFont="1" applyFill="1" applyBorder="1" applyAlignment="1" applyProtection="1">
      <alignment horizontal="left" wrapText="1"/>
    </xf>
    <xf numFmtId="0" fontId="68" fillId="0" borderId="0" xfId="0" applyFont="1" applyBorder="1" applyAlignment="1">
      <alignment horizontal="left" wrapText="1"/>
    </xf>
    <xf numFmtId="0" fontId="55" fillId="0" borderId="14" xfId="0" applyFont="1" applyBorder="1" applyAlignment="1">
      <alignment horizontal="center" wrapText="1"/>
    </xf>
    <xf numFmtId="0" fontId="28" fillId="0" borderId="0" xfId="14" applyFont="1" applyAlignment="1">
      <alignment horizontal="left" vertical="top" wrapText="1"/>
    </xf>
    <xf numFmtId="1" fontId="54" fillId="0" borderId="12" xfId="0" applyNumberFormat="1" applyFont="1" applyBorder="1" applyAlignment="1">
      <alignment horizontal="center"/>
    </xf>
    <xf numFmtId="1" fontId="54" fillId="0" borderId="0" xfId="0" applyNumberFormat="1" applyFont="1" applyAlignment="1">
      <alignment horizontal="center"/>
    </xf>
    <xf numFmtId="0" fontId="75" fillId="0" borderId="0" xfId="9" applyFont="1" applyAlignment="1">
      <alignment horizontal="left" vertical="top" wrapText="1"/>
    </xf>
    <xf numFmtId="0" fontId="81" fillId="0" borderId="0" xfId="9" applyFont="1" applyAlignment="1">
      <alignment horizontal="left" vertical="top" wrapText="1"/>
    </xf>
  </cellXfs>
  <cellStyles count="41">
    <cellStyle name="Comma" xfId="1" builtinId="3"/>
    <cellStyle name="Comma 2" xfId="2"/>
    <cellStyle name="Currency" xfId="3" builtinId="4"/>
    <cellStyle name="Hyperlink" xfId="4" builtinId="8"/>
    <cellStyle name="Hyperlink 2" xfId="5"/>
    <cellStyle name="Normal" xfId="0" builtinId="0"/>
    <cellStyle name="Normal 10" xfId="6"/>
    <cellStyle name="Normal 11" xfId="7"/>
    <cellStyle name="Normal 12" xfId="8"/>
    <cellStyle name="Normal 13" xfId="40"/>
    <cellStyle name="Normal 2" xfId="9"/>
    <cellStyle name="Normal 2 2" xfId="10"/>
    <cellStyle name="Normal 2 3" xfId="11"/>
    <cellStyle name="Normal 2 4" xfId="12"/>
    <cellStyle name="Normal 3" xfId="13"/>
    <cellStyle name="Normal 4" xfId="14"/>
    <cellStyle name="Normal 5" xfId="15"/>
    <cellStyle name="Normal 6" xfId="16"/>
    <cellStyle name="Normal 7" xfId="17"/>
    <cellStyle name="Normal 8" xfId="18"/>
    <cellStyle name="Normal 9" xfId="19"/>
    <cellStyle name="Normal_10 Other Benefits LASER 2011" xfId="20"/>
    <cellStyle name="Normal_3 Other Exp LASER 2011" xfId="21"/>
    <cellStyle name="Normal_5 Medicaid &amp; FAMIS 2011" xfId="22"/>
    <cellStyle name="Normal_6 SNAP LASER 2011" xfId="23"/>
    <cellStyle name="Normal_7 LIHEAP LASER 2011" xfId="24"/>
    <cellStyle name="Normal_Sheet1" xfId="25"/>
    <cellStyle name="Normal_Sheet1 2" xfId="26"/>
    <cellStyle name="Normal_Sheet2" xfId="27"/>
    <cellStyle name="Normal_Sheet2 2" xfId="28"/>
    <cellStyle name="Normal_Sheet2_1" xfId="29"/>
    <cellStyle name="Normal_Sheet3" xfId="30"/>
    <cellStyle name="Normal_Sheet4" xfId="31"/>
    <cellStyle name="Normal_Sheet4_1" xfId="32"/>
    <cellStyle name="Normal_Sheet4_2" xfId="33"/>
    <cellStyle name="Normal_Sheet5" xfId="34"/>
    <cellStyle name="Normal_Sheet6" xfId="35"/>
    <cellStyle name="Normal_Sheet7" xfId="36"/>
    <cellStyle name="Normal_Sheet8" xfId="37"/>
    <cellStyle name="Normal_Sheet9" xfId="38"/>
    <cellStyle name="Percent" xfId="39" builtinId="5"/>
  </cellStyles>
  <dxfs count="6">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Percent of Work-Eligible Adults who are Unemployed, 2000-2016</a:t>
            </a:r>
          </a:p>
        </c:rich>
      </c:tx>
      <c:layout>
        <c:manualLayout>
          <c:xMode val="edge"/>
          <c:yMode val="edge"/>
          <c:x val="0.17044581383848895"/>
          <c:y val="7.1399491094148476E-2"/>
        </c:manualLayout>
      </c:layout>
      <c:overlay val="0"/>
    </c:title>
    <c:autoTitleDeleted val="0"/>
    <c:plotArea>
      <c:layout>
        <c:manualLayout>
          <c:layoutTarget val="inner"/>
          <c:xMode val="edge"/>
          <c:yMode val="edge"/>
          <c:x val="0.13897504893237494"/>
          <c:y val="0.1526807893783152"/>
          <c:w val="0.80175410152944593"/>
          <c:h val="0.4843263342082324"/>
        </c:manualLayout>
      </c:layout>
      <c:lineChart>
        <c:grouping val="standard"/>
        <c:varyColors val="0"/>
        <c:ser>
          <c:idx val="0"/>
          <c:order val="0"/>
          <c:tx>
            <c:strRef>
              <c:f>Profile!$D$3</c:f>
              <c:strCache>
                <c:ptCount val="1"/>
                <c:pt idx="0">
                  <c:v>Accomack</c:v>
                </c:pt>
              </c:strCache>
            </c:strRef>
          </c:tx>
          <c:marker>
            <c:symbol val="none"/>
          </c:marker>
          <c:cat>
            <c:numRef>
              <c:f>Profile!$B$43:$B$53</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Profile!$D$43:$D$53</c:f>
              <c:numCache>
                <c:formatCode>0.0%</c:formatCode>
                <c:ptCount val="11"/>
                <c:pt idx="0">
                  <c:v>4.2121684867394697E-2</c:v>
                </c:pt>
                <c:pt idx="1">
                  <c:v>4.1361228530151423E-2</c:v>
                </c:pt>
                <c:pt idx="2">
                  <c:v>4.9915842625710076E-2</c:v>
                </c:pt>
                <c:pt idx="3">
                  <c:v>6.7361708588491317E-2</c:v>
                </c:pt>
                <c:pt idx="4">
                  <c:v>7.0492496300993454E-2</c:v>
                </c:pt>
                <c:pt idx="5">
                  <c:v>7.280433499651269E-2</c:v>
                </c:pt>
                <c:pt idx="6">
                  <c:v>6.8050561185572622E-2</c:v>
                </c:pt>
                <c:pt idx="7">
                  <c:v>6.469613259668508E-2</c:v>
                </c:pt>
                <c:pt idx="8">
                  <c:v>6.4902646030953567E-2</c:v>
                </c:pt>
                <c:pt idx="9">
                  <c:v>5.4219884798397198E-2</c:v>
                </c:pt>
                <c:pt idx="10">
                  <c:v>4.8167605544654726E-2</c:v>
                </c:pt>
              </c:numCache>
            </c:numRef>
          </c:val>
          <c:smooth val="0"/>
          <c:extLst>
            <c:ext xmlns:c16="http://schemas.microsoft.com/office/drawing/2014/chart" uri="{C3380CC4-5D6E-409C-BE32-E72D297353CC}">
              <c16:uniqueId val="{00000000-4BAF-469D-8304-B3688D2A69D9}"/>
            </c:ext>
          </c:extLst>
        </c:ser>
        <c:ser>
          <c:idx val="1"/>
          <c:order val="1"/>
          <c:tx>
            <c:strRef>
              <c:f>Profile!$E$40</c:f>
              <c:strCache>
                <c:ptCount val="1"/>
                <c:pt idx="0">
                  <c:v>Eastern</c:v>
                </c:pt>
              </c:strCache>
            </c:strRef>
          </c:tx>
          <c:spPr>
            <a:ln>
              <a:prstDash val="sysDot"/>
            </a:ln>
          </c:spPr>
          <c:marker>
            <c:symbol val="none"/>
          </c:marker>
          <c:cat>
            <c:numRef>
              <c:f>Profile!$B$43:$B$53</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Profile!$E$43:$E$53</c:f>
              <c:numCache>
                <c:formatCode>0.0%</c:formatCode>
                <c:ptCount val="11"/>
                <c:pt idx="0">
                  <c:v>3.4054139645035592E-2</c:v>
                </c:pt>
                <c:pt idx="1">
                  <c:v>3.3091630916195276E-2</c:v>
                </c:pt>
                <c:pt idx="2">
                  <c:v>4.2744274872914149E-2</c:v>
                </c:pt>
                <c:pt idx="3">
                  <c:v>7.2502585768335376E-2</c:v>
                </c:pt>
                <c:pt idx="4">
                  <c:v>7.6663536748089484E-2</c:v>
                </c:pt>
                <c:pt idx="5">
                  <c:v>7.2411265556543009E-2</c:v>
                </c:pt>
                <c:pt idx="6">
                  <c:v>6.6414075961871114E-2</c:v>
                </c:pt>
                <c:pt idx="7">
                  <c:v>6.1377424762512969E-2</c:v>
                </c:pt>
                <c:pt idx="8">
                  <c:v>5.7334382521145637E-2</c:v>
                </c:pt>
                <c:pt idx="9">
                  <c:v>4.9696849219759469E-2</c:v>
                </c:pt>
                <c:pt idx="10">
                  <c:v>4.6246224883036681E-2</c:v>
                </c:pt>
              </c:numCache>
            </c:numRef>
          </c:val>
          <c:smooth val="0"/>
          <c:extLst>
            <c:ext xmlns:c16="http://schemas.microsoft.com/office/drawing/2014/chart" uri="{C3380CC4-5D6E-409C-BE32-E72D297353CC}">
              <c16:uniqueId val="{00000001-4BAF-469D-8304-B3688D2A69D9}"/>
            </c:ext>
          </c:extLst>
        </c:ser>
        <c:ser>
          <c:idx val="2"/>
          <c:order val="2"/>
          <c:tx>
            <c:strRef>
              <c:f>Profile!$F$40</c:f>
              <c:strCache>
                <c:ptCount val="1"/>
                <c:pt idx="0">
                  <c:v>Statewide</c:v>
                </c:pt>
              </c:strCache>
            </c:strRef>
          </c:tx>
          <c:marker>
            <c:symbol val="none"/>
          </c:marker>
          <c:cat>
            <c:numRef>
              <c:f>Profile!$B$43:$B$53</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Profile!$F$43:$F$53</c:f>
              <c:numCache>
                <c:formatCode>0.0%</c:formatCode>
                <c:ptCount val="11"/>
                <c:pt idx="0">
                  <c:v>3.042605361214783E-2</c:v>
                </c:pt>
                <c:pt idx="1">
                  <c:v>3.0637117624127935E-2</c:v>
                </c:pt>
                <c:pt idx="2">
                  <c:v>3.9533104507533175E-2</c:v>
                </c:pt>
                <c:pt idx="3">
                  <c:v>6.9500899241383113E-2</c:v>
                </c:pt>
                <c:pt idx="4">
                  <c:v>7.0996273411972191E-2</c:v>
                </c:pt>
                <c:pt idx="5">
                  <c:v>6.4437374190308969E-2</c:v>
                </c:pt>
                <c:pt idx="6">
                  <c:v>5.8774345474193433E-2</c:v>
                </c:pt>
                <c:pt idx="7">
                  <c:v>5.5454654156622714E-2</c:v>
                </c:pt>
                <c:pt idx="8">
                  <c:v>5.1645529339042547E-2</c:v>
                </c:pt>
                <c:pt idx="9">
                  <c:v>4.4467413563948954E-2</c:v>
                </c:pt>
                <c:pt idx="10">
                  <c:v>4.0126015938058909E-2</c:v>
                </c:pt>
              </c:numCache>
            </c:numRef>
          </c:val>
          <c:smooth val="0"/>
          <c:extLst>
            <c:ext xmlns:c16="http://schemas.microsoft.com/office/drawing/2014/chart" uri="{C3380CC4-5D6E-409C-BE32-E72D297353CC}">
              <c16:uniqueId val="{00000002-4BAF-469D-8304-B3688D2A69D9}"/>
            </c:ext>
          </c:extLst>
        </c:ser>
        <c:dLbls>
          <c:showLegendKey val="0"/>
          <c:showVal val="0"/>
          <c:showCatName val="0"/>
          <c:showSerName val="0"/>
          <c:showPercent val="0"/>
          <c:showBubbleSize val="0"/>
        </c:dLbls>
        <c:smooth val="0"/>
        <c:axId val="58059776"/>
        <c:axId val="58061568"/>
      </c:lineChart>
      <c:catAx>
        <c:axId val="58059776"/>
        <c:scaling>
          <c:orientation val="minMax"/>
        </c:scaling>
        <c:delete val="0"/>
        <c:axPos val="b"/>
        <c:numFmt formatCode="General" sourceLinked="1"/>
        <c:majorTickMark val="out"/>
        <c:minorTickMark val="none"/>
        <c:tickLblPos val="nextTo"/>
        <c:txPr>
          <a:bodyPr rot="-1500000" vert="horz"/>
          <a:lstStyle/>
          <a:p>
            <a:pPr>
              <a:defRPr/>
            </a:pPr>
            <a:endParaRPr lang="en-US"/>
          </a:p>
        </c:txPr>
        <c:crossAx val="58061568"/>
        <c:crosses val="autoZero"/>
        <c:auto val="1"/>
        <c:lblAlgn val="ctr"/>
        <c:lblOffset val="100"/>
        <c:tickLblSkip val="1"/>
        <c:tickMarkSkip val="1"/>
        <c:noMultiLvlLbl val="0"/>
      </c:catAx>
      <c:valAx>
        <c:axId val="58061568"/>
        <c:scaling>
          <c:orientation val="minMax"/>
        </c:scaling>
        <c:delete val="0"/>
        <c:axPos val="l"/>
        <c:majorGridlines>
          <c:spPr>
            <a:ln>
              <a:solidFill>
                <a:schemeClr val="bg1"/>
              </a:solidFill>
            </a:ln>
          </c:spPr>
        </c:majorGridlines>
        <c:title>
          <c:tx>
            <c:rich>
              <a:bodyPr/>
              <a:lstStyle/>
              <a:p>
                <a:pPr>
                  <a:defRPr/>
                </a:pPr>
                <a:r>
                  <a:rPr lang="en-US"/>
                  <a:t>Percentage (%)</a:t>
                </a:r>
              </a:p>
            </c:rich>
          </c:tx>
          <c:layout>
            <c:manualLayout>
              <c:xMode val="edge"/>
              <c:yMode val="edge"/>
              <c:x val="3.704058731788961E-2"/>
              <c:y val="0.22067119472661337"/>
            </c:manualLayout>
          </c:layout>
          <c:overlay val="0"/>
        </c:title>
        <c:numFmt formatCode="0%" sourceLinked="0"/>
        <c:majorTickMark val="out"/>
        <c:minorTickMark val="none"/>
        <c:tickLblPos val="nextTo"/>
        <c:spPr>
          <a:ln>
            <a:noFill/>
          </a:ln>
        </c:spPr>
        <c:txPr>
          <a:bodyPr rot="0" vert="horz"/>
          <a:lstStyle/>
          <a:p>
            <a:pPr>
              <a:defRPr/>
            </a:pPr>
            <a:endParaRPr lang="en-US"/>
          </a:p>
        </c:txPr>
        <c:crossAx val="58059776"/>
        <c:crosses val="autoZero"/>
        <c:crossBetween val="midCat"/>
      </c:valAx>
      <c:spPr>
        <a:noFill/>
        <a:ln>
          <a:solidFill>
            <a:schemeClr val="accent5">
              <a:lumMod val="75000"/>
            </a:schemeClr>
          </a:solidFill>
        </a:ln>
      </c:spPr>
    </c:plotArea>
    <c:legend>
      <c:legendPos val="b"/>
      <c:layout>
        <c:manualLayout>
          <c:xMode val="edge"/>
          <c:yMode val="edge"/>
          <c:x val="9.0534063676824938E-3"/>
          <c:y val="0.77115986455892138"/>
          <c:w val="0.97708775533493097"/>
          <c:h val="8.8239065536656933E-2"/>
        </c:manualLayout>
      </c:layout>
      <c:overlay val="0"/>
    </c:legend>
    <c:plotVisOnly val="1"/>
    <c:dispBlanksAs val="gap"/>
    <c:showDLblsOverMax val="0"/>
  </c:chart>
  <c:spPr>
    <a:ln w="15875">
      <a:solidFill>
        <a:schemeClr val="accent5">
          <a:lumMod val="75000"/>
        </a:schemeClr>
      </a:solid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Monthly Number of SNAP Applications </a:t>
            </a:r>
          </a:p>
          <a:p>
            <a:pPr>
              <a:defRPr sz="1200"/>
            </a:pPr>
            <a:r>
              <a:rPr lang="en-US" sz="1200"/>
              <a:t>Received and Disposed, CY 2017</a:t>
            </a:r>
          </a:p>
        </c:rich>
      </c:tx>
      <c:layout/>
      <c:overlay val="1"/>
    </c:title>
    <c:autoTitleDeleted val="0"/>
    <c:plotArea>
      <c:layout>
        <c:manualLayout>
          <c:layoutTarget val="inner"/>
          <c:xMode val="edge"/>
          <c:yMode val="edge"/>
          <c:x val="9.0403579202490286E-2"/>
          <c:y val="0.18760559970488719"/>
          <c:w val="0.87455722301670713"/>
          <c:h val="0.60909960497215054"/>
        </c:manualLayout>
      </c:layout>
      <c:barChart>
        <c:barDir val="col"/>
        <c:grouping val="clustered"/>
        <c:varyColors val="0"/>
        <c:ser>
          <c:idx val="0"/>
          <c:order val="0"/>
          <c:tx>
            <c:strRef>
              <c:f>'Data for Graphs'!$L$3</c:f>
              <c:strCache>
                <c:ptCount val="1"/>
                <c:pt idx="0">
                  <c:v>Received</c:v>
                </c:pt>
              </c:strCache>
            </c:strRef>
          </c:tx>
          <c:invertIfNegative val="0"/>
          <c:cat>
            <c:numRef>
              <c:f>'Data for Graphs'!$K$10:$K$21</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'Data for Graphs'!$L$10:$L$21</c:f>
              <c:numCache>
                <c:formatCode>General</c:formatCode>
                <c:ptCount val="12"/>
                <c:pt idx="0">
                  <c:v>149</c:v>
                </c:pt>
                <c:pt idx="1">
                  <c:v>127</c:v>
                </c:pt>
                <c:pt idx="2">
                  <c:v>125</c:v>
                </c:pt>
                <c:pt idx="3">
                  <c:v>122</c:v>
                </c:pt>
                <c:pt idx="4">
                  <c:v>145</c:v>
                </c:pt>
                <c:pt idx="5">
                  <c:v>151</c:v>
                </c:pt>
                <c:pt idx="6">
                  <c:v>140</c:v>
                </c:pt>
                <c:pt idx="7">
                  <c:v>133</c:v>
                </c:pt>
                <c:pt idx="8">
                  <c:v>160</c:v>
                </c:pt>
                <c:pt idx="9">
                  <c:v>153</c:v>
                </c:pt>
                <c:pt idx="10">
                  <c:v>173</c:v>
                </c:pt>
                <c:pt idx="11">
                  <c:v>127</c:v>
                </c:pt>
              </c:numCache>
            </c:numRef>
          </c:val>
          <c:extLst>
            <c:ext xmlns:c16="http://schemas.microsoft.com/office/drawing/2014/chart" uri="{C3380CC4-5D6E-409C-BE32-E72D297353CC}">
              <c16:uniqueId val="{00000000-ECBA-48E2-943C-79E902517843}"/>
            </c:ext>
          </c:extLst>
        </c:ser>
        <c:ser>
          <c:idx val="1"/>
          <c:order val="1"/>
          <c:tx>
            <c:strRef>
              <c:f>'Data for Graphs'!$M$3</c:f>
              <c:strCache>
                <c:ptCount val="1"/>
                <c:pt idx="0">
                  <c:v>Disposed</c:v>
                </c:pt>
              </c:strCache>
            </c:strRef>
          </c:tx>
          <c:invertIfNegative val="0"/>
          <c:cat>
            <c:numRef>
              <c:f>'Data for Graphs'!$K$10:$K$21</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'Data for Graphs'!$M$10:$M$21</c:f>
              <c:numCache>
                <c:formatCode>General</c:formatCode>
                <c:ptCount val="12"/>
                <c:pt idx="0">
                  <c:v>147</c:v>
                </c:pt>
                <c:pt idx="1">
                  <c:v>129</c:v>
                </c:pt>
                <c:pt idx="2">
                  <c:v>118</c:v>
                </c:pt>
                <c:pt idx="3">
                  <c:v>129</c:v>
                </c:pt>
                <c:pt idx="4">
                  <c:v>151</c:v>
                </c:pt>
                <c:pt idx="5">
                  <c:v>158</c:v>
                </c:pt>
                <c:pt idx="6">
                  <c:v>116</c:v>
                </c:pt>
                <c:pt idx="7">
                  <c:v>142</c:v>
                </c:pt>
                <c:pt idx="8">
                  <c:v>130</c:v>
                </c:pt>
                <c:pt idx="9">
                  <c:v>153</c:v>
                </c:pt>
                <c:pt idx="10">
                  <c:v>141</c:v>
                </c:pt>
                <c:pt idx="11">
                  <c:v>173</c:v>
                </c:pt>
              </c:numCache>
            </c:numRef>
          </c:val>
          <c:extLst>
            <c:ext xmlns:c16="http://schemas.microsoft.com/office/drawing/2014/chart" uri="{C3380CC4-5D6E-409C-BE32-E72D297353CC}">
              <c16:uniqueId val="{00000001-ECBA-48E2-943C-79E902517843}"/>
            </c:ext>
          </c:extLst>
        </c:ser>
        <c:dLbls>
          <c:showLegendKey val="0"/>
          <c:showVal val="0"/>
          <c:showCatName val="0"/>
          <c:showSerName val="0"/>
          <c:showPercent val="0"/>
          <c:showBubbleSize val="0"/>
        </c:dLbls>
        <c:gapWidth val="150"/>
        <c:axId val="80932864"/>
        <c:axId val="80934400"/>
      </c:barChart>
      <c:dateAx>
        <c:axId val="80932864"/>
        <c:scaling>
          <c:orientation val="minMax"/>
        </c:scaling>
        <c:delete val="0"/>
        <c:axPos val="b"/>
        <c:numFmt formatCode="mmm\-yy" sourceLinked="1"/>
        <c:majorTickMark val="out"/>
        <c:minorTickMark val="none"/>
        <c:tickLblPos val="nextTo"/>
        <c:txPr>
          <a:bodyPr rot="-2700000"/>
          <a:lstStyle/>
          <a:p>
            <a:pPr>
              <a:defRPr/>
            </a:pPr>
            <a:endParaRPr lang="en-US"/>
          </a:p>
        </c:txPr>
        <c:crossAx val="80934400"/>
        <c:crosses val="autoZero"/>
        <c:auto val="1"/>
        <c:lblOffset val="100"/>
        <c:baseTimeUnit val="months"/>
        <c:majorUnit val="1"/>
        <c:majorTimeUnit val="months"/>
      </c:dateAx>
      <c:valAx>
        <c:axId val="80934400"/>
        <c:scaling>
          <c:orientation val="minMax"/>
        </c:scaling>
        <c:delete val="0"/>
        <c:axPos val="l"/>
        <c:majorGridlines>
          <c:spPr>
            <a:ln>
              <a:noFill/>
            </a:ln>
          </c:spPr>
        </c:majorGridlines>
        <c:numFmt formatCode="General" sourceLinked="1"/>
        <c:majorTickMark val="out"/>
        <c:minorTickMark val="none"/>
        <c:tickLblPos val="nextTo"/>
        <c:crossAx val="80932864"/>
        <c:crosses val="autoZero"/>
        <c:crossBetween val="between"/>
      </c:valAx>
    </c:plotArea>
    <c:legend>
      <c:legendPos val="r"/>
      <c:layout>
        <c:manualLayout>
          <c:xMode val="edge"/>
          <c:yMode val="edge"/>
          <c:x val="0.44854942366339873"/>
          <c:y val="0.15876819476364093"/>
          <c:w val="0.4930990081382059"/>
          <c:h val="8.4101049868766389E-2"/>
        </c:manualLayout>
      </c:layout>
      <c:overlay val="0"/>
    </c:legend>
    <c:plotVisOnly val="1"/>
    <c:dispBlanksAs val="gap"/>
    <c:showDLblsOverMax val="0"/>
  </c:chart>
  <c:spPr>
    <a:ln w="25400">
      <a:solidFill>
        <a:schemeClr val="accent2"/>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Monthly Number of TANF Applications </a:t>
            </a:r>
          </a:p>
          <a:p>
            <a:pPr>
              <a:defRPr sz="1200"/>
            </a:pPr>
            <a:r>
              <a:rPr lang="en-US" sz="1200"/>
              <a:t>Received and Disposed, CY 2017</a:t>
            </a:r>
          </a:p>
        </c:rich>
      </c:tx>
      <c:layout/>
      <c:overlay val="1"/>
    </c:title>
    <c:autoTitleDeleted val="0"/>
    <c:plotArea>
      <c:layout>
        <c:manualLayout>
          <c:layoutTarget val="inner"/>
          <c:xMode val="edge"/>
          <c:yMode val="edge"/>
          <c:x val="9.0403579202490286E-2"/>
          <c:y val="0.18760559970488719"/>
          <c:w val="0.87455722301670713"/>
          <c:h val="0.60909960497215054"/>
        </c:manualLayout>
      </c:layout>
      <c:barChart>
        <c:barDir val="col"/>
        <c:grouping val="clustered"/>
        <c:varyColors val="0"/>
        <c:ser>
          <c:idx val="0"/>
          <c:order val="0"/>
          <c:tx>
            <c:strRef>
              <c:f>'Data for Graphs'!$N$3</c:f>
              <c:strCache>
                <c:ptCount val="1"/>
                <c:pt idx="0">
                  <c:v>Received</c:v>
                </c:pt>
              </c:strCache>
            </c:strRef>
          </c:tx>
          <c:invertIfNegative val="0"/>
          <c:cat>
            <c:numRef>
              <c:f>'Data for Graphs'!$K$10:$K$21</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'Data for Graphs'!$N$10:$N$21</c:f>
              <c:numCache>
                <c:formatCode>General</c:formatCode>
                <c:ptCount val="12"/>
                <c:pt idx="0">
                  <c:v>14</c:v>
                </c:pt>
                <c:pt idx="1">
                  <c:v>13</c:v>
                </c:pt>
                <c:pt idx="2">
                  <c:v>32</c:v>
                </c:pt>
                <c:pt idx="3">
                  <c:v>22</c:v>
                </c:pt>
                <c:pt idx="4">
                  <c:v>17</c:v>
                </c:pt>
                <c:pt idx="5">
                  <c:v>22</c:v>
                </c:pt>
                <c:pt idx="6">
                  <c:v>32</c:v>
                </c:pt>
                <c:pt idx="7">
                  <c:v>28</c:v>
                </c:pt>
                <c:pt idx="8">
                  <c:v>34</c:v>
                </c:pt>
                <c:pt idx="9">
                  <c:v>18</c:v>
                </c:pt>
                <c:pt idx="10">
                  <c:v>23</c:v>
                </c:pt>
                <c:pt idx="11">
                  <c:v>15</c:v>
                </c:pt>
              </c:numCache>
            </c:numRef>
          </c:val>
          <c:extLst>
            <c:ext xmlns:c16="http://schemas.microsoft.com/office/drawing/2014/chart" uri="{C3380CC4-5D6E-409C-BE32-E72D297353CC}">
              <c16:uniqueId val="{00000000-E7FA-4515-AAE3-E21048CBB521}"/>
            </c:ext>
          </c:extLst>
        </c:ser>
        <c:ser>
          <c:idx val="1"/>
          <c:order val="1"/>
          <c:tx>
            <c:strRef>
              <c:f>'Data for Graphs'!$O$3</c:f>
              <c:strCache>
                <c:ptCount val="1"/>
                <c:pt idx="0">
                  <c:v>Disposed</c:v>
                </c:pt>
              </c:strCache>
            </c:strRef>
          </c:tx>
          <c:invertIfNegative val="0"/>
          <c:cat>
            <c:numRef>
              <c:f>'Data for Graphs'!$K$10:$K$21</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'Data for Graphs'!$O$10:$O$21</c:f>
              <c:numCache>
                <c:formatCode>General</c:formatCode>
                <c:ptCount val="12"/>
                <c:pt idx="0">
                  <c:v>26</c:v>
                </c:pt>
                <c:pt idx="1">
                  <c:v>13</c:v>
                </c:pt>
                <c:pt idx="2">
                  <c:v>21</c:v>
                </c:pt>
                <c:pt idx="3">
                  <c:v>26</c:v>
                </c:pt>
                <c:pt idx="4">
                  <c:v>23</c:v>
                </c:pt>
                <c:pt idx="5">
                  <c:v>18</c:v>
                </c:pt>
                <c:pt idx="6">
                  <c:v>24</c:v>
                </c:pt>
                <c:pt idx="7">
                  <c:v>33</c:v>
                </c:pt>
                <c:pt idx="8">
                  <c:v>28</c:v>
                </c:pt>
                <c:pt idx="9">
                  <c:v>30</c:v>
                </c:pt>
                <c:pt idx="10">
                  <c:v>14</c:v>
                </c:pt>
                <c:pt idx="11">
                  <c:v>23</c:v>
                </c:pt>
              </c:numCache>
            </c:numRef>
          </c:val>
          <c:extLst>
            <c:ext xmlns:c16="http://schemas.microsoft.com/office/drawing/2014/chart" uri="{C3380CC4-5D6E-409C-BE32-E72D297353CC}">
              <c16:uniqueId val="{00000001-E7FA-4515-AAE3-E21048CBB521}"/>
            </c:ext>
          </c:extLst>
        </c:ser>
        <c:dLbls>
          <c:showLegendKey val="0"/>
          <c:showVal val="0"/>
          <c:showCatName val="0"/>
          <c:showSerName val="0"/>
          <c:showPercent val="0"/>
          <c:showBubbleSize val="0"/>
        </c:dLbls>
        <c:gapWidth val="150"/>
        <c:axId val="80976128"/>
        <c:axId val="80982016"/>
      </c:barChart>
      <c:dateAx>
        <c:axId val="80976128"/>
        <c:scaling>
          <c:orientation val="minMax"/>
        </c:scaling>
        <c:delete val="0"/>
        <c:axPos val="b"/>
        <c:numFmt formatCode="mmm\-yy" sourceLinked="1"/>
        <c:majorTickMark val="out"/>
        <c:minorTickMark val="none"/>
        <c:tickLblPos val="nextTo"/>
        <c:txPr>
          <a:bodyPr rot="-2700000"/>
          <a:lstStyle/>
          <a:p>
            <a:pPr>
              <a:defRPr/>
            </a:pPr>
            <a:endParaRPr lang="en-US"/>
          </a:p>
        </c:txPr>
        <c:crossAx val="80982016"/>
        <c:crosses val="autoZero"/>
        <c:auto val="1"/>
        <c:lblOffset val="100"/>
        <c:baseTimeUnit val="months"/>
        <c:majorUnit val="1"/>
        <c:majorTimeUnit val="months"/>
      </c:dateAx>
      <c:valAx>
        <c:axId val="80982016"/>
        <c:scaling>
          <c:orientation val="minMax"/>
        </c:scaling>
        <c:delete val="0"/>
        <c:axPos val="l"/>
        <c:majorGridlines>
          <c:spPr>
            <a:ln>
              <a:noFill/>
            </a:ln>
          </c:spPr>
        </c:majorGridlines>
        <c:numFmt formatCode="General" sourceLinked="1"/>
        <c:majorTickMark val="out"/>
        <c:minorTickMark val="none"/>
        <c:tickLblPos val="nextTo"/>
        <c:crossAx val="80976128"/>
        <c:crosses val="autoZero"/>
        <c:crossBetween val="between"/>
      </c:valAx>
    </c:plotArea>
    <c:legend>
      <c:legendPos val="r"/>
      <c:layout>
        <c:manualLayout>
          <c:xMode val="edge"/>
          <c:yMode val="edge"/>
          <c:x val="0.47772520776259642"/>
          <c:y val="0.15447404626792846"/>
          <c:w val="0.4930990081382059"/>
          <c:h val="8.4101049868766389E-2"/>
        </c:manualLayout>
      </c:layout>
      <c:overlay val="0"/>
    </c:legend>
    <c:plotVisOnly val="1"/>
    <c:dispBlanksAs val="gap"/>
    <c:showDLblsOverMax val="0"/>
  </c:chart>
  <c:spPr>
    <a:ln w="25400">
      <a:solidFill>
        <a:schemeClr val="accent2"/>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Monthly Number of Medical</a:t>
            </a:r>
            <a:r>
              <a:rPr lang="en-US" sz="1200" baseline="0"/>
              <a:t> Assistance</a:t>
            </a:r>
            <a:r>
              <a:rPr lang="en-US" sz="1200"/>
              <a:t> Applications </a:t>
            </a:r>
          </a:p>
          <a:p>
            <a:pPr>
              <a:defRPr sz="1200"/>
            </a:pPr>
            <a:r>
              <a:rPr lang="en-US" sz="1200"/>
              <a:t>Received and Disposed, CY 2017</a:t>
            </a:r>
          </a:p>
        </c:rich>
      </c:tx>
      <c:layout/>
      <c:overlay val="1"/>
    </c:title>
    <c:autoTitleDeleted val="0"/>
    <c:plotArea>
      <c:layout>
        <c:manualLayout>
          <c:layoutTarget val="inner"/>
          <c:xMode val="edge"/>
          <c:yMode val="edge"/>
          <c:x val="9.0403579202490286E-2"/>
          <c:y val="0.20907634218344939"/>
          <c:w val="0.87455722301670713"/>
          <c:h val="0.58762886249358837"/>
        </c:manualLayout>
      </c:layout>
      <c:barChart>
        <c:barDir val="col"/>
        <c:grouping val="clustered"/>
        <c:varyColors val="0"/>
        <c:ser>
          <c:idx val="0"/>
          <c:order val="0"/>
          <c:tx>
            <c:strRef>
              <c:f>'Data for Graphs'!$P$3</c:f>
              <c:strCache>
                <c:ptCount val="1"/>
                <c:pt idx="0">
                  <c:v>Received</c:v>
                </c:pt>
              </c:strCache>
            </c:strRef>
          </c:tx>
          <c:invertIfNegative val="0"/>
          <c:cat>
            <c:numRef>
              <c:f>'Data for Graphs'!$K$10:$K$21</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'Data for Graphs'!$P$10:$P$21</c:f>
              <c:numCache>
                <c:formatCode>General</c:formatCode>
                <c:ptCount val="12"/>
                <c:pt idx="0">
                  <c:v>166</c:v>
                </c:pt>
                <c:pt idx="1">
                  <c:v>145</c:v>
                </c:pt>
                <c:pt idx="2">
                  <c:v>159</c:v>
                </c:pt>
                <c:pt idx="3">
                  <c:v>151</c:v>
                </c:pt>
                <c:pt idx="4">
                  <c:v>138</c:v>
                </c:pt>
                <c:pt idx="5">
                  <c:v>137</c:v>
                </c:pt>
                <c:pt idx="6">
                  <c:v>131</c:v>
                </c:pt>
                <c:pt idx="7">
                  <c:v>181</c:v>
                </c:pt>
                <c:pt idx="8">
                  <c:v>147</c:v>
                </c:pt>
                <c:pt idx="9">
                  <c:v>135</c:v>
                </c:pt>
                <c:pt idx="10">
                  <c:v>189</c:v>
                </c:pt>
                <c:pt idx="11">
                  <c:v>149</c:v>
                </c:pt>
              </c:numCache>
            </c:numRef>
          </c:val>
          <c:extLst>
            <c:ext xmlns:c16="http://schemas.microsoft.com/office/drawing/2014/chart" uri="{C3380CC4-5D6E-409C-BE32-E72D297353CC}">
              <c16:uniqueId val="{00000000-43AC-417B-97BE-93B3C711C734}"/>
            </c:ext>
          </c:extLst>
        </c:ser>
        <c:ser>
          <c:idx val="1"/>
          <c:order val="1"/>
          <c:tx>
            <c:strRef>
              <c:f>'Data for Graphs'!$Q$3</c:f>
              <c:strCache>
                <c:ptCount val="1"/>
                <c:pt idx="0">
                  <c:v>Disposed</c:v>
                </c:pt>
              </c:strCache>
            </c:strRef>
          </c:tx>
          <c:invertIfNegative val="0"/>
          <c:cat>
            <c:numRef>
              <c:f>'Data for Graphs'!$K$10:$K$21</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'Data for Graphs'!$Q$10:$Q$21</c:f>
              <c:numCache>
                <c:formatCode>General</c:formatCode>
                <c:ptCount val="12"/>
                <c:pt idx="0">
                  <c:v>162</c:v>
                </c:pt>
                <c:pt idx="1">
                  <c:v>136</c:v>
                </c:pt>
                <c:pt idx="2">
                  <c:v>175</c:v>
                </c:pt>
                <c:pt idx="3">
                  <c:v>187</c:v>
                </c:pt>
                <c:pt idx="4">
                  <c:v>161</c:v>
                </c:pt>
                <c:pt idx="5">
                  <c:v>186</c:v>
                </c:pt>
                <c:pt idx="6">
                  <c:v>144</c:v>
                </c:pt>
                <c:pt idx="7">
                  <c:v>164</c:v>
                </c:pt>
                <c:pt idx="8">
                  <c:v>146</c:v>
                </c:pt>
                <c:pt idx="9">
                  <c:v>147</c:v>
                </c:pt>
                <c:pt idx="10">
                  <c:v>114</c:v>
                </c:pt>
                <c:pt idx="11">
                  <c:v>159</c:v>
                </c:pt>
              </c:numCache>
            </c:numRef>
          </c:val>
          <c:extLst>
            <c:ext xmlns:c16="http://schemas.microsoft.com/office/drawing/2014/chart" uri="{C3380CC4-5D6E-409C-BE32-E72D297353CC}">
              <c16:uniqueId val="{00000001-43AC-417B-97BE-93B3C711C734}"/>
            </c:ext>
          </c:extLst>
        </c:ser>
        <c:dLbls>
          <c:showLegendKey val="0"/>
          <c:showVal val="0"/>
          <c:showCatName val="0"/>
          <c:showSerName val="0"/>
          <c:showPercent val="0"/>
          <c:showBubbleSize val="0"/>
        </c:dLbls>
        <c:gapWidth val="150"/>
        <c:axId val="80999168"/>
        <c:axId val="81000704"/>
      </c:barChart>
      <c:dateAx>
        <c:axId val="80999168"/>
        <c:scaling>
          <c:orientation val="minMax"/>
        </c:scaling>
        <c:delete val="0"/>
        <c:axPos val="b"/>
        <c:numFmt formatCode="mmm\-yy" sourceLinked="1"/>
        <c:majorTickMark val="out"/>
        <c:minorTickMark val="none"/>
        <c:tickLblPos val="nextTo"/>
        <c:txPr>
          <a:bodyPr rot="-2700000"/>
          <a:lstStyle/>
          <a:p>
            <a:pPr>
              <a:defRPr/>
            </a:pPr>
            <a:endParaRPr lang="en-US"/>
          </a:p>
        </c:txPr>
        <c:crossAx val="81000704"/>
        <c:crosses val="autoZero"/>
        <c:auto val="1"/>
        <c:lblOffset val="100"/>
        <c:baseTimeUnit val="months"/>
        <c:majorUnit val="1"/>
        <c:majorTimeUnit val="months"/>
      </c:dateAx>
      <c:valAx>
        <c:axId val="81000704"/>
        <c:scaling>
          <c:orientation val="minMax"/>
        </c:scaling>
        <c:delete val="0"/>
        <c:axPos val="l"/>
        <c:majorGridlines>
          <c:spPr>
            <a:ln>
              <a:noFill/>
            </a:ln>
          </c:spPr>
        </c:majorGridlines>
        <c:numFmt formatCode="General" sourceLinked="1"/>
        <c:majorTickMark val="out"/>
        <c:minorTickMark val="none"/>
        <c:tickLblPos val="nextTo"/>
        <c:crossAx val="80999168"/>
        <c:crosses val="autoZero"/>
        <c:crossBetween val="between"/>
      </c:valAx>
    </c:plotArea>
    <c:legend>
      <c:legendPos val="r"/>
      <c:layout>
        <c:manualLayout>
          <c:xMode val="edge"/>
          <c:yMode val="edge"/>
          <c:x val="0.48356036458243595"/>
          <c:y val="0.16306234325935337"/>
          <c:w val="0.4930990081382059"/>
          <c:h val="8.4101049868766389E-2"/>
        </c:manualLayout>
      </c:layout>
      <c:overlay val="0"/>
    </c:legend>
    <c:plotVisOnly val="1"/>
    <c:dispBlanksAs val="gap"/>
    <c:showDLblsOverMax val="0"/>
  </c:chart>
  <c:spPr>
    <a:ln w="25400">
      <a:solidFill>
        <a:schemeClr val="accent2"/>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Monthly Number of Child Care Applications </a:t>
            </a:r>
          </a:p>
          <a:p>
            <a:pPr>
              <a:defRPr sz="1200"/>
            </a:pPr>
            <a:r>
              <a:rPr lang="en-US" sz="1200"/>
              <a:t>Received and Disposed, CY 2017</a:t>
            </a:r>
          </a:p>
        </c:rich>
      </c:tx>
      <c:layout/>
      <c:overlay val="1"/>
    </c:title>
    <c:autoTitleDeleted val="0"/>
    <c:plotArea>
      <c:layout>
        <c:manualLayout>
          <c:layoutTarget val="inner"/>
          <c:xMode val="edge"/>
          <c:yMode val="edge"/>
          <c:x val="9.0403579202490286E-2"/>
          <c:y val="0.20907634218344939"/>
          <c:w val="0.87455722301670713"/>
          <c:h val="0.58762886249358837"/>
        </c:manualLayout>
      </c:layout>
      <c:barChart>
        <c:barDir val="col"/>
        <c:grouping val="clustered"/>
        <c:varyColors val="0"/>
        <c:ser>
          <c:idx val="0"/>
          <c:order val="0"/>
          <c:tx>
            <c:strRef>
              <c:f>'Data for Graphs'!$R$3</c:f>
              <c:strCache>
                <c:ptCount val="1"/>
                <c:pt idx="0">
                  <c:v>Received</c:v>
                </c:pt>
              </c:strCache>
            </c:strRef>
          </c:tx>
          <c:invertIfNegative val="0"/>
          <c:cat>
            <c:numRef>
              <c:f>'Data for Graphs'!$K$10:$K$21</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'Data for Graphs'!$R$10:$R$21</c:f>
              <c:numCache>
                <c:formatCode>General</c:formatCode>
                <c:ptCount val="12"/>
                <c:pt idx="0">
                  <c:v>1</c:v>
                </c:pt>
                <c:pt idx="1">
                  <c:v>13</c:v>
                </c:pt>
                <c:pt idx="2">
                  <c:v>5</c:v>
                </c:pt>
                <c:pt idx="3">
                  <c:v>2</c:v>
                </c:pt>
                <c:pt idx="4">
                  <c:v>9</c:v>
                </c:pt>
                <c:pt idx="5">
                  <c:v>5</c:v>
                </c:pt>
                <c:pt idx="6">
                  <c:v>8</c:v>
                </c:pt>
                <c:pt idx="7">
                  <c:v>4</c:v>
                </c:pt>
                <c:pt idx="8">
                  <c:v>2</c:v>
                </c:pt>
                <c:pt idx="9">
                  <c:v>8</c:v>
                </c:pt>
                <c:pt idx="10">
                  <c:v>6</c:v>
                </c:pt>
                <c:pt idx="11">
                  <c:v>2</c:v>
                </c:pt>
              </c:numCache>
            </c:numRef>
          </c:val>
          <c:extLst>
            <c:ext xmlns:c16="http://schemas.microsoft.com/office/drawing/2014/chart" uri="{C3380CC4-5D6E-409C-BE32-E72D297353CC}">
              <c16:uniqueId val="{00000000-DB8A-4A0D-ADF5-9D30E840E845}"/>
            </c:ext>
          </c:extLst>
        </c:ser>
        <c:ser>
          <c:idx val="1"/>
          <c:order val="1"/>
          <c:tx>
            <c:strRef>
              <c:f>'Data for Graphs'!$S$3</c:f>
              <c:strCache>
                <c:ptCount val="1"/>
                <c:pt idx="0">
                  <c:v>Disposed</c:v>
                </c:pt>
              </c:strCache>
            </c:strRef>
          </c:tx>
          <c:invertIfNegative val="0"/>
          <c:cat>
            <c:numRef>
              <c:f>'Data for Graphs'!$K$10:$K$21</c:f>
              <c:numCache>
                <c:formatCode>mmm\-yy</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Cache>
            </c:numRef>
          </c:cat>
          <c:val>
            <c:numRef>
              <c:f>'Data for Graphs'!$S$10:$S$21</c:f>
              <c:numCache>
                <c:formatCode>General</c:formatCode>
                <c:ptCount val="12"/>
                <c:pt idx="0">
                  <c:v>1</c:v>
                </c:pt>
                <c:pt idx="1">
                  <c:v>8</c:v>
                </c:pt>
                <c:pt idx="2">
                  <c:v>7</c:v>
                </c:pt>
                <c:pt idx="3">
                  <c:v>7</c:v>
                </c:pt>
                <c:pt idx="4">
                  <c:v>5</c:v>
                </c:pt>
                <c:pt idx="5">
                  <c:v>5</c:v>
                </c:pt>
                <c:pt idx="6">
                  <c:v>7</c:v>
                </c:pt>
                <c:pt idx="7">
                  <c:v>8</c:v>
                </c:pt>
                <c:pt idx="8">
                  <c:v>2</c:v>
                </c:pt>
                <c:pt idx="9">
                  <c:v>6</c:v>
                </c:pt>
                <c:pt idx="10">
                  <c:v>3</c:v>
                </c:pt>
                <c:pt idx="11">
                  <c:v>7</c:v>
                </c:pt>
              </c:numCache>
            </c:numRef>
          </c:val>
          <c:extLst>
            <c:ext xmlns:c16="http://schemas.microsoft.com/office/drawing/2014/chart" uri="{C3380CC4-5D6E-409C-BE32-E72D297353CC}">
              <c16:uniqueId val="{00000001-DB8A-4A0D-ADF5-9D30E840E845}"/>
            </c:ext>
          </c:extLst>
        </c:ser>
        <c:dLbls>
          <c:showLegendKey val="0"/>
          <c:showVal val="0"/>
          <c:showCatName val="0"/>
          <c:showSerName val="0"/>
          <c:showPercent val="0"/>
          <c:showBubbleSize val="0"/>
        </c:dLbls>
        <c:gapWidth val="150"/>
        <c:axId val="81091584"/>
        <c:axId val="81101568"/>
      </c:barChart>
      <c:dateAx>
        <c:axId val="81091584"/>
        <c:scaling>
          <c:orientation val="minMax"/>
        </c:scaling>
        <c:delete val="0"/>
        <c:axPos val="b"/>
        <c:numFmt formatCode="mmm\-yy" sourceLinked="1"/>
        <c:majorTickMark val="out"/>
        <c:minorTickMark val="none"/>
        <c:tickLblPos val="nextTo"/>
        <c:txPr>
          <a:bodyPr rot="-2700000"/>
          <a:lstStyle/>
          <a:p>
            <a:pPr>
              <a:defRPr/>
            </a:pPr>
            <a:endParaRPr lang="en-US"/>
          </a:p>
        </c:txPr>
        <c:crossAx val="81101568"/>
        <c:crosses val="autoZero"/>
        <c:auto val="1"/>
        <c:lblOffset val="100"/>
        <c:baseTimeUnit val="months"/>
        <c:majorUnit val="1"/>
        <c:majorTimeUnit val="months"/>
      </c:dateAx>
      <c:valAx>
        <c:axId val="81101568"/>
        <c:scaling>
          <c:orientation val="minMax"/>
        </c:scaling>
        <c:delete val="0"/>
        <c:axPos val="l"/>
        <c:majorGridlines>
          <c:spPr>
            <a:ln>
              <a:noFill/>
            </a:ln>
          </c:spPr>
        </c:majorGridlines>
        <c:numFmt formatCode="General" sourceLinked="1"/>
        <c:majorTickMark val="out"/>
        <c:minorTickMark val="none"/>
        <c:tickLblPos val="nextTo"/>
        <c:crossAx val="81091584"/>
        <c:crosses val="autoZero"/>
        <c:crossBetween val="between"/>
      </c:valAx>
    </c:plotArea>
    <c:legend>
      <c:legendPos val="r"/>
      <c:layout>
        <c:manualLayout>
          <c:xMode val="edge"/>
          <c:yMode val="edge"/>
          <c:x val="0.48356036458243595"/>
          <c:y val="0.16306234325935337"/>
          <c:w val="0.4930990081382059"/>
          <c:h val="8.4101049868766389E-2"/>
        </c:manualLayout>
      </c:layout>
      <c:overlay val="0"/>
    </c:legend>
    <c:plotVisOnly val="1"/>
    <c:dispBlanksAs val="gap"/>
    <c:showDLblsOverMax val="0"/>
  </c:chart>
  <c:spPr>
    <a:ln w="25400">
      <a:solidFill>
        <a:schemeClr val="accent2"/>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Total Social Services Spending by Funding Source, SFY 20167</a:t>
            </a:r>
          </a:p>
          <a:p>
            <a:pPr>
              <a:defRPr sz="1000"/>
            </a:pPr>
            <a:endParaRPr lang="en-US" sz="1000"/>
          </a:p>
        </c:rich>
      </c:tx>
      <c:overlay val="0"/>
    </c:title>
    <c:autoTitleDeleted val="0"/>
    <c:plotArea>
      <c:layout>
        <c:manualLayout>
          <c:layoutTarget val="inner"/>
          <c:xMode val="edge"/>
          <c:yMode val="edge"/>
          <c:x val="0.27425227728887114"/>
          <c:y val="0.32725632596896548"/>
          <c:w val="0.35985178323298261"/>
          <c:h val="0.59393012766608055"/>
        </c:manualLayout>
      </c:layout>
      <c:pieChart>
        <c:varyColors val="1"/>
        <c:ser>
          <c:idx val="0"/>
          <c:order val="0"/>
          <c:tx>
            <c:v>Pct of Total SS Spending by Source</c:v>
          </c:tx>
          <c:spPr>
            <a:ln>
              <a:solidFill>
                <a:schemeClr val="tx1"/>
              </a:solidFill>
            </a:ln>
          </c:spPr>
          <c:dLbls>
            <c:spPr>
              <a:noFill/>
              <a:ln>
                <a:noFill/>
              </a:ln>
              <a:effectLst/>
            </c:spPr>
            <c:dLblPos val="outEnd"/>
            <c:showLegendKey val="0"/>
            <c:showVal val="1"/>
            <c:showCatName val="1"/>
            <c:showSerName val="0"/>
            <c:showPercent val="0"/>
            <c:showBubbleSize val="0"/>
            <c:showLeaderLines val="1"/>
            <c:extLst>
              <c:ext xmlns:c15="http://schemas.microsoft.com/office/drawing/2012/chart" uri="{CE6537A1-D6FC-4f65-9D91-7224C49458BB}"/>
            </c:extLst>
          </c:dLbls>
          <c:cat>
            <c:strRef>
              <c:f>Profile!$J$182:$L$182</c:f>
              <c:strCache>
                <c:ptCount val="3"/>
                <c:pt idx="0">
                  <c:v>Federal</c:v>
                </c:pt>
                <c:pt idx="1">
                  <c:v>State</c:v>
                </c:pt>
                <c:pt idx="2">
                  <c:v>Local &amp; NER (comb.)</c:v>
                </c:pt>
              </c:strCache>
            </c:strRef>
          </c:cat>
          <c:val>
            <c:numRef>
              <c:f>'Spending By Region'!$I$25:$K$25</c:f>
              <c:numCache>
                <c:formatCode>0%</c:formatCode>
                <c:ptCount val="3"/>
                <c:pt idx="0">
                  <c:v>0.53349926745684517</c:v>
                </c:pt>
                <c:pt idx="1">
                  <c:v>0.43303262024152317</c:v>
                </c:pt>
                <c:pt idx="2">
                  <c:v>3.3468112301631742E-2</c:v>
                </c:pt>
              </c:numCache>
            </c:numRef>
          </c:val>
          <c:extLst>
            <c:ext xmlns:c16="http://schemas.microsoft.com/office/drawing/2014/chart" uri="{C3380CC4-5D6E-409C-BE32-E72D297353CC}">
              <c16:uniqueId val="{00000000-6F23-4C77-95FE-B0DB9F31F1E1}"/>
            </c:ext>
          </c:extLst>
        </c:ser>
        <c:dLbls>
          <c:showLegendKey val="0"/>
          <c:showVal val="0"/>
          <c:showCatName val="0"/>
          <c:showSerName val="0"/>
          <c:showPercent val="0"/>
          <c:showBubbleSize val="0"/>
          <c:showLeaderLines val="1"/>
        </c:dLbls>
        <c:firstSliceAng val="129"/>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32" l="0.70000000000000062" r="0.70000000000000062" t="0.750000000000013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Distribution</a:t>
            </a:r>
            <a:r>
              <a:rPr lang="en-US" sz="1000" baseline="0"/>
              <a:t> of </a:t>
            </a:r>
            <a:r>
              <a:rPr lang="en-US" sz="1000"/>
              <a:t>Social Services Spending, </a:t>
            </a:r>
          </a:p>
          <a:p>
            <a:pPr>
              <a:defRPr sz="1000"/>
            </a:pPr>
            <a:r>
              <a:rPr lang="en-US" sz="1000"/>
              <a:t>SFY 2017	</a:t>
            </a:r>
          </a:p>
        </c:rich>
      </c:tx>
      <c:overlay val="0"/>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tx>
            <c:v>% Total SS Spending</c:v>
          </c:tx>
          <c:spPr>
            <a:solidFill>
              <a:schemeClr val="accent3">
                <a:lumMod val="75000"/>
              </a:schemeClr>
            </a:solidFill>
            <a:ln>
              <a:solidFill>
                <a:schemeClr val="tx1"/>
              </a:solidFill>
            </a:ln>
          </c:spPr>
          <c:dPt>
            <c:idx val="0"/>
            <c:bubble3D val="0"/>
            <c:spPr>
              <a:solidFill>
                <a:schemeClr val="accent3">
                  <a:lumMod val="60000"/>
                  <a:lumOff val="40000"/>
                </a:schemeClr>
              </a:solidFill>
              <a:ln>
                <a:solidFill>
                  <a:schemeClr val="tx1"/>
                </a:solidFill>
              </a:ln>
            </c:spPr>
            <c:extLst>
              <c:ext xmlns:c16="http://schemas.microsoft.com/office/drawing/2014/chart" uri="{C3380CC4-5D6E-409C-BE32-E72D297353CC}">
                <c16:uniqueId val="{00000001-1420-44E4-BC1C-FBDD15FF43BC}"/>
              </c:ext>
            </c:extLst>
          </c:dPt>
          <c:dLbls>
            <c:dLbl>
              <c:idx val="0"/>
              <c:spPr/>
              <c:txPr>
                <a:bodyPr/>
                <a:lstStyle/>
                <a:p>
                  <a:pPr>
                    <a:defRPr/>
                  </a:pPr>
                  <a:endParaRPr lang="en-US"/>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20-44E4-BC1C-FBDD15FF43BC}"/>
                </c:ext>
              </c:extLst>
            </c:dLbl>
            <c:dLbl>
              <c:idx val="1"/>
              <c:layout>
                <c:manualLayout>
                  <c:x val="5.4514974484494431E-2"/>
                  <c:y val="0.11940298507462686"/>
                </c:manualLayout>
              </c:layout>
              <c:spPr/>
              <c:txPr>
                <a:bodyPr/>
                <a:lstStyle/>
                <a:p>
                  <a:pPr>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420-44E4-BC1C-FBDD15FF43BC}"/>
                </c:ext>
              </c:extLst>
            </c:dLbl>
            <c:dLbl>
              <c:idx val="2"/>
              <c:layout>
                <c:manualLayout>
                  <c:x val="-4.6920821114369467E-2"/>
                  <c:y val="-3.98009950248759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420-44E4-BC1C-FBDD15FF43BC}"/>
                </c:ext>
              </c:extLst>
            </c:dLbl>
            <c:spPr>
              <a:noFill/>
              <a:ln>
                <a:noFill/>
              </a:ln>
              <a:effectLst/>
            </c:sp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Profile!$U$191:$W$191</c:f>
              <c:strCache>
                <c:ptCount val="3"/>
                <c:pt idx="0">
                  <c:v>Admini-stration</c:v>
                </c:pt>
                <c:pt idx="1">
                  <c:v>Services</c:v>
                </c:pt>
                <c:pt idx="2">
                  <c:v>Benefits</c:v>
                </c:pt>
              </c:strCache>
            </c:strRef>
          </c:cat>
          <c:val>
            <c:numRef>
              <c:f>'Spending By Region'!$U$15:$W$15</c:f>
              <c:numCache>
                <c:formatCode>0.0%</c:formatCode>
                <c:ptCount val="3"/>
                <c:pt idx="0">
                  <c:v>5.1937606651012387E-2</c:v>
                </c:pt>
                <c:pt idx="1">
                  <c:v>2.2454748084537119E-3</c:v>
                </c:pt>
                <c:pt idx="2">
                  <c:v>0.94581691854053385</c:v>
                </c:pt>
              </c:numCache>
            </c:numRef>
          </c:val>
          <c:extLst>
            <c:ext xmlns:c16="http://schemas.microsoft.com/office/drawing/2014/chart" uri="{C3380CC4-5D6E-409C-BE32-E72D297353CC}">
              <c16:uniqueId val="{00000004-1420-44E4-BC1C-FBDD15FF43BC}"/>
            </c:ext>
          </c:extLst>
        </c:ser>
        <c:dLbls>
          <c:showLegendKey val="0"/>
          <c:showVal val="0"/>
          <c:showCatName val="0"/>
          <c:showSerName val="0"/>
          <c:showPercent val="0"/>
          <c:showBubbleSize val="0"/>
          <c:showLeaderLines val="1"/>
        </c:dLbls>
        <c:firstSliceAng val="45"/>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54" l="0.70000000000000062" r="0.70000000000000062" t="0.7500000000000135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Eligible</a:t>
            </a:r>
            <a:r>
              <a:rPr lang="en-US" sz="1000" baseline="0">
                <a:latin typeface="+mj-lt"/>
                <a:cs typeface="Times New Roman" pitchFamily="18" charset="0"/>
              </a:rPr>
              <a:t> </a:t>
            </a:r>
            <a:r>
              <a:rPr lang="en-US" sz="1000">
                <a:latin typeface="+mj-lt"/>
                <a:cs typeface="Times New Roman" pitchFamily="18" charset="0"/>
              </a:rPr>
              <a:t>TANF Clients by Calendar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Profile!$E$114</c:f>
              <c:strCache>
                <c:ptCount val="1"/>
                <c:pt idx="0">
                  <c:v>TANF</c:v>
                </c:pt>
              </c:strCache>
            </c:strRef>
          </c:tx>
          <c:spPr>
            <a:ln>
              <a:noFill/>
              <a:prstDash val="lgDashDotDot"/>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Profile!$B$116:$C$121</c:f>
              <c:strCache>
                <c:ptCount val="6"/>
                <c:pt idx="0">
                  <c:v>2012</c:v>
                </c:pt>
                <c:pt idx="1">
                  <c:v>2013</c:v>
                </c:pt>
                <c:pt idx="2">
                  <c:v>2014</c:v>
                </c:pt>
                <c:pt idx="3">
                  <c:v>2015</c:v>
                </c:pt>
                <c:pt idx="4">
                  <c:v>2016</c:v>
                </c:pt>
                <c:pt idx="5">
                  <c:v>2017</c:v>
                </c:pt>
              </c:strCache>
            </c:strRef>
          </c:cat>
          <c:val>
            <c:numRef>
              <c:f>Profile!$E$116:$E$121</c:f>
              <c:numCache>
                <c:formatCode>#,##0</c:formatCode>
                <c:ptCount val="6"/>
                <c:pt idx="0">
                  <c:v>886</c:v>
                </c:pt>
                <c:pt idx="1">
                  <c:v>789</c:v>
                </c:pt>
                <c:pt idx="2">
                  <c:v>658</c:v>
                </c:pt>
                <c:pt idx="3">
                  <c:v>609</c:v>
                </c:pt>
                <c:pt idx="4">
                  <c:v>454</c:v>
                </c:pt>
                <c:pt idx="5">
                  <c:v>472</c:v>
                </c:pt>
              </c:numCache>
            </c:numRef>
          </c:val>
          <c:extLst>
            <c:ext xmlns:c16="http://schemas.microsoft.com/office/drawing/2014/chart" uri="{C3380CC4-5D6E-409C-BE32-E72D297353CC}">
              <c16:uniqueId val="{00000000-6F9D-43E9-9AE5-01022579848D}"/>
            </c:ext>
          </c:extLst>
        </c:ser>
        <c:dLbls>
          <c:showLegendKey val="0"/>
          <c:showVal val="0"/>
          <c:showCatName val="0"/>
          <c:showSerName val="0"/>
          <c:showPercent val="0"/>
          <c:showBubbleSize val="0"/>
        </c:dLbls>
        <c:gapWidth val="150"/>
        <c:axId val="64727296"/>
        <c:axId val="64741376"/>
      </c:barChart>
      <c:catAx>
        <c:axId val="64727296"/>
        <c:scaling>
          <c:orientation val="minMax"/>
        </c:scaling>
        <c:delete val="0"/>
        <c:axPos val="b"/>
        <c:numFmt formatCode="General" sourceLinked="1"/>
        <c:majorTickMark val="out"/>
        <c:minorTickMark val="none"/>
        <c:tickLblPos val="nextTo"/>
        <c:txPr>
          <a:bodyPr rot="0" vert="horz"/>
          <a:lstStyle/>
          <a:p>
            <a:pPr>
              <a:defRPr/>
            </a:pPr>
            <a:endParaRPr lang="en-US"/>
          </a:p>
        </c:txPr>
        <c:crossAx val="64741376"/>
        <c:crosses val="autoZero"/>
        <c:auto val="1"/>
        <c:lblAlgn val="ctr"/>
        <c:lblOffset val="100"/>
        <c:noMultiLvlLbl val="0"/>
      </c:catAx>
      <c:valAx>
        <c:axId val="64741376"/>
        <c:scaling>
          <c:orientation val="minMax"/>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64727296"/>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Percentage of People (All Ages) Living in Poverty, </a:t>
            </a:r>
          </a:p>
          <a:p>
            <a:pPr>
              <a:defRPr sz="1000">
                <a:latin typeface="+mj-lt"/>
              </a:defRPr>
            </a:pPr>
            <a:r>
              <a:rPr lang="en-US" sz="1000">
                <a:latin typeface="+mj-lt"/>
              </a:rPr>
              <a:t>2006-2016</a:t>
            </a:r>
          </a:p>
        </c:rich>
      </c:tx>
      <c:layout/>
      <c:overlay val="0"/>
    </c:title>
    <c:autoTitleDeleted val="0"/>
    <c:plotArea>
      <c:layout>
        <c:manualLayout>
          <c:layoutTarget val="inner"/>
          <c:xMode val="edge"/>
          <c:yMode val="edge"/>
          <c:x val="0.13416343936028979"/>
          <c:y val="0.19261056920123787"/>
          <c:w val="0.80380179750259229"/>
          <c:h val="0.4789763779527631"/>
        </c:manualLayout>
      </c:layout>
      <c:lineChart>
        <c:grouping val="standard"/>
        <c:varyColors val="0"/>
        <c:ser>
          <c:idx val="0"/>
          <c:order val="0"/>
          <c:tx>
            <c:strRef>
              <c:f>Profile!$C$25</c:f>
              <c:strCache>
                <c:ptCount val="1"/>
                <c:pt idx="0">
                  <c:v>Accomack</c:v>
                </c:pt>
              </c:strCache>
            </c:strRef>
          </c:tx>
          <c:marker>
            <c:symbol val="none"/>
          </c:marker>
          <c:cat>
            <c:numRef>
              <c:f>Profile!$B$28:$B$38</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Profile!$C$28:$C$38</c:f>
              <c:numCache>
                <c:formatCode>0.0%</c:formatCode>
                <c:ptCount val="11"/>
                <c:pt idx="0">
                  <c:v>0.154</c:v>
                </c:pt>
                <c:pt idx="1">
                  <c:v>0.16800000000000001</c:v>
                </c:pt>
                <c:pt idx="2">
                  <c:v>0.20600000000000002</c:v>
                </c:pt>
                <c:pt idx="3">
                  <c:v>0.183</c:v>
                </c:pt>
                <c:pt idx="4">
                  <c:v>0.20499999999999999</c:v>
                </c:pt>
                <c:pt idx="5">
                  <c:v>0.193</c:v>
                </c:pt>
                <c:pt idx="6">
                  <c:v>0.19900000000000001</c:v>
                </c:pt>
                <c:pt idx="7">
                  <c:v>0.19252741881281887</c:v>
                </c:pt>
                <c:pt idx="8">
                  <c:v>0.19371551195585529</c:v>
                </c:pt>
                <c:pt idx="9">
                  <c:v>0.20385040530582166</c:v>
                </c:pt>
                <c:pt idx="10">
                  <c:v>0.19962491545225358</c:v>
                </c:pt>
              </c:numCache>
            </c:numRef>
          </c:val>
          <c:smooth val="0"/>
          <c:extLst>
            <c:ext xmlns:c16="http://schemas.microsoft.com/office/drawing/2014/chart" uri="{C3380CC4-5D6E-409C-BE32-E72D297353CC}">
              <c16:uniqueId val="{00000000-956F-4ECB-A3CA-EC8A4C661510}"/>
            </c:ext>
          </c:extLst>
        </c:ser>
        <c:ser>
          <c:idx val="1"/>
          <c:order val="1"/>
          <c:tx>
            <c:strRef>
              <c:f>Profile!$E$25</c:f>
              <c:strCache>
                <c:ptCount val="1"/>
                <c:pt idx="0">
                  <c:v>Eastern</c:v>
                </c:pt>
              </c:strCache>
            </c:strRef>
          </c:tx>
          <c:spPr>
            <a:ln>
              <a:prstDash val="sysDot"/>
            </a:ln>
          </c:spPr>
          <c:marker>
            <c:symbol val="none"/>
          </c:marker>
          <c:cat>
            <c:numRef>
              <c:f>Profile!$B$28:$B$38</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Profile!$E$28:$E$38</c:f>
              <c:numCache>
                <c:formatCode>0.0%</c:formatCode>
                <c:ptCount val="11"/>
                <c:pt idx="0">
                  <c:v>0.10639459370059251</c:v>
                </c:pt>
                <c:pt idx="1">
                  <c:v>0.11202655946373949</c:v>
                </c:pt>
                <c:pt idx="2">
                  <c:v>0.11571808952754851</c:v>
                </c:pt>
                <c:pt idx="3">
                  <c:v>0.11429957969100746</c:v>
                </c:pt>
                <c:pt idx="4">
                  <c:v>0.12023872863352066</c:v>
                </c:pt>
                <c:pt idx="5">
                  <c:v>0.12870004950966066</c:v>
                </c:pt>
                <c:pt idx="6">
                  <c:v>0.13600000000000001</c:v>
                </c:pt>
                <c:pt idx="7">
                  <c:v>0.13722953804582269</c:v>
                </c:pt>
                <c:pt idx="8">
                  <c:v>0.13349245196423984</c:v>
                </c:pt>
                <c:pt idx="9">
                  <c:v>0.12957719229379919</c:v>
                </c:pt>
                <c:pt idx="10">
                  <c:v>0.12507315600745675</c:v>
                </c:pt>
              </c:numCache>
            </c:numRef>
          </c:val>
          <c:smooth val="0"/>
          <c:extLst>
            <c:ext xmlns:c16="http://schemas.microsoft.com/office/drawing/2014/chart" uri="{C3380CC4-5D6E-409C-BE32-E72D297353CC}">
              <c16:uniqueId val="{00000001-956F-4ECB-A3CA-EC8A4C661510}"/>
            </c:ext>
          </c:extLst>
        </c:ser>
        <c:ser>
          <c:idx val="2"/>
          <c:order val="2"/>
          <c:tx>
            <c:strRef>
              <c:f>Profile!$G$25</c:f>
              <c:strCache>
                <c:ptCount val="1"/>
                <c:pt idx="0">
                  <c:v>Statewide</c:v>
                </c:pt>
              </c:strCache>
            </c:strRef>
          </c:tx>
          <c:marker>
            <c:symbol val="none"/>
          </c:marker>
          <c:cat>
            <c:numRef>
              <c:f>Profile!$B$28:$B$38</c:f>
              <c:numCache>
                <c:formatCode>General</c:formatCode>
                <c:ptCount val="11"/>
                <c:pt idx="0">
                  <c:v>2006</c:v>
                </c:pt>
                <c:pt idx="1">
                  <c:v>2007</c:v>
                </c:pt>
                <c:pt idx="2">
                  <c:v>2008</c:v>
                </c:pt>
                <c:pt idx="3">
                  <c:v>2009</c:v>
                </c:pt>
                <c:pt idx="4">
                  <c:v>2010</c:v>
                </c:pt>
                <c:pt idx="5">
                  <c:v>2011</c:v>
                </c:pt>
                <c:pt idx="6">
                  <c:v>2012</c:v>
                </c:pt>
                <c:pt idx="7">
                  <c:v>2013</c:v>
                </c:pt>
                <c:pt idx="8">
                  <c:v>2014</c:v>
                </c:pt>
                <c:pt idx="9">
                  <c:v>2015</c:v>
                </c:pt>
                <c:pt idx="10">
                  <c:v>2016</c:v>
                </c:pt>
              </c:numCache>
            </c:numRef>
          </c:cat>
          <c:val>
            <c:numRef>
              <c:f>Profile!$G$28:$G$38</c:f>
              <c:numCache>
                <c:formatCode>0.0%</c:formatCode>
                <c:ptCount val="11"/>
                <c:pt idx="0">
                  <c:v>9.6199999999999994E-2</c:v>
                </c:pt>
                <c:pt idx="1">
                  <c:v>9.9000000000000005E-2</c:v>
                </c:pt>
                <c:pt idx="2">
                  <c:v>0.10210000000000001</c:v>
                </c:pt>
                <c:pt idx="3">
                  <c:v>0.1057</c:v>
                </c:pt>
                <c:pt idx="4">
                  <c:v>0.11118840014389482</c:v>
                </c:pt>
                <c:pt idx="5">
                  <c:v>0.11600000000000001</c:v>
                </c:pt>
                <c:pt idx="6">
                  <c:v>0.11799999999999999</c:v>
                </c:pt>
                <c:pt idx="7">
                  <c:v>0.11747751027208382</c:v>
                </c:pt>
                <c:pt idx="8">
                  <c:v>0.1182560438559494</c:v>
                </c:pt>
                <c:pt idx="9">
                  <c:v>0.11243251566072024</c:v>
                </c:pt>
                <c:pt idx="10">
                  <c:v>0.11</c:v>
                </c:pt>
              </c:numCache>
            </c:numRef>
          </c:val>
          <c:smooth val="0"/>
          <c:extLst>
            <c:ext xmlns:c16="http://schemas.microsoft.com/office/drawing/2014/chart" uri="{C3380CC4-5D6E-409C-BE32-E72D297353CC}">
              <c16:uniqueId val="{00000002-956F-4ECB-A3CA-EC8A4C661510}"/>
            </c:ext>
          </c:extLst>
        </c:ser>
        <c:dLbls>
          <c:showLegendKey val="0"/>
          <c:showVal val="0"/>
          <c:showCatName val="0"/>
          <c:showSerName val="0"/>
          <c:showPercent val="0"/>
          <c:showBubbleSize val="0"/>
        </c:dLbls>
        <c:smooth val="0"/>
        <c:axId val="80497664"/>
        <c:axId val="80507648"/>
      </c:lineChart>
      <c:catAx>
        <c:axId val="80497664"/>
        <c:scaling>
          <c:orientation val="minMax"/>
        </c:scaling>
        <c:delete val="0"/>
        <c:axPos val="b"/>
        <c:numFmt formatCode="General" sourceLinked="1"/>
        <c:majorTickMark val="out"/>
        <c:minorTickMark val="none"/>
        <c:tickLblPos val="nextTo"/>
        <c:txPr>
          <a:bodyPr rot="-1200000" vert="horz"/>
          <a:lstStyle/>
          <a:p>
            <a:pPr>
              <a:defRPr/>
            </a:pPr>
            <a:endParaRPr lang="en-US"/>
          </a:p>
        </c:txPr>
        <c:crossAx val="80507648"/>
        <c:crosses val="autoZero"/>
        <c:auto val="1"/>
        <c:lblAlgn val="ctr"/>
        <c:lblOffset val="100"/>
        <c:tickLblSkip val="1"/>
        <c:noMultiLvlLbl val="0"/>
      </c:catAx>
      <c:valAx>
        <c:axId val="80507648"/>
        <c:scaling>
          <c:orientation val="minMax"/>
        </c:scaling>
        <c:delete val="0"/>
        <c:axPos val="l"/>
        <c:title>
          <c:tx>
            <c:rich>
              <a:bodyPr/>
              <a:lstStyle/>
              <a:p>
                <a:pPr>
                  <a:defRPr/>
                </a:pPr>
                <a:r>
                  <a:rPr lang="en-US"/>
                  <a:t>Percentage (%)</a:t>
                </a:r>
              </a:p>
            </c:rich>
          </c:tx>
          <c:layout/>
          <c:overlay val="0"/>
        </c:title>
        <c:numFmt formatCode="0%" sourceLinked="0"/>
        <c:majorTickMark val="out"/>
        <c:minorTickMark val="none"/>
        <c:tickLblPos val="nextTo"/>
        <c:txPr>
          <a:bodyPr rot="0" vert="horz"/>
          <a:lstStyle/>
          <a:p>
            <a:pPr>
              <a:defRPr/>
            </a:pPr>
            <a:endParaRPr lang="en-US"/>
          </a:p>
        </c:txPr>
        <c:crossAx val="80497664"/>
        <c:crosses val="autoZero"/>
        <c:crossBetween val="midCat"/>
      </c:valAx>
    </c:plotArea>
    <c:legend>
      <c:legendPos val="r"/>
      <c:layout>
        <c:manualLayout>
          <c:xMode val="edge"/>
          <c:yMode val="edge"/>
          <c:x val="1.0978558074672261E-3"/>
          <c:y val="0.7947236259646645"/>
          <c:w val="0.99890214419252699"/>
          <c:h val="0.13174716966349503"/>
        </c:manualLayout>
      </c:layout>
      <c:overlay val="0"/>
      <c:txPr>
        <a:bodyPr/>
        <a:lstStyle/>
        <a:p>
          <a:pPr>
            <a:defRPr sz="900"/>
          </a:pPr>
          <a:endParaRPr lang="en-US"/>
        </a:p>
      </c:txPr>
    </c:legend>
    <c:plotVisOnly val="1"/>
    <c:dispBlanksAs val="gap"/>
    <c:showDLblsOverMax val="0"/>
  </c:chart>
  <c:spPr>
    <a:ln w="15875">
      <a:solidFill>
        <a:schemeClr val="accent5">
          <a:lumMod val="75000"/>
        </a:schemeClr>
      </a:solidFill>
    </a:ln>
  </c:spPr>
  <c:printSettings>
    <c:headerFooter/>
    <c:pageMargins b="0.5" l="0.45" r="0.45" t="0.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Total Social Services Spending by Funding Source in Locality, SFY 2017</a:t>
            </a:r>
          </a:p>
          <a:p>
            <a:pPr>
              <a:defRPr sz="1000"/>
            </a:pPr>
            <a:endParaRPr lang="en-US" sz="1000"/>
          </a:p>
        </c:rich>
      </c:tx>
      <c:layout/>
      <c:overlay val="0"/>
    </c:title>
    <c:autoTitleDeleted val="0"/>
    <c:plotArea>
      <c:layout>
        <c:manualLayout>
          <c:layoutTarget val="inner"/>
          <c:xMode val="edge"/>
          <c:yMode val="edge"/>
          <c:x val="0.27425227728887114"/>
          <c:y val="0.28124126791843329"/>
          <c:w val="0.4422047244094488"/>
          <c:h val="0.57826771653543307"/>
        </c:manualLayout>
      </c:layout>
      <c:pieChart>
        <c:varyColors val="1"/>
        <c:ser>
          <c:idx val="0"/>
          <c:order val="0"/>
          <c:tx>
            <c:v>Pct of Total SS Spending by Source</c:v>
          </c:tx>
          <c:spPr>
            <a:ln>
              <a:solidFill>
                <a:schemeClr val="tx1"/>
              </a:solidFill>
            </a:ln>
          </c:spPr>
          <c:dPt>
            <c:idx val="0"/>
            <c:bubble3D val="0"/>
            <c:spPr>
              <a:solidFill>
                <a:schemeClr val="accent3">
                  <a:lumMod val="50000"/>
                </a:schemeClr>
              </a:solidFill>
              <a:ln>
                <a:solidFill>
                  <a:schemeClr val="tx1"/>
                </a:solidFill>
              </a:ln>
            </c:spPr>
            <c:extLst>
              <c:ext xmlns:c16="http://schemas.microsoft.com/office/drawing/2014/chart" uri="{C3380CC4-5D6E-409C-BE32-E72D297353CC}">
                <c16:uniqueId val="{00000001-43AE-4C3D-8DF6-AD76D8F6D3C2}"/>
              </c:ext>
            </c:extLst>
          </c:dPt>
          <c:dLbls>
            <c:spPr>
              <a:noFill/>
              <a:ln>
                <a:noFill/>
              </a:ln>
              <a:effectLst/>
            </c:spPr>
            <c:dLblPos val="outEnd"/>
            <c:showLegendKey val="0"/>
            <c:showVal val="1"/>
            <c:showCatName val="1"/>
            <c:showSerName val="0"/>
            <c:showPercent val="0"/>
            <c:showBubbleSize val="0"/>
            <c:showLeaderLines val="1"/>
            <c:extLst>
              <c:ext xmlns:c15="http://schemas.microsoft.com/office/drawing/2012/chart" uri="{CE6537A1-D6FC-4f65-9D91-7224C49458BB}">
                <c15:layout/>
              </c:ext>
            </c:extLst>
          </c:dLbls>
          <c:cat>
            <c:strRef>
              <c:f>Profile!$J$182:$L$182</c:f>
              <c:strCache>
                <c:ptCount val="3"/>
                <c:pt idx="0">
                  <c:v>Federal</c:v>
                </c:pt>
                <c:pt idx="1">
                  <c:v>State</c:v>
                </c:pt>
                <c:pt idx="2">
                  <c:v>Local &amp; NER (comb.)</c:v>
                </c:pt>
              </c:strCache>
            </c:strRef>
          </c:cat>
          <c:val>
            <c:numRef>
              <c:f>Profile!$J$204:$L$204</c:f>
              <c:numCache>
                <c:formatCode>0%</c:formatCode>
                <c:ptCount val="3"/>
                <c:pt idx="0">
                  <c:v>0.56928269465598913</c:v>
                </c:pt>
                <c:pt idx="1">
                  <c:v>0.41459195240402869</c:v>
                </c:pt>
                <c:pt idx="2">
                  <c:v>1.6125352939982015E-2</c:v>
                </c:pt>
              </c:numCache>
            </c:numRef>
          </c:val>
          <c:extLst>
            <c:ext xmlns:c16="http://schemas.microsoft.com/office/drawing/2014/chart" uri="{C3380CC4-5D6E-409C-BE32-E72D297353CC}">
              <c16:uniqueId val="{00000002-43AE-4C3D-8DF6-AD76D8F6D3C2}"/>
            </c:ext>
          </c:extLst>
        </c:ser>
        <c:dLbls>
          <c:showLegendKey val="0"/>
          <c:showVal val="0"/>
          <c:showCatName val="0"/>
          <c:showSerName val="0"/>
          <c:showPercent val="0"/>
          <c:showBubbleSize val="0"/>
          <c:showLeaderLines val="1"/>
        </c:dLbls>
        <c:firstSliceAng val="129"/>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32" l="0.70000000000000062" r="0.70000000000000062" t="0.750000000000013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Distribution</a:t>
            </a:r>
            <a:r>
              <a:rPr lang="en-US" sz="1000" baseline="0"/>
              <a:t> of </a:t>
            </a:r>
            <a:r>
              <a:rPr lang="en-US" sz="1000"/>
              <a:t>Social Services Spending in  Locality, SFY 2017</a:t>
            </a:r>
          </a:p>
        </c:rich>
      </c:tx>
      <c:layout/>
      <c:overlay val="0"/>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tx>
            <c:v>% Total SS Spending</c:v>
          </c:tx>
          <c:spPr>
            <a:solidFill>
              <a:schemeClr val="accent3">
                <a:lumMod val="75000"/>
              </a:schemeClr>
            </a:solidFill>
            <a:ln>
              <a:solidFill>
                <a:schemeClr val="tx1"/>
              </a:solidFill>
            </a:ln>
          </c:spPr>
          <c:dPt>
            <c:idx val="0"/>
            <c:bubble3D val="0"/>
            <c:spPr>
              <a:solidFill>
                <a:schemeClr val="accent3">
                  <a:lumMod val="60000"/>
                  <a:lumOff val="40000"/>
                </a:schemeClr>
              </a:solidFill>
              <a:ln>
                <a:solidFill>
                  <a:schemeClr val="tx1"/>
                </a:solidFill>
              </a:ln>
            </c:spPr>
            <c:extLst>
              <c:ext xmlns:c16="http://schemas.microsoft.com/office/drawing/2014/chart" uri="{C3380CC4-5D6E-409C-BE32-E72D297353CC}">
                <c16:uniqueId val="{00000001-BD6B-4D64-9BE8-D60F9BE529C4}"/>
              </c:ext>
            </c:extLst>
          </c:dPt>
          <c:dPt>
            <c:idx val="1"/>
            <c:bubble3D val="0"/>
            <c:spPr>
              <a:solidFill>
                <a:schemeClr val="accent3"/>
              </a:solidFill>
              <a:ln>
                <a:solidFill>
                  <a:schemeClr val="tx1"/>
                </a:solidFill>
              </a:ln>
            </c:spPr>
            <c:extLst>
              <c:ext xmlns:c16="http://schemas.microsoft.com/office/drawing/2014/chart" uri="{C3380CC4-5D6E-409C-BE32-E72D297353CC}">
                <c16:uniqueId val="{00000003-BD6B-4D64-9BE8-D60F9BE529C4}"/>
              </c:ext>
            </c:extLst>
          </c:dPt>
          <c:dPt>
            <c:idx val="2"/>
            <c:bubble3D val="0"/>
            <c:spPr>
              <a:solidFill>
                <a:schemeClr val="accent3">
                  <a:lumMod val="50000"/>
                </a:schemeClr>
              </a:solidFill>
              <a:ln>
                <a:solidFill>
                  <a:schemeClr val="tx1"/>
                </a:solidFill>
              </a:ln>
            </c:spPr>
            <c:extLst>
              <c:ext xmlns:c16="http://schemas.microsoft.com/office/drawing/2014/chart" uri="{C3380CC4-5D6E-409C-BE32-E72D297353CC}">
                <c16:uniqueId val="{00000005-BD6B-4D64-9BE8-D60F9BE529C4}"/>
              </c:ext>
            </c:extLst>
          </c:dPt>
          <c:dLbls>
            <c:dLbl>
              <c:idx val="0"/>
              <c:layout/>
              <c:spPr/>
              <c:txPr>
                <a:bodyPr/>
                <a:lstStyle/>
                <a:p>
                  <a:pPr>
                    <a:defRPr/>
                  </a:pPr>
                  <a:endParaRPr lang="en-US"/>
                </a:p>
              </c:txPr>
              <c:dLblPos val="outEnd"/>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D6B-4D64-9BE8-D60F9BE529C4}"/>
                </c:ext>
              </c:extLst>
            </c:dLbl>
            <c:dLbl>
              <c:idx val="1"/>
              <c:layout>
                <c:manualLayout>
                  <c:x val="5.4514974484494431E-2"/>
                  <c:y val="0.11940298507462686"/>
                </c:manualLayout>
              </c:layout>
              <c:spPr/>
              <c:txPr>
                <a:bodyPr/>
                <a:lstStyle/>
                <a:p>
                  <a:pPr>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BD6B-4D64-9BE8-D60F9BE529C4}"/>
                </c:ext>
              </c:extLst>
            </c:dLbl>
            <c:dLbl>
              <c:idx val="2"/>
              <c:layout>
                <c:manualLayout>
                  <c:x val="-4.6920821114369467E-2"/>
                  <c:y val="-3.98009950248759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BD6B-4D64-9BE8-D60F9BE529C4}"/>
                </c:ext>
              </c:extLst>
            </c:dLbl>
            <c:spPr>
              <a:noFill/>
              <a:ln>
                <a:noFill/>
              </a:ln>
              <a:effectLst/>
            </c:sp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Profile!$U$191:$W$191</c:f>
              <c:strCache>
                <c:ptCount val="3"/>
                <c:pt idx="0">
                  <c:v>Admini-stration</c:v>
                </c:pt>
                <c:pt idx="1">
                  <c:v>Services</c:v>
                </c:pt>
                <c:pt idx="2">
                  <c:v>Benefits</c:v>
                </c:pt>
              </c:strCache>
            </c:strRef>
          </c:cat>
          <c:val>
            <c:numRef>
              <c:f>Profile!$U$196:$W$196</c:f>
              <c:numCache>
                <c:formatCode>0.0%</c:formatCode>
                <c:ptCount val="3"/>
                <c:pt idx="0">
                  <c:v>5.4156351987381009E-2</c:v>
                </c:pt>
                <c:pt idx="1">
                  <c:v>1.662290155524595E-3</c:v>
                </c:pt>
                <c:pt idx="2">
                  <c:v>0.94418135785709434</c:v>
                </c:pt>
              </c:numCache>
            </c:numRef>
          </c:val>
          <c:extLst>
            <c:ext xmlns:c16="http://schemas.microsoft.com/office/drawing/2014/chart" uri="{C3380CC4-5D6E-409C-BE32-E72D297353CC}">
              <c16:uniqueId val="{00000006-BD6B-4D64-9BE8-D60F9BE529C4}"/>
            </c:ext>
          </c:extLst>
        </c:ser>
        <c:dLbls>
          <c:showLegendKey val="0"/>
          <c:showVal val="0"/>
          <c:showCatName val="0"/>
          <c:showSerName val="0"/>
          <c:showPercent val="0"/>
          <c:showBubbleSize val="0"/>
          <c:showLeaderLines val="1"/>
        </c:dLbls>
        <c:firstSliceAng val="45"/>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54" l="0.70000000000000062" r="0.70000000000000062" t="0.7500000000000135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Eligible Medicaid Clients by Calendar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Profile!$F$114</c:f>
              <c:strCache>
                <c:ptCount val="1"/>
                <c:pt idx="0">
                  <c:v>Medicaid</c:v>
                </c:pt>
              </c:strCache>
            </c:strRef>
          </c:tx>
          <c:spPr>
            <a:ln>
              <a:noFill/>
              <a:prstDash val="lgDashDotDot"/>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Profile!$B$116:$C$121</c:f>
              <c:strCache>
                <c:ptCount val="6"/>
                <c:pt idx="0">
                  <c:v>2012</c:v>
                </c:pt>
                <c:pt idx="1">
                  <c:v>2013</c:v>
                </c:pt>
                <c:pt idx="2">
                  <c:v>2014</c:v>
                </c:pt>
                <c:pt idx="3">
                  <c:v>2015</c:v>
                </c:pt>
                <c:pt idx="4">
                  <c:v>2016</c:v>
                </c:pt>
                <c:pt idx="5">
                  <c:v>2017</c:v>
                </c:pt>
              </c:strCache>
            </c:strRef>
          </c:cat>
          <c:val>
            <c:numRef>
              <c:f>Profile!$F$116:$F$121</c:f>
              <c:numCache>
                <c:formatCode>#,##0</c:formatCode>
                <c:ptCount val="6"/>
                <c:pt idx="0">
                  <c:v>8571</c:v>
                </c:pt>
                <c:pt idx="1">
                  <c:v>8799</c:v>
                </c:pt>
                <c:pt idx="2">
                  <c:v>8999</c:v>
                </c:pt>
                <c:pt idx="3">
                  <c:v>9405</c:v>
                </c:pt>
                <c:pt idx="4">
                  <c:v>9175</c:v>
                </c:pt>
                <c:pt idx="5">
                  <c:v>9669</c:v>
                </c:pt>
              </c:numCache>
            </c:numRef>
          </c:val>
          <c:extLst>
            <c:ext xmlns:c16="http://schemas.microsoft.com/office/drawing/2014/chart" uri="{C3380CC4-5D6E-409C-BE32-E72D297353CC}">
              <c16:uniqueId val="{00000000-64DD-4093-B602-3326B92B4774}"/>
            </c:ext>
          </c:extLst>
        </c:ser>
        <c:dLbls>
          <c:showLegendKey val="0"/>
          <c:showVal val="0"/>
          <c:showCatName val="0"/>
          <c:showSerName val="0"/>
          <c:showPercent val="0"/>
          <c:showBubbleSize val="0"/>
        </c:dLbls>
        <c:gapWidth val="150"/>
        <c:axId val="80283520"/>
        <c:axId val="80285056"/>
      </c:barChart>
      <c:catAx>
        <c:axId val="80283520"/>
        <c:scaling>
          <c:orientation val="minMax"/>
        </c:scaling>
        <c:delete val="0"/>
        <c:axPos val="b"/>
        <c:numFmt formatCode="General" sourceLinked="1"/>
        <c:majorTickMark val="out"/>
        <c:minorTickMark val="none"/>
        <c:tickLblPos val="nextTo"/>
        <c:txPr>
          <a:bodyPr rot="0" vert="horz"/>
          <a:lstStyle/>
          <a:p>
            <a:pPr>
              <a:defRPr/>
            </a:pPr>
            <a:endParaRPr lang="en-US"/>
          </a:p>
        </c:txPr>
        <c:crossAx val="80285056"/>
        <c:crosses val="autoZero"/>
        <c:auto val="1"/>
        <c:lblAlgn val="ctr"/>
        <c:lblOffset val="100"/>
        <c:noMultiLvlLbl val="0"/>
      </c:catAx>
      <c:valAx>
        <c:axId val="80285056"/>
        <c:scaling>
          <c:orientation val="minMax"/>
          <c:min val="0"/>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80283520"/>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Eligible SNAP Clients by Calendar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Profile!$D$114</c:f>
              <c:strCache>
                <c:ptCount val="1"/>
                <c:pt idx="0">
                  <c:v>SNAP</c:v>
                </c:pt>
              </c:strCache>
            </c:strRef>
          </c:tx>
          <c:spPr>
            <a:ln>
              <a:noFill/>
              <a:prstDash val="lgDashDotDot"/>
            </a:ln>
          </c:spPr>
          <c:invertIfNegative val="0"/>
          <c:dLbls>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Profile!$B$116:$C$121</c:f>
              <c:strCache>
                <c:ptCount val="6"/>
                <c:pt idx="0">
                  <c:v>2012</c:v>
                </c:pt>
                <c:pt idx="1">
                  <c:v>2013</c:v>
                </c:pt>
                <c:pt idx="2">
                  <c:v>2014</c:v>
                </c:pt>
                <c:pt idx="3">
                  <c:v>2015</c:v>
                </c:pt>
                <c:pt idx="4">
                  <c:v>2016</c:v>
                </c:pt>
                <c:pt idx="5">
                  <c:v>2017</c:v>
                </c:pt>
              </c:strCache>
            </c:strRef>
          </c:cat>
          <c:val>
            <c:numRef>
              <c:f>Profile!$D$116:$D$121</c:f>
              <c:numCache>
                <c:formatCode>#,##0</c:formatCode>
                <c:ptCount val="6"/>
                <c:pt idx="0">
                  <c:v>9358</c:v>
                </c:pt>
                <c:pt idx="1">
                  <c:v>9320</c:v>
                </c:pt>
                <c:pt idx="2">
                  <c:v>9010</c:v>
                </c:pt>
                <c:pt idx="3">
                  <c:v>8176</c:v>
                </c:pt>
                <c:pt idx="4">
                  <c:v>7133</c:v>
                </c:pt>
                <c:pt idx="5">
                  <c:v>7009</c:v>
                </c:pt>
              </c:numCache>
            </c:numRef>
          </c:val>
          <c:extLst>
            <c:ext xmlns:c16="http://schemas.microsoft.com/office/drawing/2014/chart" uri="{C3380CC4-5D6E-409C-BE32-E72D297353CC}">
              <c16:uniqueId val="{00000000-4618-4E45-99B6-119C04F1B819}"/>
            </c:ext>
          </c:extLst>
        </c:ser>
        <c:dLbls>
          <c:showLegendKey val="0"/>
          <c:showVal val="0"/>
          <c:showCatName val="0"/>
          <c:showSerName val="0"/>
          <c:showPercent val="0"/>
          <c:showBubbleSize val="0"/>
        </c:dLbls>
        <c:gapWidth val="150"/>
        <c:axId val="80320768"/>
        <c:axId val="80334848"/>
      </c:barChart>
      <c:catAx>
        <c:axId val="80320768"/>
        <c:scaling>
          <c:orientation val="minMax"/>
        </c:scaling>
        <c:delete val="0"/>
        <c:axPos val="b"/>
        <c:numFmt formatCode="General" sourceLinked="1"/>
        <c:majorTickMark val="out"/>
        <c:minorTickMark val="none"/>
        <c:tickLblPos val="nextTo"/>
        <c:txPr>
          <a:bodyPr rot="0" vert="horz"/>
          <a:lstStyle/>
          <a:p>
            <a:pPr>
              <a:defRPr/>
            </a:pPr>
            <a:endParaRPr lang="en-US"/>
          </a:p>
        </c:txPr>
        <c:crossAx val="80334848"/>
        <c:crosses val="autoZero"/>
        <c:auto val="1"/>
        <c:lblAlgn val="ctr"/>
        <c:lblOffset val="100"/>
        <c:noMultiLvlLbl val="0"/>
      </c:catAx>
      <c:valAx>
        <c:axId val="80334848"/>
        <c:scaling>
          <c:orientation val="minMax"/>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80320768"/>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Non-Marital</a:t>
            </a:r>
            <a:r>
              <a:rPr lang="en-US" sz="1200" baseline="0"/>
              <a:t> </a:t>
            </a:r>
            <a:r>
              <a:rPr lang="en-US" sz="1200"/>
              <a:t>Births, 1998-2015</a:t>
            </a:r>
          </a:p>
        </c:rich>
      </c:tx>
      <c:layout>
        <c:manualLayout>
          <c:xMode val="edge"/>
          <c:yMode val="edge"/>
          <c:x val="0.27221727718817756"/>
          <c:y val="1.6666666666666701E-2"/>
        </c:manualLayout>
      </c:layout>
      <c:overlay val="1"/>
    </c:title>
    <c:autoTitleDeleted val="0"/>
    <c:plotArea>
      <c:layout>
        <c:manualLayout>
          <c:layoutTarget val="inner"/>
          <c:xMode val="edge"/>
          <c:yMode val="edge"/>
          <c:x val="0.13912009250591928"/>
          <c:y val="0.20532280214199244"/>
          <c:w val="0.8329426304229457"/>
          <c:h val="0.5588455818022745"/>
        </c:manualLayout>
      </c:layout>
      <c:lineChart>
        <c:grouping val="standard"/>
        <c:varyColors val="0"/>
        <c:ser>
          <c:idx val="0"/>
          <c:order val="0"/>
          <c:tx>
            <c:strRef>
              <c:f>'Data for Graphs'!$B$2</c:f>
              <c:strCache>
                <c:ptCount val="1"/>
                <c:pt idx="0">
                  <c:v>Accomack</c:v>
                </c:pt>
              </c:strCache>
            </c:strRef>
          </c:tx>
          <c:spPr>
            <a:ln>
              <a:solidFill>
                <a:schemeClr val="accent2"/>
              </a:solidFill>
            </a:ln>
          </c:spPr>
          <c:marker>
            <c:symbol val="none"/>
          </c:marker>
          <c:cat>
            <c:numRef>
              <c:f>'Data for Graphs'!$A$3:$A$20</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'Data for Graphs'!$B$3:$B$20</c:f>
              <c:numCache>
                <c:formatCode>0%</c:formatCode>
                <c:ptCount val="18"/>
                <c:pt idx="0">
                  <c:v>0.5298329355608592</c:v>
                </c:pt>
                <c:pt idx="1">
                  <c:v>0.51756440281030447</c:v>
                </c:pt>
                <c:pt idx="2">
                  <c:v>0.4946236559139785</c:v>
                </c:pt>
                <c:pt idx="3">
                  <c:v>0.48988764044943822</c:v>
                </c:pt>
                <c:pt idx="4">
                  <c:v>0.54716981132075471</c:v>
                </c:pt>
                <c:pt idx="5">
                  <c:v>0.57236842105263153</c:v>
                </c:pt>
                <c:pt idx="6">
                  <c:v>0.55463917525773199</c:v>
                </c:pt>
                <c:pt idx="7">
                  <c:v>0.59023354564755837</c:v>
                </c:pt>
                <c:pt idx="8">
                  <c:v>0.65638766519823788</c:v>
                </c:pt>
                <c:pt idx="9">
                  <c:v>0.62204724409448819</c:v>
                </c:pt>
                <c:pt idx="10">
                  <c:v>0.61814345991561181</c:v>
                </c:pt>
                <c:pt idx="11">
                  <c:v>0.62383177570093462</c:v>
                </c:pt>
                <c:pt idx="12">
                  <c:v>0.5889145496535797</c:v>
                </c:pt>
                <c:pt idx="13">
                  <c:v>0.57740585774058573</c:v>
                </c:pt>
                <c:pt idx="14">
                  <c:v>0.56060606060606055</c:v>
                </c:pt>
                <c:pt idx="15">
                  <c:v>0.57622739018087854</c:v>
                </c:pt>
                <c:pt idx="16">
                  <c:v>0.55585106382978722</c:v>
                </c:pt>
                <c:pt idx="17">
                  <c:v>0.57622739018087854</c:v>
                </c:pt>
              </c:numCache>
            </c:numRef>
          </c:val>
          <c:smooth val="0"/>
          <c:extLst>
            <c:ext xmlns:c16="http://schemas.microsoft.com/office/drawing/2014/chart" uri="{C3380CC4-5D6E-409C-BE32-E72D297353CC}">
              <c16:uniqueId val="{00000000-99F3-4152-9CC4-DBE3D0E1807B}"/>
            </c:ext>
          </c:extLst>
        </c:ser>
        <c:ser>
          <c:idx val="2"/>
          <c:order val="1"/>
          <c:tx>
            <c:strRef>
              <c:f>'Data for Graphs'!$C$2</c:f>
              <c:strCache>
                <c:ptCount val="1"/>
                <c:pt idx="0">
                  <c:v>Eastern</c:v>
                </c:pt>
              </c:strCache>
            </c:strRef>
          </c:tx>
          <c:spPr>
            <a:ln>
              <a:solidFill>
                <a:schemeClr val="accent3">
                  <a:lumMod val="50000"/>
                </a:schemeClr>
              </a:solidFill>
              <a:prstDash val="sysDot"/>
            </a:ln>
          </c:spPr>
          <c:marker>
            <c:symbol val="none"/>
          </c:marker>
          <c:cat>
            <c:numRef>
              <c:f>'Data for Graphs'!$A$3:$A$20</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'Data for Graphs'!$C$3:$C$20</c:f>
              <c:numCache>
                <c:formatCode>0%</c:formatCode>
                <c:ptCount val="18"/>
                <c:pt idx="0">
                  <c:v>0.37341746714360358</c:v>
                </c:pt>
                <c:pt idx="1">
                  <c:v>0.37722880362269035</c:v>
                </c:pt>
                <c:pt idx="2">
                  <c:v>0.37406208040439143</c:v>
                </c:pt>
                <c:pt idx="3">
                  <c:v>0.3923052157115261</c:v>
                </c:pt>
                <c:pt idx="4">
                  <c:v>0.38504755407520364</c:v>
                </c:pt>
                <c:pt idx="5">
                  <c:v>0.37942966233146402</c:v>
                </c:pt>
                <c:pt idx="6">
                  <c:v>0.37898931075437725</c:v>
                </c:pt>
                <c:pt idx="7">
                  <c:v>0.38483135114057321</c:v>
                </c:pt>
                <c:pt idx="8">
                  <c:v>0.39784905228633538</c:v>
                </c:pt>
                <c:pt idx="9">
                  <c:v>0.40717948717948715</c:v>
                </c:pt>
                <c:pt idx="10">
                  <c:v>0.42314872433105166</c:v>
                </c:pt>
                <c:pt idx="11">
                  <c:v>0.42440128678660788</c:v>
                </c:pt>
                <c:pt idx="12">
                  <c:v>0.42288821653446723</c:v>
                </c:pt>
                <c:pt idx="13">
                  <c:v>0.42436647971506941</c:v>
                </c:pt>
                <c:pt idx="14">
                  <c:v>0.42346055560135193</c:v>
                </c:pt>
                <c:pt idx="15">
                  <c:v>0.40568625820932747</c:v>
                </c:pt>
                <c:pt idx="16">
                  <c:v>0.39805019705455302</c:v>
                </c:pt>
                <c:pt idx="17">
                  <c:v>0.40568625820932747</c:v>
                </c:pt>
              </c:numCache>
            </c:numRef>
          </c:val>
          <c:smooth val="0"/>
          <c:extLst>
            <c:ext xmlns:c16="http://schemas.microsoft.com/office/drawing/2014/chart" uri="{C3380CC4-5D6E-409C-BE32-E72D297353CC}">
              <c16:uniqueId val="{00000001-99F3-4152-9CC4-DBE3D0E1807B}"/>
            </c:ext>
          </c:extLst>
        </c:ser>
        <c:ser>
          <c:idx val="1"/>
          <c:order val="2"/>
          <c:tx>
            <c:strRef>
              <c:f>'Data for Graphs'!$D$2</c:f>
              <c:strCache>
                <c:ptCount val="1"/>
                <c:pt idx="0">
                  <c:v>STATE</c:v>
                </c:pt>
              </c:strCache>
            </c:strRef>
          </c:tx>
          <c:spPr>
            <a:ln>
              <a:solidFill>
                <a:schemeClr val="accent1"/>
              </a:solidFill>
            </a:ln>
          </c:spPr>
          <c:marker>
            <c:symbol val="none"/>
          </c:marker>
          <c:cat>
            <c:numRef>
              <c:f>'Data for Graphs'!$A$3:$A$20</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'Data for Graphs'!$D$3:$D$20</c:f>
              <c:numCache>
                <c:formatCode>0%</c:formatCode>
                <c:ptCount val="18"/>
                <c:pt idx="0">
                  <c:v>0.2981171770406103</c:v>
                </c:pt>
                <c:pt idx="1">
                  <c:v>0.29729956830905291</c:v>
                </c:pt>
                <c:pt idx="2">
                  <c:v>0.29975521929114746</c:v>
                </c:pt>
                <c:pt idx="3">
                  <c:v>0.303681074991627</c:v>
                </c:pt>
                <c:pt idx="4">
                  <c:v>0.30455988310575904</c:v>
                </c:pt>
                <c:pt idx="5">
                  <c:v>0.3059734887282346</c:v>
                </c:pt>
                <c:pt idx="6">
                  <c:v>0.31002600404507369</c:v>
                </c:pt>
                <c:pt idx="7">
                  <c:v>0.32234323558686168</c:v>
                </c:pt>
                <c:pt idx="8">
                  <c:v>0.34083438210267297</c:v>
                </c:pt>
                <c:pt idx="9">
                  <c:v>0.35309038250458874</c:v>
                </c:pt>
                <c:pt idx="10">
                  <c:v>0.35843232186755242</c:v>
                </c:pt>
                <c:pt idx="11">
                  <c:v>0.35824307718686593</c:v>
                </c:pt>
                <c:pt idx="12">
                  <c:v>0.35490702780422406</c:v>
                </c:pt>
                <c:pt idx="13">
                  <c:v>0.35493782004389174</c:v>
                </c:pt>
                <c:pt idx="14">
                  <c:v>0.35279298907704426</c:v>
                </c:pt>
                <c:pt idx="15">
                  <c:v>0.34452917321535986</c:v>
                </c:pt>
                <c:pt idx="16">
                  <c:v>0.340045722068194</c:v>
                </c:pt>
                <c:pt idx="17">
                  <c:v>0.34452917321535986</c:v>
                </c:pt>
              </c:numCache>
            </c:numRef>
          </c:val>
          <c:smooth val="0"/>
          <c:extLst>
            <c:ext xmlns:c16="http://schemas.microsoft.com/office/drawing/2014/chart" uri="{C3380CC4-5D6E-409C-BE32-E72D297353CC}">
              <c16:uniqueId val="{00000002-99F3-4152-9CC4-DBE3D0E1807B}"/>
            </c:ext>
          </c:extLst>
        </c:ser>
        <c:dLbls>
          <c:showLegendKey val="0"/>
          <c:showVal val="0"/>
          <c:showCatName val="0"/>
          <c:showSerName val="0"/>
          <c:showPercent val="0"/>
          <c:showBubbleSize val="0"/>
        </c:dLbls>
        <c:smooth val="0"/>
        <c:axId val="80446592"/>
        <c:axId val="80448128"/>
      </c:lineChart>
      <c:catAx>
        <c:axId val="80446592"/>
        <c:scaling>
          <c:orientation val="minMax"/>
        </c:scaling>
        <c:delete val="0"/>
        <c:axPos val="b"/>
        <c:numFmt formatCode="General" sourceLinked="1"/>
        <c:majorTickMark val="out"/>
        <c:minorTickMark val="none"/>
        <c:tickLblPos val="nextTo"/>
        <c:txPr>
          <a:bodyPr rot="-2100000"/>
          <a:lstStyle/>
          <a:p>
            <a:pPr>
              <a:defRPr/>
            </a:pPr>
            <a:endParaRPr lang="en-US"/>
          </a:p>
        </c:txPr>
        <c:crossAx val="80448128"/>
        <c:crosses val="autoZero"/>
        <c:auto val="1"/>
        <c:lblAlgn val="ctr"/>
        <c:lblOffset val="100"/>
        <c:tickLblSkip val="1"/>
        <c:noMultiLvlLbl val="0"/>
      </c:catAx>
      <c:valAx>
        <c:axId val="80448128"/>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Percentage</a:t>
                </a:r>
              </a:p>
            </c:rich>
          </c:tx>
          <c:layout>
            <c:manualLayout>
              <c:xMode val="edge"/>
              <c:yMode val="edge"/>
              <c:x val="2.0830962563246429E-3"/>
              <c:y val="0.36937051618548206"/>
            </c:manualLayout>
          </c:layout>
          <c:overlay val="0"/>
        </c:title>
        <c:numFmt formatCode="0%" sourceLinked="1"/>
        <c:majorTickMark val="out"/>
        <c:minorTickMark val="none"/>
        <c:tickLblPos val="nextTo"/>
        <c:crossAx val="80446592"/>
        <c:crosses val="autoZero"/>
        <c:crossBetween val="midCat"/>
      </c:valAx>
    </c:plotArea>
    <c:legend>
      <c:legendPos val="r"/>
      <c:layout>
        <c:manualLayout>
          <c:xMode val="edge"/>
          <c:yMode val="edge"/>
          <c:x val="7.0718083316509014E-2"/>
          <c:y val="0.12406035932814929"/>
          <c:w val="0.91713672154617021"/>
          <c:h val="8.209098862642171E-2"/>
        </c:manualLayout>
      </c:layout>
      <c:overlay val="0"/>
    </c:legend>
    <c:plotVisOnly val="1"/>
    <c:dispBlanksAs val="gap"/>
    <c:showDLblsOverMax val="0"/>
  </c:chart>
  <c:spPr>
    <a:ln w="15875">
      <a:solidFill>
        <a:schemeClr val="accent1"/>
      </a:solidFill>
    </a:ln>
  </c:spPr>
  <c:printSettings>
    <c:headerFooter/>
    <c:pageMargins b="0.75000000000000688" l="0.70000000000000062" r="0.70000000000000062" t="0.7500000000000068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Teen Birth</a:t>
            </a:r>
            <a:r>
              <a:rPr lang="en-US" sz="1200" baseline="0"/>
              <a:t> Rate</a:t>
            </a:r>
            <a:r>
              <a:rPr lang="en-US" sz="1200"/>
              <a:t>, 1998-2015</a:t>
            </a:r>
          </a:p>
        </c:rich>
      </c:tx>
      <c:layout>
        <c:manualLayout>
          <c:xMode val="edge"/>
          <c:yMode val="edge"/>
          <c:x val="0.29777777777778142"/>
          <c:y val="1.6666666666666701E-2"/>
        </c:manualLayout>
      </c:layout>
      <c:overlay val="1"/>
    </c:title>
    <c:autoTitleDeleted val="0"/>
    <c:plotArea>
      <c:layout>
        <c:manualLayout>
          <c:layoutTarget val="inner"/>
          <c:xMode val="edge"/>
          <c:yMode val="edge"/>
          <c:x val="0.11891808978423152"/>
          <c:y val="0.20532280214199244"/>
          <c:w val="0.85314472054629564"/>
          <c:h val="0.5588455818022745"/>
        </c:manualLayout>
      </c:layout>
      <c:lineChart>
        <c:grouping val="standard"/>
        <c:varyColors val="0"/>
        <c:ser>
          <c:idx val="0"/>
          <c:order val="0"/>
          <c:tx>
            <c:strRef>
              <c:f>'Data for Graphs'!$G$2</c:f>
              <c:strCache>
                <c:ptCount val="1"/>
                <c:pt idx="0">
                  <c:v>Accomack</c:v>
                </c:pt>
              </c:strCache>
            </c:strRef>
          </c:tx>
          <c:spPr>
            <a:ln>
              <a:solidFill>
                <a:schemeClr val="accent2"/>
              </a:solidFill>
            </a:ln>
          </c:spPr>
          <c:marker>
            <c:symbol val="none"/>
          </c:marker>
          <c:cat>
            <c:numRef>
              <c:f>'Data for Graphs'!$F$3:$F$20</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'Data for Graphs'!$G$3:$G$20</c:f>
              <c:numCache>
                <c:formatCode>0.0</c:formatCode>
                <c:ptCount val="18"/>
                <c:pt idx="0">
                  <c:v>33.483258370814596</c:v>
                </c:pt>
                <c:pt idx="1">
                  <c:v>40.520260130065033</c:v>
                </c:pt>
                <c:pt idx="2">
                  <c:v>34.803723188992308</c:v>
                </c:pt>
                <c:pt idx="3">
                  <c:v>23.668639053254438</c:v>
                </c:pt>
                <c:pt idx="4">
                  <c:v>33.307210031347964</c:v>
                </c:pt>
                <c:pt idx="5">
                  <c:v>33.397312859884835</c:v>
                </c:pt>
                <c:pt idx="6">
                  <c:v>28.974158183241972</c:v>
                </c:pt>
                <c:pt idx="7">
                  <c:v>34.194831013916499</c:v>
                </c:pt>
                <c:pt idx="8">
                  <c:v>32.271241830065364</c:v>
                </c:pt>
                <c:pt idx="9">
                  <c:v>37.663986457892513</c:v>
                </c:pt>
                <c:pt idx="10">
                  <c:v>32.77274687365243</c:v>
                </c:pt>
                <c:pt idx="11">
                  <c:v>21.557413110426747</c:v>
                </c:pt>
                <c:pt idx="12">
                  <c:v>29.168959823885526</c:v>
                </c:pt>
                <c:pt idx="13">
                  <c:v>23.982152816508645</c:v>
                </c:pt>
                <c:pt idx="14">
                  <c:v>18.212862834376779</c:v>
                </c:pt>
                <c:pt idx="15">
                  <c:v>13.248847926267281</c:v>
                </c:pt>
                <c:pt idx="16">
                  <c:v>17.793594306049823</c:v>
                </c:pt>
                <c:pt idx="17">
                  <c:v>14.979029358897543</c:v>
                </c:pt>
              </c:numCache>
            </c:numRef>
          </c:val>
          <c:smooth val="0"/>
          <c:extLst>
            <c:ext xmlns:c16="http://schemas.microsoft.com/office/drawing/2014/chart" uri="{C3380CC4-5D6E-409C-BE32-E72D297353CC}">
              <c16:uniqueId val="{00000000-813E-40DD-93CC-C1B38CC60EF0}"/>
            </c:ext>
          </c:extLst>
        </c:ser>
        <c:ser>
          <c:idx val="2"/>
          <c:order val="1"/>
          <c:tx>
            <c:strRef>
              <c:f>'Data for Graphs'!$H$2</c:f>
              <c:strCache>
                <c:ptCount val="1"/>
                <c:pt idx="0">
                  <c:v>Eastern</c:v>
                </c:pt>
              </c:strCache>
            </c:strRef>
          </c:tx>
          <c:spPr>
            <a:ln>
              <a:solidFill>
                <a:schemeClr val="accent3">
                  <a:lumMod val="50000"/>
                </a:schemeClr>
              </a:solidFill>
              <a:prstDash val="sysDot"/>
            </a:ln>
          </c:spPr>
          <c:marker>
            <c:symbol val="none"/>
          </c:marker>
          <c:cat>
            <c:numRef>
              <c:f>'Data for Graphs'!$F$3:$F$20</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'Data for Graphs'!$H$3:$H$20</c:f>
              <c:numCache>
                <c:formatCode>0.0</c:formatCode>
                <c:ptCount val="18"/>
                <c:pt idx="0">
                  <c:v>26.16430374830064</c:v>
                </c:pt>
                <c:pt idx="1">
                  <c:v>25.422437567612867</c:v>
                </c:pt>
                <c:pt idx="2">
                  <c:v>24.942933231881302</c:v>
                </c:pt>
                <c:pt idx="3">
                  <c:v>24.200348308497308</c:v>
                </c:pt>
                <c:pt idx="4">
                  <c:v>23.263812888902788</c:v>
                </c:pt>
                <c:pt idx="5">
                  <c:v>21.303566215447969</c:v>
                </c:pt>
                <c:pt idx="6">
                  <c:v>21.586554001015838</c:v>
                </c:pt>
                <c:pt idx="7">
                  <c:v>21.111042222084446</c:v>
                </c:pt>
                <c:pt idx="8">
                  <c:v>21.461512562932111</c:v>
                </c:pt>
                <c:pt idx="9">
                  <c:v>21.50318710748461</c:v>
                </c:pt>
                <c:pt idx="10">
                  <c:v>20.230346309403437</c:v>
                </c:pt>
                <c:pt idx="11">
                  <c:v>19.306958769150995</c:v>
                </c:pt>
                <c:pt idx="12">
                  <c:v>17.725513398910337</c:v>
                </c:pt>
                <c:pt idx="13">
                  <c:v>15.679046633170904</c:v>
                </c:pt>
                <c:pt idx="14">
                  <c:v>14.462774596119328</c:v>
                </c:pt>
                <c:pt idx="15">
                  <c:v>12.497467919642778</c:v>
                </c:pt>
                <c:pt idx="16">
                  <c:v>10.34276433883238</c:v>
                </c:pt>
                <c:pt idx="17">
                  <c:v>10.234008261187393</c:v>
                </c:pt>
              </c:numCache>
            </c:numRef>
          </c:val>
          <c:smooth val="0"/>
          <c:extLst>
            <c:ext xmlns:c16="http://schemas.microsoft.com/office/drawing/2014/chart" uri="{C3380CC4-5D6E-409C-BE32-E72D297353CC}">
              <c16:uniqueId val="{00000001-813E-40DD-93CC-C1B38CC60EF0}"/>
            </c:ext>
          </c:extLst>
        </c:ser>
        <c:ser>
          <c:idx val="1"/>
          <c:order val="2"/>
          <c:tx>
            <c:strRef>
              <c:f>'Data for Graphs'!$I$2</c:f>
              <c:strCache>
                <c:ptCount val="1"/>
                <c:pt idx="0">
                  <c:v>STATE</c:v>
                </c:pt>
              </c:strCache>
            </c:strRef>
          </c:tx>
          <c:spPr>
            <a:ln>
              <a:solidFill>
                <a:schemeClr val="accent1"/>
              </a:solidFill>
            </a:ln>
          </c:spPr>
          <c:marker>
            <c:symbol val="none"/>
          </c:marker>
          <c:cat>
            <c:numRef>
              <c:f>'Data for Graphs'!$F$3:$F$20</c:f>
              <c:numCache>
                <c:formatCode>General</c:formatCode>
                <c:ptCount val="18"/>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numCache>
            </c:numRef>
          </c:cat>
          <c:val>
            <c:numRef>
              <c:f>'Data for Graphs'!$I$3:$I$20</c:f>
              <c:numCache>
                <c:formatCode>0.0</c:formatCode>
                <c:ptCount val="18"/>
                <c:pt idx="0">
                  <c:v>21.993094229370861</c:v>
                </c:pt>
                <c:pt idx="1">
                  <c:v>21.672451714894493</c:v>
                </c:pt>
                <c:pt idx="2">
                  <c:v>20.498076279692203</c:v>
                </c:pt>
                <c:pt idx="3">
                  <c:v>19.688543968751606</c:v>
                </c:pt>
                <c:pt idx="4">
                  <c:v>18.674449210372391</c:v>
                </c:pt>
                <c:pt idx="5">
                  <c:v>17.903555881281065</c:v>
                </c:pt>
                <c:pt idx="6">
                  <c:v>17.707166297187989</c:v>
                </c:pt>
                <c:pt idx="7">
                  <c:v>17.591687162315662</c:v>
                </c:pt>
                <c:pt idx="8">
                  <c:v>18.306180625228926</c:v>
                </c:pt>
                <c:pt idx="9">
                  <c:v>18.39683066850121</c:v>
                </c:pt>
                <c:pt idx="10">
                  <c:v>17.690427455734188</c:v>
                </c:pt>
                <c:pt idx="11">
                  <c:v>16.372318054611284</c:v>
                </c:pt>
                <c:pt idx="12">
                  <c:v>14.340618588477803</c:v>
                </c:pt>
                <c:pt idx="13">
                  <c:v>12.702167795404645</c:v>
                </c:pt>
                <c:pt idx="14">
                  <c:v>11.846432840922917</c:v>
                </c:pt>
                <c:pt idx="15">
                  <c:v>10.25553965050911</c:v>
                </c:pt>
                <c:pt idx="16">
                  <c:v>9.405709207785387</c:v>
                </c:pt>
                <c:pt idx="17">
                  <c:v>8.735085092108628</c:v>
                </c:pt>
              </c:numCache>
            </c:numRef>
          </c:val>
          <c:smooth val="0"/>
          <c:extLst>
            <c:ext xmlns:c16="http://schemas.microsoft.com/office/drawing/2014/chart" uri="{C3380CC4-5D6E-409C-BE32-E72D297353CC}">
              <c16:uniqueId val="{00000002-813E-40DD-93CC-C1B38CC60EF0}"/>
            </c:ext>
          </c:extLst>
        </c:ser>
        <c:dLbls>
          <c:showLegendKey val="0"/>
          <c:showVal val="0"/>
          <c:showCatName val="0"/>
          <c:showSerName val="0"/>
          <c:showPercent val="0"/>
          <c:showBubbleSize val="0"/>
        </c:dLbls>
        <c:smooth val="0"/>
        <c:axId val="80900864"/>
        <c:axId val="80902400"/>
      </c:lineChart>
      <c:catAx>
        <c:axId val="80900864"/>
        <c:scaling>
          <c:orientation val="minMax"/>
        </c:scaling>
        <c:delete val="0"/>
        <c:axPos val="b"/>
        <c:numFmt formatCode="General" sourceLinked="1"/>
        <c:majorTickMark val="out"/>
        <c:minorTickMark val="none"/>
        <c:tickLblPos val="nextTo"/>
        <c:txPr>
          <a:bodyPr rot="-2100000"/>
          <a:lstStyle/>
          <a:p>
            <a:pPr>
              <a:defRPr/>
            </a:pPr>
            <a:endParaRPr lang="en-US"/>
          </a:p>
        </c:txPr>
        <c:crossAx val="80902400"/>
        <c:crosses val="autoZero"/>
        <c:auto val="1"/>
        <c:lblAlgn val="ctr"/>
        <c:lblOffset val="100"/>
        <c:tickLblSkip val="1"/>
        <c:noMultiLvlLbl val="0"/>
      </c:catAx>
      <c:valAx>
        <c:axId val="80902400"/>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Rate (per 1,000 pop.)</a:t>
                </a:r>
              </a:p>
            </c:rich>
          </c:tx>
          <c:layout>
            <c:manualLayout>
              <c:xMode val="edge"/>
              <c:yMode val="edge"/>
              <c:x val="5.1910993643277123E-3"/>
              <c:y val="0.20270384951881021"/>
            </c:manualLayout>
          </c:layout>
          <c:overlay val="0"/>
        </c:title>
        <c:numFmt formatCode="0" sourceLinked="0"/>
        <c:majorTickMark val="out"/>
        <c:minorTickMark val="none"/>
        <c:tickLblPos val="nextTo"/>
        <c:crossAx val="80900864"/>
        <c:crosses val="autoZero"/>
        <c:crossBetween val="midCat"/>
      </c:valAx>
    </c:plotArea>
    <c:legend>
      <c:legendPos val="r"/>
      <c:layout>
        <c:manualLayout>
          <c:xMode val="edge"/>
          <c:yMode val="edge"/>
          <c:x val="4.2079967276817683E-2"/>
          <c:y val="0.12406035932814929"/>
          <c:w val="0.94577473270387502"/>
          <c:h val="7.0979877515310569E-2"/>
        </c:manualLayout>
      </c:layout>
      <c:overlay val="0"/>
    </c:legend>
    <c:plotVisOnly val="1"/>
    <c:dispBlanksAs val="gap"/>
    <c:showDLblsOverMax val="0"/>
  </c:chart>
  <c:spPr>
    <a:ln w="15875">
      <a:solidFill>
        <a:schemeClr val="accent1"/>
      </a:solidFill>
    </a:ln>
  </c:spPr>
  <c:printSettings>
    <c:headerFooter/>
    <c:pageMargins b="0.75000000000000711" l="0.70000000000000062" r="0.70000000000000062" t="0.75000000000000711"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image" Target="http://dssdw.vita.virginia.gov:80/crn/common/images/filter.gif" TargetMode="Externa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9</xdr:col>
      <xdr:colOff>28575</xdr:colOff>
      <xdr:row>162</xdr:row>
      <xdr:rowOff>0</xdr:rowOff>
    </xdr:from>
    <xdr:to>
      <xdr:col>9</xdr:col>
      <xdr:colOff>752475</xdr:colOff>
      <xdr:row>164</xdr:row>
      <xdr:rowOff>161925</xdr:rowOff>
    </xdr:to>
    <xdr:sp macro="" textlink="">
      <xdr:nvSpPr>
        <xdr:cNvPr id="3" name="Rounded Rectangle 2"/>
        <xdr:cNvSpPr/>
      </xdr:nvSpPr>
      <xdr:spPr>
        <a:xfrm>
          <a:off x="5715000" y="27984450"/>
          <a:ext cx="7239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85725</xdr:colOff>
      <xdr:row>39</xdr:row>
      <xdr:rowOff>38100</xdr:rowOff>
    </xdr:from>
    <xdr:to>
      <xdr:col>13</xdr:col>
      <xdr:colOff>352425</xdr:colOff>
      <xdr:row>53</xdr:row>
      <xdr:rowOff>133350</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304802</xdr:colOff>
      <xdr:row>124</xdr:row>
      <xdr:rowOff>0</xdr:rowOff>
    </xdr:from>
    <xdr:to>
      <xdr:col>9</xdr:col>
      <xdr:colOff>638175</xdr:colOff>
      <xdr:row>136</xdr:row>
      <xdr:rowOff>85724</xdr:rowOff>
    </xdr:to>
    <xdr:graphicFrame macro="">
      <xdr:nvGraphicFramePr>
        <xdr:cNvPr id="102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xdr:colOff>
      <xdr:row>22</xdr:row>
      <xdr:rowOff>142875</xdr:rowOff>
    </xdr:from>
    <xdr:to>
      <xdr:col>13</xdr:col>
      <xdr:colOff>676275</xdr:colOff>
      <xdr:row>38</xdr:row>
      <xdr:rowOff>123825</xdr:rowOff>
    </xdr:to>
    <xdr:graphicFrame macro="">
      <xdr:nvGraphicFramePr>
        <xdr:cNvPr id="10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28574</xdr:colOff>
      <xdr:row>192</xdr:row>
      <xdr:rowOff>161925</xdr:rowOff>
    </xdr:from>
    <xdr:to>
      <xdr:col>5</xdr:col>
      <xdr:colOff>495299</xdr:colOff>
      <xdr:row>204</xdr:row>
      <xdr:rowOff>66675</xdr:rowOff>
    </xdr:to>
    <xdr:graphicFrame macro="">
      <xdr:nvGraphicFramePr>
        <xdr:cNvPr id="10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181</xdr:row>
      <xdr:rowOff>123825</xdr:rowOff>
    </xdr:from>
    <xdr:to>
      <xdr:col>5</xdr:col>
      <xdr:colOff>514349</xdr:colOff>
      <xdr:row>192</xdr:row>
      <xdr:rowOff>123825</xdr:rowOff>
    </xdr:to>
    <xdr:graphicFrame macro="">
      <xdr:nvGraphicFramePr>
        <xdr:cNvPr id="103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9525</xdr:colOff>
      <xdr:row>9</xdr:row>
      <xdr:rowOff>28575</xdr:rowOff>
    </xdr:from>
    <xdr:to>
      <xdr:col>8</xdr:col>
      <xdr:colOff>762000</xdr:colOff>
      <xdr:row>11</xdr:row>
      <xdr:rowOff>161925</xdr:rowOff>
    </xdr:to>
    <xdr:sp macro="" textlink="">
      <xdr:nvSpPr>
        <xdr:cNvPr id="24" name="Rounded Rectangle 23"/>
        <xdr:cNvSpPr/>
      </xdr:nvSpPr>
      <xdr:spPr>
        <a:xfrm>
          <a:off x="4924425" y="1428750"/>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15</xdr:row>
      <xdr:rowOff>19050</xdr:rowOff>
    </xdr:from>
    <xdr:to>
      <xdr:col>8</xdr:col>
      <xdr:colOff>742950</xdr:colOff>
      <xdr:row>17</xdr:row>
      <xdr:rowOff>152400</xdr:rowOff>
    </xdr:to>
    <xdr:sp macro="" textlink="">
      <xdr:nvSpPr>
        <xdr:cNvPr id="29" name="Rounded Rectangle 28"/>
        <xdr:cNvSpPr/>
      </xdr:nvSpPr>
      <xdr:spPr>
        <a:xfrm>
          <a:off x="4914900" y="2790825"/>
          <a:ext cx="7429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12</xdr:row>
      <xdr:rowOff>19050</xdr:rowOff>
    </xdr:from>
    <xdr:to>
      <xdr:col>8</xdr:col>
      <xdr:colOff>752474</xdr:colOff>
      <xdr:row>14</xdr:row>
      <xdr:rowOff>152400</xdr:rowOff>
    </xdr:to>
    <xdr:sp macro="" textlink="">
      <xdr:nvSpPr>
        <xdr:cNvPr id="31" name="Rounded Rectangle 30"/>
        <xdr:cNvSpPr/>
      </xdr:nvSpPr>
      <xdr:spPr>
        <a:xfrm>
          <a:off x="4914899" y="2276475"/>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18</xdr:row>
      <xdr:rowOff>19050</xdr:rowOff>
    </xdr:from>
    <xdr:to>
      <xdr:col>8</xdr:col>
      <xdr:colOff>733424</xdr:colOff>
      <xdr:row>20</xdr:row>
      <xdr:rowOff>152400</xdr:rowOff>
    </xdr:to>
    <xdr:sp macro="" textlink="">
      <xdr:nvSpPr>
        <xdr:cNvPr id="32" name="Rounded Rectangle 31"/>
        <xdr:cNvSpPr/>
      </xdr:nvSpPr>
      <xdr:spPr>
        <a:xfrm>
          <a:off x="4914899" y="3305175"/>
          <a:ext cx="73342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19050</xdr:colOff>
      <xdr:row>205</xdr:row>
      <xdr:rowOff>28575</xdr:rowOff>
    </xdr:from>
    <xdr:to>
      <xdr:col>3</xdr:col>
      <xdr:colOff>666750</xdr:colOff>
      <xdr:row>208</xdr:row>
      <xdr:rowOff>152400</xdr:rowOff>
    </xdr:to>
    <xdr:sp macro="" textlink="$M$203">
      <xdr:nvSpPr>
        <xdr:cNvPr id="11" name="Rounded Rectangle 10"/>
        <xdr:cNvSpPr/>
      </xdr:nvSpPr>
      <xdr:spPr>
        <a:xfrm>
          <a:off x="95250" y="221742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F0BD96E8-E6C8-4F1A-AEE8-8C7C3D486110}" type="TxLink">
            <a:rPr lang="en-US" sz="1600" b="1" i="0" u="none" strike="noStrike">
              <a:solidFill>
                <a:srgbClr val="FF0000"/>
              </a:solidFill>
              <a:latin typeface="Cambriaew Roman"/>
            </a:rPr>
            <a:pPr algn="ctr"/>
            <a:t>$63,941,490</a:t>
          </a:fld>
          <a:endParaRPr lang="en-US" sz="1600" b="1"/>
        </a:p>
      </xdr:txBody>
    </xdr:sp>
    <xdr:clientData/>
  </xdr:twoCellAnchor>
  <xdr:twoCellAnchor>
    <xdr:from>
      <xdr:col>5</xdr:col>
      <xdr:colOff>666750</xdr:colOff>
      <xdr:row>205</xdr:row>
      <xdr:rowOff>38100</xdr:rowOff>
    </xdr:from>
    <xdr:to>
      <xdr:col>8</xdr:col>
      <xdr:colOff>666750</xdr:colOff>
      <xdr:row>208</xdr:row>
      <xdr:rowOff>161925</xdr:rowOff>
    </xdr:to>
    <xdr:sp macro="" textlink="$L$203">
      <xdr:nvSpPr>
        <xdr:cNvPr id="37" name="Rounded Rectangle 36"/>
        <xdr:cNvSpPr/>
      </xdr:nvSpPr>
      <xdr:spPr>
        <a:xfrm>
          <a:off x="3524250" y="272796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6E64D973-77A5-4A49-B64A-D205048FC130}" type="TxLink">
            <a:rPr lang="en-US" sz="1600" b="1" i="0" u="none" strike="noStrike">
              <a:solidFill>
                <a:srgbClr val="000000"/>
              </a:solidFill>
              <a:latin typeface="Cambriaew Roman"/>
            </a:rPr>
            <a:pPr algn="ctr"/>
            <a:t>$1,031,079</a:t>
          </a:fld>
          <a:endParaRPr lang="en-US" sz="1600" b="1"/>
        </a:p>
      </xdr:txBody>
    </xdr:sp>
    <xdr:clientData/>
  </xdr:twoCellAnchor>
  <xdr:twoCellAnchor>
    <xdr:from>
      <xdr:col>9</xdr:col>
      <xdr:colOff>723900</xdr:colOff>
      <xdr:row>124</xdr:row>
      <xdr:rowOff>19050</xdr:rowOff>
    </xdr:from>
    <xdr:to>
      <xdr:col>13</xdr:col>
      <xdr:colOff>638175</xdr:colOff>
      <xdr:row>136</xdr:row>
      <xdr:rowOff>104774</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47625</xdr:colOff>
      <xdr:row>124</xdr:row>
      <xdr:rowOff>0</xdr:rowOff>
    </xdr:from>
    <xdr:to>
      <xdr:col>5</xdr:col>
      <xdr:colOff>190500</xdr:colOff>
      <xdr:row>136</xdr:row>
      <xdr:rowOff>85724</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38100</xdr:colOff>
      <xdr:row>62</xdr:row>
      <xdr:rowOff>19050</xdr:rowOff>
    </xdr:from>
    <xdr:to>
      <xdr:col>7</xdr:col>
      <xdr:colOff>361950</xdr:colOff>
      <xdr:row>74</xdr:row>
      <xdr:rowOff>133350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419100</xdr:colOff>
      <xdr:row>62</xdr:row>
      <xdr:rowOff>28575</xdr:rowOff>
    </xdr:from>
    <xdr:to>
      <xdr:col>13</xdr:col>
      <xdr:colOff>609601</xdr:colOff>
      <xdr:row>74</xdr:row>
      <xdr:rowOff>142875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704850</xdr:colOff>
      <xdr:row>53</xdr:row>
      <xdr:rowOff>171450</xdr:rowOff>
    </xdr:from>
    <xdr:to>
      <xdr:col>13</xdr:col>
      <xdr:colOff>19050</xdr:colOff>
      <xdr:row>56</xdr:row>
      <xdr:rowOff>9525</xdr:rowOff>
    </xdr:to>
    <xdr:sp macro="" textlink="">
      <xdr:nvSpPr>
        <xdr:cNvPr id="23" name="Rounded Rectangle 22"/>
        <xdr:cNvSpPr/>
      </xdr:nvSpPr>
      <xdr:spPr>
        <a:xfrm>
          <a:off x="7677150" y="9458325"/>
          <a:ext cx="733425"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solidFill>
              <a:schemeClr val="tx2"/>
            </a:solidFill>
          </a:endParaRPr>
        </a:p>
      </xdr:txBody>
    </xdr:sp>
    <xdr:clientData/>
  </xdr:twoCellAnchor>
  <xdr:twoCellAnchor>
    <xdr:from>
      <xdr:col>11</xdr:col>
      <xdr:colOff>247650</xdr:colOff>
      <xdr:row>112</xdr:row>
      <xdr:rowOff>19050</xdr:rowOff>
    </xdr:from>
    <xdr:to>
      <xdr:col>12</xdr:col>
      <xdr:colOff>400050</xdr:colOff>
      <xdr:row>114</xdr:row>
      <xdr:rowOff>152400</xdr:rowOff>
    </xdr:to>
    <xdr:sp macro="" textlink="">
      <xdr:nvSpPr>
        <xdr:cNvPr id="20" name="Rounded Rectangle 19"/>
        <xdr:cNvSpPr/>
      </xdr:nvSpPr>
      <xdr:spPr>
        <a:xfrm>
          <a:off x="9715500" y="13544550"/>
          <a:ext cx="914400"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0</xdr:colOff>
      <xdr:row>75</xdr:row>
      <xdr:rowOff>90486</xdr:rowOff>
    </xdr:from>
    <xdr:to>
      <xdr:col>7</xdr:col>
      <xdr:colOff>200025</xdr:colOff>
      <xdr:row>92</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371475</xdr:colOff>
      <xdr:row>75</xdr:row>
      <xdr:rowOff>95250</xdr:rowOff>
    </xdr:from>
    <xdr:to>
      <xdr:col>13</xdr:col>
      <xdr:colOff>85725</xdr:colOff>
      <xdr:row>92</xdr:row>
      <xdr:rowOff>138113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93</xdr:row>
      <xdr:rowOff>47625</xdr:rowOff>
    </xdr:from>
    <xdr:to>
      <xdr:col>7</xdr:col>
      <xdr:colOff>200025</xdr:colOff>
      <xdr:row>110</xdr:row>
      <xdr:rowOff>90488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400050</xdr:colOff>
      <xdr:row>93</xdr:row>
      <xdr:rowOff>38100</xdr:rowOff>
    </xdr:from>
    <xdr:to>
      <xdr:col>13</xdr:col>
      <xdr:colOff>114300</xdr:colOff>
      <xdr:row>110</xdr:row>
      <xdr:rowOff>80963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28576</xdr:colOff>
      <xdr:row>162</xdr:row>
      <xdr:rowOff>0</xdr:rowOff>
    </xdr:from>
    <xdr:to>
      <xdr:col>6</xdr:col>
      <xdr:colOff>638176</xdr:colOff>
      <xdr:row>164</xdr:row>
      <xdr:rowOff>161925</xdr:rowOff>
    </xdr:to>
    <xdr:sp macro="" textlink="">
      <xdr:nvSpPr>
        <xdr:cNvPr id="28" name="Rounded Rectangle 27"/>
        <xdr:cNvSpPr/>
      </xdr:nvSpPr>
      <xdr:spPr>
        <a:xfrm>
          <a:off x="3571876" y="28327350"/>
          <a:ext cx="6096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28575</xdr:colOff>
      <xdr:row>162</xdr:row>
      <xdr:rowOff>9525</xdr:rowOff>
    </xdr:from>
    <xdr:to>
      <xdr:col>3</xdr:col>
      <xdr:colOff>647700</xdr:colOff>
      <xdr:row>165</xdr:row>
      <xdr:rowOff>0</xdr:rowOff>
    </xdr:to>
    <xdr:sp macro="" textlink="">
      <xdr:nvSpPr>
        <xdr:cNvPr id="33" name="Rounded Rectangle 32"/>
        <xdr:cNvSpPr/>
      </xdr:nvSpPr>
      <xdr:spPr>
        <a:xfrm>
          <a:off x="1514475" y="27993975"/>
          <a:ext cx="619125"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pic>
      <xdr:nvPicPr>
        <xdr:cNvPr id="929793" name="Picture 1" descr="http://dssdw.vita.virginia.gov:80/crn/common/images/filter.gif"/>
        <xdr:cNvPicPr>
          <a:picLocks noChangeAspect="1" noChangeArrowheads="1"/>
        </xdr:cNvPicPr>
      </xdr:nvPicPr>
      <xdr:blipFill>
        <a:blip xmlns:r="http://schemas.openxmlformats.org/officeDocument/2006/relationships" r:link="rId1" cstate="print">
          <a:extLst>
            <a:ext uri="{28A0092B-C50C-407E-A947-70E740481C1C}">
              <a14:useLocalDpi xmlns:a14="http://schemas.microsoft.com/office/drawing/2010/main" val="0"/>
            </a:ext>
          </a:extLst>
        </a:blip>
        <a:srcRect/>
        <a:stretch>
          <a:fillRect/>
        </a:stretch>
      </xdr:blipFill>
      <xdr:spPr bwMode="auto">
        <a:xfrm>
          <a:off x="34290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0.0361</cdr:x>
      <cdr:y>0.88889</cdr:y>
    </cdr:from>
    <cdr:to>
      <cdr:x>0.98996</cdr:x>
      <cdr:y>0.97956</cdr:y>
    </cdr:to>
    <cdr:sp macro="" textlink="">
      <cdr:nvSpPr>
        <cdr:cNvPr id="3" name="TextBox 2"/>
        <cdr:cNvSpPr txBox="1"/>
      </cdr:nvSpPr>
      <cdr:spPr>
        <a:xfrm xmlns:a="http://schemas.openxmlformats.org/drawingml/2006/main">
          <a:off x="171239" y="2133600"/>
          <a:ext cx="4524586" cy="217646"/>
        </a:xfrm>
        <a:prstGeom xmlns:a="http://schemas.openxmlformats.org/drawingml/2006/main" prst="rect">
          <a:avLst/>
        </a:prstGeom>
      </cdr:spPr>
      <cdr:txBody>
        <a:bodyPr xmlns:a="http://schemas.openxmlformats.org/drawingml/2006/main" vertOverflow="clip" horzOverflow="clip" wrap="squar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 Rates are</a:t>
          </a:r>
          <a:r>
            <a:rPr lang="en-US" sz="800" baseline="0">
              <a:latin typeface="+mj-lt"/>
              <a:cs typeface="Arial" pitchFamily="34" charset="0"/>
            </a:rPr>
            <a:t> for  each calendar year. </a:t>
          </a:r>
          <a:r>
            <a:rPr lang="en-US" sz="800">
              <a:latin typeface="+mj-lt"/>
              <a:cs typeface="Arial" pitchFamily="34" charset="0"/>
            </a:rPr>
            <a:t>Rates are not seasonally</a:t>
          </a:r>
          <a:r>
            <a:rPr lang="en-US" sz="800" baseline="0">
              <a:latin typeface="+mj-lt"/>
              <a:cs typeface="Arial" pitchFamily="34" charset="0"/>
            </a:rPr>
            <a:t> adjusted. </a:t>
          </a:r>
        </a:p>
        <a:p xmlns:a="http://schemas.openxmlformats.org/drawingml/2006/main">
          <a:r>
            <a:rPr lang="en-US" sz="800" baseline="0">
              <a:latin typeface="+mj-lt"/>
              <a:cs typeface="Arial" pitchFamily="34" charset="0"/>
            </a:rPr>
            <a:t>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0.03715</cdr:x>
      <cdr:y>0.84753</cdr:y>
    </cdr:from>
    <cdr:to>
      <cdr:x>0.92813</cdr:x>
      <cdr:y>1</cdr:y>
    </cdr:to>
    <cdr:sp macro="" textlink="">
      <cdr:nvSpPr>
        <cdr:cNvPr id="3" name="TextBox 1"/>
        <cdr:cNvSpPr txBox="1"/>
      </cdr:nvSpPr>
      <cdr:spPr>
        <a:xfrm xmlns:a="http://schemas.openxmlformats.org/drawingml/2006/main">
          <a:off x="117475" y="1816362"/>
          <a:ext cx="2817560" cy="32676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700">
              <a:latin typeface="Arial" pitchFamily="34" charset="0"/>
              <a:cs typeface="Arial" pitchFamily="34" charset="0"/>
            </a:rPr>
            <a:t>Source: </a:t>
          </a:r>
          <a:r>
            <a:rPr lang="en-US" sz="700" baseline="0">
              <a:latin typeface="Arial" pitchFamily="34" charset="0"/>
              <a:cs typeface="Arial" pitchFamily="34" charset="0"/>
            </a:rPr>
            <a:t>Data Warehouse, Client Cross-Program Locality Yearly </a:t>
          </a:r>
        </a:p>
        <a:p xmlns:a="http://schemas.openxmlformats.org/drawingml/2006/main">
          <a:pPr algn="l"/>
          <a:r>
            <a:rPr lang="en-US" sz="700" baseline="0">
              <a:latin typeface="Arial" pitchFamily="34" charset="0"/>
              <a:cs typeface="Arial" pitchFamily="34" charset="0"/>
            </a:rPr>
            <a:t>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0.03107</cdr:x>
      <cdr:y>0.93073</cdr:y>
    </cdr:from>
    <cdr:to>
      <cdr:x>0.94664</cdr:x>
      <cdr:y>0.99584</cdr:y>
    </cdr:to>
    <cdr:sp macro="" textlink="">
      <cdr:nvSpPr>
        <cdr:cNvPr id="3" name="TextBox 2"/>
        <cdr:cNvSpPr txBox="1"/>
      </cdr:nvSpPr>
      <cdr:spPr>
        <a:xfrm xmlns:a="http://schemas.openxmlformats.org/drawingml/2006/main">
          <a:off x="126091" y="2411324"/>
          <a:ext cx="3715062" cy="168687"/>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U.S.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 (SAIPE).</a:t>
          </a:r>
          <a:endParaRPr lang="en-US" sz="7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0.03355</cdr:x>
      <cdr:y>0.84753</cdr:y>
    </cdr:from>
    <cdr:to>
      <cdr:x>0.99396</cdr:x>
      <cdr:y>1</cdr:y>
    </cdr:to>
    <cdr:sp macro="" textlink="">
      <cdr:nvSpPr>
        <cdr:cNvPr id="3" name="TextBox 1"/>
        <cdr:cNvSpPr txBox="1"/>
      </cdr:nvSpPr>
      <cdr:spPr>
        <a:xfrm xmlns:a="http://schemas.openxmlformats.org/drawingml/2006/main">
          <a:off x="98425" y="1816362"/>
          <a:ext cx="2817560" cy="32676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700">
              <a:latin typeface="Arial" pitchFamily="34" charset="0"/>
              <a:cs typeface="Arial" pitchFamily="34" charset="0"/>
            </a:rPr>
            <a:t>Source: </a:t>
          </a:r>
          <a:r>
            <a:rPr lang="en-US" sz="700" baseline="0">
              <a:latin typeface="Arial" pitchFamily="34" charset="0"/>
              <a:cs typeface="Arial" pitchFamily="34" charset="0"/>
            </a:rPr>
            <a:t>Data Warehouse, Client Cross-Program Locality Yearly </a:t>
          </a:r>
        </a:p>
        <a:p xmlns:a="http://schemas.openxmlformats.org/drawingml/2006/main">
          <a:pPr algn="l"/>
          <a:r>
            <a:rPr lang="en-US" sz="700" baseline="0">
              <a:latin typeface="Arial" pitchFamily="34" charset="0"/>
              <a:cs typeface="Arial" pitchFamily="34" charset="0"/>
            </a:rPr>
            <a:t>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0.00829</cdr:x>
      <cdr:y>0.84753</cdr:y>
    </cdr:from>
    <cdr:to>
      <cdr:x>0.97183</cdr:x>
      <cdr:y>1</cdr:y>
    </cdr:to>
    <cdr:sp macro="" textlink="">
      <cdr:nvSpPr>
        <cdr:cNvPr id="2" name="TextBox 1"/>
        <cdr:cNvSpPr txBox="1"/>
      </cdr:nvSpPr>
      <cdr:spPr>
        <a:xfrm xmlns:a="http://schemas.openxmlformats.org/drawingml/2006/main">
          <a:off x="22425" y="1816362"/>
          <a:ext cx="2606475" cy="32676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700">
              <a:latin typeface="Arial" pitchFamily="34" charset="0"/>
              <a:cs typeface="Arial" pitchFamily="34" charset="0"/>
            </a:rPr>
            <a:t>Source: </a:t>
          </a:r>
          <a:r>
            <a:rPr lang="en-US" sz="700" baseline="0">
              <a:latin typeface="Arial" pitchFamily="34" charset="0"/>
              <a:cs typeface="Arial" pitchFamily="34" charset="0"/>
            </a:rPr>
            <a:t>Data Warehouse, Client Cross-Program Locality Yearly </a:t>
          </a:r>
        </a:p>
        <a:p xmlns:a="http://schemas.openxmlformats.org/drawingml/2006/main">
          <a:pPr algn="l"/>
          <a:r>
            <a:rPr lang="en-US" sz="700" baseline="0">
              <a:latin typeface="Arial" pitchFamily="34" charset="0"/>
              <a:cs typeface="Arial" pitchFamily="34" charset="0"/>
            </a:rPr>
            <a:t>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15-44 years.</a:t>
          </a:r>
          <a:endParaRPr lang="en-US" sz="800"/>
        </a:p>
      </cdr:txBody>
    </cdr:sp>
  </cdr:relSizeAnchor>
</c:userShapes>
</file>

<file path=xl/drawings/drawing8.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10-19 years.</a:t>
          </a:r>
          <a:endParaRPr lang="en-US" sz="800"/>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85725</xdr:colOff>
      <xdr:row>2</xdr:row>
      <xdr:rowOff>85725</xdr:rowOff>
    </xdr:from>
    <xdr:to>
      <xdr:col>4</xdr:col>
      <xdr:colOff>542925</xdr:colOff>
      <xdr:row>13</xdr:row>
      <xdr:rowOff>161925</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14</xdr:row>
      <xdr:rowOff>47624</xdr:rowOff>
    </xdr:from>
    <xdr:to>
      <xdr:col>4</xdr:col>
      <xdr:colOff>533400</xdr:colOff>
      <xdr:row>25</xdr:row>
      <xdr:rowOff>76199</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26</xdr:row>
      <xdr:rowOff>28575</xdr:rowOff>
    </xdr:from>
    <xdr:to>
      <xdr:col>2</xdr:col>
      <xdr:colOff>666750</xdr:colOff>
      <xdr:row>29</xdr:row>
      <xdr:rowOff>152400</xdr:rowOff>
    </xdr:to>
    <xdr:sp macro="" textlink="$L$24">
      <xdr:nvSpPr>
        <xdr:cNvPr id="4" name="Rounded Rectangle 3"/>
        <xdr:cNvSpPr/>
      </xdr:nvSpPr>
      <xdr:spPr>
        <a:xfrm>
          <a:off x="95250" y="27270075"/>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4DF10B21-1497-4A82-834F-CF2F964EB970}" type="TxLink">
            <a:rPr lang="en-US" sz="1600" b="1" i="0" u="none" strike="noStrike">
              <a:solidFill>
                <a:srgbClr val="FF0000"/>
              </a:solidFill>
              <a:latin typeface="+mn-lt"/>
              <a:cs typeface="Times New Roman"/>
            </a:rPr>
            <a:pPr algn="ctr"/>
            <a:t>$2,121,148,735</a:t>
          </a:fld>
          <a:endParaRPr lang="en-US" sz="1600" b="1">
            <a:latin typeface="+mn-lt"/>
          </a:endParaRPr>
        </a:p>
      </xdr:txBody>
    </xdr:sp>
    <xdr:clientData/>
  </xdr:twoCellAnchor>
  <xdr:twoCellAnchor>
    <xdr:from>
      <xdr:col>4</xdr:col>
      <xdr:colOff>666750</xdr:colOff>
      <xdr:row>26</xdr:row>
      <xdr:rowOff>38100</xdr:rowOff>
    </xdr:from>
    <xdr:to>
      <xdr:col>7</xdr:col>
      <xdr:colOff>666750</xdr:colOff>
      <xdr:row>29</xdr:row>
      <xdr:rowOff>161925</xdr:rowOff>
    </xdr:to>
    <xdr:sp macro="" textlink="$K$24">
      <xdr:nvSpPr>
        <xdr:cNvPr id="5" name="Rounded Rectangle 4"/>
        <xdr:cNvSpPr/>
      </xdr:nvSpPr>
      <xdr:spPr>
        <a:xfrm>
          <a:off x="3524250" y="272796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C31A062B-EC35-4B52-AF38-2D995E6EEFD6}" type="TxLink">
            <a:rPr lang="en-US" sz="1600" b="1" i="0" u="none" strike="noStrike">
              <a:solidFill>
                <a:srgbClr val="000000"/>
              </a:solidFill>
              <a:latin typeface="+mn-lt"/>
              <a:cs typeface="Times New Roman"/>
            </a:rPr>
            <a:pPr algn="ctr"/>
            <a:t>$70,990,844</a:t>
          </a:fld>
          <a:endParaRPr lang="en-US" sz="1600" b="1">
            <a:latin typeface="+mn-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search@dss.virginia.gov"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Research@dss.virginia.gov"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Research@dss.virginia.gov"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Research@dss.virginia.gov"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Research@dss.virginia.gov"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Research@dss.virginia.gov"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Research@dss.virginia.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Research@dss.virginia.gov"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Research@dss.virginia.gov"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Research@dss.virginia.gov"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Research@dss.virginia.gov"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esearch@dss.virginia.gov"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Research@dss.virginia.gov"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Research@dss.virginia.gov"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Research@dss.virginia.gov"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Research@dss.virginia.gov" TargetMode="Externa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0.bin"/><Relationship Id="rId1" Type="http://schemas.openxmlformats.org/officeDocument/2006/relationships/hyperlink" Target="mailto:Research@dss.virginia.gov" TargetMode="External"/><Relationship Id="rId4" Type="http://schemas.openxmlformats.org/officeDocument/2006/relationships/comments" Target="../comments1.xml"/></Relationships>
</file>

<file path=xl/worksheets/_rels/sheet6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Research@dss.virginia.gov"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Research@dss.virginia.gov"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Research@dss.virginia.gov"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Research@dss.virginia.gov"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search@dss.virginia.gov"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273"/>
  <sheetViews>
    <sheetView tabSelected="1" zoomScaleNormal="100" zoomScaleSheetLayoutView="100" workbookViewId="0">
      <pane ySplit="4" topLeftCell="A5" activePane="bottomLeft" state="frozen"/>
      <selection pane="bottomLeft" activeCell="D3" sqref="D3:G3"/>
    </sheetView>
  </sheetViews>
  <sheetFormatPr defaultRowHeight="12" x14ac:dyDescent="0.2"/>
  <cols>
    <col min="1" max="1" width="1" style="66" customWidth="1"/>
    <col min="2" max="2" width="9.5" style="66" customWidth="1"/>
    <col min="3" max="8" width="9" style="66" customWidth="1"/>
    <col min="9" max="9" width="10.125" style="66" customWidth="1"/>
    <col min="10" max="11" width="10.25" style="66" customWidth="1"/>
    <col min="12" max="13" width="10.625" style="66" customWidth="1"/>
    <col min="14" max="14" width="9" style="66" customWidth="1"/>
    <col min="15" max="16" width="10" style="66" customWidth="1"/>
    <col min="17" max="17" width="9.125" style="66" bestFit="1" customWidth="1"/>
    <col min="18" max="18" width="6.5" style="66" bestFit="1" customWidth="1"/>
    <col min="19" max="19" width="9.125" style="66" bestFit="1" customWidth="1"/>
    <col min="20" max="20" width="12" style="66" customWidth="1"/>
    <col min="21" max="21" width="12.75" style="66" customWidth="1"/>
    <col min="22" max="22" width="11" style="66" bestFit="1" customWidth="1"/>
    <col min="23" max="23" width="12" style="66" customWidth="1"/>
    <col min="24" max="24" width="10.875" style="66" bestFit="1" customWidth="1"/>
    <col min="25" max="16384" width="9" style="66"/>
  </cols>
  <sheetData>
    <row r="1" spans="2:32" ht="15.75" x14ac:dyDescent="0.25">
      <c r="B1" s="2560" t="s">
        <v>1384</v>
      </c>
      <c r="C1" s="2560"/>
      <c r="D1" s="2560"/>
      <c r="E1" s="2560"/>
      <c r="F1" s="2560"/>
      <c r="G1" s="2560"/>
      <c r="H1" s="2560"/>
      <c r="I1" s="2560"/>
      <c r="J1" s="2560"/>
      <c r="K1" s="2560"/>
      <c r="L1" s="2560"/>
      <c r="M1" s="2560"/>
      <c r="N1" s="2560"/>
      <c r="O1" s="170"/>
      <c r="P1" s="67"/>
      <c r="Q1" s="67"/>
      <c r="R1" s="67"/>
      <c r="AF1" s="68" t="s">
        <v>8</v>
      </c>
    </row>
    <row r="2" spans="2:32" ht="8.25" customHeight="1" x14ac:dyDescent="0.2"/>
    <row r="3" spans="2:32" ht="15.75" customHeight="1" x14ac:dyDescent="0.2">
      <c r="B3" s="2566" t="s">
        <v>1</v>
      </c>
      <c r="C3" s="2566"/>
      <c r="D3" s="2561" t="s">
        <v>11</v>
      </c>
      <c r="E3" s="2562"/>
      <c r="F3" s="2562"/>
      <c r="G3" s="2563"/>
      <c r="H3" s="160" t="s">
        <v>0</v>
      </c>
      <c r="I3" s="338" t="str">
        <f>VLOOKUP(D3,Loc_Name,2,FALSE)</f>
        <v>001</v>
      </c>
      <c r="J3" s="160" t="s">
        <v>613</v>
      </c>
      <c r="K3" s="337" t="str">
        <f>VLOOKUP(+I3,Agency_Level,3,FALSE)</f>
        <v>Eastern</v>
      </c>
      <c r="L3" s="161"/>
      <c r="M3" s="161"/>
      <c r="N3" s="161"/>
      <c r="O3" s="161"/>
      <c r="R3" s="71"/>
      <c r="S3" s="71"/>
      <c r="T3" s="71"/>
    </row>
    <row r="4" spans="2:32" ht="9" customHeight="1" x14ac:dyDescent="0.2">
      <c r="J4" s="72"/>
      <c r="Q4" s="71"/>
      <c r="R4" s="71"/>
      <c r="S4" s="71"/>
      <c r="T4" s="71"/>
    </row>
    <row r="5" spans="2:32" ht="13.5" customHeight="1" x14ac:dyDescent="0.2">
      <c r="B5" s="2564" t="s">
        <v>614</v>
      </c>
      <c r="C5" s="2564"/>
      <c r="D5" s="334" t="str">
        <f>VLOOKUP(I3,Agency_Level,5,FALSE)</f>
        <v>II (Two)</v>
      </c>
      <c r="E5" s="69" t="s">
        <v>615</v>
      </c>
      <c r="F5" s="2565" t="str">
        <f>VLOOKUP(I3,Agency_Level,9,FALSE)</f>
        <v>Non-Deviating</v>
      </c>
      <c r="G5" s="2565"/>
      <c r="H5" s="69" t="s">
        <v>616</v>
      </c>
      <c r="I5" s="335" t="str">
        <f>VLOOKUP(+I3,IT_Support,4,)</f>
        <v>Shared</v>
      </c>
      <c r="J5" s="2572" t="s">
        <v>725</v>
      </c>
      <c r="K5" s="2572"/>
      <c r="L5" s="336" t="str">
        <f>VLOOKUP(I3,Agency_Level,6,FALSE)</f>
        <v>Administrative</v>
      </c>
      <c r="M5" s="2592" t="str">
        <f>IF((VLOOKUP(I3,Agency_Level,6,FALSE))="Administrative"," ",VLOOKUP(I3,Agency_Level,7,FALSE))</f>
        <v xml:space="preserve"> </v>
      </c>
      <c r="N5" s="2592"/>
      <c r="O5" s="261"/>
      <c r="P5" s="261"/>
      <c r="R5" s="74"/>
      <c r="S5" s="74"/>
      <c r="T5" s="74"/>
    </row>
    <row r="6" spans="2:32" ht="7.5" customHeight="1" x14ac:dyDescent="0.2">
      <c r="J6" s="73"/>
      <c r="L6" s="171"/>
      <c r="M6" s="2592"/>
      <c r="N6" s="2592"/>
      <c r="O6" s="171"/>
      <c r="Q6" s="74"/>
      <c r="R6" s="74"/>
      <c r="S6" s="74"/>
      <c r="T6" s="74"/>
    </row>
    <row r="7" spans="2:32" ht="13.5" customHeight="1" x14ac:dyDescent="0.2">
      <c r="B7" s="2578" t="s">
        <v>1353</v>
      </c>
      <c r="C7" s="2579"/>
      <c r="D7" s="2586" t="str">
        <f>D3</f>
        <v>Accomack</v>
      </c>
      <c r="E7" s="2587"/>
      <c r="F7" s="2584" t="str">
        <f>K3</f>
        <v>Eastern</v>
      </c>
      <c r="G7" s="2584" t="s">
        <v>9</v>
      </c>
    </row>
    <row r="8" spans="2:32" ht="13.5" customHeight="1" x14ac:dyDescent="0.2">
      <c r="B8" s="2580"/>
      <c r="C8" s="2581"/>
      <c r="D8" s="2588"/>
      <c r="E8" s="2589"/>
      <c r="F8" s="2585"/>
      <c r="G8" s="2585"/>
      <c r="I8" s="2311"/>
      <c r="J8" s="2312"/>
      <c r="K8" s="1021"/>
      <c r="L8" s="1021"/>
      <c r="M8" s="1021"/>
    </row>
    <row r="9" spans="2:32" ht="13.5" customHeight="1" x14ac:dyDescent="0.2">
      <c r="B9" s="2582"/>
      <c r="C9" s="2583"/>
      <c r="D9" s="326" t="s">
        <v>619</v>
      </c>
      <c r="E9" s="327" t="s">
        <v>280</v>
      </c>
      <c r="F9" s="328" t="s">
        <v>280</v>
      </c>
      <c r="G9" s="345" t="s">
        <v>280</v>
      </c>
      <c r="I9" s="2311"/>
      <c r="J9" s="1021"/>
      <c r="K9" s="1021"/>
      <c r="L9" s="1021"/>
      <c r="M9" s="1021"/>
    </row>
    <row r="10" spans="2:32" ht="13.5" customHeight="1" x14ac:dyDescent="0.2">
      <c r="B10" s="346" t="s">
        <v>448</v>
      </c>
      <c r="C10" s="329"/>
      <c r="D10" s="330">
        <f>VLOOKUP(I3,Pop_Estimates,5,FALSE)</f>
        <v>32947</v>
      </c>
      <c r="E10" s="325"/>
      <c r="F10" s="331"/>
      <c r="G10" s="347"/>
      <c r="I10" s="2311"/>
      <c r="J10" s="2568" t="s">
        <v>771</v>
      </c>
      <c r="K10" s="2568"/>
      <c r="L10" s="2568"/>
      <c r="M10" s="2568"/>
    </row>
    <row r="11" spans="2:32" ht="13.5" customHeight="1" x14ac:dyDescent="0.2">
      <c r="B11" s="2593" t="s">
        <v>548</v>
      </c>
      <c r="C11" s="2594"/>
      <c r="D11" s="2313">
        <f>VLOOKUP(I3,Pop_Estimates,6,FALSE)</f>
        <v>16049</v>
      </c>
      <c r="E11" s="2315">
        <f>VLOOKUP(I3,Pop_Estimates, 22,FALSE)</f>
        <v>0.48711567062251493</v>
      </c>
      <c r="F11" s="2319">
        <f>VLOOKUP(K3,Pop_Estimates, 22, FALSE)</f>
        <v>0.49453885304201539</v>
      </c>
      <c r="G11" s="2317">
        <f>'2016 Population'!V5</f>
        <v>0.49178654576994624</v>
      </c>
      <c r="I11" s="2274">
        <f>VLOOKUP(I3,Poverty,5,FALSE)</f>
        <v>6493</v>
      </c>
      <c r="J11" s="2568"/>
      <c r="K11" s="2568"/>
      <c r="L11" s="2568"/>
      <c r="M11" s="2568"/>
    </row>
    <row r="12" spans="2:32" ht="13.5" customHeight="1" x14ac:dyDescent="0.2">
      <c r="B12" s="2595" t="s">
        <v>549</v>
      </c>
      <c r="C12" s="2596"/>
      <c r="D12" s="2314">
        <f>VLOOKUP(I3,Pop_Estimates,7,FALSE)</f>
        <v>16898</v>
      </c>
      <c r="E12" s="2316">
        <f>VLOOKUP(I3,Pop_Estimates,23,FALSE)</f>
        <v>0.51288432937748507</v>
      </c>
      <c r="F12" s="2320">
        <f>VLOOKUP(K3,Pop_Estimates,23,FALSE)</f>
        <v>0.50546114695798461</v>
      </c>
      <c r="G12" s="2318">
        <f>'2016 Population'!W5</f>
        <v>0.50821345423005371</v>
      </c>
      <c r="I12" s="2274"/>
      <c r="J12" s="2597"/>
      <c r="K12" s="2597"/>
      <c r="L12" s="2597"/>
      <c r="M12" s="2597"/>
    </row>
    <row r="13" spans="2:32" ht="13.5" customHeight="1" x14ac:dyDescent="0.2">
      <c r="B13" s="2272" t="s">
        <v>618</v>
      </c>
      <c r="C13" s="2273"/>
      <c r="D13" s="332">
        <f>VLOOKUP(I3,Pop_Estimates,13,FALSE)</f>
        <v>6797</v>
      </c>
      <c r="E13" s="270">
        <f>VLOOKUP(I3,Pop_Estimates,29,FALSE)</f>
        <v>0.20630102892524357</v>
      </c>
      <c r="F13" s="2321">
        <f>VLOOKUP(K3,Pop_Estimates,29,FALSE)</f>
        <v>0.22053546710960625</v>
      </c>
      <c r="G13" s="348">
        <f>'2016 Population'!AC5</f>
        <v>0.22232117043089905</v>
      </c>
      <c r="I13" s="2571">
        <f>VLOOKUP(I3,Poverty,6,FALSE)</f>
        <v>0.19962491545225358</v>
      </c>
      <c r="J13" s="2568" t="s">
        <v>772</v>
      </c>
      <c r="K13" s="2568"/>
      <c r="L13" s="2568"/>
      <c r="M13" s="2568"/>
    </row>
    <row r="14" spans="2:32" ht="13.5" customHeight="1" x14ac:dyDescent="0.2">
      <c r="B14" s="2272" t="s">
        <v>717</v>
      </c>
      <c r="C14" s="2273"/>
      <c r="D14" s="332">
        <f>VLOOKUP(I3,Pop_Estimates,14,FALSE)</f>
        <v>18810</v>
      </c>
      <c r="E14" s="270">
        <f>VLOOKUP(I3,Pop_Estimates,30,FALSE)</f>
        <v>0.57091692718608678</v>
      </c>
      <c r="F14" s="2321">
        <f>VLOOKUP(K3,Pop_Estimates,30,FALSE)</f>
        <v>0.63705200281096275</v>
      </c>
      <c r="G14" s="348">
        <f>'2016 Population'!AD5</f>
        <v>0.63160511985057199</v>
      </c>
      <c r="I14" s="2571"/>
      <c r="J14" s="2568"/>
      <c r="K14" s="2568"/>
      <c r="L14" s="2568"/>
      <c r="M14" s="2568"/>
    </row>
    <row r="15" spans="2:32" ht="13.5" customHeight="1" x14ac:dyDescent="0.2">
      <c r="B15" s="2573" t="s">
        <v>733</v>
      </c>
      <c r="C15" s="2574"/>
      <c r="D15" s="332">
        <f>VLOOKUP(I3,Pop_Estimates,15,FALSE)</f>
        <v>7340</v>
      </c>
      <c r="E15" s="270">
        <f>VLOOKUP(I3,Pop_Estimates,31,FALSE)</f>
        <v>0.22278204388866968</v>
      </c>
      <c r="F15" s="2321">
        <f>VLOOKUP(K3,Pop_Estimates,31,FALSE)</f>
        <v>0.142412530079431</v>
      </c>
      <c r="G15" s="348">
        <f>'2016 Population'!AE5</f>
        <v>0.14607370971852901</v>
      </c>
      <c r="I15" s="2571"/>
      <c r="J15" s="2568"/>
      <c r="K15" s="2568"/>
      <c r="L15" s="2568"/>
      <c r="M15" s="2568"/>
    </row>
    <row r="16" spans="2:32" ht="13.5" customHeight="1" x14ac:dyDescent="0.2">
      <c r="B16" s="2575" t="s">
        <v>1348</v>
      </c>
      <c r="C16" s="2576"/>
      <c r="D16" s="2305">
        <f>VLOOKUP(I3,Pop_Estimates,8,FALSE)</f>
        <v>22527</v>
      </c>
      <c r="E16" s="2306">
        <f>VLOOKUP(I3,Pop_Estimates,24,FALSE)</f>
        <v>0.68373448265395942</v>
      </c>
      <c r="F16" s="2322">
        <f>VLOOKUP(K3,Pop_Estimates,24,FALSE)</f>
        <v>0.59623607828105374</v>
      </c>
      <c r="G16" s="2307">
        <f>'2016 Population'!X5</f>
        <v>0.70039080777877949</v>
      </c>
      <c r="I16" s="2577">
        <f>VLOOKUP(I3,Poverty,8,FALSE)</f>
        <v>2118</v>
      </c>
      <c r="J16" s="2567" t="s">
        <v>773</v>
      </c>
      <c r="K16" s="2567"/>
      <c r="L16" s="2567"/>
      <c r="M16" s="2567"/>
    </row>
    <row r="17" spans="2:17" ht="13.5" customHeight="1" x14ac:dyDescent="0.2">
      <c r="B17" s="2573" t="s">
        <v>1352</v>
      </c>
      <c r="C17" s="2574"/>
      <c r="D17" s="333">
        <f>VLOOKUP(I3,Pop_Estimates,9,FALSE)</f>
        <v>9347</v>
      </c>
      <c r="E17" s="270">
        <f>VLOOKUP(I3,Pop_Estimates,25,FALSE)</f>
        <v>0.28369806052144353</v>
      </c>
      <c r="F17" s="2321">
        <f>VLOOKUP(K3,Pop_Estimates,25,FALSE)</f>
        <v>0.32535190272365255</v>
      </c>
      <c r="G17" s="348">
        <f>'2016 Population'!Y5</f>
        <v>0.1978793381874622</v>
      </c>
      <c r="I17" s="2577"/>
      <c r="J17" s="2568"/>
      <c r="K17" s="2568"/>
      <c r="L17" s="2568"/>
      <c r="M17" s="2568"/>
    </row>
    <row r="18" spans="2:17" ht="13.5" customHeight="1" x14ac:dyDescent="0.2">
      <c r="B18" s="2573" t="s">
        <v>1346</v>
      </c>
      <c r="C18" s="2574"/>
      <c r="D18" s="333">
        <f>VLOOKUP(I3,Pop_Estimates,10,FALSE)</f>
        <v>246</v>
      </c>
      <c r="E18" s="270">
        <f>VLOOKUP(I3,Pop_Estimates,26,FALSE)</f>
        <v>7.4665371657510549E-3</v>
      </c>
      <c r="F18" s="2321">
        <f>VLOOKUP(K3,Pop_Estimates,26,FALSE)</f>
        <v>3.7748887327242915E-2</v>
      </c>
      <c r="G18" s="348">
        <f>'2016 Population'!Z5</f>
        <v>6.6039904857552623E-2</v>
      </c>
      <c r="I18" s="2577"/>
      <c r="J18" s="2569"/>
      <c r="K18" s="2569"/>
      <c r="L18" s="2569"/>
      <c r="M18" s="2569"/>
    </row>
    <row r="19" spans="2:17" ht="13.5" customHeight="1" x14ac:dyDescent="0.2">
      <c r="B19" s="2573" t="s">
        <v>581</v>
      </c>
      <c r="C19" s="2574"/>
      <c r="D19" s="333">
        <f>VLOOKUP(I3,Pop_Estimates,11,FALSE)</f>
        <v>266</v>
      </c>
      <c r="E19" s="270">
        <f>VLOOKUP(I3,Pop_Estimates,27,FALSE)</f>
        <v>8.0735727076820356E-3</v>
      </c>
      <c r="F19" s="2321">
        <f>VLOOKUP(K3,Pop_Estimates,27,FALSE)</f>
        <v>6.6653889563236014E-3</v>
      </c>
      <c r="G19" s="348">
        <f>'2016 Population'!AA5</f>
        <v>6.5285608040506872E-3</v>
      </c>
      <c r="I19" s="2571">
        <f>VLOOKUP(I3,Poverty,9,FALSE)</f>
        <v>0.31782713085234093</v>
      </c>
      <c r="J19" s="2570" t="s">
        <v>774</v>
      </c>
      <c r="K19" s="2570"/>
      <c r="L19" s="2570"/>
      <c r="M19" s="2570"/>
      <c r="Q19" s="80"/>
    </row>
    <row r="20" spans="2:17" ht="13.5" customHeight="1" x14ac:dyDescent="0.2">
      <c r="B20" s="2573" t="s">
        <v>1339</v>
      </c>
      <c r="C20" s="2574"/>
      <c r="D20" s="333">
        <f>VLOOKUP(I3,Pop_Estimates,12,FALSE)</f>
        <v>561</v>
      </c>
      <c r="E20" s="270">
        <f>VLOOKUP(I3,Pop_Estimates,28,FALSE)</f>
        <v>1.702734695116399E-2</v>
      </c>
      <c r="F20" s="2321">
        <f>VLOOKUP(K3,Pop_Estimates,28,FALSE)</f>
        <v>3.3997742711727251E-2</v>
      </c>
      <c r="G20" s="348">
        <f>'2016 Population'!AB5</f>
        <v>2.9161388372154953E-2</v>
      </c>
      <c r="I20" s="2571"/>
      <c r="J20" s="2568"/>
      <c r="K20" s="2568"/>
      <c r="L20" s="2568"/>
      <c r="M20" s="2568"/>
    </row>
    <row r="21" spans="2:17" ht="13.5" customHeight="1" x14ac:dyDescent="0.2">
      <c r="B21" s="2590" t="s">
        <v>1354</v>
      </c>
      <c r="C21" s="2591"/>
      <c r="D21" s="2308">
        <f>VLOOKUP(I3,Pop_Estimates,32,FALSE)</f>
        <v>2931</v>
      </c>
      <c r="E21" s="2309">
        <f>VLOOKUP(I3,Pop_Estimates,33,FALSE)</f>
        <v>8.8961058669985132E-2</v>
      </c>
      <c r="F21" s="2323">
        <f>VLOOKUP(K3,Pop_Estimates,33,FALSE)</f>
        <v>6.5091356289529168E-2</v>
      </c>
      <c r="G21" s="2310">
        <f>'2016 Population'!AG5</f>
        <v>9.1062943899813217E-2</v>
      </c>
      <c r="H21" s="78"/>
      <c r="I21" s="2571"/>
      <c r="J21" s="2568"/>
      <c r="K21" s="2568"/>
      <c r="L21" s="2568"/>
      <c r="M21" s="2568"/>
    </row>
    <row r="22" spans="2:17" ht="13.5" customHeight="1" x14ac:dyDescent="0.2">
      <c r="B22" s="2635" t="s">
        <v>1355</v>
      </c>
      <c r="C22" s="2635"/>
      <c r="D22" s="2635"/>
      <c r="E22" s="2635"/>
      <c r="F22" s="2635"/>
      <c r="G22" s="2635"/>
      <c r="H22" s="271"/>
      <c r="I22" s="271"/>
      <c r="J22" s="2540" t="s">
        <v>1320</v>
      </c>
      <c r="K22" s="2540"/>
      <c r="L22" s="2540"/>
      <c r="M22" s="2540"/>
    </row>
    <row r="23" spans="2:17" ht="13.5" customHeight="1" x14ac:dyDescent="0.2">
      <c r="B23" s="2635"/>
      <c r="C23" s="2635"/>
      <c r="D23" s="2635"/>
      <c r="E23" s="2635"/>
      <c r="F23" s="2635"/>
      <c r="G23" s="2635"/>
      <c r="H23" s="271"/>
      <c r="I23" s="271"/>
      <c r="J23" s="2540"/>
      <c r="K23" s="2540"/>
      <c r="L23" s="2540"/>
      <c r="M23" s="2540"/>
    </row>
    <row r="24" spans="2:17" ht="13.5" customHeight="1" x14ac:dyDescent="0.2">
      <c r="B24" s="2635"/>
      <c r="C24" s="2635"/>
      <c r="D24" s="2635"/>
      <c r="E24" s="2635"/>
      <c r="F24" s="2635"/>
      <c r="G24" s="2635"/>
      <c r="H24" s="271"/>
      <c r="I24" s="271"/>
    </row>
    <row r="25" spans="2:17" ht="13.5" customHeight="1" x14ac:dyDescent="0.2">
      <c r="B25" s="2518" t="s">
        <v>735</v>
      </c>
      <c r="C25" s="2541" t="str">
        <f>D3</f>
        <v>Accomack</v>
      </c>
      <c r="D25" s="2542"/>
      <c r="E25" s="2541" t="str">
        <f>K3</f>
        <v>Eastern</v>
      </c>
      <c r="F25" s="2542"/>
      <c r="G25" s="2545" t="s">
        <v>9</v>
      </c>
      <c r="H25" s="2546"/>
      <c r="J25" s="169"/>
    </row>
    <row r="26" spans="2:17" ht="13.5" customHeight="1" x14ac:dyDescent="0.2">
      <c r="B26" s="2519"/>
      <c r="C26" s="2543"/>
      <c r="D26" s="2544"/>
      <c r="E26" s="2543"/>
      <c r="F26" s="2544"/>
      <c r="G26" s="2547"/>
      <c r="H26" s="2548"/>
      <c r="J26" s="169"/>
    </row>
    <row r="27" spans="2:17" ht="13.5" customHeight="1" x14ac:dyDescent="0.2">
      <c r="B27" s="2519"/>
      <c r="C27" s="352" t="s">
        <v>736</v>
      </c>
      <c r="D27" s="353" t="s">
        <v>7</v>
      </c>
      <c r="E27" s="352" t="s">
        <v>736</v>
      </c>
      <c r="F27" s="353" t="s">
        <v>7</v>
      </c>
      <c r="G27" s="352" t="s">
        <v>736</v>
      </c>
      <c r="H27" s="353" t="s">
        <v>7</v>
      </c>
    </row>
    <row r="28" spans="2:17" ht="13.5" customHeight="1" x14ac:dyDescent="0.2">
      <c r="B28" s="343">
        <v>2006</v>
      </c>
      <c r="C28" s="1443">
        <f>VLOOKUP(I3,Poverty_AllAges,10,FALSE)</f>
        <v>0.154</v>
      </c>
      <c r="D28" s="1446">
        <f>VLOOKUP(I3,Poverty_Child,10,FALSE)</f>
        <v>0.23199999999999998</v>
      </c>
      <c r="E28" s="1443">
        <f>VLOOKUP(K3,Poverty_AllAges,10,FALSE)</f>
        <v>0.10639459370059251</v>
      </c>
      <c r="F28" s="1446">
        <f>VLOOKUP(K3,Poverty_Child,10,FALSE)</f>
        <v>0.14641453075926292</v>
      </c>
      <c r="G28" s="1443">
        <f>'Poverty_All ages'!J4</f>
        <v>9.6199999999999994E-2</v>
      </c>
      <c r="H28" s="1448">
        <f>Poverty_Child!J5</f>
        <v>0.12322064717116948</v>
      </c>
    </row>
    <row r="29" spans="2:17" ht="13.5" customHeight="1" x14ac:dyDescent="0.2">
      <c r="B29" s="344">
        <v>2007</v>
      </c>
      <c r="C29" s="1444">
        <f>VLOOKUP(I3,Poverty_AllAges,11,FALSE)</f>
        <v>0.16800000000000001</v>
      </c>
      <c r="D29" s="1447">
        <f>VLOOKUP(I3,Poverty_Child,11,FALSE)</f>
        <v>0.25100000000000006</v>
      </c>
      <c r="E29" s="1444">
        <f>VLOOKUP(K3,Poverty_AllAges,11,FALSE)</f>
        <v>0.11202655946373949</v>
      </c>
      <c r="F29" s="1447">
        <f>VLOOKUP(K3,Poverty_Child,11,FALSE)</f>
        <v>0.15611975749596346</v>
      </c>
      <c r="G29" s="1444">
        <f>'Poverty_All ages'!K4</f>
        <v>9.9000000000000005E-2</v>
      </c>
      <c r="H29" s="1452">
        <f>Poverty_Child!K5</f>
        <v>0.12930216566469369</v>
      </c>
    </row>
    <row r="30" spans="2:17" ht="13.5" customHeight="1" x14ac:dyDescent="0.2">
      <c r="B30" s="343">
        <v>2008</v>
      </c>
      <c r="C30" s="1443">
        <f>VLOOKUP(I3,Poverty_AllAges,12,FALSE)</f>
        <v>0.20600000000000002</v>
      </c>
      <c r="D30" s="1446">
        <f>VLOOKUP(I3,Poverty_Child,12,FALSE)</f>
        <v>0.29699999999999999</v>
      </c>
      <c r="E30" s="1443">
        <f>VLOOKUP(K3,Poverty_AllAges,12,FALSE)</f>
        <v>0.11571808952754851</v>
      </c>
      <c r="F30" s="1446">
        <f>VLOOKUP(K3,Poverty_Child,12,FALSE)</f>
        <v>0.16549851613310601</v>
      </c>
      <c r="G30" s="1443">
        <f>'Poverty_All ages'!L4</f>
        <v>0.10210000000000001</v>
      </c>
      <c r="H30" s="1448">
        <f>Poverty_Child!L5</f>
        <v>0.13580226821250407</v>
      </c>
    </row>
    <row r="31" spans="2:17" ht="13.5" customHeight="1" x14ac:dyDescent="0.2">
      <c r="B31" s="344">
        <v>2009</v>
      </c>
      <c r="C31" s="1444">
        <f>VLOOKUP(I3,Poverty_AllAges,13,FALSE)</f>
        <v>0.183</v>
      </c>
      <c r="D31" s="1447">
        <f>VLOOKUP(I3,Poverty_Child,13,FALSE)</f>
        <v>0.27400000000000002</v>
      </c>
      <c r="E31" s="1444">
        <f>VLOOKUP(K3,Poverty_AllAges,13,FALSE)</f>
        <v>0.11429957969100746</v>
      </c>
      <c r="F31" s="1447">
        <f>VLOOKUP(K3,Poverty_Child,13,FALSE)</f>
        <v>0.16261973561466178</v>
      </c>
      <c r="G31" s="1444">
        <f>'Poverty_All ages'!M4</f>
        <v>0.1057</v>
      </c>
      <c r="H31" s="1452">
        <f>Poverty_Child!M5</f>
        <v>0.14000000000000001</v>
      </c>
    </row>
    <row r="32" spans="2:17" ht="13.5" customHeight="1" x14ac:dyDescent="0.2">
      <c r="B32" s="343">
        <v>2010</v>
      </c>
      <c r="C32" s="1443">
        <f>VLOOKUP(I3,Poverty_AllAges,14,FALSE)</f>
        <v>0.20499999999999999</v>
      </c>
      <c r="D32" s="1446">
        <f>VLOOKUP(I3,Poverty_Child,14,FALSE)</f>
        <v>0.28699999999999998</v>
      </c>
      <c r="E32" s="1443">
        <f>VLOOKUP(K3,Poverty_AllAges,14,FALSE)</f>
        <v>0.12023872863352066</v>
      </c>
      <c r="F32" s="1446">
        <f>VLOOKUP(K3,Poverty_Child,14,FALSE)</f>
        <v>0.16684839324070738</v>
      </c>
      <c r="G32" s="1443">
        <f>'Poverty_All ages'!N4</f>
        <v>0.11118840014389482</v>
      </c>
      <c r="H32" s="1448">
        <f>Poverty_Child!N5</f>
        <v>0.14555376556266278</v>
      </c>
    </row>
    <row r="33" spans="2:8" ht="13.5" customHeight="1" x14ac:dyDescent="0.2">
      <c r="B33" s="344">
        <v>2011</v>
      </c>
      <c r="C33" s="1444">
        <f>VLOOKUP(I3,Poverty_AllAges,15,FALSE)</f>
        <v>0.193</v>
      </c>
      <c r="D33" s="1447">
        <f>VLOOKUP(I3,Poverty_Child,15,FALSE)</f>
        <v>0.30499999999999999</v>
      </c>
      <c r="E33" s="1444">
        <f>VLOOKUP(K3,Poverty_AllAges,15,FALSE)</f>
        <v>0.12870004950966066</v>
      </c>
      <c r="F33" s="1447">
        <f>VLOOKUP(K3,Poverty_Child,15,FALSE)</f>
        <v>0.18344688787599084</v>
      </c>
      <c r="G33" s="1444">
        <f>'Poverty_All ages'!O4</f>
        <v>0.11600000000000001</v>
      </c>
      <c r="H33" s="1452">
        <f>Poverty_Child!O5</f>
        <v>0.156</v>
      </c>
    </row>
    <row r="34" spans="2:8" ht="13.5" customHeight="1" x14ac:dyDescent="0.2">
      <c r="B34" s="343">
        <v>2012</v>
      </c>
      <c r="C34" s="1443">
        <f>VLOOKUP(I3,Poverty_AllAges,16,FALSE)</f>
        <v>0.19900000000000001</v>
      </c>
      <c r="D34" s="1446">
        <f>VLOOKUP(I3,Poverty_Child,16,FALSE)</f>
        <v>0.314</v>
      </c>
      <c r="E34" s="1443">
        <f>VLOOKUP(K3,Poverty_AllAges,16,FALSE)</f>
        <v>0.13600000000000001</v>
      </c>
      <c r="F34" s="1446">
        <f>VLOOKUP(K3,Poverty_Child,16,FALSE)</f>
        <v>0.19465468306527908</v>
      </c>
      <c r="G34" s="1443">
        <f>'Poverty_All ages'!P4</f>
        <v>0.11799999999999999</v>
      </c>
      <c r="H34" s="1448">
        <f>Poverty_Child!P5</f>
        <v>0.155</v>
      </c>
    </row>
    <row r="35" spans="2:8" ht="13.5" customHeight="1" x14ac:dyDescent="0.2">
      <c r="B35" s="344">
        <v>2013</v>
      </c>
      <c r="C35" s="1444">
        <f>VLOOKUP(I3,Poverty_AllAges,17,FALSE)</f>
        <v>0.19252741881281887</v>
      </c>
      <c r="D35" s="1447">
        <f>VLOOKUP(I3,Poverty_Child,17,FALSE)</f>
        <v>0.29439930354033661</v>
      </c>
      <c r="E35" s="1444">
        <f>VLOOKUP(K3,Poverty_AllAges,17,FALSE)</f>
        <v>0.13722953804582269</v>
      </c>
      <c r="F35" s="1447">
        <f>VLOOKUP(K3,Poverty_Child,17,FALSE)</f>
        <v>0.19731917697955095</v>
      </c>
      <c r="G35" s="1444">
        <f>'Poverty_All ages'!Q4</f>
        <v>0.11747751027208382</v>
      </c>
      <c r="H35" s="1452">
        <f>Poverty_Child!Q5</f>
        <v>0.15745553871615489</v>
      </c>
    </row>
    <row r="36" spans="2:8" ht="13.5" customHeight="1" x14ac:dyDescent="0.2">
      <c r="B36" s="343">
        <v>2014</v>
      </c>
      <c r="C36" s="1443">
        <f>VLOOKUP(I3,Poverty_AllAges,18,FALSE)</f>
        <v>0.19371551195585529</v>
      </c>
      <c r="D36" s="1448">
        <f>VLOOKUP(I3,Poverty_Child,18,FALSE)</f>
        <v>0.30916311222238563</v>
      </c>
      <c r="E36" s="1443">
        <f>VLOOKUP(K3,Poverty_AllAges,18,FALSE)</f>
        <v>0.13349245196423984</v>
      </c>
      <c r="F36" s="1448">
        <f>VLOOKUP(K3,Poverty_Child,18,FALSE)</f>
        <v>0.1918605782799529</v>
      </c>
      <c r="G36" s="1443">
        <f>'Poverty_All ages'!R4</f>
        <v>0.1182560438559494</v>
      </c>
      <c r="H36" s="1448">
        <f>Poverty_Child!R5</f>
        <v>0.15872305329925826</v>
      </c>
    </row>
    <row r="37" spans="2:8" ht="13.5" customHeight="1" x14ac:dyDescent="0.2">
      <c r="B37" s="344">
        <v>2015</v>
      </c>
      <c r="C37" s="1445">
        <f>VLOOKUP(I3,Poverty_AllAges,19,FALSE)</f>
        <v>0.20385040530582166</v>
      </c>
      <c r="D37" s="1449">
        <f>VLOOKUP(I3,Poverty_Child,19,FALSE)</f>
        <v>0.3097292472478429</v>
      </c>
      <c r="E37" s="1450">
        <f>VLOOKUP(K3,Poverty_AllAges,19,FALSE)</f>
        <v>0.12957719229379919</v>
      </c>
      <c r="F37" s="1451">
        <f>VLOOKUP(K3,Poverty_Child,19,FALSE)</f>
        <v>0.18934995181748365</v>
      </c>
      <c r="G37" s="1450">
        <f>'Poverty_All ages'!S4</f>
        <v>0.11243251566072024</v>
      </c>
      <c r="H37" s="1451">
        <f>Poverty_Child!S5</f>
        <v>0.14973262322463776</v>
      </c>
    </row>
    <row r="38" spans="2:8" ht="13.5" customHeight="1" x14ac:dyDescent="0.2">
      <c r="B38" s="343">
        <v>2016</v>
      </c>
      <c r="C38" s="1453">
        <f>VLOOKUP(I3,Poverty_AllAges,20,FALSE)</f>
        <v>0.19962491545225358</v>
      </c>
      <c r="D38" s="1454">
        <f>VLOOKUP(I3,Poverty_Child,20,FALSE)</f>
        <v>0.31782713085234093</v>
      </c>
      <c r="E38" s="1455">
        <f>VLOOKUP(K3,Poverty_AllAges,20,FALSE)</f>
        <v>0.12507315600745675</v>
      </c>
      <c r="F38" s="1456">
        <f>VLOOKUP(K3,Poverty_Child,20,FALSE)</f>
        <v>0.18052845987901542</v>
      </c>
      <c r="G38" s="1455">
        <f>'Poverty_All ages'!T4</f>
        <v>0.11</v>
      </c>
      <c r="H38" s="1456">
        <f>Poverty_Child!T5</f>
        <v>0.14299999999999999</v>
      </c>
    </row>
    <row r="39" spans="2:8" ht="13.5" customHeight="1" x14ac:dyDescent="0.2">
      <c r="B39" s="272" t="s">
        <v>734</v>
      </c>
      <c r="C39" s="90"/>
    </row>
    <row r="40" spans="2:8" ht="13.5" customHeight="1" x14ac:dyDescent="0.2">
      <c r="B40" s="2551" t="s">
        <v>737</v>
      </c>
      <c r="C40" s="2549" t="str">
        <f>D3</f>
        <v>Accomack</v>
      </c>
      <c r="D40" s="2549"/>
      <c r="E40" s="2549" t="str">
        <f>K3</f>
        <v>Eastern</v>
      </c>
      <c r="F40" s="2549" t="s">
        <v>9</v>
      </c>
      <c r="G40" s="2632"/>
      <c r="H40" s="2632"/>
    </row>
    <row r="41" spans="2:8" ht="13.5" customHeight="1" x14ac:dyDescent="0.2">
      <c r="B41" s="2552"/>
      <c r="C41" s="2550"/>
      <c r="D41" s="2550"/>
      <c r="E41" s="2550"/>
      <c r="F41" s="2550"/>
      <c r="G41" s="2632"/>
      <c r="H41" s="2632"/>
    </row>
    <row r="42" spans="2:8" ht="13.5" customHeight="1" x14ac:dyDescent="0.2">
      <c r="B42" s="2552"/>
      <c r="C42" s="360" t="s">
        <v>619</v>
      </c>
      <c r="D42" s="349" t="s">
        <v>738</v>
      </c>
      <c r="E42" s="354" t="s">
        <v>738</v>
      </c>
      <c r="F42" s="355" t="s">
        <v>738</v>
      </c>
      <c r="G42" s="301"/>
      <c r="H42" s="301"/>
    </row>
    <row r="43" spans="2:8" ht="13.5" customHeight="1" x14ac:dyDescent="0.2">
      <c r="B43" s="343">
        <v>2006</v>
      </c>
      <c r="C43" s="362">
        <f>VLOOKUP(I3,Employment,35,FALSE)</f>
        <v>783</v>
      </c>
      <c r="D43" s="351">
        <f>VLOOKUP($I$3,Employment,10,FALSE)</f>
        <v>4.2121684867394697E-2</v>
      </c>
      <c r="E43" s="359">
        <f>VLOOKUP($K$3,Employment,10,FALSE)</f>
        <v>3.4054139645035592E-2</v>
      </c>
      <c r="F43" s="358">
        <f>Unemployment!J4</f>
        <v>3.042605361214783E-2</v>
      </c>
      <c r="G43" s="303"/>
      <c r="H43" s="302"/>
    </row>
    <row r="44" spans="2:8" ht="13.5" customHeight="1" x14ac:dyDescent="0.2">
      <c r="B44" s="344">
        <v>2007</v>
      </c>
      <c r="C44" s="361">
        <f>VLOOKUP(I3,Employment,37,FALSE)</f>
        <v>773</v>
      </c>
      <c r="D44" s="350">
        <f>VLOOKUP($I$3,Employment,11,FALSE)</f>
        <v>4.1361228530151423E-2</v>
      </c>
      <c r="E44" s="357">
        <f>VLOOKUP($K$3,Employment,11,FALSE)</f>
        <v>3.3091630916195276E-2</v>
      </c>
      <c r="F44" s="356">
        <f>Unemployment!K4</f>
        <v>3.0637117624127935E-2</v>
      </c>
      <c r="G44" s="303"/>
      <c r="H44" s="302"/>
    </row>
    <row r="45" spans="2:8" ht="13.5" customHeight="1" x14ac:dyDescent="0.2">
      <c r="B45" s="343">
        <v>2008</v>
      </c>
      <c r="C45" s="362">
        <f>VLOOKUP(I3,Employment,39,FALSE)</f>
        <v>949</v>
      </c>
      <c r="D45" s="351">
        <f>VLOOKUP($I$3,Employment,12,FALSE)</f>
        <v>4.9915842625710076E-2</v>
      </c>
      <c r="E45" s="359">
        <f>VLOOKUP($K$3,Employment,12,FALSE)</f>
        <v>4.2744274872914149E-2</v>
      </c>
      <c r="F45" s="358">
        <f>Unemployment!L4</f>
        <v>3.9533104507533175E-2</v>
      </c>
      <c r="G45" s="303"/>
      <c r="H45" s="302"/>
    </row>
    <row r="46" spans="2:8" ht="13.5" customHeight="1" x14ac:dyDescent="0.2">
      <c r="B46" s="344">
        <v>2009</v>
      </c>
      <c r="C46" s="361">
        <f>VLOOKUP(I3,Employment,41,FALSE)</f>
        <v>1331</v>
      </c>
      <c r="D46" s="350">
        <f>VLOOKUP($I$3,Employment,13,FALSE)</f>
        <v>6.7361708588491317E-2</v>
      </c>
      <c r="E46" s="357">
        <f>VLOOKUP($K$3,Employment,13,FALSE)</f>
        <v>7.2502585768335376E-2</v>
      </c>
      <c r="F46" s="356">
        <f>Unemployment!M4</f>
        <v>6.9500899241383113E-2</v>
      </c>
      <c r="G46" s="303"/>
      <c r="H46" s="302"/>
    </row>
    <row r="47" spans="2:8" ht="13.5" customHeight="1" x14ac:dyDescent="0.2">
      <c r="B47" s="343">
        <v>2010</v>
      </c>
      <c r="C47" s="362">
        <f>VLOOKUP(I3,Employment,43,FALSE)</f>
        <v>1334</v>
      </c>
      <c r="D47" s="351">
        <f>VLOOKUP($I$3,Employment,14,FALSE)</f>
        <v>7.0492496300993454E-2</v>
      </c>
      <c r="E47" s="359">
        <f>VLOOKUP($K$3,Employment,14,FALSE)</f>
        <v>7.6663536748089484E-2</v>
      </c>
      <c r="F47" s="358">
        <f>Unemployment!N4</f>
        <v>7.0996273411972191E-2</v>
      </c>
      <c r="G47" s="303"/>
      <c r="H47" s="302"/>
    </row>
    <row r="48" spans="2:8" ht="13.5" customHeight="1" x14ac:dyDescent="0.2">
      <c r="B48" s="344">
        <v>2011</v>
      </c>
      <c r="C48" s="361">
        <f>VLOOKUP(I3,Employment,45,FALSE)</f>
        <v>1357</v>
      </c>
      <c r="D48" s="350">
        <f>VLOOKUP($I$3,Employment,15,FALSE)</f>
        <v>7.280433499651269E-2</v>
      </c>
      <c r="E48" s="357">
        <f>VLOOKUP($K$3,Employment,15,FALSE)</f>
        <v>7.2411265556543009E-2</v>
      </c>
      <c r="F48" s="356">
        <f>Unemployment!O4</f>
        <v>6.4437374190308969E-2</v>
      </c>
      <c r="G48" s="303"/>
      <c r="H48" s="302"/>
    </row>
    <row r="49" spans="2:14" ht="13.5" customHeight="1" x14ac:dyDescent="0.2">
      <c r="B49" s="343">
        <v>2012</v>
      </c>
      <c r="C49" s="362">
        <f>VLOOKUP(I3,Employment,47,FALSE)</f>
        <v>1249</v>
      </c>
      <c r="D49" s="351">
        <f>VLOOKUP($I$3,Employment,16,FALSE)</f>
        <v>6.8050561185572622E-2</v>
      </c>
      <c r="E49" s="359">
        <f>VLOOKUP($K$3,Employment,16,FALSE)</f>
        <v>6.6414075961871114E-2</v>
      </c>
      <c r="F49" s="358">
        <f>Unemployment!P4</f>
        <v>5.8774345474193433E-2</v>
      </c>
      <c r="G49" s="303"/>
      <c r="H49" s="302"/>
    </row>
    <row r="50" spans="2:14" ht="13.5" customHeight="1" x14ac:dyDescent="0.2">
      <c r="B50" s="344">
        <v>2013</v>
      </c>
      <c r="C50" s="361">
        <f>VLOOKUP(I3,Employment,49,FALSE)</f>
        <v>1171</v>
      </c>
      <c r="D50" s="350">
        <f>VLOOKUP($I$3,Employment,17,FALSE)</f>
        <v>6.469613259668508E-2</v>
      </c>
      <c r="E50" s="357">
        <f>VLOOKUP($K$3,Employment,17,FALSE)</f>
        <v>6.1377424762512969E-2</v>
      </c>
      <c r="F50" s="356">
        <f>Unemployment!Q4</f>
        <v>5.5454654156622714E-2</v>
      </c>
      <c r="G50" s="303"/>
      <c r="H50" s="302"/>
    </row>
    <row r="51" spans="2:14" ht="13.5" customHeight="1" x14ac:dyDescent="0.2">
      <c r="B51" s="343">
        <v>2014</v>
      </c>
      <c r="C51" s="362">
        <f>VLOOKUP(I3,Employment,51,FALSE)</f>
        <v>1040</v>
      </c>
      <c r="D51" s="351">
        <f>VLOOKUP($I$3,Employment,18,FALSE)</f>
        <v>6.4902646030953567E-2</v>
      </c>
      <c r="E51" s="359">
        <f>VLOOKUP($K$3,Employment,18,FALSE)</f>
        <v>5.7334382521145637E-2</v>
      </c>
      <c r="F51" s="358">
        <f>Unemployment!R4</f>
        <v>5.1645529339042547E-2</v>
      </c>
      <c r="G51" s="303"/>
      <c r="H51" s="301"/>
    </row>
    <row r="52" spans="2:14" ht="13.5" customHeight="1" x14ac:dyDescent="0.2">
      <c r="B52" s="344">
        <v>2015</v>
      </c>
      <c r="C52" s="918">
        <f>VLOOKUP(I3,Employment,53,FALSE)</f>
        <v>866</v>
      </c>
      <c r="D52" s="919">
        <f>VLOOKUP(I3,Employment,19,FALSE)</f>
        <v>5.4219884798397198E-2</v>
      </c>
      <c r="E52" s="920">
        <f>VLOOKUP(K3,Employment,19,FALSE)</f>
        <v>4.9696849219759469E-2</v>
      </c>
      <c r="F52" s="356">
        <f>Unemployment!S4</f>
        <v>4.4467413563948954E-2</v>
      </c>
      <c r="G52" s="303"/>
      <c r="H52" s="900"/>
    </row>
    <row r="53" spans="2:14" ht="13.5" customHeight="1" x14ac:dyDescent="0.2">
      <c r="B53" s="343">
        <v>2016</v>
      </c>
      <c r="C53" s="921">
        <f>VLOOKUP(I3,Employment,55,FALSE)</f>
        <v>761</v>
      </c>
      <c r="D53" s="922">
        <f>VLOOKUP(I3,Employment,20,FALSE)</f>
        <v>4.8167605544654726E-2</v>
      </c>
      <c r="E53" s="923">
        <f>VLOOKUP(K3,Employment,20,FALSE)</f>
        <v>4.6246224883036681E-2</v>
      </c>
      <c r="F53" s="358">
        <f>Unemployment!T4</f>
        <v>4.0126015938058909E-2</v>
      </c>
      <c r="G53" s="303"/>
      <c r="H53" s="301"/>
    </row>
    <row r="54" spans="2:14" ht="14.25" customHeight="1" x14ac:dyDescent="0.2">
      <c r="B54" s="2554" t="s">
        <v>819</v>
      </c>
      <c r="C54" s="2554"/>
      <c r="D54" s="2554"/>
      <c r="E54" s="2554"/>
      <c r="F54" s="2554"/>
    </row>
    <row r="55" spans="2:14" ht="14.25" customHeight="1" x14ac:dyDescent="0.2">
      <c r="B55" s="2606" t="s">
        <v>1222</v>
      </c>
      <c r="C55" s="2556" t="s">
        <v>862</v>
      </c>
      <c r="D55" s="2556"/>
      <c r="E55" s="2556"/>
      <c r="F55" s="2556"/>
      <c r="G55" s="2557" t="s">
        <v>863</v>
      </c>
      <c r="H55" s="2558"/>
      <c r="I55" s="2558"/>
      <c r="J55" s="2559"/>
      <c r="K55" s="1035"/>
      <c r="M55" s="2669">
        <f>VLOOKUP(I3,Child_SingleParentHH,11,FALSE)</f>
        <v>0.38387319090282562</v>
      </c>
      <c r="N55" s="1169"/>
    </row>
    <row r="56" spans="2:14" ht="21.75" customHeight="1" x14ac:dyDescent="0.2">
      <c r="B56" s="2607"/>
      <c r="C56" s="2555" t="str">
        <f>D3</f>
        <v>Accomack</v>
      </c>
      <c r="D56" s="2555"/>
      <c r="E56" s="1100" t="str">
        <f>K3</f>
        <v>Eastern</v>
      </c>
      <c r="F56" s="1100" t="s">
        <v>9</v>
      </c>
      <c r="G56" s="2555" t="str">
        <f>D3</f>
        <v>Accomack</v>
      </c>
      <c r="H56" s="2555"/>
      <c r="I56" s="1100" t="str">
        <f>K3</f>
        <v>Eastern</v>
      </c>
      <c r="J56" s="1100" t="s">
        <v>9</v>
      </c>
      <c r="K56" s="1035"/>
      <c r="L56" s="1169"/>
      <c r="M56" s="2669"/>
      <c r="N56" s="1169"/>
    </row>
    <row r="57" spans="2:14" ht="14.25" customHeight="1" x14ac:dyDescent="0.2">
      <c r="B57" s="2608"/>
      <c r="C57" s="1101" t="s">
        <v>619</v>
      </c>
      <c r="D57" s="1101" t="s">
        <v>280</v>
      </c>
      <c r="E57" s="1101" t="s">
        <v>280</v>
      </c>
      <c r="F57" s="1101" t="s">
        <v>280</v>
      </c>
      <c r="G57" s="1101" t="s">
        <v>619</v>
      </c>
      <c r="H57" s="1101" t="s">
        <v>864</v>
      </c>
      <c r="I57" s="1101" t="s">
        <v>864</v>
      </c>
      <c r="J57" s="1101" t="s">
        <v>864</v>
      </c>
      <c r="K57" s="1035"/>
      <c r="L57" s="2553" t="s">
        <v>1327</v>
      </c>
      <c r="M57" s="2553"/>
      <c r="N57" s="2553"/>
    </row>
    <row r="58" spans="2:14" ht="14.25" customHeight="1" x14ac:dyDescent="0.2">
      <c r="B58" s="1031" t="s">
        <v>281</v>
      </c>
      <c r="C58" s="1037">
        <f>VLOOKUP(I3,NonMaritalBirths,8,FALSE)</f>
        <v>223</v>
      </c>
      <c r="D58" s="1038">
        <f>VLOOKUP(I3,NonMaritalBirths,12,FALSE)</f>
        <v>0.57622739018087854</v>
      </c>
      <c r="E58" s="1039">
        <f>VLOOKUP(K3,NonMaritalBirths,12,FALSE)</f>
        <v>0.40568625820932747</v>
      </c>
      <c r="F58" s="1038">
        <f>'Non-marital births'!L6</f>
        <v>0.34452917321535986</v>
      </c>
      <c r="G58" s="1037">
        <f>VLOOKUP(I3,TeenBirths, 4, FALSE)</f>
        <v>25</v>
      </c>
      <c r="H58" s="1144">
        <f>VLOOKUP(I3,TeenBirths, 12, FALSE)</f>
        <v>14.979029358897543</v>
      </c>
      <c r="I58" s="1144">
        <f>VLOOKUP(K3,TeenBirths, 12, FALSE)</f>
        <v>10.234008261187393</v>
      </c>
      <c r="J58" s="1144">
        <f>'Teen births'!L5</f>
        <v>8.735085092108628</v>
      </c>
      <c r="K58" s="1036"/>
      <c r="L58" s="2553"/>
      <c r="M58" s="2553"/>
      <c r="N58" s="2553"/>
    </row>
    <row r="59" spans="2:14" ht="14.25" customHeight="1" x14ac:dyDescent="0.2">
      <c r="B59" s="1032" t="s">
        <v>2</v>
      </c>
      <c r="C59" s="1040">
        <f>VLOOKUP(I3,NonMaritalBirths,9,FALSE)</f>
        <v>100</v>
      </c>
      <c r="D59" s="1041">
        <f>VLOOKUP(I3,NonMaritalBirths,13,FALSE)</f>
        <v>0.45454545454545453</v>
      </c>
      <c r="E59" s="1042">
        <f>VLOOKUP(K3,NonMaritalBirths,13,FALSE)</f>
        <v>0.24892440073755379</v>
      </c>
      <c r="F59" s="1041">
        <f>'Non-marital births'!M6</f>
        <v>0.25259563901606269</v>
      </c>
      <c r="G59" s="1040">
        <f>VLOOKUP(I3,TeenBirths, 5, FALSE)</f>
        <v>12</v>
      </c>
      <c r="H59" s="1145">
        <f>VLOOKUP(I3,TeenBirths, 13, FALSE)</f>
        <v>11.225444340505144</v>
      </c>
      <c r="I59" s="1147">
        <f>VLOOKUP(K3,TeenBirths, 13, FALSE)</f>
        <v>6.6083171992255627</v>
      </c>
      <c r="J59" s="1145">
        <f>'Teen births'!M5</f>
        <v>6.7523390824033367</v>
      </c>
      <c r="K59" s="1032"/>
      <c r="L59" s="2553"/>
      <c r="M59" s="2553"/>
      <c r="N59" s="2553"/>
    </row>
    <row r="60" spans="2:14" ht="14.25" customHeight="1" x14ac:dyDescent="0.2">
      <c r="B60" s="1032" t="s">
        <v>445</v>
      </c>
      <c r="C60" s="1040">
        <f>VLOOKUP(I3,NonMaritalBirths,10,FALSE)</f>
        <v>120</v>
      </c>
      <c r="D60" s="1041">
        <f>VLOOKUP(I3,NonMaritalBirths,14,FALSE)</f>
        <v>0.78431372549019607</v>
      </c>
      <c r="E60" s="1042">
        <f>VLOOKUP(K3,NonMaritalBirths,14,FALSE)</f>
        <v>0.66901156551806362</v>
      </c>
      <c r="F60" s="1041">
        <f>'Non-marital births'!N6</f>
        <v>0.64726846424384521</v>
      </c>
      <c r="G60" s="1040">
        <f>VLOOKUP(I3,TeenBirths, 6, FALSE)</f>
        <v>12</v>
      </c>
      <c r="H60" s="1145">
        <f>VLOOKUP(I3,TeenBirths, 14, FALSE)</f>
        <v>21.164021164021165</v>
      </c>
      <c r="I60" s="1147">
        <f>VLOOKUP(K3,TeenBirths, 14, FALSE)</f>
        <v>13.856966053748232</v>
      </c>
      <c r="J60" s="1145">
        <f>'Teen births'!N5</f>
        <v>11.605760736544369</v>
      </c>
      <c r="K60" s="1032"/>
      <c r="L60" s="2553"/>
      <c r="M60" s="2553"/>
      <c r="N60" s="2553"/>
    </row>
    <row r="61" spans="2:14" ht="14.25" customHeight="1" x14ac:dyDescent="0.2">
      <c r="B61" s="1033" t="s">
        <v>581</v>
      </c>
      <c r="C61" s="1043">
        <f>VLOOKUP(I3,NonMaritalBirths,11,FALSE)</f>
        <v>3</v>
      </c>
      <c r="D61" s="1044">
        <f>VLOOKUP(I3,NonMaritalBirths,15,FALSE)</f>
        <v>0.21428571428571427</v>
      </c>
      <c r="E61" s="1045">
        <f>VLOOKUP(K3,NonMaritalBirths,15,FALSE)</f>
        <v>0.34237288135593219</v>
      </c>
      <c r="F61" s="1044">
        <f>'Non-marital births'!O6</f>
        <v>0.31379230680374265</v>
      </c>
      <c r="G61" s="1043">
        <f>VLOOKUP(I3,TeenBirths, 7, FALSE)</f>
        <v>1</v>
      </c>
      <c r="H61" s="1146">
        <f>VLOOKUP(I3,TeenBirths, 15, FALSE)</f>
        <v>30.303030303030305</v>
      </c>
      <c r="I61" s="1148">
        <f>VLOOKUP(K3,TeenBirths, 15, FALSE)</f>
        <v>21.04173853052777</v>
      </c>
      <c r="J61" s="1146">
        <f>'Teen births'!O5</f>
        <v>17.058178872635441</v>
      </c>
      <c r="K61" s="1032"/>
      <c r="L61" s="2553"/>
      <c r="M61" s="2553"/>
      <c r="N61" s="2553"/>
    </row>
    <row r="62" spans="2:14" ht="14.25" customHeight="1" x14ac:dyDescent="0.2">
      <c r="B62" s="2605" t="s">
        <v>876</v>
      </c>
      <c r="C62" s="2605"/>
      <c r="D62" s="2605"/>
      <c r="E62" s="2605"/>
      <c r="F62" s="2605"/>
      <c r="G62" s="2605"/>
      <c r="H62" s="2605"/>
      <c r="I62" s="2605"/>
      <c r="J62" s="2605"/>
      <c r="K62" s="2605"/>
      <c r="L62" s="2605"/>
      <c r="M62" s="2605"/>
      <c r="N62" s="2605"/>
    </row>
    <row r="63" spans="2:14" ht="14.25" customHeight="1" x14ac:dyDescent="0.2">
      <c r="B63" s="1034"/>
      <c r="C63" s="1034"/>
      <c r="D63" s="1034"/>
      <c r="E63" s="1034"/>
      <c r="F63" s="1034"/>
      <c r="G63" s="1034"/>
      <c r="H63" s="1034"/>
    </row>
    <row r="64" spans="2:14" ht="14.25" customHeight="1" x14ac:dyDescent="0.2">
      <c r="B64" s="1034"/>
      <c r="C64" s="1034"/>
      <c r="D64" s="1034"/>
      <c r="E64" s="1034"/>
      <c r="F64" s="1034"/>
      <c r="G64" s="1034"/>
      <c r="H64" s="1034"/>
    </row>
    <row r="65" spans="2:8" ht="14.25" customHeight="1" x14ac:dyDescent="0.2">
      <c r="B65" s="1034"/>
      <c r="C65" s="1034"/>
      <c r="D65" s="1034"/>
      <c r="E65" s="1034"/>
      <c r="F65" s="1034"/>
      <c r="G65" s="1034"/>
      <c r="H65" s="1034"/>
    </row>
    <row r="66" spans="2:8" ht="14.25" customHeight="1" x14ac:dyDescent="0.2">
      <c r="B66" s="1034"/>
      <c r="C66" s="1034"/>
      <c r="D66" s="1034"/>
      <c r="E66" s="1034"/>
      <c r="F66" s="1034"/>
      <c r="G66" s="1034"/>
      <c r="H66" s="1034"/>
    </row>
    <row r="67" spans="2:8" ht="14.25" customHeight="1" x14ac:dyDescent="0.2">
      <c r="B67" s="1034"/>
      <c r="C67" s="1034"/>
      <c r="D67" s="1034"/>
      <c r="E67" s="1034"/>
      <c r="F67" s="1034"/>
      <c r="G67" s="1034"/>
      <c r="H67" s="1034"/>
    </row>
    <row r="68" spans="2:8" ht="14.25" customHeight="1" x14ac:dyDescent="0.2">
      <c r="B68" s="1023"/>
      <c r="C68" s="1023"/>
      <c r="D68" s="1023"/>
      <c r="E68" s="1023"/>
      <c r="F68" s="1023"/>
    </row>
    <row r="69" spans="2:8" ht="14.25" customHeight="1" x14ac:dyDescent="0.2">
      <c r="B69" s="1023"/>
      <c r="C69" s="1023"/>
      <c r="D69" s="1023"/>
      <c r="E69" s="1023"/>
      <c r="F69" s="1023"/>
    </row>
    <row r="70" spans="2:8" ht="14.25" customHeight="1" x14ac:dyDescent="0.2">
      <c r="B70" s="1023"/>
      <c r="C70" s="1023"/>
      <c r="D70" s="1023"/>
      <c r="E70" s="1023"/>
      <c r="F70" s="1023"/>
    </row>
    <row r="71" spans="2:8" ht="14.25" customHeight="1" x14ac:dyDescent="0.2">
      <c r="B71" s="1023"/>
      <c r="C71" s="1023"/>
      <c r="D71" s="1023"/>
      <c r="E71" s="1023"/>
      <c r="F71" s="1023"/>
    </row>
    <row r="72" spans="2:8" ht="14.25" customHeight="1" x14ac:dyDescent="0.2">
      <c r="B72" s="1023"/>
      <c r="C72" s="1023"/>
      <c r="D72" s="1023"/>
      <c r="E72" s="1023"/>
      <c r="F72" s="1023"/>
    </row>
    <row r="73" spans="2:8" ht="14.25" customHeight="1" x14ac:dyDescent="0.2">
      <c r="B73" s="1023"/>
      <c r="C73" s="1023"/>
      <c r="D73" s="1023"/>
      <c r="E73" s="1023"/>
      <c r="F73" s="1023"/>
    </row>
    <row r="74" spans="2:8" ht="14.25" customHeight="1" x14ac:dyDescent="0.2">
      <c r="B74" s="1023"/>
      <c r="C74" s="1023"/>
      <c r="D74" s="1023"/>
      <c r="E74" s="1023"/>
      <c r="F74" s="1023"/>
    </row>
    <row r="75" spans="2:8" ht="13.5" customHeight="1" x14ac:dyDescent="0.2">
      <c r="B75" s="272"/>
      <c r="C75" s="90"/>
    </row>
    <row r="76" spans="2:8" ht="13.5" customHeight="1" x14ac:dyDescent="0.2">
      <c r="B76" s="272"/>
      <c r="C76" s="90"/>
    </row>
    <row r="77" spans="2:8" ht="13.5" customHeight="1" x14ac:dyDescent="0.2">
      <c r="B77" s="272"/>
      <c r="C77" s="90"/>
    </row>
    <row r="78" spans="2:8" ht="13.5" customHeight="1" x14ac:dyDescent="0.2">
      <c r="B78" s="272"/>
      <c r="C78" s="90"/>
    </row>
    <row r="79" spans="2:8" ht="13.5" customHeight="1" x14ac:dyDescent="0.2">
      <c r="B79" s="272"/>
      <c r="C79" s="90"/>
    </row>
    <row r="80" spans="2:8" ht="13.5" customHeight="1" x14ac:dyDescent="0.2">
      <c r="B80" s="272"/>
      <c r="C80" s="90"/>
    </row>
    <row r="81" spans="2:3" ht="13.5" customHeight="1" x14ac:dyDescent="0.2">
      <c r="B81" s="272"/>
      <c r="C81" s="90"/>
    </row>
    <row r="82" spans="2:3" ht="13.5" customHeight="1" x14ac:dyDescent="0.2">
      <c r="B82" s="272"/>
      <c r="C82" s="90"/>
    </row>
    <row r="83" spans="2:3" ht="13.5" customHeight="1" x14ac:dyDescent="0.2">
      <c r="B83" s="272"/>
      <c r="C83" s="90"/>
    </row>
    <row r="84" spans="2:3" ht="13.5" customHeight="1" x14ac:dyDescent="0.2">
      <c r="B84" s="272"/>
      <c r="C84" s="90"/>
    </row>
    <row r="85" spans="2:3" ht="13.5" customHeight="1" x14ac:dyDescent="0.2">
      <c r="B85" s="272"/>
      <c r="C85" s="90"/>
    </row>
    <row r="86" spans="2:3" ht="13.5" customHeight="1" x14ac:dyDescent="0.2">
      <c r="B86" s="272"/>
      <c r="C86" s="90"/>
    </row>
    <row r="87" spans="2:3" ht="13.5" customHeight="1" x14ac:dyDescent="0.2">
      <c r="B87" s="272"/>
      <c r="C87" s="90"/>
    </row>
    <row r="88" spans="2:3" ht="13.5" customHeight="1" x14ac:dyDescent="0.2">
      <c r="B88" s="272"/>
      <c r="C88" s="90"/>
    </row>
    <row r="89" spans="2:3" ht="13.5" customHeight="1" x14ac:dyDescent="0.2">
      <c r="B89" s="272"/>
      <c r="C89" s="90"/>
    </row>
    <row r="90" spans="2:3" ht="13.5" customHeight="1" x14ac:dyDescent="0.2">
      <c r="B90" s="272"/>
      <c r="C90" s="90"/>
    </row>
    <row r="91" spans="2:3" ht="13.5" customHeight="1" x14ac:dyDescent="0.2">
      <c r="B91" s="272"/>
      <c r="C91" s="90"/>
    </row>
    <row r="92" spans="2:3" ht="13.5" customHeight="1" x14ac:dyDescent="0.2">
      <c r="B92" s="272"/>
      <c r="C92" s="90"/>
    </row>
    <row r="93" spans="2:3" ht="13.5" customHeight="1" x14ac:dyDescent="0.2">
      <c r="B93" s="272"/>
      <c r="C93" s="90"/>
    </row>
    <row r="94" spans="2:3" ht="13.5" customHeight="1" x14ac:dyDescent="0.2">
      <c r="B94" s="272"/>
      <c r="C94" s="90"/>
    </row>
    <row r="95" spans="2:3" ht="13.5" customHeight="1" x14ac:dyDescent="0.2">
      <c r="B95" s="272"/>
      <c r="C95" s="90"/>
    </row>
    <row r="96" spans="2:3" ht="13.5" customHeight="1" x14ac:dyDescent="0.2">
      <c r="B96" s="272"/>
      <c r="C96" s="90"/>
    </row>
    <row r="97" spans="2:12" ht="13.5" customHeight="1" x14ac:dyDescent="0.2">
      <c r="B97" s="272"/>
      <c r="C97" s="90"/>
    </row>
    <row r="98" spans="2:12" ht="13.5" customHeight="1" x14ac:dyDescent="0.2">
      <c r="B98" s="272"/>
      <c r="C98" s="90"/>
    </row>
    <row r="99" spans="2:12" ht="13.5" customHeight="1" x14ac:dyDescent="0.2">
      <c r="B99" s="272"/>
      <c r="C99" s="90"/>
    </row>
    <row r="100" spans="2:12" ht="13.5" customHeight="1" x14ac:dyDescent="0.2">
      <c r="B100" s="272"/>
      <c r="C100" s="90"/>
    </row>
    <row r="101" spans="2:12" ht="13.5" customHeight="1" x14ac:dyDescent="0.2">
      <c r="B101" s="272"/>
      <c r="C101" s="90"/>
    </row>
    <row r="102" spans="2:12" ht="13.5" customHeight="1" x14ac:dyDescent="0.2">
      <c r="B102" s="272"/>
      <c r="C102" s="90"/>
    </row>
    <row r="103" spans="2:12" ht="13.5" customHeight="1" x14ac:dyDescent="0.2">
      <c r="B103" s="272"/>
      <c r="C103" s="90"/>
    </row>
    <row r="104" spans="2:12" ht="13.5" customHeight="1" x14ac:dyDescent="0.2">
      <c r="B104" s="272"/>
      <c r="C104" s="90"/>
    </row>
    <row r="105" spans="2:12" ht="13.5" customHeight="1" x14ac:dyDescent="0.2">
      <c r="B105" s="272"/>
      <c r="C105" s="90"/>
    </row>
    <row r="106" spans="2:12" ht="13.5" customHeight="1" x14ac:dyDescent="0.2">
      <c r="B106" s="272"/>
      <c r="C106" s="90"/>
    </row>
    <row r="107" spans="2:12" ht="13.5" customHeight="1" x14ac:dyDescent="0.2">
      <c r="B107" s="272"/>
      <c r="C107" s="90"/>
    </row>
    <row r="108" spans="2:12" ht="13.5" customHeight="1" x14ac:dyDescent="0.2">
      <c r="B108" s="272"/>
      <c r="C108" s="90"/>
    </row>
    <row r="109" spans="2:12" ht="13.5" customHeight="1" x14ac:dyDescent="0.2">
      <c r="B109" s="272"/>
      <c r="C109" s="90"/>
    </row>
    <row r="110" spans="2:12" ht="13.5" customHeight="1" x14ac:dyDescent="0.2">
      <c r="B110" s="272"/>
      <c r="C110" s="90"/>
    </row>
    <row r="111" spans="2:12" ht="13.5" customHeight="1" x14ac:dyDescent="0.2">
      <c r="B111" s="272"/>
      <c r="C111" s="90"/>
    </row>
    <row r="112" spans="2:12" ht="13.5" customHeight="1" x14ac:dyDescent="0.2">
      <c r="B112" s="1025"/>
      <c r="C112" s="1025"/>
      <c r="D112" s="1025"/>
      <c r="E112" s="1025"/>
      <c r="F112" s="1025"/>
      <c r="G112" s="1025"/>
      <c r="H112" s="271"/>
      <c r="I112" s="271"/>
      <c r="J112" s="271"/>
      <c r="K112" s="87"/>
      <c r="L112" s="87"/>
    </row>
    <row r="113" spans="2:16" ht="13.5" customHeight="1" x14ac:dyDescent="0.2">
      <c r="B113" s="2637" t="s">
        <v>1400</v>
      </c>
      <c r="C113" s="2638"/>
      <c r="D113" s="2622" t="s">
        <v>850</v>
      </c>
      <c r="E113" s="2623"/>
      <c r="F113" s="2623"/>
      <c r="G113" s="2624"/>
      <c r="H113" s="2602" t="s">
        <v>854</v>
      </c>
      <c r="I113" s="1409"/>
      <c r="L113" s="2616">
        <f>G121</f>
        <v>11181</v>
      </c>
      <c r="M113" s="2616"/>
      <c r="O113" s="1407"/>
      <c r="P113" s="1407"/>
    </row>
    <row r="114" spans="2:16" ht="13.5" customHeight="1" x14ac:dyDescent="0.2">
      <c r="B114" s="2674"/>
      <c r="C114" s="2675"/>
      <c r="D114" s="1490" t="s">
        <v>318</v>
      </c>
      <c r="E114" s="1491" t="s">
        <v>409</v>
      </c>
      <c r="F114" s="1492" t="s">
        <v>849</v>
      </c>
      <c r="G114" s="1493" t="s">
        <v>866</v>
      </c>
      <c r="H114" s="2603"/>
      <c r="I114" s="1409"/>
      <c r="L114" s="2616"/>
      <c r="M114" s="2616"/>
      <c r="O114" s="1407"/>
      <c r="P114" s="1407"/>
    </row>
    <row r="115" spans="2:16" ht="13.5" customHeight="1" x14ac:dyDescent="0.2">
      <c r="B115" s="2674"/>
      <c r="C115" s="2675"/>
      <c r="D115" s="1494"/>
      <c r="E115" s="1495"/>
      <c r="F115" s="1496"/>
      <c r="G115" s="1497"/>
      <c r="H115" s="2604"/>
      <c r="I115" s="1409"/>
      <c r="L115" s="2616"/>
      <c r="M115" s="2616"/>
      <c r="O115" s="1407"/>
      <c r="P115" s="1407"/>
    </row>
    <row r="116" spans="2:16" ht="13.5" customHeight="1" x14ac:dyDescent="0.2">
      <c r="B116" s="2510">
        <v>2012</v>
      </c>
      <c r="C116" s="2511"/>
      <c r="D116" s="1498">
        <f>VLOOKUP($I$3,SNAPClnts_Yearly,4, FALSE)</f>
        <v>9358</v>
      </c>
      <c r="E116" s="1499">
        <f>VLOOKUP($I$3,TANFClnts_Yearly,4,FALSE)</f>
        <v>886</v>
      </c>
      <c r="F116" s="1500">
        <f>VLOOKUP(I3,MAClnts_Annual,4,FALSE)</f>
        <v>8571</v>
      </c>
      <c r="G116" s="1501">
        <f>VLOOKUP(I3,BenefitClnts_Annual,4,FALSE)</f>
        <v>11974</v>
      </c>
      <c r="H116" s="1502" t="s">
        <v>897</v>
      </c>
      <c r="I116" s="1405"/>
      <c r="L116" s="2619" t="s">
        <v>1328</v>
      </c>
      <c r="M116" s="2619"/>
      <c r="O116" s="1408"/>
      <c r="P116" s="1408"/>
    </row>
    <row r="117" spans="2:16" ht="13.5" customHeight="1" x14ac:dyDescent="0.2">
      <c r="B117" s="2512">
        <v>2013</v>
      </c>
      <c r="C117" s="2513"/>
      <c r="D117" s="1342">
        <f>VLOOKUP($I$3,SNAPClnts_Yearly,5, FALSE)</f>
        <v>9320</v>
      </c>
      <c r="E117" s="1503">
        <f>VLOOKUP($I$3,TANFClnts_Yearly,5,FALSE)</f>
        <v>789</v>
      </c>
      <c r="F117" s="1504">
        <f>VLOOKUP(I3,MAClnts_Annual,5,FALSE)</f>
        <v>8799</v>
      </c>
      <c r="G117" s="1505">
        <f>VLOOKUP(I3,BenefitClnts_Annual,5,FALSE)</f>
        <v>11971</v>
      </c>
      <c r="H117" s="1506" t="s">
        <v>897</v>
      </c>
      <c r="I117" s="1405"/>
      <c r="L117" s="2619"/>
      <c r="M117" s="2619"/>
      <c r="O117" s="1408"/>
      <c r="P117" s="1408"/>
    </row>
    <row r="118" spans="2:16" ht="13.5" customHeight="1" x14ac:dyDescent="0.2">
      <c r="B118" s="2514">
        <v>2014</v>
      </c>
      <c r="C118" s="2515"/>
      <c r="D118" s="1343">
        <f>VLOOKUP($I$3,SNAPClnts_Yearly,6, FALSE)</f>
        <v>9010</v>
      </c>
      <c r="E118" s="1507">
        <f>VLOOKUP($I$3,TANFClnts_Yearly,6,FALSE)</f>
        <v>658</v>
      </c>
      <c r="F118" s="1508">
        <f>VLOOKUP(I3,MAClnts_Annual,6,FALSE)</f>
        <v>8999</v>
      </c>
      <c r="G118" s="1509">
        <f>VLOOKUP(I3,BenefitClnts_Annual,6,FALSE)</f>
        <v>11855</v>
      </c>
      <c r="H118" s="1510">
        <f>VLOOKUP(I3,ChildCareClients,4,FALSE)</f>
        <v>102</v>
      </c>
      <c r="I118" s="1405"/>
      <c r="L118" s="2619"/>
      <c r="M118" s="2619"/>
      <c r="O118" s="1408"/>
      <c r="P118" s="1408"/>
    </row>
    <row r="119" spans="2:16" ht="13.5" customHeight="1" x14ac:dyDescent="0.2">
      <c r="B119" s="2512">
        <v>2015</v>
      </c>
      <c r="C119" s="2513"/>
      <c r="D119" s="1342">
        <f>VLOOKUP($I$3,SNAPClnts_Yearly,7, FALSE)</f>
        <v>8176</v>
      </c>
      <c r="E119" s="1503">
        <f>VLOOKUP($I$3,TANFClnts_Yearly,7,FALSE)</f>
        <v>609</v>
      </c>
      <c r="F119" s="1504">
        <f>VLOOKUP(I3,MAClnts_Annual,7,FALSE)</f>
        <v>9405</v>
      </c>
      <c r="G119" s="1505">
        <f>VLOOKUP(I3,BenefitClnts_Annual,7,FALSE)</f>
        <v>11677</v>
      </c>
      <c r="H119" s="1506">
        <f>VLOOKUP(I3,ChildCareClients,5,FALSE)</f>
        <v>103</v>
      </c>
      <c r="I119" s="1405"/>
      <c r="L119" s="2619"/>
      <c r="M119" s="2619"/>
      <c r="O119" s="1408"/>
      <c r="P119" s="1408"/>
    </row>
    <row r="120" spans="2:16" ht="13.5" customHeight="1" x14ac:dyDescent="0.2">
      <c r="B120" s="2516">
        <v>2016</v>
      </c>
      <c r="C120" s="2517"/>
      <c r="D120" s="2253">
        <f>VLOOKUP($I$3,SNAPClnts_Yearly,8, FALSE)</f>
        <v>7133</v>
      </c>
      <c r="E120" s="2254">
        <f>VLOOKUP($I$3,TANFClnts_Yearly,8,FALSE)</f>
        <v>454</v>
      </c>
      <c r="F120" s="2255">
        <f>VLOOKUP(I3,MAClnts_Annual,8,FALSE)</f>
        <v>9175</v>
      </c>
      <c r="G120" s="2256">
        <f>VLOOKUP(I3,BenefitClnts_Annual,8,FALSE)</f>
        <v>11023</v>
      </c>
      <c r="H120" s="2257">
        <f>VLOOKUP(I3,ChildCareClients,6,FALSE)</f>
        <v>59</v>
      </c>
      <c r="I120" s="2252"/>
      <c r="L120" s="2619"/>
      <c r="M120" s="2619"/>
      <c r="O120" s="1408"/>
      <c r="P120" s="1408"/>
    </row>
    <row r="121" spans="2:16" ht="13.5" customHeight="1" x14ac:dyDescent="0.2">
      <c r="B121" s="2670" t="s">
        <v>1448</v>
      </c>
      <c r="C121" s="2671"/>
      <c r="D121" s="2258">
        <f>VLOOKUP($I$3,SNAPClnts_Yearly,9, FALSE)</f>
        <v>7009</v>
      </c>
      <c r="E121" s="2259">
        <f>VLOOKUP($I$3,TANFClnts_Yearly,9,FALSE)</f>
        <v>472</v>
      </c>
      <c r="F121" s="2260">
        <f>VLOOKUP(I3,MAClnts_Annual,9,FALSE)</f>
        <v>9669</v>
      </c>
      <c r="G121" s="2261">
        <f>VLOOKUP(I3,BenefitClnts_Annual,9,FALSE)</f>
        <v>11181</v>
      </c>
      <c r="H121" s="2261">
        <f>VLOOKUP(I3,ChildCareClients,7,FALSE)</f>
        <v>50</v>
      </c>
      <c r="I121" s="1406"/>
      <c r="L121" s="2619"/>
      <c r="M121" s="2619"/>
      <c r="O121" s="1408"/>
      <c r="P121" s="1408"/>
    </row>
    <row r="122" spans="2:16" ht="13.5" customHeight="1" x14ac:dyDescent="0.2">
      <c r="B122" s="2635" t="s">
        <v>1408</v>
      </c>
      <c r="C122" s="2635"/>
      <c r="D122" s="2635"/>
      <c r="E122" s="2635"/>
      <c r="F122" s="2635"/>
      <c r="G122" s="2635"/>
      <c r="H122" s="2635"/>
      <c r="I122" s="2635"/>
      <c r="J122" s="2635"/>
      <c r="L122" s="2619"/>
      <c r="M122" s="2619"/>
      <c r="O122" s="1408"/>
      <c r="P122" s="1408"/>
    </row>
    <row r="123" spans="2:16" ht="13.5" customHeight="1" x14ac:dyDescent="0.2">
      <c r="B123" s="2635"/>
      <c r="C123" s="2635"/>
      <c r="D123" s="2635"/>
      <c r="E123" s="2635"/>
      <c r="F123" s="2635"/>
      <c r="G123" s="2635"/>
      <c r="H123" s="2635"/>
      <c r="I123" s="2635"/>
      <c r="J123" s="2635"/>
      <c r="L123" s="2619"/>
      <c r="M123" s="2619"/>
      <c r="O123" s="1408"/>
      <c r="P123" s="1408"/>
    </row>
    <row r="124" spans="2:16" ht="13.5" customHeight="1" x14ac:dyDescent="0.2">
      <c r="B124" s="2635"/>
      <c r="C124" s="2635"/>
      <c r="D124" s="2635"/>
      <c r="E124" s="2635"/>
      <c r="F124" s="2635"/>
      <c r="G124" s="2635"/>
      <c r="H124" s="2635"/>
      <c r="I124" s="2635"/>
      <c r="J124" s="2635"/>
      <c r="L124" s="1344"/>
      <c r="M124" s="1344"/>
      <c r="N124" s="87"/>
      <c r="O124" s="1408"/>
      <c r="P124" s="1408"/>
    </row>
    <row r="125" spans="2:16" ht="13.5" customHeight="1" x14ac:dyDescent="0.2">
      <c r="B125" s="997"/>
      <c r="C125" s="997"/>
      <c r="D125" s="997"/>
      <c r="E125" s="997"/>
      <c r="F125" s="997"/>
      <c r="G125" s="997"/>
      <c r="H125" s="997"/>
      <c r="I125" s="126"/>
      <c r="J125" s="126"/>
      <c r="K125" s="87"/>
      <c r="L125" s="87"/>
      <c r="M125" s="87"/>
      <c r="N125" s="87"/>
    </row>
    <row r="126" spans="2:16" ht="13.5" customHeight="1" x14ac:dyDescent="0.2">
      <c r="B126" s="997"/>
      <c r="C126" s="997"/>
      <c r="D126" s="997"/>
      <c r="E126" s="997"/>
      <c r="F126" s="997"/>
      <c r="G126" s="997"/>
      <c r="H126" s="997"/>
      <c r="I126" s="126"/>
      <c r="J126" s="126"/>
      <c r="K126" s="87"/>
      <c r="L126" s="87"/>
      <c r="M126" s="87"/>
      <c r="N126" s="87"/>
    </row>
    <row r="127" spans="2:16" ht="13.5" customHeight="1" x14ac:dyDescent="0.2">
      <c r="B127" s="997"/>
      <c r="C127" s="997"/>
      <c r="D127" s="997"/>
      <c r="E127" s="997"/>
      <c r="F127" s="997"/>
      <c r="G127" s="997"/>
      <c r="H127" s="997"/>
      <c r="I127" s="126"/>
      <c r="J127" s="126"/>
      <c r="K127" s="87"/>
      <c r="L127" s="87"/>
      <c r="M127" s="87"/>
      <c r="N127" s="87"/>
    </row>
    <row r="128" spans="2:16" ht="13.5" customHeight="1" x14ac:dyDescent="0.2">
      <c r="B128" s="997"/>
      <c r="C128" s="997"/>
      <c r="D128" s="997"/>
      <c r="E128" s="997"/>
      <c r="F128" s="997"/>
      <c r="G128" s="997"/>
      <c r="H128" s="997"/>
      <c r="I128" s="126"/>
      <c r="J128" s="126"/>
      <c r="K128" s="87"/>
      <c r="L128" s="87"/>
      <c r="M128" s="87"/>
      <c r="N128" s="87"/>
    </row>
    <row r="129" spans="2:28" ht="13.5" customHeight="1" x14ac:dyDescent="0.2">
      <c r="B129" s="997"/>
      <c r="C129" s="997"/>
      <c r="D129" s="997"/>
      <c r="E129" s="997"/>
      <c r="F129" s="997"/>
      <c r="G129" s="997"/>
      <c r="H129" s="997"/>
      <c r="I129" s="126"/>
      <c r="J129" s="126"/>
      <c r="K129" s="87"/>
      <c r="L129" s="87"/>
      <c r="M129" s="87"/>
      <c r="N129" s="87"/>
    </row>
    <row r="130" spans="2:28" ht="13.5" customHeight="1" x14ac:dyDescent="0.2">
      <c r="B130" s="997"/>
      <c r="C130" s="997"/>
      <c r="D130" s="997"/>
      <c r="E130" s="997"/>
      <c r="F130" s="997"/>
      <c r="G130" s="997"/>
      <c r="H130" s="997"/>
      <c r="I130" s="126"/>
      <c r="J130" s="126"/>
      <c r="K130" s="87"/>
      <c r="L130" s="87"/>
      <c r="M130" s="87"/>
      <c r="N130" s="87"/>
    </row>
    <row r="131" spans="2:28" ht="13.5" customHeight="1" x14ac:dyDescent="0.2">
      <c r="B131" s="997"/>
      <c r="C131" s="997"/>
      <c r="D131" s="997"/>
      <c r="E131" s="997"/>
      <c r="F131" s="997"/>
      <c r="G131" s="997"/>
      <c r="H131" s="997"/>
      <c r="I131" s="126"/>
      <c r="J131" s="126"/>
      <c r="K131" s="87"/>
      <c r="L131" s="87"/>
      <c r="M131" s="87"/>
      <c r="N131" s="87"/>
    </row>
    <row r="132" spans="2:28" ht="13.5" customHeight="1" x14ac:dyDescent="0.2">
      <c r="B132" s="997"/>
      <c r="C132" s="997"/>
      <c r="D132" s="997"/>
      <c r="E132" s="997"/>
      <c r="F132" s="997"/>
      <c r="G132" s="997"/>
      <c r="H132" s="997"/>
      <c r="I132" s="126"/>
      <c r="J132" s="126"/>
      <c r="K132" s="87"/>
      <c r="L132" s="87"/>
      <c r="M132" s="87"/>
      <c r="N132" s="87"/>
    </row>
    <row r="133" spans="2:28" ht="13.5" customHeight="1" x14ac:dyDescent="0.2">
      <c r="B133" s="997"/>
      <c r="C133" s="997"/>
      <c r="D133" s="997"/>
      <c r="E133" s="997"/>
      <c r="F133" s="997"/>
      <c r="G133" s="997"/>
      <c r="H133" s="997"/>
      <c r="I133" s="126"/>
      <c r="J133" s="126"/>
      <c r="K133" s="87"/>
      <c r="L133" s="87"/>
      <c r="M133" s="87"/>
      <c r="N133" s="87"/>
    </row>
    <row r="134" spans="2:28" ht="13.5" customHeight="1" x14ac:dyDescent="0.2">
      <c r="B134" s="997"/>
      <c r="C134" s="997"/>
      <c r="D134" s="997"/>
      <c r="E134" s="997"/>
      <c r="F134" s="997"/>
      <c r="G134" s="997"/>
      <c r="H134" s="997"/>
      <c r="I134" s="126"/>
      <c r="J134" s="126"/>
      <c r="K134" s="87"/>
      <c r="L134" s="87"/>
      <c r="M134" s="87"/>
      <c r="N134" s="87"/>
    </row>
    <row r="135" spans="2:28" ht="13.5" customHeight="1" x14ac:dyDescent="0.2">
      <c r="B135" s="997"/>
      <c r="C135" s="997"/>
      <c r="D135" s="997"/>
      <c r="E135" s="997"/>
      <c r="F135" s="997"/>
      <c r="G135" s="997"/>
      <c r="H135" s="997"/>
      <c r="I135" s="126"/>
      <c r="J135" s="126"/>
      <c r="K135" s="87"/>
      <c r="L135" s="87"/>
      <c r="M135" s="87"/>
      <c r="N135" s="87"/>
    </row>
    <row r="136" spans="2:28" ht="13.5" customHeight="1" x14ac:dyDescent="0.2">
      <c r="B136" s="997"/>
      <c r="C136" s="997"/>
      <c r="D136" s="997"/>
      <c r="E136" s="997"/>
      <c r="F136" s="997"/>
      <c r="G136" s="997"/>
      <c r="H136" s="997"/>
      <c r="I136" s="126"/>
      <c r="J136" s="126"/>
      <c r="K136" s="87"/>
      <c r="L136" s="87"/>
      <c r="M136" s="87"/>
      <c r="N136" s="87"/>
    </row>
    <row r="137" spans="2:28" ht="13.5" customHeight="1" x14ac:dyDescent="0.2">
      <c r="B137" s="271"/>
      <c r="C137" s="271"/>
      <c r="D137" s="271"/>
      <c r="E137" s="271"/>
      <c r="F137" s="271"/>
      <c r="G137" s="271"/>
      <c r="H137" s="997"/>
      <c r="I137" s="126"/>
      <c r="J137" s="126"/>
      <c r="K137" s="87"/>
      <c r="L137" s="87"/>
      <c r="M137" s="87"/>
      <c r="N137" s="87"/>
    </row>
    <row r="138" spans="2:28" ht="13.5" customHeight="1" x14ac:dyDescent="0.2">
      <c r="B138" s="2617" t="s">
        <v>1382</v>
      </c>
      <c r="C138" s="2618"/>
      <c r="D138" s="2521" t="s">
        <v>824</v>
      </c>
      <c r="E138" s="2521"/>
      <c r="F138" s="2521"/>
      <c r="G138" s="2521"/>
      <c r="H138" s="2520" t="s">
        <v>860</v>
      </c>
      <c r="I138" s="2522"/>
      <c r="J138" s="2520" t="s">
        <v>767</v>
      </c>
      <c r="K138" s="2521"/>
      <c r="L138" s="2522"/>
      <c r="M138" s="2643" t="s">
        <v>1383</v>
      </c>
      <c r="P138" s="169"/>
      <c r="Q138" s="169"/>
      <c r="S138" s="78"/>
      <c r="T138" s="169"/>
      <c r="X138" s="75"/>
      <c r="Y138" s="76"/>
      <c r="Z138" s="76"/>
      <c r="AA138" s="77"/>
      <c r="AB138" s="76"/>
    </row>
    <row r="139" spans="2:28" ht="13.5" customHeight="1" x14ac:dyDescent="0.2">
      <c r="B139" s="2617"/>
      <c r="C139" s="2618"/>
      <c r="D139" s="2369" t="s">
        <v>826</v>
      </c>
      <c r="E139" s="1547" t="s">
        <v>1391</v>
      </c>
      <c r="F139" s="2369" t="s">
        <v>1392</v>
      </c>
      <c r="G139" s="2365" t="s">
        <v>825</v>
      </c>
      <c r="H139" s="2366" t="s">
        <v>549</v>
      </c>
      <c r="I139" s="1547" t="s">
        <v>548</v>
      </c>
      <c r="J139" s="2364" t="s">
        <v>2</v>
      </c>
      <c r="K139" s="1547" t="s">
        <v>445</v>
      </c>
      <c r="L139" s="2394" t="s">
        <v>446</v>
      </c>
      <c r="M139" s="2644"/>
      <c r="P139" s="269"/>
      <c r="Q139" s="269"/>
      <c r="S139" s="78"/>
      <c r="T139" s="269"/>
      <c r="X139" s="75"/>
      <c r="Y139" s="76"/>
      <c r="Z139" s="76"/>
      <c r="AA139" s="77"/>
      <c r="AB139" s="76"/>
    </row>
    <row r="140" spans="2:28" ht="13.5" customHeight="1" x14ac:dyDescent="0.2">
      <c r="B140" s="2373" t="s">
        <v>1380</v>
      </c>
      <c r="C140" s="2374"/>
      <c r="D140" s="2370">
        <f>VLOOKUP(I3,BenefitClient_Demo,5,FALSE)</f>
        <v>5236</v>
      </c>
      <c r="E140" s="1586">
        <f>VLOOKUP(I3,BenefitClient_Demo,6,FALSE)</f>
        <v>2199</v>
      </c>
      <c r="F140" s="2370">
        <f>VLOOKUP(I3,BenefitClient_Demo,7,FALSE)</f>
        <v>2623</v>
      </c>
      <c r="G140" s="2363">
        <f>VLOOKUP(I3,BenefitClient_Demo,8,FALSE)</f>
        <v>1123</v>
      </c>
      <c r="H140" s="2367">
        <f>VLOOKUP(I3,BenefitClient_Demo,10,FALSE)</f>
        <v>6304</v>
      </c>
      <c r="I140" s="1586">
        <f>VLOOKUP(I3,BenefitClient_Demo,11,FALSE)</f>
        <v>4877</v>
      </c>
      <c r="J140" s="1549">
        <f>VLOOKUP(I3,BenefitClient_Demo,13,FALSE)</f>
        <v>5773</v>
      </c>
      <c r="K140" s="1550">
        <f>VLOOKUP(I3,BenefitClient_Demo,14,FALSE)</f>
        <v>5240</v>
      </c>
      <c r="L140" s="2395">
        <f>VLOOKUP(I3,BenefitClient_Demo,15,FALSE)</f>
        <v>118</v>
      </c>
      <c r="M140" s="2400">
        <f>VLOOKUP(I3,BenefitClient_Demo,17,FALSE)</f>
        <v>624</v>
      </c>
      <c r="O140" s="1026"/>
      <c r="P140" s="263"/>
      <c r="Q140" s="263"/>
      <c r="S140" s="78"/>
      <c r="T140" s="162"/>
      <c r="X140" s="75"/>
      <c r="Y140" s="76"/>
      <c r="Z140" s="76"/>
      <c r="AA140" s="77"/>
      <c r="AB140" s="76"/>
    </row>
    <row r="141" spans="2:28" ht="13.5" customHeight="1" x14ac:dyDescent="0.2">
      <c r="B141" s="2375" t="s">
        <v>318</v>
      </c>
      <c r="C141" s="2376"/>
      <c r="D141" s="264">
        <f>VLOOKUP($I$3,SNAPClient_Demo,5,FALSE)</f>
        <v>3285</v>
      </c>
      <c r="E141" s="2254">
        <f>VLOOKUP($I$3,SNAPClient_Demo,6,FALSE)</f>
        <v>1460</v>
      </c>
      <c r="F141" s="264">
        <f>VLOOKUP($I$3,SNAPClient_Demo,7,FALSE)</f>
        <v>1798</v>
      </c>
      <c r="G141" s="2361">
        <f>VLOOKUP($I$3,SNAPClient_Demo,8,FALSE)</f>
        <v>466</v>
      </c>
      <c r="H141" s="2368">
        <f>VLOOKUP($I$3,SNAPClient_Demo,10,FALSE)</f>
        <v>3993</v>
      </c>
      <c r="I141" s="2254">
        <f>VLOOKUP($I$3,SNAPClient_Demo,11,FALSE)</f>
        <v>3016</v>
      </c>
      <c r="J141" s="2372">
        <f>VLOOKUP($I$3,SNAPClient_Demo,13,FALSE)</f>
        <v>3398</v>
      </c>
      <c r="K141" s="2371">
        <f>VLOOKUP($I$3,SNAPClient_Demo,14,FALSE)</f>
        <v>3533</v>
      </c>
      <c r="L141" s="2396">
        <f>VLOOKUP($I$3,SNAPClient_Demo,15,FALSE)</f>
        <v>52</v>
      </c>
      <c r="M141" s="2401">
        <f>VLOOKUP($I$3,SNAPClient_Demo,17,FALSE)</f>
        <v>374</v>
      </c>
      <c r="P141" s="263"/>
      <c r="Q141" s="263"/>
      <c r="S141" s="78"/>
      <c r="T141" s="162"/>
      <c r="V141" s="79"/>
      <c r="W141" s="79"/>
      <c r="X141" s="79"/>
      <c r="Y141" s="79"/>
      <c r="Z141" s="79"/>
      <c r="AA141" s="79"/>
      <c r="AB141" s="79"/>
    </row>
    <row r="142" spans="2:28" ht="13.5" customHeight="1" x14ac:dyDescent="0.2">
      <c r="B142" s="2375" t="s">
        <v>409</v>
      </c>
      <c r="C142" s="2376"/>
      <c r="D142" s="264">
        <f>VLOOKUP(I3,TANFClient_Demo,5,FALSE)</f>
        <v>341</v>
      </c>
      <c r="E142" s="2254">
        <f>VLOOKUP(I3,TANFClient_Demo,6,FALSE)</f>
        <v>97</v>
      </c>
      <c r="F142" s="264">
        <f>VLOOKUP(I3,TANFClient_Demo,7,FALSE)</f>
        <v>34</v>
      </c>
      <c r="G142" s="2361">
        <f>VLOOKUP(I3,TANFClient_Demo,8,FALSE)</f>
        <v>0</v>
      </c>
      <c r="H142" s="2368">
        <f>VLOOKUP(I3,TANFClient_Demo,10,FALSE)</f>
        <v>285</v>
      </c>
      <c r="I142" s="2254">
        <f>VLOOKUP(I3,TANFClient_Demo,11,FALSE)</f>
        <v>187</v>
      </c>
      <c r="J142" s="2253">
        <f>VLOOKUP(I3,TANFClient_Demo,13,FALSE)</f>
        <v>172</v>
      </c>
      <c r="K142" s="2254">
        <f>VLOOKUP(I3,TANFClient_Demo,14,FALSE)</f>
        <v>295</v>
      </c>
      <c r="L142" s="2397">
        <f>VLOOKUP(I3,TANFClient_Demo,15,FALSE)</f>
        <v>5</v>
      </c>
      <c r="M142" s="2401">
        <f>VLOOKUP(I3,TANFClient_Demo,17,FALSE)</f>
        <v>16</v>
      </c>
      <c r="P142" s="263"/>
      <c r="Q142" s="263"/>
      <c r="S142" s="78"/>
      <c r="T142" s="162"/>
      <c r="V142" s="79"/>
      <c r="W142" s="79"/>
      <c r="X142" s="79"/>
      <c r="Y142" s="79"/>
      <c r="Z142" s="79"/>
      <c r="AA142" s="79"/>
      <c r="AB142" s="79"/>
    </row>
    <row r="143" spans="2:28" ht="13.5" customHeight="1" x14ac:dyDescent="0.2">
      <c r="B143" s="2375" t="s">
        <v>849</v>
      </c>
      <c r="C143" s="2376"/>
      <c r="D143" s="264">
        <f>VLOOKUP(I3,MedicaidClient_Demo,5,FALSE)</f>
        <v>4973</v>
      </c>
      <c r="E143" s="2254">
        <f>VLOOKUP(I3,MedicaidClient_Demo,6,FALSE)</f>
        <v>1772</v>
      </c>
      <c r="F143" s="264">
        <f>VLOOKUP(I3,MedicaidClient_Demo,7,FALSE)</f>
        <v>1873</v>
      </c>
      <c r="G143" s="2393">
        <f>VLOOKUP(I3,MedicaidClient_Demo,8,FALSE)</f>
        <v>1049</v>
      </c>
      <c r="H143" s="2368">
        <f>VLOOKUP(I3,MedicaidClient_Demo,10,FALSE)</f>
        <v>5586</v>
      </c>
      <c r="I143" s="2254">
        <f>VLOOKUP(I3,MedicaidClient_Demo,11,FALSE)</f>
        <v>4081</v>
      </c>
      <c r="J143" s="2253">
        <f>VLOOKUP(I3,MedicaidClient_Demo,13,FALSE)</f>
        <v>5040</v>
      </c>
      <c r="K143" s="2254">
        <f>VLOOKUP(I3,MedicaidClient_Demo,14,FALSE)</f>
        <v>4495</v>
      </c>
      <c r="L143" s="2397">
        <f>VLOOKUP(I3,MedicaidClient_Demo,15,FALSE)</f>
        <v>102</v>
      </c>
      <c r="M143" s="2401">
        <f>VLOOKUP(I3,MedicaidClient_Demo,17,FALSE)</f>
        <v>585</v>
      </c>
      <c r="P143" s="263"/>
      <c r="Q143" s="263"/>
      <c r="S143" s="78"/>
      <c r="T143" s="162"/>
      <c r="X143" s="75"/>
      <c r="Y143" s="76"/>
      <c r="Z143" s="76"/>
      <c r="AA143" s="77"/>
      <c r="AB143" s="76"/>
    </row>
    <row r="144" spans="2:28" ht="13.5" customHeight="1" x14ac:dyDescent="0.2">
      <c r="B144" s="2641"/>
      <c r="C144" s="2642"/>
      <c r="D144" s="2369" t="s">
        <v>1387</v>
      </c>
      <c r="E144" s="1547" t="s">
        <v>1388</v>
      </c>
      <c r="F144" s="2369" t="s">
        <v>1389</v>
      </c>
      <c r="G144" s="2365" t="s">
        <v>1379</v>
      </c>
      <c r="H144" s="2366" t="s">
        <v>549</v>
      </c>
      <c r="I144" s="1547" t="s">
        <v>548</v>
      </c>
      <c r="J144" s="2364" t="s">
        <v>2</v>
      </c>
      <c r="K144" s="1547" t="s">
        <v>445</v>
      </c>
      <c r="L144" s="2394" t="s">
        <v>446</v>
      </c>
      <c r="M144" s="2399" t="s">
        <v>551</v>
      </c>
      <c r="P144" s="263"/>
      <c r="Q144" s="263"/>
      <c r="S144" s="78"/>
      <c r="T144" s="162"/>
      <c r="X144" s="75"/>
      <c r="Y144" s="76"/>
      <c r="Z144" s="76"/>
      <c r="AA144" s="77"/>
      <c r="AB144" s="76"/>
    </row>
    <row r="145" spans="2:28" ht="13.5" customHeight="1" x14ac:dyDescent="0.2">
      <c r="B145" s="2373" t="s">
        <v>1378</v>
      </c>
      <c r="C145" s="2374"/>
      <c r="D145" s="264">
        <f>VLOOKUP(I3,CCClient_Demo,5,FALSE)</f>
        <v>8</v>
      </c>
      <c r="E145" s="1550">
        <f>VLOOKUP(I3,CCClient_Demo,6,FALSE)</f>
        <v>16</v>
      </c>
      <c r="F145" s="264">
        <f>VLOOKUP(I3,CCClient_Demo,7,FALSE)</f>
        <v>18</v>
      </c>
      <c r="G145" s="2362">
        <f>VLOOKUP(I3,CCClient_Demo,8,FALSE)</f>
        <v>7</v>
      </c>
      <c r="H145" s="66">
        <f>VLOOKUP(I3,CCClient_Demo,10,FALSE)</f>
        <v>23</v>
      </c>
      <c r="I145" s="1550">
        <f>VLOOKUP(I3,CCClient_Demo,11,FALSE)</f>
        <v>26</v>
      </c>
      <c r="J145" s="2353">
        <f>VLOOKUP(I3,CCClient_Demo,13,FALSE)</f>
        <v>7</v>
      </c>
      <c r="K145" s="1586">
        <f>VLOOKUP(I3,CCClient_Demo,14,FALSE)</f>
        <v>41</v>
      </c>
      <c r="L145" s="2398">
        <f>VLOOKUP(I3,CCClient_Demo,15,FALSE)</f>
        <v>1</v>
      </c>
      <c r="M145" s="2402">
        <f>VLOOKUP(I3,CCClient_Demo,17,FALSE)</f>
        <v>0</v>
      </c>
      <c r="P145" s="263"/>
      <c r="Q145" s="263"/>
      <c r="S145" s="78"/>
      <c r="T145" s="162"/>
      <c r="X145" s="75"/>
      <c r="Y145" s="76"/>
      <c r="Z145" s="76"/>
      <c r="AA145" s="77"/>
      <c r="AB145" s="76"/>
    </row>
    <row r="146" spans="2:28" ht="13.5" customHeight="1" x14ac:dyDescent="0.2">
      <c r="B146" s="2631" t="s">
        <v>1385</v>
      </c>
      <c r="C146" s="2631"/>
      <c r="D146" s="2631"/>
      <c r="E146" s="2631"/>
      <c r="F146" s="2631"/>
      <c r="G146" s="2631"/>
      <c r="H146" s="2631"/>
      <c r="I146" s="2631"/>
      <c r="J146" s="2631"/>
      <c r="K146" s="2487"/>
      <c r="L146" s="2487"/>
      <c r="M146" s="2487"/>
      <c r="N146" s="273"/>
      <c r="O146" s="273"/>
      <c r="P146" s="262"/>
    </row>
    <row r="147" spans="2:28" ht="13.5" customHeight="1" x14ac:dyDescent="0.2">
      <c r="B147" s="2487"/>
      <c r="C147" s="2487"/>
      <c r="D147" s="2487"/>
      <c r="E147" s="2487"/>
      <c r="F147" s="2487"/>
      <c r="G147" s="2487"/>
      <c r="H147" s="2487"/>
      <c r="I147" s="2487"/>
      <c r="J147" s="2487"/>
      <c r="K147" s="2487"/>
      <c r="L147" s="2487"/>
      <c r="M147" s="2487"/>
      <c r="N147" s="273"/>
      <c r="O147" s="273"/>
      <c r="P147" s="262"/>
    </row>
    <row r="148" spans="2:28" ht="13.5" customHeight="1" x14ac:dyDescent="0.2">
      <c r="B148" s="2637" t="s">
        <v>1446</v>
      </c>
      <c r="C148" s="2638"/>
      <c r="D148" s="2625" t="s">
        <v>850</v>
      </c>
      <c r="E148" s="2626"/>
      <c r="F148" s="2627"/>
      <c r="G148" s="2663" t="s">
        <v>855</v>
      </c>
      <c r="H148" s="2664"/>
      <c r="I148" s="2664"/>
      <c r="J148" s="2665"/>
      <c r="K148" s="2660" t="s">
        <v>854</v>
      </c>
      <c r="L148" s="1022"/>
      <c r="M148" s="1021"/>
      <c r="N148" s="1021"/>
      <c r="O148" s="1021"/>
      <c r="P148" s="1021"/>
      <c r="Q148" s="87"/>
      <c r="R148" s="80"/>
    </row>
    <row r="149" spans="2:28" ht="13.5" customHeight="1" x14ac:dyDescent="0.2">
      <c r="B149" s="2639"/>
      <c r="C149" s="2640"/>
      <c r="D149" s="2628" t="s">
        <v>318</v>
      </c>
      <c r="E149" s="2629" t="s">
        <v>409</v>
      </c>
      <c r="F149" s="2630" t="s">
        <v>849</v>
      </c>
      <c r="G149" s="2600" t="s">
        <v>851</v>
      </c>
      <c r="H149" s="2609" t="s">
        <v>852</v>
      </c>
      <c r="I149" s="2620" t="s">
        <v>853</v>
      </c>
      <c r="J149" s="2666" t="s">
        <v>1445</v>
      </c>
      <c r="K149" s="2661"/>
      <c r="L149" s="1022"/>
      <c r="M149" s="1021"/>
      <c r="N149" s="1021"/>
      <c r="O149" s="1021"/>
      <c r="P149" s="1021"/>
      <c r="Q149" s="87"/>
      <c r="R149" s="80"/>
    </row>
    <row r="150" spans="2:28" ht="13.5" customHeight="1" x14ac:dyDescent="0.2">
      <c r="B150" s="2639"/>
      <c r="C150" s="2640"/>
      <c r="D150" s="2628"/>
      <c r="E150" s="2629"/>
      <c r="F150" s="2630"/>
      <c r="G150" s="2601"/>
      <c r="H150" s="2610"/>
      <c r="I150" s="2621"/>
      <c r="J150" s="2667"/>
      <c r="K150" s="2662"/>
      <c r="L150" s="1022"/>
      <c r="M150" s="1021"/>
      <c r="N150" s="1021"/>
      <c r="O150" s="1021"/>
      <c r="P150" s="1021"/>
      <c r="Q150" s="87"/>
      <c r="R150" s="80"/>
    </row>
    <row r="151" spans="2:28" ht="13.5" customHeight="1" x14ac:dyDescent="0.2">
      <c r="B151" s="2648">
        <v>2010</v>
      </c>
      <c r="C151" s="2649"/>
      <c r="D151" s="1498">
        <f>VLOOKUP(I3,SNAPCases_Annual, 4,FALSE)</f>
        <v>3524</v>
      </c>
      <c r="E151" s="1499">
        <f>VLOOKUP(I3,TANFCases_Annual,4,FALSE)</f>
        <v>375</v>
      </c>
      <c r="F151" s="1500">
        <f>VLOOKUP(I3,MedicaidCases_Annual,4,FALSE)</f>
        <v>5061</v>
      </c>
      <c r="G151" s="1559" t="s">
        <v>897</v>
      </c>
      <c r="H151" s="1560" t="s">
        <v>897</v>
      </c>
      <c r="I151" s="1561" t="s">
        <v>897</v>
      </c>
      <c r="J151" s="2453" t="s">
        <v>897</v>
      </c>
      <c r="K151" s="2453" t="s">
        <v>897</v>
      </c>
      <c r="L151" s="1020"/>
      <c r="M151" s="1021"/>
      <c r="N151" s="1021"/>
      <c r="O151" s="1021"/>
      <c r="P151" s="1021"/>
      <c r="Q151" s="87"/>
      <c r="R151" s="80"/>
    </row>
    <row r="152" spans="2:28" ht="13.5" customHeight="1" x14ac:dyDescent="0.2">
      <c r="B152" s="2633">
        <v>2011</v>
      </c>
      <c r="C152" s="2634"/>
      <c r="D152" s="1342">
        <f>VLOOKUP(I3,SNAPCases_Annual, 5,FALSE)</f>
        <v>3901</v>
      </c>
      <c r="E152" s="1503">
        <f>VLOOKUP(I3,TANFCases_Annual,5,FALSE)</f>
        <v>374</v>
      </c>
      <c r="F152" s="1504">
        <f>VLOOKUP(I3,MedicaidCases_Annual,5,FALSE)</f>
        <v>5183</v>
      </c>
      <c r="G152" s="1562" t="s">
        <v>897</v>
      </c>
      <c r="H152" s="1563" t="s">
        <v>897</v>
      </c>
      <c r="I152" s="1564" t="s">
        <v>897</v>
      </c>
      <c r="J152" s="2454" t="s">
        <v>897</v>
      </c>
      <c r="K152" s="2454" t="s">
        <v>897</v>
      </c>
      <c r="L152" s="1020"/>
      <c r="M152" s="1021"/>
      <c r="N152" s="1021"/>
      <c r="O152" s="1021"/>
      <c r="P152" s="1021"/>
      <c r="Q152" s="87"/>
      <c r="R152" s="80"/>
    </row>
    <row r="153" spans="2:28" ht="13.5" customHeight="1" x14ac:dyDescent="0.2">
      <c r="B153" s="2648">
        <v>2012</v>
      </c>
      <c r="C153" s="2649"/>
      <c r="D153" s="1343">
        <f>VLOOKUP(I3,SNAPCases_Annual, 6,FALSE)</f>
        <v>4257</v>
      </c>
      <c r="E153" s="1507">
        <f>VLOOKUP(I3,TANFCases_Annual,6,FALSE)</f>
        <v>387</v>
      </c>
      <c r="F153" s="1508">
        <f>VLOOKUP(I3,MedicaidCases_Annual,6,FALSE)</f>
        <v>5235</v>
      </c>
      <c r="G153" s="1565" t="s">
        <v>897</v>
      </c>
      <c r="H153" s="1566" t="s">
        <v>897</v>
      </c>
      <c r="I153" s="1567" t="s">
        <v>897</v>
      </c>
      <c r="J153" s="2455" t="s">
        <v>897</v>
      </c>
      <c r="K153" s="2455" t="s">
        <v>897</v>
      </c>
      <c r="L153" s="1020"/>
      <c r="M153" s="1021"/>
      <c r="N153" s="1021"/>
      <c r="O153" s="1021"/>
      <c r="P153" s="1021"/>
      <c r="Q153" s="87"/>
      <c r="R153" s="80"/>
    </row>
    <row r="154" spans="2:28" ht="13.5" customHeight="1" x14ac:dyDescent="0.2">
      <c r="B154" s="2633">
        <v>2013</v>
      </c>
      <c r="C154" s="2634"/>
      <c r="D154" s="1342">
        <f>VLOOKUP(I3,SNAPCases_Annual, 7,FALSE)</f>
        <v>4419</v>
      </c>
      <c r="E154" s="1503">
        <f>VLOOKUP(I3,TANFCases_Annual,7,FALSE)</f>
        <v>379</v>
      </c>
      <c r="F154" s="1504">
        <f>VLOOKUP(I3,MedicaidCases_Annual,7,FALSE)</f>
        <v>5244</v>
      </c>
      <c r="G154" s="1568">
        <f>VLOOKUP(I3,EACases_Annual,4,FALSE)</f>
        <v>1949</v>
      </c>
      <c r="H154" s="1569">
        <f>VLOOKUP(I3,EACases_Annual,8,FALSE)</f>
        <v>593</v>
      </c>
      <c r="I154" s="1570">
        <f>VLOOKUP(I3,EACases_Annual,12,FALSE)</f>
        <v>831</v>
      </c>
      <c r="J154" s="2454" t="s">
        <v>897</v>
      </c>
      <c r="K154" s="2454" t="s">
        <v>897</v>
      </c>
      <c r="L154" s="1020"/>
      <c r="M154" s="87"/>
      <c r="N154" s="87"/>
      <c r="O154" s="87"/>
      <c r="P154" s="87"/>
      <c r="Q154" s="87"/>
      <c r="R154" s="80"/>
    </row>
    <row r="155" spans="2:28" ht="13.5" customHeight="1" x14ac:dyDescent="0.2">
      <c r="B155" s="2672">
        <v>2014</v>
      </c>
      <c r="C155" s="2673"/>
      <c r="D155" s="1341">
        <f>VLOOKUP(I3,SNAPCases_Annual, 8,FALSE)</f>
        <v>4404</v>
      </c>
      <c r="E155" s="1557">
        <f>VLOOKUP(I3,TANFCases_Annual,8,FALSE)</f>
        <v>321</v>
      </c>
      <c r="F155" s="1558">
        <f>VLOOKUP(I3,MedicaidCases_Annual,8,FALSE)</f>
        <v>5279</v>
      </c>
      <c r="G155" s="1571">
        <f>VLOOKUP(I3,EACases_Annual,5,FALSE)</f>
        <v>1818</v>
      </c>
      <c r="H155" s="1572">
        <f>VLOOKUP(I3,EACases_Annual,9,FALSE)</f>
        <v>659</v>
      </c>
      <c r="I155" s="1573">
        <f>VLOOKUP(I3,EACases_Annual,13,FALSE)</f>
        <v>883</v>
      </c>
      <c r="J155" s="2456" t="s">
        <v>897</v>
      </c>
      <c r="K155" s="2456">
        <f>VLOOKUP(I3,ChildCareFamilies,4,FALSE)</f>
        <v>62</v>
      </c>
      <c r="L155" s="1020"/>
      <c r="M155" s="87"/>
      <c r="N155" s="87"/>
      <c r="O155" s="87"/>
      <c r="P155" s="87"/>
      <c r="Q155" s="87"/>
      <c r="R155" s="80"/>
    </row>
    <row r="156" spans="2:28" ht="13.5" customHeight="1" x14ac:dyDescent="0.2">
      <c r="B156" s="2633">
        <v>2015</v>
      </c>
      <c r="C156" s="2634"/>
      <c r="D156" s="1342">
        <f>VLOOKUP(I3,SNAPCases_Annual, 9,FALSE)</f>
        <v>4081</v>
      </c>
      <c r="E156" s="1503">
        <f>VLOOKUP(I3,TANFCases_Annual,9,FALSE)</f>
        <v>275</v>
      </c>
      <c r="F156" s="1504">
        <f>VLOOKUP(I3,MedicaidCases_Annual,9,FALSE)</f>
        <v>5412</v>
      </c>
      <c r="G156" s="1568">
        <f>VLOOKUP(I3,EACases_Annual,6,FALSE)</f>
        <v>1821</v>
      </c>
      <c r="H156" s="1569">
        <f>VLOOKUP(I3,EACases_Annual,10,FALSE)</f>
        <v>586</v>
      </c>
      <c r="I156" s="1570">
        <f>VLOOKUP(I3,EACases_Annual,14,FALSE)</f>
        <v>819</v>
      </c>
      <c r="J156" s="2454" t="s">
        <v>897</v>
      </c>
      <c r="K156" s="2454">
        <f>VLOOKUP(I3,ChildCareFamilies,5,FALSE)</f>
        <v>55</v>
      </c>
      <c r="L156" s="1020"/>
      <c r="M156" s="87"/>
      <c r="N156" s="87"/>
      <c r="O156" s="87"/>
      <c r="P156" s="87"/>
      <c r="Q156" s="87"/>
      <c r="R156" s="80"/>
    </row>
    <row r="157" spans="2:28" ht="13.5" customHeight="1" x14ac:dyDescent="0.2">
      <c r="B157" s="2516">
        <v>2016</v>
      </c>
      <c r="C157" s="2517"/>
      <c r="D157" s="2253">
        <f>VLOOKUP(I3,SNAPCases_Annual,10,FALSE)</f>
        <v>3754</v>
      </c>
      <c r="E157" s="2254">
        <f>VLOOKUP(I3,TANFCases_Annual,10,FALSE)</f>
        <v>245</v>
      </c>
      <c r="F157" s="2255">
        <f>VLOOKUP(I3,MedicaidCases_Annual,10,FALSE)</f>
        <v>5483</v>
      </c>
      <c r="G157" s="2262">
        <f>VLOOKUP(I3,EACases_Annual,7,FALSE)</f>
        <v>1680</v>
      </c>
      <c r="H157" s="2263">
        <f>VLOOKUP(I3,EACases_Annual,11,FALSE)</f>
        <v>528</v>
      </c>
      <c r="I157" s="2264">
        <f>VLOOKUP(I3,EACases_Annual,15,FALSE)</f>
        <v>582</v>
      </c>
      <c r="J157" s="2457" t="s">
        <v>897</v>
      </c>
      <c r="K157" s="2457">
        <f>VLOOKUP(I3,ChildCareFamilies,6,FALSE)</f>
        <v>52</v>
      </c>
      <c r="L157" s="1020"/>
      <c r="M157" s="87"/>
      <c r="N157" s="87"/>
      <c r="O157" s="87"/>
      <c r="P157" s="87"/>
      <c r="Q157" s="87"/>
      <c r="R157" s="80"/>
    </row>
    <row r="158" spans="2:28" ht="13.5" customHeight="1" x14ac:dyDescent="0.2">
      <c r="B158" s="2678">
        <v>2017</v>
      </c>
      <c r="C158" s="2679"/>
      <c r="D158" s="2258">
        <f>VLOOKUP(I3,SNAPCases_Annual,11,FALSE)</f>
        <v>3232</v>
      </c>
      <c r="E158" s="2259">
        <f>VLOOKUP(I3,TANFCases_Annual,11,FALSE)</f>
        <v>171</v>
      </c>
      <c r="F158" s="2452">
        <f>VLOOKUP(I3,MedicaidCases_Annual,11,FALSE)</f>
        <v>5216</v>
      </c>
      <c r="G158" s="2645" t="s">
        <v>1444</v>
      </c>
      <c r="H158" s="2646"/>
      <c r="I158" s="2647"/>
      <c r="J158" s="2458">
        <f>VLOOKUP(I3,EACases_Annual,17, FALSE)</f>
        <v>610</v>
      </c>
      <c r="K158" s="2458">
        <f>VLOOKUP(I3,ChildCareFamilies,7,FALSE)</f>
        <v>27</v>
      </c>
      <c r="L158" s="1020"/>
      <c r="M158" s="87"/>
      <c r="N158" s="87"/>
      <c r="O158" s="87"/>
      <c r="P158" s="87"/>
      <c r="Q158" s="87"/>
      <c r="R158" s="80"/>
    </row>
    <row r="159" spans="2:28" ht="13.5" customHeight="1" x14ac:dyDescent="0.2">
      <c r="B159" s="2668" t="s">
        <v>1447</v>
      </c>
      <c r="C159" s="2668"/>
      <c r="D159" s="2668"/>
      <c r="E159" s="2668"/>
      <c r="F159" s="2668"/>
      <c r="G159" s="2668"/>
      <c r="H159" s="2668"/>
      <c r="I159" s="2668"/>
      <c r="J159" s="2668"/>
      <c r="K159" s="2668"/>
      <c r="L159" s="87"/>
      <c r="M159" s="87"/>
      <c r="N159" s="87"/>
      <c r="O159" s="87"/>
      <c r="P159" s="87"/>
      <c r="Q159" s="87"/>
      <c r="R159" s="80"/>
    </row>
    <row r="160" spans="2:28" ht="13.5" customHeight="1" x14ac:dyDescent="0.2">
      <c r="B160" s="2635"/>
      <c r="C160" s="2635"/>
      <c r="D160" s="2635"/>
      <c r="E160" s="2635"/>
      <c r="F160" s="2635"/>
      <c r="G160" s="2635"/>
      <c r="H160" s="2635"/>
      <c r="I160" s="2635"/>
      <c r="J160" s="2635"/>
      <c r="K160" s="2635"/>
      <c r="L160" s="87"/>
      <c r="M160" s="87"/>
      <c r="N160" s="87"/>
      <c r="O160" s="87"/>
      <c r="P160" s="87"/>
      <c r="Q160" s="87"/>
      <c r="R160" s="80"/>
    </row>
    <row r="161" spans="2:24" ht="13.5" customHeight="1" x14ac:dyDescent="0.2">
      <c r="B161" s="2635"/>
      <c r="C161" s="2635"/>
      <c r="D161" s="2635"/>
      <c r="E161" s="2635"/>
      <c r="F161" s="2635"/>
      <c r="G161" s="2635"/>
      <c r="H161" s="2635"/>
      <c r="I161" s="2635"/>
      <c r="J161" s="2635"/>
      <c r="K161" s="2635"/>
      <c r="L161" s="87"/>
      <c r="M161" s="87"/>
      <c r="N161" s="87"/>
      <c r="O161" s="87"/>
      <c r="P161" s="87"/>
      <c r="Q161" s="87"/>
      <c r="R161" s="80"/>
    </row>
    <row r="162" spans="2:24" ht="18" hidden="1" customHeight="1" x14ac:dyDescent="0.2">
      <c r="B162" s="2692" t="s">
        <v>1453</v>
      </c>
      <c r="C162" s="2692"/>
      <c r="D162" s="2692"/>
      <c r="E162" s="2692"/>
      <c r="F162" s="2692"/>
      <c r="G162" s="2692"/>
      <c r="H162" s="2692"/>
      <c r="I162" s="2692"/>
      <c r="J162" s="2692"/>
      <c r="K162" s="2692"/>
      <c r="L162" s="87"/>
      <c r="M162" s="87"/>
      <c r="N162" s="87"/>
      <c r="O162" s="87"/>
      <c r="P162" s="87"/>
      <c r="Q162" s="87"/>
      <c r="R162" s="80"/>
    </row>
    <row r="163" spans="2:24" ht="13.5" hidden="1" customHeight="1" x14ac:dyDescent="0.2">
      <c r="B163" s="2689" t="s">
        <v>1253</v>
      </c>
      <c r="C163" s="2689"/>
      <c r="D163" s="2691">
        <f>VLOOKUP(I3,fs_caseload,4,FALSE)</f>
        <v>104</v>
      </c>
      <c r="E163" s="2689" t="s">
        <v>1254</v>
      </c>
      <c r="F163" s="2689"/>
      <c r="G163" s="2691">
        <f>VLOOKUP(I3,fs_caseload,5,FALSE)</f>
        <v>31</v>
      </c>
      <c r="H163" s="2689" t="s">
        <v>1255</v>
      </c>
      <c r="I163" s="2689"/>
      <c r="J163" s="2690">
        <f>VLOOKUP(I3,fs_caseload,6,FALSE)</f>
        <v>3.3548387096774195</v>
      </c>
      <c r="K163" s="271"/>
      <c r="L163" s="87"/>
      <c r="M163" s="87"/>
      <c r="N163" s="87"/>
      <c r="O163" s="87"/>
      <c r="P163" s="87"/>
      <c r="Q163" s="87"/>
      <c r="R163" s="80"/>
    </row>
    <row r="164" spans="2:24" ht="13.5" hidden="1" customHeight="1" x14ac:dyDescent="0.2">
      <c r="B164" s="2689"/>
      <c r="C164" s="2689"/>
      <c r="D164" s="2691"/>
      <c r="E164" s="2689"/>
      <c r="F164" s="2689"/>
      <c r="G164" s="2691"/>
      <c r="H164" s="2689"/>
      <c r="I164" s="2689"/>
      <c r="J164" s="2690"/>
      <c r="K164" s="271"/>
      <c r="L164" s="87"/>
      <c r="M164" s="87"/>
      <c r="N164" s="87"/>
      <c r="O164" s="87"/>
      <c r="P164" s="87"/>
      <c r="Q164" s="87"/>
      <c r="R164" s="80"/>
    </row>
    <row r="165" spans="2:24" ht="13.5" hidden="1" customHeight="1" x14ac:dyDescent="0.2">
      <c r="B165" s="2689"/>
      <c r="C165" s="2689"/>
      <c r="D165" s="2691"/>
      <c r="E165" s="2689"/>
      <c r="F165" s="2689"/>
      <c r="G165" s="2691"/>
      <c r="H165" s="2689"/>
      <c r="I165" s="2689"/>
      <c r="J165" s="2690"/>
      <c r="K165" s="271"/>
      <c r="L165" s="87"/>
      <c r="M165" s="87"/>
      <c r="N165" s="87"/>
      <c r="O165" s="87"/>
      <c r="P165" s="87"/>
      <c r="Q165" s="87"/>
      <c r="R165" s="80"/>
    </row>
    <row r="166" spans="2:24" ht="13.5" hidden="1" customHeight="1" x14ac:dyDescent="0.2">
      <c r="B166" s="2635" t="s">
        <v>1454</v>
      </c>
      <c r="C166" s="2635"/>
      <c r="D166" s="2635"/>
      <c r="E166" s="2635"/>
      <c r="F166" s="2635"/>
      <c r="G166" s="2635"/>
      <c r="H166" s="2635"/>
      <c r="I166" s="2635"/>
      <c r="J166" s="2635"/>
      <c r="K166" s="2635"/>
      <c r="L166" s="87"/>
      <c r="M166" s="87"/>
      <c r="N166" s="87"/>
      <c r="O166" s="87"/>
      <c r="P166" s="87"/>
      <c r="Q166" s="87"/>
      <c r="R166" s="80"/>
    </row>
    <row r="167" spans="2:24" ht="13.5" customHeight="1" x14ac:dyDescent="0.2">
      <c r="B167" s="2676" t="s">
        <v>1228</v>
      </c>
      <c r="C167" s="2677"/>
      <c r="D167" s="2677"/>
      <c r="E167" s="2693" t="s">
        <v>582</v>
      </c>
      <c r="F167" s="2683" t="s">
        <v>767</v>
      </c>
      <c r="G167" s="2684"/>
      <c r="H167" s="2684"/>
      <c r="I167" s="2685"/>
      <c r="J167" s="2680" t="s">
        <v>759</v>
      </c>
      <c r="K167" s="2681"/>
      <c r="L167" s="2681"/>
      <c r="M167" s="2681"/>
      <c r="N167" s="2682"/>
      <c r="O167" s="85"/>
      <c r="P167" s="262"/>
    </row>
    <row r="168" spans="2:24" ht="13.5" customHeight="1" x14ac:dyDescent="0.2">
      <c r="B168" s="2676"/>
      <c r="C168" s="2677"/>
      <c r="D168" s="2677"/>
      <c r="E168" s="2694"/>
      <c r="F168" s="363" t="s">
        <v>2</v>
      </c>
      <c r="G168" s="364" t="s">
        <v>445</v>
      </c>
      <c r="H168" s="1579" t="s">
        <v>446</v>
      </c>
      <c r="I168" s="1580" t="s">
        <v>762</v>
      </c>
      <c r="J168" s="363" t="s">
        <v>1044</v>
      </c>
      <c r="K168" s="1149" t="s">
        <v>1045</v>
      </c>
      <c r="L168" s="1253" t="s">
        <v>1207</v>
      </c>
      <c r="M168" s="365" t="s">
        <v>1208</v>
      </c>
      <c r="N168" s="365" t="s">
        <v>1046</v>
      </c>
      <c r="O168" s="263"/>
      <c r="P168" s="263"/>
      <c r="X168" s="81"/>
    </row>
    <row r="169" spans="2:24" ht="13.5" customHeight="1" x14ac:dyDescent="0.2">
      <c r="B169" s="2650" t="s">
        <v>1047</v>
      </c>
      <c r="C169" s="2651"/>
      <c r="D169" s="2651"/>
      <c r="E169" s="318">
        <f>VLOOKUP(I3,FC_DEMO,4,FALSE)</f>
        <v>15</v>
      </c>
      <c r="F169" s="318">
        <f>VLOOKUP(I3,FC_DEMO,5,FALSE)</f>
        <v>10</v>
      </c>
      <c r="G169" s="1150">
        <f>VLOOKUP(I3,FC_DEMO,6,FALSE)</f>
        <v>4</v>
      </c>
      <c r="H169" s="1548">
        <f>VLOOKUP(I3,FC_DEMO,15,FALSE)</f>
        <v>1</v>
      </c>
      <c r="I169" s="1577">
        <f>VLOOKUP(I3,FC_DEMO,16,FALSE)</f>
        <v>0</v>
      </c>
      <c r="J169" s="1254">
        <f>VLOOKUP(I3,FC_DEMO,29,FALSE)</f>
        <v>9</v>
      </c>
      <c r="K169" s="1255">
        <f>VLOOKUP(I3,FC_DEMO,30,FALSE)</f>
        <v>3</v>
      </c>
      <c r="L169" s="1256">
        <f>VLOOKUP(I3,FC_DEMO,31,FALSE)</f>
        <v>2</v>
      </c>
      <c r="M169" s="1256">
        <f>VLOOKUP(I3,FC_DEMO,32,FALSE)</f>
        <v>1</v>
      </c>
      <c r="N169" s="1256">
        <f>VLOOKUP(I3,FC_DEMO,33,FALSE)</f>
        <v>0</v>
      </c>
      <c r="O169" s="263"/>
      <c r="P169" s="162"/>
      <c r="T169" s="82"/>
      <c r="U169" s="81"/>
      <c r="V169" s="81"/>
      <c r="W169" s="81"/>
      <c r="X169" s="81"/>
    </row>
    <row r="170" spans="2:24" ht="13.5" customHeight="1" x14ac:dyDescent="0.2">
      <c r="B170" s="2650" t="s">
        <v>1417</v>
      </c>
      <c r="C170" s="2651"/>
      <c r="D170" s="2688"/>
      <c r="E170" s="1027">
        <f>VLOOKUP(I3,Adoption_Child_Demo,4,FALSE)</f>
        <v>3</v>
      </c>
      <c r="F170" s="318">
        <f>VLOOKUP(I3,Adoption_Child_Demo,5,FALSE)</f>
        <v>3</v>
      </c>
      <c r="G170" s="1150">
        <f>VLOOKUP(I3,Adoption_Child_Demo,6,FALSE)</f>
        <v>0</v>
      </c>
      <c r="H170" s="1548">
        <f>VLOOKUP(I3,Adoption_Child_Demo,13,FALSE)</f>
        <v>0</v>
      </c>
      <c r="I170" s="1576">
        <f>VLOOKUP(I3,Adoption_Child_Demo,12,FALSE)</f>
        <v>0</v>
      </c>
      <c r="J170" s="1254">
        <f>VLOOKUP(I3,Adoption_Child_Demo,23,FALSE)</f>
        <v>2</v>
      </c>
      <c r="K170" s="1255">
        <f>VLOOKUP(I3,Adoption_Child_Demo,24,FALSE)</f>
        <v>1</v>
      </c>
      <c r="L170" s="1256">
        <f>VLOOKUP(I3,Adoption_Child_Demo,25,FALSE)</f>
        <v>0</v>
      </c>
      <c r="M170" s="1256">
        <f>VLOOKUP(I3,Adoption_Child_Demo,26,FALSE)</f>
        <v>0</v>
      </c>
      <c r="N170" s="1256">
        <f>VLOOKUP(I3,Adoption_Child_Demo,27,FALSE)</f>
        <v>0</v>
      </c>
      <c r="O170" s="263"/>
      <c r="P170" s="162"/>
      <c r="T170" s="82"/>
      <c r="U170" s="81"/>
      <c r="V170" s="81"/>
      <c r="W170" s="81"/>
      <c r="X170" s="81"/>
    </row>
    <row r="171" spans="2:24" ht="13.5" customHeight="1" x14ac:dyDescent="0.2">
      <c r="B171" s="2686" t="s">
        <v>861</v>
      </c>
      <c r="C171" s="2687"/>
      <c r="D171" s="2687"/>
      <c r="E171" s="342">
        <f>VLOOKUP(I3,AdoptionServices,4,FALSE)</f>
        <v>13</v>
      </c>
      <c r="F171" s="1151">
        <f>VLOOKUP(I3,AdoptionServices,5,FALSE)</f>
        <v>9</v>
      </c>
      <c r="G171" s="1152">
        <f>VLOOKUP(I3,AdoptionServices,6,FALSE)</f>
        <v>1</v>
      </c>
      <c r="H171" s="1152">
        <f>VLOOKUP(I3,AdoptionServices,12,FALSE)</f>
        <v>3</v>
      </c>
      <c r="I171" s="1578">
        <f>VLOOKUP(I3,AdoptionServices,11)</f>
        <v>0</v>
      </c>
      <c r="J171" s="1257">
        <f>VLOOKUP(I3,AdoptionServices,14,FALSE)</f>
        <v>4</v>
      </c>
      <c r="K171" s="1258">
        <f>VLOOKUP(I3,AdoptionServices,15,FALSE)</f>
        <v>3</v>
      </c>
      <c r="L171" s="1259">
        <f>VLOOKUP(I3,AdoptionServices,16,FALSE)</f>
        <v>3</v>
      </c>
      <c r="M171" s="1259">
        <f>VLOOKUP(I3,AdoptionServices,17,FALSE)</f>
        <v>2</v>
      </c>
      <c r="N171" s="1259">
        <f>VLOOKUP(I3,AdoptionServices,18,FALSE)</f>
        <v>1</v>
      </c>
      <c r="O171" s="263"/>
      <c r="P171" s="162"/>
      <c r="T171" s="82"/>
      <c r="U171" s="81"/>
      <c r="V171" s="81"/>
      <c r="W171" s="81"/>
      <c r="X171" s="81"/>
    </row>
    <row r="172" spans="2:24" ht="13.5" customHeight="1" x14ac:dyDescent="0.2">
      <c r="B172" s="2487" t="s">
        <v>1377</v>
      </c>
      <c r="C172" s="2487"/>
      <c r="D172" s="2487"/>
      <c r="E172" s="2487"/>
      <c r="F172" s="2487"/>
      <c r="G172" s="2487"/>
      <c r="H172" s="2487"/>
      <c r="I172" s="2487"/>
      <c r="J172" s="2487"/>
      <c r="K172" s="2487"/>
      <c r="L172" s="2487"/>
      <c r="M172" s="2487"/>
      <c r="N172" s="2487"/>
      <c r="O172" s="263"/>
      <c r="P172" s="162"/>
      <c r="T172" s="82"/>
      <c r="U172" s="81"/>
      <c r="V172" s="81"/>
      <c r="W172" s="81"/>
      <c r="X172" s="81"/>
    </row>
    <row r="173" spans="2:24" ht="13.5" customHeight="1" x14ac:dyDescent="0.2">
      <c r="B173" s="2487"/>
      <c r="C173" s="2487"/>
      <c r="D173" s="2487"/>
      <c r="E173" s="2487"/>
      <c r="F173" s="2487"/>
      <c r="G173" s="2487"/>
      <c r="H173" s="2487"/>
      <c r="I173" s="2487"/>
      <c r="J173" s="2487"/>
      <c r="K173" s="2487"/>
      <c r="L173" s="2487"/>
      <c r="M173" s="2487"/>
      <c r="N173" s="2487"/>
      <c r="O173" s="263"/>
      <c r="P173" s="162"/>
      <c r="T173" s="82"/>
      <c r="U173" s="81"/>
      <c r="V173" s="81"/>
      <c r="W173" s="81"/>
      <c r="X173" s="81"/>
    </row>
    <row r="174" spans="2:24" ht="13.5" customHeight="1" x14ac:dyDescent="0.2">
      <c r="B174" s="2652" t="s">
        <v>1178</v>
      </c>
      <c r="C174" s="2653"/>
      <c r="D174" s="2654"/>
      <c r="E174" s="2495" t="s">
        <v>449</v>
      </c>
      <c r="F174" s="2614" t="s">
        <v>1201</v>
      </c>
      <c r="G174" s="2615"/>
      <c r="H174" s="2615"/>
      <c r="I174" s="2615"/>
      <c r="J174" s="2615"/>
      <c r="K174" s="2611" t="s">
        <v>1200</v>
      </c>
      <c r="L174" s="2612"/>
      <c r="M174" s="2612"/>
      <c r="N174" s="2613"/>
      <c r="O174" s="263"/>
      <c r="P174" s="162"/>
      <c r="T174" s="82"/>
      <c r="U174" s="81"/>
      <c r="V174" s="81"/>
      <c r="W174" s="81"/>
      <c r="X174" s="81"/>
    </row>
    <row r="175" spans="2:24" ht="13.5" customHeight="1" x14ac:dyDescent="0.2">
      <c r="B175" s="2655"/>
      <c r="C175" s="2656"/>
      <c r="D175" s="2657"/>
      <c r="E175" s="2496"/>
      <c r="F175" s="1581" t="s">
        <v>2</v>
      </c>
      <c r="G175" s="1582" t="s">
        <v>445</v>
      </c>
      <c r="H175" s="1582" t="s">
        <v>446</v>
      </c>
      <c r="I175" s="1589" t="s">
        <v>762</v>
      </c>
      <c r="J175" s="1591" t="s">
        <v>551</v>
      </c>
      <c r="K175" s="1464" t="s">
        <v>1093</v>
      </c>
      <c r="L175" s="1464" t="s">
        <v>1199</v>
      </c>
      <c r="M175" s="1464" t="s">
        <v>1198</v>
      </c>
      <c r="N175" s="1464" t="s">
        <v>762</v>
      </c>
      <c r="O175" s="263"/>
      <c r="P175" s="162"/>
      <c r="T175" s="82"/>
      <c r="U175" s="81"/>
      <c r="V175" s="81"/>
      <c r="W175" s="81"/>
      <c r="X175" s="81"/>
    </row>
    <row r="176" spans="2:24" ht="13.5" customHeight="1" x14ac:dyDescent="0.2">
      <c r="B176" s="2505" t="s">
        <v>1450</v>
      </c>
      <c r="C176" s="2506"/>
      <c r="D176" s="2507"/>
      <c r="E176" s="1465">
        <f>VLOOKUP(I3,CPSReferrals,4,FALSE)</f>
        <v>396</v>
      </c>
      <c r="F176" s="1585">
        <f>VLOOKUP(I3,CPSReferrals,17,FALSE)</f>
        <v>247</v>
      </c>
      <c r="G176" s="1586">
        <f>VLOOKUP(I3,CPSReferrals,18,FALSE)</f>
        <v>143</v>
      </c>
      <c r="H176" s="1586">
        <f>VLOOKUP(I3,CPSReferrals,19,FALSE)</f>
        <v>2</v>
      </c>
      <c r="I176" s="1590">
        <f>VLOOKUP(I3,Children_CPS_Referrals,14,FALSE)</f>
        <v>4</v>
      </c>
      <c r="J176" s="1592">
        <f>VLOOKUP(I3, Children_CPS_Referrals,15,FALSE)</f>
        <v>43</v>
      </c>
      <c r="K176" s="1466">
        <f>VLOOKUP(I3,Children_CPS_Referrals,29,FALSE)</f>
        <v>85</v>
      </c>
      <c r="L176" s="1616">
        <f>VLOOKUP(I3,Children_CPS_Referrals,30,FALSE)</f>
        <v>205</v>
      </c>
      <c r="M176" s="1616">
        <f>VLOOKUP(I3,Children_CPS_Referrals, 31,FALSE)</f>
        <v>94</v>
      </c>
      <c r="N176" s="1616">
        <f>VLOOKUP(I3,Children_CPS_Referrals,27,FALSE)</f>
        <v>12</v>
      </c>
      <c r="O176" s="263"/>
      <c r="P176" s="162"/>
      <c r="T176" s="82"/>
      <c r="U176" s="81"/>
      <c r="V176" s="81"/>
      <c r="W176" s="81"/>
      <c r="X176" s="81"/>
    </row>
    <row r="177" spans="2:25" ht="13.5" customHeight="1" x14ac:dyDescent="0.2">
      <c r="B177" s="2487" t="s">
        <v>1202</v>
      </c>
      <c r="C177" s="2487"/>
      <c r="D177" s="2487"/>
      <c r="E177" s="2487"/>
      <c r="F177" s="2487"/>
      <c r="G177" s="2487"/>
      <c r="H177" s="2487"/>
      <c r="I177" s="2487"/>
      <c r="J177" s="2487"/>
      <c r="K177" s="2487"/>
      <c r="L177" s="2487"/>
      <c r="M177" s="2487"/>
      <c r="N177" s="2487"/>
      <c r="O177" s="263"/>
      <c r="P177" s="162"/>
      <c r="T177" s="82"/>
      <c r="U177" s="81"/>
      <c r="V177" s="81"/>
      <c r="W177" s="81"/>
      <c r="X177" s="81"/>
    </row>
    <row r="178" spans="2:25" ht="13.5" customHeight="1" x14ac:dyDescent="0.2">
      <c r="B178" s="2652" t="s">
        <v>1092</v>
      </c>
      <c r="C178" s="2653"/>
      <c r="D178" s="2654"/>
      <c r="E178" s="2495" t="s">
        <v>1105</v>
      </c>
      <c r="F178" s="2658" t="s">
        <v>1104</v>
      </c>
      <c r="G178" s="2615"/>
      <c r="H178" s="2615"/>
      <c r="I178" s="2659"/>
      <c r="J178" s="2598" t="s">
        <v>1363</v>
      </c>
      <c r="K178" s="2599"/>
      <c r="L178" s="2598" t="s">
        <v>1358</v>
      </c>
      <c r="M178" s="2636"/>
      <c r="N178" s="2599"/>
      <c r="O178" s="263"/>
      <c r="P178" s="162"/>
      <c r="T178" s="82"/>
      <c r="U178" s="81"/>
      <c r="V178" s="81"/>
      <c r="W178" s="81"/>
      <c r="X178" s="81"/>
    </row>
    <row r="179" spans="2:25" ht="13.5" customHeight="1" x14ac:dyDescent="0.2">
      <c r="B179" s="2655"/>
      <c r="C179" s="2656"/>
      <c r="D179" s="2657"/>
      <c r="E179" s="2496"/>
      <c r="F179" s="1581" t="s">
        <v>2</v>
      </c>
      <c r="G179" s="1582" t="s">
        <v>445</v>
      </c>
      <c r="H179" s="1582" t="s">
        <v>446</v>
      </c>
      <c r="I179" s="1584" t="s">
        <v>762</v>
      </c>
      <c r="J179" s="2351" t="s">
        <v>1100</v>
      </c>
      <c r="K179" s="2352" t="s">
        <v>770</v>
      </c>
      <c r="L179" s="2329" t="s">
        <v>548</v>
      </c>
      <c r="M179" s="2275" t="s">
        <v>549</v>
      </c>
      <c r="N179" s="2275" t="s">
        <v>762</v>
      </c>
      <c r="O179" s="263"/>
      <c r="P179" s="263"/>
      <c r="T179" s="82"/>
      <c r="U179" s="81"/>
      <c r="V179" s="81"/>
      <c r="W179" s="81"/>
      <c r="X179" s="81"/>
    </row>
    <row r="180" spans="2:25" ht="13.5" customHeight="1" x14ac:dyDescent="0.2">
      <c r="B180" s="2505" t="s">
        <v>1359</v>
      </c>
      <c r="C180" s="2506"/>
      <c r="D180" s="2507"/>
      <c r="E180" s="1465">
        <f>VLOOKUP(I3,APS_Reports,4,FALSE)</f>
        <v>139</v>
      </c>
      <c r="F180" s="1549">
        <f>VLOOKUP(I3,APS_Reports,5,FALSE)</f>
        <v>96</v>
      </c>
      <c r="G180" s="1550">
        <f>VLOOKUP(I3,APS_Reports,6,FALSE)</f>
        <v>36</v>
      </c>
      <c r="H180" s="1550">
        <f>VLOOKUP(I3,APS_Reports,7,FALSE)</f>
        <v>0</v>
      </c>
      <c r="I180" s="1583">
        <f>VLOOKUP(I3,APS_Reports,10,FALSE)</f>
        <v>43</v>
      </c>
      <c r="J180" s="2353">
        <f>VLOOKUP(I3,APS_Reports,10,FALSE)</f>
        <v>43</v>
      </c>
      <c r="K180" s="2354">
        <f>VLOOKUP(I3,APS_Reports,11,FALSE)</f>
        <v>93</v>
      </c>
      <c r="L180" s="2350">
        <f>VLOOKUP(I3,APS_Reports,13,FALSE)</f>
        <v>71</v>
      </c>
      <c r="M180" s="1615">
        <f>VLOOKUP(I3,APS_Reports,14,FALSE)</f>
        <v>68</v>
      </c>
      <c r="N180" s="1615">
        <f>VLOOKUP(I3,APS_Reports,14,FALSE)</f>
        <v>68</v>
      </c>
      <c r="O180" s="78"/>
      <c r="P180" s="162"/>
      <c r="T180" s="82"/>
      <c r="U180" s="81"/>
      <c r="V180" s="81"/>
      <c r="W180" s="81"/>
      <c r="X180" s="81"/>
    </row>
    <row r="181" spans="2:25" ht="13.5" customHeight="1" x14ac:dyDescent="0.2">
      <c r="B181" s="2487" t="s">
        <v>1364</v>
      </c>
      <c r="C181" s="2487"/>
      <c r="D181" s="2487"/>
      <c r="E181" s="2487"/>
      <c r="F181" s="2487"/>
      <c r="G181" s="2487"/>
      <c r="H181" s="2487"/>
      <c r="I181" s="2487"/>
      <c r="J181" s="2487"/>
      <c r="K181" s="2487"/>
      <c r="L181" s="2487"/>
      <c r="M181" s="2487"/>
      <c r="N181" s="125"/>
      <c r="O181" s="125"/>
      <c r="P181" s="83"/>
      <c r="Q181" s="83"/>
      <c r="T181" s="82"/>
      <c r="U181" s="81"/>
      <c r="V181" s="81"/>
      <c r="W181" s="81"/>
      <c r="X181" s="81"/>
    </row>
    <row r="182" spans="2:25" ht="13.5" customHeight="1" x14ac:dyDescent="0.2">
      <c r="G182" s="2497" t="s">
        <v>1314</v>
      </c>
      <c r="H182" s="2498"/>
      <c r="I182" s="2499"/>
      <c r="J182" s="2508" t="s">
        <v>314</v>
      </c>
      <c r="K182" s="2491" t="s">
        <v>315</v>
      </c>
      <c r="L182" s="2493" t="s">
        <v>1102</v>
      </c>
      <c r="M182" s="2500" t="s">
        <v>1033</v>
      </c>
      <c r="N182" s="78"/>
      <c r="O182" s="83"/>
      <c r="T182" s="82"/>
      <c r="U182" s="92"/>
      <c r="V182" s="127"/>
      <c r="W182" s="80"/>
      <c r="X182" s="80"/>
      <c r="Y182" s="87"/>
    </row>
    <row r="183" spans="2:25" ht="13.5" customHeight="1" x14ac:dyDescent="0.2">
      <c r="G183" s="2502" t="str">
        <f>D3</f>
        <v>Accomack</v>
      </c>
      <c r="H183" s="2503"/>
      <c r="I183" s="2504"/>
      <c r="J183" s="2509"/>
      <c r="K183" s="2492"/>
      <c r="L183" s="2494"/>
      <c r="M183" s="2501"/>
      <c r="N183" s="78"/>
      <c r="O183" s="83"/>
      <c r="T183" s="82"/>
      <c r="U183" s="92"/>
      <c r="V183" s="127"/>
      <c r="W183" s="80"/>
      <c r="X183" s="80"/>
      <c r="Y183" s="87"/>
    </row>
    <row r="184" spans="2:25" ht="13.5" customHeight="1" x14ac:dyDescent="0.2">
      <c r="G184" s="2489" t="s">
        <v>317</v>
      </c>
      <c r="H184" s="2490"/>
      <c r="I184" s="2490"/>
      <c r="J184" s="1237">
        <f>J185+J186</f>
        <v>1754915.3685739161</v>
      </c>
      <c r="K184" s="1237">
        <f t="shared" ref="K184:M184" si="0">K185+K186</f>
        <v>907292.74142608361</v>
      </c>
      <c r="L184" s="1237">
        <f t="shared" si="0"/>
        <v>800629.75</v>
      </c>
      <c r="M184" s="1238">
        <f t="shared" si="0"/>
        <v>3462837.8600000003</v>
      </c>
      <c r="N184" s="78"/>
      <c r="O184" s="83"/>
      <c r="T184" s="82"/>
      <c r="V184" s="87"/>
      <c r="W184" s="87"/>
      <c r="X184" s="87"/>
      <c r="Y184" s="87"/>
    </row>
    <row r="185" spans="2:25" ht="13.5" customHeight="1" x14ac:dyDescent="0.2">
      <c r="G185" s="2459" t="s">
        <v>903</v>
      </c>
      <c r="H185" s="2460"/>
      <c r="I185" s="2460"/>
      <c r="J185" s="1194">
        <f>VLOOKUP(I3,Admin_Costs_LASER,4,FALSE)</f>
        <v>1700915.3985739162</v>
      </c>
      <c r="K185" s="1239">
        <f>VLOOKUP(I3,Admin_Costs_LASER,5,FALSE)</f>
        <v>907292.74142608361</v>
      </c>
      <c r="L185" s="1239">
        <f>VLOOKUP(I3,Admin_Costs_LASER,11,FALSE)</f>
        <v>659377.72</v>
      </c>
      <c r="M185" s="366">
        <f>VLOOKUP(I3,Admin_Costs_LASER,9,FALSE)</f>
        <v>3267585.8600000003</v>
      </c>
      <c r="N185" s="78"/>
      <c r="O185" s="83"/>
      <c r="T185" s="82"/>
      <c r="V185" s="128"/>
      <c r="W185" s="80"/>
      <c r="X185" s="80"/>
      <c r="Y185" s="87"/>
    </row>
    <row r="186" spans="2:25" ht="13.5" customHeight="1" x14ac:dyDescent="0.2">
      <c r="G186" s="2459" t="s">
        <v>932</v>
      </c>
      <c r="H186" s="2460"/>
      <c r="I186" s="2460"/>
      <c r="J186" s="1194">
        <f>VLOOKUP(I3,Other_Oper_Exp_LASER,4,FALSE)</f>
        <v>53999.97</v>
      </c>
      <c r="K186" s="1239">
        <f>VLOOKUP(I3,Other_Oper_Exp_LASER,5,FALSE)</f>
        <v>0</v>
      </c>
      <c r="L186" s="1239">
        <f>VLOOKUP(I3,Other_Oper_Exp_LASER,11,FALSE)</f>
        <v>141252.02999999997</v>
      </c>
      <c r="M186" s="366">
        <f>VLOOKUP(I3,Other_Oper_Exp_LASER,9,FALSE)</f>
        <v>195252</v>
      </c>
      <c r="P186" s="306"/>
      <c r="Q186" s="306"/>
      <c r="R186" s="296"/>
      <c r="S186" s="295"/>
      <c r="T186" s="82"/>
      <c r="U186" s="81"/>
      <c r="V186" s="81"/>
      <c r="W186" s="81"/>
      <c r="X186" s="81"/>
    </row>
    <row r="187" spans="2:25" ht="13.5" customHeight="1" x14ac:dyDescent="0.2">
      <c r="G187" s="2471" t="s">
        <v>1026</v>
      </c>
      <c r="H187" s="2472"/>
      <c r="I187" s="2472"/>
      <c r="J187" s="1211">
        <f>J184/M184</f>
        <v>0.50678531294962681</v>
      </c>
      <c r="K187" s="1211">
        <f>K184/M184</f>
        <v>0.26200843877399549</v>
      </c>
      <c r="L187" s="1211">
        <f>L184/M184</f>
        <v>0.23120624827637756</v>
      </c>
      <c r="M187" s="1212">
        <f>M184/M184</f>
        <v>1</v>
      </c>
      <c r="P187" s="306"/>
      <c r="Q187" s="306"/>
      <c r="R187" s="296"/>
      <c r="S187" s="295"/>
      <c r="T187" s="82"/>
    </row>
    <row r="188" spans="2:25" ht="13.5" customHeight="1" x14ac:dyDescent="0.2">
      <c r="G188" s="2476" t="s">
        <v>1023</v>
      </c>
      <c r="H188" s="2477"/>
      <c r="I188" s="2477"/>
      <c r="J188" s="1240">
        <f>J184/J203</f>
        <v>4.8210922355052636E-2</v>
      </c>
      <c r="K188" s="1240">
        <f>K184/K203</f>
        <v>3.4225028130986906E-2</v>
      </c>
      <c r="L188" s="1240">
        <f>L184/L203</f>
        <v>0.77649692443576823</v>
      </c>
      <c r="M188" s="1241">
        <f>M184/M203</f>
        <v>5.4156351987381009E-2</v>
      </c>
      <c r="P188" s="306"/>
      <c r="Q188" s="306"/>
      <c r="R188" s="297"/>
      <c r="S188" s="295"/>
      <c r="T188" s="82"/>
    </row>
    <row r="189" spans="2:25" ht="13.5" customHeight="1" x14ac:dyDescent="0.2">
      <c r="G189" s="2469" t="s">
        <v>935</v>
      </c>
      <c r="H189" s="2470"/>
      <c r="I189" s="2470"/>
      <c r="J189" s="1215">
        <f>VLOOKUP(I3,Client_Svcs_LASER,4,FALSE)</f>
        <v>75043.116412817908</v>
      </c>
      <c r="K189" s="1216">
        <f>VLOOKUP(I3,Client_Svcs_LASER,5,FALSE)</f>
        <v>10340.553587182094</v>
      </c>
      <c r="L189" s="1216">
        <f>VLOOKUP(I3,Client_Svcs_LASER,11,FALSE)</f>
        <v>20905.640000000003</v>
      </c>
      <c r="M189" s="1217">
        <f>VLOOKUP(I3,Client_Svcs_LASER,9, FALSE)</f>
        <v>106289.31</v>
      </c>
      <c r="P189" s="306"/>
      <c r="Q189" s="306"/>
      <c r="R189" s="297"/>
      <c r="S189" s="295"/>
      <c r="T189" s="82"/>
    </row>
    <row r="190" spans="2:25" ht="13.5" customHeight="1" x14ac:dyDescent="0.2">
      <c r="G190" s="1210" t="s">
        <v>1027</v>
      </c>
      <c r="H190" s="1209"/>
      <c r="I190" s="1209"/>
      <c r="J190" s="1211">
        <f>J189/M189</f>
        <v>0.70602694111776532</v>
      </c>
      <c r="K190" s="1213">
        <f>K189/M189</f>
        <v>9.7286863440755184E-2</v>
      </c>
      <c r="L190" s="1213">
        <f>L189/M189</f>
        <v>0.19668619544147953</v>
      </c>
      <c r="M190" s="1214">
        <f>M189/M189</f>
        <v>1</v>
      </c>
      <c r="P190" s="306"/>
      <c r="Q190" s="306"/>
      <c r="R190" s="297"/>
      <c r="S190" s="295"/>
      <c r="T190" s="82"/>
    </row>
    <row r="191" spans="2:25" ht="13.5" customHeight="1" x14ac:dyDescent="0.2">
      <c r="G191" s="2467" t="s">
        <v>1024</v>
      </c>
      <c r="H191" s="2468"/>
      <c r="I191" s="2468"/>
      <c r="J191" s="1242">
        <f>J189/J203</f>
        <v>2.0615796769729846E-3</v>
      </c>
      <c r="K191" s="1243">
        <f>K189/K203</f>
        <v>3.9006785930527268E-4</v>
      </c>
      <c r="L191" s="1243">
        <f>L189/L203</f>
        <v>2.0275495837322279E-2</v>
      </c>
      <c r="M191" s="1244">
        <f>M189/M203</f>
        <v>1.662290155524595E-3</v>
      </c>
      <c r="P191" s="305"/>
      <c r="Q191" s="305"/>
      <c r="T191" s="81"/>
      <c r="U191" s="81" t="s">
        <v>1032</v>
      </c>
      <c r="V191" s="81" t="s">
        <v>1031</v>
      </c>
      <c r="W191" s="81" t="s">
        <v>1030</v>
      </c>
      <c r="Y191" s="87"/>
    </row>
    <row r="192" spans="2:25" ht="13.5" customHeight="1" x14ac:dyDescent="0.2">
      <c r="G192" s="2465" t="s">
        <v>1193</v>
      </c>
      <c r="H192" s="2466"/>
      <c r="I192" s="2466"/>
      <c r="J192" s="1237">
        <f>SUM(J193:J200)</f>
        <v>34570825.462885529</v>
      </c>
      <c r="K192" s="1237">
        <f>SUM(K193:K200)</f>
        <v>25591994.044186268</v>
      </c>
      <c r="L192" s="1237">
        <f>SUM(L193:L200)</f>
        <v>209543.71000000002</v>
      </c>
      <c r="M192" s="1238">
        <f>SUM(M193:M200)</f>
        <v>60372363.217071809</v>
      </c>
      <c r="P192" s="305"/>
      <c r="Q192" s="305"/>
      <c r="T192" s="81"/>
      <c r="U192" s="81"/>
      <c r="V192" s="81"/>
      <c r="W192" s="81"/>
      <c r="Y192" s="87"/>
    </row>
    <row r="193" spans="2:25" ht="13.5" customHeight="1" x14ac:dyDescent="0.2">
      <c r="G193" s="2459" t="s">
        <v>1190</v>
      </c>
      <c r="H193" s="2460"/>
      <c r="I193" s="2460"/>
      <c r="J193" s="1194">
        <f>VLOOKUP(I3,Medicaid_FAMIS_LASER,5,FALSE)</f>
        <v>26269640.414785549</v>
      </c>
      <c r="K193" s="1239">
        <f>VLOOKUP(I3,Medicaid_FAMIS_LASER,6,FALSE)</f>
        <v>24712729.032492079</v>
      </c>
      <c r="L193" s="1239">
        <f>VLOOKUP(I3,Medicaid_FAMIS_LASER,7,FALSE)</f>
        <v>60715.69</v>
      </c>
      <c r="M193" s="366">
        <f>VLOOKUP(I3,Medicaid_FAMIS_LASER,4,FALSE)</f>
        <v>51043085.137277633</v>
      </c>
      <c r="P193" s="305"/>
      <c r="Q193" s="305"/>
      <c r="T193" s="81" t="s">
        <v>314</v>
      </c>
      <c r="U193" s="1220">
        <f>J188</f>
        <v>4.8210922355052636E-2</v>
      </c>
      <c r="V193" s="1220">
        <f>J191</f>
        <v>2.0615796769729846E-3</v>
      </c>
      <c r="W193" s="1220">
        <f>J202</f>
        <v>0.94972749796797429</v>
      </c>
      <c r="Y193" s="87"/>
    </row>
    <row r="194" spans="2:25" ht="13.5" customHeight="1" x14ac:dyDescent="0.2">
      <c r="G194" s="2459" t="s">
        <v>318</v>
      </c>
      <c r="H194" s="2460"/>
      <c r="I194" s="2460"/>
      <c r="J194" s="1194">
        <f>VLOOKUP(I3,SNAP_LASER,5,FALSE)</f>
        <v>7122307</v>
      </c>
      <c r="K194" s="1239">
        <v>0</v>
      </c>
      <c r="L194" s="1239">
        <v>0</v>
      </c>
      <c r="M194" s="366">
        <f>VLOOKUP(I3,SNAP_LASER,4,FALSE)</f>
        <v>7122307</v>
      </c>
      <c r="N194" s="78"/>
      <c r="O194" s="83"/>
      <c r="P194" s="83"/>
      <c r="Q194" s="83"/>
      <c r="T194" s="81" t="s">
        <v>315</v>
      </c>
      <c r="U194" s="1220">
        <f>K188</f>
        <v>3.4225028130986906E-2</v>
      </c>
      <c r="V194" s="1220">
        <f>K191</f>
        <v>3.9006785930527268E-4</v>
      </c>
      <c r="W194" s="1220">
        <f>K202</f>
        <v>0.96538490400970778</v>
      </c>
      <c r="Y194" s="87"/>
    </row>
    <row r="195" spans="2:25" ht="13.5" customHeight="1" x14ac:dyDescent="0.2">
      <c r="G195" s="2459" t="s">
        <v>409</v>
      </c>
      <c r="H195" s="2460"/>
      <c r="I195" s="2460"/>
      <c r="J195" s="1194">
        <f>VLOOKUP(I3,TANF_LASER,4,FALSE)</f>
        <v>117175.44696249111</v>
      </c>
      <c r="K195" s="1194">
        <f>VLOOKUP(I3,TANF_LASER,5,FALSE)</f>
        <v>181698.31283167496</v>
      </c>
      <c r="L195" s="1194">
        <f>VLOOKUP(I3,TANF_LASER,9,FALSE)</f>
        <v>0</v>
      </c>
      <c r="M195" s="1245">
        <f>VLOOKUP(I3,TANF_LASER,8,FALSE)</f>
        <v>298873.75979416608</v>
      </c>
      <c r="N195" s="78"/>
      <c r="O195" s="83"/>
      <c r="P195" s="83"/>
      <c r="Q195" s="83"/>
      <c r="T195" s="81" t="s">
        <v>661</v>
      </c>
      <c r="U195" s="1220">
        <f>L188</f>
        <v>0.77649692443576823</v>
      </c>
      <c r="V195" s="1220">
        <f>L191</f>
        <v>2.0275495837322279E-2</v>
      </c>
      <c r="W195" s="1220">
        <f>L202</f>
        <v>0.20322757972690941</v>
      </c>
      <c r="X195" s="81"/>
    </row>
    <row r="196" spans="2:25" ht="13.5" customHeight="1" x14ac:dyDescent="0.2">
      <c r="G196" s="2459" t="s">
        <v>1194</v>
      </c>
      <c r="H196" s="2460"/>
      <c r="I196" s="2460"/>
      <c r="J196" s="1194">
        <f>VLOOKUP(I3,EA_LASER,5,FALSE)</f>
        <v>884689.08</v>
      </c>
      <c r="K196" s="1239">
        <f>VLOOKUP(I3,EA_LASER,7,FALSE)</f>
        <v>0</v>
      </c>
      <c r="L196" s="1239">
        <f>VLOOKUP(I3,EA_LASER,9,FALSE)</f>
        <v>0</v>
      </c>
      <c r="M196" s="366">
        <f>VLOOKUP(I3,EA_LASER,4,FALSE)</f>
        <v>884689.08</v>
      </c>
      <c r="N196" s="78"/>
      <c r="O196" s="83"/>
      <c r="P196" s="83"/>
      <c r="Q196" s="83"/>
      <c r="T196" s="81" t="s">
        <v>281</v>
      </c>
      <c r="U196" s="1220">
        <f>M188</f>
        <v>5.4156351987381009E-2</v>
      </c>
      <c r="V196" s="1220">
        <f>M191</f>
        <v>1.662290155524595E-3</v>
      </c>
      <c r="W196" s="1220">
        <f>M202</f>
        <v>0.94418135785709434</v>
      </c>
      <c r="X196" s="81"/>
    </row>
    <row r="197" spans="2:25" ht="13.5" customHeight="1" x14ac:dyDescent="0.2">
      <c r="G197" s="2459" t="s">
        <v>1195</v>
      </c>
      <c r="H197" s="2460"/>
      <c r="I197" s="2460"/>
      <c r="J197" s="1521">
        <f>VLOOKUP(I3,FC_Adop_LASER,4,FALSE)</f>
        <v>125846.36</v>
      </c>
      <c r="K197" s="1522">
        <f>VLOOKUP(I3,FC_Adop_LASER,5,FALSE)</f>
        <v>194294.26</v>
      </c>
      <c r="L197" s="1524">
        <f>VLOOKUP(I3,FC_Adop_LASER,8,FALSE)</f>
        <v>-0.03</v>
      </c>
      <c r="M197" s="1525">
        <f>VLOOKUP(I3,FC_Adop_LASER,9,FALSE)</f>
        <v>320140.58999999997</v>
      </c>
      <c r="N197" s="78"/>
      <c r="O197" s="83"/>
      <c r="P197" s="83"/>
      <c r="Q197" s="83"/>
      <c r="T197" s="81"/>
      <c r="U197" s="1220"/>
      <c r="V197" s="1220"/>
      <c r="W197" s="1220"/>
      <c r="X197" s="81"/>
    </row>
    <row r="198" spans="2:25" ht="13.5" customHeight="1" x14ac:dyDescent="0.2">
      <c r="G198" s="2461" t="s">
        <v>976</v>
      </c>
      <c r="H198" s="2460"/>
      <c r="I198" s="2462"/>
      <c r="J198" s="1521">
        <f>VLOOKUP(I3,CSA_LASER,4,FALSE)</f>
        <v>0</v>
      </c>
      <c r="K198" s="1522">
        <f>VLOOKUP(I3,CSA_LASER,5,FALSE)</f>
        <v>350208.03</v>
      </c>
      <c r="L198" s="1524">
        <f>VLOOKUP(I3,CSA_LASER,9,FALSE)</f>
        <v>114599.85</v>
      </c>
      <c r="M198" s="1525">
        <f>VLOOKUP(I3,CSA_LASER,8,FALSE)</f>
        <v>464807.88</v>
      </c>
      <c r="N198" s="78"/>
      <c r="O198" s="83"/>
      <c r="P198" s="83"/>
      <c r="Q198" s="83"/>
      <c r="T198" s="81"/>
      <c r="U198" s="1220"/>
      <c r="V198" s="1220"/>
      <c r="W198" s="1220"/>
      <c r="X198" s="81"/>
    </row>
    <row r="199" spans="2:25" ht="13.5" customHeight="1" x14ac:dyDescent="0.2">
      <c r="G199" s="1226" t="s">
        <v>977</v>
      </c>
      <c r="H199" s="1205"/>
      <c r="I199" s="1205"/>
      <c r="J199" s="1194">
        <f>VLOOKUP(I3,ChildCareLASER,9,FALSE)</f>
        <v>52482.051137489638</v>
      </c>
      <c r="K199" s="1194">
        <f>VLOOKUP(I3,ChildCareLASER,10,FALSE)</f>
        <v>17414.948862510359</v>
      </c>
      <c r="L199" s="1239">
        <v>0</v>
      </c>
      <c r="M199" s="366">
        <f>VLOOKUP(I3,ChildCareLASER,8,FALSE)</f>
        <v>69897</v>
      </c>
      <c r="N199" s="78"/>
      <c r="O199" s="83"/>
      <c r="P199" s="83"/>
      <c r="Q199" s="83"/>
      <c r="T199" s="82"/>
      <c r="U199" s="81"/>
      <c r="V199" s="81"/>
      <c r="W199" s="81"/>
      <c r="X199" s="81"/>
    </row>
    <row r="200" spans="2:25" ht="13.5" customHeight="1" x14ac:dyDescent="0.2">
      <c r="G200" s="2459" t="s">
        <v>978</v>
      </c>
      <c r="H200" s="2460"/>
      <c r="I200" s="2460"/>
      <c r="J200" s="1194">
        <f>VLOOKUP(I3,OT_BENE_LASER,4,FALSE)</f>
        <v>-1314.89</v>
      </c>
      <c r="K200" s="1194">
        <f>VLOOKUP(I3,OT_BENE_LASER,5,FALSE)</f>
        <v>135649.46</v>
      </c>
      <c r="L200" s="1194">
        <f>VLOOKUP(I3,OT_BENE_LASER,8,FALSE)</f>
        <v>34228.199999999997</v>
      </c>
      <c r="M200" s="1245">
        <f>VLOOKUP(I3,OT_BENE_LASER,9,FALSE)</f>
        <v>168562.76999999996</v>
      </c>
      <c r="N200" s="78"/>
      <c r="O200" s="83"/>
      <c r="P200" s="83"/>
      <c r="Q200" s="83"/>
      <c r="T200" s="82"/>
      <c r="U200" s="81"/>
      <c r="V200" s="81"/>
      <c r="W200" s="81"/>
      <c r="X200" s="81"/>
    </row>
    <row r="201" spans="2:25" ht="13.5" customHeight="1" x14ac:dyDescent="0.2">
      <c r="G201" s="2471" t="s">
        <v>1028</v>
      </c>
      <c r="H201" s="2472"/>
      <c r="I201" s="2472"/>
      <c r="J201" s="1211">
        <f>J192/M192</f>
        <v>0.57262667254857025</v>
      </c>
      <c r="K201" s="1211">
        <f>K192/M192</f>
        <v>0.42390247259609487</v>
      </c>
      <c r="L201" s="1211">
        <f>L192/M192</f>
        <v>3.4708548553346384E-3</v>
      </c>
      <c r="M201" s="1212">
        <f>M192/M192</f>
        <v>1</v>
      </c>
      <c r="N201" s="78"/>
      <c r="O201" s="83"/>
      <c r="P201" s="83"/>
      <c r="Q201" s="83"/>
      <c r="T201" s="82"/>
      <c r="U201" s="81"/>
      <c r="V201" s="81"/>
      <c r="W201" s="81"/>
      <c r="X201" s="81"/>
    </row>
    <row r="202" spans="2:25" ht="13.5" customHeight="1" x14ac:dyDescent="0.2">
      <c r="G202" s="2476" t="s">
        <v>1025</v>
      </c>
      <c r="H202" s="2477"/>
      <c r="I202" s="2477"/>
      <c r="J202" s="1246">
        <f>J192/J203</f>
        <v>0.94972749796797429</v>
      </c>
      <c r="K202" s="1246">
        <f>K192/K203</f>
        <v>0.96538490400970778</v>
      </c>
      <c r="L202" s="1246">
        <f>L192/L203</f>
        <v>0.20322757972690941</v>
      </c>
      <c r="M202" s="1247">
        <f>M192/M203</f>
        <v>0.94418135785709434</v>
      </c>
      <c r="N202" s="78"/>
      <c r="O202" s="83"/>
      <c r="P202" s="83"/>
      <c r="Q202" s="83"/>
      <c r="T202" s="82"/>
      <c r="U202" s="81"/>
      <c r="V202" s="81"/>
      <c r="W202" s="81"/>
      <c r="X202" s="81"/>
    </row>
    <row r="203" spans="2:25" ht="13.5" customHeight="1" x14ac:dyDescent="0.2">
      <c r="G203" s="2474" t="s">
        <v>1034</v>
      </c>
      <c r="H203" s="2475"/>
      <c r="I203" s="2475"/>
      <c r="J203" s="1218">
        <f>J184+J189+J192</f>
        <v>36400783.947872266</v>
      </c>
      <c r="K203" s="1218">
        <f>K184+K189+K192</f>
        <v>26509627.339199536</v>
      </c>
      <c r="L203" s="1218">
        <f>L184+L189+L192</f>
        <v>1031079.1000000001</v>
      </c>
      <c r="M203" s="1219">
        <f>M184+M189+M192</f>
        <v>63941490.387071811</v>
      </c>
      <c r="N203" s="92"/>
      <c r="O203" s="92"/>
      <c r="P203" s="83"/>
      <c r="Q203" s="83"/>
      <c r="T203" s="82"/>
      <c r="U203" s="81"/>
      <c r="V203" s="81"/>
      <c r="W203" s="81"/>
      <c r="X203" s="81"/>
    </row>
    <row r="204" spans="2:25" ht="13.5" customHeight="1" x14ac:dyDescent="0.2">
      <c r="G204" s="1248" t="s">
        <v>1029</v>
      </c>
      <c r="H204" s="1249"/>
      <c r="I204" s="1250"/>
      <c r="J204" s="1251">
        <f>J203/$M203</f>
        <v>0.56928269465598913</v>
      </c>
      <c r="K204" s="367">
        <f>K203/$M203</f>
        <v>0.41459195240402869</v>
      </c>
      <c r="L204" s="367">
        <f>L203/$M203</f>
        <v>1.6125352939982015E-2</v>
      </c>
      <c r="M204" s="368">
        <f>SUM(J204:L204)</f>
        <v>0.99999999999999978</v>
      </c>
      <c r="N204" s="92"/>
      <c r="O204" s="92"/>
      <c r="Q204" s="83"/>
      <c r="T204" s="82"/>
      <c r="U204" s="81"/>
      <c r="V204" s="81"/>
      <c r="W204" s="81"/>
      <c r="X204" s="81"/>
    </row>
    <row r="205" spans="2:25" ht="13.5" customHeight="1" x14ac:dyDescent="0.2">
      <c r="C205" s="91"/>
      <c r="D205" s="91"/>
      <c r="E205" s="133"/>
      <c r="F205" s="133"/>
      <c r="G205" s="2473" t="s">
        <v>1101</v>
      </c>
      <c r="H205" s="2473"/>
      <c r="I205" s="2473"/>
      <c r="J205" s="2473"/>
      <c r="K205" s="2473"/>
      <c r="L205" s="2473"/>
      <c r="M205" s="2473"/>
      <c r="N205" s="92"/>
      <c r="O205" s="92"/>
      <c r="P205" s="83"/>
      <c r="Q205" s="83"/>
      <c r="T205" s="82"/>
      <c r="U205" s="81"/>
      <c r="V205" s="81"/>
      <c r="W205" s="81"/>
      <c r="X205" s="81"/>
    </row>
    <row r="206" spans="2:25" ht="13.5" customHeight="1" x14ac:dyDescent="0.2">
      <c r="B206" s="2464"/>
      <c r="C206" s="2464"/>
      <c r="D206" s="2464"/>
      <c r="E206" s="2463" t="s">
        <v>1420</v>
      </c>
      <c r="F206" s="2463"/>
      <c r="G206" s="91"/>
      <c r="H206" s="133"/>
      <c r="J206" s="2463" t="s">
        <v>1419</v>
      </c>
      <c r="K206" s="2463"/>
      <c r="N206" s="92"/>
      <c r="O206" s="92"/>
      <c r="P206" s="83"/>
      <c r="Q206" s="83"/>
      <c r="T206" s="82"/>
      <c r="U206" s="81"/>
    </row>
    <row r="207" spans="2:25" ht="13.5" customHeight="1" x14ac:dyDescent="0.2">
      <c r="B207" s="2464"/>
      <c r="C207" s="2464"/>
      <c r="D207" s="2464"/>
      <c r="E207" s="2463"/>
      <c r="F207" s="2463"/>
      <c r="G207" s="91"/>
      <c r="H207" s="133"/>
      <c r="J207" s="2463"/>
      <c r="K207" s="2463"/>
      <c r="N207" s="92"/>
      <c r="O207" s="92"/>
      <c r="P207" s="83"/>
      <c r="Q207" s="83"/>
      <c r="T207" s="82"/>
      <c r="U207" s="81"/>
    </row>
    <row r="208" spans="2:25" ht="13.5" customHeight="1" x14ac:dyDescent="0.2">
      <c r="B208" s="2464"/>
      <c r="C208" s="2464"/>
      <c r="D208" s="2464"/>
      <c r="E208" s="2463"/>
      <c r="F208" s="2463"/>
      <c r="G208" s="91"/>
      <c r="H208" s="133"/>
      <c r="J208" s="2463"/>
      <c r="K208" s="2463"/>
      <c r="N208" s="92"/>
      <c r="O208" s="92"/>
      <c r="P208" s="83"/>
      <c r="Q208" s="83"/>
      <c r="T208" s="82"/>
      <c r="U208" s="81"/>
    </row>
    <row r="209" spans="2:25" ht="13.5" customHeight="1" x14ac:dyDescent="0.2">
      <c r="B209" s="2464"/>
      <c r="C209" s="2464"/>
      <c r="D209" s="2464"/>
      <c r="E209" s="2463"/>
      <c r="F209" s="2463"/>
      <c r="G209" s="91"/>
      <c r="H209" s="133"/>
      <c r="J209" s="2463"/>
      <c r="K209" s="2463"/>
      <c r="N209" s="92"/>
      <c r="O209" s="92"/>
      <c r="P209" s="83"/>
      <c r="Q209" s="83"/>
      <c r="T209" s="82"/>
      <c r="U209" s="81"/>
    </row>
    <row r="210" spans="2:25" ht="13.5" customHeight="1" x14ac:dyDescent="0.2">
      <c r="C210" s="91"/>
      <c r="D210" s="91"/>
      <c r="E210" s="133"/>
      <c r="F210" s="133"/>
      <c r="G210" s="91"/>
      <c r="H210" s="133"/>
      <c r="N210" s="92"/>
      <c r="O210" s="92"/>
      <c r="P210" s="83"/>
      <c r="Q210" s="83"/>
      <c r="T210" s="82"/>
      <c r="U210" s="81"/>
    </row>
    <row r="211" spans="2:25" ht="13.5" customHeight="1" x14ac:dyDescent="0.2">
      <c r="B211" s="2481" t="s">
        <v>1259</v>
      </c>
      <c r="C211" s="2482"/>
      <c r="D211" s="2483"/>
      <c r="E211" s="2530" t="s">
        <v>822</v>
      </c>
      <c r="F211" s="2532" t="s">
        <v>821</v>
      </c>
      <c r="G211" s="2532" t="s">
        <v>304</v>
      </c>
      <c r="H211" s="2534" t="s">
        <v>634</v>
      </c>
      <c r="I211" s="2536" t="s">
        <v>612</v>
      </c>
      <c r="J211" s="2529"/>
      <c r="K211" s="1170"/>
      <c r="L211" s="2479"/>
      <c r="M211" s="2479"/>
      <c r="U211" s="159"/>
    </row>
    <row r="212" spans="2:25" ht="13.5" customHeight="1" x14ac:dyDescent="0.2">
      <c r="B212" s="2484"/>
      <c r="C212" s="2485"/>
      <c r="D212" s="2486"/>
      <c r="E212" s="2531"/>
      <c r="F212" s="2533"/>
      <c r="G212" s="2533"/>
      <c r="H212" s="2535"/>
      <c r="I212" s="2537"/>
      <c r="J212" s="2529"/>
      <c r="K212" s="1170"/>
      <c r="L212" s="2479"/>
      <c r="M212" s="2479"/>
      <c r="U212" s="69"/>
      <c r="V212" s="69"/>
      <c r="W212" s="69"/>
      <c r="X212" s="69"/>
      <c r="Y212" s="69"/>
    </row>
    <row r="213" spans="2:25" ht="13.5" customHeight="1" x14ac:dyDescent="0.2">
      <c r="B213" s="339" t="s">
        <v>728</v>
      </c>
      <c r="C213" s="173"/>
      <c r="D213" s="173"/>
      <c r="E213" s="274">
        <f>VLOOKUP($I$3,Staffing,4,FALSE)</f>
        <v>34</v>
      </c>
      <c r="F213" s="275">
        <f>VLOOKUP($I$3,Staffing,5,FALSE)</f>
        <v>18</v>
      </c>
      <c r="G213" s="275">
        <f>VLOOKUP($I$3,Staffing,6,FALSE)</f>
        <v>0</v>
      </c>
      <c r="H213" s="276">
        <f>E213+F213+G213</f>
        <v>52</v>
      </c>
      <c r="I213" s="340">
        <f>H213/H215</f>
        <v>0.70270270270270274</v>
      </c>
      <c r="J213" s="892"/>
      <c r="K213" s="893"/>
      <c r="L213" s="2480"/>
      <c r="M213" s="2480"/>
      <c r="U213" s="86"/>
      <c r="V213" s="86"/>
      <c r="W213" s="86"/>
      <c r="X213" s="86"/>
      <c r="Y213" s="86"/>
    </row>
    <row r="214" spans="2:25" ht="13.5" customHeight="1" x14ac:dyDescent="0.2">
      <c r="B214" s="339" t="s">
        <v>729</v>
      </c>
      <c r="C214" s="173"/>
      <c r="D214" s="173"/>
      <c r="E214" s="274">
        <f>VLOOKUP($I$3,Staffing,8,FALSE)</f>
        <v>12</v>
      </c>
      <c r="F214" s="275">
        <f>VLOOKUP($I$3,Staffing,9,FALSE)</f>
        <v>8</v>
      </c>
      <c r="G214" s="275">
        <f>VLOOKUP($I$3,Staffing,10,FALSE)</f>
        <v>2</v>
      </c>
      <c r="H214" s="276">
        <f>E214+F214+G214</f>
        <v>22</v>
      </c>
      <c r="I214" s="341">
        <f>H214/H215</f>
        <v>0.29729729729729731</v>
      </c>
      <c r="J214" s="892"/>
      <c r="K214" s="893"/>
      <c r="L214" s="2480"/>
      <c r="M214" s="2480"/>
      <c r="U214" s="86"/>
      <c r="V214" s="86"/>
      <c r="W214" s="86"/>
      <c r="X214" s="86"/>
      <c r="Y214" s="86"/>
    </row>
    <row r="215" spans="2:25" ht="13.5" customHeight="1" x14ac:dyDescent="0.2">
      <c r="B215" s="339" t="s">
        <v>730</v>
      </c>
      <c r="C215" s="173"/>
      <c r="D215" s="173"/>
      <c r="E215" s="274">
        <f>+E214+E213</f>
        <v>46</v>
      </c>
      <c r="F215" s="275">
        <f>+F214+F213</f>
        <v>26</v>
      </c>
      <c r="G215" s="275">
        <f>+G214+G213</f>
        <v>2</v>
      </c>
      <c r="H215" s="276">
        <f>+H214+H213</f>
        <v>74</v>
      </c>
      <c r="I215" s="340">
        <f>H215/H215</f>
        <v>1</v>
      </c>
      <c r="J215" s="892"/>
      <c r="K215" s="893"/>
      <c r="L215" s="2480"/>
      <c r="M215" s="2480"/>
      <c r="U215" s="86"/>
      <c r="V215" s="86"/>
      <c r="W215" s="86"/>
      <c r="X215" s="86"/>
      <c r="Y215" s="86"/>
    </row>
    <row r="216" spans="2:25" ht="13.5" customHeight="1" x14ac:dyDescent="0.2">
      <c r="B216" s="2524" t="s">
        <v>627</v>
      </c>
      <c r="C216" s="2525"/>
      <c r="D216" s="2526"/>
      <c r="E216" s="322">
        <f>IF(E215=0,"NA",(E214/E215))</f>
        <v>0.2608695652173913</v>
      </c>
      <c r="F216" s="323">
        <f>IF(F215=0,"NA",(F214/F215))</f>
        <v>0.30769230769230771</v>
      </c>
      <c r="G216" s="323">
        <f>IF(G215=0,"NA",(G214/G215))</f>
        <v>1</v>
      </c>
      <c r="H216" s="324">
        <f>IF(H215=0,"NA",(H214/H215))</f>
        <v>0.29729729729729731</v>
      </c>
      <c r="I216" s="2527"/>
      <c r="J216" s="894"/>
      <c r="K216" s="895"/>
      <c r="L216" s="2480"/>
      <c r="M216" s="2480"/>
    </row>
    <row r="217" spans="2:25" ht="13.5" customHeight="1" x14ac:dyDescent="0.2">
      <c r="B217" s="2524" t="s">
        <v>628</v>
      </c>
      <c r="C217" s="2525"/>
      <c r="D217" s="2526"/>
      <c r="E217" s="322">
        <f>Staffing!W6</f>
        <v>0.19590433910926536</v>
      </c>
      <c r="F217" s="322">
        <f>Staffing!X6</f>
        <v>0.19571511291256513</v>
      </c>
      <c r="G217" s="322">
        <f>Staffing!Y6</f>
        <v>0.25298804780876494</v>
      </c>
      <c r="H217" s="322">
        <f>Staffing!Z6</f>
        <v>0.19846421062254319</v>
      </c>
      <c r="I217" s="2528"/>
      <c r="J217" s="894"/>
      <c r="K217" s="895"/>
      <c r="L217" s="2480"/>
      <c r="M217" s="2480"/>
      <c r="O217" s="87"/>
      <c r="P217" s="87"/>
      <c r="R217" s="80"/>
    </row>
    <row r="218" spans="2:25" ht="23.25" customHeight="1" x14ac:dyDescent="0.2">
      <c r="B218" s="2487" t="s">
        <v>1260</v>
      </c>
      <c r="C218" s="2487"/>
      <c r="D218" s="2487"/>
      <c r="E218" s="2487"/>
      <c r="F218" s="2487"/>
      <c r="G218" s="2487"/>
      <c r="H218" s="2487"/>
      <c r="I218" s="2487"/>
      <c r="J218" s="2487"/>
      <c r="K218" s="2487"/>
      <c r="L218" s="273"/>
      <c r="O218" s="87"/>
      <c r="P218" s="87"/>
      <c r="R218" s="80"/>
    </row>
    <row r="219" spans="2:25" x14ac:dyDescent="0.2">
      <c r="B219" s="131"/>
      <c r="C219" s="131"/>
      <c r="D219" s="131"/>
      <c r="E219" s="131"/>
      <c r="F219" s="131"/>
      <c r="G219" s="131"/>
      <c r="H219" s="131"/>
      <c r="I219" s="132"/>
      <c r="J219" s="132"/>
      <c r="K219" s="132"/>
      <c r="L219" s="132"/>
      <c r="M219" s="132"/>
      <c r="N219" s="132"/>
      <c r="O219" s="132"/>
    </row>
    <row r="220" spans="2:25" ht="12" customHeight="1" x14ac:dyDescent="0.2">
      <c r="B220" s="2488" t="s">
        <v>1357</v>
      </c>
      <c r="C220" s="2488"/>
      <c r="D220" s="2488"/>
      <c r="E220" s="131"/>
      <c r="F220" s="131"/>
      <c r="G220" s="131"/>
      <c r="H220" s="131"/>
      <c r="I220" s="132"/>
      <c r="J220" s="132"/>
      <c r="K220" s="132"/>
      <c r="L220" s="132"/>
      <c r="M220" s="132"/>
      <c r="N220" s="132"/>
      <c r="O220" s="132"/>
    </row>
    <row r="221" spans="2:25" ht="13.5" customHeight="1" x14ac:dyDescent="0.2">
      <c r="B221" s="1262" t="s">
        <v>1212</v>
      </c>
      <c r="C221" s="163"/>
      <c r="D221" s="163"/>
      <c r="E221" s="163"/>
      <c r="F221" s="163"/>
      <c r="G221" s="163"/>
      <c r="H221" s="163"/>
      <c r="I221" s="163"/>
      <c r="M221" s="1264"/>
      <c r="N221" s="1264"/>
      <c r="Q221" s="74"/>
      <c r="R221" s="74"/>
      <c r="S221" s="74"/>
      <c r="T221" s="74"/>
    </row>
    <row r="222" spans="2:25" ht="13.5" customHeight="1" x14ac:dyDescent="0.2">
      <c r="B222" s="1263" t="s">
        <v>1422</v>
      </c>
      <c r="C222" s="168"/>
      <c r="D222" s="168"/>
      <c r="E222" s="168"/>
      <c r="F222" s="168"/>
      <c r="G222" s="168"/>
      <c r="H222" s="163"/>
      <c r="I222" s="163"/>
      <c r="J222" s="163"/>
      <c r="K222" s="163"/>
      <c r="L222" s="163"/>
      <c r="M222" s="172"/>
      <c r="N222" s="163"/>
      <c r="O222" s="163"/>
      <c r="Q222" s="74"/>
      <c r="R222" s="74"/>
      <c r="S222" s="74"/>
      <c r="T222" s="74"/>
    </row>
    <row r="223" spans="2:25" ht="13.5" customHeight="1" x14ac:dyDescent="0.2">
      <c r="B223" s="90" t="s">
        <v>716</v>
      </c>
      <c r="C223" s="90"/>
      <c r="D223" s="90"/>
    </row>
    <row r="224" spans="2:25" ht="13.5" customHeight="1" x14ac:dyDescent="0.2">
      <c r="B224" s="1261" t="s">
        <v>1423</v>
      </c>
      <c r="C224" s="90"/>
      <c r="D224" s="90"/>
      <c r="E224" s="90"/>
      <c r="F224" s="90"/>
      <c r="G224" s="90"/>
      <c r="H224" s="90"/>
      <c r="I224" s="90"/>
      <c r="J224" s="90"/>
      <c r="K224" s="90"/>
      <c r="L224" s="90"/>
    </row>
    <row r="225" spans="2:15" x14ac:dyDescent="0.2">
      <c r="B225" s="131"/>
      <c r="C225" s="131"/>
      <c r="D225" s="131"/>
      <c r="E225" s="131"/>
      <c r="F225" s="131"/>
      <c r="G225" s="131"/>
      <c r="H225" s="131"/>
      <c r="I225" s="132"/>
      <c r="J225" s="132"/>
      <c r="K225" s="132"/>
      <c r="L225" s="132"/>
      <c r="M225" s="132"/>
      <c r="N225" s="132"/>
      <c r="O225" s="132"/>
    </row>
    <row r="226" spans="2:15" x14ac:dyDescent="0.2">
      <c r="B226" s="70" t="s">
        <v>1418</v>
      </c>
      <c r="C226" s="70"/>
      <c r="D226" s="70"/>
      <c r="E226" s="70"/>
      <c r="F226" s="70"/>
      <c r="G226" s="70"/>
      <c r="H226" s="70"/>
      <c r="I226" s="67"/>
      <c r="J226" s="67"/>
      <c r="K226" s="67"/>
      <c r="L226" s="67"/>
      <c r="M226" s="67"/>
    </row>
    <row r="227" spans="2:15" x14ac:dyDescent="0.2">
      <c r="B227" s="66" t="s">
        <v>565</v>
      </c>
      <c r="I227" s="67"/>
      <c r="J227" s="67"/>
      <c r="K227" s="67"/>
      <c r="L227" s="67"/>
      <c r="M227" s="67"/>
    </row>
    <row r="228" spans="2:15" s="133" customFormat="1" ht="24.75" customHeight="1" x14ac:dyDescent="0.2">
      <c r="B228" s="2478" t="s">
        <v>1309</v>
      </c>
      <c r="C228" s="2478"/>
      <c r="D228" s="2478"/>
      <c r="E228" s="2478"/>
      <c r="F228" s="2478"/>
      <c r="G228" s="2478"/>
      <c r="H228" s="2478"/>
      <c r="I228" s="2478"/>
      <c r="J228" s="2478"/>
      <c r="K228" s="2478"/>
      <c r="L228" s="2478"/>
      <c r="M228" s="2478"/>
      <c r="N228" s="2478"/>
      <c r="O228" s="84"/>
    </row>
    <row r="229" spans="2:15" ht="12" customHeight="1" x14ac:dyDescent="0.2">
      <c r="B229" s="2478" t="s">
        <v>1310</v>
      </c>
      <c r="C229" s="2478"/>
      <c r="D229" s="2478"/>
      <c r="E229" s="2478"/>
      <c r="F229" s="2478"/>
      <c r="G229" s="2478"/>
      <c r="H229" s="2478"/>
      <c r="I229" s="2478"/>
      <c r="J229" s="2478"/>
      <c r="K229" s="2478"/>
      <c r="L229" s="2478"/>
      <c r="M229" s="2478"/>
      <c r="N229" s="2478"/>
      <c r="O229" s="84"/>
    </row>
    <row r="230" spans="2:15" ht="63" customHeight="1" x14ac:dyDescent="0.2">
      <c r="B230" s="2538" t="s">
        <v>1311</v>
      </c>
      <c r="C230" s="2538"/>
      <c r="D230" s="2538"/>
      <c r="E230" s="2538"/>
      <c r="F230" s="2538"/>
      <c r="G230" s="2538"/>
      <c r="H230" s="2538"/>
      <c r="I230" s="2538"/>
      <c r="J230" s="2538"/>
      <c r="K230" s="2538"/>
      <c r="L230" s="2538"/>
      <c r="M230" s="2538"/>
      <c r="N230" s="2538"/>
      <c r="O230" s="1192"/>
    </row>
    <row r="231" spans="2:15" ht="25.5" customHeight="1" x14ac:dyDescent="0.2">
      <c r="B231" s="2478" t="s">
        <v>1192</v>
      </c>
      <c r="C231" s="2478"/>
      <c r="D231" s="2478"/>
      <c r="E231" s="2478"/>
      <c r="F231" s="2478"/>
      <c r="G231" s="2478"/>
      <c r="H231" s="2478"/>
      <c r="I231" s="2478"/>
      <c r="J231" s="2478"/>
      <c r="K231" s="2478"/>
      <c r="L231" s="2478"/>
      <c r="M231" s="2478"/>
      <c r="N231" s="2478"/>
      <c r="O231" s="1192"/>
    </row>
    <row r="232" spans="2:15" x14ac:dyDescent="0.2">
      <c r="B232" s="133" t="s">
        <v>1312</v>
      </c>
      <c r="C232" s="1192"/>
      <c r="D232" s="1192"/>
      <c r="E232" s="1192"/>
      <c r="F232" s="1192"/>
      <c r="G232" s="1192"/>
      <c r="H232" s="1192"/>
      <c r="I232" s="1192"/>
      <c r="J232" s="1192"/>
      <c r="K232" s="1192"/>
      <c r="L232" s="1192"/>
      <c r="M232" s="1192"/>
      <c r="N232" s="1192"/>
      <c r="O232" s="1192"/>
    </row>
    <row r="233" spans="2:15" ht="25.5" customHeight="1" x14ac:dyDescent="0.2">
      <c r="B233" s="2478" t="s">
        <v>1313</v>
      </c>
      <c r="C233" s="2478"/>
      <c r="D233" s="2478"/>
      <c r="E233" s="2478"/>
      <c r="F233" s="2478"/>
      <c r="G233" s="2478"/>
      <c r="H233" s="2478"/>
      <c r="I233" s="2478"/>
      <c r="J233" s="2478"/>
      <c r="K233" s="2478"/>
      <c r="L233" s="2478"/>
      <c r="M233" s="2478"/>
      <c r="N233" s="2478"/>
      <c r="O233" s="84"/>
    </row>
    <row r="234" spans="2:15" x14ac:dyDescent="0.2">
      <c r="B234" s="133" t="s">
        <v>1196</v>
      </c>
      <c r="C234" s="1196"/>
      <c r="D234" s="1196"/>
      <c r="E234" s="1196"/>
      <c r="F234" s="1196"/>
      <c r="G234" s="1196"/>
      <c r="H234" s="1196"/>
      <c r="I234" s="1196"/>
      <c r="J234" s="1196"/>
      <c r="K234" s="1196"/>
      <c r="L234" s="1196"/>
      <c r="M234" s="1196"/>
      <c r="N234" s="1196"/>
      <c r="O234" s="1196"/>
    </row>
    <row r="235" spans="2:15" x14ac:dyDescent="0.2">
      <c r="B235" s="133" t="s">
        <v>1197</v>
      </c>
      <c r="C235" s="1201"/>
      <c r="D235" s="1201"/>
      <c r="E235" s="1201"/>
      <c r="F235" s="1201"/>
      <c r="G235" s="1201"/>
      <c r="H235" s="1201"/>
      <c r="I235" s="1201"/>
      <c r="J235" s="1201"/>
      <c r="K235" s="1201"/>
      <c r="L235" s="1201"/>
      <c r="M235" s="1201"/>
      <c r="N235" s="1201"/>
      <c r="O235" s="1201"/>
    </row>
    <row r="236" spans="2:15" ht="24" customHeight="1" x14ac:dyDescent="0.2">
      <c r="B236" s="2539" t="s">
        <v>1191</v>
      </c>
      <c r="C236" s="2539"/>
      <c r="D236" s="2539"/>
      <c r="E236" s="2539"/>
      <c r="F236" s="2539"/>
      <c r="G236" s="2539"/>
      <c r="H236" s="2539"/>
      <c r="I236" s="2539"/>
      <c r="J236" s="2539"/>
      <c r="K236" s="2539"/>
      <c r="L236" s="2539"/>
      <c r="M236" s="2539"/>
      <c r="N236" s="2539"/>
    </row>
    <row r="237" spans="2:15" x14ac:dyDescent="0.2">
      <c r="B237" s="70"/>
      <c r="C237" s="70"/>
      <c r="D237" s="70"/>
      <c r="E237" s="70"/>
      <c r="F237" s="70"/>
      <c r="G237" s="70"/>
      <c r="H237" s="70"/>
      <c r="I237" s="67"/>
      <c r="J237" s="67"/>
      <c r="K237" s="67"/>
      <c r="L237" s="67"/>
      <c r="M237" s="67"/>
    </row>
    <row r="242" spans="2:15" ht="12.75" customHeight="1" x14ac:dyDescent="0.2">
      <c r="B242" s="258"/>
      <c r="C242" s="258"/>
      <c r="D242" s="258"/>
      <c r="E242" s="258"/>
      <c r="F242" s="258"/>
      <c r="G242" s="258"/>
      <c r="H242" s="258"/>
      <c r="I242" s="258"/>
      <c r="J242" s="258"/>
      <c r="K242" s="258"/>
      <c r="L242" s="260"/>
      <c r="M242" s="260"/>
      <c r="N242" s="260"/>
    </row>
    <row r="243" spans="2:15" ht="12.75" customHeight="1" x14ac:dyDescent="0.2">
      <c r="B243" s="257"/>
      <c r="C243" s="257"/>
      <c r="D243" s="257"/>
      <c r="E243" s="257"/>
      <c r="F243" s="257"/>
      <c r="G243" s="257"/>
      <c r="H243" s="257"/>
      <c r="I243" s="258"/>
      <c r="J243" s="258"/>
      <c r="K243" s="258"/>
      <c r="L243" s="130"/>
      <c r="M243" s="130"/>
      <c r="N243" s="130"/>
    </row>
    <row r="244" spans="2:15" x14ac:dyDescent="0.2">
      <c r="B244" s="258"/>
      <c r="C244" s="258"/>
      <c r="D244" s="257"/>
      <c r="E244" s="257"/>
      <c r="F244" s="257"/>
      <c r="G244" s="257"/>
      <c r="H244" s="257"/>
      <c r="I244" s="258"/>
      <c r="J244" s="257"/>
      <c r="K244" s="257"/>
      <c r="L244" s="257"/>
      <c r="M244" s="257"/>
      <c r="N244" s="257"/>
      <c r="O244" s="257"/>
    </row>
    <row r="245" spans="2:15" x14ac:dyDescent="0.2">
      <c r="B245" s="68"/>
      <c r="L245" s="73"/>
      <c r="M245" s="73"/>
      <c r="N245" s="88"/>
      <c r="O245" s="88"/>
    </row>
    <row r="246" spans="2:15" x14ac:dyDescent="0.2">
      <c r="B246" s="73"/>
      <c r="C246" s="73"/>
      <c r="D246" s="73"/>
      <c r="E246" s="73"/>
      <c r="F246" s="73"/>
      <c r="G246" s="73"/>
      <c r="H246" s="73"/>
      <c r="I246" s="89"/>
      <c r="J246" s="88"/>
      <c r="K246" s="88"/>
      <c r="L246" s="73"/>
      <c r="M246" s="73"/>
      <c r="N246" s="88"/>
      <c r="O246" s="88"/>
    </row>
    <row r="247" spans="2:15" x14ac:dyDescent="0.2">
      <c r="B247" s="73"/>
      <c r="C247" s="73"/>
      <c r="D247" s="73"/>
      <c r="E247" s="73"/>
      <c r="F247" s="73"/>
      <c r="G247" s="73"/>
      <c r="H247" s="73"/>
      <c r="I247" s="89"/>
      <c r="J247" s="88"/>
      <c r="K247" s="88"/>
      <c r="L247" s="73"/>
      <c r="M247" s="73"/>
      <c r="N247" s="88"/>
      <c r="O247" s="88"/>
    </row>
    <row r="248" spans="2:15" x14ac:dyDescent="0.2">
      <c r="B248" s="73"/>
      <c r="C248" s="73"/>
      <c r="D248" s="73"/>
      <c r="E248" s="73"/>
      <c r="F248" s="73"/>
      <c r="G248" s="73"/>
      <c r="H248" s="73"/>
      <c r="I248" s="89"/>
      <c r="J248" s="88"/>
      <c r="K248" s="88"/>
      <c r="L248" s="73"/>
      <c r="M248" s="73"/>
      <c r="N248" s="88"/>
      <c r="O248" s="88"/>
    </row>
    <row r="249" spans="2:15" x14ac:dyDescent="0.2">
      <c r="B249" s="73"/>
      <c r="C249" s="73"/>
      <c r="D249" s="73"/>
      <c r="E249" s="73"/>
      <c r="F249" s="73"/>
      <c r="G249" s="73"/>
      <c r="H249" s="73"/>
      <c r="I249" s="89"/>
      <c r="J249" s="88"/>
      <c r="K249" s="88"/>
      <c r="L249" s="73"/>
      <c r="M249" s="73"/>
      <c r="N249" s="88"/>
      <c r="O249" s="88"/>
    </row>
    <row r="250" spans="2:15" x14ac:dyDescent="0.2">
      <c r="B250" s="73"/>
      <c r="C250" s="73"/>
      <c r="D250" s="73"/>
      <c r="E250" s="73"/>
      <c r="F250" s="73"/>
      <c r="G250" s="73"/>
      <c r="H250" s="73"/>
      <c r="I250" s="89"/>
      <c r="J250" s="88"/>
      <c r="K250" s="88"/>
      <c r="L250" s="73"/>
      <c r="M250" s="73"/>
      <c r="N250" s="88"/>
      <c r="O250" s="88"/>
    </row>
    <row r="251" spans="2:15" x14ac:dyDescent="0.2">
      <c r="B251" s="73"/>
      <c r="C251" s="73"/>
      <c r="D251" s="73"/>
      <c r="E251" s="73"/>
      <c r="F251" s="73"/>
      <c r="G251" s="73"/>
      <c r="H251" s="73"/>
      <c r="I251" s="89"/>
      <c r="J251" s="88"/>
      <c r="K251" s="88"/>
      <c r="L251" s="73"/>
      <c r="M251" s="73"/>
      <c r="N251" s="88"/>
      <c r="O251" s="88"/>
    </row>
    <row r="252" spans="2:15" x14ac:dyDescent="0.2">
      <c r="B252" s="73"/>
      <c r="C252" s="73"/>
      <c r="D252" s="73"/>
      <c r="E252" s="73"/>
      <c r="F252" s="73"/>
      <c r="G252" s="73"/>
      <c r="H252" s="73"/>
      <c r="I252" s="89"/>
      <c r="J252" s="88"/>
      <c r="K252" s="88"/>
      <c r="L252" s="73"/>
      <c r="M252" s="73"/>
      <c r="N252" s="88"/>
      <c r="O252" s="88"/>
    </row>
    <row r="253" spans="2:15" x14ac:dyDescent="0.2">
      <c r="B253" s="73"/>
      <c r="C253" s="73"/>
      <c r="D253" s="73"/>
      <c r="E253" s="73"/>
      <c r="F253" s="73"/>
      <c r="G253" s="73"/>
      <c r="H253" s="73"/>
      <c r="I253" s="89"/>
      <c r="J253" s="88"/>
      <c r="K253" s="88"/>
      <c r="L253" s="73"/>
      <c r="M253" s="73"/>
      <c r="N253" s="88"/>
      <c r="O253" s="88"/>
    </row>
    <row r="254" spans="2:15" x14ac:dyDescent="0.2">
      <c r="B254" s="73"/>
      <c r="C254" s="73"/>
      <c r="D254" s="73"/>
      <c r="E254" s="73"/>
      <c r="F254" s="73"/>
      <c r="G254" s="73"/>
      <c r="H254" s="73"/>
      <c r="I254" s="89"/>
      <c r="J254" s="88"/>
      <c r="K254" s="88"/>
      <c r="L254" s="73"/>
      <c r="M254" s="73"/>
      <c r="N254" s="88"/>
      <c r="O254" s="88"/>
    </row>
    <row r="255" spans="2:15" x14ac:dyDescent="0.2">
      <c r="B255" s="73"/>
      <c r="C255" s="73"/>
      <c r="D255" s="73"/>
      <c r="E255" s="73"/>
      <c r="F255" s="73"/>
      <c r="G255" s="73"/>
      <c r="H255" s="73"/>
      <c r="I255" s="89"/>
      <c r="J255" s="88"/>
      <c r="K255" s="88"/>
      <c r="L255" s="73"/>
      <c r="M255" s="73"/>
      <c r="N255" s="88"/>
      <c r="O255" s="88"/>
    </row>
    <row r="256" spans="2:15" x14ac:dyDescent="0.2">
      <c r="B256" s="73"/>
      <c r="C256" s="73"/>
      <c r="D256" s="73"/>
      <c r="E256" s="73"/>
      <c r="F256" s="73"/>
      <c r="G256" s="73"/>
      <c r="H256" s="73"/>
      <c r="I256" s="89"/>
      <c r="J256" s="88"/>
      <c r="K256" s="88"/>
    </row>
    <row r="260" spans="2:25" x14ac:dyDescent="0.2">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row>
    <row r="261" spans="2:25" x14ac:dyDescent="0.2">
      <c r="B261" s="78"/>
      <c r="C261" s="78"/>
      <c r="D261" s="78"/>
      <c r="E261" s="78"/>
      <c r="F261" s="78"/>
      <c r="G261" s="78"/>
      <c r="H261" s="78"/>
      <c r="I261" s="78"/>
      <c r="J261" s="78"/>
      <c r="K261" s="78"/>
      <c r="L261" s="78"/>
      <c r="M261" s="78"/>
      <c r="N261" s="78"/>
      <c r="O261" s="78"/>
      <c r="P261" s="78"/>
      <c r="Q261" s="78"/>
      <c r="R261" s="78"/>
      <c r="S261" s="2523"/>
      <c r="T261" s="2523"/>
      <c r="U261" s="2523"/>
      <c r="V261" s="2523"/>
      <c r="W261" s="2523"/>
      <c r="X261" s="2523"/>
      <c r="Y261" s="2523"/>
    </row>
    <row r="262" spans="2:25" x14ac:dyDescent="0.2">
      <c r="B262" s="78"/>
      <c r="C262" s="78"/>
      <c r="D262" s="78"/>
      <c r="E262" s="78"/>
      <c r="F262" s="78"/>
      <c r="G262" s="78"/>
      <c r="H262" s="78"/>
      <c r="I262" s="78"/>
      <c r="J262" s="78"/>
      <c r="K262" s="78"/>
      <c r="L262" s="78"/>
      <c r="M262" s="78"/>
      <c r="N262" s="78"/>
      <c r="O262" s="78"/>
      <c r="P262" s="78"/>
      <c r="Q262" s="78"/>
      <c r="R262" s="78"/>
      <c r="S262" s="2523"/>
      <c r="T262" s="2523"/>
      <c r="U262" s="2523"/>
      <c r="V262" s="129"/>
      <c r="W262" s="2523"/>
      <c r="X262" s="2523"/>
      <c r="Y262" s="2523"/>
    </row>
    <row r="263" spans="2:25" x14ac:dyDescent="0.2">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row>
    <row r="264" spans="2:25" x14ac:dyDescent="0.2">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row>
    <row r="265" spans="2:25" x14ac:dyDescent="0.2">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row>
    <row r="266" spans="2:25" x14ac:dyDescent="0.2">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row>
    <row r="267" spans="2:25" x14ac:dyDescent="0.2">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row>
    <row r="268" spans="2:25" x14ac:dyDescent="0.2">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row>
    <row r="269" spans="2:25" x14ac:dyDescent="0.2">
      <c r="B269" s="78"/>
      <c r="C269" s="78"/>
      <c r="D269" s="78"/>
      <c r="E269" s="78"/>
      <c r="F269" s="78"/>
      <c r="G269" s="78"/>
      <c r="H269" s="78"/>
      <c r="I269" s="78"/>
      <c r="J269" s="78"/>
      <c r="K269" s="78"/>
      <c r="L269" s="78"/>
      <c r="M269" s="78"/>
      <c r="N269" s="78"/>
      <c r="O269" s="78"/>
      <c r="P269" s="78"/>
      <c r="Q269" s="78"/>
      <c r="R269" s="78"/>
      <c r="S269" s="78"/>
      <c r="T269" s="78"/>
      <c r="U269" s="78"/>
      <c r="V269" s="78"/>
      <c r="W269" s="83"/>
      <c r="X269" s="83"/>
      <c r="Y269" s="83"/>
    </row>
    <row r="270" spans="2:25" x14ac:dyDescent="0.2">
      <c r="B270" s="78"/>
      <c r="C270" s="78"/>
      <c r="D270" s="78"/>
      <c r="E270" s="78"/>
      <c r="F270" s="78"/>
      <c r="G270" s="78"/>
      <c r="H270" s="78"/>
      <c r="I270" s="78"/>
      <c r="J270" s="78"/>
      <c r="K270" s="78"/>
      <c r="L270" s="78"/>
      <c r="M270" s="78"/>
      <c r="N270" s="78"/>
      <c r="O270" s="78"/>
      <c r="P270" s="78"/>
      <c r="Q270" s="78"/>
      <c r="R270" s="78"/>
      <c r="S270" s="78"/>
      <c r="T270" s="78"/>
      <c r="U270" s="78"/>
      <c r="V270" s="78"/>
      <c r="W270" s="83"/>
      <c r="X270" s="83"/>
      <c r="Y270" s="83"/>
    </row>
    <row r="271" spans="2:25" x14ac:dyDescent="0.2">
      <c r="B271" s="78"/>
      <c r="C271" s="78"/>
      <c r="D271" s="78"/>
      <c r="E271" s="78"/>
      <c r="F271" s="78"/>
      <c r="G271" s="78"/>
      <c r="H271" s="78"/>
      <c r="I271" s="78"/>
      <c r="J271" s="78"/>
      <c r="K271" s="78"/>
      <c r="L271" s="78"/>
      <c r="M271" s="78"/>
      <c r="N271" s="78"/>
      <c r="O271" s="78"/>
      <c r="P271" s="78"/>
      <c r="Q271" s="78"/>
      <c r="R271" s="78"/>
      <c r="S271" s="78"/>
      <c r="T271" s="78"/>
      <c r="U271" s="78"/>
      <c r="V271" s="78"/>
      <c r="W271" s="83"/>
      <c r="X271" s="83"/>
      <c r="Y271" s="83"/>
    </row>
    <row r="272" spans="2:25" x14ac:dyDescent="0.2">
      <c r="N272" s="78"/>
    </row>
    <row r="273" spans="9:25" x14ac:dyDescent="0.2">
      <c r="I273" s="84"/>
      <c r="J273" s="84"/>
      <c r="K273" s="84"/>
      <c r="L273" s="84"/>
      <c r="M273" s="84"/>
      <c r="N273" s="84"/>
      <c r="O273" s="84"/>
      <c r="P273" s="84"/>
      <c r="Q273" s="84"/>
      <c r="R273" s="84"/>
      <c r="S273" s="84"/>
      <c r="T273" s="84"/>
      <c r="U273" s="84"/>
      <c r="V273" s="84"/>
      <c r="W273" s="84"/>
      <c r="X273" s="84"/>
      <c r="Y273" s="84"/>
    </row>
  </sheetData>
  <mergeCells count="167">
    <mergeCell ref="B119:C119"/>
    <mergeCell ref="B121:C121"/>
    <mergeCell ref="B155:C155"/>
    <mergeCell ref="B174:D175"/>
    <mergeCell ref="B113:C115"/>
    <mergeCell ref="B154:C154"/>
    <mergeCell ref="B167:D168"/>
    <mergeCell ref="B158:C158"/>
    <mergeCell ref="J167:N167"/>
    <mergeCell ref="F167:I167"/>
    <mergeCell ref="B172:N173"/>
    <mergeCell ref="B171:D171"/>
    <mergeCell ref="B170:D170"/>
    <mergeCell ref="B163:C165"/>
    <mergeCell ref="E163:F165"/>
    <mergeCell ref="H163:I165"/>
    <mergeCell ref="J163:J165"/>
    <mergeCell ref="D163:D165"/>
    <mergeCell ref="G163:G165"/>
    <mergeCell ref="B166:K166"/>
    <mergeCell ref="B162:K162"/>
    <mergeCell ref="E167:E168"/>
    <mergeCell ref="B122:J124"/>
    <mergeCell ref="L178:N178"/>
    <mergeCell ref="B148:C150"/>
    <mergeCell ref="D138:G138"/>
    <mergeCell ref="B144:C144"/>
    <mergeCell ref="M138:M139"/>
    <mergeCell ref="G158:I158"/>
    <mergeCell ref="B152:C152"/>
    <mergeCell ref="B153:C153"/>
    <mergeCell ref="B169:D169"/>
    <mergeCell ref="B178:D179"/>
    <mergeCell ref="B176:D176"/>
    <mergeCell ref="F178:I178"/>
    <mergeCell ref="B157:C157"/>
    <mergeCell ref="K148:K150"/>
    <mergeCell ref="G148:J148"/>
    <mergeCell ref="J149:J150"/>
    <mergeCell ref="B159:K161"/>
    <mergeCell ref="B151:C151"/>
    <mergeCell ref="E174:E175"/>
    <mergeCell ref="B11:C11"/>
    <mergeCell ref="B12:C12"/>
    <mergeCell ref="J10:M12"/>
    <mergeCell ref="J178:K178"/>
    <mergeCell ref="G149:G150"/>
    <mergeCell ref="H113:H115"/>
    <mergeCell ref="B62:N62"/>
    <mergeCell ref="B55:B57"/>
    <mergeCell ref="H149:H150"/>
    <mergeCell ref="K174:N174"/>
    <mergeCell ref="F174:J174"/>
    <mergeCell ref="L113:M115"/>
    <mergeCell ref="B138:C139"/>
    <mergeCell ref="L116:M123"/>
    <mergeCell ref="I149:I150"/>
    <mergeCell ref="D113:G113"/>
    <mergeCell ref="D148:F148"/>
    <mergeCell ref="D149:D150"/>
    <mergeCell ref="E149:E150"/>
    <mergeCell ref="F149:F150"/>
    <mergeCell ref="B146:M147"/>
    <mergeCell ref="G40:H41"/>
    <mergeCell ref="B156:C156"/>
    <mergeCell ref="B22:G24"/>
    <mergeCell ref="B1:N1"/>
    <mergeCell ref="D3:G3"/>
    <mergeCell ref="B5:C5"/>
    <mergeCell ref="F5:G5"/>
    <mergeCell ref="B3:C3"/>
    <mergeCell ref="J16:M18"/>
    <mergeCell ref="J19:M21"/>
    <mergeCell ref="I13:I15"/>
    <mergeCell ref="J5:K5"/>
    <mergeCell ref="B15:C15"/>
    <mergeCell ref="B16:C16"/>
    <mergeCell ref="I16:I18"/>
    <mergeCell ref="I19:I21"/>
    <mergeCell ref="B7:C9"/>
    <mergeCell ref="F7:F8"/>
    <mergeCell ref="D7:E8"/>
    <mergeCell ref="B21:C21"/>
    <mergeCell ref="B18:C18"/>
    <mergeCell ref="B17:C17"/>
    <mergeCell ref="J13:M15"/>
    <mergeCell ref="G7:G8"/>
    <mergeCell ref="B19:C19"/>
    <mergeCell ref="M5:N6"/>
    <mergeCell ref="B20:C20"/>
    <mergeCell ref="J22:M23"/>
    <mergeCell ref="C25:D26"/>
    <mergeCell ref="E25:F26"/>
    <mergeCell ref="G25:H26"/>
    <mergeCell ref="E40:E41"/>
    <mergeCell ref="F40:F41"/>
    <mergeCell ref="B40:B42"/>
    <mergeCell ref="C40:D41"/>
    <mergeCell ref="L57:N61"/>
    <mergeCell ref="B54:F54"/>
    <mergeCell ref="C56:D56"/>
    <mergeCell ref="C55:F55"/>
    <mergeCell ref="G56:H56"/>
    <mergeCell ref="G55:J55"/>
    <mergeCell ref="M55:M56"/>
    <mergeCell ref="B116:C116"/>
    <mergeCell ref="B117:C117"/>
    <mergeCell ref="B118:C118"/>
    <mergeCell ref="B120:C120"/>
    <mergeCell ref="B25:B27"/>
    <mergeCell ref="J138:L138"/>
    <mergeCell ref="H138:I138"/>
    <mergeCell ref="W262:Y262"/>
    <mergeCell ref="S261:Y261"/>
    <mergeCell ref="S262:U262"/>
    <mergeCell ref="B216:D216"/>
    <mergeCell ref="B217:D217"/>
    <mergeCell ref="I216:I217"/>
    <mergeCell ref="J211:J212"/>
    <mergeCell ref="E211:E212"/>
    <mergeCell ref="F211:F212"/>
    <mergeCell ref="G211:G212"/>
    <mergeCell ref="H211:H212"/>
    <mergeCell ref="I211:I212"/>
    <mergeCell ref="B230:N230"/>
    <mergeCell ref="B233:N233"/>
    <mergeCell ref="B229:N229"/>
    <mergeCell ref="B228:N228"/>
    <mergeCell ref="B236:N236"/>
    <mergeCell ref="B231:N231"/>
    <mergeCell ref="L211:M212"/>
    <mergeCell ref="L213:M217"/>
    <mergeCell ref="B211:D212"/>
    <mergeCell ref="B218:K218"/>
    <mergeCell ref="B220:D220"/>
    <mergeCell ref="G184:I184"/>
    <mergeCell ref="B177:N177"/>
    <mergeCell ref="K182:K183"/>
    <mergeCell ref="L182:L183"/>
    <mergeCell ref="G188:I188"/>
    <mergeCell ref="E178:E179"/>
    <mergeCell ref="G182:I182"/>
    <mergeCell ref="G186:I186"/>
    <mergeCell ref="G185:I185"/>
    <mergeCell ref="M182:M183"/>
    <mergeCell ref="G183:I183"/>
    <mergeCell ref="B180:D180"/>
    <mergeCell ref="J182:J183"/>
    <mergeCell ref="B181:M181"/>
    <mergeCell ref="G200:I200"/>
    <mergeCell ref="G196:I196"/>
    <mergeCell ref="G187:I187"/>
    <mergeCell ref="G194:I194"/>
    <mergeCell ref="G195:I195"/>
    <mergeCell ref="G197:I197"/>
    <mergeCell ref="G198:I198"/>
    <mergeCell ref="J206:K209"/>
    <mergeCell ref="B206:D209"/>
    <mergeCell ref="G192:I192"/>
    <mergeCell ref="E206:F209"/>
    <mergeCell ref="G191:I191"/>
    <mergeCell ref="G189:I189"/>
    <mergeCell ref="G201:I201"/>
    <mergeCell ref="G205:M205"/>
    <mergeCell ref="G203:I203"/>
    <mergeCell ref="G202:I202"/>
    <mergeCell ref="G193:I193"/>
  </mergeCells>
  <dataValidations count="1">
    <dataValidation type="list" allowBlank="1" showInputMessage="1" showErrorMessage="1" sqref="D3">
      <formula1>Locality</formula1>
    </dataValidation>
  </dataValidations>
  <printOptions horizontalCentered="1"/>
  <pageMargins left="0.25" right="0.25" top="0.5" bottom="0.5" header="0.3" footer="0.3"/>
  <pageSetup scale="99" orientation="landscape" r:id="rId1"/>
  <headerFooter>
    <oddFooter>&amp;L&amp;"Cambria,Regular"&amp;9Compiled by the VDSS Office of Research and Planning.  For more information, contact Gail.Jennings@dss.virginia.gov.&amp;R&amp;"Cambria,Regular"&amp;9&amp;P of &amp;N</oddFooter>
  </headerFooter>
  <rowBreaks count="4" manualBreakCount="4">
    <brk id="39" max="16383" man="1"/>
    <brk id="111" min="1" max="13" man="1"/>
    <brk id="147" min="1" max="13" man="1"/>
    <brk id="181"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C126"/>
  <sheetViews>
    <sheetView workbookViewId="0">
      <selection activeCell="C16" sqref="C16"/>
    </sheetView>
  </sheetViews>
  <sheetFormatPr defaultRowHeight="12.75" x14ac:dyDescent="0.2"/>
  <cols>
    <col min="1" max="1" width="9" style="857"/>
    <col min="2" max="2" width="30.375" style="870" customWidth="1"/>
    <col min="3" max="42" width="9" style="857"/>
    <col min="43" max="43" width="2.125" style="857" customWidth="1"/>
    <col min="44" max="46" width="9" style="857"/>
    <col min="47" max="47" width="2.5" style="857" customWidth="1"/>
    <col min="48" max="50" width="12" style="858" customWidth="1"/>
    <col min="51" max="51" width="2.875" style="857" customWidth="1"/>
    <col min="52" max="54" width="9.875" style="857" bestFit="1" customWidth="1"/>
    <col min="55" max="55" width="14.375" style="857" customWidth="1"/>
    <col min="56" max="16384" width="9" style="857"/>
  </cols>
  <sheetData>
    <row r="1" spans="1:55" ht="12" customHeight="1" x14ac:dyDescent="0.2">
      <c r="A1" s="862" t="s">
        <v>793</v>
      </c>
      <c r="B1" s="867"/>
    </row>
    <row r="2" spans="1:55" ht="12" customHeight="1" x14ac:dyDescent="0.2">
      <c r="A2" s="862" t="s">
        <v>794</v>
      </c>
      <c r="B2" s="867"/>
    </row>
    <row r="3" spans="1:55" ht="12" customHeight="1" x14ac:dyDescent="0.2">
      <c r="B3" s="868" t="s">
        <v>795</v>
      </c>
      <c r="AZ3" s="2715" t="s">
        <v>796</v>
      </c>
      <c r="BA3" s="2715"/>
      <c r="BB3" s="2715"/>
    </row>
    <row r="4" spans="1:55" ht="12" customHeight="1" x14ac:dyDescent="0.2">
      <c r="B4" s="869"/>
      <c r="C4" s="2714" t="s">
        <v>797</v>
      </c>
      <c r="D4" s="2714"/>
      <c r="E4" s="2714"/>
      <c r="F4" s="2714" t="s">
        <v>798</v>
      </c>
      <c r="G4" s="2714"/>
      <c r="H4" s="2714"/>
      <c r="I4" s="2716" t="s">
        <v>799</v>
      </c>
      <c r="J4" s="2714"/>
      <c r="K4" s="2714"/>
      <c r="L4" s="2716" t="s">
        <v>800</v>
      </c>
      <c r="M4" s="2714"/>
      <c r="N4" s="2714"/>
      <c r="O4" s="2716" t="s">
        <v>801</v>
      </c>
      <c r="P4" s="2714"/>
      <c r="Q4" s="2714"/>
      <c r="R4" s="2716" t="s">
        <v>802</v>
      </c>
      <c r="S4" s="2714"/>
      <c r="T4" s="2714"/>
      <c r="U4" s="2716" t="s">
        <v>803</v>
      </c>
      <c r="V4" s="2714"/>
      <c r="W4" s="2714"/>
      <c r="X4" s="2716" t="s">
        <v>804</v>
      </c>
      <c r="Y4" s="2714"/>
      <c r="Z4" s="2714"/>
      <c r="AA4" s="2716" t="s">
        <v>805</v>
      </c>
      <c r="AB4" s="2714"/>
      <c r="AC4" s="2714"/>
      <c r="AD4" s="2716" t="s">
        <v>806</v>
      </c>
      <c r="AE4" s="2714"/>
      <c r="AF4" s="2714"/>
      <c r="AG4" s="876"/>
      <c r="AH4" s="2714" t="s">
        <v>618</v>
      </c>
      <c r="AI4" s="2714"/>
      <c r="AJ4" s="2714"/>
      <c r="AK4" s="2714" t="s">
        <v>718</v>
      </c>
      <c r="AL4" s="2714"/>
      <c r="AM4" s="2714"/>
      <c r="AN4" s="2714" t="s">
        <v>778</v>
      </c>
      <c r="AO4" s="2714"/>
      <c r="AP4" s="2714"/>
      <c r="AQ4" s="876"/>
      <c r="AR4" s="877" t="s">
        <v>7</v>
      </c>
      <c r="AS4" s="877" t="s">
        <v>6</v>
      </c>
      <c r="AT4" s="877" t="s">
        <v>722</v>
      </c>
      <c r="AU4" s="876"/>
      <c r="AV4" s="878" t="s">
        <v>7</v>
      </c>
      <c r="AW4" s="878" t="s">
        <v>6</v>
      </c>
      <c r="AX4" s="878" t="s">
        <v>722</v>
      </c>
      <c r="AY4" s="876"/>
      <c r="AZ4" s="877" t="s">
        <v>7</v>
      </c>
      <c r="BA4" s="877" t="s">
        <v>6</v>
      </c>
      <c r="BB4" s="877" t="s">
        <v>722</v>
      </c>
      <c r="BC4" s="871" t="s">
        <v>812</v>
      </c>
    </row>
    <row r="5" spans="1:55" ht="12" customHeight="1" x14ac:dyDescent="0.2">
      <c r="A5" s="873" t="s">
        <v>4</v>
      </c>
      <c r="B5" s="874" t="s">
        <v>5</v>
      </c>
      <c r="C5" s="875" t="s">
        <v>807</v>
      </c>
      <c r="D5" s="875" t="s">
        <v>808</v>
      </c>
      <c r="E5" s="875" t="s">
        <v>281</v>
      </c>
      <c r="F5" s="875" t="s">
        <v>807</v>
      </c>
      <c r="G5" s="875" t="s">
        <v>808</v>
      </c>
      <c r="H5" s="875" t="s">
        <v>281</v>
      </c>
      <c r="I5" s="875" t="s">
        <v>807</v>
      </c>
      <c r="J5" s="875" t="s">
        <v>808</v>
      </c>
      <c r="K5" s="875" t="s">
        <v>281</v>
      </c>
      <c r="L5" s="875" t="s">
        <v>807</v>
      </c>
      <c r="M5" s="875" t="s">
        <v>808</v>
      </c>
      <c r="N5" s="875" t="s">
        <v>281</v>
      </c>
      <c r="O5" s="875" t="s">
        <v>807</v>
      </c>
      <c r="P5" s="875" t="s">
        <v>808</v>
      </c>
      <c r="Q5" s="875" t="s">
        <v>281</v>
      </c>
      <c r="R5" s="875" t="s">
        <v>807</v>
      </c>
      <c r="S5" s="875" t="s">
        <v>808</v>
      </c>
      <c r="T5" s="875" t="s">
        <v>281</v>
      </c>
      <c r="U5" s="875" t="s">
        <v>807</v>
      </c>
      <c r="V5" s="875" t="s">
        <v>808</v>
      </c>
      <c r="W5" s="875" t="s">
        <v>281</v>
      </c>
      <c r="X5" s="875" t="s">
        <v>807</v>
      </c>
      <c r="Y5" s="875" t="s">
        <v>808</v>
      </c>
      <c r="Z5" s="875" t="s">
        <v>281</v>
      </c>
      <c r="AA5" s="875" t="s">
        <v>807</v>
      </c>
      <c r="AB5" s="875" t="s">
        <v>808</v>
      </c>
      <c r="AC5" s="875" t="s">
        <v>281</v>
      </c>
      <c r="AD5" s="875" t="s">
        <v>807</v>
      </c>
      <c r="AE5" s="875" t="s">
        <v>808</v>
      </c>
      <c r="AF5" s="875" t="s">
        <v>281</v>
      </c>
      <c r="AH5" s="855" t="s">
        <v>807</v>
      </c>
      <c r="AI5" s="855" t="s">
        <v>808</v>
      </c>
      <c r="AJ5" s="855" t="s">
        <v>281</v>
      </c>
      <c r="AK5" s="855" t="s">
        <v>807</v>
      </c>
      <c r="AL5" s="855" t="s">
        <v>808</v>
      </c>
      <c r="AM5" s="855" t="s">
        <v>281</v>
      </c>
      <c r="AN5" s="855" t="s">
        <v>807</v>
      </c>
      <c r="AO5" s="855" t="s">
        <v>808</v>
      </c>
      <c r="AP5" s="855" t="s">
        <v>281</v>
      </c>
      <c r="AR5" s="855" t="s">
        <v>809</v>
      </c>
      <c r="AS5" s="855" t="s">
        <v>809</v>
      </c>
      <c r="AT5" s="855" t="s">
        <v>809</v>
      </c>
      <c r="AV5" s="856" t="s">
        <v>810</v>
      </c>
      <c r="AW5" s="856" t="s">
        <v>810</v>
      </c>
      <c r="AX5" s="856" t="s">
        <v>810</v>
      </c>
      <c r="AZ5" s="855" t="s">
        <v>809</v>
      </c>
      <c r="BA5" s="855" t="s">
        <v>809</v>
      </c>
      <c r="BB5" s="855" t="s">
        <v>809</v>
      </c>
    </row>
    <row r="6" spans="1:55" ht="12" customHeight="1" x14ac:dyDescent="0.2">
      <c r="A6" s="881">
        <v>999</v>
      </c>
      <c r="B6" s="882" t="s">
        <v>811</v>
      </c>
      <c r="C6" s="879">
        <v>125317</v>
      </c>
      <c r="D6" s="872">
        <v>474351</v>
      </c>
      <c r="E6" s="872">
        <v>599668</v>
      </c>
      <c r="F6" s="872">
        <v>109777</v>
      </c>
      <c r="G6" s="872">
        <v>488763</v>
      </c>
      <c r="H6" s="872">
        <v>598540</v>
      </c>
      <c r="I6" s="872">
        <v>100011</v>
      </c>
      <c r="J6" s="872">
        <v>519188</v>
      </c>
      <c r="K6" s="872">
        <v>619199</v>
      </c>
      <c r="L6" s="872">
        <v>172606</v>
      </c>
      <c r="M6" s="872">
        <v>509335</v>
      </c>
      <c r="N6" s="872">
        <v>681941</v>
      </c>
      <c r="O6" s="872">
        <v>139803</v>
      </c>
      <c r="P6" s="872">
        <v>900533</v>
      </c>
      <c r="Q6" s="872">
        <v>1040336</v>
      </c>
      <c r="R6" s="872">
        <v>116509</v>
      </c>
      <c r="S6" s="872">
        <v>990782</v>
      </c>
      <c r="T6" s="872">
        <v>1107291</v>
      </c>
      <c r="U6" s="872">
        <v>113684</v>
      </c>
      <c r="V6" s="872">
        <v>1067688</v>
      </c>
      <c r="W6" s="872">
        <v>1181372</v>
      </c>
      <c r="X6" s="872">
        <v>86625</v>
      </c>
      <c r="Y6" s="872">
        <v>838307</v>
      </c>
      <c r="Z6" s="872">
        <v>924932</v>
      </c>
      <c r="AA6" s="872">
        <v>54846</v>
      </c>
      <c r="AB6" s="872">
        <v>473761</v>
      </c>
      <c r="AC6" s="872">
        <v>528607</v>
      </c>
      <c r="AD6" s="872">
        <v>64094</v>
      </c>
      <c r="AE6" s="872">
        <v>335413</v>
      </c>
      <c r="AF6" s="872">
        <v>399507</v>
      </c>
      <c r="AH6" s="859">
        <f t="shared" ref="AH6:AH37" si="0">C6+F6+I6</f>
        <v>335105</v>
      </c>
      <c r="AI6" s="859">
        <f t="shared" ref="AI6:AI37" si="1">D6+G6+J6</f>
        <v>1482302</v>
      </c>
      <c r="AJ6" s="859">
        <f t="shared" ref="AJ6:AJ37" si="2">E6+H6+K6</f>
        <v>1817407</v>
      </c>
      <c r="AK6" s="859">
        <f t="shared" ref="AK6:AK37" si="3">L6+O6+R6+U6+X6</f>
        <v>629227</v>
      </c>
      <c r="AL6" s="859">
        <f t="shared" ref="AL6:AL37" si="4">M6+P6+S6+V6+Y6</f>
        <v>4306645</v>
      </c>
      <c r="AM6" s="859">
        <f t="shared" ref="AM6:AM37" si="5">N6+Q6+T6+W6+Z6</f>
        <v>4935872</v>
      </c>
      <c r="AN6" s="859">
        <f t="shared" ref="AN6:AN37" si="6">AA6+AD6</f>
        <v>118940</v>
      </c>
      <c r="AO6" s="859">
        <f t="shared" ref="AO6:AO37" si="7">AB6+AE6</f>
        <v>809174</v>
      </c>
      <c r="AP6" s="859">
        <f t="shared" ref="AP6:AP37" si="8">AC6+AF6</f>
        <v>928114</v>
      </c>
      <c r="AR6" s="860">
        <f t="shared" ref="AR6:AR37" si="9">AH6/AJ6</f>
        <v>0.18438632623292417</v>
      </c>
      <c r="AS6" s="860">
        <f t="shared" ref="AS6:AS37" si="10">AK6/AM6</f>
        <v>0.12748041278217911</v>
      </c>
      <c r="AT6" s="860">
        <f t="shared" ref="AT6:AT37" si="11">AN6/AP6</f>
        <v>0.12815236059363397</v>
      </c>
      <c r="AV6" s="861">
        <v>1853546</v>
      </c>
      <c r="AW6" s="861">
        <v>5231995</v>
      </c>
      <c r="AX6" s="861">
        <v>1011063</v>
      </c>
      <c r="AZ6" s="861">
        <f t="shared" ref="AZ6:AZ37" si="12">AR6*AV6</f>
        <v>341768.53744373168</v>
      </c>
      <c r="BA6" s="861">
        <f t="shared" ref="BA6:BA37" si="13">AS6*AW6</f>
        <v>666976.88227429718</v>
      </c>
      <c r="BB6" s="861">
        <f t="shared" ref="BB6:BB37" si="14">AT6*AX6</f>
        <v>129570.11015888135</v>
      </c>
      <c r="BC6" s="884">
        <f>SUM(AZ6:BB6)</f>
        <v>1138315.5298769102</v>
      </c>
    </row>
    <row r="7" spans="1:55" s="863" customFormat="1" ht="12" customHeight="1" x14ac:dyDescent="0.2">
      <c r="A7" s="863" t="s">
        <v>10</v>
      </c>
      <c r="B7" s="867" t="s">
        <v>450</v>
      </c>
      <c r="C7" s="880">
        <v>1259</v>
      </c>
      <c r="D7" s="864">
        <v>1135</v>
      </c>
      <c r="E7" s="864">
        <v>2394</v>
      </c>
      <c r="F7" s="864">
        <v>716</v>
      </c>
      <c r="G7" s="864">
        <v>1777</v>
      </c>
      <c r="H7" s="864">
        <v>2493</v>
      </c>
      <c r="I7" s="864">
        <v>496</v>
      </c>
      <c r="J7" s="864">
        <v>1833</v>
      </c>
      <c r="K7" s="864">
        <v>2329</v>
      </c>
      <c r="L7" s="864">
        <v>783</v>
      </c>
      <c r="M7" s="864">
        <v>1677</v>
      </c>
      <c r="N7" s="864">
        <v>2460</v>
      </c>
      <c r="O7" s="864">
        <v>806</v>
      </c>
      <c r="P7" s="864">
        <v>2617</v>
      </c>
      <c r="Q7" s="864">
        <v>3423</v>
      </c>
      <c r="R7" s="864">
        <v>623</v>
      </c>
      <c r="S7" s="864">
        <v>3263</v>
      </c>
      <c r="T7" s="864">
        <v>3886</v>
      </c>
      <c r="U7" s="864">
        <v>1058</v>
      </c>
      <c r="V7" s="864">
        <v>4232</v>
      </c>
      <c r="W7" s="864">
        <v>5290</v>
      </c>
      <c r="X7" s="864">
        <v>1083</v>
      </c>
      <c r="Y7" s="864">
        <v>3810</v>
      </c>
      <c r="Z7" s="864">
        <v>4893</v>
      </c>
      <c r="AA7" s="864">
        <v>497</v>
      </c>
      <c r="AB7" s="864">
        <v>2921</v>
      </c>
      <c r="AC7" s="864">
        <v>3418</v>
      </c>
      <c r="AD7" s="864">
        <v>913</v>
      </c>
      <c r="AE7" s="864">
        <v>1739</v>
      </c>
      <c r="AF7" s="864">
        <v>2652</v>
      </c>
      <c r="AH7" s="864">
        <f t="shared" si="0"/>
        <v>2471</v>
      </c>
      <c r="AI7" s="864">
        <f t="shared" si="1"/>
        <v>4745</v>
      </c>
      <c r="AJ7" s="864">
        <f t="shared" si="2"/>
        <v>7216</v>
      </c>
      <c r="AK7" s="864">
        <f t="shared" si="3"/>
        <v>4353</v>
      </c>
      <c r="AL7" s="864">
        <f t="shared" si="4"/>
        <v>15599</v>
      </c>
      <c r="AM7" s="864">
        <f t="shared" si="5"/>
        <v>19952</v>
      </c>
      <c r="AN7" s="864">
        <f t="shared" si="6"/>
        <v>1410</v>
      </c>
      <c r="AO7" s="864">
        <f t="shared" si="7"/>
        <v>4660</v>
      </c>
      <c r="AP7" s="864">
        <f t="shared" si="8"/>
        <v>6070</v>
      </c>
      <c r="AR7" s="865">
        <f t="shared" si="9"/>
        <v>0.34243348115299332</v>
      </c>
      <c r="AS7" s="865">
        <f t="shared" si="10"/>
        <v>0.21817361668003207</v>
      </c>
      <c r="AT7" s="865">
        <f t="shared" si="11"/>
        <v>0.23228995057660626</v>
      </c>
      <c r="AV7" s="866">
        <v>7036</v>
      </c>
      <c r="AW7" s="866">
        <v>19832</v>
      </c>
      <c r="AX7" s="866">
        <v>6468</v>
      </c>
      <c r="AZ7" s="866">
        <f t="shared" si="12"/>
        <v>2409.3619733924611</v>
      </c>
      <c r="BA7" s="866">
        <f t="shared" si="13"/>
        <v>4326.8191659983959</v>
      </c>
      <c r="BB7" s="866">
        <f t="shared" si="14"/>
        <v>1502.4514003294894</v>
      </c>
      <c r="BC7" s="883">
        <f t="shared" ref="BC7:BC70" si="15">SUM(AZ7:BB7)</f>
        <v>8238.6325397203473</v>
      </c>
    </row>
    <row r="8" spans="1:55" s="863" customFormat="1" ht="12" customHeight="1" x14ac:dyDescent="0.2">
      <c r="A8" s="863" t="s">
        <v>12</v>
      </c>
      <c r="B8" s="867" t="s">
        <v>451</v>
      </c>
      <c r="C8" s="880">
        <v>1302</v>
      </c>
      <c r="D8" s="864">
        <v>5120</v>
      </c>
      <c r="E8" s="864">
        <v>6422</v>
      </c>
      <c r="F8" s="864">
        <v>913</v>
      </c>
      <c r="G8" s="864">
        <v>6447</v>
      </c>
      <c r="H8" s="864">
        <v>7360</v>
      </c>
      <c r="I8" s="864">
        <v>1165</v>
      </c>
      <c r="J8" s="864">
        <v>6249</v>
      </c>
      <c r="K8" s="864">
        <v>7414</v>
      </c>
      <c r="L8" s="864">
        <v>2216</v>
      </c>
      <c r="M8" s="864">
        <v>5933</v>
      </c>
      <c r="N8" s="864">
        <v>8149</v>
      </c>
      <c r="O8" s="864">
        <v>1867</v>
      </c>
      <c r="P8" s="864">
        <v>9965</v>
      </c>
      <c r="Q8" s="864">
        <v>11832</v>
      </c>
      <c r="R8" s="864">
        <v>1068</v>
      </c>
      <c r="S8" s="864">
        <v>11128</v>
      </c>
      <c r="T8" s="864">
        <v>12196</v>
      </c>
      <c r="U8" s="864">
        <v>1150</v>
      </c>
      <c r="V8" s="864">
        <v>13176</v>
      </c>
      <c r="W8" s="864">
        <v>14326</v>
      </c>
      <c r="X8" s="864">
        <v>961</v>
      </c>
      <c r="Y8" s="864">
        <v>11026</v>
      </c>
      <c r="Z8" s="864">
        <v>11987</v>
      </c>
      <c r="AA8" s="864">
        <v>440</v>
      </c>
      <c r="AB8" s="864">
        <v>6378</v>
      </c>
      <c r="AC8" s="864">
        <v>6818</v>
      </c>
      <c r="AD8" s="864">
        <v>779</v>
      </c>
      <c r="AE8" s="864">
        <v>5574</v>
      </c>
      <c r="AF8" s="864">
        <v>6353</v>
      </c>
      <c r="AH8" s="864">
        <f t="shared" si="0"/>
        <v>3380</v>
      </c>
      <c r="AI8" s="864">
        <f t="shared" si="1"/>
        <v>17816</v>
      </c>
      <c r="AJ8" s="864">
        <f t="shared" si="2"/>
        <v>21196</v>
      </c>
      <c r="AK8" s="864">
        <f t="shared" si="3"/>
        <v>7262</v>
      </c>
      <c r="AL8" s="864">
        <f t="shared" si="4"/>
        <v>51228</v>
      </c>
      <c r="AM8" s="864">
        <f t="shared" si="5"/>
        <v>58490</v>
      </c>
      <c r="AN8" s="864">
        <f t="shared" si="6"/>
        <v>1219</v>
      </c>
      <c r="AO8" s="864">
        <f t="shared" si="7"/>
        <v>11952</v>
      </c>
      <c r="AP8" s="864">
        <f t="shared" si="8"/>
        <v>13171</v>
      </c>
      <c r="AR8" s="865">
        <f t="shared" si="9"/>
        <v>0.1594640498207209</v>
      </c>
      <c r="AS8" s="865">
        <f t="shared" si="10"/>
        <v>0.1241579757223457</v>
      </c>
      <c r="AT8" s="865">
        <f t="shared" si="11"/>
        <v>9.2551818388884668E-2</v>
      </c>
      <c r="AV8" s="866">
        <v>21443</v>
      </c>
      <c r="AW8" s="866">
        <v>64549</v>
      </c>
      <c r="AX8" s="866">
        <v>14561</v>
      </c>
      <c r="AZ8" s="866">
        <f t="shared" si="12"/>
        <v>3419.3876203057184</v>
      </c>
      <c r="BA8" s="866">
        <f t="shared" si="13"/>
        <v>8014.273174901693</v>
      </c>
      <c r="BB8" s="866">
        <f t="shared" si="14"/>
        <v>1347.6470275605498</v>
      </c>
      <c r="BC8" s="883">
        <f t="shared" si="15"/>
        <v>12781.307822767962</v>
      </c>
    </row>
    <row r="9" spans="1:55" s="863" customFormat="1" ht="12" customHeight="1" x14ac:dyDescent="0.2">
      <c r="A9" s="863" t="s">
        <v>16</v>
      </c>
      <c r="B9" s="867" t="s">
        <v>739</v>
      </c>
      <c r="C9" s="880">
        <v>369</v>
      </c>
      <c r="D9" s="864">
        <v>895</v>
      </c>
      <c r="E9" s="864">
        <v>1264</v>
      </c>
      <c r="F9" s="864">
        <v>481</v>
      </c>
      <c r="G9" s="864">
        <v>1061</v>
      </c>
      <c r="H9" s="864">
        <v>1542</v>
      </c>
      <c r="I9" s="864">
        <v>356</v>
      </c>
      <c r="J9" s="864">
        <v>1536</v>
      </c>
      <c r="K9" s="864">
        <v>1892</v>
      </c>
      <c r="L9" s="864">
        <v>387</v>
      </c>
      <c r="M9" s="864">
        <v>1292</v>
      </c>
      <c r="N9" s="864">
        <v>1679</v>
      </c>
      <c r="O9" s="864">
        <v>422</v>
      </c>
      <c r="P9" s="864">
        <v>1329</v>
      </c>
      <c r="Q9" s="864">
        <v>1751</v>
      </c>
      <c r="R9" s="864">
        <v>325</v>
      </c>
      <c r="S9" s="864">
        <v>2656</v>
      </c>
      <c r="T9" s="864">
        <v>2981</v>
      </c>
      <c r="U9" s="864">
        <v>513</v>
      </c>
      <c r="V9" s="864">
        <v>2898</v>
      </c>
      <c r="W9" s="864">
        <v>3411</v>
      </c>
      <c r="X9" s="864">
        <v>526</v>
      </c>
      <c r="Y9" s="864">
        <v>2680</v>
      </c>
      <c r="Z9" s="864">
        <v>3206</v>
      </c>
      <c r="AA9" s="864">
        <v>218</v>
      </c>
      <c r="AB9" s="864">
        <v>2173</v>
      </c>
      <c r="AC9" s="864">
        <v>2391</v>
      </c>
      <c r="AD9" s="864">
        <v>361</v>
      </c>
      <c r="AE9" s="864">
        <v>1439</v>
      </c>
      <c r="AF9" s="864">
        <v>1800</v>
      </c>
      <c r="AH9" s="864">
        <f t="shared" si="0"/>
        <v>1206</v>
      </c>
      <c r="AI9" s="864">
        <f t="shared" si="1"/>
        <v>3492</v>
      </c>
      <c r="AJ9" s="864">
        <f t="shared" si="2"/>
        <v>4698</v>
      </c>
      <c r="AK9" s="864">
        <f t="shared" si="3"/>
        <v>2173</v>
      </c>
      <c r="AL9" s="864">
        <f t="shared" si="4"/>
        <v>10855</v>
      </c>
      <c r="AM9" s="864">
        <f t="shared" si="5"/>
        <v>13028</v>
      </c>
      <c r="AN9" s="864">
        <f t="shared" si="6"/>
        <v>579</v>
      </c>
      <c r="AO9" s="864">
        <f t="shared" si="7"/>
        <v>3612</v>
      </c>
      <c r="AP9" s="864">
        <f t="shared" si="8"/>
        <v>4191</v>
      </c>
      <c r="AR9" s="865">
        <f t="shared" si="9"/>
        <v>0.25670498084291188</v>
      </c>
      <c r="AS9" s="865">
        <f t="shared" si="10"/>
        <v>0.16679459625422169</v>
      </c>
      <c r="AT9" s="865">
        <f t="shared" si="11"/>
        <v>0.13815318539727989</v>
      </c>
      <c r="AV9" s="866">
        <v>3385</v>
      </c>
      <c r="AW9" s="866">
        <v>9456</v>
      </c>
      <c r="AX9" s="866">
        <v>3334</v>
      </c>
      <c r="AZ9" s="866">
        <f t="shared" si="12"/>
        <v>868.94636015325671</v>
      </c>
      <c r="BA9" s="866">
        <f t="shared" si="13"/>
        <v>1577.2097021799202</v>
      </c>
      <c r="BB9" s="866">
        <f t="shared" si="14"/>
        <v>460.60272011453117</v>
      </c>
      <c r="BC9" s="883">
        <f t="shared" si="15"/>
        <v>2906.7587824477082</v>
      </c>
    </row>
    <row r="10" spans="1:55" s="863" customFormat="1" ht="12" customHeight="1" x14ac:dyDescent="0.2">
      <c r="A10" s="863" t="s">
        <v>18</v>
      </c>
      <c r="B10" s="867" t="s">
        <v>452</v>
      </c>
      <c r="C10" s="880">
        <v>317</v>
      </c>
      <c r="D10" s="864">
        <v>635</v>
      </c>
      <c r="E10" s="864">
        <v>952</v>
      </c>
      <c r="F10" s="864">
        <v>171</v>
      </c>
      <c r="G10" s="864">
        <v>787</v>
      </c>
      <c r="H10" s="864">
        <v>958</v>
      </c>
      <c r="I10" s="864">
        <v>216</v>
      </c>
      <c r="J10" s="864">
        <v>714</v>
      </c>
      <c r="K10" s="864">
        <v>930</v>
      </c>
      <c r="L10" s="864">
        <v>129</v>
      </c>
      <c r="M10" s="864">
        <v>812</v>
      </c>
      <c r="N10" s="864">
        <v>941</v>
      </c>
      <c r="O10" s="864">
        <v>509</v>
      </c>
      <c r="P10" s="864">
        <v>763</v>
      </c>
      <c r="Q10" s="864">
        <v>1272</v>
      </c>
      <c r="R10" s="864">
        <v>124</v>
      </c>
      <c r="S10" s="864">
        <v>1615</v>
      </c>
      <c r="T10" s="864">
        <v>1739</v>
      </c>
      <c r="U10" s="864">
        <v>333</v>
      </c>
      <c r="V10" s="864">
        <v>1782</v>
      </c>
      <c r="W10" s="864">
        <v>2115</v>
      </c>
      <c r="X10" s="864">
        <v>283</v>
      </c>
      <c r="Y10" s="864">
        <v>1329</v>
      </c>
      <c r="Z10" s="864">
        <v>1612</v>
      </c>
      <c r="AA10" s="864">
        <v>230</v>
      </c>
      <c r="AB10" s="864">
        <v>1029</v>
      </c>
      <c r="AC10" s="864">
        <v>1259</v>
      </c>
      <c r="AD10" s="864">
        <v>134</v>
      </c>
      <c r="AE10" s="864">
        <v>615</v>
      </c>
      <c r="AF10" s="864">
        <v>749</v>
      </c>
      <c r="AH10" s="864">
        <f t="shared" si="0"/>
        <v>704</v>
      </c>
      <c r="AI10" s="864">
        <f t="shared" si="1"/>
        <v>2136</v>
      </c>
      <c r="AJ10" s="864">
        <f t="shared" si="2"/>
        <v>2840</v>
      </c>
      <c r="AK10" s="864">
        <f t="shared" si="3"/>
        <v>1378</v>
      </c>
      <c r="AL10" s="864">
        <f t="shared" si="4"/>
        <v>6301</v>
      </c>
      <c r="AM10" s="864">
        <f t="shared" si="5"/>
        <v>7679</v>
      </c>
      <c r="AN10" s="864">
        <f t="shared" si="6"/>
        <v>364</v>
      </c>
      <c r="AO10" s="864">
        <f t="shared" si="7"/>
        <v>1644</v>
      </c>
      <c r="AP10" s="864">
        <f t="shared" si="8"/>
        <v>2008</v>
      </c>
      <c r="AR10" s="865">
        <f t="shared" si="9"/>
        <v>0.24788732394366197</v>
      </c>
      <c r="AS10" s="865">
        <f t="shared" si="10"/>
        <v>0.17945044927724965</v>
      </c>
      <c r="AT10" s="865">
        <f t="shared" si="11"/>
        <v>0.18127490039840638</v>
      </c>
      <c r="AV10" s="866">
        <v>2782</v>
      </c>
      <c r="AW10" s="866">
        <v>7949</v>
      </c>
      <c r="AX10" s="866">
        <v>2074</v>
      </c>
      <c r="AZ10" s="866">
        <f t="shared" si="12"/>
        <v>689.62253521126763</v>
      </c>
      <c r="BA10" s="866">
        <f t="shared" si="13"/>
        <v>1426.4516213048576</v>
      </c>
      <c r="BB10" s="866">
        <f t="shared" si="14"/>
        <v>375.96414342629481</v>
      </c>
      <c r="BC10" s="883">
        <f t="shared" si="15"/>
        <v>2492.0382999424201</v>
      </c>
    </row>
    <row r="11" spans="1:55" s="863" customFormat="1" ht="12" customHeight="1" x14ac:dyDescent="0.2">
      <c r="A11" s="863" t="s">
        <v>20</v>
      </c>
      <c r="B11" s="867" t="s">
        <v>453</v>
      </c>
      <c r="C11" s="880">
        <v>499</v>
      </c>
      <c r="D11" s="864">
        <v>1423</v>
      </c>
      <c r="E11" s="864">
        <v>1922</v>
      </c>
      <c r="F11" s="864">
        <v>452</v>
      </c>
      <c r="G11" s="864">
        <v>1514</v>
      </c>
      <c r="H11" s="864">
        <v>1966</v>
      </c>
      <c r="I11" s="864">
        <v>424</v>
      </c>
      <c r="J11" s="864">
        <v>2181</v>
      </c>
      <c r="K11" s="864">
        <v>2605</v>
      </c>
      <c r="L11" s="864">
        <v>585</v>
      </c>
      <c r="M11" s="864">
        <v>1914</v>
      </c>
      <c r="N11" s="864">
        <v>2499</v>
      </c>
      <c r="O11" s="864">
        <v>480</v>
      </c>
      <c r="P11" s="864">
        <v>2687</v>
      </c>
      <c r="Q11" s="864">
        <v>3167</v>
      </c>
      <c r="R11" s="864">
        <v>670</v>
      </c>
      <c r="S11" s="864">
        <v>3409</v>
      </c>
      <c r="T11" s="864">
        <v>4079</v>
      </c>
      <c r="U11" s="864">
        <v>695</v>
      </c>
      <c r="V11" s="864">
        <v>4317</v>
      </c>
      <c r="W11" s="864">
        <v>5012</v>
      </c>
      <c r="X11" s="864">
        <v>485</v>
      </c>
      <c r="Y11" s="864">
        <v>3869</v>
      </c>
      <c r="Z11" s="864">
        <v>4354</v>
      </c>
      <c r="AA11" s="864">
        <v>399</v>
      </c>
      <c r="AB11" s="864">
        <v>2737</v>
      </c>
      <c r="AC11" s="864">
        <v>3136</v>
      </c>
      <c r="AD11" s="864">
        <v>491</v>
      </c>
      <c r="AE11" s="864">
        <v>1822</v>
      </c>
      <c r="AF11" s="864">
        <v>2313</v>
      </c>
      <c r="AH11" s="864">
        <f t="shared" si="0"/>
        <v>1375</v>
      </c>
      <c r="AI11" s="864">
        <f t="shared" si="1"/>
        <v>5118</v>
      </c>
      <c r="AJ11" s="864">
        <f t="shared" si="2"/>
        <v>6493</v>
      </c>
      <c r="AK11" s="864">
        <f t="shared" si="3"/>
        <v>2915</v>
      </c>
      <c r="AL11" s="864">
        <f t="shared" si="4"/>
        <v>16196</v>
      </c>
      <c r="AM11" s="864">
        <f t="shared" si="5"/>
        <v>19111</v>
      </c>
      <c r="AN11" s="864">
        <f t="shared" si="6"/>
        <v>890</v>
      </c>
      <c r="AO11" s="864">
        <f t="shared" si="7"/>
        <v>4559</v>
      </c>
      <c r="AP11" s="864">
        <f t="shared" si="8"/>
        <v>5449</v>
      </c>
      <c r="AR11" s="865">
        <f t="shared" si="9"/>
        <v>0.21176651778838748</v>
      </c>
      <c r="AS11" s="865">
        <f t="shared" si="10"/>
        <v>0.15252995656951493</v>
      </c>
      <c r="AT11" s="865">
        <f t="shared" si="11"/>
        <v>0.16333272160029363</v>
      </c>
      <c r="AV11" s="866">
        <v>6688</v>
      </c>
      <c r="AW11" s="866">
        <v>19942</v>
      </c>
      <c r="AX11" s="866">
        <v>5537</v>
      </c>
      <c r="AZ11" s="866">
        <f t="shared" si="12"/>
        <v>1416.2944709687354</v>
      </c>
      <c r="BA11" s="866">
        <f t="shared" si="13"/>
        <v>3041.7523939092666</v>
      </c>
      <c r="BB11" s="866">
        <f t="shared" si="14"/>
        <v>904.3732795008259</v>
      </c>
      <c r="BC11" s="883">
        <f t="shared" si="15"/>
        <v>5362.4201443788279</v>
      </c>
    </row>
    <row r="12" spans="1:55" s="863" customFormat="1" ht="12" customHeight="1" x14ac:dyDescent="0.2">
      <c r="A12" s="863" t="s">
        <v>22</v>
      </c>
      <c r="B12" s="867" t="s">
        <v>454</v>
      </c>
      <c r="C12" s="880">
        <v>272</v>
      </c>
      <c r="D12" s="864">
        <v>542</v>
      </c>
      <c r="E12" s="864">
        <v>814</v>
      </c>
      <c r="F12" s="864">
        <v>406</v>
      </c>
      <c r="G12" s="864">
        <v>780</v>
      </c>
      <c r="H12" s="864">
        <v>1186</v>
      </c>
      <c r="I12" s="864">
        <v>300</v>
      </c>
      <c r="J12" s="864">
        <v>876</v>
      </c>
      <c r="K12" s="864">
        <v>1176</v>
      </c>
      <c r="L12" s="864">
        <v>178</v>
      </c>
      <c r="M12" s="864">
        <v>850</v>
      </c>
      <c r="N12" s="864">
        <v>1028</v>
      </c>
      <c r="O12" s="864">
        <v>556</v>
      </c>
      <c r="P12" s="864">
        <v>1209</v>
      </c>
      <c r="Q12" s="864">
        <v>1765</v>
      </c>
      <c r="R12" s="864">
        <v>224</v>
      </c>
      <c r="S12" s="864">
        <v>1563</v>
      </c>
      <c r="T12" s="864">
        <v>1787</v>
      </c>
      <c r="U12" s="864">
        <v>231</v>
      </c>
      <c r="V12" s="864">
        <v>2075</v>
      </c>
      <c r="W12" s="864">
        <v>2306</v>
      </c>
      <c r="X12" s="864">
        <v>267</v>
      </c>
      <c r="Y12" s="864">
        <v>1758</v>
      </c>
      <c r="Z12" s="864">
        <v>2025</v>
      </c>
      <c r="AA12" s="864">
        <v>230</v>
      </c>
      <c r="AB12" s="864">
        <v>1185</v>
      </c>
      <c r="AC12" s="864">
        <v>1415</v>
      </c>
      <c r="AD12" s="864">
        <v>205</v>
      </c>
      <c r="AE12" s="864">
        <v>895</v>
      </c>
      <c r="AF12" s="864">
        <v>1100</v>
      </c>
      <c r="AH12" s="864">
        <f t="shared" si="0"/>
        <v>978</v>
      </c>
      <c r="AI12" s="864">
        <f t="shared" si="1"/>
        <v>2198</v>
      </c>
      <c r="AJ12" s="864">
        <f t="shared" si="2"/>
        <v>3176</v>
      </c>
      <c r="AK12" s="864">
        <f t="shared" si="3"/>
        <v>1456</v>
      </c>
      <c r="AL12" s="864">
        <f t="shared" si="4"/>
        <v>7455</v>
      </c>
      <c r="AM12" s="864">
        <f t="shared" si="5"/>
        <v>8911</v>
      </c>
      <c r="AN12" s="864">
        <f t="shared" si="6"/>
        <v>435</v>
      </c>
      <c r="AO12" s="864">
        <f t="shared" si="7"/>
        <v>2080</v>
      </c>
      <c r="AP12" s="864">
        <f t="shared" si="8"/>
        <v>2515</v>
      </c>
      <c r="AR12" s="865">
        <f t="shared" si="9"/>
        <v>0.30793450881612089</v>
      </c>
      <c r="AS12" s="865">
        <f t="shared" si="10"/>
        <v>0.16339355852317361</v>
      </c>
      <c r="AT12" s="865">
        <f t="shared" si="11"/>
        <v>0.17296222664015903</v>
      </c>
      <c r="AV12" s="866">
        <v>3299</v>
      </c>
      <c r="AW12" s="866">
        <v>9056</v>
      </c>
      <c r="AX12" s="866">
        <v>2686</v>
      </c>
      <c r="AZ12" s="866">
        <f t="shared" si="12"/>
        <v>1015.8759445843829</v>
      </c>
      <c r="BA12" s="866">
        <f t="shared" si="13"/>
        <v>1479.6920659858602</v>
      </c>
      <c r="BB12" s="866">
        <f t="shared" si="14"/>
        <v>464.57654075546719</v>
      </c>
      <c r="BC12" s="883">
        <f t="shared" si="15"/>
        <v>2960.1445513257104</v>
      </c>
    </row>
    <row r="13" spans="1:55" s="863" customFormat="1" ht="12" customHeight="1" x14ac:dyDescent="0.2">
      <c r="A13" s="863" t="s">
        <v>24</v>
      </c>
      <c r="B13" s="867" t="s">
        <v>455</v>
      </c>
      <c r="C13" s="880">
        <v>1296</v>
      </c>
      <c r="D13" s="864">
        <v>12073</v>
      </c>
      <c r="E13" s="864">
        <v>13369</v>
      </c>
      <c r="F13" s="864">
        <v>1174</v>
      </c>
      <c r="G13" s="864">
        <v>8621</v>
      </c>
      <c r="H13" s="864">
        <v>9795</v>
      </c>
      <c r="I13" s="864">
        <v>1243</v>
      </c>
      <c r="J13" s="864">
        <v>7102</v>
      </c>
      <c r="K13" s="864">
        <v>8345</v>
      </c>
      <c r="L13" s="864">
        <v>3626</v>
      </c>
      <c r="M13" s="864">
        <v>15077</v>
      </c>
      <c r="N13" s="864">
        <v>18703</v>
      </c>
      <c r="O13" s="864">
        <v>3672</v>
      </c>
      <c r="P13" s="864">
        <v>51310</v>
      </c>
      <c r="Q13" s="864">
        <v>54982</v>
      </c>
      <c r="R13" s="864">
        <v>2092</v>
      </c>
      <c r="S13" s="864">
        <v>30150</v>
      </c>
      <c r="T13" s="864">
        <v>32242</v>
      </c>
      <c r="U13" s="864">
        <v>1453</v>
      </c>
      <c r="V13" s="864">
        <v>23764</v>
      </c>
      <c r="W13" s="864">
        <v>25217</v>
      </c>
      <c r="X13" s="864">
        <v>991</v>
      </c>
      <c r="Y13" s="864">
        <v>19273</v>
      </c>
      <c r="Z13" s="864">
        <v>20264</v>
      </c>
      <c r="AA13" s="864">
        <v>804</v>
      </c>
      <c r="AB13" s="864">
        <v>8813</v>
      </c>
      <c r="AC13" s="864">
        <v>9617</v>
      </c>
      <c r="AD13" s="864">
        <v>911</v>
      </c>
      <c r="AE13" s="864">
        <v>6659</v>
      </c>
      <c r="AF13" s="864">
        <v>7570</v>
      </c>
      <c r="AH13" s="864">
        <f t="shared" si="0"/>
        <v>3713</v>
      </c>
      <c r="AI13" s="864">
        <f t="shared" si="1"/>
        <v>27796</v>
      </c>
      <c r="AJ13" s="864">
        <f t="shared" si="2"/>
        <v>31509</v>
      </c>
      <c r="AK13" s="864">
        <f t="shared" si="3"/>
        <v>11834</v>
      </c>
      <c r="AL13" s="864">
        <f t="shared" si="4"/>
        <v>139574</v>
      </c>
      <c r="AM13" s="864">
        <f t="shared" si="5"/>
        <v>151408</v>
      </c>
      <c r="AN13" s="864">
        <f t="shared" si="6"/>
        <v>1715</v>
      </c>
      <c r="AO13" s="864">
        <f t="shared" si="7"/>
        <v>15472</v>
      </c>
      <c r="AP13" s="864">
        <f t="shared" si="8"/>
        <v>17187</v>
      </c>
      <c r="AR13" s="865">
        <f t="shared" si="9"/>
        <v>0.1178393474880193</v>
      </c>
      <c r="AS13" s="865">
        <f t="shared" si="10"/>
        <v>7.8159674521821834E-2</v>
      </c>
      <c r="AT13" s="865">
        <f t="shared" si="11"/>
        <v>9.9784721010065747E-2</v>
      </c>
      <c r="AV13" s="866">
        <v>34495</v>
      </c>
      <c r="AW13" s="866">
        <v>162774</v>
      </c>
      <c r="AX13" s="866">
        <v>18735</v>
      </c>
      <c r="AZ13" s="866">
        <f t="shared" si="12"/>
        <v>4064.8682915992258</v>
      </c>
      <c r="BA13" s="866">
        <f t="shared" si="13"/>
        <v>12722.362860615027</v>
      </c>
      <c r="BB13" s="866">
        <f t="shared" si="14"/>
        <v>1869.4667481235817</v>
      </c>
      <c r="BC13" s="883">
        <f t="shared" si="15"/>
        <v>18656.697900337833</v>
      </c>
    </row>
    <row r="14" spans="1:55" s="863" customFormat="1" ht="12" customHeight="1" x14ac:dyDescent="0.2">
      <c r="A14" s="863" t="s">
        <v>26</v>
      </c>
      <c r="B14" s="867" t="s">
        <v>740</v>
      </c>
      <c r="C14" s="880">
        <v>2102</v>
      </c>
      <c r="D14" s="864">
        <v>5811</v>
      </c>
      <c r="E14" s="864">
        <v>7913</v>
      </c>
      <c r="F14" s="864">
        <v>1941</v>
      </c>
      <c r="G14" s="864">
        <v>5907</v>
      </c>
      <c r="H14" s="864">
        <v>7848</v>
      </c>
      <c r="I14" s="864">
        <v>1921</v>
      </c>
      <c r="J14" s="864">
        <v>7146</v>
      </c>
      <c r="K14" s="864">
        <v>9067</v>
      </c>
      <c r="L14" s="864">
        <v>1702</v>
      </c>
      <c r="M14" s="864">
        <v>6491</v>
      </c>
      <c r="N14" s="864">
        <v>8193</v>
      </c>
      <c r="O14" s="864">
        <v>2319</v>
      </c>
      <c r="P14" s="864">
        <v>10534</v>
      </c>
      <c r="Q14" s="864">
        <v>12853</v>
      </c>
      <c r="R14" s="864">
        <v>2370</v>
      </c>
      <c r="S14" s="864">
        <v>12470</v>
      </c>
      <c r="T14" s="864">
        <v>14840</v>
      </c>
      <c r="U14" s="864">
        <v>1982</v>
      </c>
      <c r="V14" s="864">
        <v>15305</v>
      </c>
      <c r="W14" s="864">
        <v>17287</v>
      </c>
      <c r="X14" s="864">
        <v>1556</v>
      </c>
      <c r="Y14" s="864">
        <v>14218</v>
      </c>
      <c r="Z14" s="864">
        <v>15774</v>
      </c>
      <c r="AA14" s="864">
        <v>1520</v>
      </c>
      <c r="AB14" s="864">
        <v>9036</v>
      </c>
      <c r="AC14" s="864">
        <v>10556</v>
      </c>
      <c r="AD14" s="864">
        <v>1352</v>
      </c>
      <c r="AE14" s="864">
        <v>6963</v>
      </c>
      <c r="AF14" s="864">
        <v>8315</v>
      </c>
      <c r="AH14" s="864">
        <f t="shared" si="0"/>
        <v>5964</v>
      </c>
      <c r="AI14" s="864">
        <f t="shared" si="1"/>
        <v>18864</v>
      </c>
      <c r="AJ14" s="864">
        <f t="shared" si="2"/>
        <v>24828</v>
      </c>
      <c r="AK14" s="864">
        <f t="shared" si="3"/>
        <v>9929</v>
      </c>
      <c r="AL14" s="864">
        <f t="shared" si="4"/>
        <v>59018</v>
      </c>
      <c r="AM14" s="864">
        <f t="shared" si="5"/>
        <v>68947</v>
      </c>
      <c r="AN14" s="864">
        <f t="shared" si="6"/>
        <v>2872</v>
      </c>
      <c r="AO14" s="864">
        <f t="shared" si="7"/>
        <v>15999</v>
      </c>
      <c r="AP14" s="864">
        <f t="shared" si="8"/>
        <v>18871</v>
      </c>
      <c r="AR14" s="865">
        <f t="shared" si="9"/>
        <v>0.24021266312228129</v>
      </c>
      <c r="AS14" s="865">
        <f t="shared" si="10"/>
        <v>0.14400916646119483</v>
      </c>
      <c r="AT14" s="865">
        <f t="shared" si="11"/>
        <v>0.15219119283556781</v>
      </c>
      <c r="AV14" s="866">
        <v>15352</v>
      </c>
      <c r="AW14" s="866">
        <v>46035</v>
      </c>
      <c r="AX14" s="866">
        <v>12162</v>
      </c>
      <c r="AZ14" s="866">
        <f t="shared" si="12"/>
        <v>3687.7448042532624</v>
      </c>
      <c r="BA14" s="866">
        <f t="shared" si="13"/>
        <v>6629.461978041104</v>
      </c>
      <c r="BB14" s="866">
        <f t="shared" si="14"/>
        <v>1850.9492872661758</v>
      </c>
      <c r="BC14" s="883">
        <f t="shared" si="15"/>
        <v>12168.156069560542</v>
      </c>
    </row>
    <row r="15" spans="1:55" s="863" customFormat="1" ht="12" customHeight="1" x14ac:dyDescent="0.2">
      <c r="A15" s="863" t="s">
        <v>27</v>
      </c>
      <c r="B15" s="867" t="s">
        <v>456</v>
      </c>
      <c r="C15" s="880">
        <v>281</v>
      </c>
      <c r="D15" s="864">
        <v>81</v>
      </c>
      <c r="E15" s="864">
        <v>362</v>
      </c>
      <c r="F15" s="864">
        <v>65</v>
      </c>
      <c r="G15" s="864">
        <v>201</v>
      </c>
      <c r="H15" s="864">
        <v>266</v>
      </c>
      <c r="I15" s="864">
        <v>199</v>
      </c>
      <c r="J15" s="864">
        <v>89</v>
      </c>
      <c r="K15" s="864">
        <v>288</v>
      </c>
      <c r="L15" s="864">
        <v>87</v>
      </c>
      <c r="M15" s="864">
        <v>231</v>
      </c>
      <c r="N15" s="864">
        <v>318</v>
      </c>
      <c r="O15" s="864">
        <v>24</v>
      </c>
      <c r="P15" s="864">
        <v>331</v>
      </c>
      <c r="Q15" s="864">
        <v>355</v>
      </c>
      <c r="R15" s="864">
        <v>189</v>
      </c>
      <c r="S15" s="864">
        <v>423</v>
      </c>
      <c r="T15" s="864">
        <v>612</v>
      </c>
      <c r="U15" s="864">
        <v>103</v>
      </c>
      <c r="V15" s="864">
        <v>812</v>
      </c>
      <c r="W15" s="864">
        <v>915</v>
      </c>
      <c r="X15" s="864">
        <v>50</v>
      </c>
      <c r="Y15" s="864">
        <v>538</v>
      </c>
      <c r="Z15" s="864">
        <v>588</v>
      </c>
      <c r="AA15" s="864">
        <v>133</v>
      </c>
      <c r="AB15" s="864">
        <v>403</v>
      </c>
      <c r="AC15" s="864">
        <v>536</v>
      </c>
      <c r="AD15" s="864">
        <v>101</v>
      </c>
      <c r="AE15" s="864">
        <v>346</v>
      </c>
      <c r="AF15" s="864">
        <v>447</v>
      </c>
      <c r="AH15" s="864">
        <f t="shared" si="0"/>
        <v>545</v>
      </c>
      <c r="AI15" s="864">
        <f t="shared" si="1"/>
        <v>371</v>
      </c>
      <c r="AJ15" s="864">
        <f t="shared" si="2"/>
        <v>916</v>
      </c>
      <c r="AK15" s="864">
        <f t="shared" si="3"/>
        <v>453</v>
      </c>
      <c r="AL15" s="864">
        <f t="shared" si="4"/>
        <v>2335</v>
      </c>
      <c r="AM15" s="864">
        <f t="shared" si="5"/>
        <v>2788</v>
      </c>
      <c r="AN15" s="864">
        <f t="shared" si="6"/>
        <v>234</v>
      </c>
      <c r="AO15" s="864">
        <f t="shared" si="7"/>
        <v>749</v>
      </c>
      <c r="AP15" s="864">
        <f t="shared" si="8"/>
        <v>983</v>
      </c>
      <c r="AR15" s="865">
        <f t="shared" si="9"/>
        <v>0.59497816593886466</v>
      </c>
      <c r="AS15" s="865">
        <f t="shared" si="10"/>
        <v>0.16248206599713055</v>
      </c>
      <c r="AT15" s="865">
        <f t="shared" si="11"/>
        <v>0.2380467955239064</v>
      </c>
      <c r="AV15" s="866">
        <v>782</v>
      </c>
      <c r="AW15" s="866">
        <v>2804</v>
      </c>
      <c r="AX15" s="866">
        <v>1071</v>
      </c>
      <c r="AZ15" s="866">
        <f t="shared" si="12"/>
        <v>465.27292576419217</v>
      </c>
      <c r="BA15" s="866">
        <f t="shared" si="13"/>
        <v>455.59971305595406</v>
      </c>
      <c r="BB15" s="866">
        <f t="shared" si="14"/>
        <v>254.94811800610375</v>
      </c>
      <c r="BC15" s="883">
        <f t="shared" si="15"/>
        <v>1175.8207568262501</v>
      </c>
    </row>
    <row r="16" spans="1:55" s="863" customFormat="1" ht="12" customHeight="1" x14ac:dyDescent="0.2">
      <c r="A16" s="863" t="s">
        <v>29</v>
      </c>
      <c r="B16" s="867" t="s">
        <v>902</v>
      </c>
      <c r="C16" s="880">
        <v>1016</v>
      </c>
      <c r="D16" s="864">
        <v>3361</v>
      </c>
      <c r="E16" s="864">
        <v>4377</v>
      </c>
      <c r="F16" s="864">
        <v>1176</v>
      </c>
      <c r="G16" s="864">
        <v>4432</v>
      </c>
      <c r="H16" s="864">
        <v>5608</v>
      </c>
      <c r="I16" s="864">
        <v>756</v>
      </c>
      <c r="J16" s="864">
        <v>5825</v>
      </c>
      <c r="K16" s="864">
        <v>6581</v>
      </c>
      <c r="L16" s="864">
        <v>1109</v>
      </c>
      <c r="M16" s="864">
        <v>3839</v>
      </c>
      <c r="N16" s="864">
        <v>4948</v>
      </c>
      <c r="O16" s="864">
        <v>1117</v>
      </c>
      <c r="P16" s="864">
        <v>5591</v>
      </c>
      <c r="Q16" s="864">
        <v>6708</v>
      </c>
      <c r="R16" s="864">
        <v>1078</v>
      </c>
      <c r="S16" s="864">
        <v>9300</v>
      </c>
      <c r="T16" s="864">
        <v>10378</v>
      </c>
      <c r="U16" s="864">
        <v>1457</v>
      </c>
      <c r="V16" s="864">
        <v>11083</v>
      </c>
      <c r="W16" s="864">
        <v>12540</v>
      </c>
      <c r="X16" s="864">
        <v>1186</v>
      </c>
      <c r="Y16" s="864">
        <v>9867</v>
      </c>
      <c r="Z16" s="864">
        <v>11053</v>
      </c>
      <c r="AA16" s="864">
        <v>732</v>
      </c>
      <c r="AB16" s="864">
        <v>6331</v>
      </c>
      <c r="AC16" s="864">
        <v>7063</v>
      </c>
      <c r="AD16" s="864">
        <v>673</v>
      </c>
      <c r="AE16" s="864">
        <v>3961</v>
      </c>
      <c r="AF16" s="864">
        <v>4634</v>
      </c>
      <c r="AH16" s="864">
        <f t="shared" si="0"/>
        <v>2948</v>
      </c>
      <c r="AI16" s="864">
        <f t="shared" si="1"/>
        <v>13618</v>
      </c>
      <c r="AJ16" s="864">
        <f t="shared" si="2"/>
        <v>16566</v>
      </c>
      <c r="AK16" s="864">
        <f t="shared" si="3"/>
        <v>5947</v>
      </c>
      <c r="AL16" s="864">
        <f t="shared" si="4"/>
        <v>39680</v>
      </c>
      <c r="AM16" s="864">
        <f t="shared" si="5"/>
        <v>45627</v>
      </c>
      <c r="AN16" s="864">
        <f t="shared" si="6"/>
        <v>1405</v>
      </c>
      <c r="AO16" s="864">
        <f t="shared" si="7"/>
        <v>10292</v>
      </c>
      <c r="AP16" s="864">
        <f t="shared" si="8"/>
        <v>11697</v>
      </c>
      <c r="AR16" s="865">
        <f t="shared" si="9"/>
        <v>0.17795484727755645</v>
      </c>
      <c r="AS16" s="865">
        <f t="shared" si="10"/>
        <v>0.13033949196747541</v>
      </c>
      <c r="AT16" s="865">
        <f t="shared" si="11"/>
        <v>0.12011626912883645</v>
      </c>
      <c r="AV16" s="866">
        <v>15022</v>
      </c>
      <c r="AW16" s="866">
        <v>42606</v>
      </c>
      <c r="AX16" s="866">
        <v>11618</v>
      </c>
      <c r="AZ16" s="866">
        <f t="shared" si="12"/>
        <v>2673.2377158034528</v>
      </c>
      <c r="BA16" s="866">
        <f t="shared" si="13"/>
        <v>5553.2443947662568</v>
      </c>
      <c r="BB16" s="866">
        <f t="shared" si="14"/>
        <v>1395.5108147388219</v>
      </c>
      <c r="BC16" s="883">
        <f t="shared" si="15"/>
        <v>9621.992925308532</v>
      </c>
    </row>
    <row r="17" spans="1:55" s="863" customFormat="1" ht="12" customHeight="1" x14ac:dyDescent="0.2">
      <c r="A17" s="863" t="s">
        <v>30</v>
      </c>
      <c r="B17" s="867" t="s">
        <v>457</v>
      </c>
      <c r="C17" s="880">
        <v>10</v>
      </c>
      <c r="D17" s="864">
        <v>297</v>
      </c>
      <c r="E17" s="864">
        <v>307</v>
      </c>
      <c r="F17" s="864">
        <v>50</v>
      </c>
      <c r="G17" s="864">
        <v>262</v>
      </c>
      <c r="H17" s="864">
        <v>312</v>
      </c>
      <c r="I17" s="864">
        <v>83</v>
      </c>
      <c r="J17" s="864">
        <v>502</v>
      </c>
      <c r="K17" s="864">
        <v>585</v>
      </c>
      <c r="L17" s="864">
        <v>120</v>
      </c>
      <c r="M17" s="864">
        <v>262</v>
      </c>
      <c r="N17" s="864">
        <v>382</v>
      </c>
      <c r="O17" s="864">
        <v>32</v>
      </c>
      <c r="P17" s="864">
        <v>690</v>
      </c>
      <c r="Q17" s="864">
        <v>722</v>
      </c>
      <c r="R17" s="864">
        <v>160</v>
      </c>
      <c r="S17" s="864">
        <v>578</v>
      </c>
      <c r="T17" s="864">
        <v>738</v>
      </c>
      <c r="U17" s="864">
        <v>60</v>
      </c>
      <c r="V17" s="864">
        <v>877</v>
      </c>
      <c r="W17" s="864">
        <v>937</v>
      </c>
      <c r="X17" s="864">
        <v>97</v>
      </c>
      <c r="Y17" s="864">
        <v>904</v>
      </c>
      <c r="Z17" s="864">
        <v>1001</v>
      </c>
      <c r="AA17" s="864">
        <v>158</v>
      </c>
      <c r="AB17" s="864">
        <v>597</v>
      </c>
      <c r="AC17" s="864">
        <v>755</v>
      </c>
      <c r="AD17" s="864">
        <v>132</v>
      </c>
      <c r="AE17" s="864">
        <v>312</v>
      </c>
      <c r="AF17" s="864">
        <v>444</v>
      </c>
      <c r="AH17" s="864">
        <f t="shared" si="0"/>
        <v>143</v>
      </c>
      <c r="AI17" s="864">
        <f t="shared" si="1"/>
        <v>1061</v>
      </c>
      <c r="AJ17" s="864">
        <f t="shared" si="2"/>
        <v>1204</v>
      </c>
      <c r="AK17" s="864">
        <f t="shared" si="3"/>
        <v>469</v>
      </c>
      <c r="AL17" s="864">
        <f t="shared" si="4"/>
        <v>3311</v>
      </c>
      <c r="AM17" s="864">
        <f t="shared" si="5"/>
        <v>3780</v>
      </c>
      <c r="AN17" s="864">
        <f t="shared" si="6"/>
        <v>290</v>
      </c>
      <c r="AO17" s="864">
        <f t="shared" si="7"/>
        <v>909</v>
      </c>
      <c r="AP17" s="864">
        <f t="shared" si="8"/>
        <v>1199</v>
      </c>
      <c r="AR17" s="865">
        <f t="shared" si="9"/>
        <v>0.11877076411960133</v>
      </c>
      <c r="AS17" s="865">
        <f t="shared" si="10"/>
        <v>0.12407407407407407</v>
      </c>
      <c r="AT17" s="865">
        <f t="shared" si="11"/>
        <v>0.24186822351959966</v>
      </c>
      <c r="AV17" s="866">
        <v>1204</v>
      </c>
      <c r="AW17" s="866">
        <v>4393</v>
      </c>
      <c r="AX17" s="866">
        <v>1221</v>
      </c>
      <c r="AZ17" s="866">
        <f t="shared" si="12"/>
        <v>143</v>
      </c>
      <c r="BA17" s="866">
        <f t="shared" si="13"/>
        <v>545.05740740740737</v>
      </c>
      <c r="BB17" s="866">
        <f t="shared" si="14"/>
        <v>295.32110091743118</v>
      </c>
      <c r="BC17" s="883">
        <f t="shared" si="15"/>
        <v>983.37850832483855</v>
      </c>
    </row>
    <row r="18" spans="1:55" s="863" customFormat="1" ht="12" customHeight="1" x14ac:dyDescent="0.2">
      <c r="A18" s="863" t="s">
        <v>32</v>
      </c>
      <c r="B18" s="867" t="s">
        <v>458</v>
      </c>
      <c r="C18" s="880">
        <v>298</v>
      </c>
      <c r="D18" s="864">
        <v>1808</v>
      </c>
      <c r="E18" s="864">
        <v>2106</v>
      </c>
      <c r="F18" s="864">
        <v>152</v>
      </c>
      <c r="G18" s="864">
        <v>2119</v>
      </c>
      <c r="H18" s="864">
        <v>2271</v>
      </c>
      <c r="I18" s="864">
        <v>399</v>
      </c>
      <c r="J18" s="864">
        <v>2459</v>
      </c>
      <c r="K18" s="864">
        <v>2858</v>
      </c>
      <c r="L18" s="864">
        <v>297</v>
      </c>
      <c r="M18" s="864">
        <v>1736</v>
      </c>
      <c r="N18" s="864">
        <v>2033</v>
      </c>
      <c r="O18" s="864">
        <v>213</v>
      </c>
      <c r="P18" s="864">
        <v>2385</v>
      </c>
      <c r="Q18" s="864">
        <v>2598</v>
      </c>
      <c r="R18" s="864">
        <v>277</v>
      </c>
      <c r="S18" s="864">
        <v>4250</v>
      </c>
      <c r="T18" s="864">
        <v>4527</v>
      </c>
      <c r="U18" s="864">
        <v>431</v>
      </c>
      <c r="V18" s="864">
        <v>5217</v>
      </c>
      <c r="W18" s="864">
        <v>5648</v>
      </c>
      <c r="X18" s="864">
        <v>371</v>
      </c>
      <c r="Y18" s="864">
        <v>4779</v>
      </c>
      <c r="Z18" s="864">
        <v>5150</v>
      </c>
      <c r="AA18" s="864">
        <v>201</v>
      </c>
      <c r="AB18" s="864">
        <v>2921</v>
      </c>
      <c r="AC18" s="864">
        <v>3122</v>
      </c>
      <c r="AD18" s="864">
        <v>423</v>
      </c>
      <c r="AE18" s="864">
        <v>1760</v>
      </c>
      <c r="AF18" s="864">
        <v>2183</v>
      </c>
      <c r="AH18" s="864">
        <f t="shared" si="0"/>
        <v>849</v>
      </c>
      <c r="AI18" s="864">
        <f t="shared" si="1"/>
        <v>6386</v>
      </c>
      <c r="AJ18" s="864">
        <f t="shared" si="2"/>
        <v>7235</v>
      </c>
      <c r="AK18" s="864">
        <f t="shared" si="3"/>
        <v>1589</v>
      </c>
      <c r="AL18" s="864">
        <f t="shared" si="4"/>
        <v>18367</v>
      </c>
      <c r="AM18" s="864">
        <f t="shared" si="5"/>
        <v>19956</v>
      </c>
      <c r="AN18" s="864">
        <f t="shared" si="6"/>
        <v>624</v>
      </c>
      <c r="AO18" s="864">
        <f t="shared" si="7"/>
        <v>4681</v>
      </c>
      <c r="AP18" s="864">
        <f t="shared" si="8"/>
        <v>5305</v>
      </c>
      <c r="AR18" s="865">
        <f t="shared" si="9"/>
        <v>0.11734623358673117</v>
      </c>
      <c r="AS18" s="865">
        <f t="shared" si="10"/>
        <v>7.9625175385848873E-2</v>
      </c>
      <c r="AT18" s="865">
        <f t="shared" si="11"/>
        <v>0.1176248821866164</v>
      </c>
      <c r="AV18" s="866">
        <v>7171</v>
      </c>
      <c r="AW18" s="866">
        <v>20158</v>
      </c>
      <c r="AX18" s="866">
        <v>5599</v>
      </c>
      <c r="AZ18" s="866">
        <f t="shared" si="12"/>
        <v>841.48984105044929</v>
      </c>
      <c r="BA18" s="866">
        <f t="shared" si="13"/>
        <v>1605.0842854279415</v>
      </c>
      <c r="BB18" s="866">
        <f t="shared" si="14"/>
        <v>658.58171536286522</v>
      </c>
      <c r="BC18" s="883">
        <f t="shared" si="15"/>
        <v>3105.155841841256</v>
      </c>
    </row>
    <row r="19" spans="1:55" s="863" customFormat="1" ht="12" customHeight="1" x14ac:dyDescent="0.2">
      <c r="A19" s="863" t="s">
        <v>36</v>
      </c>
      <c r="B19" s="867" t="s">
        <v>459</v>
      </c>
      <c r="C19" s="880">
        <v>698</v>
      </c>
      <c r="D19" s="864">
        <v>319</v>
      </c>
      <c r="E19" s="864">
        <v>1017</v>
      </c>
      <c r="F19" s="864">
        <v>304</v>
      </c>
      <c r="G19" s="864">
        <v>698</v>
      </c>
      <c r="H19" s="864">
        <v>1002</v>
      </c>
      <c r="I19" s="864">
        <v>521</v>
      </c>
      <c r="J19" s="864">
        <v>761</v>
      </c>
      <c r="K19" s="864">
        <v>1282</v>
      </c>
      <c r="L19" s="864">
        <v>551</v>
      </c>
      <c r="M19" s="864">
        <v>652</v>
      </c>
      <c r="N19" s="864">
        <v>1203</v>
      </c>
      <c r="O19" s="864">
        <v>439</v>
      </c>
      <c r="P19" s="864">
        <v>1113</v>
      </c>
      <c r="Q19" s="864">
        <v>1552</v>
      </c>
      <c r="R19" s="864">
        <v>292</v>
      </c>
      <c r="S19" s="864">
        <v>1302</v>
      </c>
      <c r="T19" s="864">
        <v>1594</v>
      </c>
      <c r="U19" s="864">
        <v>489</v>
      </c>
      <c r="V19" s="864">
        <v>1915</v>
      </c>
      <c r="W19" s="864">
        <v>2404</v>
      </c>
      <c r="X19" s="864">
        <v>456</v>
      </c>
      <c r="Y19" s="864">
        <v>1776</v>
      </c>
      <c r="Z19" s="864">
        <v>2232</v>
      </c>
      <c r="AA19" s="864">
        <v>430</v>
      </c>
      <c r="AB19" s="864">
        <v>1100</v>
      </c>
      <c r="AC19" s="864">
        <v>1530</v>
      </c>
      <c r="AD19" s="864">
        <v>427</v>
      </c>
      <c r="AE19" s="864">
        <v>773</v>
      </c>
      <c r="AF19" s="864">
        <v>1200</v>
      </c>
      <c r="AH19" s="864">
        <f t="shared" si="0"/>
        <v>1523</v>
      </c>
      <c r="AI19" s="864">
        <f t="shared" si="1"/>
        <v>1778</v>
      </c>
      <c r="AJ19" s="864">
        <f t="shared" si="2"/>
        <v>3301</v>
      </c>
      <c r="AK19" s="864">
        <f t="shared" si="3"/>
        <v>2227</v>
      </c>
      <c r="AL19" s="864">
        <f t="shared" si="4"/>
        <v>6758</v>
      </c>
      <c r="AM19" s="864">
        <f t="shared" si="5"/>
        <v>8985</v>
      </c>
      <c r="AN19" s="864">
        <f t="shared" si="6"/>
        <v>857</v>
      </c>
      <c r="AO19" s="864">
        <f t="shared" si="7"/>
        <v>1873</v>
      </c>
      <c r="AP19" s="864">
        <f t="shared" si="8"/>
        <v>2730</v>
      </c>
      <c r="AR19" s="865">
        <f t="shared" si="9"/>
        <v>0.46137534080581644</v>
      </c>
      <c r="AS19" s="865">
        <f t="shared" si="10"/>
        <v>0.24785754034501947</v>
      </c>
      <c r="AT19" s="865">
        <f t="shared" si="11"/>
        <v>0.31391941391941391</v>
      </c>
      <c r="AV19" s="866">
        <v>3196</v>
      </c>
      <c r="AW19" s="866">
        <v>11045</v>
      </c>
      <c r="AX19" s="866">
        <v>2963</v>
      </c>
      <c r="AZ19" s="866">
        <f t="shared" si="12"/>
        <v>1474.5555892153893</v>
      </c>
      <c r="BA19" s="866">
        <f t="shared" si="13"/>
        <v>2737.5865331107402</v>
      </c>
      <c r="BB19" s="866">
        <f t="shared" si="14"/>
        <v>930.14322344322341</v>
      </c>
      <c r="BC19" s="883">
        <f t="shared" si="15"/>
        <v>5142.2853457693527</v>
      </c>
    </row>
    <row r="20" spans="1:55" s="863" customFormat="1" ht="12" customHeight="1" x14ac:dyDescent="0.2">
      <c r="A20" s="863" t="s">
        <v>38</v>
      </c>
      <c r="B20" s="867" t="s">
        <v>460</v>
      </c>
      <c r="C20" s="880">
        <v>716</v>
      </c>
      <c r="D20" s="864">
        <v>612</v>
      </c>
      <c r="E20" s="864">
        <v>1328</v>
      </c>
      <c r="F20" s="864">
        <v>558</v>
      </c>
      <c r="G20" s="864">
        <v>734</v>
      </c>
      <c r="H20" s="864">
        <v>1292</v>
      </c>
      <c r="I20" s="864">
        <v>743</v>
      </c>
      <c r="J20" s="864">
        <v>918</v>
      </c>
      <c r="K20" s="864">
        <v>1661</v>
      </c>
      <c r="L20" s="864">
        <v>507</v>
      </c>
      <c r="M20" s="864">
        <v>1177</v>
      </c>
      <c r="N20" s="864">
        <v>1684</v>
      </c>
      <c r="O20" s="864">
        <v>856</v>
      </c>
      <c r="P20" s="864">
        <v>1660</v>
      </c>
      <c r="Q20" s="864">
        <v>2516</v>
      </c>
      <c r="R20" s="864">
        <v>1095</v>
      </c>
      <c r="S20" s="864">
        <v>2151</v>
      </c>
      <c r="T20" s="864">
        <v>3246</v>
      </c>
      <c r="U20" s="864">
        <v>966</v>
      </c>
      <c r="V20" s="864">
        <v>3033</v>
      </c>
      <c r="W20" s="864">
        <v>3999</v>
      </c>
      <c r="X20" s="864">
        <v>755</v>
      </c>
      <c r="Y20" s="864">
        <v>2737</v>
      </c>
      <c r="Z20" s="864">
        <v>3492</v>
      </c>
      <c r="AA20" s="864">
        <v>508</v>
      </c>
      <c r="AB20" s="864">
        <v>1905</v>
      </c>
      <c r="AC20" s="864">
        <v>2413</v>
      </c>
      <c r="AD20" s="864">
        <v>373</v>
      </c>
      <c r="AE20" s="864">
        <v>1081</v>
      </c>
      <c r="AF20" s="864">
        <v>1454</v>
      </c>
      <c r="AH20" s="864">
        <f t="shared" si="0"/>
        <v>2017</v>
      </c>
      <c r="AI20" s="864">
        <f t="shared" si="1"/>
        <v>2264</v>
      </c>
      <c r="AJ20" s="864">
        <f t="shared" si="2"/>
        <v>4281</v>
      </c>
      <c r="AK20" s="864">
        <f t="shared" si="3"/>
        <v>4179</v>
      </c>
      <c r="AL20" s="864">
        <f t="shared" si="4"/>
        <v>10758</v>
      </c>
      <c r="AM20" s="864">
        <f t="shared" si="5"/>
        <v>14937</v>
      </c>
      <c r="AN20" s="864">
        <f t="shared" si="6"/>
        <v>881</v>
      </c>
      <c r="AO20" s="864">
        <f t="shared" si="7"/>
        <v>2986</v>
      </c>
      <c r="AP20" s="864">
        <f t="shared" si="8"/>
        <v>3867</v>
      </c>
      <c r="AR20" s="865">
        <f t="shared" si="9"/>
        <v>0.4711516000934361</v>
      </c>
      <c r="AS20" s="865">
        <f t="shared" si="10"/>
        <v>0.27977505523197427</v>
      </c>
      <c r="AT20" s="865">
        <f t="shared" si="11"/>
        <v>0.22782518748383759</v>
      </c>
      <c r="AV20" s="866">
        <v>4322</v>
      </c>
      <c r="AW20" s="866">
        <v>15371</v>
      </c>
      <c r="AX20" s="866">
        <v>3888</v>
      </c>
      <c r="AZ20" s="866">
        <f t="shared" si="12"/>
        <v>2036.3172156038308</v>
      </c>
      <c r="BA20" s="866">
        <f t="shared" si="13"/>
        <v>4300.4223739706767</v>
      </c>
      <c r="BB20" s="866">
        <f t="shared" si="14"/>
        <v>885.78432893716058</v>
      </c>
      <c r="BC20" s="883">
        <f t="shared" si="15"/>
        <v>7222.5239185116679</v>
      </c>
    </row>
    <row r="21" spans="1:55" s="863" customFormat="1" ht="12" customHeight="1" x14ac:dyDescent="0.2">
      <c r="A21" s="863" t="s">
        <v>40</v>
      </c>
      <c r="B21" s="867" t="s">
        <v>461</v>
      </c>
      <c r="C21" s="880">
        <v>291</v>
      </c>
      <c r="D21" s="864">
        <v>764</v>
      </c>
      <c r="E21" s="864">
        <v>1055</v>
      </c>
      <c r="F21" s="864">
        <v>182</v>
      </c>
      <c r="G21" s="864">
        <v>348</v>
      </c>
      <c r="H21" s="864">
        <v>530</v>
      </c>
      <c r="I21" s="864">
        <v>369</v>
      </c>
      <c r="J21" s="864">
        <v>582</v>
      </c>
      <c r="K21" s="864">
        <v>951</v>
      </c>
      <c r="L21" s="864">
        <v>228</v>
      </c>
      <c r="M21" s="864">
        <v>627</v>
      </c>
      <c r="N21" s="864">
        <v>855</v>
      </c>
      <c r="O21" s="864">
        <v>231</v>
      </c>
      <c r="P21" s="864">
        <v>902</v>
      </c>
      <c r="Q21" s="864">
        <v>1133</v>
      </c>
      <c r="R21" s="864">
        <v>371</v>
      </c>
      <c r="S21" s="864">
        <v>1116</v>
      </c>
      <c r="T21" s="864">
        <v>1487</v>
      </c>
      <c r="U21" s="864">
        <v>478</v>
      </c>
      <c r="V21" s="864">
        <v>1161</v>
      </c>
      <c r="W21" s="864">
        <v>1639</v>
      </c>
      <c r="X21" s="864">
        <v>373</v>
      </c>
      <c r="Y21" s="864">
        <v>1723</v>
      </c>
      <c r="Z21" s="864">
        <v>2096</v>
      </c>
      <c r="AA21" s="864">
        <v>246</v>
      </c>
      <c r="AB21" s="864">
        <v>1139</v>
      </c>
      <c r="AC21" s="864">
        <v>1385</v>
      </c>
      <c r="AD21" s="864">
        <v>246</v>
      </c>
      <c r="AE21" s="864">
        <v>641</v>
      </c>
      <c r="AF21" s="864">
        <v>887</v>
      </c>
      <c r="AH21" s="864">
        <f t="shared" si="0"/>
        <v>842</v>
      </c>
      <c r="AI21" s="864">
        <f t="shared" si="1"/>
        <v>1694</v>
      </c>
      <c r="AJ21" s="864">
        <f t="shared" si="2"/>
        <v>2536</v>
      </c>
      <c r="AK21" s="864">
        <f t="shared" si="3"/>
        <v>1681</v>
      </c>
      <c r="AL21" s="864">
        <f t="shared" si="4"/>
        <v>5529</v>
      </c>
      <c r="AM21" s="864">
        <f t="shared" si="5"/>
        <v>7210</v>
      </c>
      <c r="AN21" s="864">
        <f t="shared" si="6"/>
        <v>492</v>
      </c>
      <c r="AO21" s="864">
        <f t="shared" si="7"/>
        <v>1780</v>
      </c>
      <c r="AP21" s="864">
        <f t="shared" si="8"/>
        <v>2272</v>
      </c>
      <c r="AR21" s="865">
        <f t="shared" si="9"/>
        <v>0.33201892744479494</v>
      </c>
      <c r="AS21" s="865">
        <f t="shared" si="10"/>
        <v>0.23314840499306519</v>
      </c>
      <c r="AT21" s="865">
        <f t="shared" si="11"/>
        <v>0.21654929577464788</v>
      </c>
      <c r="AV21" s="866">
        <v>3271</v>
      </c>
      <c r="AW21" s="866">
        <v>11461</v>
      </c>
      <c r="AX21" s="866">
        <v>2546</v>
      </c>
      <c r="AZ21" s="866">
        <f t="shared" si="12"/>
        <v>1086.0339116719242</v>
      </c>
      <c r="BA21" s="866">
        <f t="shared" si="13"/>
        <v>2672.1138696255202</v>
      </c>
      <c r="BB21" s="866">
        <f t="shared" si="14"/>
        <v>551.33450704225345</v>
      </c>
      <c r="BC21" s="883">
        <f t="shared" si="15"/>
        <v>4309.4822883396982</v>
      </c>
    </row>
    <row r="22" spans="1:55" s="863" customFormat="1" ht="12" customHeight="1" x14ac:dyDescent="0.2">
      <c r="A22" s="863" t="s">
        <v>42</v>
      </c>
      <c r="B22" s="867" t="s">
        <v>462</v>
      </c>
      <c r="C22" s="880">
        <v>991</v>
      </c>
      <c r="D22" s="864">
        <v>2162</v>
      </c>
      <c r="E22" s="864">
        <v>3153</v>
      </c>
      <c r="F22" s="864">
        <v>919</v>
      </c>
      <c r="G22" s="864">
        <v>3023</v>
      </c>
      <c r="H22" s="864">
        <v>3942</v>
      </c>
      <c r="I22" s="864">
        <v>1389</v>
      </c>
      <c r="J22" s="864">
        <v>3197</v>
      </c>
      <c r="K22" s="864">
        <v>4586</v>
      </c>
      <c r="L22" s="864">
        <v>1443</v>
      </c>
      <c r="M22" s="864">
        <v>3736</v>
      </c>
      <c r="N22" s="864">
        <v>5179</v>
      </c>
      <c r="O22" s="864">
        <v>1150</v>
      </c>
      <c r="P22" s="864">
        <v>4520</v>
      </c>
      <c r="Q22" s="864">
        <v>5670</v>
      </c>
      <c r="R22" s="864">
        <v>1340</v>
      </c>
      <c r="S22" s="864">
        <v>6063</v>
      </c>
      <c r="T22" s="864">
        <v>7403</v>
      </c>
      <c r="U22" s="864">
        <v>1234</v>
      </c>
      <c r="V22" s="864">
        <v>7123</v>
      </c>
      <c r="W22" s="864">
        <v>8357</v>
      </c>
      <c r="X22" s="864">
        <v>798</v>
      </c>
      <c r="Y22" s="864">
        <v>6336</v>
      </c>
      <c r="Z22" s="864">
        <v>7134</v>
      </c>
      <c r="AA22" s="864">
        <v>564</v>
      </c>
      <c r="AB22" s="864">
        <v>4310</v>
      </c>
      <c r="AC22" s="864">
        <v>4874</v>
      </c>
      <c r="AD22" s="864">
        <v>391</v>
      </c>
      <c r="AE22" s="864">
        <v>3113</v>
      </c>
      <c r="AF22" s="864">
        <v>3504</v>
      </c>
      <c r="AH22" s="864">
        <f t="shared" si="0"/>
        <v>3299</v>
      </c>
      <c r="AI22" s="864">
        <f t="shared" si="1"/>
        <v>8382</v>
      </c>
      <c r="AJ22" s="864">
        <f t="shared" si="2"/>
        <v>11681</v>
      </c>
      <c r="AK22" s="864">
        <f t="shared" si="3"/>
        <v>5965</v>
      </c>
      <c r="AL22" s="864">
        <f t="shared" si="4"/>
        <v>27778</v>
      </c>
      <c r="AM22" s="864">
        <f t="shared" si="5"/>
        <v>33743</v>
      </c>
      <c r="AN22" s="864">
        <f t="shared" si="6"/>
        <v>955</v>
      </c>
      <c r="AO22" s="864">
        <f t="shared" si="7"/>
        <v>7423</v>
      </c>
      <c r="AP22" s="864">
        <f t="shared" si="8"/>
        <v>8378</v>
      </c>
      <c r="AR22" s="865">
        <f t="shared" si="9"/>
        <v>0.28242444996147592</v>
      </c>
      <c r="AS22" s="865">
        <f t="shared" si="10"/>
        <v>0.17677740568414191</v>
      </c>
      <c r="AT22" s="865">
        <f t="shared" si="11"/>
        <v>0.11398901885891621</v>
      </c>
      <c r="AV22" s="866">
        <v>11732</v>
      </c>
      <c r="AW22" s="866">
        <v>34424</v>
      </c>
      <c r="AX22" s="866">
        <v>8876</v>
      </c>
      <c r="AZ22" s="866">
        <f t="shared" si="12"/>
        <v>3313.4036469480357</v>
      </c>
      <c r="BA22" s="866">
        <f t="shared" si="13"/>
        <v>6085.3854132709012</v>
      </c>
      <c r="BB22" s="866">
        <f t="shared" si="14"/>
        <v>1011.7665313917403</v>
      </c>
      <c r="BC22" s="883">
        <f t="shared" si="15"/>
        <v>10410.555591610677</v>
      </c>
    </row>
    <row r="23" spans="1:55" s="863" customFormat="1" ht="12" customHeight="1" x14ac:dyDescent="0.2">
      <c r="A23" s="863" t="s">
        <v>44</v>
      </c>
      <c r="B23" s="867" t="s">
        <v>463</v>
      </c>
      <c r="C23" s="880">
        <v>164</v>
      </c>
      <c r="D23" s="864">
        <v>2049</v>
      </c>
      <c r="E23" s="864">
        <v>2213</v>
      </c>
      <c r="F23" s="864">
        <v>485</v>
      </c>
      <c r="G23" s="864">
        <v>1889</v>
      </c>
      <c r="H23" s="864">
        <v>2374</v>
      </c>
      <c r="I23" s="864">
        <v>307</v>
      </c>
      <c r="J23" s="864">
        <v>1756</v>
      </c>
      <c r="K23" s="864">
        <v>2063</v>
      </c>
      <c r="L23" s="864">
        <v>397</v>
      </c>
      <c r="M23" s="864">
        <v>1395</v>
      </c>
      <c r="N23" s="864">
        <v>1792</v>
      </c>
      <c r="O23" s="864">
        <v>367</v>
      </c>
      <c r="P23" s="864">
        <v>3098</v>
      </c>
      <c r="Q23" s="864">
        <v>3465</v>
      </c>
      <c r="R23" s="864">
        <v>440</v>
      </c>
      <c r="S23" s="864">
        <v>3530</v>
      </c>
      <c r="T23" s="864">
        <v>3970</v>
      </c>
      <c r="U23" s="864">
        <v>479</v>
      </c>
      <c r="V23" s="864">
        <v>3781</v>
      </c>
      <c r="W23" s="864">
        <v>4260</v>
      </c>
      <c r="X23" s="864">
        <v>199</v>
      </c>
      <c r="Y23" s="864">
        <v>3356</v>
      </c>
      <c r="Z23" s="864">
        <v>3555</v>
      </c>
      <c r="AA23" s="864">
        <v>331</v>
      </c>
      <c r="AB23" s="864">
        <v>1710</v>
      </c>
      <c r="AC23" s="864">
        <v>2041</v>
      </c>
      <c r="AD23" s="864">
        <v>201</v>
      </c>
      <c r="AE23" s="864">
        <v>1258</v>
      </c>
      <c r="AF23" s="864">
        <v>1459</v>
      </c>
      <c r="AH23" s="864">
        <f t="shared" si="0"/>
        <v>956</v>
      </c>
      <c r="AI23" s="864">
        <f t="shared" si="1"/>
        <v>5694</v>
      </c>
      <c r="AJ23" s="864">
        <f t="shared" si="2"/>
        <v>6650</v>
      </c>
      <c r="AK23" s="864">
        <f t="shared" si="3"/>
        <v>1882</v>
      </c>
      <c r="AL23" s="864">
        <f t="shared" si="4"/>
        <v>15160</v>
      </c>
      <c r="AM23" s="864">
        <f t="shared" si="5"/>
        <v>17042</v>
      </c>
      <c r="AN23" s="864">
        <f t="shared" si="6"/>
        <v>532</v>
      </c>
      <c r="AO23" s="864">
        <f t="shared" si="7"/>
        <v>2968</v>
      </c>
      <c r="AP23" s="864">
        <f t="shared" si="8"/>
        <v>3500</v>
      </c>
      <c r="AR23" s="865">
        <f t="shared" si="9"/>
        <v>0.14375939849624061</v>
      </c>
      <c r="AS23" s="865">
        <f t="shared" si="10"/>
        <v>0.11043304776434691</v>
      </c>
      <c r="AT23" s="865">
        <f t="shared" si="11"/>
        <v>0.152</v>
      </c>
      <c r="AV23" s="866">
        <v>6749</v>
      </c>
      <c r="AW23" s="866">
        <v>17996</v>
      </c>
      <c r="AX23" s="866">
        <v>3929</v>
      </c>
      <c r="AZ23" s="866">
        <f t="shared" si="12"/>
        <v>970.23218045112787</v>
      </c>
      <c r="BA23" s="866">
        <f t="shared" si="13"/>
        <v>1987.3531275671871</v>
      </c>
      <c r="BB23" s="866">
        <f t="shared" si="14"/>
        <v>597.20799999999997</v>
      </c>
      <c r="BC23" s="883">
        <f t="shared" si="15"/>
        <v>3554.7933080183152</v>
      </c>
    </row>
    <row r="24" spans="1:55" s="863" customFormat="1" ht="12" customHeight="1" x14ac:dyDescent="0.2">
      <c r="A24" s="863" t="s">
        <v>46</v>
      </c>
      <c r="B24" s="867" t="s">
        <v>464</v>
      </c>
      <c r="C24" s="880">
        <v>695</v>
      </c>
      <c r="D24" s="864">
        <v>886</v>
      </c>
      <c r="E24" s="864">
        <v>1581</v>
      </c>
      <c r="F24" s="864">
        <v>706</v>
      </c>
      <c r="G24" s="864">
        <v>1365</v>
      </c>
      <c r="H24" s="864">
        <v>2071</v>
      </c>
      <c r="I24" s="864">
        <v>508</v>
      </c>
      <c r="J24" s="864">
        <v>1698</v>
      </c>
      <c r="K24" s="864">
        <v>2206</v>
      </c>
      <c r="L24" s="864">
        <v>639</v>
      </c>
      <c r="M24" s="864">
        <v>1332</v>
      </c>
      <c r="N24" s="864">
        <v>1971</v>
      </c>
      <c r="O24" s="864">
        <v>715</v>
      </c>
      <c r="P24" s="864">
        <v>2365</v>
      </c>
      <c r="Q24" s="864">
        <v>3080</v>
      </c>
      <c r="R24" s="864">
        <v>978</v>
      </c>
      <c r="S24" s="864">
        <v>3094</v>
      </c>
      <c r="T24" s="864">
        <v>4072</v>
      </c>
      <c r="U24" s="864">
        <v>1046</v>
      </c>
      <c r="V24" s="864">
        <v>3504</v>
      </c>
      <c r="W24" s="864">
        <v>4550</v>
      </c>
      <c r="X24" s="864">
        <v>720</v>
      </c>
      <c r="Y24" s="864">
        <v>3814</v>
      </c>
      <c r="Z24" s="864">
        <v>4534</v>
      </c>
      <c r="AA24" s="864">
        <v>568</v>
      </c>
      <c r="AB24" s="864">
        <v>2726</v>
      </c>
      <c r="AC24" s="864">
        <v>3294</v>
      </c>
      <c r="AD24" s="864">
        <v>925</v>
      </c>
      <c r="AE24" s="864">
        <v>1548</v>
      </c>
      <c r="AF24" s="864">
        <v>2473</v>
      </c>
      <c r="AH24" s="864">
        <f t="shared" si="0"/>
        <v>1909</v>
      </c>
      <c r="AI24" s="864">
        <f t="shared" si="1"/>
        <v>3949</v>
      </c>
      <c r="AJ24" s="864">
        <f t="shared" si="2"/>
        <v>5858</v>
      </c>
      <c r="AK24" s="864">
        <f t="shared" si="3"/>
        <v>4098</v>
      </c>
      <c r="AL24" s="864">
        <f t="shared" si="4"/>
        <v>14109</v>
      </c>
      <c r="AM24" s="864">
        <f t="shared" si="5"/>
        <v>18207</v>
      </c>
      <c r="AN24" s="864">
        <f t="shared" si="6"/>
        <v>1493</v>
      </c>
      <c r="AO24" s="864">
        <f t="shared" si="7"/>
        <v>4274</v>
      </c>
      <c r="AP24" s="864">
        <f t="shared" si="8"/>
        <v>5767</v>
      </c>
      <c r="AR24" s="865">
        <f t="shared" si="9"/>
        <v>0.32587913963810172</v>
      </c>
      <c r="AS24" s="865">
        <f t="shared" si="10"/>
        <v>0.22507826660075794</v>
      </c>
      <c r="AT24" s="865">
        <f t="shared" si="11"/>
        <v>0.25888676955089301</v>
      </c>
      <c r="AV24" s="866">
        <v>6062</v>
      </c>
      <c r="AW24" s="866">
        <v>18006</v>
      </c>
      <c r="AX24" s="866">
        <v>5913</v>
      </c>
      <c r="AZ24" s="866">
        <f t="shared" si="12"/>
        <v>1975.4793444861727</v>
      </c>
      <c r="BA24" s="866">
        <f t="shared" si="13"/>
        <v>4052.7592684132474</v>
      </c>
      <c r="BB24" s="866">
        <f t="shared" si="14"/>
        <v>1530.7974683544303</v>
      </c>
      <c r="BC24" s="883">
        <f t="shared" si="15"/>
        <v>7559.0360812538511</v>
      </c>
    </row>
    <row r="25" spans="1:55" s="863" customFormat="1" ht="12" customHeight="1" x14ac:dyDescent="0.2">
      <c r="A25" s="863" t="s">
        <v>48</v>
      </c>
      <c r="B25" s="867" t="s">
        <v>465</v>
      </c>
      <c r="C25" s="880">
        <v>26</v>
      </c>
      <c r="D25" s="864">
        <v>324</v>
      </c>
      <c r="E25" s="864">
        <v>350</v>
      </c>
      <c r="F25" s="864">
        <v>85</v>
      </c>
      <c r="G25" s="864">
        <v>332</v>
      </c>
      <c r="H25" s="864">
        <v>417</v>
      </c>
      <c r="I25" s="864">
        <v>83</v>
      </c>
      <c r="J25" s="864">
        <v>489</v>
      </c>
      <c r="K25" s="864">
        <v>572</v>
      </c>
      <c r="L25" s="864">
        <v>52</v>
      </c>
      <c r="M25" s="864">
        <v>484</v>
      </c>
      <c r="N25" s="864">
        <v>536</v>
      </c>
      <c r="O25" s="864">
        <v>95</v>
      </c>
      <c r="P25" s="864">
        <v>528</v>
      </c>
      <c r="Q25" s="864">
        <v>623</v>
      </c>
      <c r="R25" s="864">
        <v>96</v>
      </c>
      <c r="S25" s="864">
        <v>844</v>
      </c>
      <c r="T25" s="864">
        <v>940</v>
      </c>
      <c r="U25" s="864">
        <v>149</v>
      </c>
      <c r="V25" s="864">
        <v>1210</v>
      </c>
      <c r="W25" s="864">
        <v>1359</v>
      </c>
      <c r="X25" s="864">
        <v>89</v>
      </c>
      <c r="Y25" s="864">
        <v>1137</v>
      </c>
      <c r="Z25" s="864">
        <v>1226</v>
      </c>
      <c r="AA25" s="864">
        <v>121</v>
      </c>
      <c r="AB25" s="864">
        <v>583</v>
      </c>
      <c r="AC25" s="864">
        <v>704</v>
      </c>
      <c r="AD25" s="864">
        <v>82</v>
      </c>
      <c r="AE25" s="864">
        <v>389</v>
      </c>
      <c r="AF25" s="864">
        <v>471</v>
      </c>
      <c r="AH25" s="864">
        <f t="shared" si="0"/>
        <v>194</v>
      </c>
      <c r="AI25" s="864">
        <f t="shared" si="1"/>
        <v>1145</v>
      </c>
      <c r="AJ25" s="864">
        <f t="shared" si="2"/>
        <v>1339</v>
      </c>
      <c r="AK25" s="864">
        <f t="shared" si="3"/>
        <v>481</v>
      </c>
      <c r="AL25" s="864">
        <f t="shared" si="4"/>
        <v>4203</v>
      </c>
      <c r="AM25" s="864">
        <f t="shared" si="5"/>
        <v>4684</v>
      </c>
      <c r="AN25" s="864">
        <f t="shared" si="6"/>
        <v>203</v>
      </c>
      <c r="AO25" s="864">
        <f t="shared" si="7"/>
        <v>972</v>
      </c>
      <c r="AP25" s="864">
        <f t="shared" si="8"/>
        <v>1175</v>
      </c>
      <c r="AR25" s="865">
        <f t="shared" si="9"/>
        <v>0.14488424197162061</v>
      </c>
      <c r="AS25" s="865">
        <f t="shared" si="10"/>
        <v>0.10269000853970965</v>
      </c>
      <c r="AT25" s="865">
        <f t="shared" si="11"/>
        <v>0.1727659574468085</v>
      </c>
      <c r="AV25" s="866">
        <v>1248</v>
      </c>
      <c r="AW25" s="866">
        <v>4724</v>
      </c>
      <c r="AX25" s="866">
        <v>1269</v>
      </c>
      <c r="AZ25" s="866">
        <f t="shared" si="12"/>
        <v>180.81553398058253</v>
      </c>
      <c r="BA25" s="866">
        <f t="shared" si="13"/>
        <v>485.10760034158841</v>
      </c>
      <c r="BB25" s="866">
        <f t="shared" si="14"/>
        <v>219.23999999999998</v>
      </c>
      <c r="BC25" s="883">
        <f t="shared" si="15"/>
        <v>885.16313432217089</v>
      </c>
    </row>
    <row r="26" spans="1:55" s="863" customFormat="1" ht="12" customHeight="1" x14ac:dyDescent="0.2">
      <c r="A26" s="863" t="s">
        <v>50</v>
      </c>
      <c r="B26" s="867" t="s">
        <v>466</v>
      </c>
      <c r="C26" s="880">
        <v>304</v>
      </c>
      <c r="D26" s="864">
        <v>571</v>
      </c>
      <c r="E26" s="864">
        <v>875</v>
      </c>
      <c r="F26" s="864">
        <v>337</v>
      </c>
      <c r="G26" s="864">
        <v>762</v>
      </c>
      <c r="H26" s="864">
        <v>1099</v>
      </c>
      <c r="I26" s="864">
        <v>241</v>
      </c>
      <c r="J26" s="864">
        <v>666</v>
      </c>
      <c r="K26" s="864">
        <v>907</v>
      </c>
      <c r="L26" s="864">
        <v>291</v>
      </c>
      <c r="M26" s="864">
        <v>670</v>
      </c>
      <c r="N26" s="864">
        <v>961</v>
      </c>
      <c r="O26" s="864">
        <v>256</v>
      </c>
      <c r="P26" s="864">
        <v>1029</v>
      </c>
      <c r="Q26" s="864">
        <v>1285</v>
      </c>
      <c r="R26" s="864">
        <v>252</v>
      </c>
      <c r="S26" s="864">
        <v>1127</v>
      </c>
      <c r="T26" s="864">
        <v>1379</v>
      </c>
      <c r="U26" s="864">
        <v>263</v>
      </c>
      <c r="V26" s="864">
        <v>1686</v>
      </c>
      <c r="W26" s="864">
        <v>1949</v>
      </c>
      <c r="X26" s="864">
        <v>317</v>
      </c>
      <c r="Y26" s="864">
        <v>1405</v>
      </c>
      <c r="Z26" s="864">
        <v>1722</v>
      </c>
      <c r="AA26" s="864">
        <v>301</v>
      </c>
      <c r="AB26" s="864">
        <v>987</v>
      </c>
      <c r="AC26" s="864">
        <v>1288</v>
      </c>
      <c r="AD26" s="864">
        <v>281</v>
      </c>
      <c r="AE26" s="864">
        <v>698</v>
      </c>
      <c r="AF26" s="864">
        <v>979</v>
      </c>
      <c r="AH26" s="864">
        <f t="shared" si="0"/>
        <v>882</v>
      </c>
      <c r="AI26" s="864">
        <f t="shared" si="1"/>
        <v>1999</v>
      </c>
      <c r="AJ26" s="864">
        <f t="shared" si="2"/>
        <v>2881</v>
      </c>
      <c r="AK26" s="864">
        <f t="shared" si="3"/>
        <v>1379</v>
      </c>
      <c r="AL26" s="864">
        <f t="shared" si="4"/>
        <v>5917</v>
      </c>
      <c r="AM26" s="864">
        <f t="shared" si="5"/>
        <v>7296</v>
      </c>
      <c r="AN26" s="864">
        <f t="shared" si="6"/>
        <v>582</v>
      </c>
      <c r="AO26" s="864">
        <f t="shared" si="7"/>
        <v>1685</v>
      </c>
      <c r="AP26" s="864">
        <f t="shared" si="8"/>
        <v>2267</v>
      </c>
      <c r="AR26" s="865">
        <f t="shared" si="9"/>
        <v>0.3061437001041305</v>
      </c>
      <c r="AS26" s="865">
        <f t="shared" si="10"/>
        <v>0.18900767543859648</v>
      </c>
      <c r="AT26" s="865">
        <f t="shared" si="11"/>
        <v>0.25672695191883549</v>
      </c>
      <c r="AV26" s="866">
        <v>2769</v>
      </c>
      <c r="AW26" s="866">
        <v>7373</v>
      </c>
      <c r="AX26" s="866">
        <v>2363</v>
      </c>
      <c r="AZ26" s="866">
        <f t="shared" si="12"/>
        <v>847.71190558833734</v>
      </c>
      <c r="BA26" s="866">
        <f t="shared" si="13"/>
        <v>1393.5535910087719</v>
      </c>
      <c r="BB26" s="866">
        <f t="shared" si="14"/>
        <v>606.64578738420823</v>
      </c>
      <c r="BC26" s="883">
        <f t="shared" si="15"/>
        <v>2847.9112839813174</v>
      </c>
    </row>
    <row r="27" spans="1:55" s="863" customFormat="1" ht="12" customHeight="1" x14ac:dyDescent="0.2">
      <c r="A27" s="863" t="s">
        <v>56</v>
      </c>
      <c r="B27" s="867" t="s">
        <v>741</v>
      </c>
      <c r="C27" s="880">
        <v>3314</v>
      </c>
      <c r="D27" s="864">
        <v>21849</v>
      </c>
      <c r="E27" s="864">
        <v>25163</v>
      </c>
      <c r="F27" s="864">
        <v>3832</v>
      </c>
      <c r="G27" s="864">
        <v>24770</v>
      </c>
      <c r="H27" s="864">
        <v>28602</v>
      </c>
      <c r="I27" s="864">
        <v>2771</v>
      </c>
      <c r="J27" s="864">
        <v>28098</v>
      </c>
      <c r="K27" s="864">
        <v>30869</v>
      </c>
      <c r="L27" s="864">
        <v>3398</v>
      </c>
      <c r="M27" s="864">
        <v>22536</v>
      </c>
      <c r="N27" s="864">
        <v>25934</v>
      </c>
      <c r="O27" s="864">
        <v>3796</v>
      </c>
      <c r="P27" s="864">
        <v>35491</v>
      </c>
      <c r="Q27" s="864">
        <v>39287</v>
      </c>
      <c r="R27" s="864">
        <v>3149</v>
      </c>
      <c r="S27" s="864">
        <v>45364</v>
      </c>
      <c r="T27" s="864">
        <v>48513</v>
      </c>
      <c r="U27" s="864">
        <v>3108</v>
      </c>
      <c r="V27" s="864">
        <v>49023</v>
      </c>
      <c r="W27" s="864">
        <v>52131</v>
      </c>
      <c r="X27" s="864">
        <v>2298</v>
      </c>
      <c r="Y27" s="864">
        <v>38362</v>
      </c>
      <c r="Z27" s="864">
        <v>40660</v>
      </c>
      <c r="AA27" s="864">
        <v>1014</v>
      </c>
      <c r="AB27" s="864">
        <v>18964</v>
      </c>
      <c r="AC27" s="864">
        <v>19978</v>
      </c>
      <c r="AD27" s="864">
        <v>1579</v>
      </c>
      <c r="AE27" s="864">
        <v>12761</v>
      </c>
      <c r="AF27" s="864">
        <v>14340</v>
      </c>
      <c r="AH27" s="864">
        <f t="shared" si="0"/>
        <v>9917</v>
      </c>
      <c r="AI27" s="864">
        <f t="shared" si="1"/>
        <v>74717</v>
      </c>
      <c r="AJ27" s="864">
        <f t="shared" si="2"/>
        <v>84634</v>
      </c>
      <c r="AK27" s="864">
        <f t="shared" si="3"/>
        <v>15749</v>
      </c>
      <c r="AL27" s="864">
        <f t="shared" si="4"/>
        <v>190776</v>
      </c>
      <c r="AM27" s="864">
        <f t="shared" si="5"/>
        <v>206525</v>
      </c>
      <c r="AN27" s="864">
        <f t="shared" si="6"/>
        <v>2593</v>
      </c>
      <c r="AO27" s="864">
        <f t="shared" si="7"/>
        <v>31725</v>
      </c>
      <c r="AP27" s="864">
        <f t="shared" si="8"/>
        <v>34318</v>
      </c>
      <c r="AR27" s="865">
        <f t="shared" si="9"/>
        <v>0.11717513056218541</v>
      </c>
      <c r="AS27" s="865">
        <f t="shared" si="10"/>
        <v>7.6257111729814794E-2</v>
      </c>
      <c r="AT27" s="865">
        <f t="shared" si="11"/>
        <v>7.5558016201410338E-2</v>
      </c>
      <c r="AV27" s="866">
        <v>81628</v>
      </c>
      <c r="AW27" s="866">
        <v>203652</v>
      </c>
      <c r="AX27" s="866">
        <v>34997</v>
      </c>
      <c r="AZ27" s="866">
        <f t="shared" si="12"/>
        <v>9564.7715575300699</v>
      </c>
      <c r="BA27" s="866">
        <f t="shared" si="13"/>
        <v>15529.913318000243</v>
      </c>
      <c r="BB27" s="866">
        <f t="shared" si="14"/>
        <v>2644.3038930007574</v>
      </c>
      <c r="BC27" s="883">
        <f t="shared" si="15"/>
        <v>27738.988768531071</v>
      </c>
    </row>
    <row r="28" spans="1:55" s="863" customFormat="1" ht="12" customHeight="1" x14ac:dyDescent="0.2">
      <c r="A28" s="863" t="s">
        <v>58</v>
      </c>
      <c r="B28" s="867" t="s">
        <v>467</v>
      </c>
      <c r="C28" s="880">
        <v>130</v>
      </c>
      <c r="D28" s="864">
        <v>683</v>
      </c>
      <c r="E28" s="864">
        <v>813</v>
      </c>
      <c r="F28" s="864">
        <v>70</v>
      </c>
      <c r="G28" s="864">
        <v>1072</v>
      </c>
      <c r="H28" s="864">
        <v>1142</v>
      </c>
      <c r="I28" s="864">
        <v>53</v>
      </c>
      <c r="J28" s="864">
        <v>1155</v>
      </c>
      <c r="K28" s="864">
        <v>1208</v>
      </c>
      <c r="L28" s="864">
        <v>143</v>
      </c>
      <c r="M28" s="864">
        <v>622</v>
      </c>
      <c r="N28" s="864">
        <v>765</v>
      </c>
      <c r="O28" s="864">
        <v>143</v>
      </c>
      <c r="P28" s="864">
        <v>1057</v>
      </c>
      <c r="Q28" s="864">
        <v>1200</v>
      </c>
      <c r="R28" s="864">
        <v>147</v>
      </c>
      <c r="S28" s="864">
        <v>1810</v>
      </c>
      <c r="T28" s="864">
        <v>1957</v>
      </c>
      <c r="U28" s="864">
        <v>167</v>
      </c>
      <c r="V28" s="864">
        <v>2288</v>
      </c>
      <c r="W28" s="864">
        <v>2455</v>
      </c>
      <c r="X28" s="864">
        <v>163</v>
      </c>
      <c r="Y28" s="864">
        <v>1919</v>
      </c>
      <c r="Z28" s="864">
        <v>2082</v>
      </c>
      <c r="AA28" s="864">
        <v>47</v>
      </c>
      <c r="AB28" s="864">
        <v>1109</v>
      </c>
      <c r="AC28" s="864">
        <v>1156</v>
      </c>
      <c r="AD28" s="864">
        <v>104</v>
      </c>
      <c r="AE28" s="864">
        <v>861</v>
      </c>
      <c r="AF28" s="864">
        <v>965</v>
      </c>
      <c r="AH28" s="864">
        <f t="shared" si="0"/>
        <v>253</v>
      </c>
      <c r="AI28" s="864">
        <f t="shared" si="1"/>
        <v>2910</v>
      </c>
      <c r="AJ28" s="864">
        <f t="shared" si="2"/>
        <v>3163</v>
      </c>
      <c r="AK28" s="864">
        <f t="shared" si="3"/>
        <v>763</v>
      </c>
      <c r="AL28" s="864">
        <f t="shared" si="4"/>
        <v>7696</v>
      </c>
      <c r="AM28" s="864">
        <f t="shared" si="5"/>
        <v>8459</v>
      </c>
      <c r="AN28" s="864">
        <f t="shared" si="6"/>
        <v>151</v>
      </c>
      <c r="AO28" s="864">
        <f t="shared" si="7"/>
        <v>1970</v>
      </c>
      <c r="AP28" s="864">
        <f t="shared" si="8"/>
        <v>2121</v>
      </c>
      <c r="AR28" s="865">
        <f t="shared" si="9"/>
        <v>7.9987353778058809E-2</v>
      </c>
      <c r="AS28" s="865">
        <f t="shared" si="10"/>
        <v>9.0199787208889937E-2</v>
      </c>
      <c r="AT28" s="865">
        <f t="shared" si="11"/>
        <v>7.119283356907119E-2</v>
      </c>
      <c r="AV28" s="866">
        <v>3169</v>
      </c>
      <c r="AW28" s="866">
        <v>8724</v>
      </c>
      <c r="AX28" s="866">
        <v>2365</v>
      </c>
      <c r="AZ28" s="866">
        <f t="shared" si="12"/>
        <v>253.47992412266836</v>
      </c>
      <c r="BA28" s="866">
        <f t="shared" si="13"/>
        <v>786.90294361035581</v>
      </c>
      <c r="BB28" s="866">
        <f t="shared" si="14"/>
        <v>168.37105139085335</v>
      </c>
      <c r="BC28" s="883">
        <f t="shared" si="15"/>
        <v>1208.7539191238775</v>
      </c>
    </row>
    <row r="29" spans="1:55" s="863" customFormat="1" ht="12" customHeight="1" x14ac:dyDescent="0.2">
      <c r="A29" s="863" t="s">
        <v>60</v>
      </c>
      <c r="B29" s="867" t="s">
        <v>468</v>
      </c>
      <c r="C29" s="880">
        <v>67</v>
      </c>
      <c r="D29" s="864">
        <v>322</v>
      </c>
      <c r="E29" s="864">
        <v>389</v>
      </c>
      <c r="F29" s="864">
        <v>52</v>
      </c>
      <c r="G29" s="864">
        <v>370</v>
      </c>
      <c r="H29" s="864">
        <v>422</v>
      </c>
      <c r="I29" s="864">
        <v>17</v>
      </c>
      <c r="J29" s="864">
        <v>311</v>
      </c>
      <c r="K29" s="864">
        <v>328</v>
      </c>
      <c r="L29" s="864">
        <v>25</v>
      </c>
      <c r="M29" s="864">
        <v>302</v>
      </c>
      <c r="N29" s="864">
        <v>327</v>
      </c>
      <c r="O29" s="864">
        <v>50</v>
      </c>
      <c r="P29" s="864">
        <v>445</v>
      </c>
      <c r="Q29" s="864">
        <v>495</v>
      </c>
      <c r="R29" s="864">
        <v>20</v>
      </c>
      <c r="S29" s="864">
        <v>759</v>
      </c>
      <c r="T29" s="864">
        <v>779</v>
      </c>
      <c r="U29" s="864">
        <v>12</v>
      </c>
      <c r="V29" s="864">
        <v>837</v>
      </c>
      <c r="W29" s="864">
        <v>849</v>
      </c>
      <c r="X29" s="864">
        <v>16</v>
      </c>
      <c r="Y29" s="864">
        <v>771</v>
      </c>
      <c r="Z29" s="864">
        <v>787</v>
      </c>
      <c r="AA29" s="864">
        <v>54</v>
      </c>
      <c r="AB29" s="864">
        <v>373</v>
      </c>
      <c r="AC29" s="864">
        <v>427</v>
      </c>
      <c r="AD29" s="864">
        <v>60</v>
      </c>
      <c r="AE29" s="864">
        <v>257</v>
      </c>
      <c r="AF29" s="864">
        <v>317</v>
      </c>
      <c r="AH29" s="864">
        <f t="shared" si="0"/>
        <v>136</v>
      </c>
      <c r="AI29" s="864">
        <f t="shared" si="1"/>
        <v>1003</v>
      </c>
      <c r="AJ29" s="864">
        <f t="shared" si="2"/>
        <v>1139</v>
      </c>
      <c r="AK29" s="864">
        <f t="shared" si="3"/>
        <v>123</v>
      </c>
      <c r="AL29" s="864">
        <f t="shared" si="4"/>
        <v>3114</v>
      </c>
      <c r="AM29" s="864">
        <f t="shared" si="5"/>
        <v>3237</v>
      </c>
      <c r="AN29" s="864">
        <f t="shared" si="6"/>
        <v>114</v>
      </c>
      <c r="AO29" s="864">
        <f t="shared" si="7"/>
        <v>630</v>
      </c>
      <c r="AP29" s="864">
        <f t="shared" si="8"/>
        <v>744</v>
      </c>
      <c r="AR29" s="865">
        <f t="shared" si="9"/>
        <v>0.11940298507462686</v>
      </c>
      <c r="AS29" s="865">
        <f t="shared" si="10"/>
        <v>3.7998146431881374E-2</v>
      </c>
      <c r="AT29" s="865">
        <f t="shared" si="11"/>
        <v>0.15322580645161291</v>
      </c>
      <c r="AV29" s="866">
        <v>1096</v>
      </c>
      <c r="AW29" s="866">
        <v>3155</v>
      </c>
      <c r="AX29" s="866">
        <v>848</v>
      </c>
      <c r="AZ29" s="866">
        <f t="shared" si="12"/>
        <v>130.86567164179104</v>
      </c>
      <c r="BA29" s="866">
        <f t="shared" si="13"/>
        <v>119.88415199258574</v>
      </c>
      <c r="BB29" s="866">
        <f t="shared" si="14"/>
        <v>129.93548387096774</v>
      </c>
      <c r="BC29" s="883">
        <f t="shared" si="15"/>
        <v>380.68530750534455</v>
      </c>
    </row>
    <row r="30" spans="1:55" s="863" customFormat="1" ht="12" customHeight="1" x14ac:dyDescent="0.2">
      <c r="A30" s="863" t="s">
        <v>62</v>
      </c>
      <c r="B30" s="867" t="s">
        <v>469</v>
      </c>
      <c r="C30" s="880">
        <v>613</v>
      </c>
      <c r="D30" s="864">
        <v>3390</v>
      </c>
      <c r="E30" s="864">
        <v>4003</v>
      </c>
      <c r="F30" s="864">
        <v>589</v>
      </c>
      <c r="G30" s="864">
        <v>3432</v>
      </c>
      <c r="H30" s="864">
        <v>4021</v>
      </c>
      <c r="I30" s="864">
        <v>353</v>
      </c>
      <c r="J30" s="864">
        <v>3181</v>
      </c>
      <c r="K30" s="864">
        <v>3534</v>
      </c>
      <c r="L30" s="864">
        <v>571</v>
      </c>
      <c r="M30" s="864">
        <v>2859</v>
      </c>
      <c r="N30" s="864">
        <v>3430</v>
      </c>
      <c r="O30" s="864">
        <v>746</v>
      </c>
      <c r="P30" s="864">
        <v>4944</v>
      </c>
      <c r="Q30" s="864">
        <v>5690</v>
      </c>
      <c r="R30" s="864">
        <v>551</v>
      </c>
      <c r="S30" s="864">
        <v>6251</v>
      </c>
      <c r="T30" s="864">
        <v>6802</v>
      </c>
      <c r="U30" s="864">
        <v>465</v>
      </c>
      <c r="V30" s="864">
        <v>6081</v>
      </c>
      <c r="W30" s="864">
        <v>6546</v>
      </c>
      <c r="X30" s="864">
        <v>436</v>
      </c>
      <c r="Y30" s="864">
        <v>4968</v>
      </c>
      <c r="Z30" s="864">
        <v>5404</v>
      </c>
      <c r="AA30" s="864">
        <v>243</v>
      </c>
      <c r="AB30" s="864">
        <v>2893</v>
      </c>
      <c r="AC30" s="864">
        <v>3136</v>
      </c>
      <c r="AD30" s="864">
        <v>294</v>
      </c>
      <c r="AE30" s="864">
        <v>1797</v>
      </c>
      <c r="AF30" s="864">
        <v>2091</v>
      </c>
      <c r="AH30" s="864">
        <f t="shared" si="0"/>
        <v>1555</v>
      </c>
      <c r="AI30" s="864">
        <f t="shared" si="1"/>
        <v>10003</v>
      </c>
      <c r="AJ30" s="864">
        <f t="shared" si="2"/>
        <v>11558</v>
      </c>
      <c r="AK30" s="864">
        <f t="shared" si="3"/>
        <v>2769</v>
      </c>
      <c r="AL30" s="864">
        <f t="shared" si="4"/>
        <v>25103</v>
      </c>
      <c r="AM30" s="864">
        <f t="shared" si="5"/>
        <v>27872</v>
      </c>
      <c r="AN30" s="864">
        <f t="shared" si="6"/>
        <v>537</v>
      </c>
      <c r="AO30" s="864">
        <f t="shared" si="7"/>
        <v>4690</v>
      </c>
      <c r="AP30" s="864">
        <f t="shared" si="8"/>
        <v>5227</v>
      </c>
      <c r="AR30" s="865">
        <f t="shared" si="9"/>
        <v>0.13453884755147949</v>
      </c>
      <c r="AS30" s="865">
        <f t="shared" si="10"/>
        <v>9.9347014925373137E-2</v>
      </c>
      <c r="AT30" s="865">
        <f t="shared" si="11"/>
        <v>0.10273579491103883</v>
      </c>
      <c r="AV30" s="866">
        <v>12053</v>
      </c>
      <c r="AW30" s="866">
        <v>29424</v>
      </c>
      <c r="AX30" s="866">
        <v>5999</v>
      </c>
      <c r="AZ30" s="866">
        <f t="shared" si="12"/>
        <v>1621.5967295379824</v>
      </c>
      <c r="BA30" s="866">
        <f t="shared" si="13"/>
        <v>2923.186567164179</v>
      </c>
      <c r="BB30" s="866">
        <f t="shared" si="14"/>
        <v>616.31203367132196</v>
      </c>
      <c r="BC30" s="883">
        <f t="shared" si="15"/>
        <v>5161.0953303734832</v>
      </c>
    </row>
    <row r="31" spans="1:55" s="863" customFormat="1" ht="12" customHeight="1" x14ac:dyDescent="0.2">
      <c r="A31" s="863" t="s">
        <v>64</v>
      </c>
      <c r="B31" s="867" t="s">
        <v>470</v>
      </c>
      <c r="C31" s="880">
        <v>311</v>
      </c>
      <c r="D31" s="864">
        <v>413</v>
      </c>
      <c r="E31" s="864">
        <v>724</v>
      </c>
      <c r="F31" s="864">
        <v>110</v>
      </c>
      <c r="G31" s="864">
        <v>612</v>
      </c>
      <c r="H31" s="864">
        <v>722</v>
      </c>
      <c r="I31" s="864">
        <v>317</v>
      </c>
      <c r="J31" s="864">
        <v>517</v>
      </c>
      <c r="K31" s="864">
        <v>834</v>
      </c>
      <c r="L31" s="864">
        <v>320</v>
      </c>
      <c r="M31" s="864">
        <v>582</v>
      </c>
      <c r="N31" s="864">
        <v>902</v>
      </c>
      <c r="O31" s="864">
        <v>177</v>
      </c>
      <c r="P31" s="864">
        <v>839</v>
      </c>
      <c r="Q31" s="864">
        <v>1016</v>
      </c>
      <c r="R31" s="864">
        <v>280</v>
      </c>
      <c r="S31" s="864">
        <v>1101</v>
      </c>
      <c r="T31" s="864">
        <v>1381</v>
      </c>
      <c r="U31" s="864">
        <v>215</v>
      </c>
      <c r="V31" s="864">
        <v>1163</v>
      </c>
      <c r="W31" s="864">
        <v>1378</v>
      </c>
      <c r="X31" s="864">
        <v>209</v>
      </c>
      <c r="Y31" s="864">
        <v>1191</v>
      </c>
      <c r="Z31" s="864">
        <v>1400</v>
      </c>
      <c r="AA31" s="864">
        <v>168</v>
      </c>
      <c r="AB31" s="864">
        <v>737</v>
      </c>
      <c r="AC31" s="864">
        <v>905</v>
      </c>
      <c r="AD31" s="864">
        <v>177</v>
      </c>
      <c r="AE31" s="864">
        <v>458</v>
      </c>
      <c r="AF31" s="864">
        <v>635</v>
      </c>
      <c r="AH31" s="864">
        <f t="shared" si="0"/>
        <v>738</v>
      </c>
      <c r="AI31" s="864">
        <f t="shared" si="1"/>
        <v>1542</v>
      </c>
      <c r="AJ31" s="864">
        <f t="shared" si="2"/>
        <v>2280</v>
      </c>
      <c r="AK31" s="864">
        <f t="shared" si="3"/>
        <v>1201</v>
      </c>
      <c r="AL31" s="864">
        <f t="shared" si="4"/>
        <v>4876</v>
      </c>
      <c r="AM31" s="864">
        <f t="shared" si="5"/>
        <v>6077</v>
      </c>
      <c r="AN31" s="864">
        <f t="shared" si="6"/>
        <v>345</v>
      </c>
      <c r="AO31" s="864">
        <f t="shared" si="7"/>
        <v>1195</v>
      </c>
      <c r="AP31" s="864">
        <f t="shared" si="8"/>
        <v>1540</v>
      </c>
      <c r="AR31" s="865">
        <f t="shared" si="9"/>
        <v>0.3236842105263158</v>
      </c>
      <c r="AS31" s="865">
        <f t="shared" si="10"/>
        <v>0.19763040974164883</v>
      </c>
      <c r="AT31" s="865">
        <f t="shared" si="11"/>
        <v>0.22402597402597402</v>
      </c>
      <c r="AV31" s="866">
        <v>2228</v>
      </c>
      <c r="AW31" s="866">
        <v>6071</v>
      </c>
      <c r="AX31" s="866">
        <v>1670</v>
      </c>
      <c r="AZ31" s="866">
        <f t="shared" si="12"/>
        <v>721.16842105263163</v>
      </c>
      <c r="BA31" s="866">
        <f t="shared" si="13"/>
        <v>1199.8142175415501</v>
      </c>
      <c r="BB31" s="866">
        <f t="shared" si="14"/>
        <v>374.1233766233766</v>
      </c>
      <c r="BC31" s="883">
        <f t="shared" si="15"/>
        <v>2295.1060152175583</v>
      </c>
    </row>
    <row r="32" spans="1:55" s="863" customFormat="1" ht="12" customHeight="1" x14ac:dyDescent="0.2">
      <c r="A32" s="863" t="s">
        <v>68</v>
      </c>
      <c r="B32" s="867" t="s">
        <v>471</v>
      </c>
      <c r="C32" s="880">
        <v>360</v>
      </c>
      <c r="D32" s="864">
        <v>693</v>
      </c>
      <c r="E32" s="864">
        <v>1053</v>
      </c>
      <c r="F32" s="864">
        <v>428</v>
      </c>
      <c r="G32" s="864">
        <v>554</v>
      </c>
      <c r="H32" s="864">
        <v>982</v>
      </c>
      <c r="I32" s="864">
        <v>514</v>
      </c>
      <c r="J32" s="864">
        <v>790</v>
      </c>
      <c r="K32" s="864">
        <v>1304</v>
      </c>
      <c r="L32" s="864">
        <v>431</v>
      </c>
      <c r="M32" s="864">
        <v>721</v>
      </c>
      <c r="N32" s="864">
        <v>1152</v>
      </c>
      <c r="O32" s="864">
        <v>408</v>
      </c>
      <c r="P32" s="864">
        <v>1440</v>
      </c>
      <c r="Q32" s="864">
        <v>1848</v>
      </c>
      <c r="R32" s="864">
        <v>809</v>
      </c>
      <c r="S32" s="864">
        <v>1222</v>
      </c>
      <c r="T32" s="864">
        <v>2031</v>
      </c>
      <c r="U32" s="864">
        <v>550</v>
      </c>
      <c r="V32" s="864">
        <v>1993</v>
      </c>
      <c r="W32" s="864">
        <v>2543</v>
      </c>
      <c r="X32" s="864">
        <v>443</v>
      </c>
      <c r="Y32" s="864">
        <v>1857</v>
      </c>
      <c r="Z32" s="864">
        <v>2300</v>
      </c>
      <c r="AA32" s="864">
        <v>379</v>
      </c>
      <c r="AB32" s="864">
        <v>1162</v>
      </c>
      <c r="AC32" s="864">
        <v>1541</v>
      </c>
      <c r="AD32" s="864">
        <v>236</v>
      </c>
      <c r="AE32" s="864">
        <v>822</v>
      </c>
      <c r="AF32" s="864">
        <v>1058</v>
      </c>
      <c r="AH32" s="864">
        <f t="shared" si="0"/>
        <v>1302</v>
      </c>
      <c r="AI32" s="864">
        <f t="shared" si="1"/>
        <v>2037</v>
      </c>
      <c r="AJ32" s="864">
        <f t="shared" si="2"/>
        <v>3339</v>
      </c>
      <c r="AK32" s="864">
        <f t="shared" si="3"/>
        <v>2641</v>
      </c>
      <c r="AL32" s="864">
        <f t="shared" si="4"/>
        <v>7233</v>
      </c>
      <c r="AM32" s="864">
        <f t="shared" si="5"/>
        <v>9874</v>
      </c>
      <c r="AN32" s="864">
        <f t="shared" si="6"/>
        <v>615</v>
      </c>
      <c r="AO32" s="864">
        <f t="shared" si="7"/>
        <v>1984</v>
      </c>
      <c r="AP32" s="864">
        <f t="shared" si="8"/>
        <v>2599</v>
      </c>
      <c r="AR32" s="865">
        <f t="shared" si="9"/>
        <v>0.38993710691823902</v>
      </c>
      <c r="AS32" s="865">
        <f t="shared" si="10"/>
        <v>0.26747012355681588</v>
      </c>
      <c r="AT32" s="865">
        <f t="shared" si="11"/>
        <v>0.23662947287418237</v>
      </c>
      <c r="AV32" s="866">
        <v>3221</v>
      </c>
      <c r="AW32" s="866">
        <v>9831</v>
      </c>
      <c r="AX32" s="866">
        <v>2689</v>
      </c>
      <c r="AZ32" s="866">
        <f t="shared" si="12"/>
        <v>1255.9874213836479</v>
      </c>
      <c r="BA32" s="866">
        <f t="shared" si="13"/>
        <v>2629.4987846870567</v>
      </c>
      <c r="BB32" s="866">
        <f t="shared" si="14"/>
        <v>636.29665255867644</v>
      </c>
      <c r="BC32" s="883">
        <f t="shared" si="15"/>
        <v>4521.7828586293808</v>
      </c>
    </row>
    <row r="33" spans="1:55" s="863" customFormat="1" ht="12" customHeight="1" x14ac:dyDescent="0.2">
      <c r="A33" s="863" t="s">
        <v>70</v>
      </c>
      <c r="B33" s="867" t="s">
        <v>472</v>
      </c>
      <c r="C33" s="880">
        <v>416</v>
      </c>
      <c r="D33" s="864">
        <v>1502</v>
      </c>
      <c r="E33" s="864">
        <v>1918</v>
      </c>
      <c r="F33" s="864">
        <v>205</v>
      </c>
      <c r="G33" s="864">
        <v>1686</v>
      </c>
      <c r="H33" s="864">
        <v>1891</v>
      </c>
      <c r="I33" s="864">
        <v>464</v>
      </c>
      <c r="J33" s="864">
        <v>1947</v>
      </c>
      <c r="K33" s="864">
        <v>2411</v>
      </c>
      <c r="L33" s="864">
        <v>367</v>
      </c>
      <c r="M33" s="864">
        <v>2150</v>
      </c>
      <c r="N33" s="864">
        <v>2517</v>
      </c>
      <c r="O33" s="864">
        <v>300</v>
      </c>
      <c r="P33" s="864">
        <v>2386</v>
      </c>
      <c r="Q33" s="864">
        <v>2686</v>
      </c>
      <c r="R33" s="864">
        <v>489</v>
      </c>
      <c r="S33" s="864">
        <v>3512</v>
      </c>
      <c r="T33" s="864">
        <v>4001</v>
      </c>
      <c r="U33" s="864">
        <v>754</v>
      </c>
      <c r="V33" s="864">
        <v>3861</v>
      </c>
      <c r="W33" s="864">
        <v>4615</v>
      </c>
      <c r="X33" s="864">
        <v>650</v>
      </c>
      <c r="Y33" s="864">
        <v>2849</v>
      </c>
      <c r="Z33" s="864">
        <v>3499</v>
      </c>
      <c r="AA33" s="864">
        <v>358</v>
      </c>
      <c r="AB33" s="864">
        <v>1902</v>
      </c>
      <c r="AC33" s="864">
        <v>2260</v>
      </c>
      <c r="AD33" s="864">
        <v>298</v>
      </c>
      <c r="AE33" s="864">
        <v>1110</v>
      </c>
      <c r="AF33" s="864">
        <v>1408</v>
      </c>
      <c r="AH33" s="864">
        <f t="shared" si="0"/>
        <v>1085</v>
      </c>
      <c r="AI33" s="864">
        <f t="shared" si="1"/>
        <v>5135</v>
      </c>
      <c r="AJ33" s="864">
        <f t="shared" si="2"/>
        <v>6220</v>
      </c>
      <c r="AK33" s="864">
        <f t="shared" si="3"/>
        <v>2560</v>
      </c>
      <c r="AL33" s="864">
        <f t="shared" si="4"/>
        <v>14758</v>
      </c>
      <c r="AM33" s="864">
        <f t="shared" si="5"/>
        <v>17318</v>
      </c>
      <c r="AN33" s="864">
        <f t="shared" si="6"/>
        <v>656</v>
      </c>
      <c r="AO33" s="864">
        <f t="shared" si="7"/>
        <v>3012</v>
      </c>
      <c r="AP33" s="864">
        <f t="shared" si="8"/>
        <v>3668</v>
      </c>
      <c r="AR33" s="865">
        <f t="shared" si="9"/>
        <v>0.17443729903536978</v>
      </c>
      <c r="AS33" s="865">
        <f t="shared" si="10"/>
        <v>0.14782307425799746</v>
      </c>
      <c r="AT33" s="865">
        <f t="shared" si="11"/>
        <v>0.17884405670665213</v>
      </c>
      <c r="AV33" s="866">
        <v>6118</v>
      </c>
      <c r="AW33" s="866">
        <v>17870</v>
      </c>
      <c r="AX33" s="866">
        <v>3930</v>
      </c>
      <c r="AZ33" s="866">
        <f t="shared" si="12"/>
        <v>1067.2073954983923</v>
      </c>
      <c r="BA33" s="866">
        <f t="shared" si="13"/>
        <v>2641.5983369904147</v>
      </c>
      <c r="BB33" s="866">
        <f t="shared" si="14"/>
        <v>702.85714285714289</v>
      </c>
      <c r="BC33" s="883">
        <f t="shared" si="15"/>
        <v>4411.6628753459499</v>
      </c>
    </row>
    <row r="34" spans="1:55" s="863" customFormat="1" ht="12" customHeight="1" x14ac:dyDescent="0.2">
      <c r="A34" s="863" t="s">
        <v>72</v>
      </c>
      <c r="B34" s="867" t="s">
        <v>473</v>
      </c>
      <c r="C34" s="880">
        <v>185</v>
      </c>
      <c r="D34" s="864">
        <v>490</v>
      </c>
      <c r="E34" s="864">
        <v>675</v>
      </c>
      <c r="F34" s="864">
        <v>203</v>
      </c>
      <c r="G34" s="864">
        <v>533</v>
      </c>
      <c r="H34" s="864">
        <v>736</v>
      </c>
      <c r="I34" s="864">
        <v>196</v>
      </c>
      <c r="J34" s="864">
        <v>710</v>
      </c>
      <c r="K34" s="864">
        <v>906</v>
      </c>
      <c r="L34" s="864">
        <v>170</v>
      </c>
      <c r="M34" s="864">
        <v>944</v>
      </c>
      <c r="N34" s="864">
        <v>1114</v>
      </c>
      <c r="O34" s="864">
        <v>92</v>
      </c>
      <c r="P34" s="864">
        <v>695</v>
      </c>
      <c r="Q34" s="864">
        <v>787</v>
      </c>
      <c r="R34" s="864">
        <v>188</v>
      </c>
      <c r="S34" s="864">
        <v>1346</v>
      </c>
      <c r="T34" s="864">
        <v>1534</v>
      </c>
      <c r="U34" s="864">
        <v>289</v>
      </c>
      <c r="V34" s="864">
        <v>1379</v>
      </c>
      <c r="W34" s="864">
        <v>1668</v>
      </c>
      <c r="X34" s="864">
        <v>138</v>
      </c>
      <c r="Y34" s="864">
        <v>1500</v>
      </c>
      <c r="Z34" s="864">
        <v>1638</v>
      </c>
      <c r="AA34" s="864">
        <v>113</v>
      </c>
      <c r="AB34" s="864">
        <v>856</v>
      </c>
      <c r="AC34" s="864">
        <v>969</v>
      </c>
      <c r="AD34" s="864">
        <v>209</v>
      </c>
      <c r="AE34" s="864">
        <v>630</v>
      </c>
      <c r="AF34" s="864">
        <v>839</v>
      </c>
      <c r="AH34" s="864">
        <f t="shared" si="0"/>
        <v>584</v>
      </c>
      <c r="AI34" s="864">
        <f t="shared" si="1"/>
        <v>1733</v>
      </c>
      <c r="AJ34" s="864">
        <f t="shared" si="2"/>
        <v>2317</v>
      </c>
      <c r="AK34" s="864">
        <f t="shared" si="3"/>
        <v>877</v>
      </c>
      <c r="AL34" s="864">
        <f t="shared" si="4"/>
        <v>5864</v>
      </c>
      <c r="AM34" s="864">
        <f t="shared" si="5"/>
        <v>6741</v>
      </c>
      <c r="AN34" s="864">
        <f t="shared" si="6"/>
        <v>322</v>
      </c>
      <c r="AO34" s="864">
        <f t="shared" si="7"/>
        <v>1486</v>
      </c>
      <c r="AP34" s="864">
        <f t="shared" si="8"/>
        <v>1808</v>
      </c>
      <c r="AR34" s="865">
        <f t="shared" si="9"/>
        <v>0.25205006473888647</v>
      </c>
      <c r="AS34" s="865">
        <f t="shared" si="10"/>
        <v>0.13009939178163477</v>
      </c>
      <c r="AT34" s="865">
        <f t="shared" si="11"/>
        <v>0.17809734513274336</v>
      </c>
      <c r="AV34" s="866">
        <v>2425</v>
      </c>
      <c r="AW34" s="866">
        <v>6788</v>
      </c>
      <c r="AX34" s="866">
        <v>1992</v>
      </c>
      <c r="AZ34" s="866">
        <f t="shared" si="12"/>
        <v>611.22140699179965</v>
      </c>
      <c r="BA34" s="866">
        <f t="shared" si="13"/>
        <v>883.1146714137368</v>
      </c>
      <c r="BB34" s="866">
        <f t="shared" si="14"/>
        <v>354.76991150442478</v>
      </c>
      <c r="BC34" s="883">
        <f t="shared" si="15"/>
        <v>1849.1059899099612</v>
      </c>
    </row>
    <row r="35" spans="1:55" s="863" customFormat="1" ht="12" customHeight="1" x14ac:dyDescent="0.2">
      <c r="A35" s="863" t="s">
        <v>74</v>
      </c>
      <c r="B35" s="867" t="s">
        <v>609</v>
      </c>
      <c r="C35" s="880">
        <v>9986</v>
      </c>
      <c r="D35" s="864">
        <v>78477</v>
      </c>
      <c r="E35" s="864">
        <v>88463</v>
      </c>
      <c r="F35" s="864">
        <v>7915</v>
      </c>
      <c r="G35" s="864">
        <v>78060</v>
      </c>
      <c r="H35" s="864">
        <v>85975</v>
      </c>
      <c r="I35" s="864">
        <v>7605</v>
      </c>
      <c r="J35" s="864">
        <v>81545</v>
      </c>
      <c r="K35" s="864">
        <v>89150</v>
      </c>
      <c r="L35" s="864">
        <v>13327</v>
      </c>
      <c r="M35" s="864">
        <v>69350</v>
      </c>
      <c r="N35" s="864">
        <v>82677</v>
      </c>
      <c r="O35" s="864">
        <v>11917</v>
      </c>
      <c r="P35" s="864">
        <v>146593</v>
      </c>
      <c r="Q35" s="864">
        <v>158510</v>
      </c>
      <c r="R35" s="864">
        <v>10812</v>
      </c>
      <c r="S35" s="864">
        <v>158721</v>
      </c>
      <c r="T35" s="864">
        <v>169533</v>
      </c>
      <c r="U35" s="864">
        <v>9306</v>
      </c>
      <c r="V35" s="864">
        <v>168097</v>
      </c>
      <c r="W35" s="864">
        <v>177403</v>
      </c>
      <c r="X35" s="864">
        <v>4785</v>
      </c>
      <c r="Y35" s="864">
        <v>127613</v>
      </c>
      <c r="Z35" s="864">
        <v>132398</v>
      </c>
      <c r="AA35" s="864">
        <v>3003</v>
      </c>
      <c r="AB35" s="864">
        <v>59049</v>
      </c>
      <c r="AC35" s="864">
        <v>62052</v>
      </c>
      <c r="AD35" s="864">
        <v>3658</v>
      </c>
      <c r="AE35" s="864">
        <v>39690</v>
      </c>
      <c r="AF35" s="864">
        <v>43348</v>
      </c>
      <c r="AH35" s="864">
        <f t="shared" si="0"/>
        <v>25506</v>
      </c>
      <c r="AI35" s="864">
        <f t="shared" si="1"/>
        <v>238082</v>
      </c>
      <c r="AJ35" s="864">
        <f t="shared" si="2"/>
        <v>263588</v>
      </c>
      <c r="AK35" s="864">
        <f t="shared" si="3"/>
        <v>50147</v>
      </c>
      <c r="AL35" s="864">
        <f t="shared" si="4"/>
        <v>670374</v>
      </c>
      <c r="AM35" s="864">
        <f t="shared" si="5"/>
        <v>720521</v>
      </c>
      <c r="AN35" s="864">
        <f t="shared" si="6"/>
        <v>6661</v>
      </c>
      <c r="AO35" s="864">
        <f t="shared" si="7"/>
        <v>98739</v>
      </c>
      <c r="AP35" s="864">
        <f t="shared" si="8"/>
        <v>105400</v>
      </c>
      <c r="AR35" s="865">
        <f t="shared" si="9"/>
        <v>9.6764647859538366E-2</v>
      </c>
      <c r="AS35" s="865">
        <f t="shared" si="10"/>
        <v>6.9598249044788424E-2</v>
      </c>
      <c r="AT35" s="865">
        <f t="shared" si="11"/>
        <v>6.3197343453510441E-2</v>
      </c>
      <c r="AV35" s="866">
        <v>265215</v>
      </c>
      <c r="AW35" s="866">
        <v>723287</v>
      </c>
      <c r="AX35" s="866">
        <v>112190</v>
      </c>
      <c r="AZ35" s="866">
        <f t="shared" si="12"/>
        <v>25663.436082067466</v>
      </c>
      <c r="BA35" s="866">
        <f t="shared" si="13"/>
        <v>50339.508756857882</v>
      </c>
      <c r="BB35" s="866">
        <f t="shared" si="14"/>
        <v>7090.109962049336</v>
      </c>
      <c r="BC35" s="883">
        <f t="shared" si="15"/>
        <v>83093.054800974685</v>
      </c>
    </row>
    <row r="36" spans="1:55" s="863" customFormat="1" ht="12" customHeight="1" x14ac:dyDescent="0.2">
      <c r="A36" s="863" t="s">
        <v>76</v>
      </c>
      <c r="B36" s="867" t="s">
        <v>474</v>
      </c>
      <c r="C36" s="880">
        <v>452</v>
      </c>
      <c r="D36" s="864">
        <v>4389</v>
      </c>
      <c r="E36" s="864">
        <v>4841</v>
      </c>
      <c r="F36" s="864">
        <v>757</v>
      </c>
      <c r="G36" s="864">
        <v>4893</v>
      </c>
      <c r="H36" s="864">
        <v>5650</v>
      </c>
      <c r="I36" s="864">
        <v>427</v>
      </c>
      <c r="J36" s="864">
        <v>5465</v>
      </c>
      <c r="K36" s="864">
        <v>5892</v>
      </c>
      <c r="L36" s="864">
        <v>468</v>
      </c>
      <c r="M36" s="864">
        <v>4163</v>
      </c>
      <c r="N36" s="864">
        <v>4631</v>
      </c>
      <c r="O36" s="864">
        <v>635</v>
      </c>
      <c r="P36" s="864">
        <v>5647</v>
      </c>
      <c r="Q36" s="864">
        <v>6282</v>
      </c>
      <c r="R36" s="864">
        <v>628</v>
      </c>
      <c r="S36" s="864">
        <v>8924</v>
      </c>
      <c r="T36" s="864">
        <v>9552</v>
      </c>
      <c r="U36" s="864">
        <v>689</v>
      </c>
      <c r="V36" s="864">
        <v>10652</v>
      </c>
      <c r="W36" s="864">
        <v>11341</v>
      </c>
      <c r="X36" s="864">
        <v>535</v>
      </c>
      <c r="Y36" s="864">
        <v>7930</v>
      </c>
      <c r="Z36" s="864">
        <v>8465</v>
      </c>
      <c r="AA36" s="864">
        <v>210</v>
      </c>
      <c r="AB36" s="864">
        <v>4539</v>
      </c>
      <c r="AC36" s="864">
        <v>4749</v>
      </c>
      <c r="AD36" s="864">
        <v>308</v>
      </c>
      <c r="AE36" s="864">
        <v>2761</v>
      </c>
      <c r="AF36" s="864">
        <v>3069</v>
      </c>
      <c r="AH36" s="864">
        <f t="shared" si="0"/>
        <v>1636</v>
      </c>
      <c r="AI36" s="864">
        <f t="shared" si="1"/>
        <v>14747</v>
      </c>
      <c r="AJ36" s="864">
        <f t="shared" si="2"/>
        <v>16383</v>
      </c>
      <c r="AK36" s="864">
        <f t="shared" si="3"/>
        <v>2955</v>
      </c>
      <c r="AL36" s="864">
        <f t="shared" si="4"/>
        <v>37316</v>
      </c>
      <c r="AM36" s="864">
        <f t="shared" si="5"/>
        <v>40271</v>
      </c>
      <c r="AN36" s="864">
        <f t="shared" si="6"/>
        <v>518</v>
      </c>
      <c r="AO36" s="864">
        <f t="shared" si="7"/>
        <v>7300</v>
      </c>
      <c r="AP36" s="864">
        <f t="shared" si="8"/>
        <v>7818</v>
      </c>
      <c r="AR36" s="865">
        <f t="shared" si="9"/>
        <v>9.9859610571934321E-2</v>
      </c>
      <c r="AS36" s="865">
        <f t="shared" si="10"/>
        <v>7.3377864964863052E-2</v>
      </c>
      <c r="AT36" s="865">
        <f t="shared" si="11"/>
        <v>6.6257354822205169E-2</v>
      </c>
      <c r="AV36" s="866">
        <v>16288</v>
      </c>
      <c r="AW36" s="866">
        <v>41075</v>
      </c>
      <c r="AX36" s="866">
        <v>8708</v>
      </c>
      <c r="AZ36" s="866">
        <f t="shared" si="12"/>
        <v>1626.5133369956661</v>
      </c>
      <c r="BA36" s="866">
        <f t="shared" si="13"/>
        <v>3013.9958034317497</v>
      </c>
      <c r="BB36" s="866">
        <f t="shared" si="14"/>
        <v>576.9690457917626</v>
      </c>
      <c r="BC36" s="883">
        <f t="shared" si="15"/>
        <v>5217.4781862191776</v>
      </c>
    </row>
    <row r="37" spans="1:55" s="863" customFormat="1" ht="12" customHeight="1" x14ac:dyDescent="0.2">
      <c r="A37" s="863" t="s">
        <v>78</v>
      </c>
      <c r="B37" s="867" t="s">
        <v>475</v>
      </c>
      <c r="C37" s="880">
        <v>181</v>
      </c>
      <c r="D37" s="864">
        <v>900</v>
      </c>
      <c r="E37" s="864">
        <v>1081</v>
      </c>
      <c r="F37" s="864">
        <v>307</v>
      </c>
      <c r="G37" s="864">
        <v>888</v>
      </c>
      <c r="H37" s="864">
        <v>1195</v>
      </c>
      <c r="I37" s="864">
        <v>238</v>
      </c>
      <c r="J37" s="864">
        <v>847</v>
      </c>
      <c r="K37" s="864">
        <v>1085</v>
      </c>
      <c r="L37" s="864">
        <v>85</v>
      </c>
      <c r="M37" s="864">
        <v>842</v>
      </c>
      <c r="N37" s="864">
        <v>927</v>
      </c>
      <c r="O37" s="864">
        <v>317</v>
      </c>
      <c r="P37" s="864">
        <v>1367</v>
      </c>
      <c r="Q37" s="864">
        <v>1684</v>
      </c>
      <c r="R37" s="864">
        <v>423</v>
      </c>
      <c r="S37" s="864">
        <v>1621</v>
      </c>
      <c r="T37" s="864">
        <v>2044</v>
      </c>
      <c r="U37" s="864">
        <v>201</v>
      </c>
      <c r="V37" s="864">
        <v>2019</v>
      </c>
      <c r="W37" s="864">
        <v>2220</v>
      </c>
      <c r="X37" s="864">
        <v>376</v>
      </c>
      <c r="Y37" s="864">
        <v>1891</v>
      </c>
      <c r="Z37" s="864">
        <v>2267</v>
      </c>
      <c r="AA37" s="864">
        <v>297</v>
      </c>
      <c r="AB37" s="864">
        <v>1215</v>
      </c>
      <c r="AC37" s="864">
        <v>1512</v>
      </c>
      <c r="AD37" s="864">
        <v>307</v>
      </c>
      <c r="AE37" s="864">
        <v>773</v>
      </c>
      <c r="AF37" s="864">
        <v>1080</v>
      </c>
      <c r="AH37" s="864">
        <f t="shared" si="0"/>
        <v>726</v>
      </c>
      <c r="AI37" s="864">
        <f t="shared" si="1"/>
        <v>2635</v>
      </c>
      <c r="AJ37" s="864">
        <f t="shared" si="2"/>
        <v>3361</v>
      </c>
      <c r="AK37" s="864">
        <f t="shared" si="3"/>
        <v>1402</v>
      </c>
      <c r="AL37" s="864">
        <f t="shared" si="4"/>
        <v>7740</v>
      </c>
      <c r="AM37" s="864">
        <f t="shared" si="5"/>
        <v>9142</v>
      </c>
      <c r="AN37" s="864">
        <f t="shared" si="6"/>
        <v>604</v>
      </c>
      <c r="AO37" s="864">
        <f t="shared" si="7"/>
        <v>1988</v>
      </c>
      <c r="AP37" s="864">
        <f t="shared" si="8"/>
        <v>2592</v>
      </c>
      <c r="AR37" s="865">
        <f t="shared" si="9"/>
        <v>0.21600714073192503</v>
      </c>
      <c r="AS37" s="865">
        <f t="shared" si="10"/>
        <v>0.15335812732443665</v>
      </c>
      <c r="AT37" s="865">
        <f t="shared" si="11"/>
        <v>0.2330246913580247</v>
      </c>
      <c r="AV37" s="866">
        <v>3303</v>
      </c>
      <c r="AW37" s="866">
        <v>9279</v>
      </c>
      <c r="AX37" s="866">
        <v>2796</v>
      </c>
      <c r="AZ37" s="866">
        <f t="shared" si="12"/>
        <v>713.47158583754845</v>
      </c>
      <c r="BA37" s="866">
        <f t="shared" si="13"/>
        <v>1423.0100634434477</v>
      </c>
      <c r="BB37" s="866">
        <f t="shared" si="14"/>
        <v>651.53703703703707</v>
      </c>
      <c r="BC37" s="883">
        <f t="shared" si="15"/>
        <v>2788.0186863180329</v>
      </c>
    </row>
    <row r="38" spans="1:55" s="863" customFormat="1" ht="12" customHeight="1" x14ac:dyDescent="0.2">
      <c r="A38" s="863" t="s">
        <v>80</v>
      </c>
      <c r="B38" s="867" t="s">
        <v>476</v>
      </c>
      <c r="C38" s="880">
        <v>150</v>
      </c>
      <c r="D38" s="864">
        <v>1821</v>
      </c>
      <c r="E38" s="864">
        <v>1971</v>
      </c>
      <c r="F38" s="864">
        <v>210</v>
      </c>
      <c r="G38" s="864">
        <v>1703</v>
      </c>
      <c r="H38" s="864">
        <v>1913</v>
      </c>
      <c r="I38" s="864">
        <v>263</v>
      </c>
      <c r="J38" s="864">
        <v>1676</v>
      </c>
      <c r="K38" s="864">
        <v>1939</v>
      </c>
      <c r="L38" s="864">
        <v>398</v>
      </c>
      <c r="M38" s="864">
        <v>1006</v>
      </c>
      <c r="N38" s="864">
        <v>1404</v>
      </c>
      <c r="O38" s="864">
        <v>113</v>
      </c>
      <c r="P38" s="864">
        <v>2720</v>
      </c>
      <c r="Q38" s="864">
        <v>2833</v>
      </c>
      <c r="R38" s="864">
        <v>208</v>
      </c>
      <c r="S38" s="864">
        <v>3202</v>
      </c>
      <c r="T38" s="864">
        <v>3410</v>
      </c>
      <c r="U38" s="864">
        <v>349</v>
      </c>
      <c r="V38" s="864">
        <v>3482</v>
      </c>
      <c r="W38" s="864">
        <v>3831</v>
      </c>
      <c r="X38" s="864">
        <v>315</v>
      </c>
      <c r="Y38" s="864">
        <v>2866</v>
      </c>
      <c r="Z38" s="864">
        <v>3181</v>
      </c>
      <c r="AA38" s="864">
        <v>232</v>
      </c>
      <c r="AB38" s="864">
        <v>2109</v>
      </c>
      <c r="AC38" s="864">
        <v>2341</v>
      </c>
      <c r="AD38" s="864">
        <v>168</v>
      </c>
      <c r="AE38" s="864">
        <v>1358</v>
      </c>
      <c r="AF38" s="864">
        <v>1526</v>
      </c>
      <c r="AH38" s="864">
        <f t="shared" ref="AH38:AH69" si="16">C38+F38+I38</f>
        <v>623</v>
      </c>
      <c r="AI38" s="864">
        <f t="shared" ref="AI38:AI69" si="17">D38+G38+J38</f>
        <v>5200</v>
      </c>
      <c r="AJ38" s="864">
        <f t="shared" ref="AJ38:AJ69" si="18">E38+H38+K38</f>
        <v>5823</v>
      </c>
      <c r="AK38" s="864">
        <f t="shared" ref="AK38:AK69" si="19">L38+O38+R38+U38+X38</f>
        <v>1383</v>
      </c>
      <c r="AL38" s="864">
        <f t="shared" ref="AL38:AL69" si="20">M38+P38+S38+V38+Y38</f>
        <v>13276</v>
      </c>
      <c r="AM38" s="864">
        <f t="shared" ref="AM38:AM69" si="21">N38+Q38+T38+W38+Z38</f>
        <v>14659</v>
      </c>
      <c r="AN38" s="864">
        <f t="shared" ref="AN38:AN69" si="22">AA38+AD38</f>
        <v>400</v>
      </c>
      <c r="AO38" s="864">
        <f t="shared" ref="AO38:AO69" si="23">AB38+AE38</f>
        <v>3467</v>
      </c>
      <c r="AP38" s="864">
        <f t="shared" ref="AP38:AP69" si="24">AC38+AF38</f>
        <v>3867</v>
      </c>
      <c r="AR38" s="865">
        <f t="shared" ref="AR38:AR69" si="25">AH38/AJ38</f>
        <v>0.1069895243001889</v>
      </c>
      <c r="AS38" s="865">
        <f t="shared" ref="AS38:AS69" si="26">AK38/AM38</f>
        <v>9.4344771130363603E-2</v>
      </c>
      <c r="AT38" s="865">
        <f t="shared" ref="AT38:AT69" si="27">AN38/AP38</f>
        <v>0.10343935867597621</v>
      </c>
      <c r="AV38" s="866">
        <v>5859</v>
      </c>
      <c r="AW38" s="866">
        <v>16009</v>
      </c>
      <c r="AX38" s="866">
        <v>4193</v>
      </c>
      <c r="AZ38" s="866">
        <f t="shared" ref="AZ38:AZ69" si="28">AR38*AV38</f>
        <v>626.85162287480682</v>
      </c>
      <c r="BA38" s="866">
        <f t="shared" ref="BA38:BA69" si="29">AS38*AW38</f>
        <v>1510.365441025991</v>
      </c>
      <c r="BB38" s="866">
        <f t="shared" ref="BB38:BB69" si="30">AT38*AX38</f>
        <v>433.72123092836824</v>
      </c>
      <c r="BC38" s="883">
        <f t="shared" si="15"/>
        <v>2570.9382948291659</v>
      </c>
    </row>
    <row r="39" spans="1:55" s="863" customFormat="1" ht="12" customHeight="1" x14ac:dyDescent="0.2">
      <c r="A39" s="863" t="s">
        <v>84</v>
      </c>
      <c r="B39" s="867" t="s">
        <v>85</v>
      </c>
      <c r="C39" s="880">
        <v>1058</v>
      </c>
      <c r="D39" s="864">
        <v>2491</v>
      </c>
      <c r="E39" s="864">
        <v>3549</v>
      </c>
      <c r="F39" s="864">
        <v>1125</v>
      </c>
      <c r="G39" s="864">
        <v>2453</v>
      </c>
      <c r="H39" s="864">
        <v>3578</v>
      </c>
      <c r="I39" s="864">
        <v>1281</v>
      </c>
      <c r="J39" s="864">
        <v>3013</v>
      </c>
      <c r="K39" s="864">
        <v>4294</v>
      </c>
      <c r="L39" s="864">
        <v>930</v>
      </c>
      <c r="M39" s="864">
        <v>2744</v>
      </c>
      <c r="N39" s="864">
        <v>3674</v>
      </c>
      <c r="O39" s="864">
        <v>1352</v>
      </c>
      <c r="P39" s="864">
        <v>4214</v>
      </c>
      <c r="Q39" s="864">
        <v>5566</v>
      </c>
      <c r="R39" s="864">
        <v>1231</v>
      </c>
      <c r="S39" s="864">
        <v>5799</v>
      </c>
      <c r="T39" s="864">
        <v>7030</v>
      </c>
      <c r="U39" s="864">
        <v>1168</v>
      </c>
      <c r="V39" s="864">
        <v>7611</v>
      </c>
      <c r="W39" s="864">
        <v>8779</v>
      </c>
      <c r="X39" s="864">
        <v>865</v>
      </c>
      <c r="Y39" s="864">
        <v>7564</v>
      </c>
      <c r="Z39" s="864">
        <v>8429</v>
      </c>
      <c r="AA39" s="864">
        <v>535</v>
      </c>
      <c r="AB39" s="864">
        <v>5220</v>
      </c>
      <c r="AC39" s="864">
        <v>5755</v>
      </c>
      <c r="AD39" s="864">
        <v>797</v>
      </c>
      <c r="AE39" s="864">
        <v>2824</v>
      </c>
      <c r="AF39" s="864">
        <v>3621</v>
      </c>
      <c r="AH39" s="864">
        <f t="shared" si="16"/>
        <v>3464</v>
      </c>
      <c r="AI39" s="864">
        <f t="shared" si="17"/>
        <v>7957</v>
      </c>
      <c r="AJ39" s="864">
        <f t="shared" si="18"/>
        <v>11421</v>
      </c>
      <c r="AK39" s="864">
        <f t="shared" si="19"/>
        <v>5546</v>
      </c>
      <c r="AL39" s="864">
        <f t="shared" si="20"/>
        <v>27932</v>
      </c>
      <c r="AM39" s="864">
        <f t="shared" si="21"/>
        <v>33478</v>
      </c>
      <c r="AN39" s="864">
        <f t="shared" si="22"/>
        <v>1332</v>
      </c>
      <c r="AO39" s="864">
        <f t="shared" si="23"/>
        <v>8044</v>
      </c>
      <c r="AP39" s="864">
        <f t="shared" si="24"/>
        <v>9376</v>
      </c>
      <c r="AR39" s="865">
        <f t="shared" si="25"/>
        <v>0.30330093687067683</v>
      </c>
      <c r="AS39" s="865">
        <f t="shared" si="26"/>
        <v>0.16566103112491787</v>
      </c>
      <c r="AT39" s="865">
        <f t="shared" si="27"/>
        <v>0.14206484641638226</v>
      </c>
      <c r="AV39" s="866">
        <v>11523</v>
      </c>
      <c r="AW39" s="866">
        <v>34581</v>
      </c>
      <c r="AX39" s="866">
        <v>10315</v>
      </c>
      <c r="AZ39" s="866">
        <f t="shared" si="28"/>
        <v>3494.9366955608093</v>
      </c>
      <c r="BA39" s="866">
        <f t="shared" si="29"/>
        <v>5728.7241173307848</v>
      </c>
      <c r="BB39" s="866">
        <f t="shared" si="30"/>
        <v>1465.398890784983</v>
      </c>
      <c r="BC39" s="883">
        <f t="shared" si="15"/>
        <v>10689.059703676578</v>
      </c>
    </row>
    <row r="40" spans="1:55" s="863" customFormat="1" ht="12" customHeight="1" x14ac:dyDescent="0.2">
      <c r="A40" s="863" t="s">
        <v>86</v>
      </c>
      <c r="B40" s="867" t="s">
        <v>477</v>
      </c>
      <c r="C40" s="880">
        <v>1067</v>
      </c>
      <c r="D40" s="864">
        <v>4824</v>
      </c>
      <c r="E40" s="864">
        <v>5891</v>
      </c>
      <c r="F40" s="864">
        <v>964</v>
      </c>
      <c r="G40" s="864">
        <v>5903</v>
      </c>
      <c r="H40" s="864">
        <v>6867</v>
      </c>
      <c r="I40" s="864">
        <v>749</v>
      </c>
      <c r="J40" s="864">
        <v>5739</v>
      </c>
      <c r="K40" s="864">
        <v>6488</v>
      </c>
      <c r="L40" s="864">
        <v>1021</v>
      </c>
      <c r="M40" s="864">
        <v>4789</v>
      </c>
      <c r="N40" s="864">
        <v>5810</v>
      </c>
      <c r="O40" s="864">
        <v>1206</v>
      </c>
      <c r="P40" s="864">
        <v>7636</v>
      </c>
      <c r="Q40" s="864">
        <v>8842</v>
      </c>
      <c r="R40" s="864">
        <v>1090</v>
      </c>
      <c r="S40" s="864">
        <v>10599</v>
      </c>
      <c r="T40" s="864">
        <v>11689</v>
      </c>
      <c r="U40" s="864">
        <v>728</v>
      </c>
      <c r="V40" s="864">
        <v>11330</v>
      </c>
      <c r="W40" s="864">
        <v>12058</v>
      </c>
      <c r="X40" s="864">
        <v>678</v>
      </c>
      <c r="Y40" s="864">
        <v>8242</v>
      </c>
      <c r="Z40" s="864">
        <v>8920</v>
      </c>
      <c r="AA40" s="864">
        <v>508</v>
      </c>
      <c r="AB40" s="864">
        <v>5148</v>
      </c>
      <c r="AC40" s="864">
        <v>5656</v>
      </c>
      <c r="AD40" s="864">
        <v>413</v>
      </c>
      <c r="AE40" s="864">
        <v>3374</v>
      </c>
      <c r="AF40" s="864">
        <v>3787</v>
      </c>
      <c r="AH40" s="864">
        <f t="shared" si="16"/>
        <v>2780</v>
      </c>
      <c r="AI40" s="864">
        <f t="shared" si="17"/>
        <v>16466</v>
      </c>
      <c r="AJ40" s="864">
        <f t="shared" si="18"/>
        <v>19246</v>
      </c>
      <c r="AK40" s="864">
        <f t="shared" si="19"/>
        <v>4723</v>
      </c>
      <c r="AL40" s="864">
        <f t="shared" si="20"/>
        <v>42596</v>
      </c>
      <c r="AM40" s="864">
        <f t="shared" si="21"/>
        <v>47319</v>
      </c>
      <c r="AN40" s="864">
        <f t="shared" si="22"/>
        <v>921</v>
      </c>
      <c r="AO40" s="864">
        <f t="shared" si="23"/>
        <v>8522</v>
      </c>
      <c r="AP40" s="864">
        <f t="shared" si="24"/>
        <v>9443</v>
      </c>
      <c r="AR40" s="865">
        <f t="shared" si="25"/>
        <v>0.14444559908552426</v>
      </c>
      <c r="AS40" s="865">
        <f t="shared" si="26"/>
        <v>9.9811914875631347E-2</v>
      </c>
      <c r="AT40" s="865">
        <f t="shared" si="27"/>
        <v>9.7532563803875885E-2</v>
      </c>
      <c r="AV40" s="866">
        <v>19667</v>
      </c>
      <c r="AW40" s="866">
        <v>49564</v>
      </c>
      <c r="AX40" s="866">
        <v>10435</v>
      </c>
      <c r="AZ40" s="866">
        <f t="shared" si="28"/>
        <v>2840.8115972150058</v>
      </c>
      <c r="BA40" s="866">
        <f t="shared" si="29"/>
        <v>4947.077748895792</v>
      </c>
      <c r="BB40" s="866">
        <f t="shared" si="30"/>
        <v>1017.7523032934448</v>
      </c>
      <c r="BC40" s="883">
        <f t="shared" si="15"/>
        <v>8805.6416494042423</v>
      </c>
    </row>
    <row r="41" spans="1:55" s="863" customFormat="1" ht="12" customHeight="1" x14ac:dyDescent="0.2">
      <c r="A41" s="863" t="s">
        <v>92</v>
      </c>
      <c r="B41" s="867" t="s">
        <v>478</v>
      </c>
      <c r="C41" s="880">
        <v>251</v>
      </c>
      <c r="D41" s="864">
        <v>743</v>
      </c>
      <c r="E41" s="864">
        <v>994</v>
      </c>
      <c r="F41" s="864">
        <v>356</v>
      </c>
      <c r="G41" s="864">
        <v>1006</v>
      </c>
      <c r="H41" s="864">
        <v>1362</v>
      </c>
      <c r="I41" s="864">
        <v>232</v>
      </c>
      <c r="J41" s="864">
        <v>1082</v>
      </c>
      <c r="K41" s="864">
        <v>1314</v>
      </c>
      <c r="L41" s="864">
        <v>269</v>
      </c>
      <c r="M41" s="864">
        <v>963</v>
      </c>
      <c r="N41" s="864">
        <v>1232</v>
      </c>
      <c r="O41" s="864">
        <v>461</v>
      </c>
      <c r="P41" s="864">
        <v>1286</v>
      </c>
      <c r="Q41" s="864">
        <v>1747</v>
      </c>
      <c r="R41" s="864">
        <v>386</v>
      </c>
      <c r="S41" s="864">
        <v>2036</v>
      </c>
      <c r="T41" s="864">
        <v>2422</v>
      </c>
      <c r="U41" s="864">
        <v>455</v>
      </c>
      <c r="V41" s="864">
        <v>2044</v>
      </c>
      <c r="W41" s="864">
        <v>2499</v>
      </c>
      <c r="X41" s="864">
        <v>468</v>
      </c>
      <c r="Y41" s="864">
        <v>2032</v>
      </c>
      <c r="Z41" s="864">
        <v>2500</v>
      </c>
      <c r="AA41" s="864">
        <v>283</v>
      </c>
      <c r="AB41" s="864">
        <v>1374</v>
      </c>
      <c r="AC41" s="864">
        <v>1657</v>
      </c>
      <c r="AD41" s="864">
        <v>294</v>
      </c>
      <c r="AE41" s="864">
        <v>984</v>
      </c>
      <c r="AF41" s="864">
        <v>1278</v>
      </c>
      <c r="AH41" s="864">
        <f t="shared" si="16"/>
        <v>839</v>
      </c>
      <c r="AI41" s="864">
        <f t="shared" si="17"/>
        <v>2831</v>
      </c>
      <c r="AJ41" s="864">
        <f t="shared" si="18"/>
        <v>3670</v>
      </c>
      <c r="AK41" s="864">
        <f t="shared" si="19"/>
        <v>2039</v>
      </c>
      <c r="AL41" s="864">
        <f t="shared" si="20"/>
        <v>8361</v>
      </c>
      <c r="AM41" s="864">
        <f t="shared" si="21"/>
        <v>10400</v>
      </c>
      <c r="AN41" s="864">
        <f t="shared" si="22"/>
        <v>577</v>
      </c>
      <c r="AO41" s="864">
        <f t="shared" si="23"/>
        <v>2358</v>
      </c>
      <c r="AP41" s="864">
        <f t="shared" si="24"/>
        <v>2935</v>
      </c>
      <c r="AR41" s="865">
        <f t="shared" si="25"/>
        <v>0.22861035422343323</v>
      </c>
      <c r="AS41" s="865">
        <f t="shared" si="26"/>
        <v>0.19605769230769229</v>
      </c>
      <c r="AT41" s="865">
        <f t="shared" si="27"/>
        <v>0.19659284497444635</v>
      </c>
      <c r="AV41" s="866">
        <v>3600</v>
      </c>
      <c r="AW41" s="866">
        <v>10356</v>
      </c>
      <c r="AX41" s="866">
        <v>3168</v>
      </c>
      <c r="AZ41" s="866">
        <f t="shared" si="28"/>
        <v>822.99727520435965</v>
      </c>
      <c r="BA41" s="866">
        <f t="shared" si="29"/>
        <v>2030.3734615384615</v>
      </c>
      <c r="BB41" s="866">
        <f t="shared" si="30"/>
        <v>622.806132879046</v>
      </c>
      <c r="BC41" s="883">
        <f t="shared" si="15"/>
        <v>3476.1768696218669</v>
      </c>
    </row>
    <row r="42" spans="1:55" s="863" customFormat="1" ht="12" customHeight="1" x14ac:dyDescent="0.2">
      <c r="A42" s="863" t="s">
        <v>94</v>
      </c>
      <c r="B42" s="867" t="s">
        <v>479</v>
      </c>
      <c r="C42" s="880">
        <v>248</v>
      </c>
      <c r="D42" s="864">
        <v>2072</v>
      </c>
      <c r="E42" s="864">
        <v>2320</v>
      </c>
      <c r="F42" s="864">
        <v>247</v>
      </c>
      <c r="G42" s="864">
        <v>2212</v>
      </c>
      <c r="H42" s="864">
        <v>2459</v>
      </c>
      <c r="I42" s="864">
        <v>466</v>
      </c>
      <c r="J42" s="864">
        <v>2931</v>
      </c>
      <c r="K42" s="864">
        <v>3397</v>
      </c>
      <c r="L42" s="864">
        <v>422</v>
      </c>
      <c r="M42" s="864">
        <v>2385</v>
      </c>
      <c r="N42" s="864">
        <v>2807</v>
      </c>
      <c r="O42" s="864">
        <v>400</v>
      </c>
      <c r="P42" s="864">
        <v>3471</v>
      </c>
      <c r="Q42" s="864">
        <v>3871</v>
      </c>
      <c r="R42" s="864">
        <v>440</v>
      </c>
      <c r="S42" s="864">
        <v>4655</v>
      </c>
      <c r="T42" s="864">
        <v>5095</v>
      </c>
      <c r="U42" s="864">
        <v>572</v>
      </c>
      <c r="V42" s="864">
        <v>5857</v>
      </c>
      <c r="W42" s="864">
        <v>6429</v>
      </c>
      <c r="X42" s="864">
        <v>238</v>
      </c>
      <c r="Y42" s="864">
        <v>4666</v>
      </c>
      <c r="Z42" s="864">
        <v>4904</v>
      </c>
      <c r="AA42" s="864">
        <v>303</v>
      </c>
      <c r="AB42" s="864">
        <v>2870</v>
      </c>
      <c r="AC42" s="864">
        <v>3173</v>
      </c>
      <c r="AD42" s="864">
        <v>264</v>
      </c>
      <c r="AE42" s="864">
        <v>1736</v>
      </c>
      <c r="AF42" s="864">
        <v>2000</v>
      </c>
      <c r="AH42" s="864">
        <f t="shared" si="16"/>
        <v>961</v>
      </c>
      <c r="AI42" s="864">
        <f t="shared" si="17"/>
        <v>7215</v>
      </c>
      <c r="AJ42" s="864">
        <f t="shared" si="18"/>
        <v>8176</v>
      </c>
      <c r="AK42" s="864">
        <f t="shared" si="19"/>
        <v>2072</v>
      </c>
      <c r="AL42" s="864">
        <f t="shared" si="20"/>
        <v>21034</v>
      </c>
      <c r="AM42" s="864">
        <f t="shared" si="21"/>
        <v>23106</v>
      </c>
      <c r="AN42" s="864">
        <f t="shared" si="22"/>
        <v>567</v>
      </c>
      <c r="AO42" s="864">
        <f t="shared" si="23"/>
        <v>4606</v>
      </c>
      <c r="AP42" s="864">
        <f t="shared" si="24"/>
        <v>5173</v>
      </c>
      <c r="AR42" s="865">
        <f t="shared" si="25"/>
        <v>0.11753913894324854</v>
      </c>
      <c r="AS42" s="865">
        <f t="shared" si="26"/>
        <v>8.9673677832597595E-2</v>
      </c>
      <c r="AT42" s="865">
        <f t="shared" si="27"/>
        <v>0.10960757780784844</v>
      </c>
      <c r="AV42" s="866">
        <v>7889</v>
      </c>
      <c r="AW42" s="866">
        <v>23382</v>
      </c>
      <c r="AX42" s="866">
        <v>5630</v>
      </c>
      <c r="AZ42" s="866">
        <f t="shared" si="28"/>
        <v>927.26626712328766</v>
      </c>
      <c r="BA42" s="866">
        <f t="shared" si="29"/>
        <v>2096.749935081797</v>
      </c>
      <c r="BB42" s="866">
        <f t="shared" si="30"/>
        <v>617.09066305818669</v>
      </c>
      <c r="BC42" s="883">
        <f t="shared" si="15"/>
        <v>3641.1068652632712</v>
      </c>
    </row>
    <row r="43" spans="1:55" s="863" customFormat="1" ht="12" customHeight="1" x14ac:dyDescent="0.2">
      <c r="A43" s="863" t="s">
        <v>96</v>
      </c>
      <c r="B43" s="867" t="s">
        <v>480</v>
      </c>
      <c r="C43" s="880">
        <v>138</v>
      </c>
      <c r="D43" s="864">
        <v>1055</v>
      </c>
      <c r="E43" s="864">
        <v>1193</v>
      </c>
      <c r="F43" s="864">
        <v>79</v>
      </c>
      <c r="G43" s="864">
        <v>1359</v>
      </c>
      <c r="H43" s="864">
        <v>1438</v>
      </c>
      <c r="I43" s="864">
        <v>165</v>
      </c>
      <c r="J43" s="864">
        <v>1327</v>
      </c>
      <c r="K43" s="864">
        <v>1492</v>
      </c>
      <c r="L43" s="864">
        <v>110</v>
      </c>
      <c r="M43" s="864">
        <v>678</v>
      </c>
      <c r="N43" s="864">
        <v>788</v>
      </c>
      <c r="O43" s="864">
        <v>75</v>
      </c>
      <c r="P43" s="864">
        <v>1140</v>
      </c>
      <c r="Q43" s="864">
        <v>1215</v>
      </c>
      <c r="R43" s="864">
        <v>182</v>
      </c>
      <c r="S43" s="864">
        <v>2240</v>
      </c>
      <c r="T43" s="864">
        <v>2422</v>
      </c>
      <c r="U43" s="864">
        <v>183</v>
      </c>
      <c r="V43" s="864">
        <v>3291</v>
      </c>
      <c r="W43" s="864">
        <v>3474</v>
      </c>
      <c r="X43" s="864">
        <v>85</v>
      </c>
      <c r="Y43" s="864">
        <v>3360</v>
      </c>
      <c r="Z43" s="864">
        <v>3445</v>
      </c>
      <c r="AA43" s="864">
        <v>84</v>
      </c>
      <c r="AB43" s="864">
        <v>1831</v>
      </c>
      <c r="AC43" s="864">
        <v>1915</v>
      </c>
      <c r="AD43" s="864">
        <v>221</v>
      </c>
      <c r="AE43" s="864">
        <v>945</v>
      </c>
      <c r="AF43" s="864">
        <v>1166</v>
      </c>
      <c r="AH43" s="864">
        <f t="shared" si="16"/>
        <v>382</v>
      </c>
      <c r="AI43" s="864">
        <f t="shared" si="17"/>
        <v>3741</v>
      </c>
      <c r="AJ43" s="864">
        <f t="shared" si="18"/>
        <v>4123</v>
      </c>
      <c r="AK43" s="864">
        <f t="shared" si="19"/>
        <v>635</v>
      </c>
      <c r="AL43" s="864">
        <f t="shared" si="20"/>
        <v>10709</v>
      </c>
      <c r="AM43" s="864">
        <f t="shared" si="21"/>
        <v>11344</v>
      </c>
      <c r="AN43" s="864">
        <f t="shared" si="22"/>
        <v>305</v>
      </c>
      <c r="AO43" s="864">
        <f t="shared" si="23"/>
        <v>2776</v>
      </c>
      <c r="AP43" s="864">
        <f t="shared" si="24"/>
        <v>3081</v>
      </c>
      <c r="AR43" s="865">
        <f t="shared" si="25"/>
        <v>9.2650982294445794E-2</v>
      </c>
      <c r="AS43" s="865">
        <f t="shared" si="26"/>
        <v>5.5976727785613543E-2</v>
      </c>
      <c r="AT43" s="865">
        <f t="shared" si="27"/>
        <v>9.8993833171048359E-2</v>
      </c>
      <c r="AV43" s="866">
        <v>4256</v>
      </c>
      <c r="AW43" s="866">
        <v>14156</v>
      </c>
      <c r="AX43" s="866">
        <v>3471</v>
      </c>
      <c r="AZ43" s="866">
        <f t="shared" si="28"/>
        <v>394.32258064516128</v>
      </c>
      <c r="BA43" s="866">
        <f t="shared" si="29"/>
        <v>792.40655853314536</v>
      </c>
      <c r="BB43" s="866">
        <f t="shared" si="30"/>
        <v>343.60759493670884</v>
      </c>
      <c r="BC43" s="883">
        <f t="shared" si="15"/>
        <v>1530.3367341150156</v>
      </c>
    </row>
    <row r="44" spans="1:55" s="863" customFormat="1" ht="12" customHeight="1" x14ac:dyDescent="0.2">
      <c r="A44" s="863" t="s">
        <v>98</v>
      </c>
      <c r="B44" s="867" t="s">
        <v>481</v>
      </c>
      <c r="C44" s="880">
        <v>360</v>
      </c>
      <c r="D44" s="864">
        <v>670</v>
      </c>
      <c r="E44" s="864">
        <v>1030</v>
      </c>
      <c r="F44" s="864">
        <v>314</v>
      </c>
      <c r="G44" s="864">
        <v>475</v>
      </c>
      <c r="H44" s="864">
        <v>789</v>
      </c>
      <c r="I44" s="864">
        <v>465</v>
      </c>
      <c r="J44" s="864">
        <v>713</v>
      </c>
      <c r="K44" s="864">
        <v>1178</v>
      </c>
      <c r="L44" s="864">
        <v>236</v>
      </c>
      <c r="M44" s="864">
        <v>766</v>
      </c>
      <c r="N44" s="864">
        <v>1002</v>
      </c>
      <c r="O44" s="864">
        <v>436</v>
      </c>
      <c r="P44" s="864">
        <v>1078</v>
      </c>
      <c r="Q44" s="864">
        <v>1514</v>
      </c>
      <c r="R44" s="864">
        <v>586</v>
      </c>
      <c r="S44" s="864">
        <v>1386</v>
      </c>
      <c r="T44" s="864">
        <v>1972</v>
      </c>
      <c r="U44" s="864">
        <v>522</v>
      </c>
      <c r="V44" s="864">
        <v>1930</v>
      </c>
      <c r="W44" s="864">
        <v>2452</v>
      </c>
      <c r="X44" s="864">
        <v>482</v>
      </c>
      <c r="Y44" s="864">
        <v>1998</v>
      </c>
      <c r="Z44" s="864">
        <v>2480</v>
      </c>
      <c r="AA44" s="864">
        <v>443</v>
      </c>
      <c r="AB44" s="864">
        <v>1303</v>
      </c>
      <c r="AC44" s="864">
        <v>1746</v>
      </c>
      <c r="AD44" s="864">
        <v>420</v>
      </c>
      <c r="AE44" s="864">
        <v>980</v>
      </c>
      <c r="AF44" s="864">
        <v>1400</v>
      </c>
      <c r="AH44" s="864">
        <f t="shared" si="16"/>
        <v>1139</v>
      </c>
      <c r="AI44" s="864">
        <f t="shared" si="17"/>
        <v>1858</v>
      </c>
      <c r="AJ44" s="864">
        <f t="shared" si="18"/>
        <v>2997</v>
      </c>
      <c r="AK44" s="864">
        <f t="shared" si="19"/>
        <v>2262</v>
      </c>
      <c r="AL44" s="864">
        <f t="shared" si="20"/>
        <v>7158</v>
      </c>
      <c r="AM44" s="864">
        <f t="shared" si="21"/>
        <v>9420</v>
      </c>
      <c r="AN44" s="864">
        <f t="shared" si="22"/>
        <v>863</v>
      </c>
      <c r="AO44" s="864">
        <f t="shared" si="23"/>
        <v>2283</v>
      </c>
      <c r="AP44" s="864">
        <f t="shared" si="24"/>
        <v>3146</v>
      </c>
      <c r="AR44" s="865">
        <f t="shared" si="25"/>
        <v>0.3800467133800467</v>
      </c>
      <c r="AS44" s="865">
        <f t="shared" si="26"/>
        <v>0.24012738853503185</v>
      </c>
      <c r="AT44" s="865">
        <f t="shared" si="27"/>
        <v>0.27431659249841067</v>
      </c>
      <c r="AV44" s="866">
        <v>2849</v>
      </c>
      <c r="AW44" s="866">
        <v>9209</v>
      </c>
      <c r="AX44" s="866">
        <v>3270</v>
      </c>
      <c r="AZ44" s="866">
        <f t="shared" si="28"/>
        <v>1082.7530864197531</v>
      </c>
      <c r="BA44" s="866">
        <f t="shared" si="29"/>
        <v>2211.3331210191081</v>
      </c>
      <c r="BB44" s="866">
        <f t="shared" si="30"/>
        <v>897.01525746980292</v>
      </c>
      <c r="BC44" s="883">
        <f t="shared" si="15"/>
        <v>4191.1014649086646</v>
      </c>
    </row>
    <row r="45" spans="1:55" s="863" customFormat="1" ht="12" customHeight="1" x14ac:dyDescent="0.2">
      <c r="A45" s="863" t="s">
        <v>100</v>
      </c>
      <c r="B45" s="867" t="s">
        <v>482</v>
      </c>
      <c r="C45" s="880">
        <v>324</v>
      </c>
      <c r="D45" s="864">
        <v>1214</v>
      </c>
      <c r="E45" s="864">
        <v>1538</v>
      </c>
      <c r="F45" s="864">
        <v>265</v>
      </c>
      <c r="G45" s="864">
        <v>1428</v>
      </c>
      <c r="H45" s="864">
        <v>1693</v>
      </c>
      <c r="I45" s="864">
        <v>301</v>
      </c>
      <c r="J45" s="864">
        <v>1018</v>
      </c>
      <c r="K45" s="864">
        <v>1319</v>
      </c>
      <c r="L45" s="864">
        <v>262</v>
      </c>
      <c r="M45" s="864">
        <v>1099</v>
      </c>
      <c r="N45" s="864">
        <v>1361</v>
      </c>
      <c r="O45" s="864">
        <v>268</v>
      </c>
      <c r="P45" s="864">
        <v>2115</v>
      </c>
      <c r="Q45" s="864">
        <v>2383</v>
      </c>
      <c r="R45" s="864">
        <v>250</v>
      </c>
      <c r="S45" s="864">
        <v>2384</v>
      </c>
      <c r="T45" s="864">
        <v>2634</v>
      </c>
      <c r="U45" s="864">
        <v>138</v>
      </c>
      <c r="V45" s="864">
        <v>2600</v>
      </c>
      <c r="W45" s="864">
        <v>2738</v>
      </c>
      <c r="X45" s="864">
        <v>166</v>
      </c>
      <c r="Y45" s="864">
        <v>2036</v>
      </c>
      <c r="Z45" s="864">
        <v>2202</v>
      </c>
      <c r="AA45" s="864">
        <v>185</v>
      </c>
      <c r="AB45" s="864">
        <v>1229</v>
      </c>
      <c r="AC45" s="864">
        <v>1414</v>
      </c>
      <c r="AD45" s="864">
        <v>167</v>
      </c>
      <c r="AE45" s="864">
        <v>702</v>
      </c>
      <c r="AF45" s="864">
        <v>869</v>
      </c>
      <c r="AH45" s="864">
        <f t="shared" si="16"/>
        <v>890</v>
      </c>
      <c r="AI45" s="864">
        <f t="shared" si="17"/>
        <v>3660</v>
      </c>
      <c r="AJ45" s="864">
        <f t="shared" si="18"/>
        <v>4550</v>
      </c>
      <c r="AK45" s="864">
        <f t="shared" si="19"/>
        <v>1084</v>
      </c>
      <c r="AL45" s="864">
        <f t="shared" si="20"/>
        <v>10234</v>
      </c>
      <c r="AM45" s="864">
        <f t="shared" si="21"/>
        <v>11318</v>
      </c>
      <c r="AN45" s="864">
        <f t="shared" si="22"/>
        <v>352</v>
      </c>
      <c r="AO45" s="864">
        <f t="shared" si="23"/>
        <v>1931</v>
      </c>
      <c r="AP45" s="864">
        <f t="shared" si="24"/>
        <v>2283</v>
      </c>
      <c r="AR45" s="865">
        <f t="shared" si="25"/>
        <v>0.1956043956043956</v>
      </c>
      <c r="AS45" s="865">
        <f t="shared" si="26"/>
        <v>9.5776638982152329E-2</v>
      </c>
      <c r="AT45" s="865">
        <f t="shared" si="27"/>
        <v>0.15418309242225142</v>
      </c>
      <c r="AV45" s="866">
        <v>4630</v>
      </c>
      <c r="AW45" s="866">
        <v>11549</v>
      </c>
      <c r="AX45" s="866">
        <v>2481</v>
      </c>
      <c r="AZ45" s="866">
        <f t="shared" si="28"/>
        <v>905.64835164835165</v>
      </c>
      <c r="BA45" s="866">
        <f t="shared" si="29"/>
        <v>1106.1244036048772</v>
      </c>
      <c r="BB45" s="866">
        <f t="shared" si="30"/>
        <v>382.52825229960575</v>
      </c>
      <c r="BC45" s="883">
        <f t="shared" si="15"/>
        <v>2394.3010075528346</v>
      </c>
    </row>
    <row r="46" spans="1:55" s="863" customFormat="1" ht="12" customHeight="1" x14ac:dyDescent="0.2">
      <c r="A46" s="863" t="s">
        <v>102</v>
      </c>
      <c r="B46" s="867" t="s">
        <v>742</v>
      </c>
      <c r="C46" s="880">
        <v>752</v>
      </c>
      <c r="D46" s="864">
        <v>439</v>
      </c>
      <c r="E46" s="864">
        <v>1191</v>
      </c>
      <c r="F46" s="864">
        <v>372</v>
      </c>
      <c r="G46" s="864">
        <v>586</v>
      </c>
      <c r="H46" s="864">
        <v>958</v>
      </c>
      <c r="I46" s="864">
        <v>380</v>
      </c>
      <c r="J46" s="864">
        <v>774</v>
      </c>
      <c r="K46" s="864">
        <v>1154</v>
      </c>
      <c r="L46" s="864">
        <v>459</v>
      </c>
      <c r="M46" s="864">
        <v>726</v>
      </c>
      <c r="N46" s="864">
        <v>1185</v>
      </c>
      <c r="O46" s="864">
        <v>714</v>
      </c>
      <c r="P46" s="864">
        <v>1004</v>
      </c>
      <c r="Q46" s="864">
        <v>1718</v>
      </c>
      <c r="R46" s="864">
        <v>320</v>
      </c>
      <c r="S46" s="864">
        <v>1498</v>
      </c>
      <c r="T46" s="864">
        <v>1818</v>
      </c>
      <c r="U46" s="864">
        <v>314</v>
      </c>
      <c r="V46" s="864">
        <v>1610</v>
      </c>
      <c r="W46" s="864">
        <v>1924</v>
      </c>
      <c r="X46" s="864">
        <v>534</v>
      </c>
      <c r="Y46" s="864">
        <v>1576</v>
      </c>
      <c r="Z46" s="864">
        <v>2110</v>
      </c>
      <c r="AA46" s="864">
        <v>234</v>
      </c>
      <c r="AB46" s="864">
        <v>1028</v>
      </c>
      <c r="AC46" s="864">
        <v>1262</v>
      </c>
      <c r="AD46" s="864">
        <v>283</v>
      </c>
      <c r="AE46" s="864">
        <v>723</v>
      </c>
      <c r="AF46" s="864">
        <v>1006</v>
      </c>
      <c r="AH46" s="864">
        <f t="shared" si="16"/>
        <v>1504</v>
      </c>
      <c r="AI46" s="864">
        <f t="shared" si="17"/>
        <v>1799</v>
      </c>
      <c r="AJ46" s="864">
        <f t="shared" si="18"/>
        <v>3303</v>
      </c>
      <c r="AK46" s="864">
        <f t="shared" si="19"/>
        <v>2341</v>
      </c>
      <c r="AL46" s="864">
        <f t="shared" si="20"/>
        <v>6414</v>
      </c>
      <c r="AM46" s="864">
        <f t="shared" si="21"/>
        <v>8755</v>
      </c>
      <c r="AN46" s="864">
        <f t="shared" si="22"/>
        <v>517</v>
      </c>
      <c r="AO46" s="864">
        <f t="shared" si="23"/>
        <v>1751</v>
      </c>
      <c r="AP46" s="864">
        <f t="shared" si="24"/>
        <v>2268</v>
      </c>
      <c r="AR46" s="865">
        <f t="shared" si="25"/>
        <v>0.45534362700575237</v>
      </c>
      <c r="AS46" s="865">
        <f t="shared" si="26"/>
        <v>0.267390062821245</v>
      </c>
      <c r="AT46" s="865">
        <f t="shared" si="27"/>
        <v>0.22795414462081129</v>
      </c>
      <c r="AV46" s="866">
        <v>1979</v>
      </c>
      <c r="AW46" s="866">
        <v>8577</v>
      </c>
      <c r="AX46" s="866">
        <v>1556</v>
      </c>
      <c r="AZ46" s="866">
        <f t="shared" si="28"/>
        <v>901.125037844384</v>
      </c>
      <c r="BA46" s="866">
        <f t="shared" si="29"/>
        <v>2293.4045688178185</v>
      </c>
      <c r="BB46" s="866">
        <f t="shared" si="30"/>
        <v>354.69664902998238</v>
      </c>
      <c r="BC46" s="883">
        <f t="shared" si="15"/>
        <v>3549.2262556921846</v>
      </c>
    </row>
    <row r="47" spans="1:55" s="863" customFormat="1" ht="12" customHeight="1" x14ac:dyDescent="0.2">
      <c r="A47" s="863" t="s">
        <v>104</v>
      </c>
      <c r="B47" s="867" t="s">
        <v>743</v>
      </c>
      <c r="C47" s="880">
        <v>667</v>
      </c>
      <c r="D47" s="864">
        <v>1700</v>
      </c>
      <c r="E47" s="864">
        <v>2367</v>
      </c>
      <c r="F47" s="864">
        <v>894</v>
      </c>
      <c r="G47" s="864">
        <v>1482</v>
      </c>
      <c r="H47" s="864">
        <v>2376</v>
      </c>
      <c r="I47" s="864">
        <v>980</v>
      </c>
      <c r="J47" s="864">
        <v>2181</v>
      </c>
      <c r="K47" s="864">
        <v>3161</v>
      </c>
      <c r="L47" s="864">
        <v>801</v>
      </c>
      <c r="M47" s="864">
        <v>1895</v>
      </c>
      <c r="N47" s="864">
        <v>2696</v>
      </c>
      <c r="O47" s="864">
        <v>820</v>
      </c>
      <c r="P47" s="864">
        <v>2326</v>
      </c>
      <c r="Q47" s="864">
        <v>3146</v>
      </c>
      <c r="R47" s="864">
        <v>1009</v>
      </c>
      <c r="S47" s="864">
        <v>3255</v>
      </c>
      <c r="T47" s="864">
        <v>4264</v>
      </c>
      <c r="U47" s="864">
        <v>1030</v>
      </c>
      <c r="V47" s="864">
        <v>4316</v>
      </c>
      <c r="W47" s="864">
        <v>5346</v>
      </c>
      <c r="X47" s="864">
        <v>1162</v>
      </c>
      <c r="Y47" s="864">
        <v>4229</v>
      </c>
      <c r="Z47" s="864">
        <v>5391</v>
      </c>
      <c r="AA47" s="864">
        <v>953</v>
      </c>
      <c r="AB47" s="864">
        <v>2746</v>
      </c>
      <c r="AC47" s="864">
        <v>3699</v>
      </c>
      <c r="AD47" s="864">
        <v>981</v>
      </c>
      <c r="AE47" s="864">
        <v>1889</v>
      </c>
      <c r="AF47" s="864">
        <v>2870</v>
      </c>
      <c r="AH47" s="864">
        <f t="shared" si="16"/>
        <v>2541</v>
      </c>
      <c r="AI47" s="864">
        <f t="shared" si="17"/>
        <v>5363</v>
      </c>
      <c r="AJ47" s="864">
        <f t="shared" si="18"/>
        <v>7904</v>
      </c>
      <c r="AK47" s="864">
        <f t="shared" si="19"/>
        <v>4822</v>
      </c>
      <c r="AL47" s="864">
        <f t="shared" si="20"/>
        <v>16021</v>
      </c>
      <c r="AM47" s="864">
        <f t="shared" si="21"/>
        <v>20843</v>
      </c>
      <c r="AN47" s="864">
        <f t="shared" si="22"/>
        <v>1934</v>
      </c>
      <c r="AO47" s="864">
        <f t="shared" si="23"/>
        <v>4635</v>
      </c>
      <c r="AP47" s="864">
        <f t="shared" si="24"/>
        <v>6569</v>
      </c>
      <c r="AR47" s="865">
        <f t="shared" si="25"/>
        <v>0.32148279352226722</v>
      </c>
      <c r="AS47" s="865">
        <f t="shared" si="26"/>
        <v>0.23134865422443987</v>
      </c>
      <c r="AT47" s="865">
        <f t="shared" si="27"/>
        <v>0.29441315268686252</v>
      </c>
      <c r="AV47" s="866">
        <v>7828</v>
      </c>
      <c r="AW47" s="866">
        <v>21081</v>
      </c>
      <c r="AX47" s="866">
        <v>7147</v>
      </c>
      <c r="AZ47" s="866">
        <f t="shared" si="28"/>
        <v>2516.5673076923076</v>
      </c>
      <c r="BA47" s="866">
        <f t="shared" si="29"/>
        <v>4877.0609797054167</v>
      </c>
      <c r="BB47" s="866">
        <f t="shared" si="30"/>
        <v>2104.1708022530065</v>
      </c>
      <c r="BC47" s="883">
        <f t="shared" si="15"/>
        <v>9497.7990896507308</v>
      </c>
    </row>
    <row r="48" spans="1:55" s="863" customFormat="1" ht="12" customHeight="1" x14ac:dyDescent="0.2">
      <c r="A48" s="863" t="s">
        <v>108</v>
      </c>
      <c r="B48" s="867" t="s">
        <v>483</v>
      </c>
      <c r="C48" s="880">
        <v>595</v>
      </c>
      <c r="D48" s="864">
        <v>6044</v>
      </c>
      <c r="E48" s="864">
        <v>6639</v>
      </c>
      <c r="F48" s="864">
        <v>537</v>
      </c>
      <c r="G48" s="864">
        <v>7977</v>
      </c>
      <c r="H48" s="864">
        <v>8514</v>
      </c>
      <c r="I48" s="864">
        <v>576</v>
      </c>
      <c r="J48" s="864">
        <v>9188</v>
      </c>
      <c r="K48" s="864">
        <v>9764</v>
      </c>
      <c r="L48" s="864">
        <v>700</v>
      </c>
      <c r="M48" s="864">
        <v>5668</v>
      </c>
      <c r="N48" s="864">
        <v>6368</v>
      </c>
      <c r="O48" s="864">
        <v>634</v>
      </c>
      <c r="P48" s="864">
        <v>8031</v>
      </c>
      <c r="Q48" s="864">
        <v>8665</v>
      </c>
      <c r="R48" s="864">
        <v>685</v>
      </c>
      <c r="S48" s="864">
        <v>13996</v>
      </c>
      <c r="T48" s="864">
        <v>14681</v>
      </c>
      <c r="U48" s="864">
        <v>827</v>
      </c>
      <c r="V48" s="864">
        <v>16536</v>
      </c>
      <c r="W48" s="864">
        <v>17363</v>
      </c>
      <c r="X48" s="864">
        <v>626</v>
      </c>
      <c r="Y48" s="864">
        <v>12050</v>
      </c>
      <c r="Z48" s="864">
        <v>12676</v>
      </c>
      <c r="AA48" s="864">
        <v>552</v>
      </c>
      <c r="AB48" s="864">
        <v>6436</v>
      </c>
      <c r="AC48" s="864">
        <v>6988</v>
      </c>
      <c r="AD48" s="864">
        <v>615</v>
      </c>
      <c r="AE48" s="864">
        <v>4804</v>
      </c>
      <c r="AF48" s="864">
        <v>5419</v>
      </c>
      <c r="AH48" s="864">
        <f t="shared" si="16"/>
        <v>1708</v>
      </c>
      <c r="AI48" s="864">
        <f t="shared" si="17"/>
        <v>23209</v>
      </c>
      <c r="AJ48" s="864">
        <f t="shared" si="18"/>
        <v>24917</v>
      </c>
      <c r="AK48" s="864">
        <f t="shared" si="19"/>
        <v>3472</v>
      </c>
      <c r="AL48" s="864">
        <f t="shared" si="20"/>
        <v>56281</v>
      </c>
      <c r="AM48" s="864">
        <f t="shared" si="21"/>
        <v>59753</v>
      </c>
      <c r="AN48" s="864">
        <f t="shared" si="22"/>
        <v>1167</v>
      </c>
      <c r="AO48" s="864">
        <f t="shared" si="23"/>
        <v>11240</v>
      </c>
      <c r="AP48" s="864">
        <f t="shared" si="24"/>
        <v>12407</v>
      </c>
      <c r="AR48" s="865">
        <f t="shared" si="25"/>
        <v>6.8547577958823297E-2</v>
      </c>
      <c r="AS48" s="865">
        <f t="shared" si="26"/>
        <v>5.8105869161381017E-2</v>
      </c>
      <c r="AT48" s="865">
        <f t="shared" si="27"/>
        <v>9.4059804948819214E-2</v>
      </c>
      <c r="AV48" s="866">
        <v>24344</v>
      </c>
      <c r="AW48" s="866">
        <v>62242</v>
      </c>
      <c r="AX48" s="866">
        <v>13756</v>
      </c>
      <c r="AZ48" s="866">
        <f t="shared" si="28"/>
        <v>1668.7222378295944</v>
      </c>
      <c r="BA48" s="866">
        <f t="shared" si="29"/>
        <v>3616.6255083426772</v>
      </c>
      <c r="BB48" s="866">
        <f t="shared" si="30"/>
        <v>1293.8866768759572</v>
      </c>
      <c r="BC48" s="883">
        <f t="shared" si="15"/>
        <v>6579.2344230482286</v>
      </c>
    </row>
    <row r="49" spans="1:55" s="863" customFormat="1" ht="12" customHeight="1" x14ac:dyDescent="0.2">
      <c r="A49" s="863" t="s">
        <v>110</v>
      </c>
      <c r="B49" s="867" t="s">
        <v>484</v>
      </c>
      <c r="C49" s="880">
        <v>5472</v>
      </c>
      <c r="D49" s="864">
        <v>19017</v>
      </c>
      <c r="E49" s="864">
        <v>24489</v>
      </c>
      <c r="F49" s="864">
        <v>4855</v>
      </c>
      <c r="G49" s="864">
        <v>18484</v>
      </c>
      <c r="H49" s="864">
        <v>23339</v>
      </c>
      <c r="I49" s="864">
        <v>4382</v>
      </c>
      <c r="J49" s="864">
        <v>20800</v>
      </c>
      <c r="K49" s="864">
        <v>25182</v>
      </c>
      <c r="L49" s="864">
        <v>5775</v>
      </c>
      <c r="M49" s="864">
        <v>18601</v>
      </c>
      <c r="N49" s="864">
        <v>24376</v>
      </c>
      <c r="O49" s="864">
        <v>5962</v>
      </c>
      <c r="P49" s="864">
        <v>37317</v>
      </c>
      <c r="Q49" s="864">
        <v>43279</v>
      </c>
      <c r="R49" s="864">
        <v>4215</v>
      </c>
      <c r="S49" s="864">
        <v>40052</v>
      </c>
      <c r="T49" s="864">
        <v>44267</v>
      </c>
      <c r="U49" s="864">
        <v>3973</v>
      </c>
      <c r="V49" s="864">
        <v>41508</v>
      </c>
      <c r="W49" s="864">
        <v>45481</v>
      </c>
      <c r="X49" s="864">
        <v>2618</v>
      </c>
      <c r="Y49" s="864">
        <v>31667</v>
      </c>
      <c r="Z49" s="864">
        <v>34285</v>
      </c>
      <c r="AA49" s="864">
        <v>1812</v>
      </c>
      <c r="AB49" s="864">
        <v>16352</v>
      </c>
      <c r="AC49" s="864">
        <v>18164</v>
      </c>
      <c r="AD49" s="864">
        <v>1583</v>
      </c>
      <c r="AE49" s="864">
        <v>15236</v>
      </c>
      <c r="AF49" s="864">
        <v>16819</v>
      </c>
      <c r="AH49" s="864">
        <f t="shared" si="16"/>
        <v>14709</v>
      </c>
      <c r="AI49" s="864">
        <f t="shared" si="17"/>
        <v>58301</v>
      </c>
      <c r="AJ49" s="864">
        <f t="shared" si="18"/>
        <v>73010</v>
      </c>
      <c r="AK49" s="864">
        <f t="shared" si="19"/>
        <v>22543</v>
      </c>
      <c r="AL49" s="864">
        <f t="shared" si="20"/>
        <v>169145</v>
      </c>
      <c r="AM49" s="864">
        <f t="shared" si="21"/>
        <v>191688</v>
      </c>
      <c r="AN49" s="864">
        <f t="shared" si="22"/>
        <v>3395</v>
      </c>
      <c r="AO49" s="864">
        <f t="shared" si="23"/>
        <v>31588</v>
      </c>
      <c r="AP49" s="864">
        <f t="shared" si="24"/>
        <v>34983</v>
      </c>
      <c r="AR49" s="865">
        <f t="shared" si="25"/>
        <v>0.20146555266401864</v>
      </c>
      <c r="AS49" s="865">
        <f t="shared" si="26"/>
        <v>0.11760256249739159</v>
      </c>
      <c r="AT49" s="865">
        <f t="shared" si="27"/>
        <v>9.704713718091644E-2</v>
      </c>
      <c r="AV49" s="866">
        <v>74013</v>
      </c>
      <c r="AW49" s="866">
        <v>197231</v>
      </c>
      <c r="AX49" s="866">
        <v>39201</v>
      </c>
      <c r="AZ49" s="866">
        <f t="shared" si="28"/>
        <v>14911.069949322011</v>
      </c>
      <c r="BA49" s="866">
        <f t="shared" si="29"/>
        <v>23194.871003923043</v>
      </c>
      <c r="BB49" s="866">
        <f t="shared" si="30"/>
        <v>3804.3448246291055</v>
      </c>
      <c r="BC49" s="883">
        <f t="shared" si="15"/>
        <v>41910.28577787416</v>
      </c>
    </row>
    <row r="50" spans="1:55" s="863" customFormat="1" ht="12" customHeight="1" x14ac:dyDescent="0.2">
      <c r="A50" s="863" t="s">
        <v>112</v>
      </c>
      <c r="B50" s="867" t="s">
        <v>744</v>
      </c>
      <c r="C50" s="880">
        <v>2351</v>
      </c>
      <c r="D50" s="864">
        <v>2243</v>
      </c>
      <c r="E50" s="864">
        <v>4594</v>
      </c>
      <c r="F50" s="864">
        <v>1817</v>
      </c>
      <c r="G50" s="864">
        <v>2683</v>
      </c>
      <c r="H50" s="864">
        <v>4500</v>
      </c>
      <c r="I50" s="864">
        <v>1966</v>
      </c>
      <c r="J50" s="864">
        <v>3054</v>
      </c>
      <c r="K50" s="864">
        <v>5020</v>
      </c>
      <c r="L50" s="864">
        <v>1596</v>
      </c>
      <c r="M50" s="864">
        <v>3319</v>
      </c>
      <c r="N50" s="864">
        <v>4915</v>
      </c>
      <c r="O50" s="864">
        <v>2083</v>
      </c>
      <c r="P50" s="864">
        <v>4680</v>
      </c>
      <c r="Q50" s="864">
        <v>6763</v>
      </c>
      <c r="R50" s="864">
        <v>2350</v>
      </c>
      <c r="S50" s="864">
        <v>6545</v>
      </c>
      <c r="T50" s="864">
        <v>8895</v>
      </c>
      <c r="U50" s="864">
        <v>2188</v>
      </c>
      <c r="V50" s="864">
        <v>8425</v>
      </c>
      <c r="W50" s="864">
        <v>10613</v>
      </c>
      <c r="X50" s="864">
        <v>1648</v>
      </c>
      <c r="Y50" s="864">
        <v>7626</v>
      </c>
      <c r="Z50" s="864">
        <v>9274</v>
      </c>
      <c r="AA50" s="864">
        <v>1059</v>
      </c>
      <c r="AB50" s="864">
        <v>6049</v>
      </c>
      <c r="AC50" s="864">
        <v>7108</v>
      </c>
      <c r="AD50" s="864">
        <v>1443</v>
      </c>
      <c r="AE50" s="864">
        <v>4187</v>
      </c>
      <c r="AF50" s="864">
        <v>5630</v>
      </c>
      <c r="AH50" s="864">
        <f t="shared" si="16"/>
        <v>6134</v>
      </c>
      <c r="AI50" s="864">
        <f t="shared" si="17"/>
        <v>7980</v>
      </c>
      <c r="AJ50" s="864">
        <f t="shared" si="18"/>
        <v>14114</v>
      </c>
      <c r="AK50" s="864">
        <f t="shared" si="19"/>
        <v>9865</v>
      </c>
      <c r="AL50" s="864">
        <f t="shared" si="20"/>
        <v>30595</v>
      </c>
      <c r="AM50" s="864">
        <f t="shared" si="21"/>
        <v>40460</v>
      </c>
      <c r="AN50" s="864">
        <f t="shared" si="22"/>
        <v>2502</v>
      </c>
      <c r="AO50" s="864">
        <f t="shared" si="23"/>
        <v>10236</v>
      </c>
      <c r="AP50" s="864">
        <f t="shared" si="24"/>
        <v>12738</v>
      </c>
      <c r="AR50" s="865">
        <f t="shared" si="25"/>
        <v>0.434603939350999</v>
      </c>
      <c r="AS50" s="865">
        <f t="shared" si="26"/>
        <v>0.24382105783489866</v>
      </c>
      <c r="AT50" s="865">
        <f t="shared" si="27"/>
        <v>0.19642016015073011</v>
      </c>
      <c r="AV50" s="866">
        <v>10889</v>
      </c>
      <c r="AW50" s="866">
        <v>31886</v>
      </c>
      <c r="AX50" s="866">
        <v>10966</v>
      </c>
      <c r="AZ50" s="866">
        <f t="shared" si="28"/>
        <v>4732.4022955930277</v>
      </c>
      <c r="BA50" s="866">
        <f t="shared" si="29"/>
        <v>7774.4782501235786</v>
      </c>
      <c r="BB50" s="866">
        <f t="shared" si="30"/>
        <v>2153.9434762129063</v>
      </c>
      <c r="BC50" s="883">
        <f t="shared" si="15"/>
        <v>14660.824021929511</v>
      </c>
    </row>
    <row r="51" spans="1:55" s="863" customFormat="1" ht="12" customHeight="1" x14ac:dyDescent="0.2">
      <c r="A51" s="863" t="s">
        <v>114</v>
      </c>
      <c r="B51" s="867" t="s">
        <v>485</v>
      </c>
      <c r="C51" s="880">
        <v>6</v>
      </c>
      <c r="D51" s="864">
        <v>70</v>
      </c>
      <c r="E51" s="864">
        <v>76</v>
      </c>
      <c r="F51" s="864">
        <v>10</v>
      </c>
      <c r="G51" s="864">
        <v>90</v>
      </c>
      <c r="H51" s="864">
        <v>100</v>
      </c>
      <c r="I51" s="864">
        <v>15</v>
      </c>
      <c r="J51" s="864">
        <v>130</v>
      </c>
      <c r="K51" s="864">
        <v>145</v>
      </c>
      <c r="L51" s="864">
        <v>9</v>
      </c>
      <c r="M51" s="864">
        <v>50</v>
      </c>
      <c r="N51" s="864">
        <v>59</v>
      </c>
      <c r="O51" s="864">
        <v>10</v>
      </c>
      <c r="P51" s="864">
        <v>84</v>
      </c>
      <c r="Q51" s="864">
        <v>94</v>
      </c>
      <c r="R51" s="864">
        <v>32</v>
      </c>
      <c r="S51" s="864">
        <v>291</v>
      </c>
      <c r="T51" s="864">
        <v>323</v>
      </c>
      <c r="U51" s="864">
        <v>86</v>
      </c>
      <c r="V51" s="864">
        <v>292</v>
      </c>
      <c r="W51" s="864">
        <v>378</v>
      </c>
      <c r="X51" s="864">
        <v>26</v>
      </c>
      <c r="Y51" s="864">
        <v>504</v>
      </c>
      <c r="Z51" s="864">
        <v>530</v>
      </c>
      <c r="AA51" s="864">
        <v>45</v>
      </c>
      <c r="AB51" s="864">
        <v>387</v>
      </c>
      <c r="AC51" s="864">
        <v>432</v>
      </c>
      <c r="AD51" s="864">
        <v>45</v>
      </c>
      <c r="AE51" s="864">
        <v>168</v>
      </c>
      <c r="AF51" s="864">
        <v>213</v>
      </c>
      <c r="AH51" s="864">
        <f t="shared" si="16"/>
        <v>31</v>
      </c>
      <c r="AI51" s="864">
        <f t="shared" si="17"/>
        <v>290</v>
      </c>
      <c r="AJ51" s="864">
        <f t="shared" si="18"/>
        <v>321</v>
      </c>
      <c r="AK51" s="864">
        <f t="shared" si="19"/>
        <v>163</v>
      </c>
      <c r="AL51" s="864">
        <f t="shared" si="20"/>
        <v>1221</v>
      </c>
      <c r="AM51" s="864">
        <f t="shared" si="21"/>
        <v>1384</v>
      </c>
      <c r="AN51" s="864">
        <f t="shared" si="22"/>
        <v>90</v>
      </c>
      <c r="AO51" s="864">
        <f t="shared" si="23"/>
        <v>555</v>
      </c>
      <c r="AP51" s="864">
        <f t="shared" si="24"/>
        <v>645</v>
      </c>
      <c r="AR51" s="865">
        <f t="shared" si="25"/>
        <v>9.657320872274143E-2</v>
      </c>
      <c r="AS51" s="865">
        <f t="shared" si="26"/>
        <v>0.11777456647398844</v>
      </c>
      <c r="AT51" s="865">
        <f t="shared" si="27"/>
        <v>0.13953488372093023</v>
      </c>
      <c r="AV51" s="866">
        <v>321</v>
      </c>
      <c r="AW51" s="866">
        <v>1344</v>
      </c>
      <c r="AX51" s="866">
        <v>602</v>
      </c>
      <c r="AZ51" s="866">
        <f t="shared" si="28"/>
        <v>31</v>
      </c>
      <c r="BA51" s="866">
        <f t="shared" si="29"/>
        <v>158.28901734104048</v>
      </c>
      <c r="BB51" s="866">
        <f t="shared" si="30"/>
        <v>84</v>
      </c>
      <c r="BC51" s="883">
        <f t="shared" si="15"/>
        <v>273.28901734104045</v>
      </c>
    </row>
    <row r="52" spans="1:55" s="863" customFormat="1" ht="12" customHeight="1" x14ac:dyDescent="0.2">
      <c r="A52" s="863" t="s">
        <v>118</v>
      </c>
      <c r="B52" s="867" t="s">
        <v>745</v>
      </c>
      <c r="C52" s="880">
        <v>593</v>
      </c>
      <c r="D52" s="864">
        <v>1768</v>
      </c>
      <c r="E52" s="864">
        <v>2361</v>
      </c>
      <c r="F52" s="864">
        <v>341</v>
      </c>
      <c r="G52" s="864">
        <v>2572</v>
      </c>
      <c r="H52" s="864">
        <v>2913</v>
      </c>
      <c r="I52" s="864">
        <v>354</v>
      </c>
      <c r="J52" s="864">
        <v>2329</v>
      </c>
      <c r="K52" s="864">
        <v>2683</v>
      </c>
      <c r="L52" s="864">
        <v>336</v>
      </c>
      <c r="M52" s="864">
        <v>2115</v>
      </c>
      <c r="N52" s="864">
        <v>2451</v>
      </c>
      <c r="O52" s="864">
        <v>322</v>
      </c>
      <c r="P52" s="864">
        <v>2856</v>
      </c>
      <c r="Q52" s="864">
        <v>3178</v>
      </c>
      <c r="R52" s="864">
        <v>508</v>
      </c>
      <c r="S52" s="864">
        <v>4327</v>
      </c>
      <c r="T52" s="864">
        <v>4835</v>
      </c>
      <c r="U52" s="864">
        <v>511</v>
      </c>
      <c r="V52" s="864">
        <v>6018</v>
      </c>
      <c r="W52" s="864">
        <v>6529</v>
      </c>
      <c r="X52" s="864">
        <v>630</v>
      </c>
      <c r="Y52" s="864">
        <v>4453</v>
      </c>
      <c r="Z52" s="864">
        <v>5083</v>
      </c>
      <c r="AA52" s="864">
        <v>208</v>
      </c>
      <c r="AB52" s="864">
        <v>2740</v>
      </c>
      <c r="AC52" s="864">
        <v>2948</v>
      </c>
      <c r="AD52" s="864">
        <v>342</v>
      </c>
      <c r="AE52" s="864">
        <v>1616</v>
      </c>
      <c r="AF52" s="864">
        <v>1958</v>
      </c>
      <c r="AH52" s="864">
        <f t="shared" si="16"/>
        <v>1288</v>
      </c>
      <c r="AI52" s="864">
        <f t="shared" si="17"/>
        <v>6669</v>
      </c>
      <c r="AJ52" s="864">
        <f t="shared" si="18"/>
        <v>7957</v>
      </c>
      <c r="AK52" s="864">
        <f t="shared" si="19"/>
        <v>2307</v>
      </c>
      <c r="AL52" s="864">
        <f t="shared" si="20"/>
        <v>19769</v>
      </c>
      <c r="AM52" s="864">
        <f t="shared" si="21"/>
        <v>22076</v>
      </c>
      <c r="AN52" s="864">
        <f t="shared" si="22"/>
        <v>550</v>
      </c>
      <c r="AO52" s="864">
        <f t="shared" si="23"/>
        <v>4356</v>
      </c>
      <c r="AP52" s="864">
        <f t="shared" si="24"/>
        <v>4906</v>
      </c>
      <c r="AR52" s="865">
        <f t="shared" si="25"/>
        <v>0.16187005152695741</v>
      </c>
      <c r="AS52" s="865">
        <f t="shared" si="26"/>
        <v>0.10450262728755209</v>
      </c>
      <c r="AT52" s="865">
        <f t="shared" si="27"/>
        <v>0.11210762331838565</v>
      </c>
      <c r="AV52" s="866">
        <v>7808</v>
      </c>
      <c r="AW52" s="866">
        <v>22111</v>
      </c>
      <c r="AX52" s="866">
        <v>5437</v>
      </c>
      <c r="AZ52" s="866">
        <f t="shared" si="28"/>
        <v>1263.8813623224835</v>
      </c>
      <c r="BA52" s="866">
        <f t="shared" si="29"/>
        <v>2310.6575919550642</v>
      </c>
      <c r="BB52" s="866">
        <f t="shared" si="30"/>
        <v>609.5291479820628</v>
      </c>
      <c r="BC52" s="883">
        <f t="shared" si="15"/>
        <v>4184.06810225961</v>
      </c>
    </row>
    <row r="53" spans="1:55" s="863" customFormat="1" ht="12" customHeight="1" x14ac:dyDescent="0.2">
      <c r="A53" s="863" t="s">
        <v>120</v>
      </c>
      <c r="B53" s="867" t="s">
        <v>285</v>
      </c>
      <c r="C53" s="880">
        <v>802</v>
      </c>
      <c r="D53" s="864">
        <v>3257</v>
      </c>
      <c r="E53" s="864">
        <v>4059</v>
      </c>
      <c r="F53" s="864">
        <v>707</v>
      </c>
      <c r="G53" s="864">
        <v>4065</v>
      </c>
      <c r="H53" s="864">
        <v>4772</v>
      </c>
      <c r="I53" s="864">
        <v>525</v>
      </c>
      <c r="J53" s="864">
        <v>4851</v>
      </c>
      <c r="K53" s="864">
        <v>5376</v>
      </c>
      <c r="L53" s="864">
        <v>843</v>
      </c>
      <c r="M53" s="864">
        <v>3679</v>
      </c>
      <c r="N53" s="864">
        <v>4522</v>
      </c>
      <c r="O53" s="864">
        <v>636</v>
      </c>
      <c r="P53" s="864">
        <v>5556</v>
      </c>
      <c r="Q53" s="864">
        <v>6192</v>
      </c>
      <c r="R53" s="864">
        <v>611</v>
      </c>
      <c r="S53" s="864">
        <v>7290</v>
      </c>
      <c r="T53" s="864">
        <v>7901</v>
      </c>
      <c r="U53" s="864">
        <v>459</v>
      </c>
      <c r="V53" s="864">
        <v>9228</v>
      </c>
      <c r="W53" s="864">
        <v>9687</v>
      </c>
      <c r="X53" s="864">
        <v>435</v>
      </c>
      <c r="Y53" s="864">
        <v>9043</v>
      </c>
      <c r="Z53" s="864">
        <v>9478</v>
      </c>
      <c r="AA53" s="864">
        <v>157</v>
      </c>
      <c r="AB53" s="864">
        <v>7084</v>
      </c>
      <c r="AC53" s="864">
        <v>7241</v>
      </c>
      <c r="AD53" s="864">
        <v>241</v>
      </c>
      <c r="AE53" s="864">
        <v>5543</v>
      </c>
      <c r="AF53" s="864">
        <v>5784</v>
      </c>
      <c r="AH53" s="864">
        <f t="shared" si="16"/>
        <v>2034</v>
      </c>
      <c r="AI53" s="864">
        <f t="shared" si="17"/>
        <v>12173</v>
      </c>
      <c r="AJ53" s="864">
        <f t="shared" si="18"/>
        <v>14207</v>
      </c>
      <c r="AK53" s="864">
        <f t="shared" si="19"/>
        <v>2984</v>
      </c>
      <c r="AL53" s="864">
        <f t="shared" si="20"/>
        <v>34796</v>
      </c>
      <c r="AM53" s="864">
        <f t="shared" si="21"/>
        <v>37780</v>
      </c>
      <c r="AN53" s="864">
        <f t="shared" si="22"/>
        <v>398</v>
      </c>
      <c r="AO53" s="864">
        <f t="shared" si="23"/>
        <v>12627</v>
      </c>
      <c r="AP53" s="864">
        <f t="shared" si="24"/>
        <v>13025</v>
      </c>
      <c r="AR53" s="865">
        <f t="shared" si="25"/>
        <v>0.14316886042091925</v>
      </c>
      <c r="AS53" s="865">
        <f t="shared" si="26"/>
        <v>7.8983589200635251E-2</v>
      </c>
      <c r="AT53" s="865">
        <f t="shared" si="27"/>
        <v>3.0556621880998079E-2</v>
      </c>
      <c r="AV53" s="866">
        <v>14335</v>
      </c>
      <c r="AW53" s="866">
        <v>39213</v>
      </c>
      <c r="AX53" s="866">
        <v>14652</v>
      </c>
      <c r="AZ53" s="866">
        <f t="shared" si="28"/>
        <v>2052.3256141338775</v>
      </c>
      <c r="BA53" s="866">
        <f t="shared" si="29"/>
        <v>3097.1834833245102</v>
      </c>
      <c r="BB53" s="866">
        <f t="shared" si="30"/>
        <v>447.71562380038387</v>
      </c>
      <c r="BC53" s="883">
        <f t="shared" si="15"/>
        <v>5597.2247212587708</v>
      </c>
    </row>
    <row r="54" spans="1:55" s="863" customFormat="1" ht="12" customHeight="1" x14ac:dyDescent="0.2">
      <c r="A54" s="863" t="s">
        <v>122</v>
      </c>
      <c r="B54" s="867" t="s">
        <v>746</v>
      </c>
      <c r="C54" s="880">
        <v>184</v>
      </c>
      <c r="D54" s="864">
        <v>280</v>
      </c>
      <c r="E54" s="864">
        <v>464</v>
      </c>
      <c r="F54" s="864">
        <v>121</v>
      </c>
      <c r="G54" s="864">
        <v>263</v>
      </c>
      <c r="H54" s="864">
        <v>384</v>
      </c>
      <c r="I54" s="864">
        <v>50</v>
      </c>
      <c r="J54" s="864">
        <v>537</v>
      </c>
      <c r="K54" s="864">
        <v>587</v>
      </c>
      <c r="L54" s="864">
        <v>73</v>
      </c>
      <c r="M54" s="864">
        <v>491</v>
      </c>
      <c r="N54" s="864">
        <v>564</v>
      </c>
      <c r="O54" s="864">
        <v>57</v>
      </c>
      <c r="P54" s="864">
        <v>434</v>
      </c>
      <c r="Q54" s="864">
        <v>491</v>
      </c>
      <c r="R54" s="864">
        <v>96</v>
      </c>
      <c r="S54" s="864">
        <v>864</v>
      </c>
      <c r="T54" s="864">
        <v>960</v>
      </c>
      <c r="U54" s="864">
        <v>106</v>
      </c>
      <c r="V54" s="864">
        <v>1136</v>
      </c>
      <c r="W54" s="864">
        <v>1242</v>
      </c>
      <c r="X54" s="864">
        <v>138</v>
      </c>
      <c r="Y54" s="864">
        <v>929</v>
      </c>
      <c r="Z54" s="864">
        <v>1067</v>
      </c>
      <c r="AA54" s="864">
        <v>67</v>
      </c>
      <c r="AB54" s="864">
        <v>598</v>
      </c>
      <c r="AC54" s="864">
        <v>665</v>
      </c>
      <c r="AD54" s="864">
        <v>125</v>
      </c>
      <c r="AE54" s="864">
        <v>397</v>
      </c>
      <c r="AF54" s="864">
        <v>522</v>
      </c>
      <c r="AH54" s="864">
        <f t="shared" si="16"/>
        <v>355</v>
      </c>
      <c r="AI54" s="864">
        <f t="shared" si="17"/>
        <v>1080</v>
      </c>
      <c r="AJ54" s="864">
        <f t="shared" si="18"/>
        <v>1435</v>
      </c>
      <c r="AK54" s="864">
        <f t="shared" si="19"/>
        <v>470</v>
      </c>
      <c r="AL54" s="864">
        <f t="shared" si="20"/>
        <v>3854</v>
      </c>
      <c r="AM54" s="864">
        <f t="shared" si="21"/>
        <v>4324</v>
      </c>
      <c r="AN54" s="864">
        <f t="shared" si="22"/>
        <v>192</v>
      </c>
      <c r="AO54" s="864">
        <f t="shared" si="23"/>
        <v>995</v>
      </c>
      <c r="AP54" s="864">
        <f t="shared" si="24"/>
        <v>1187</v>
      </c>
      <c r="AR54" s="865">
        <f t="shared" si="25"/>
        <v>0.24738675958188153</v>
      </c>
      <c r="AS54" s="865">
        <f t="shared" si="26"/>
        <v>0.10869565217391304</v>
      </c>
      <c r="AT54" s="865">
        <f t="shared" si="27"/>
        <v>0.16175231676495366</v>
      </c>
      <c r="AV54" s="866">
        <v>1382</v>
      </c>
      <c r="AW54" s="866">
        <v>4333</v>
      </c>
      <c r="AX54" s="866">
        <v>1282</v>
      </c>
      <c r="AZ54" s="866">
        <f t="shared" si="28"/>
        <v>341.88850174216026</v>
      </c>
      <c r="BA54" s="866">
        <f t="shared" si="29"/>
        <v>470.97826086956519</v>
      </c>
      <c r="BB54" s="866">
        <f t="shared" si="30"/>
        <v>207.3664700926706</v>
      </c>
      <c r="BC54" s="883">
        <f t="shared" si="15"/>
        <v>1020.2332327043961</v>
      </c>
    </row>
    <row r="55" spans="1:55" s="863" customFormat="1" ht="12" customHeight="1" x14ac:dyDescent="0.2">
      <c r="A55" s="863" t="s">
        <v>124</v>
      </c>
      <c r="B55" s="867" t="s">
        <v>488</v>
      </c>
      <c r="C55" s="880">
        <v>418</v>
      </c>
      <c r="D55" s="864">
        <v>1623</v>
      </c>
      <c r="E55" s="864">
        <v>2041</v>
      </c>
      <c r="F55" s="864">
        <v>266</v>
      </c>
      <c r="G55" s="864">
        <v>1933</v>
      </c>
      <c r="H55" s="864">
        <v>2199</v>
      </c>
      <c r="I55" s="864">
        <v>204</v>
      </c>
      <c r="J55" s="864">
        <v>2018</v>
      </c>
      <c r="K55" s="864">
        <v>2222</v>
      </c>
      <c r="L55" s="864">
        <v>332</v>
      </c>
      <c r="M55" s="864">
        <v>1271</v>
      </c>
      <c r="N55" s="864">
        <v>1603</v>
      </c>
      <c r="O55" s="864">
        <v>241</v>
      </c>
      <c r="P55" s="864">
        <v>2558</v>
      </c>
      <c r="Q55" s="864">
        <v>2799</v>
      </c>
      <c r="R55" s="864">
        <v>210</v>
      </c>
      <c r="S55" s="864">
        <v>3370</v>
      </c>
      <c r="T55" s="864">
        <v>3580</v>
      </c>
      <c r="U55" s="864">
        <v>127</v>
      </c>
      <c r="V55" s="864">
        <v>3653</v>
      </c>
      <c r="W55" s="864">
        <v>3780</v>
      </c>
      <c r="X55" s="864">
        <v>151</v>
      </c>
      <c r="Y55" s="864">
        <v>2288</v>
      </c>
      <c r="Z55" s="864">
        <v>2439</v>
      </c>
      <c r="AA55" s="864">
        <v>100</v>
      </c>
      <c r="AB55" s="864">
        <v>1369</v>
      </c>
      <c r="AC55" s="864">
        <v>1469</v>
      </c>
      <c r="AD55" s="864">
        <v>61</v>
      </c>
      <c r="AE55" s="864">
        <v>668</v>
      </c>
      <c r="AF55" s="864">
        <v>729</v>
      </c>
      <c r="AH55" s="864">
        <f t="shared" si="16"/>
        <v>888</v>
      </c>
      <c r="AI55" s="864">
        <f t="shared" si="17"/>
        <v>5574</v>
      </c>
      <c r="AJ55" s="864">
        <f t="shared" si="18"/>
        <v>6462</v>
      </c>
      <c r="AK55" s="864">
        <f t="shared" si="19"/>
        <v>1061</v>
      </c>
      <c r="AL55" s="864">
        <f t="shared" si="20"/>
        <v>13140</v>
      </c>
      <c r="AM55" s="864">
        <f t="shared" si="21"/>
        <v>14201</v>
      </c>
      <c r="AN55" s="864">
        <f t="shared" si="22"/>
        <v>161</v>
      </c>
      <c r="AO55" s="864">
        <f t="shared" si="23"/>
        <v>2037</v>
      </c>
      <c r="AP55" s="864">
        <f t="shared" si="24"/>
        <v>2198</v>
      </c>
      <c r="AR55" s="865">
        <f t="shared" si="25"/>
        <v>0.13741875580315691</v>
      </c>
      <c r="AS55" s="865">
        <f t="shared" si="26"/>
        <v>7.4713048376874869E-2</v>
      </c>
      <c r="AT55" s="865">
        <f t="shared" si="27"/>
        <v>7.32484076433121E-2</v>
      </c>
      <c r="AV55" s="866">
        <v>6530</v>
      </c>
      <c r="AW55" s="866">
        <v>15111</v>
      </c>
      <c r="AX55" s="866">
        <v>2520</v>
      </c>
      <c r="AZ55" s="866">
        <f t="shared" si="28"/>
        <v>897.34447539461462</v>
      </c>
      <c r="BA55" s="866">
        <f t="shared" si="29"/>
        <v>1128.9888740229562</v>
      </c>
      <c r="BB55" s="866">
        <f t="shared" si="30"/>
        <v>184.5859872611465</v>
      </c>
      <c r="BC55" s="883">
        <f t="shared" si="15"/>
        <v>2210.9193366787172</v>
      </c>
    </row>
    <row r="56" spans="1:55" s="863" customFormat="1" ht="12" customHeight="1" x14ac:dyDescent="0.2">
      <c r="A56" s="863" t="s">
        <v>126</v>
      </c>
      <c r="B56" s="867" t="s">
        <v>489</v>
      </c>
      <c r="C56" s="880">
        <v>24</v>
      </c>
      <c r="D56" s="864">
        <v>1107</v>
      </c>
      <c r="E56" s="864">
        <v>1131</v>
      </c>
      <c r="F56" s="864">
        <v>227</v>
      </c>
      <c r="G56" s="864">
        <v>1333</v>
      </c>
      <c r="H56" s="864">
        <v>1560</v>
      </c>
      <c r="I56" s="864">
        <v>192</v>
      </c>
      <c r="J56" s="864">
        <v>972</v>
      </c>
      <c r="K56" s="864">
        <v>1164</v>
      </c>
      <c r="L56" s="864">
        <v>183</v>
      </c>
      <c r="M56" s="864">
        <v>1053</v>
      </c>
      <c r="N56" s="864">
        <v>1236</v>
      </c>
      <c r="O56" s="864">
        <v>70</v>
      </c>
      <c r="P56" s="864">
        <v>1790</v>
      </c>
      <c r="Q56" s="864">
        <v>1860</v>
      </c>
      <c r="R56" s="864">
        <v>211</v>
      </c>
      <c r="S56" s="864">
        <v>2126</v>
      </c>
      <c r="T56" s="864">
        <v>2337</v>
      </c>
      <c r="U56" s="864">
        <v>175</v>
      </c>
      <c r="V56" s="864">
        <v>2319</v>
      </c>
      <c r="W56" s="864">
        <v>2494</v>
      </c>
      <c r="X56" s="864">
        <v>93</v>
      </c>
      <c r="Y56" s="864">
        <v>1921</v>
      </c>
      <c r="Z56" s="864">
        <v>2014</v>
      </c>
      <c r="AA56" s="864">
        <v>99</v>
      </c>
      <c r="AB56" s="864">
        <v>1002</v>
      </c>
      <c r="AC56" s="864">
        <v>1101</v>
      </c>
      <c r="AD56" s="864">
        <v>149</v>
      </c>
      <c r="AE56" s="864">
        <v>591</v>
      </c>
      <c r="AF56" s="864">
        <v>740</v>
      </c>
      <c r="AH56" s="864">
        <f t="shared" si="16"/>
        <v>443</v>
      </c>
      <c r="AI56" s="864">
        <f t="shared" si="17"/>
        <v>3412</v>
      </c>
      <c r="AJ56" s="864">
        <f t="shared" si="18"/>
        <v>3855</v>
      </c>
      <c r="AK56" s="864">
        <f t="shared" si="19"/>
        <v>732</v>
      </c>
      <c r="AL56" s="864">
        <f t="shared" si="20"/>
        <v>9209</v>
      </c>
      <c r="AM56" s="864">
        <f t="shared" si="21"/>
        <v>9941</v>
      </c>
      <c r="AN56" s="864">
        <f t="shared" si="22"/>
        <v>248</v>
      </c>
      <c r="AO56" s="864">
        <f t="shared" si="23"/>
        <v>1593</v>
      </c>
      <c r="AP56" s="864">
        <f t="shared" si="24"/>
        <v>1841</v>
      </c>
      <c r="AR56" s="865">
        <f t="shared" si="25"/>
        <v>0.11491569390402075</v>
      </c>
      <c r="AS56" s="865">
        <f t="shared" si="26"/>
        <v>7.3634443214968315E-2</v>
      </c>
      <c r="AT56" s="865">
        <f t="shared" si="27"/>
        <v>0.13470939706681151</v>
      </c>
      <c r="AV56" s="866">
        <v>3887</v>
      </c>
      <c r="AW56" s="866">
        <v>10093</v>
      </c>
      <c r="AX56" s="866">
        <v>2001</v>
      </c>
      <c r="AZ56" s="866">
        <f t="shared" si="28"/>
        <v>446.67730220492865</v>
      </c>
      <c r="BA56" s="866">
        <f t="shared" si="29"/>
        <v>743.19243536867521</v>
      </c>
      <c r="BB56" s="866">
        <f t="shared" si="30"/>
        <v>269.55350353068985</v>
      </c>
      <c r="BC56" s="883">
        <f t="shared" si="15"/>
        <v>1459.4232411042935</v>
      </c>
    </row>
    <row r="57" spans="1:55" s="863" customFormat="1" ht="12" customHeight="1" x14ac:dyDescent="0.2">
      <c r="A57" s="863" t="s">
        <v>128</v>
      </c>
      <c r="B57" s="867" t="s">
        <v>490</v>
      </c>
      <c r="C57" s="880">
        <v>174</v>
      </c>
      <c r="D57" s="864">
        <v>340</v>
      </c>
      <c r="E57" s="864">
        <v>514</v>
      </c>
      <c r="F57" s="864">
        <v>103</v>
      </c>
      <c r="G57" s="864">
        <v>366</v>
      </c>
      <c r="H57" s="864">
        <v>469</v>
      </c>
      <c r="I57" s="864">
        <v>189</v>
      </c>
      <c r="J57" s="864">
        <v>520</v>
      </c>
      <c r="K57" s="864">
        <v>709</v>
      </c>
      <c r="L57" s="864">
        <v>98</v>
      </c>
      <c r="M57" s="864">
        <v>447</v>
      </c>
      <c r="N57" s="864">
        <v>545</v>
      </c>
      <c r="O57" s="864">
        <v>145</v>
      </c>
      <c r="P57" s="864">
        <v>632</v>
      </c>
      <c r="Q57" s="864">
        <v>777</v>
      </c>
      <c r="R57" s="864">
        <v>197</v>
      </c>
      <c r="S57" s="864">
        <v>787</v>
      </c>
      <c r="T57" s="864">
        <v>984</v>
      </c>
      <c r="U57" s="864">
        <v>127</v>
      </c>
      <c r="V57" s="864">
        <v>1617</v>
      </c>
      <c r="W57" s="864">
        <v>1744</v>
      </c>
      <c r="X57" s="864">
        <v>73</v>
      </c>
      <c r="Y57" s="864">
        <v>1891</v>
      </c>
      <c r="Z57" s="864">
        <v>1964</v>
      </c>
      <c r="AA57" s="864">
        <v>251</v>
      </c>
      <c r="AB57" s="864">
        <v>1517</v>
      </c>
      <c r="AC57" s="864">
        <v>1768</v>
      </c>
      <c r="AD57" s="864">
        <v>232</v>
      </c>
      <c r="AE57" s="864">
        <v>1278</v>
      </c>
      <c r="AF57" s="864">
        <v>1510</v>
      </c>
      <c r="AH57" s="864">
        <f t="shared" si="16"/>
        <v>466</v>
      </c>
      <c r="AI57" s="864">
        <f t="shared" si="17"/>
        <v>1226</v>
      </c>
      <c r="AJ57" s="864">
        <f t="shared" si="18"/>
        <v>1692</v>
      </c>
      <c r="AK57" s="864">
        <f t="shared" si="19"/>
        <v>640</v>
      </c>
      <c r="AL57" s="864">
        <f t="shared" si="20"/>
        <v>5374</v>
      </c>
      <c r="AM57" s="864">
        <f t="shared" si="21"/>
        <v>6014</v>
      </c>
      <c r="AN57" s="864">
        <f t="shared" si="22"/>
        <v>483</v>
      </c>
      <c r="AO57" s="864">
        <f t="shared" si="23"/>
        <v>2795</v>
      </c>
      <c r="AP57" s="864">
        <f t="shared" si="24"/>
        <v>3278</v>
      </c>
      <c r="AR57" s="865">
        <f t="shared" si="25"/>
        <v>0.27541371158392436</v>
      </c>
      <c r="AS57" s="865">
        <f t="shared" si="26"/>
        <v>0.10641835716661124</v>
      </c>
      <c r="AT57" s="865">
        <f t="shared" si="27"/>
        <v>0.14734594264795606</v>
      </c>
      <c r="AV57" s="866">
        <v>1781</v>
      </c>
      <c r="AW57" s="866">
        <v>5954</v>
      </c>
      <c r="AX57" s="866">
        <v>3547</v>
      </c>
      <c r="AZ57" s="866">
        <f t="shared" si="28"/>
        <v>490.51182033096927</v>
      </c>
      <c r="BA57" s="866">
        <f t="shared" si="29"/>
        <v>633.61489857000333</v>
      </c>
      <c r="BB57" s="866">
        <f t="shared" si="30"/>
        <v>522.63605857230016</v>
      </c>
      <c r="BC57" s="883">
        <f t="shared" si="15"/>
        <v>1646.7627774732728</v>
      </c>
    </row>
    <row r="58" spans="1:55" s="863" customFormat="1" ht="12" customHeight="1" x14ac:dyDescent="0.2">
      <c r="A58" s="863" t="s">
        <v>130</v>
      </c>
      <c r="B58" s="867" t="s">
        <v>491</v>
      </c>
      <c r="C58" s="880">
        <v>682</v>
      </c>
      <c r="D58" s="864">
        <v>820</v>
      </c>
      <c r="E58" s="864">
        <v>1502</v>
      </c>
      <c r="F58" s="864">
        <v>552</v>
      </c>
      <c r="G58" s="864">
        <v>1148</v>
      </c>
      <c r="H58" s="864">
        <v>1700</v>
      </c>
      <c r="I58" s="864">
        <v>627</v>
      </c>
      <c r="J58" s="864">
        <v>1182</v>
      </c>
      <c r="K58" s="864">
        <v>1809</v>
      </c>
      <c r="L58" s="864">
        <v>608</v>
      </c>
      <c r="M58" s="864">
        <v>1244</v>
      </c>
      <c r="N58" s="864">
        <v>1852</v>
      </c>
      <c r="O58" s="864">
        <v>839</v>
      </c>
      <c r="P58" s="864">
        <v>1813</v>
      </c>
      <c r="Q58" s="864">
        <v>2652</v>
      </c>
      <c r="R58" s="864">
        <v>717</v>
      </c>
      <c r="S58" s="864">
        <v>2454</v>
      </c>
      <c r="T58" s="864">
        <v>3171</v>
      </c>
      <c r="U58" s="864">
        <v>965</v>
      </c>
      <c r="V58" s="864">
        <v>2844</v>
      </c>
      <c r="W58" s="864">
        <v>3809</v>
      </c>
      <c r="X58" s="864">
        <v>574</v>
      </c>
      <c r="Y58" s="864">
        <v>2831</v>
      </c>
      <c r="Z58" s="864">
        <v>3405</v>
      </c>
      <c r="AA58" s="864">
        <v>497</v>
      </c>
      <c r="AB58" s="864">
        <v>1821</v>
      </c>
      <c r="AC58" s="864">
        <v>2318</v>
      </c>
      <c r="AD58" s="864">
        <v>516</v>
      </c>
      <c r="AE58" s="864">
        <v>1084</v>
      </c>
      <c r="AF58" s="864">
        <v>1600</v>
      </c>
      <c r="AH58" s="864">
        <f t="shared" si="16"/>
        <v>1861</v>
      </c>
      <c r="AI58" s="864">
        <f t="shared" si="17"/>
        <v>3150</v>
      </c>
      <c r="AJ58" s="864">
        <f t="shared" si="18"/>
        <v>5011</v>
      </c>
      <c r="AK58" s="864">
        <f t="shared" si="19"/>
        <v>3703</v>
      </c>
      <c r="AL58" s="864">
        <f t="shared" si="20"/>
        <v>11186</v>
      </c>
      <c r="AM58" s="864">
        <f t="shared" si="21"/>
        <v>14889</v>
      </c>
      <c r="AN58" s="864">
        <f t="shared" si="22"/>
        <v>1013</v>
      </c>
      <c r="AO58" s="864">
        <f t="shared" si="23"/>
        <v>2905</v>
      </c>
      <c r="AP58" s="864">
        <f t="shared" si="24"/>
        <v>3918</v>
      </c>
      <c r="AR58" s="865">
        <f t="shared" si="25"/>
        <v>0.37138295749351424</v>
      </c>
      <c r="AS58" s="865">
        <f t="shared" si="26"/>
        <v>0.24870709920075224</v>
      </c>
      <c r="AT58" s="865">
        <f t="shared" si="27"/>
        <v>0.25855028075548747</v>
      </c>
      <c r="AV58" s="866">
        <v>5089</v>
      </c>
      <c r="AW58" s="866">
        <v>16175</v>
      </c>
      <c r="AX58" s="866">
        <v>3882</v>
      </c>
      <c r="AZ58" s="866">
        <f t="shared" si="28"/>
        <v>1889.9678706844941</v>
      </c>
      <c r="BA58" s="866">
        <f t="shared" si="29"/>
        <v>4022.8373295721676</v>
      </c>
      <c r="BB58" s="866">
        <f t="shared" si="30"/>
        <v>1003.6921898928024</v>
      </c>
      <c r="BC58" s="883">
        <f t="shared" si="15"/>
        <v>6916.4973901494641</v>
      </c>
    </row>
    <row r="59" spans="1:55" s="863" customFormat="1" ht="12" customHeight="1" x14ac:dyDescent="0.2">
      <c r="A59" s="863" t="s">
        <v>132</v>
      </c>
      <c r="B59" s="867" t="s">
        <v>492</v>
      </c>
      <c r="C59" s="880">
        <v>1493</v>
      </c>
      <c r="D59" s="864">
        <v>30744</v>
      </c>
      <c r="E59" s="864">
        <v>32237</v>
      </c>
      <c r="F59" s="864">
        <v>1381</v>
      </c>
      <c r="G59" s="864">
        <v>30755</v>
      </c>
      <c r="H59" s="864">
        <v>32136</v>
      </c>
      <c r="I59" s="864">
        <v>1358</v>
      </c>
      <c r="J59" s="864">
        <v>25571</v>
      </c>
      <c r="K59" s="864">
        <v>26929</v>
      </c>
      <c r="L59" s="864">
        <v>1355</v>
      </c>
      <c r="M59" s="864">
        <v>16631</v>
      </c>
      <c r="N59" s="864">
        <v>17986</v>
      </c>
      <c r="O59" s="864">
        <v>2541</v>
      </c>
      <c r="P59" s="864">
        <v>40781</v>
      </c>
      <c r="Q59" s="864">
        <v>43322</v>
      </c>
      <c r="R59" s="864">
        <v>1860</v>
      </c>
      <c r="S59" s="864">
        <v>56506</v>
      </c>
      <c r="T59" s="864">
        <v>58366</v>
      </c>
      <c r="U59" s="864">
        <v>1517</v>
      </c>
      <c r="V59" s="864">
        <v>44657</v>
      </c>
      <c r="W59" s="864">
        <v>46174</v>
      </c>
      <c r="X59" s="864">
        <v>824</v>
      </c>
      <c r="Y59" s="864">
        <v>24653</v>
      </c>
      <c r="Z59" s="864">
        <v>25477</v>
      </c>
      <c r="AA59" s="864">
        <v>331</v>
      </c>
      <c r="AB59" s="864">
        <v>11188</v>
      </c>
      <c r="AC59" s="864">
        <v>11519</v>
      </c>
      <c r="AD59" s="864">
        <v>651</v>
      </c>
      <c r="AE59" s="864">
        <v>6910</v>
      </c>
      <c r="AF59" s="864">
        <v>7561</v>
      </c>
      <c r="AH59" s="864">
        <f t="shared" si="16"/>
        <v>4232</v>
      </c>
      <c r="AI59" s="864">
        <f t="shared" si="17"/>
        <v>87070</v>
      </c>
      <c r="AJ59" s="864">
        <f t="shared" si="18"/>
        <v>91302</v>
      </c>
      <c r="AK59" s="864">
        <f t="shared" si="19"/>
        <v>8097</v>
      </c>
      <c r="AL59" s="864">
        <f t="shared" si="20"/>
        <v>183228</v>
      </c>
      <c r="AM59" s="864">
        <f t="shared" si="21"/>
        <v>191325</v>
      </c>
      <c r="AN59" s="864">
        <f t="shared" si="22"/>
        <v>982</v>
      </c>
      <c r="AO59" s="864">
        <f t="shared" si="23"/>
        <v>18098</v>
      </c>
      <c r="AP59" s="864">
        <f t="shared" si="24"/>
        <v>19080</v>
      </c>
      <c r="AR59" s="865">
        <f t="shared" si="25"/>
        <v>4.6351668090512804E-2</v>
      </c>
      <c r="AS59" s="865">
        <f t="shared" si="26"/>
        <v>4.2320658565268524E-2</v>
      </c>
      <c r="AT59" s="865">
        <f t="shared" si="27"/>
        <v>5.1467505241090145E-2</v>
      </c>
      <c r="AV59" s="866">
        <v>98249</v>
      </c>
      <c r="AW59" s="866">
        <v>204736</v>
      </c>
      <c r="AX59" s="866">
        <v>22420</v>
      </c>
      <c r="AZ59" s="866">
        <f t="shared" si="28"/>
        <v>4554.0050382247928</v>
      </c>
      <c r="BA59" s="866">
        <f t="shared" si="29"/>
        <v>8664.5623520188165</v>
      </c>
      <c r="BB59" s="866">
        <f t="shared" si="30"/>
        <v>1153.901467505241</v>
      </c>
      <c r="BC59" s="883">
        <f t="shared" si="15"/>
        <v>14372.46885774885</v>
      </c>
    </row>
    <row r="60" spans="1:55" s="863" customFormat="1" ht="12" customHeight="1" x14ac:dyDescent="0.2">
      <c r="A60" s="863" t="s">
        <v>134</v>
      </c>
      <c r="B60" s="867" t="s">
        <v>493</v>
      </c>
      <c r="C60" s="880">
        <v>317</v>
      </c>
      <c r="D60" s="864">
        <v>1976</v>
      </c>
      <c r="E60" s="864">
        <v>2293</v>
      </c>
      <c r="F60" s="864">
        <v>496</v>
      </c>
      <c r="G60" s="864">
        <v>2063</v>
      </c>
      <c r="H60" s="864">
        <v>2559</v>
      </c>
      <c r="I60" s="864">
        <v>348</v>
      </c>
      <c r="J60" s="864">
        <v>1980</v>
      </c>
      <c r="K60" s="864">
        <v>2328</v>
      </c>
      <c r="L60" s="864">
        <v>471</v>
      </c>
      <c r="M60" s="864">
        <v>1746</v>
      </c>
      <c r="N60" s="864">
        <v>2217</v>
      </c>
      <c r="O60" s="864">
        <v>386</v>
      </c>
      <c r="P60" s="864">
        <v>3340</v>
      </c>
      <c r="Q60" s="864">
        <v>3726</v>
      </c>
      <c r="R60" s="864">
        <v>696</v>
      </c>
      <c r="S60" s="864">
        <v>3746</v>
      </c>
      <c r="T60" s="864">
        <v>4442</v>
      </c>
      <c r="U60" s="864">
        <v>763</v>
      </c>
      <c r="V60" s="864">
        <v>4710</v>
      </c>
      <c r="W60" s="864">
        <v>5473</v>
      </c>
      <c r="X60" s="864">
        <v>620</v>
      </c>
      <c r="Y60" s="864">
        <v>4244</v>
      </c>
      <c r="Z60" s="864">
        <v>4864</v>
      </c>
      <c r="AA60" s="864">
        <v>264</v>
      </c>
      <c r="AB60" s="864">
        <v>2699</v>
      </c>
      <c r="AC60" s="864">
        <v>2963</v>
      </c>
      <c r="AD60" s="864">
        <v>427</v>
      </c>
      <c r="AE60" s="864">
        <v>1243</v>
      </c>
      <c r="AF60" s="864">
        <v>1670</v>
      </c>
      <c r="AH60" s="864">
        <f t="shared" si="16"/>
        <v>1161</v>
      </c>
      <c r="AI60" s="864">
        <f t="shared" si="17"/>
        <v>6019</v>
      </c>
      <c r="AJ60" s="864">
        <f t="shared" si="18"/>
        <v>7180</v>
      </c>
      <c r="AK60" s="864">
        <f t="shared" si="19"/>
        <v>2936</v>
      </c>
      <c r="AL60" s="864">
        <f t="shared" si="20"/>
        <v>17786</v>
      </c>
      <c r="AM60" s="864">
        <f t="shared" si="21"/>
        <v>20722</v>
      </c>
      <c r="AN60" s="864">
        <f t="shared" si="22"/>
        <v>691</v>
      </c>
      <c r="AO60" s="864">
        <f t="shared" si="23"/>
        <v>3942</v>
      </c>
      <c r="AP60" s="864">
        <f t="shared" si="24"/>
        <v>4633</v>
      </c>
      <c r="AR60" s="865">
        <f t="shared" si="25"/>
        <v>0.16169916434540391</v>
      </c>
      <c r="AS60" s="865">
        <f t="shared" si="26"/>
        <v>0.14168516552456326</v>
      </c>
      <c r="AT60" s="865">
        <f t="shared" si="27"/>
        <v>0.14914742067774661</v>
      </c>
      <c r="AV60" s="866">
        <v>7237</v>
      </c>
      <c r="AW60" s="866">
        <v>21128</v>
      </c>
      <c r="AX60" s="866">
        <v>5030</v>
      </c>
      <c r="AZ60" s="866">
        <f t="shared" si="28"/>
        <v>1170.216852367688</v>
      </c>
      <c r="BA60" s="866">
        <f t="shared" si="29"/>
        <v>2993.5241772029726</v>
      </c>
      <c r="BB60" s="866">
        <f t="shared" si="30"/>
        <v>750.21152600906544</v>
      </c>
      <c r="BC60" s="883">
        <f t="shared" si="15"/>
        <v>4913.9525555797263</v>
      </c>
    </row>
    <row r="61" spans="1:55" s="863" customFormat="1" ht="12" customHeight="1" x14ac:dyDescent="0.2">
      <c r="A61" s="863" t="s">
        <v>136</v>
      </c>
      <c r="B61" s="867" t="s">
        <v>494</v>
      </c>
      <c r="C61" s="880">
        <v>326</v>
      </c>
      <c r="D61" s="864">
        <v>388</v>
      </c>
      <c r="E61" s="864">
        <v>714</v>
      </c>
      <c r="F61" s="864">
        <v>213</v>
      </c>
      <c r="G61" s="864">
        <v>647</v>
      </c>
      <c r="H61" s="864">
        <v>860</v>
      </c>
      <c r="I61" s="864">
        <v>206</v>
      </c>
      <c r="J61" s="864">
        <v>643</v>
      </c>
      <c r="K61" s="864">
        <v>849</v>
      </c>
      <c r="L61" s="864">
        <v>306</v>
      </c>
      <c r="M61" s="864">
        <v>722</v>
      </c>
      <c r="N61" s="864">
        <v>1028</v>
      </c>
      <c r="O61" s="864">
        <v>352</v>
      </c>
      <c r="P61" s="864">
        <v>718</v>
      </c>
      <c r="Q61" s="864">
        <v>1070</v>
      </c>
      <c r="R61" s="864">
        <v>199</v>
      </c>
      <c r="S61" s="864">
        <v>845</v>
      </c>
      <c r="T61" s="864">
        <v>1044</v>
      </c>
      <c r="U61" s="864">
        <v>168</v>
      </c>
      <c r="V61" s="864">
        <v>1671</v>
      </c>
      <c r="W61" s="864">
        <v>1839</v>
      </c>
      <c r="X61" s="864">
        <v>581</v>
      </c>
      <c r="Y61" s="864">
        <v>1289</v>
      </c>
      <c r="Z61" s="864">
        <v>1870</v>
      </c>
      <c r="AA61" s="864">
        <v>233</v>
      </c>
      <c r="AB61" s="864">
        <v>929</v>
      </c>
      <c r="AC61" s="864">
        <v>1162</v>
      </c>
      <c r="AD61" s="864">
        <v>295</v>
      </c>
      <c r="AE61" s="864">
        <v>687</v>
      </c>
      <c r="AF61" s="864">
        <v>982</v>
      </c>
      <c r="AH61" s="864">
        <f t="shared" si="16"/>
        <v>745</v>
      </c>
      <c r="AI61" s="864">
        <f t="shared" si="17"/>
        <v>1678</v>
      </c>
      <c r="AJ61" s="864">
        <f t="shared" si="18"/>
        <v>2423</v>
      </c>
      <c r="AK61" s="864">
        <f t="shared" si="19"/>
        <v>1606</v>
      </c>
      <c r="AL61" s="864">
        <f t="shared" si="20"/>
        <v>5245</v>
      </c>
      <c r="AM61" s="864">
        <f t="shared" si="21"/>
        <v>6851</v>
      </c>
      <c r="AN61" s="864">
        <f t="shared" si="22"/>
        <v>528</v>
      </c>
      <c r="AO61" s="864">
        <f t="shared" si="23"/>
        <v>1616</v>
      </c>
      <c r="AP61" s="864">
        <f t="shared" si="24"/>
        <v>2144</v>
      </c>
      <c r="AR61" s="865">
        <f t="shared" si="25"/>
        <v>0.30747007841518781</v>
      </c>
      <c r="AS61" s="865">
        <f t="shared" si="26"/>
        <v>0.23441833309005985</v>
      </c>
      <c r="AT61" s="865">
        <f t="shared" si="27"/>
        <v>0.2462686567164179</v>
      </c>
      <c r="AV61" s="866">
        <v>2471</v>
      </c>
      <c r="AW61" s="866">
        <v>8158</v>
      </c>
      <c r="AX61" s="866">
        <v>2245</v>
      </c>
      <c r="AZ61" s="866">
        <f t="shared" si="28"/>
        <v>759.75856376392903</v>
      </c>
      <c r="BA61" s="866">
        <f t="shared" si="29"/>
        <v>1912.3847613487083</v>
      </c>
      <c r="BB61" s="866">
        <f t="shared" si="30"/>
        <v>552.87313432835822</v>
      </c>
      <c r="BC61" s="883">
        <f t="shared" si="15"/>
        <v>3225.0164594409953</v>
      </c>
    </row>
    <row r="62" spans="1:55" s="863" customFormat="1" ht="12" customHeight="1" x14ac:dyDescent="0.2">
      <c r="A62" s="863" t="s">
        <v>140</v>
      </c>
      <c r="B62" s="867" t="s">
        <v>495</v>
      </c>
      <c r="C62" s="880">
        <v>297</v>
      </c>
      <c r="D62" s="864">
        <v>645</v>
      </c>
      <c r="E62" s="864">
        <v>942</v>
      </c>
      <c r="F62" s="864">
        <v>186</v>
      </c>
      <c r="G62" s="864">
        <v>800</v>
      </c>
      <c r="H62" s="864">
        <v>986</v>
      </c>
      <c r="I62" s="864">
        <v>92</v>
      </c>
      <c r="J62" s="864">
        <v>919</v>
      </c>
      <c r="K62" s="864">
        <v>1011</v>
      </c>
      <c r="L62" s="864">
        <v>119</v>
      </c>
      <c r="M62" s="864">
        <v>708</v>
      </c>
      <c r="N62" s="864">
        <v>827</v>
      </c>
      <c r="O62" s="864">
        <v>325</v>
      </c>
      <c r="P62" s="864">
        <v>973</v>
      </c>
      <c r="Q62" s="864">
        <v>1298</v>
      </c>
      <c r="R62" s="864">
        <v>147</v>
      </c>
      <c r="S62" s="864">
        <v>1473</v>
      </c>
      <c r="T62" s="864">
        <v>1620</v>
      </c>
      <c r="U62" s="864">
        <v>129</v>
      </c>
      <c r="V62" s="864">
        <v>2158</v>
      </c>
      <c r="W62" s="864">
        <v>2287</v>
      </c>
      <c r="X62" s="864">
        <v>256</v>
      </c>
      <c r="Y62" s="864">
        <v>1658</v>
      </c>
      <c r="Z62" s="864">
        <v>1914</v>
      </c>
      <c r="AA62" s="864">
        <v>128</v>
      </c>
      <c r="AB62" s="864">
        <v>1175</v>
      </c>
      <c r="AC62" s="864">
        <v>1303</v>
      </c>
      <c r="AD62" s="864">
        <v>144</v>
      </c>
      <c r="AE62" s="864">
        <v>760</v>
      </c>
      <c r="AF62" s="864">
        <v>904</v>
      </c>
      <c r="AH62" s="864">
        <f t="shared" si="16"/>
        <v>575</v>
      </c>
      <c r="AI62" s="864">
        <f t="shared" si="17"/>
        <v>2364</v>
      </c>
      <c r="AJ62" s="864">
        <f t="shared" si="18"/>
        <v>2939</v>
      </c>
      <c r="AK62" s="864">
        <f t="shared" si="19"/>
        <v>976</v>
      </c>
      <c r="AL62" s="864">
        <f t="shared" si="20"/>
        <v>6970</v>
      </c>
      <c r="AM62" s="864">
        <f t="shared" si="21"/>
        <v>7946</v>
      </c>
      <c r="AN62" s="864">
        <f t="shared" si="22"/>
        <v>272</v>
      </c>
      <c r="AO62" s="864">
        <f t="shared" si="23"/>
        <v>1935</v>
      </c>
      <c r="AP62" s="864">
        <f t="shared" si="24"/>
        <v>2207</v>
      </c>
      <c r="AR62" s="865">
        <f t="shared" si="25"/>
        <v>0.19564477713507997</v>
      </c>
      <c r="AS62" s="865">
        <f t="shared" si="26"/>
        <v>0.12282909640070476</v>
      </c>
      <c r="AT62" s="865">
        <f t="shared" si="27"/>
        <v>0.1232442229270503</v>
      </c>
      <c r="AV62" s="866">
        <v>2839</v>
      </c>
      <c r="AW62" s="866">
        <v>7909</v>
      </c>
      <c r="AX62" s="866">
        <v>2421</v>
      </c>
      <c r="AZ62" s="866">
        <f t="shared" si="28"/>
        <v>555.43552228649207</v>
      </c>
      <c r="BA62" s="866">
        <f t="shared" si="29"/>
        <v>971.45532343317393</v>
      </c>
      <c r="BB62" s="866">
        <f t="shared" si="30"/>
        <v>298.37426370638877</v>
      </c>
      <c r="BC62" s="883">
        <f t="shared" si="15"/>
        <v>1825.2651094260548</v>
      </c>
    </row>
    <row r="63" spans="1:55" s="863" customFormat="1" ht="12" customHeight="1" x14ac:dyDescent="0.2">
      <c r="A63" s="863" t="s">
        <v>146</v>
      </c>
      <c r="B63" s="867" t="s">
        <v>496</v>
      </c>
      <c r="C63" s="880">
        <v>207</v>
      </c>
      <c r="D63" s="864">
        <v>306</v>
      </c>
      <c r="E63" s="864">
        <v>513</v>
      </c>
      <c r="F63" s="864">
        <v>58</v>
      </c>
      <c r="G63" s="864">
        <v>315</v>
      </c>
      <c r="H63" s="864">
        <v>373</v>
      </c>
      <c r="I63" s="864">
        <v>38</v>
      </c>
      <c r="J63" s="864">
        <v>752</v>
      </c>
      <c r="K63" s="864">
        <v>790</v>
      </c>
      <c r="L63" s="864">
        <v>90</v>
      </c>
      <c r="M63" s="864">
        <v>434</v>
      </c>
      <c r="N63" s="864">
        <v>524</v>
      </c>
      <c r="O63" s="864">
        <v>94</v>
      </c>
      <c r="P63" s="864">
        <v>418</v>
      </c>
      <c r="Q63" s="864">
        <v>512</v>
      </c>
      <c r="R63" s="864">
        <v>78</v>
      </c>
      <c r="S63" s="864">
        <v>928</v>
      </c>
      <c r="T63" s="864">
        <v>1006</v>
      </c>
      <c r="U63" s="864">
        <v>217</v>
      </c>
      <c r="V63" s="864">
        <v>1227</v>
      </c>
      <c r="W63" s="864">
        <v>1444</v>
      </c>
      <c r="X63" s="864">
        <v>137</v>
      </c>
      <c r="Y63" s="864">
        <v>1393</v>
      </c>
      <c r="Z63" s="864">
        <v>1530</v>
      </c>
      <c r="AA63" s="864">
        <v>50</v>
      </c>
      <c r="AB63" s="864">
        <v>1213</v>
      </c>
      <c r="AC63" s="864">
        <v>1263</v>
      </c>
      <c r="AD63" s="864">
        <v>178</v>
      </c>
      <c r="AE63" s="864">
        <v>753</v>
      </c>
      <c r="AF63" s="864">
        <v>931</v>
      </c>
      <c r="AH63" s="864">
        <f t="shared" si="16"/>
        <v>303</v>
      </c>
      <c r="AI63" s="864">
        <f t="shared" si="17"/>
        <v>1373</v>
      </c>
      <c r="AJ63" s="864">
        <f t="shared" si="18"/>
        <v>1676</v>
      </c>
      <c r="AK63" s="864">
        <f t="shared" si="19"/>
        <v>616</v>
      </c>
      <c r="AL63" s="864">
        <f t="shared" si="20"/>
        <v>4400</v>
      </c>
      <c r="AM63" s="864">
        <f t="shared" si="21"/>
        <v>5016</v>
      </c>
      <c r="AN63" s="864">
        <f t="shared" si="22"/>
        <v>228</v>
      </c>
      <c r="AO63" s="864">
        <f t="shared" si="23"/>
        <v>1966</v>
      </c>
      <c r="AP63" s="864">
        <f t="shared" si="24"/>
        <v>2194</v>
      </c>
      <c r="AR63" s="865">
        <f t="shared" si="25"/>
        <v>0.18078758949880669</v>
      </c>
      <c r="AS63" s="865">
        <f t="shared" si="26"/>
        <v>0.12280701754385964</v>
      </c>
      <c r="AT63" s="865">
        <f t="shared" si="27"/>
        <v>0.10391978122151321</v>
      </c>
      <c r="AV63" s="866">
        <v>1608</v>
      </c>
      <c r="AW63" s="866">
        <v>5014</v>
      </c>
      <c r="AX63" s="866">
        <v>2340</v>
      </c>
      <c r="AZ63" s="866">
        <f t="shared" si="28"/>
        <v>290.70644391408115</v>
      </c>
      <c r="BA63" s="866">
        <f t="shared" si="29"/>
        <v>615.75438596491222</v>
      </c>
      <c r="BB63" s="866">
        <f t="shared" si="30"/>
        <v>243.17228805834091</v>
      </c>
      <c r="BC63" s="883">
        <f t="shared" si="15"/>
        <v>1149.6331179373342</v>
      </c>
    </row>
    <row r="64" spans="1:55" s="863" customFormat="1" ht="12" customHeight="1" x14ac:dyDescent="0.2">
      <c r="A64" s="863" t="s">
        <v>148</v>
      </c>
      <c r="B64" s="867" t="s">
        <v>497</v>
      </c>
      <c r="C64" s="880">
        <v>711</v>
      </c>
      <c r="D64" s="864">
        <v>1203</v>
      </c>
      <c r="E64" s="864">
        <v>1914</v>
      </c>
      <c r="F64" s="864">
        <v>771</v>
      </c>
      <c r="G64" s="864">
        <v>1414</v>
      </c>
      <c r="H64" s="864">
        <v>2185</v>
      </c>
      <c r="I64" s="864">
        <v>537</v>
      </c>
      <c r="J64" s="864">
        <v>1665</v>
      </c>
      <c r="K64" s="864">
        <v>2202</v>
      </c>
      <c r="L64" s="864">
        <v>591</v>
      </c>
      <c r="M64" s="864">
        <v>1363</v>
      </c>
      <c r="N64" s="864">
        <v>1954</v>
      </c>
      <c r="O64" s="864">
        <v>1090</v>
      </c>
      <c r="P64" s="864">
        <v>2016</v>
      </c>
      <c r="Q64" s="864">
        <v>3106</v>
      </c>
      <c r="R64" s="864">
        <v>636</v>
      </c>
      <c r="S64" s="864">
        <v>2996</v>
      </c>
      <c r="T64" s="864">
        <v>3632</v>
      </c>
      <c r="U64" s="864">
        <v>1324</v>
      </c>
      <c r="V64" s="864">
        <v>3699</v>
      </c>
      <c r="W64" s="864">
        <v>5023</v>
      </c>
      <c r="X64" s="864">
        <v>774</v>
      </c>
      <c r="Y64" s="864">
        <v>3997</v>
      </c>
      <c r="Z64" s="864">
        <v>4771</v>
      </c>
      <c r="AA64" s="864">
        <v>578</v>
      </c>
      <c r="AB64" s="864">
        <v>3052</v>
      </c>
      <c r="AC64" s="864">
        <v>3630</v>
      </c>
      <c r="AD64" s="864">
        <v>1020</v>
      </c>
      <c r="AE64" s="864">
        <v>1826</v>
      </c>
      <c r="AF64" s="864">
        <v>2846</v>
      </c>
      <c r="AH64" s="864">
        <f t="shared" si="16"/>
        <v>2019</v>
      </c>
      <c r="AI64" s="864">
        <f t="shared" si="17"/>
        <v>4282</v>
      </c>
      <c r="AJ64" s="864">
        <f t="shared" si="18"/>
        <v>6301</v>
      </c>
      <c r="AK64" s="864">
        <f t="shared" si="19"/>
        <v>4415</v>
      </c>
      <c r="AL64" s="864">
        <f t="shared" si="20"/>
        <v>14071</v>
      </c>
      <c r="AM64" s="864">
        <f t="shared" si="21"/>
        <v>18486</v>
      </c>
      <c r="AN64" s="864">
        <f t="shared" si="22"/>
        <v>1598</v>
      </c>
      <c r="AO64" s="864">
        <f t="shared" si="23"/>
        <v>4878</v>
      </c>
      <c r="AP64" s="864">
        <f t="shared" si="24"/>
        <v>6476</v>
      </c>
      <c r="AR64" s="865">
        <f t="shared" si="25"/>
        <v>0.32042532931280748</v>
      </c>
      <c r="AS64" s="865">
        <f t="shared" si="26"/>
        <v>0.23882938439900464</v>
      </c>
      <c r="AT64" s="865">
        <f t="shared" si="27"/>
        <v>0.24675725756639902</v>
      </c>
      <c r="AV64" s="866">
        <v>6263</v>
      </c>
      <c r="AW64" s="866">
        <v>19437</v>
      </c>
      <c r="AX64" s="866">
        <v>6922</v>
      </c>
      <c r="AZ64" s="866">
        <f t="shared" si="28"/>
        <v>2006.8238374861132</v>
      </c>
      <c r="BA64" s="866">
        <f t="shared" si="29"/>
        <v>4642.126744563453</v>
      </c>
      <c r="BB64" s="866">
        <f t="shared" si="30"/>
        <v>1708.0537368746141</v>
      </c>
      <c r="BC64" s="883">
        <f t="shared" si="15"/>
        <v>8357.0043189241806</v>
      </c>
    </row>
    <row r="65" spans="1:55" s="863" customFormat="1" ht="12" customHeight="1" x14ac:dyDescent="0.2">
      <c r="A65" s="863" t="s">
        <v>150</v>
      </c>
      <c r="B65" s="867" t="s">
        <v>498</v>
      </c>
      <c r="C65" s="880">
        <v>38</v>
      </c>
      <c r="D65" s="864">
        <v>415</v>
      </c>
      <c r="E65" s="864">
        <v>453</v>
      </c>
      <c r="F65" s="864">
        <v>155</v>
      </c>
      <c r="G65" s="864">
        <v>511</v>
      </c>
      <c r="H65" s="864">
        <v>666</v>
      </c>
      <c r="I65" s="864">
        <v>83</v>
      </c>
      <c r="J65" s="864">
        <v>558</v>
      </c>
      <c r="K65" s="864">
        <v>641</v>
      </c>
      <c r="L65" s="864">
        <v>124</v>
      </c>
      <c r="M65" s="864">
        <v>500</v>
      </c>
      <c r="N65" s="864">
        <v>624</v>
      </c>
      <c r="O65" s="864">
        <v>107</v>
      </c>
      <c r="P65" s="864">
        <v>561</v>
      </c>
      <c r="Q65" s="864">
        <v>668</v>
      </c>
      <c r="R65" s="864">
        <v>154</v>
      </c>
      <c r="S65" s="864">
        <v>1057</v>
      </c>
      <c r="T65" s="864">
        <v>1211</v>
      </c>
      <c r="U65" s="864">
        <v>231</v>
      </c>
      <c r="V65" s="864">
        <v>1512</v>
      </c>
      <c r="W65" s="864">
        <v>1743</v>
      </c>
      <c r="X65" s="864">
        <v>134</v>
      </c>
      <c r="Y65" s="864">
        <v>1666</v>
      </c>
      <c r="Z65" s="864">
        <v>1800</v>
      </c>
      <c r="AA65" s="864">
        <v>105</v>
      </c>
      <c r="AB65" s="864">
        <v>1583</v>
      </c>
      <c r="AC65" s="864">
        <v>1688</v>
      </c>
      <c r="AD65" s="864">
        <v>173</v>
      </c>
      <c r="AE65" s="864">
        <v>867</v>
      </c>
      <c r="AF65" s="864">
        <v>1040</v>
      </c>
      <c r="AH65" s="864">
        <f t="shared" si="16"/>
        <v>276</v>
      </c>
      <c r="AI65" s="864">
        <f t="shared" si="17"/>
        <v>1484</v>
      </c>
      <c r="AJ65" s="864">
        <f t="shared" si="18"/>
        <v>1760</v>
      </c>
      <c r="AK65" s="864">
        <f t="shared" si="19"/>
        <v>750</v>
      </c>
      <c r="AL65" s="864">
        <f t="shared" si="20"/>
        <v>5296</v>
      </c>
      <c r="AM65" s="864">
        <f t="shared" si="21"/>
        <v>6046</v>
      </c>
      <c r="AN65" s="864">
        <f t="shared" si="22"/>
        <v>278</v>
      </c>
      <c r="AO65" s="864">
        <f t="shared" si="23"/>
        <v>2450</v>
      </c>
      <c r="AP65" s="864">
        <f t="shared" si="24"/>
        <v>2728</v>
      </c>
      <c r="AR65" s="865">
        <f t="shared" si="25"/>
        <v>0.15681818181818183</v>
      </c>
      <c r="AS65" s="865">
        <f t="shared" si="26"/>
        <v>0.1240489579887529</v>
      </c>
      <c r="AT65" s="865">
        <f t="shared" si="27"/>
        <v>0.10190615835777127</v>
      </c>
      <c r="AV65" s="866">
        <v>1689</v>
      </c>
      <c r="AW65" s="866">
        <v>6302</v>
      </c>
      <c r="AX65" s="866">
        <v>2863</v>
      </c>
      <c r="AZ65" s="866">
        <f t="shared" si="28"/>
        <v>264.8659090909091</v>
      </c>
      <c r="BA65" s="866">
        <f t="shared" si="29"/>
        <v>781.75653324512075</v>
      </c>
      <c r="BB65" s="866">
        <f t="shared" si="30"/>
        <v>291.75733137829911</v>
      </c>
      <c r="BC65" s="883">
        <f t="shared" si="15"/>
        <v>1338.3797737143291</v>
      </c>
    </row>
    <row r="66" spans="1:55" s="863" customFormat="1" ht="12" customHeight="1" x14ac:dyDescent="0.2">
      <c r="A66" s="863" t="s">
        <v>152</v>
      </c>
      <c r="B66" s="867" t="s">
        <v>499</v>
      </c>
      <c r="C66" s="880">
        <v>966</v>
      </c>
      <c r="D66" s="864">
        <v>3873</v>
      </c>
      <c r="E66" s="864">
        <v>4839</v>
      </c>
      <c r="F66" s="864">
        <v>893</v>
      </c>
      <c r="G66" s="864">
        <v>4056</v>
      </c>
      <c r="H66" s="864">
        <v>4949</v>
      </c>
      <c r="I66" s="864">
        <v>868</v>
      </c>
      <c r="J66" s="864">
        <v>3785</v>
      </c>
      <c r="K66" s="864">
        <v>4653</v>
      </c>
      <c r="L66" s="864">
        <v>13977</v>
      </c>
      <c r="M66" s="864">
        <v>5818</v>
      </c>
      <c r="N66" s="864">
        <v>19795</v>
      </c>
      <c r="O66" s="864">
        <v>2206</v>
      </c>
      <c r="P66" s="864">
        <v>9546</v>
      </c>
      <c r="Q66" s="864">
        <v>11752</v>
      </c>
      <c r="R66" s="864">
        <v>1301</v>
      </c>
      <c r="S66" s="864">
        <v>8347</v>
      </c>
      <c r="T66" s="864">
        <v>9648</v>
      </c>
      <c r="U66" s="864">
        <v>778</v>
      </c>
      <c r="V66" s="864">
        <v>8821</v>
      </c>
      <c r="W66" s="864">
        <v>9599</v>
      </c>
      <c r="X66" s="864">
        <v>703</v>
      </c>
      <c r="Y66" s="864">
        <v>7625</v>
      </c>
      <c r="Z66" s="864">
        <v>8328</v>
      </c>
      <c r="AA66" s="864">
        <v>398</v>
      </c>
      <c r="AB66" s="864">
        <v>4439</v>
      </c>
      <c r="AC66" s="864">
        <v>4837</v>
      </c>
      <c r="AD66" s="864">
        <v>550</v>
      </c>
      <c r="AE66" s="864">
        <v>3357</v>
      </c>
      <c r="AF66" s="864">
        <v>3907</v>
      </c>
      <c r="AH66" s="864">
        <f t="shared" si="16"/>
        <v>2727</v>
      </c>
      <c r="AI66" s="864">
        <f t="shared" si="17"/>
        <v>11714</v>
      </c>
      <c r="AJ66" s="864">
        <f t="shared" si="18"/>
        <v>14441</v>
      </c>
      <c r="AK66" s="864">
        <f t="shared" si="19"/>
        <v>18965</v>
      </c>
      <c r="AL66" s="864">
        <f t="shared" si="20"/>
        <v>40157</v>
      </c>
      <c r="AM66" s="864">
        <f t="shared" si="21"/>
        <v>59122</v>
      </c>
      <c r="AN66" s="864">
        <f t="shared" si="22"/>
        <v>948</v>
      </c>
      <c r="AO66" s="864">
        <f t="shared" si="23"/>
        <v>7796</v>
      </c>
      <c r="AP66" s="864">
        <f t="shared" si="24"/>
        <v>8744</v>
      </c>
      <c r="AR66" s="865">
        <f t="shared" si="25"/>
        <v>0.18883733813447823</v>
      </c>
      <c r="AS66" s="865">
        <f t="shared" si="26"/>
        <v>0.32077737559622477</v>
      </c>
      <c r="AT66" s="865">
        <f t="shared" si="27"/>
        <v>0.10841720036596524</v>
      </c>
      <c r="AV66" s="866">
        <v>14420</v>
      </c>
      <c r="AW66" s="866">
        <v>70390</v>
      </c>
      <c r="AX66" s="866">
        <v>9532</v>
      </c>
      <c r="AZ66" s="866">
        <f t="shared" si="28"/>
        <v>2723.0344158991761</v>
      </c>
      <c r="BA66" s="866">
        <f t="shared" si="29"/>
        <v>22579.519468218263</v>
      </c>
      <c r="BB66" s="866">
        <f t="shared" si="30"/>
        <v>1033.4327538883806</v>
      </c>
      <c r="BC66" s="883">
        <f t="shared" si="15"/>
        <v>26335.986638005819</v>
      </c>
    </row>
    <row r="67" spans="1:55" s="863" customFormat="1" ht="12" customHeight="1" x14ac:dyDescent="0.2">
      <c r="A67" s="863" t="s">
        <v>154</v>
      </c>
      <c r="B67" s="867" t="s">
        <v>500</v>
      </c>
      <c r="C67" s="880">
        <v>112</v>
      </c>
      <c r="D67" s="864">
        <v>655</v>
      </c>
      <c r="E67" s="864">
        <v>767</v>
      </c>
      <c r="F67" s="864">
        <v>96</v>
      </c>
      <c r="G67" s="864">
        <v>749</v>
      </c>
      <c r="H67" s="864">
        <v>845</v>
      </c>
      <c r="I67" s="864">
        <v>214</v>
      </c>
      <c r="J67" s="864">
        <v>1069</v>
      </c>
      <c r="K67" s="864">
        <v>1283</v>
      </c>
      <c r="L67" s="864">
        <v>333</v>
      </c>
      <c r="M67" s="864">
        <v>601</v>
      </c>
      <c r="N67" s="864">
        <v>934</v>
      </c>
      <c r="O67" s="864">
        <v>308</v>
      </c>
      <c r="P67" s="864">
        <v>1170</v>
      </c>
      <c r="Q67" s="864">
        <v>1478</v>
      </c>
      <c r="R67" s="864">
        <v>324</v>
      </c>
      <c r="S67" s="864">
        <v>1494</v>
      </c>
      <c r="T67" s="864">
        <v>1818</v>
      </c>
      <c r="U67" s="864">
        <v>325</v>
      </c>
      <c r="V67" s="864">
        <v>1917</v>
      </c>
      <c r="W67" s="864">
        <v>2242</v>
      </c>
      <c r="X67" s="864">
        <v>331</v>
      </c>
      <c r="Y67" s="864">
        <v>2456</v>
      </c>
      <c r="Z67" s="864">
        <v>2787</v>
      </c>
      <c r="AA67" s="864">
        <v>265</v>
      </c>
      <c r="AB67" s="864">
        <v>1420</v>
      </c>
      <c r="AC67" s="864">
        <v>1685</v>
      </c>
      <c r="AD67" s="864">
        <v>189</v>
      </c>
      <c r="AE67" s="864">
        <v>917</v>
      </c>
      <c r="AF67" s="864">
        <v>1106</v>
      </c>
      <c r="AH67" s="864">
        <f t="shared" si="16"/>
        <v>422</v>
      </c>
      <c r="AI67" s="864">
        <f t="shared" si="17"/>
        <v>2473</v>
      </c>
      <c r="AJ67" s="864">
        <f t="shared" si="18"/>
        <v>2895</v>
      </c>
      <c r="AK67" s="864">
        <f t="shared" si="19"/>
        <v>1621</v>
      </c>
      <c r="AL67" s="864">
        <f t="shared" si="20"/>
        <v>7638</v>
      </c>
      <c r="AM67" s="864">
        <f t="shared" si="21"/>
        <v>9259</v>
      </c>
      <c r="AN67" s="864">
        <f t="shared" si="22"/>
        <v>454</v>
      </c>
      <c r="AO67" s="864">
        <f t="shared" si="23"/>
        <v>2337</v>
      </c>
      <c r="AP67" s="864">
        <f t="shared" si="24"/>
        <v>2791</v>
      </c>
      <c r="AR67" s="865">
        <f t="shared" si="25"/>
        <v>0.14576856649395509</v>
      </c>
      <c r="AS67" s="865">
        <f t="shared" si="26"/>
        <v>0.17507290204125717</v>
      </c>
      <c r="AT67" s="865">
        <f t="shared" si="27"/>
        <v>0.16266571121461842</v>
      </c>
      <c r="AV67" s="866">
        <v>2882</v>
      </c>
      <c r="AW67" s="866">
        <v>9126</v>
      </c>
      <c r="AX67" s="866">
        <v>3089</v>
      </c>
      <c r="AZ67" s="866">
        <f t="shared" si="28"/>
        <v>420.10500863557854</v>
      </c>
      <c r="BA67" s="866">
        <f t="shared" si="29"/>
        <v>1597.7153040285129</v>
      </c>
      <c r="BB67" s="866">
        <f t="shared" si="30"/>
        <v>502.47438194195632</v>
      </c>
      <c r="BC67" s="883">
        <f t="shared" si="15"/>
        <v>2520.2946946060479</v>
      </c>
    </row>
    <row r="68" spans="1:55" s="863" customFormat="1" ht="12" customHeight="1" x14ac:dyDescent="0.2">
      <c r="A68" s="863" t="s">
        <v>156</v>
      </c>
      <c r="B68" s="867" t="s">
        <v>501</v>
      </c>
      <c r="C68" s="880">
        <v>131</v>
      </c>
      <c r="D68" s="864">
        <v>1067</v>
      </c>
      <c r="E68" s="864">
        <v>1198</v>
      </c>
      <c r="F68" s="864">
        <v>183</v>
      </c>
      <c r="G68" s="864">
        <v>1112</v>
      </c>
      <c r="H68" s="864">
        <v>1295</v>
      </c>
      <c r="I68" s="864">
        <v>227</v>
      </c>
      <c r="J68" s="864">
        <v>1328</v>
      </c>
      <c r="K68" s="864">
        <v>1555</v>
      </c>
      <c r="L68" s="864">
        <v>165</v>
      </c>
      <c r="M68" s="864">
        <v>899</v>
      </c>
      <c r="N68" s="864">
        <v>1064</v>
      </c>
      <c r="O68" s="864">
        <v>148</v>
      </c>
      <c r="P68" s="864">
        <v>1571</v>
      </c>
      <c r="Q68" s="864">
        <v>1719</v>
      </c>
      <c r="R68" s="864">
        <v>134</v>
      </c>
      <c r="S68" s="864">
        <v>2425</v>
      </c>
      <c r="T68" s="864">
        <v>2559</v>
      </c>
      <c r="U68" s="864">
        <v>252</v>
      </c>
      <c r="V68" s="864">
        <v>3009</v>
      </c>
      <c r="W68" s="864">
        <v>3261</v>
      </c>
      <c r="X68" s="864">
        <v>112</v>
      </c>
      <c r="Y68" s="864">
        <v>2766</v>
      </c>
      <c r="Z68" s="864">
        <v>2878</v>
      </c>
      <c r="AA68" s="864">
        <v>60</v>
      </c>
      <c r="AB68" s="864">
        <v>1252</v>
      </c>
      <c r="AC68" s="864">
        <v>1312</v>
      </c>
      <c r="AD68" s="864">
        <v>101</v>
      </c>
      <c r="AE68" s="864">
        <v>609</v>
      </c>
      <c r="AF68" s="864">
        <v>710</v>
      </c>
      <c r="AH68" s="864">
        <f t="shared" si="16"/>
        <v>541</v>
      </c>
      <c r="AI68" s="864">
        <f t="shared" si="17"/>
        <v>3507</v>
      </c>
      <c r="AJ68" s="864">
        <f t="shared" si="18"/>
        <v>4048</v>
      </c>
      <c r="AK68" s="864">
        <f t="shared" si="19"/>
        <v>811</v>
      </c>
      <c r="AL68" s="864">
        <f t="shared" si="20"/>
        <v>10670</v>
      </c>
      <c r="AM68" s="864">
        <f t="shared" si="21"/>
        <v>11481</v>
      </c>
      <c r="AN68" s="864">
        <f t="shared" si="22"/>
        <v>161</v>
      </c>
      <c r="AO68" s="864">
        <f t="shared" si="23"/>
        <v>1861</v>
      </c>
      <c r="AP68" s="864">
        <f t="shared" si="24"/>
        <v>2022</v>
      </c>
      <c r="AR68" s="865">
        <f t="shared" si="25"/>
        <v>0.13364624505928854</v>
      </c>
      <c r="AS68" s="865">
        <f t="shared" si="26"/>
        <v>7.0638446128386032E-2</v>
      </c>
      <c r="AT68" s="865">
        <f t="shared" si="27"/>
        <v>7.962413452027696E-2</v>
      </c>
      <c r="AV68" s="866">
        <v>4096</v>
      </c>
      <c r="AW68" s="866">
        <v>12302</v>
      </c>
      <c r="AX68" s="866">
        <v>2424</v>
      </c>
      <c r="AZ68" s="866">
        <f t="shared" si="28"/>
        <v>547.41501976284587</v>
      </c>
      <c r="BA68" s="866">
        <f t="shared" si="29"/>
        <v>868.994164271405</v>
      </c>
      <c r="BB68" s="866">
        <f t="shared" si="30"/>
        <v>193.00890207715136</v>
      </c>
      <c r="BC68" s="883">
        <f t="shared" si="15"/>
        <v>1609.4180861114021</v>
      </c>
    </row>
    <row r="69" spans="1:55" s="863" customFormat="1" ht="12" customHeight="1" x14ac:dyDescent="0.2">
      <c r="A69" s="863" t="s">
        <v>162</v>
      </c>
      <c r="B69" s="867" t="s">
        <v>502</v>
      </c>
      <c r="C69" s="880">
        <v>434</v>
      </c>
      <c r="D69" s="864">
        <v>491</v>
      </c>
      <c r="E69" s="864">
        <v>925</v>
      </c>
      <c r="F69" s="864">
        <v>398</v>
      </c>
      <c r="G69" s="864">
        <v>532</v>
      </c>
      <c r="H69" s="864">
        <v>930</v>
      </c>
      <c r="I69" s="864">
        <v>136</v>
      </c>
      <c r="J69" s="864">
        <v>529</v>
      </c>
      <c r="K69" s="864">
        <v>665</v>
      </c>
      <c r="L69" s="864">
        <v>299</v>
      </c>
      <c r="M69" s="864">
        <v>512</v>
      </c>
      <c r="N69" s="864">
        <v>811</v>
      </c>
      <c r="O69" s="864">
        <v>323</v>
      </c>
      <c r="P69" s="864">
        <v>902</v>
      </c>
      <c r="Q69" s="864">
        <v>1225</v>
      </c>
      <c r="R69" s="864">
        <v>246</v>
      </c>
      <c r="S69" s="864">
        <v>1033</v>
      </c>
      <c r="T69" s="864">
        <v>1279</v>
      </c>
      <c r="U69" s="864">
        <v>344</v>
      </c>
      <c r="V69" s="864">
        <v>1501</v>
      </c>
      <c r="W69" s="864">
        <v>1845</v>
      </c>
      <c r="X69" s="864">
        <v>449</v>
      </c>
      <c r="Y69" s="864">
        <v>1458</v>
      </c>
      <c r="Z69" s="864">
        <v>1907</v>
      </c>
      <c r="AA69" s="864">
        <v>231</v>
      </c>
      <c r="AB69" s="864">
        <v>1182</v>
      </c>
      <c r="AC69" s="864">
        <v>1413</v>
      </c>
      <c r="AD69" s="864">
        <v>503</v>
      </c>
      <c r="AE69" s="864">
        <v>722</v>
      </c>
      <c r="AF69" s="864">
        <v>1225</v>
      </c>
      <c r="AH69" s="864">
        <f t="shared" si="16"/>
        <v>968</v>
      </c>
      <c r="AI69" s="864">
        <f t="shared" si="17"/>
        <v>1552</v>
      </c>
      <c r="AJ69" s="864">
        <f t="shared" si="18"/>
        <v>2520</v>
      </c>
      <c r="AK69" s="864">
        <f t="shared" si="19"/>
        <v>1661</v>
      </c>
      <c r="AL69" s="864">
        <f t="shared" si="20"/>
        <v>5406</v>
      </c>
      <c r="AM69" s="864">
        <f t="shared" si="21"/>
        <v>7067</v>
      </c>
      <c r="AN69" s="864">
        <f t="shared" si="22"/>
        <v>734</v>
      </c>
      <c r="AO69" s="864">
        <f t="shared" si="23"/>
        <v>1904</v>
      </c>
      <c r="AP69" s="864">
        <f t="shared" si="24"/>
        <v>2638</v>
      </c>
      <c r="AR69" s="865">
        <f t="shared" si="25"/>
        <v>0.38412698412698415</v>
      </c>
      <c r="AS69" s="865">
        <f t="shared" si="26"/>
        <v>0.23503608320362246</v>
      </c>
      <c r="AT69" s="865">
        <f t="shared" si="27"/>
        <v>0.27824109173616374</v>
      </c>
      <c r="AV69" s="866">
        <v>2421</v>
      </c>
      <c r="AW69" s="866">
        <v>7204</v>
      </c>
      <c r="AX69" s="866">
        <v>2752</v>
      </c>
      <c r="AZ69" s="866">
        <f t="shared" si="28"/>
        <v>929.97142857142865</v>
      </c>
      <c r="BA69" s="866">
        <f t="shared" si="29"/>
        <v>1693.1999433988963</v>
      </c>
      <c r="BB69" s="866">
        <f t="shared" si="30"/>
        <v>765.71948445792259</v>
      </c>
      <c r="BC69" s="883">
        <f t="shared" si="15"/>
        <v>3388.8908564282474</v>
      </c>
    </row>
    <row r="70" spans="1:55" s="863" customFormat="1" ht="12" customHeight="1" x14ac:dyDescent="0.2">
      <c r="A70" s="863" t="s">
        <v>164</v>
      </c>
      <c r="B70" s="867" t="s">
        <v>503</v>
      </c>
      <c r="C70" s="880">
        <v>138</v>
      </c>
      <c r="D70" s="864">
        <v>531</v>
      </c>
      <c r="E70" s="864">
        <v>669</v>
      </c>
      <c r="F70" s="864">
        <v>97</v>
      </c>
      <c r="G70" s="864">
        <v>692</v>
      </c>
      <c r="H70" s="864">
        <v>789</v>
      </c>
      <c r="I70" s="864">
        <v>151</v>
      </c>
      <c r="J70" s="864">
        <v>461</v>
      </c>
      <c r="K70" s="864">
        <v>612</v>
      </c>
      <c r="L70" s="864">
        <v>127</v>
      </c>
      <c r="M70" s="864">
        <v>530</v>
      </c>
      <c r="N70" s="864">
        <v>657</v>
      </c>
      <c r="O70" s="864">
        <v>62</v>
      </c>
      <c r="P70" s="864">
        <v>840</v>
      </c>
      <c r="Q70" s="864">
        <v>902</v>
      </c>
      <c r="R70" s="864">
        <v>168</v>
      </c>
      <c r="S70" s="864">
        <v>989</v>
      </c>
      <c r="T70" s="864">
        <v>1157</v>
      </c>
      <c r="U70" s="864">
        <v>247</v>
      </c>
      <c r="V70" s="864">
        <v>1498</v>
      </c>
      <c r="W70" s="864">
        <v>1745</v>
      </c>
      <c r="X70" s="864">
        <v>286</v>
      </c>
      <c r="Y70" s="864">
        <v>1927</v>
      </c>
      <c r="Z70" s="864">
        <v>2213</v>
      </c>
      <c r="AA70" s="864">
        <v>188</v>
      </c>
      <c r="AB70" s="864">
        <v>1913</v>
      </c>
      <c r="AC70" s="864">
        <v>2101</v>
      </c>
      <c r="AD70" s="864">
        <v>207</v>
      </c>
      <c r="AE70" s="864">
        <v>1343</v>
      </c>
      <c r="AF70" s="864">
        <v>1550</v>
      </c>
      <c r="AH70" s="864">
        <f t="shared" ref="AH70:AH101" si="31">C70+F70+I70</f>
        <v>386</v>
      </c>
      <c r="AI70" s="864">
        <f t="shared" ref="AI70:AI101" si="32">D70+G70+J70</f>
        <v>1684</v>
      </c>
      <c r="AJ70" s="864">
        <f t="shared" ref="AJ70:AJ101" si="33">E70+H70+K70</f>
        <v>2070</v>
      </c>
      <c r="AK70" s="864">
        <f t="shared" ref="AK70:AK101" si="34">L70+O70+R70+U70+X70</f>
        <v>890</v>
      </c>
      <c r="AL70" s="864">
        <f t="shared" ref="AL70:AL101" si="35">M70+P70+S70+V70+Y70</f>
        <v>5784</v>
      </c>
      <c r="AM70" s="864">
        <f t="shared" ref="AM70:AM101" si="36">N70+Q70+T70+W70+Z70</f>
        <v>6674</v>
      </c>
      <c r="AN70" s="864">
        <f t="shared" ref="AN70:AN101" si="37">AA70+AD70</f>
        <v>395</v>
      </c>
      <c r="AO70" s="864">
        <f t="shared" ref="AO70:AO101" si="38">AB70+AE70</f>
        <v>3256</v>
      </c>
      <c r="AP70" s="864">
        <f t="shared" ref="AP70:AP101" si="39">AC70+AF70</f>
        <v>3651</v>
      </c>
      <c r="AR70" s="865">
        <f t="shared" ref="AR70:AR101" si="40">AH70/AJ70</f>
        <v>0.18647342995169083</v>
      </c>
      <c r="AS70" s="865">
        <f t="shared" ref="AS70:AS101" si="41">AK70/AM70</f>
        <v>0.13335331135750675</v>
      </c>
      <c r="AT70" s="865">
        <f t="shared" ref="AT70:AT101" si="42">AN70/AP70</f>
        <v>0.1081895371131197</v>
      </c>
      <c r="AV70" s="866">
        <v>2007</v>
      </c>
      <c r="AW70" s="866">
        <v>6588</v>
      </c>
      <c r="AX70" s="866">
        <v>3866</v>
      </c>
      <c r="AZ70" s="866">
        <f t="shared" ref="AZ70:AZ101" si="43">AR70*AV70</f>
        <v>374.25217391304352</v>
      </c>
      <c r="BA70" s="866">
        <f t="shared" ref="BA70:BA101" si="44">AS70*AW70</f>
        <v>878.53161522325445</v>
      </c>
      <c r="BB70" s="866">
        <f t="shared" ref="BB70:BB101" si="45">AT70*AX70</f>
        <v>418.26075047932073</v>
      </c>
      <c r="BC70" s="883">
        <f t="shared" si="15"/>
        <v>1671.0445396156185</v>
      </c>
    </row>
    <row r="71" spans="1:55" s="863" customFormat="1" ht="12" customHeight="1" x14ac:dyDescent="0.2">
      <c r="A71" s="863" t="s">
        <v>168</v>
      </c>
      <c r="B71" s="867" t="s">
        <v>504</v>
      </c>
      <c r="C71" s="880">
        <v>315</v>
      </c>
      <c r="D71" s="864">
        <v>522</v>
      </c>
      <c r="E71" s="864">
        <v>837</v>
      </c>
      <c r="F71" s="864">
        <v>228</v>
      </c>
      <c r="G71" s="864">
        <v>732</v>
      </c>
      <c r="H71" s="864">
        <v>960</v>
      </c>
      <c r="I71" s="864">
        <v>342</v>
      </c>
      <c r="J71" s="864">
        <v>871</v>
      </c>
      <c r="K71" s="864">
        <v>1213</v>
      </c>
      <c r="L71" s="864">
        <v>439</v>
      </c>
      <c r="M71" s="864">
        <v>964</v>
      </c>
      <c r="N71" s="864">
        <v>1403</v>
      </c>
      <c r="O71" s="864">
        <v>437</v>
      </c>
      <c r="P71" s="864">
        <v>1325</v>
      </c>
      <c r="Q71" s="864">
        <v>1762</v>
      </c>
      <c r="R71" s="864">
        <v>364</v>
      </c>
      <c r="S71" s="864">
        <v>1628</v>
      </c>
      <c r="T71" s="864">
        <v>1992</v>
      </c>
      <c r="U71" s="864">
        <v>336</v>
      </c>
      <c r="V71" s="864">
        <v>2000</v>
      </c>
      <c r="W71" s="864">
        <v>2336</v>
      </c>
      <c r="X71" s="864">
        <v>284</v>
      </c>
      <c r="Y71" s="864">
        <v>1574</v>
      </c>
      <c r="Z71" s="864">
        <v>1858</v>
      </c>
      <c r="AA71" s="864">
        <v>378</v>
      </c>
      <c r="AB71" s="864">
        <v>993</v>
      </c>
      <c r="AC71" s="864">
        <v>1371</v>
      </c>
      <c r="AD71" s="864">
        <v>228</v>
      </c>
      <c r="AE71" s="864">
        <v>919</v>
      </c>
      <c r="AF71" s="864">
        <v>1147</v>
      </c>
      <c r="AH71" s="864">
        <f t="shared" si="31"/>
        <v>885</v>
      </c>
      <c r="AI71" s="864">
        <f t="shared" si="32"/>
        <v>2125</v>
      </c>
      <c r="AJ71" s="864">
        <f t="shared" si="33"/>
        <v>3010</v>
      </c>
      <c r="AK71" s="864">
        <f t="shared" si="34"/>
        <v>1860</v>
      </c>
      <c r="AL71" s="864">
        <f t="shared" si="35"/>
        <v>7491</v>
      </c>
      <c r="AM71" s="864">
        <f t="shared" si="36"/>
        <v>9351</v>
      </c>
      <c r="AN71" s="864">
        <f t="shared" si="37"/>
        <v>606</v>
      </c>
      <c r="AO71" s="864">
        <f t="shared" si="38"/>
        <v>1912</v>
      </c>
      <c r="AP71" s="864">
        <f t="shared" si="39"/>
        <v>2518</v>
      </c>
      <c r="AR71" s="865">
        <f t="shared" si="40"/>
        <v>0.29401993355481726</v>
      </c>
      <c r="AS71" s="865">
        <f t="shared" si="41"/>
        <v>0.19890920757138275</v>
      </c>
      <c r="AT71" s="865">
        <f t="shared" si="42"/>
        <v>0.24066719618745036</v>
      </c>
      <c r="AV71" s="866">
        <v>3265</v>
      </c>
      <c r="AW71" s="866">
        <v>9884</v>
      </c>
      <c r="AX71" s="866">
        <v>2691</v>
      </c>
      <c r="AZ71" s="866">
        <f t="shared" si="43"/>
        <v>959.9750830564783</v>
      </c>
      <c r="BA71" s="866">
        <f t="shared" si="44"/>
        <v>1966.0186076355471</v>
      </c>
      <c r="BB71" s="866">
        <f t="shared" si="45"/>
        <v>647.63542494042895</v>
      </c>
      <c r="BC71" s="883">
        <f t="shared" ref="BC71:BC126" si="46">SUM(AZ71:BB71)</f>
        <v>3573.6291156324546</v>
      </c>
    </row>
    <row r="72" spans="1:55" s="863" customFormat="1" ht="12" customHeight="1" x14ac:dyDescent="0.2">
      <c r="A72" s="863" t="s">
        <v>170</v>
      </c>
      <c r="B72" s="867" t="s">
        <v>505</v>
      </c>
      <c r="C72" s="880">
        <v>501</v>
      </c>
      <c r="D72" s="864">
        <v>1748</v>
      </c>
      <c r="E72" s="864">
        <v>2249</v>
      </c>
      <c r="F72" s="864">
        <v>511</v>
      </c>
      <c r="G72" s="864">
        <v>2165</v>
      </c>
      <c r="H72" s="864">
        <v>2676</v>
      </c>
      <c r="I72" s="864">
        <v>691</v>
      </c>
      <c r="J72" s="864">
        <v>1911</v>
      </c>
      <c r="K72" s="864">
        <v>2602</v>
      </c>
      <c r="L72" s="864">
        <v>476</v>
      </c>
      <c r="M72" s="864">
        <v>1661</v>
      </c>
      <c r="N72" s="864">
        <v>2137</v>
      </c>
      <c r="O72" s="864">
        <v>426</v>
      </c>
      <c r="P72" s="864">
        <v>3181</v>
      </c>
      <c r="Q72" s="864">
        <v>3607</v>
      </c>
      <c r="R72" s="864">
        <v>662</v>
      </c>
      <c r="S72" s="864">
        <v>3579</v>
      </c>
      <c r="T72" s="864">
        <v>4241</v>
      </c>
      <c r="U72" s="864">
        <v>699</v>
      </c>
      <c r="V72" s="864">
        <v>4437</v>
      </c>
      <c r="W72" s="864">
        <v>5136</v>
      </c>
      <c r="X72" s="864">
        <v>568</v>
      </c>
      <c r="Y72" s="864">
        <v>3703</v>
      </c>
      <c r="Z72" s="864">
        <v>4271</v>
      </c>
      <c r="AA72" s="864">
        <v>343</v>
      </c>
      <c r="AB72" s="864">
        <v>3053</v>
      </c>
      <c r="AC72" s="864">
        <v>3396</v>
      </c>
      <c r="AD72" s="864">
        <v>316</v>
      </c>
      <c r="AE72" s="864">
        <v>1983</v>
      </c>
      <c r="AF72" s="864">
        <v>2299</v>
      </c>
      <c r="AH72" s="864">
        <f t="shared" si="31"/>
        <v>1703</v>
      </c>
      <c r="AI72" s="864">
        <f t="shared" si="32"/>
        <v>5824</v>
      </c>
      <c r="AJ72" s="864">
        <f t="shared" si="33"/>
        <v>7527</v>
      </c>
      <c r="AK72" s="864">
        <f t="shared" si="34"/>
        <v>2831</v>
      </c>
      <c r="AL72" s="864">
        <f t="shared" si="35"/>
        <v>16561</v>
      </c>
      <c r="AM72" s="864">
        <f t="shared" si="36"/>
        <v>19392</v>
      </c>
      <c r="AN72" s="864">
        <f t="shared" si="37"/>
        <v>659</v>
      </c>
      <c r="AO72" s="864">
        <f t="shared" si="38"/>
        <v>5036</v>
      </c>
      <c r="AP72" s="864">
        <f t="shared" si="39"/>
        <v>5695</v>
      </c>
      <c r="AR72" s="865">
        <f t="shared" si="40"/>
        <v>0.22625215889464595</v>
      </c>
      <c r="AS72" s="865">
        <f t="shared" si="41"/>
        <v>0.14598803630363036</v>
      </c>
      <c r="AT72" s="865">
        <f t="shared" si="42"/>
        <v>0.11571553994732221</v>
      </c>
      <c r="AV72" s="866">
        <v>7620</v>
      </c>
      <c r="AW72" s="866">
        <v>20089</v>
      </c>
      <c r="AX72" s="866">
        <v>6229</v>
      </c>
      <c r="AZ72" s="866">
        <f t="shared" si="43"/>
        <v>1724.041450777202</v>
      </c>
      <c r="BA72" s="866">
        <f t="shared" si="44"/>
        <v>2932.7536613036305</v>
      </c>
      <c r="BB72" s="866">
        <f t="shared" si="45"/>
        <v>720.79209833187008</v>
      </c>
      <c r="BC72" s="883">
        <f t="shared" si="46"/>
        <v>5377.587210412702</v>
      </c>
    </row>
    <row r="73" spans="1:55" s="863" customFormat="1" ht="12" customHeight="1" x14ac:dyDescent="0.2">
      <c r="A73" s="863" t="s">
        <v>172</v>
      </c>
      <c r="B73" s="867" t="s">
        <v>506</v>
      </c>
      <c r="C73" s="880">
        <v>775</v>
      </c>
      <c r="D73" s="864">
        <v>901</v>
      </c>
      <c r="E73" s="864">
        <v>1676</v>
      </c>
      <c r="F73" s="864">
        <v>432</v>
      </c>
      <c r="G73" s="864">
        <v>1029</v>
      </c>
      <c r="H73" s="864">
        <v>1461</v>
      </c>
      <c r="I73" s="864">
        <v>418</v>
      </c>
      <c r="J73" s="864">
        <v>1565</v>
      </c>
      <c r="K73" s="864">
        <v>1983</v>
      </c>
      <c r="L73" s="864">
        <v>323</v>
      </c>
      <c r="M73" s="864">
        <v>1466</v>
      </c>
      <c r="N73" s="864">
        <v>1789</v>
      </c>
      <c r="O73" s="864">
        <v>723</v>
      </c>
      <c r="P73" s="864">
        <v>1909</v>
      </c>
      <c r="Q73" s="864">
        <v>2632</v>
      </c>
      <c r="R73" s="864">
        <v>616</v>
      </c>
      <c r="S73" s="864">
        <v>2640</v>
      </c>
      <c r="T73" s="864">
        <v>3256</v>
      </c>
      <c r="U73" s="864">
        <v>419</v>
      </c>
      <c r="V73" s="864">
        <v>3194</v>
      </c>
      <c r="W73" s="864">
        <v>3613</v>
      </c>
      <c r="X73" s="864">
        <v>392</v>
      </c>
      <c r="Y73" s="864">
        <v>2877</v>
      </c>
      <c r="Z73" s="864">
        <v>3269</v>
      </c>
      <c r="AA73" s="864">
        <v>339</v>
      </c>
      <c r="AB73" s="864">
        <v>2115</v>
      </c>
      <c r="AC73" s="864">
        <v>2454</v>
      </c>
      <c r="AD73" s="864">
        <v>401</v>
      </c>
      <c r="AE73" s="864">
        <v>1263</v>
      </c>
      <c r="AF73" s="864">
        <v>1664</v>
      </c>
      <c r="AH73" s="864">
        <f t="shared" si="31"/>
        <v>1625</v>
      </c>
      <c r="AI73" s="864">
        <f t="shared" si="32"/>
        <v>3495</v>
      </c>
      <c r="AJ73" s="864">
        <f t="shared" si="33"/>
        <v>5120</v>
      </c>
      <c r="AK73" s="864">
        <f t="shared" si="34"/>
        <v>2473</v>
      </c>
      <c r="AL73" s="864">
        <f t="shared" si="35"/>
        <v>12086</v>
      </c>
      <c r="AM73" s="864">
        <f t="shared" si="36"/>
        <v>14559</v>
      </c>
      <c r="AN73" s="864">
        <f t="shared" si="37"/>
        <v>740</v>
      </c>
      <c r="AO73" s="864">
        <f t="shared" si="38"/>
        <v>3378</v>
      </c>
      <c r="AP73" s="864">
        <f t="shared" si="39"/>
        <v>4118</v>
      </c>
      <c r="AR73" s="865">
        <f t="shared" si="40"/>
        <v>0.3173828125</v>
      </c>
      <c r="AS73" s="865">
        <f t="shared" si="41"/>
        <v>0.16986056734665841</v>
      </c>
      <c r="AT73" s="865">
        <f t="shared" si="42"/>
        <v>0.17969888295288974</v>
      </c>
      <c r="AV73" s="866">
        <v>5045</v>
      </c>
      <c r="AW73" s="866">
        <v>14610</v>
      </c>
      <c r="AX73" s="866">
        <v>4303</v>
      </c>
      <c r="AZ73" s="866">
        <f t="shared" si="43"/>
        <v>1601.1962890625</v>
      </c>
      <c r="BA73" s="866">
        <f t="shared" si="44"/>
        <v>2481.6628889346794</v>
      </c>
      <c r="BB73" s="866">
        <f t="shared" si="45"/>
        <v>773.24429334628462</v>
      </c>
      <c r="BC73" s="883">
        <f t="shared" si="46"/>
        <v>4856.1034713434638</v>
      </c>
    </row>
    <row r="74" spans="1:55" s="863" customFormat="1" ht="12" customHeight="1" x14ac:dyDescent="0.2">
      <c r="A74" s="863" t="s">
        <v>174</v>
      </c>
      <c r="B74" s="867" t="s">
        <v>507</v>
      </c>
      <c r="C74" s="880">
        <v>229</v>
      </c>
      <c r="D74" s="864">
        <v>714</v>
      </c>
      <c r="E74" s="864">
        <v>943</v>
      </c>
      <c r="F74" s="864">
        <v>471</v>
      </c>
      <c r="G74" s="864">
        <v>634</v>
      </c>
      <c r="H74" s="864">
        <v>1105</v>
      </c>
      <c r="I74" s="864">
        <v>242</v>
      </c>
      <c r="J74" s="864">
        <v>1264</v>
      </c>
      <c r="K74" s="864">
        <v>1506</v>
      </c>
      <c r="L74" s="864">
        <v>136</v>
      </c>
      <c r="M74" s="864">
        <v>1097</v>
      </c>
      <c r="N74" s="864">
        <v>1233</v>
      </c>
      <c r="O74" s="864">
        <v>412</v>
      </c>
      <c r="P74" s="864">
        <v>1241</v>
      </c>
      <c r="Q74" s="864">
        <v>1653</v>
      </c>
      <c r="R74" s="864">
        <v>640</v>
      </c>
      <c r="S74" s="864">
        <v>1884</v>
      </c>
      <c r="T74" s="864">
        <v>2524</v>
      </c>
      <c r="U74" s="864">
        <v>523</v>
      </c>
      <c r="V74" s="864">
        <v>2324</v>
      </c>
      <c r="W74" s="864">
        <v>2847</v>
      </c>
      <c r="X74" s="864">
        <v>422</v>
      </c>
      <c r="Y74" s="864">
        <v>2348</v>
      </c>
      <c r="Z74" s="864">
        <v>2770</v>
      </c>
      <c r="AA74" s="864">
        <v>329</v>
      </c>
      <c r="AB74" s="864">
        <v>1918</v>
      </c>
      <c r="AC74" s="864">
        <v>2247</v>
      </c>
      <c r="AD74" s="864">
        <v>337</v>
      </c>
      <c r="AE74" s="864">
        <v>1199</v>
      </c>
      <c r="AF74" s="864">
        <v>1536</v>
      </c>
      <c r="AH74" s="864">
        <f t="shared" si="31"/>
        <v>942</v>
      </c>
      <c r="AI74" s="864">
        <f t="shared" si="32"/>
        <v>2612</v>
      </c>
      <c r="AJ74" s="864">
        <f t="shared" si="33"/>
        <v>3554</v>
      </c>
      <c r="AK74" s="864">
        <f t="shared" si="34"/>
        <v>2133</v>
      </c>
      <c r="AL74" s="864">
        <f t="shared" si="35"/>
        <v>8894</v>
      </c>
      <c r="AM74" s="864">
        <f t="shared" si="36"/>
        <v>11027</v>
      </c>
      <c r="AN74" s="864">
        <f t="shared" si="37"/>
        <v>666</v>
      </c>
      <c r="AO74" s="864">
        <f t="shared" si="38"/>
        <v>3117</v>
      </c>
      <c r="AP74" s="864">
        <f t="shared" si="39"/>
        <v>3783</v>
      </c>
      <c r="AR74" s="865">
        <f t="shared" si="40"/>
        <v>0.265053460889139</v>
      </c>
      <c r="AS74" s="865">
        <f t="shared" si="41"/>
        <v>0.19343429763308242</v>
      </c>
      <c r="AT74" s="865">
        <f t="shared" si="42"/>
        <v>0.17605075337034101</v>
      </c>
      <c r="AV74" s="866">
        <v>3460</v>
      </c>
      <c r="AW74" s="866">
        <v>10852</v>
      </c>
      <c r="AX74" s="866">
        <v>4078</v>
      </c>
      <c r="AZ74" s="866">
        <f t="shared" si="43"/>
        <v>917.08497467642098</v>
      </c>
      <c r="BA74" s="866">
        <f t="shared" si="44"/>
        <v>2099.1489979142107</v>
      </c>
      <c r="BB74" s="866">
        <f t="shared" si="45"/>
        <v>717.93497224425062</v>
      </c>
      <c r="BC74" s="883">
        <f t="shared" si="46"/>
        <v>3734.1689448348825</v>
      </c>
    </row>
    <row r="75" spans="1:55" s="863" customFormat="1" ht="12" customHeight="1" x14ac:dyDescent="0.2">
      <c r="A75" s="863" t="s">
        <v>178</v>
      </c>
      <c r="B75" s="867" t="s">
        <v>179</v>
      </c>
      <c r="C75" s="880">
        <v>1130</v>
      </c>
      <c r="D75" s="864">
        <v>2580</v>
      </c>
      <c r="E75" s="864">
        <v>3710</v>
      </c>
      <c r="F75" s="864">
        <v>1125</v>
      </c>
      <c r="G75" s="864">
        <v>3520</v>
      </c>
      <c r="H75" s="864">
        <v>4645</v>
      </c>
      <c r="I75" s="864">
        <v>1269</v>
      </c>
      <c r="J75" s="864">
        <v>3665</v>
      </c>
      <c r="K75" s="864">
        <v>4934</v>
      </c>
      <c r="L75" s="864">
        <v>1053</v>
      </c>
      <c r="M75" s="864">
        <v>3316</v>
      </c>
      <c r="N75" s="864">
        <v>4369</v>
      </c>
      <c r="O75" s="864">
        <v>1200</v>
      </c>
      <c r="P75" s="864">
        <v>4766</v>
      </c>
      <c r="Q75" s="864">
        <v>5966</v>
      </c>
      <c r="R75" s="864">
        <v>1363</v>
      </c>
      <c r="S75" s="864">
        <v>6905</v>
      </c>
      <c r="T75" s="864">
        <v>8268</v>
      </c>
      <c r="U75" s="864">
        <v>1692</v>
      </c>
      <c r="V75" s="864">
        <v>8657</v>
      </c>
      <c r="W75" s="864">
        <v>10349</v>
      </c>
      <c r="X75" s="864">
        <v>1173</v>
      </c>
      <c r="Y75" s="864">
        <v>8086</v>
      </c>
      <c r="Z75" s="864">
        <v>9259</v>
      </c>
      <c r="AA75" s="864">
        <v>872</v>
      </c>
      <c r="AB75" s="864">
        <v>5309</v>
      </c>
      <c r="AC75" s="864">
        <v>6181</v>
      </c>
      <c r="AD75" s="864">
        <v>1413</v>
      </c>
      <c r="AE75" s="864">
        <v>2995</v>
      </c>
      <c r="AF75" s="864">
        <v>4408</v>
      </c>
      <c r="AH75" s="864">
        <f t="shared" si="31"/>
        <v>3524</v>
      </c>
      <c r="AI75" s="864">
        <f t="shared" si="32"/>
        <v>9765</v>
      </c>
      <c r="AJ75" s="864">
        <f t="shared" si="33"/>
        <v>13289</v>
      </c>
      <c r="AK75" s="864">
        <f t="shared" si="34"/>
        <v>6481</v>
      </c>
      <c r="AL75" s="864">
        <f t="shared" si="35"/>
        <v>31730</v>
      </c>
      <c r="AM75" s="864">
        <f t="shared" si="36"/>
        <v>38211</v>
      </c>
      <c r="AN75" s="864">
        <f t="shared" si="37"/>
        <v>2285</v>
      </c>
      <c r="AO75" s="864">
        <f t="shared" si="38"/>
        <v>8304</v>
      </c>
      <c r="AP75" s="864">
        <f t="shared" si="39"/>
        <v>10589</v>
      </c>
      <c r="AR75" s="865">
        <f t="shared" si="40"/>
        <v>0.26518172924975542</v>
      </c>
      <c r="AS75" s="865">
        <f t="shared" si="41"/>
        <v>0.16961084504462065</v>
      </c>
      <c r="AT75" s="865">
        <f t="shared" si="42"/>
        <v>0.21578997072433659</v>
      </c>
      <c r="AV75" s="866">
        <v>13078</v>
      </c>
      <c r="AW75" s="866">
        <v>38645</v>
      </c>
      <c r="AX75" s="866">
        <v>11121</v>
      </c>
      <c r="AZ75" s="866">
        <f t="shared" si="43"/>
        <v>3468.0466551283012</v>
      </c>
      <c r="BA75" s="866">
        <f t="shared" si="44"/>
        <v>6554.6111067493648</v>
      </c>
      <c r="BB75" s="866">
        <f t="shared" si="45"/>
        <v>2399.800264425347</v>
      </c>
      <c r="BC75" s="883">
        <f t="shared" si="46"/>
        <v>12422.458026303013</v>
      </c>
    </row>
    <row r="76" spans="1:55" s="863" customFormat="1" ht="12" customHeight="1" x14ac:dyDescent="0.2">
      <c r="A76" s="863" t="s">
        <v>182</v>
      </c>
      <c r="B76" s="867" t="s">
        <v>509</v>
      </c>
      <c r="C76" s="880">
        <v>116</v>
      </c>
      <c r="D76" s="864">
        <v>1720</v>
      </c>
      <c r="E76" s="864">
        <v>1836</v>
      </c>
      <c r="F76" s="864">
        <v>99</v>
      </c>
      <c r="G76" s="864">
        <v>1781</v>
      </c>
      <c r="H76" s="864">
        <v>1880</v>
      </c>
      <c r="I76" s="864">
        <v>85</v>
      </c>
      <c r="J76" s="864">
        <v>1899</v>
      </c>
      <c r="K76" s="864">
        <v>1984</v>
      </c>
      <c r="L76" s="864">
        <v>71</v>
      </c>
      <c r="M76" s="864">
        <v>1268</v>
      </c>
      <c r="N76" s="864">
        <v>1339</v>
      </c>
      <c r="O76" s="864">
        <v>256</v>
      </c>
      <c r="P76" s="864">
        <v>1787</v>
      </c>
      <c r="Q76" s="864">
        <v>2043</v>
      </c>
      <c r="R76" s="864">
        <v>106</v>
      </c>
      <c r="S76" s="864">
        <v>3616</v>
      </c>
      <c r="T76" s="864">
        <v>3722</v>
      </c>
      <c r="U76" s="864">
        <v>244</v>
      </c>
      <c r="V76" s="864">
        <v>3896</v>
      </c>
      <c r="W76" s="864">
        <v>4140</v>
      </c>
      <c r="X76" s="864">
        <v>311</v>
      </c>
      <c r="Y76" s="864">
        <v>3353</v>
      </c>
      <c r="Z76" s="864">
        <v>3664</v>
      </c>
      <c r="AA76" s="864">
        <v>119</v>
      </c>
      <c r="AB76" s="864">
        <v>1966</v>
      </c>
      <c r="AC76" s="864">
        <v>2085</v>
      </c>
      <c r="AD76" s="864">
        <v>119</v>
      </c>
      <c r="AE76" s="864">
        <v>949</v>
      </c>
      <c r="AF76" s="864">
        <v>1068</v>
      </c>
      <c r="AH76" s="864">
        <f t="shared" si="31"/>
        <v>300</v>
      </c>
      <c r="AI76" s="864">
        <f t="shared" si="32"/>
        <v>5400</v>
      </c>
      <c r="AJ76" s="864">
        <f t="shared" si="33"/>
        <v>5700</v>
      </c>
      <c r="AK76" s="864">
        <f t="shared" si="34"/>
        <v>988</v>
      </c>
      <c r="AL76" s="864">
        <f t="shared" si="35"/>
        <v>13920</v>
      </c>
      <c r="AM76" s="864">
        <f t="shared" si="36"/>
        <v>14908</v>
      </c>
      <c r="AN76" s="864">
        <f t="shared" si="37"/>
        <v>238</v>
      </c>
      <c r="AO76" s="864">
        <f t="shared" si="38"/>
        <v>2915</v>
      </c>
      <c r="AP76" s="864">
        <f t="shared" si="39"/>
        <v>3153</v>
      </c>
      <c r="AR76" s="865">
        <f t="shared" si="40"/>
        <v>5.2631578947368418E-2</v>
      </c>
      <c r="AS76" s="865">
        <f t="shared" si="41"/>
        <v>6.6273141937214924E-2</v>
      </c>
      <c r="AT76" s="865">
        <f t="shared" si="42"/>
        <v>7.5483666349508399E-2</v>
      </c>
      <c r="AV76" s="866">
        <v>6162</v>
      </c>
      <c r="AW76" s="866">
        <v>18285</v>
      </c>
      <c r="AX76" s="866">
        <v>3663</v>
      </c>
      <c r="AZ76" s="866">
        <f t="shared" si="43"/>
        <v>324.31578947368422</v>
      </c>
      <c r="BA76" s="866">
        <f t="shared" si="44"/>
        <v>1211.804400321975</v>
      </c>
      <c r="BB76" s="866">
        <f t="shared" si="45"/>
        <v>276.49666983824926</v>
      </c>
      <c r="BC76" s="883">
        <f t="shared" si="46"/>
        <v>1812.6168596339085</v>
      </c>
    </row>
    <row r="77" spans="1:55" s="863" customFormat="1" ht="12" customHeight="1" x14ac:dyDescent="0.2">
      <c r="A77" s="863" t="s">
        <v>184</v>
      </c>
      <c r="B77" s="867" t="s">
        <v>510</v>
      </c>
      <c r="C77" s="880">
        <v>398</v>
      </c>
      <c r="D77" s="864">
        <v>825</v>
      </c>
      <c r="E77" s="864">
        <v>1223</v>
      </c>
      <c r="F77" s="864">
        <v>365</v>
      </c>
      <c r="G77" s="864">
        <v>1027</v>
      </c>
      <c r="H77" s="864">
        <v>1392</v>
      </c>
      <c r="I77" s="864">
        <v>393</v>
      </c>
      <c r="J77" s="864">
        <v>914</v>
      </c>
      <c r="K77" s="864">
        <v>1307</v>
      </c>
      <c r="L77" s="864">
        <v>1021</v>
      </c>
      <c r="M77" s="864">
        <v>1066</v>
      </c>
      <c r="N77" s="864">
        <v>2087</v>
      </c>
      <c r="O77" s="864">
        <v>317</v>
      </c>
      <c r="P77" s="864">
        <v>1303</v>
      </c>
      <c r="Q77" s="864">
        <v>1620</v>
      </c>
      <c r="R77" s="864">
        <v>505</v>
      </c>
      <c r="S77" s="864">
        <v>2007</v>
      </c>
      <c r="T77" s="864">
        <v>2512</v>
      </c>
      <c r="U77" s="864">
        <v>425</v>
      </c>
      <c r="V77" s="864">
        <v>2272</v>
      </c>
      <c r="W77" s="864">
        <v>2697</v>
      </c>
      <c r="X77" s="864">
        <v>322</v>
      </c>
      <c r="Y77" s="864">
        <v>2083</v>
      </c>
      <c r="Z77" s="864">
        <v>2405</v>
      </c>
      <c r="AA77" s="864">
        <v>176</v>
      </c>
      <c r="AB77" s="864">
        <v>1430</v>
      </c>
      <c r="AC77" s="864">
        <v>1606</v>
      </c>
      <c r="AD77" s="864">
        <v>272</v>
      </c>
      <c r="AE77" s="864">
        <v>1167</v>
      </c>
      <c r="AF77" s="864">
        <v>1439</v>
      </c>
      <c r="AH77" s="864">
        <f t="shared" si="31"/>
        <v>1156</v>
      </c>
      <c r="AI77" s="864">
        <f t="shared" si="32"/>
        <v>2766</v>
      </c>
      <c r="AJ77" s="864">
        <f t="shared" si="33"/>
        <v>3922</v>
      </c>
      <c r="AK77" s="864">
        <f t="shared" si="34"/>
        <v>2590</v>
      </c>
      <c r="AL77" s="864">
        <f t="shared" si="35"/>
        <v>8731</v>
      </c>
      <c r="AM77" s="864">
        <f t="shared" si="36"/>
        <v>11321</v>
      </c>
      <c r="AN77" s="864">
        <f t="shared" si="37"/>
        <v>448</v>
      </c>
      <c r="AO77" s="864">
        <f t="shared" si="38"/>
        <v>2597</v>
      </c>
      <c r="AP77" s="864">
        <f t="shared" si="39"/>
        <v>3045</v>
      </c>
      <c r="AR77" s="865">
        <f t="shared" si="40"/>
        <v>0.29474757776644567</v>
      </c>
      <c r="AS77" s="865">
        <f t="shared" si="41"/>
        <v>0.22877837646850985</v>
      </c>
      <c r="AT77" s="865">
        <f t="shared" si="42"/>
        <v>0.14712643678160919</v>
      </c>
      <c r="AV77" s="866">
        <v>3992</v>
      </c>
      <c r="AW77" s="866">
        <v>16036</v>
      </c>
      <c r="AX77" s="866">
        <v>3315</v>
      </c>
      <c r="AZ77" s="866">
        <f t="shared" si="43"/>
        <v>1176.6323304436512</v>
      </c>
      <c r="BA77" s="866">
        <f t="shared" si="44"/>
        <v>3668.6900450490239</v>
      </c>
      <c r="BB77" s="866">
        <f t="shared" si="45"/>
        <v>487.72413793103448</v>
      </c>
      <c r="BC77" s="883">
        <f t="shared" si="46"/>
        <v>5333.0465134237093</v>
      </c>
    </row>
    <row r="78" spans="1:55" s="863" customFormat="1" ht="12" customHeight="1" x14ac:dyDescent="0.2">
      <c r="A78" s="863" t="s">
        <v>186</v>
      </c>
      <c r="B78" s="867" t="s">
        <v>511</v>
      </c>
      <c r="C78" s="880">
        <v>355</v>
      </c>
      <c r="D78" s="864">
        <v>2036</v>
      </c>
      <c r="E78" s="864">
        <v>2391</v>
      </c>
      <c r="F78" s="864">
        <v>307</v>
      </c>
      <c r="G78" s="864">
        <v>2366</v>
      </c>
      <c r="H78" s="864">
        <v>2673</v>
      </c>
      <c r="I78" s="864">
        <v>391</v>
      </c>
      <c r="J78" s="864">
        <v>2543</v>
      </c>
      <c r="K78" s="864">
        <v>2934</v>
      </c>
      <c r="L78" s="864">
        <v>246</v>
      </c>
      <c r="M78" s="864">
        <v>1687</v>
      </c>
      <c r="N78" s="864">
        <v>1933</v>
      </c>
      <c r="O78" s="864">
        <v>345</v>
      </c>
      <c r="P78" s="864">
        <v>2990</v>
      </c>
      <c r="Q78" s="864">
        <v>3335</v>
      </c>
      <c r="R78" s="864">
        <v>310</v>
      </c>
      <c r="S78" s="864">
        <v>4073</v>
      </c>
      <c r="T78" s="864">
        <v>4383</v>
      </c>
      <c r="U78" s="864">
        <v>296</v>
      </c>
      <c r="V78" s="864">
        <v>4718</v>
      </c>
      <c r="W78" s="864">
        <v>5014</v>
      </c>
      <c r="X78" s="864">
        <v>228</v>
      </c>
      <c r="Y78" s="864">
        <v>3673</v>
      </c>
      <c r="Z78" s="864">
        <v>3901</v>
      </c>
      <c r="AA78" s="864">
        <v>65</v>
      </c>
      <c r="AB78" s="864">
        <v>2222</v>
      </c>
      <c r="AC78" s="864">
        <v>2287</v>
      </c>
      <c r="AD78" s="864">
        <v>195</v>
      </c>
      <c r="AE78" s="864">
        <v>1059</v>
      </c>
      <c r="AF78" s="864">
        <v>1254</v>
      </c>
      <c r="AH78" s="864">
        <f t="shared" si="31"/>
        <v>1053</v>
      </c>
      <c r="AI78" s="864">
        <f t="shared" si="32"/>
        <v>6945</v>
      </c>
      <c r="AJ78" s="864">
        <f t="shared" si="33"/>
        <v>7998</v>
      </c>
      <c r="AK78" s="864">
        <f t="shared" si="34"/>
        <v>1425</v>
      </c>
      <c r="AL78" s="864">
        <f t="shared" si="35"/>
        <v>17141</v>
      </c>
      <c r="AM78" s="864">
        <f t="shared" si="36"/>
        <v>18566</v>
      </c>
      <c r="AN78" s="864">
        <f t="shared" si="37"/>
        <v>260</v>
      </c>
      <c r="AO78" s="864">
        <f t="shared" si="38"/>
        <v>3281</v>
      </c>
      <c r="AP78" s="864">
        <f t="shared" si="39"/>
        <v>3541</v>
      </c>
      <c r="AR78" s="865">
        <f t="shared" si="40"/>
        <v>0.13165791447861966</v>
      </c>
      <c r="AS78" s="865">
        <f t="shared" si="41"/>
        <v>7.6753204782936554E-2</v>
      </c>
      <c r="AT78" s="865">
        <f t="shared" si="42"/>
        <v>7.3425585992657444E-2</v>
      </c>
      <c r="AV78" s="866">
        <v>8221</v>
      </c>
      <c r="AW78" s="866">
        <v>24450</v>
      </c>
      <c r="AX78" s="866">
        <v>3884</v>
      </c>
      <c r="AZ78" s="866">
        <f t="shared" si="43"/>
        <v>1082.3597149287323</v>
      </c>
      <c r="BA78" s="866">
        <f t="shared" si="44"/>
        <v>1876.6158569427987</v>
      </c>
      <c r="BB78" s="866">
        <f t="shared" si="45"/>
        <v>285.18497599548152</v>
      </c>
      <c r="BC78" s="883">
        <f t="shared" si="46"/>
        <v>3244.1605478670126</v>
      </c>
    </row>
    <row r="79" spans="1:55" s="863" customFormat="1" ht="12" customHeight="1" x14ac:dyDescent="0.2">
      <c r="A79" s="863" t="s">
        <v>188</v>
      </c>
      <c r="B79" s="867" t="s">
        <v>512</v>
      </c>
      <c r="C79" s="880">
        <v>4288</v>
      </c>
      <c r="D79" s="864">
        <v>34816</v>
      </c>
      <c r="E79" s="864">
        <v>39104</v>
      </c>
      <c r="F79" s="864">
        <v>4217</v>
      </c>
      <c r="G79" s="864">
        <v>33737</v>
      </c>
      <c r="H79" s="864">
        <v>37954</v>
      </c>
      <c r="I79" s="864">
        <v>3542</v>
      </c>
      <c r="J79" s="864">
        <v>31336</v>
      </c>
      <c r="K79" s="864">
        <v>34878</v>
      </c>
      <c r="L79" s="864">
        <v>3608</v>
      </c>
      <c r="M79" s="864">
        <v>28048</v>
      </c>
      <c r="N79" s="864">
        <v>31656</v>
      </c>
      <c r="O79" s="864">
        <v>4539</v>
      </c>
      <c r="P79" s="864">
        <v>52536</v>
      </c>
      <c r="Q79" s="864">
        <v>57075</v>
      </c>
      <c r="R79" s="864">
        <v>4562</v>
      </c>
      <c r="S79" s="864">
        <v>59713</v>
      </c>
      <c r="T79" s="864">
        <v>64275</v>
      </c>
      <c r="U79" s="864">
        <v>2812</v>
      </c>
      <c r="V79" s="864">
        <v>55760</v>
      </c>
      <c r="W79" s="864">
        <v>58572</v>
      </c>
      <c r="X79" s="864">
        <v>1527</v>
      </c>
      <c r="Y79" s="864">
        <v>35219</v>
      </c>
      <c r="Z79" s="864">
        <v>36746</v>
      </c>
      <c r="AA79" s="864">
        <v>758</v>
      </c>
      <c r="AB79" s="864">
        <v>16123</v>
      </c>
      <c r="AC79" s="864">
        <v>16881</v>
      </c>
      <c r="AD79" s="864">
        <v>794</v>
      </c>
      <c r="AE79" s="864">
        <v>7985</v>
      </c>
      <c r="AF79" s="864">
        <v>8779</v>
      </c>
      <c r="AH79" s="864">
        <f t="shared" si="31"/>
        <v>12047</v>
      </c>
      <c r="AI79" s="864">
        <f t="shared" si="32"/>
        <v>99889</v>
      </c>
      <c r="AJ79" s="864">
        <f t="shared" si="33"/>
        <v>111936</v>
      </c>
      <c r="AK79" s="864">
        <f t="shared" si="34"/>
        <v>17048</v>
      </c>
      <c r="AL79" s="864">
        <f t="shared" si="35"/>
        <v>231276</v>
      </c>
      <c r="AM79" s="864">
        <f t="shared" si="36"/>
        <v>248324</v>
      </c>
      <c r="AN79" s="864">
        <f t="shared" si="37"/>
        <v>1552</v>
      </c>
      <c r="AO79" s="864">
        <f t="shared" si="38"/>
        <v>24108</v>
      </c>
      <c r="AP79" s="864">
        <f t="shared" si="39"/>
        <v>25660</v>
      </c>
      <c r="AR79" s="865">
        <f t="shared" si="40"/>
        <v>0.10762399942824472</v>
      </c>
      <c r="AS79" s="865">
        <f t="shared" si="41"/>
        <v>6.8652244648121002E-2</v>
      </c>
      <c r="AT79" s="865">
        <f t="shared" si="42"/>
        <v>6.0483242400623541E-2</v>
      </c>
      <c r="AV79" s="866">
        <v>119405</v>
      </c>
      <c r="AW79" s="866">
        <v>269765</v>
      </c>
      <c r="AX79" s="866">
        <v>29836</v>
      </c>
      <c r="AZ79" s="866">
        <f t="shared" si="43"/>
        <v>12850.843651729559</v>
      </c>
      <c r="BA79" s="866">
        <f t="shared" si="44"/>
        <v>18519.972777500363</v>
      </c>
      <c r="BB79" s="866">
        <f t="shared" si="45"/>
        <v>1804.5780202650039</v>
      </c>
      <c r="BC79" s="883">
        <f t="shared" si="46"/>
        <v>33175.394449494925</v>
      </c>
    </row>
    <row r="80" spans="1:55" s="863" customFormat="1" ht="12" customHeight="1" x14ac:dyDescent="0.2">
      <c r="A80" s="863" t="s">
        <v>190</v>
      </c>
      <c r="B80" s="867" t="s">
        <v>513</v>
      </c>
      <c r="C80" s="880">
        <v>699</v>
      </c>
      <c r="D80" s="864">
        <v>1352</v>
      </c>
      <c r="E80" s="864">
        <v>2051</v>
      </c>
      <c r="F80" s="864">
        <v>710</v>
      </c>
      <c r="G80" s="864">
        <v>1520</v>
      </c>
      <c r="H80" s="864">
        <v>2230</v>
      </c>
      <c r="I80" s="864">
        <v>573</v>
      </c>
      <c r="J80" s="864">
        <v>1860</v>
      </c>
      <c r="K80" s="864">
        <v>2433</v>
      </c>
      <c r="L80" s="864">
        <v>637</v>
      </c>
      <c r="M80" s="864">
        <v>1775</v>
      </c>
      <c r="N80" s="864">
        <v>2412</v>
      </c>
      <c r="O80" s="864">
        <v>905</v>
      </c>
      <c r="P80" s="864">
        <v>2595</v>
      </c>
      <c r="Q80" s="864">
        <v>3500</v>
      </c>
      <c r="R80" s="864">
        <v>991</v>
      </c>
      <c r="S80" s="864">
        <v>3860</v>
      </c>
      <c r="T80" s="864">
        <v>4851</v>
      </c>
      <c r="U80" s="864">
        <v>723</v>
      </c>
      <c r="V80" s="864">
        <v>4460</v>
      </c>
      <c r="W80" s="864">
        <v>5183</v>
      </c>
      <c r="X80" s="864">
        <v>845</v>
      </c>
      <c r="Y80" s="864">
        <v>4439</v>
      </c>
      <c r="Z80" s="864">
        <v>5284</v>
      </c>
      <c r="AA80" s="864">
        <v>542</v>
      </c>
      <c r="AB80" s="864">
        <v>3030</v>
      </c>
      <c r="AC80" s="864">
        <v>3572</v>
      </c>
      <c r="AD80" s="864">
        <v>577</v>
      </c>
      <c r="AE80" s="864">
        <v>1746</v>
      </c>
      <c r="AF80" s="864">
        <v>2323</v>
      </c>
      <c r="AH80" s="864">
        <f t="shared" si="31"/>
        <v>1982</v>
      </c>
      <c r="AI80" s="864">
        <f t="shared" si="32"/>
        <v>4732</v>
      </c>
      <c r="AJ80" s="864">
        <f t="shared" si="33"/>
        <v>6714</v>
      </c>
      <c r="AK80" s="864">
        <f t="shared" si="34"/>
        <v>4101</v>
      </c>
      <c r="AL80" s="864">
        <f t="shared" si="35"/>
        <v>17129</v>
      </c>
      <c r="AM80" s="864">
        <f t="shared" si="36"/>
        <v>21230</v>
      </c>
      <c r="AN80" s="864">
        <f t="shared" si="37"/>
        <v>1119</v>
      </c>
      <c r="AO80" s="864">
        <f t="shared" si="38"/>
        <v>4776</v>
      </c>
      <c r="AP80" s="864">
        <f t="shared" si="39"/>
        <v>5895</v>
      </c>
      <c r="AR80" s="865">
        <f t="shared" si="40"/>
        <v>0.29520405123622284</v>
      </c>
      <c r="AS80" s="865">
        <f t="shared" si="41"/>
        <v>0.19317004239284033</v>
      </c>
      <c r="AT80" s="865">
        <f t="shared" si="42"/>
        <v>0.18982188295165395</v>
      </c>
      <c r="AV80" s="866">
        <v>6655</v>
      </c>
      <c r="AW80" s="866">
        <v>21596</v>
      </c>
      <c r="AX80" s="866">
        <v>6356</v>
      </c>
      <c r="AZ80" s="866">
        <f t="shared" si="43"/>
        <v>1964.5829609770631</v>
      </c>
      <c r="BA80" s="866">
        <f t="shared" si="44"/>
        <v>4171.7002355157802</v>
      </c>
      <c r="BB80" s="866">
        <f t="shared" si="45"/>
        <v>1206.5078880407125</v>
      </c>
      <c r="BC80" s="883">
        <f t="shared" si="46"/>
        <v>7342.7910845335555</v>
      </c>
    </row>
    <row r="81" spans="1:55" s="863" customFormat="1" ht="12" customHeight="1" x14ac:dyDescent="0.2">
      <c r="A81" s="863" t="s">
        <v>194</v>
      </c>
      <c r="B81" s="867" t="s">
        <v>195</v>
      </c>
      <c r="C81" s="880">
        <v>102</v>
      </c>
      <c r="D81" s="864">
        <v>335</v>
      </c>
      <c r="E81" s="864">
        <v>437</v>
      </c>
      <c r="F81" s="864">
        <v>64</v>
      </c>
      <c r="G81" s="864">
        <v>391</v>
      </c>
      <c r="H81" s="864">
        <v>455</v>
      </c>
      <c r="I81" s="864">
        <v>117</v>
      </c>
      <c r="J81" s="864">
        <v>447</v>
      </c>
      <c r="K81" s="864">
        <v>564</v>
      </c>
      <c r="L81" s="864">
        <v>53</v>
      </c>
      <c r="M81" s="864">
        <v>412</v>
      </c>
      <c r="N81" s="864">
        <v>465</v>
      </c>
      <c r="O81" s="864">
        <v>114</v>
      </c>
      <c r="P81" s="864">
        <v>466</v>
      </c>
      <c r="Q81" s="864">
        <v>580</v>
      </c>
      <c r="R81" s="864">
        <v>123</v>
      </c>
      <c r="S81" s="864">
        <v>749</v>
      </c>
      <c r="T81" s="864">
        <v>872</v>
      </c>
      <c r="U81" s="864">
        <v>95</v>
      </c>
      <c r="V81" s="864">
        <v>1198</v>
      </c>
      <c r="W81" s="864">
        <v>1293</v>
      </c>
      <c r="X81" s="864">
        <v>111</v>
      </c>
      <c r="Y81" s="864">
        <v>1160</v>
      </c>
      <c r="Z81" s="864">
        <v>1271</v>
      </c>
      <c r="AA81" s="864">
        <v>46</v>
      </c>
      <c r="AB81" s="864">
        <v>822</v>
      </c>
      <c r="AC81" s="864">
        <v>868</v>
      </c>
      <c r="AD81" s="864">
        <v>111</v>
      </c>
      <c r="AE81" s="864">
        <v>424</v>
      </c>
      <c r="AF81" s="864">
        <v>535</v>
      </c>
      <c r="AH81" s="864">
        <f t="shared" si="31"/>
        <v>283</v>
      </c>
      <c r="AI81" s="864">
        <f t="shared" si="32"/>
        <v>1173</v>
      </c>
      <c r="AJ81" s="864">
        <f t="shared" si="33"/>
        <v>1456</v>
      </c>
      <c r="AK81" s="864">
        <f t="shared" si="34"/>
        <v>496</v>
      </c>
      <c r="AL81" s="864">
        <f t="shared" si="35"/>
        <v>3985</v>
      </c>
      <c r="AM81" s="864">
        <f t="shared" si="36"/>
        <v>4481</v>
      </c>
      <c r="AN81" s="864">
        <f t="shared" si="37"/>
        <v>157</v>
      </c>
      <c r="AO81" s="864">
        <f t="shared" si="38"/>
        <v>1246</v>
      </c>
      <c r="AP81" s="864">
        <f t="shared" si="39"/>
        <v>1403</v>
      </c>
      <c r="AR81" s="865">
        <f t="shared" si="40"/>
        <v>0.19436813186813187</v>
      </c>
      <c r="AS81" s="865">
        <f t="shared" si="41"/>
        <v>0.11068957821914752</v>
      </c>
      <c r="AT81" s="865">
        <f t="shared" si="42"/>
        <v>0.11190306486101212</v>
      </c>
      <c r="AV81" s="866">
        <v>1444</v>
      </c>
      <c r="AW81" s="866">
        <v>4547</v>
      </c>
      <c r="AX81" s="866">
        <v>1453</v>
      </c>
      <c r="AZ81" s="866">
        <f t="shared" si="43"/>
        <v>280.66758241758242</v>
      </c>
      <c r="BA81" s="866">
        <f t="shared" si="44"/>
        <v>503.30551216246374</v>
      </c>
      <c r="BB81" s="866">
        <f t="shared" si="45"/>
        <v>162.59515324305062</v>
      </c>
      <c r="BC81" s="883">
        <f t="shared" si="46"/>
        <v>946.56824782309673</v>
      </c>
    </row>
    <row r="82" spans="1:55" s="863" customFormat="1" ht="12" customHeight="1" x14ac:dyDescent="0.2">
      <c r="A82" s="863" t="s">
        <v>198</v>
      </c>
      <c r="B82" s="867" t="s">
        <v>272</v>
      </c>
      <c r="C82" s="880">
        <v>53</v>
      </c>
      <c r="D82" s="864">
        <v>427</v>
      </c>
      <c r="E82" s="864">
        <v>480</v>
      </c>
      <c r="F82" s="864">
        <v>75</v>
      </c>
      <c r="G82" s="864">
        <v>418</v>
      </c>
      <c r="H82" s="864">
        <v>493</v>
      </c>
      <c r="I82" s="864">
        <v>105</v>
      </c>
      <c r="J82" s="864">
        <v>533</v>
      </c>
      <c r="K82" s="864">
        <v>638</v>
      </c>
      <c r="L82" s="864">
        <v>35</v>
      </c>
      <c r="M82" s="864">
        <v>665</v>
      </c>
      <c r="N82" s="864">
        <v>700</v>
      </c>
      <c r="O82" s="864">
        <v>85</v>
      </c>
      <c r="P82" s="864">
        <v>408</v>
      </c>
      <c r="Q82" s="864">
        <v>493</v>
      </c>
      <c r="R82" s="864">
        <v>142</v>
      </c>
      <c r="S82" s="864">
        <v>1050</v>
      </c>
      <c r="T82" s="864">
        <v>1192</v>
      </c>
      <c r="U82" s="864">
        <v>57</v>
      </c>
      <c r="V82" s="864">
        <v>1217</v>
      </c>
      <c r="W82" s="864">
        <v>1274</v>
      </c>
      <c r="X82" s="864">
        <v>130</v>
      </c>
      <c r="Y82" s="864">
        <v>765</v>
      </c>
      <c r="Z82" s="864">
        <v>895</v>
      </c>
      <c r="AA82" s="864">
        <v>160</v>
      </c>
      <c r="AB82" s="864">
        <v>650</v>
      </c>
      <c r="AC82" s="864">
        <v>810</v>
      </c>
      <c r="AD82" s="864">
        <v>258</v>
      </c>
      <c r="AE82" s="864">
        <v>472</v>
      </c>
      <c r="AF82" s="864">
        <v>730</v>
      </c>
      <c r="AH82" s="864">
        <f t="shared" si="31"/>
        <v>233</v>
      </c>
      <c r="AI82" s="864">
        <f t="shared" si="32"/>
        <v>1378</v>
      </c>
      <c r="AJ82" s="864">
        <f t="shared" si="33"/>
        <v>1611</v>
      </c>
      <c r="AK82" s="864">
        <f t="shared" si="34"/>
        <v>449</v>
      </c>
      <c r="AL82" s="864">
        <f t="shared" si="35"/>
        <v>4105</v>
      </c>
      <c r="AM82" s="864">
        <f t="shared" si="36"/>
        <v>4554</v>
      </c>
      <c r="AN82" s="864">
        <f t="shared" si="37"/>
        <v>418</v>
      </c>
      <c r="AO82" s="864">
        <f t="shared" si="38"/>
        <v>1122</v>
      </c>
      <c r="AP82" s="864">
        <f t="shared" si="39"/>
        <v>1540</v>
      </c>
      <c r="AR82" s="865">
        <f t="shared" si="40"/>
        <v>0.1446306641837368</v>
      </c>
      <c r="AS82" s="865">
        <f t="shared" si="41"/>
        <v>9.8594642072902944E-2</v>
      </c>
      <c r="AT82" s="865">
        <f t="shared" si="42"/>
        <v>0.27142857142857141</v>
      </c>
      <c r="AV82" s="866">
        <v>1554</v>
      </c>
      <c r="AW82" s="866">
        <v>5954</v>
      </c>
      <c r="AX82" s="866">
        <v>1712</v>
      </c>
      <c r="AZ82" s="866">
        <f t="shared" si="43"/>
        <v>224.75605214152699</v>
      </c>
      <c r="BA82" s="866">
        <f t="shared" si="44"/>
        <v>587.03249890206416</v>
      </c>
      <c r="BB82" s="866">
        <f t="shared" si="45"/>
        <v>464.68571428571425</v>
      </c>
      <c r="BC82" s="883">
        <f t="shared" si="46"/>
        <v>1276.4742653293054</v>
      </c>
    </row>
    <row r="83" spans="1:55" s="863" customFormat="1" ht="12" customHeight="1" x14ac:dyDescent="0.2">
      <c r="A83" s="863" t="s">
        <v>202</v>
      </c>
      <c r="B83" s="867" t="s">
        <v>611</v>
      </c>
      <c r="C83" s="880">
        <v>1240</v>
      </c>
      <c r="D83" s="864">
        <v>5996</v>
      </c>
      <c r="E83" s="864">
        <v>7236</v>
      </c>
      <c r="F83" s="864">
        <v>943</v>
      </c>
      <c r="G83" s="864">
        <v>6908</v>
      </c>
      <c r="H83" s="864">
        <v>7851</v>
      </c>
      <c r="I83" s="864">
        <v>889</v>
      </c>
      <c r="J83" s="864">
        <v>8841</v>
      </c>
      <c r="K83" s="864">
        <v>9730</v>
      </c>
      <c r="L83" s="864">
        <v>1557</v>
      </c>
      <c r="M83" s="864">
        <v>6696</v>
      </c>
      <c r="N83" s="864">
        <v>8253</v>
      </c>
      <c r="O83" s="864">
        <v>1238</v>
      </c>
      <c r="P83" s="864">
        <v>10373</v>
      </c>
      <c r="Q83" s="864">
        <v>11611</v>
      </c>
      <c r="R83" s="864">
        <v>982</v>
      </c>
      <c r="S83" s="864">
        <v>14774</v>
      </c>
      <c r="T83" s="864">
        <v>15756</v>
      </c>
      <c r="U83" s="864">
        <v>1219</v>
      </c>
      <c r="V83" s="864">
        <v>16718</v>
      </c>
      <c r="W83" s="864">
        <v>17937</v>
      </c>
      <c r="X83" s="864">
        <v>1140</v>
      </c>
      <c r="Y83" s="864">
        <v>14977</v>
      </c>
      <c r="Z83" s="864">
        <v>16117</v>
      </c>
      <c r="AA83" s="864">
        <v>646</v>
      </c>
      <c r="AB83" s="864">
        <v>9280</v>
      </c>
      <c r="AC83" s="864">
        <v>9926</v>
      </c>
      <c r="AD83" s="864">
        <v>1360</v>
      </c>
      <c r="AE83" s="864">
        <v>7223</v>
      </c>
      <c r="AF83" s="864">
        <v>8583</v>
      </c>
      <c r="AH83" s="864">
        <f t="shared" si="31"/>
        <v>3072</v>
      </c>
      <c r="AI83" s="864">
        <f t="shared" si="32"/>
        <v>21745</v>
      </c>
      <c r="AJ83" s="864">
        <f t="shared" si="33"/>
        <v>24817</v>
      </c>
      <c r="AK83" s="864">
        <f t="shared" si="34"/>
        <v>6136</v>
      </c>
      <c r="AL83" s="864">
        <f t="shared" si="35"/>
        <v>63538</v>
      </c>
      <c r="AM83" s="864">
        <f t="shared" si="36"/>
        <v>69674</v>
      </c>
      <c r="AN83" s="864">
        <f t="shared" si="37"/>
        <v>2006</v>
      </c>
      <c r="AO83" s="864">
        <f t="shared" si="38"/>
        <v>16503</v>
      </c>
      <c r="AP83" s="864">
        <f t="shared" si="39"/>
        <v>18509</v>
      </c>
      <c r="AR83" s="865">
        <f t="shared" si="40"/>
        <v>0.12378611435709393</v>
      </c>
      <c r="AS83" s="865">
        <f t="shared" si="41"/>
        <v>8.8067284783419922E-2</v>
      </c>
      <c r="AT83" s="865">
        <f t="shared" si="42"/>
        <v>0.10837970716948511</v>
      </c>
      <c r="AV83" s="866">
        <v>19743</v>
      </c>
      <c r="AW83" s="866">
        <v>56675</v>
      </c>
      <c r="AX83" s="866">
        <v>16322</v>
      </c>
      <c r="AZ83" s="866">
        <f t="shared" si="43"/>
        <v>2443.9092557521053</v>
      </c>
      <c r="BA83" s="866">
        <f t="shared" si="44"/>
        <v>4991.2133651003242</v>
      </c>
      <c r="BB83" s="866">
        <f t="shared" si="45"/>
        <v>1768.973580420336</v>
      </c>
      <c r="BC83" s="883">
        <f t="shared" si="46"/>
        <v>9204.096201272765</v>
      </c>
    </row>
    <row r="84" spans="1:55" s="863" customFormat="1" ht="12" customHeight="1" x14ac:dyDescent="0.2">
      <c r="A84" s="863" t="s">
        <v>204</v>
      </c>
      <c r="B84" s="867" t="s">
        <v>747</v>
      </c>
      <c r="C84" s="880">
        <v>723</v>
      </c>
      <c r="D84" s="864">
        <v>1551</v>
      </c>
      <c r="E84" s="864">
        <v>2274</v>
      </c>
      <c r="F84" s="864">
        <v>676</v>
      </c>
      <c r="G84" s="864">
        <v>1659</v>
      </c>
      <c r="H84" s="864">
        <v>2335</v>
      </c>
      <c r="I84" s="864">
        <v>414</v>
      </c>
      <c r="J84" s="864">
        <v>1470</v>
      </c>
      <c r="K84" s="864">
        <v>1884</v>
      </c>
      <c r="L84" s="864">
        <v>1105</v>
      </c>
      <c r="M84" s="864">
        <v>1673</v>
      </c>
      <c r="N84" s="864">
        <v>2778</v>
      </c>
      <c r="O84" s="864">
        <v>639</v>
      </c>
      <c r="P84" s="864">
        <v>2323</v>
      </c>
      <c r="Q84" s="864">
        <v>2962</v>
      </c>
      <c r="R84" s="864">
        <v>754</v>
      </c>
      <c r="S84" s="864">
        <v>3288</v>
      </c>
      <c r="T84" s="864">
        <v>4042</v>
      </c>
      <c r="U84" s="864">
        <v>685</v>
      </c>
      <c r="V84" s="864">
        <v>3909</v>
      </c>
      <c r="W84" s="864">
        <v>4594</v>
      </c>
      <c r="X84" s="864">
        <v>540</v>
      </c>
      <c r="Y84" s="864">
        <v>4148</v>
      </c>
      <c r="Z84" s="864">
        <v>4688</v>
      </c>
      <c r="AA84" s="864">
        <v>601</v>
      </c>
      <c r="AB84" s="864">
        <v>3012</v>
      </c>
      <c r="AC84" s="864">
        <v>3613</v>
      </c>
      <c r="AD84" s="864">
        <v>687</v>
      </c>
      <c r="AE84" s="864">
        <v>2024</v>
      </c>
      <c r="AF84" s="864">
        <v>2711</v>
      </c>
      <c r="AH84" s="864">
        <f t="shared" si="31"/>
        <v>1813</v>
      </c>
      <c r="AI84" s="864">
        <f t="shared" si="32"/>
        <v>4680</v>
      </c>
      <c r="AJ84" s="864">
        <f t="shared" si="33"/>
        <v>6493</v>
      </c>
      <c r="AK84" s="864">
        <f t="shared" si="34"/>
        <v>3723</v>
      </c>
      <c r="AL84" s="864">
        <f t="shared" si="35"/>
        <v>15341</v>
      </c>
      <c r="AM84" s="864">
        <f t="shared" si="36"/>
        <v>19064</v>
      </c>
      <c r="AN84" s="864">
        <f t="shared" si="37"/>
        <v>1288</v>
      </c>
      <c r="AO84" s="864">
        <f t="shared" si="38"/>
        <v>5036</v>
      </c>
      <c r="AP84" s="864">
        <f t="shared" si="39"/>
        <v>6324</v>
      </c>
      <c r="AR84" s="865">
        <f t="shared" si="40"/>
        <v>0.27922377945479748</v>
      </c>
      <c r="AS84" s="865">
        <f t="shared" si="41"/>
        <v>0.19528955098615192</v>
      </c>
      <c r="AT84" s="865">
        <f t="shared" si="42"/>
        <v>0.2036685641998735</v>
      </c>
      <c r="AV84" s="866">
        <v>4201</v>
      </c>
      <c r="AW84" s="866">
        <v>13443</v>
      </c>
      <c r="AX84" s="866">
        <v>4731</v>
      </c>
      <c r="AZ84" s="866">
        <f t="shared" si="43"/>
        <v>1173.0190974896043</v>
      </c>
      <c r="BA84" s="866">
        <f t="shared" si="44"/>
        <v>2625.2774339068401</v>
      </c>
      <c r="BB84" s="866">
        <f t="shared" si="45"/>
        <v>963.55597722960158</v>
      </c>
      <c r="BC84" s="883">
        <f t="shared" si="46"/>
        <v>4761.8525086260461</v>
      </c>
    </row>
    <row r="85" spans="1:55" s="863" customFormat="1" ht="12" customHeight="1" x14ac:dyDescent="0.2">
      <c r="A85" s="863" t="s">
        <v>206</v>
      </c>
      <c r="B85" s="867" t="s">
        <v>748</v>
      </c>
      <c r="C85" s="880">
        <v>2191</v>
      </c>
      <c r="D85" s="864">
        <v>6084</v>
      </c>
      <c r="E85" s="864">
        <v>8275</v>
      </c>
      <c r="F85" s="864">
        <v>1432</v>
      </c>
      <c r="G85" s="864">
        <v>6692</v>
      </c>
      <c r="H85" s="864">
        <v>8124</v>
      </c>
      <c r="I85" s="864">
        <v>1700</v>
      </c>
      <c r="J85" s="864">
        <v>6706</v>
      </c>
      <c r="K85" s="864">
        <v>8406</v>
      </c>
      <c r="L85" s="864">
        <v>10196</v>
      </c>
      <c r="M85" s="864">
        <v>8392</v>
      </c>
      <c r="N85" s="864">
        <v>18588</v>
      </c>
      <c r="O85" s="864">
        <v>2537</v>
      </c>
      <c r="P85" s="864">
        <v>11602</v>
      </c>
      <c r="Q85" s="864">
        <v>14139</v>
      </c>
      <c r="R85" s="864">
        <v>1881</v>
      </c>
      <c r="S85" s="864">
        <v>11766</v>
      </c>
      <c r="T85" s="864">
        <v>13647</v>
      </c>
      <c r="U85" s="864">
        <v>1509</v>
      </c>
      <c r="V85" s="864">
        <v>14016</v>
      </c>
      <c r="W85" s="864">
        <v>15525</v>
      </c>
      <c r="X85" s="864">
        <v>1219</v>
      </c>
      <c r="Y85" s="864">
        <v>11219</v>
      </c>
      <c r="Z85" s="864">
        <v>12438</v>
      </c>
      <c r="AA85" s="864">
        <v>811</v>
      </c>
      <c r="AB85" s="864">
        <v>7069</v>
      </c>
      <c r="AC85" s="864">
        <v>7880</v>
      </c>
      <c r="AD85" s="864">
        <v>1508</v>
      </c>
      <c r="AE85" s="864">
        <v>5632</v>
      </c>
      <c r="AF85" s="864">
        <v>7140</v>
      </c>
      <c r="AH85" s="864">
        <f t="shared" si="31"/>
        <v>5323</v>
      </c>
      <c r="AI85" s="864">
        <f t="shared" si="32"/>
        <v>19482</v>
      </c>
      <c r="AJ85" s="864">
        <f t="shared" si="33"/>
        <v>24805</v>
      </c>
      <c r="AK85" s="864">
        <f t="shared" si="34"/>
        <v>17342</v>
      </c>
      <c r="AL85" s="864">
        <f t="shared" si="35"/>
        <v>56995</v>
      </c>
      <c r="AM85" s="864">
        <f t="shared" si="36"/>
        <v>74337</v>
      </c>
      <c r="AN85" s="864">
        <f t="shared" si="37"/>
        <v>2319</v>
      </c>
      <c r="AO85" s="864">
        <f t="shared" si="38"/>
        <v>12701</v>
      </c>
      <c r="AP85" s="864">
        <f t="shared" si="39"/>
        <v>15020</v>
      </c>
      <c r="AR85" s="865">
        <f t="shared" si="40"/>
        <v>0.2145938318887321</v>
      </c>
      <c r="AS85" s="865">
        <f t="shared" si="41"/>
        <v>0.23328894090426033</v>
      </c>
      <c r="AT85" s="865">
        <f t="shared" si="42"/>
        <v>0.1543941411451398</v>
      </c>
      <c r="AV85" s="866">
        <v>17860</v>
      </c>
      <c r="AW85" s="866">
        <v>46626</v>
      </c>
      <c r="AX85" s="866">
        <v>12103</v>
      </c>
      <c r="AZ85" s="866">
        <f t="shared" si="43"/>
        <v>3832.6458375327552</v>
      </c>
      <c r="BA85" s="866">
        <f t="shared" si="44"/>
        <v>10877.330158602043</v>
      </c>
      <c r="BB85" s="866">
        <f t="shared" si="45"/>
        <v>1868.6322902796271</v>
      </c>
      <c r="BC85" s="883">
        <f t="shared" si="46"/>
        <v>16578.608286414423</v>
      </c>
    </row>
    <row r="86" spans="1:55" s="863" customFormat="1" ht="12" customHeight="1" x14ac:dyDescent="0.2">
      <c r="A86" s="863" t="s">
        <v>208</v>
      </c>
      <c r="B86" s="867" t="s">
        <v>515</v>
      </c>
      <c r="C86" s="880">
        <v>613</v>
      </c>
      <c r="D86" s="864">
        <v>1232</v>
      </c>
      <c r="E86" s="864">
        <v>1845</v>
      </c>
      <c r="F86" s="864">
        <v>644</v>
      </c>
      <c r="G86" s="864">
        <v>1403</v>
      </c>
      <c r="H86" s="864">
        <v>2047</v>
      </c>
      <c r="I86" s="864">
        <v>557</v>
      </c>
      <c r="J86" s="864">
        <v>1357</v>
      </c>
      <c r="K86" s="864">
        <v>1914</v>
      </c>
      <c r="L86" s="864">
        <v>722</v>
      </c>
      <c r="M86" s="864">
        <v>1437</v>
      </c>
      <c r="N86" s="864">
        <v>2159</v>
      </c>
      <c r="O86" s="864">
        <v>698</v>
      </c>
      <c r="P86" s="864">
        <v>2611</v>
      </c>
      <c r="Q86" s="864">
        <v>3309</v>
      </c>
      <c r="R86" s="864">
        <v>1019</v>
      </c>
      <c r="S86" s="864">
        <v>2806</v>
      </c>
      <c r="T86" s="864">
        <v>3825</v>
      </c>
      <c r="U86" s="864">
        <v>1186</v>
      </c>
      <c r="V86" s="864">
        <v>3528</v>
      </c>
      <c r="W86" s="864">
        <v>4714</v>
      </c>
      <c r="X86" s="864">
        <v>937</v>
      </c>
      <c r="Y86" s="864">
        <v>3200</v>
      </c>
      <c r="Z86" s="864">
        <v>4137</v>
      </c>
      <c r="AA86" s="864">
        <v>674</v>
      </c>
      <c r="AB86" s="864">
        <v>2029</v>
      </c>
      <c r="AC86" s="864">
        <v>2703</v>
      </c>
      <c r="AD86" s="864">
        <v>542</v>
      </c>
      <c r="AE86" s="864">
        <v>1357</v>
      </c>
      <c r="AF86" s="864">
        <v>1899</v>
      </c>
      <c r="AH86" s="864">
        <f t="shared" si="31"/>
        <v>1814</v>
      </c>
      <c r="AI86" s="864">
        <f t="shared" si="32"/>
        <v>3992</v>
      </c>
      <c r="AJ86" s="864">
        <f t="shared" si="33"/>
        <v>5806</v>
      </c>
      <c r="AK86" s="864">
        <f t="shared" si="34"/>
        <v>4562</v>
      </c>
      <c r="AL86" s="864">
        <f t="shared" si="35"/>
        <v>13582</v>
      </c>
      <c r="AM86" s="864">
        <f t="shared" si="36"/>
        <v>18144</v>
      </c>
      <c r="AN86" s="864">
        <f t="shared" si="37"/>
        <v>1216</v>
      </c>
      <c r="AO86" s="864">
        <f t="shared" si="38"/>
        <v>3386</v>
      </c>
      <c r="AP86" s="864">
        <f t="shared" si="39"/>
        <v>4602</v>
      </c>
      <c r="AR86" s="865">
        <f t="shared" si="40"/>
        <v>0.31243541164312782</v>
      </c>
      <c r="AS86" s="865">
        <f t="shared" si="41"/>
        <v>0.25143298059964725</v>
      </c>
      <c r="AT86" s="865">
        <f t="shared" si="42"/>
        <v>0.26423294219904392</v>
      </c>
      <c r="AV86" s="866">
        <v>5752</v>
      </c>
      <c r="AW86" s="866">
        <v>18169</v>
      </c>
      <c r="AX86" s="866">
        <v>4828</v>
      </c>
      <c r="AZ86" s="866">
        <f t="shared" si="43"/>
        <v>1797.1284877712712</v>
      </c>
      <c r="BA86" s="866">
        <f t="shared" si="44"/>
        <v>4568.285824514991</v>
      </c>
      <c r="BB86" s="866">
        <f t="shared" si="45"/>
        <v>1275.716644936984</v>
      </c>
      <c r="BC86" s="883">
        <f t="shared" si="46"/>
        <v>7641.1309572232467</v>
      </c>
    </row>
    <row r="87" spans="1:55" s="863" customFormat="1" ht="12" customHeight="1" x14ac:dyDescent="0.2">
      <c r="A87" s="863" t="s">
        <v>210</v>
      </c>
      <c r="B87" s="867" t="s">
        <v>516</v>
      </c>
      <c r="C87" s="880">
        <v>347</v>
      </c>
      <c r="D87" s="864">
        <v>1008</v>
      </c>
      <c r="E87" s="864">
        <v>1355</v>
      </c>
      <c r="F87" s="864">
        <v>328</v>
      </c>
      <c r="G87" s="864">
        <v>1108</v>
      </c>
      <c r="H87" s="864">
        <v>1436</v>
      </c>
      <c r="I87" s="864">
        <v>343</v>
      </c>
      <c r="J87" s="864">
        <v>1284</v>
      </c>
      <c r="K87" s="864">
        <v>1627</v>
      </c>
      <c r="L87" s="864">
        <v>458</v>
      </c>
      <c r="M87" s="864">
        <v>1160</v>
      </c>
      <c r="N87" s="864">
        <v>1618</v>
      </c>
      <c r="O87" s="864">
        <v>605</v>
      </c>
      <c r="P87" s="864">
        <v>1841</v>
      </c>
      <c r="Q87" s="864">
        <v>2446</v>
      </c>
      <c r="R87" s="864">
        <v>612</v>
      </c>
      <c r="S87" s="864">
        <v>2486</v>
      </c>
      <c r="T87" s="864">
        <v>3098</v>
      </c>
      <c r="U87" s="864">
        <v>604</v>
      </c>
      <c r="V87" s="864">
        <v>2869</v>
      </c>
      <c r="W87" s="864">
        <v>3473</v>
      </c>
      <c r="X87" s="864">
        <v>746</v>
      </c>
      <c r="Y87" s="864">
        <v>2601</v>
      </c>
      <c r="Z87" s="864">
        <v>3347</v>
      </c>
      <c r="AA87" s="864">
        <v>596</v>
      </c>
      <c r="AB87" s="864">
        <v>1913</v>
      </c>
      <c r="AC87" s="864">
        <v>2509</v>
      </c>
      <c r="AD87" s="864">
        <v>662</v>
      </c>
      <c r="AE87" s="864">
        <v>1247</v>
      </c>
      <c r="AF87" s="864">
        <v>1909</v>
      </c>
      <c r="AH87" s="864">
        <f t="shared" si="31"/>
        <v>1018</v>
      </c>
      <c r="AI87" s="864">
        <f t="shared" si="32"/>
        <v>3400</v>
      </c>
      <c r="AJ87" s="864">
        <f t="shared" si="33"/>
        <v>4418</v>
      </c>
      <c r="AK87" s="864">
        <f t="shared" si="34"/>
        <v>3025</v>
      </c>
      <c r="AL87" s="864">
        <f t="shared" si="35"/>
        <v>10957</v>
      </c>
      <c r="AM87" s="864">
        <f t="shared" si="36"/>
        <v>13982</v>
      </c>
      <c r="AN87" s="864">
        <f t="shared" si="37"/>
        <v>1258</v>
      </c>
      <c r="AO87" s="864">
        <f t="shared" si="38"/>
        <v>3160</v>
      </c>
      <c r="AP87" s="864">
        <f t="shared" si="39"/>
        <v>4418</v>
      </c>
      <c r="AR87" s="865">
        <f t="shared" si="40"/>
        <v>0.23042100497962878</v>
      </c>
      <c r="AS87" s="865">
        <f t="shared" si="41"/>
        <v>0.21634959233299958</v>
      </c>
      <c r="AT87" s="865">
        <f t="shared" si="42"/>
        <v>0.28474422815753736</v>
      </c>
      <c r="AV87" s="866">
        <v>4391</v>
      </c>
      <c r="AW87" s="866">
        <v>13918</v>
      </c>
      <c r="AX87" s="866">
        <v>4817</v>
      </c>
      <c r="AZ87" s="866">
        <f t="shared" si="43"/>
        <v>1011.77863286555</v>
      </c>
      <c r="BA87" s="866">
        <f t="shared" si="44"/>
        <v>3011.1536260906882</v>
      </c>
      <c r="BB87" s="866">
        <f t="shared" si="45"/>
        <v>1371.6129470348574</v>
      </c>
      <c r="BC87" s="883">
        <f t="shared" si="46"/>
        <v>5394.5452059910949</v>
      </c>
    </row>
    <row r="88" spans="1:55" s="863" customFormat="1" ht="12" customHeight="1" x14ac:dyDescent="0.2">
      <c r="A88" s="863" t="s">
        <v>212</v>
      </c>
      <c r="B88" s="867" t="s">
        <v>517</v>
      </c>
      <c r="C88" s="880">
        <v>587</v>
      </c>
      <c r="D88" s="864">
        <v>2303</v>
      </c>
      <c r="E88" s="864">
        <v>2890</v>
      </c>
      <c r="F88" s="864">
        <v>602</v>
      </c>
      <c r="G88" s="864">
        <v>2346</v>
      </c>
      <c r="H88" s="864">
        <v>2948</v>
      </c>
      <c r="I88" s="864">
        <v>913</v>
      </c>
      <c r="J88" s="864">
        <v>2337</v>
      </c>
      <c r="K88" s="864">
        <v>3250</v>
      </c>
      <c r="L88" s="864">
        <v>616</v>
      </c>
      <c r="M88" s="864">
        <v>2407</v>
      </c>
      <c r="N88" s="864">
        <v>3023</v>
      </c>
      <c r="O88" s="864">
        <v>682</v>
      </c>
      <c r="P88" s="864">
        <v>3755</v>
      </c>
      <c r="Q88" s="864">
        <v>4437</v>
      </c>
      <c r="R88" s="864">
        <v>762</v>
      </c>
      <c r="S88" s="864">
        <v>4732</v>
      </c>
      <c r="T88" s="864">
        <v>5494</v>
      </c>
      <c r="U88" s="864">
        <v>853</v>
      </c>
      <c r="V88" s="864">
        <v>5309</v>
      </c>
      <c r="W88" s="864">
        <v>6162</v>
      </c>
      <c r="X88" s="864">
        <v>672</v>
      </c>
      <c r="Y88" s="864">
        <v>4995</v>
      </c>
      <c r="Z88" s="864">
        <v>5667</v>
      </c>
      <c r="AA88" s="864">
        <v>454</v>
      </c>
      <c r="AB88" s="864">
        <v>3704</v>
      </c>
      <c r="AC88" s="864">
        <v>4158</v>
      </c>
      <c r="AD88" s="864">
        <v>610</v>
      </c>
      <c r="AE88" s="864">
        <v>2687</v>
      </c>
      <c r="AF88" s="864">
        <v>3297</v>
      </c>
      <c r="AH88" s="864">
        <f t="shared" si="31"/>
        <v>2102</v>
      </c>
      <c r="AI88" s="864">
        <f t="shared" si="32"/>
        <v>6986</v>
      </c>
      <c r="AJ88" s="864">
        <f t="shared" si="33"/>
        <v>9088</v>
      </c>
      <c r="AK88" s="864">
        <f t="shared" si="34"/>
        <v>3585</v>
      </c>
      <c r="AL88" s="864">
        <f t="shared" si="35"/>
        <v>21198</v>
      </c>
      <c r="AM88" s="864">
        <f t="shared" si="36"/>
        <v>24783</v>
      </c>
      <c r="AN88" s="864">
        <f t="shared" si="37"/>
        <v>1064</v>
      </c>
      <c r="AO88" s="864">
        <f t="shared" si="38"/>
        <v>6391</v>
      </c>
      <c r="AP88" s="864">
        <f t="shared" si="39"/>
        <v>7455</v>
      </c>
      <c r="AR88" s="865">
        <f t="shared" si="40"/>
        <v>0.23129401408450703</v>
      </c>
      <c r="AS88" s="865">
        <f t="shared" si="41"/>
        <v>0.14465561070088367</v>
      </c>
      <c r="AT88" s="865">
        <f t="shared" si="42"/>
        <v>0.14272300469483568</v>
      </c>
      <c r="AV88" s="866">
        <v>9208</v>
      </c>
      <c r="AW88" s="866">
        <v>25035</v>
      </c>
      <c r="AX88" s="866">
        <v>8046</v>
      </c>
      <c r="AZ88" s="866">
        <f t="shared" si="43"/>
        <v>2129.7552816901407</v>
      </c>
      <c r="BA88" s="866">
        <f t="shared" si="44"/>
        <v>3621.4532138966229</v>
      </c>
      <c r="BB88" s="866">
        <f t="shared" si="45"/>
        <v>1148.3492957746478</v>
      </c>
      <c r="BC88" s="883">
        <f t="shared" si="46"/>
        <v>6899.5577913614106</v>
      </c>
    </row>
    <row r="89" spans="1:55" s="863" customFormat="1" ht="12" customHeight="1" x14ac:dyDescent="0.2">
      <c r="A89" s="863" t="s">
        <v>214</v>
      </c>
      <c r="B89" s="867" t="s">
        <v>518</v>
      </c>
      <c r="C89" s="880">
        <v>1131</v>
      </c>
      <c r="D89" s="864">
        <v>993</v>
      </c>
      <c r="E89" s="864">
        <v>2124</v>
      </c>
      <c r="F89" s="864">
        <v>773</v>
      </c>
      <c r="G89" s="864">
        <v>1458</v>
      </c>
      <c r="H89" s="864">
        <v>2231</v>
      </c>
      <c r="I89" s="864">
        <v>610</v>
      </c>
      <c r="J89" s="864">
        <v>1678</v>
      </c>
      <c r="K89" s="864">
        <v>2288</v>
      </c>
      <c r="L89" s="864">
        <v>680</v>
      </c>
      <c r="M89" s="864">
        <v>1793</v>
      </c>
      <c r="N89" s="864">
        <v>2473</v>
      </c>
      <c r="O89" s="864">
        <v>1005</v>
      </c>
      <c r="P89" s="864">
        <v>2390</v>
      </c>
      <c r="Q89" s="864">
        <v>3395</v>
      </c>
      <c r="R89" s="864">
        <v>1083</v>
      </c>
      <c r="S89" s="864">
        <v>3213</v>
      </c>
      <c r="T89" s="864">
        <v>4296</v>
      </c>
      <c r="U89" s="864">
        <v>813</v>
      </c>
      <c r="V89" s="864">
        <v>3880</v>
      </c>
      <c r="W89" s="864">
        <v>4693</v>
      </c>
      <c r="X89" s="864">
        <v>709</v>
      </c>
      <c r="Y89" s="864">
        <v>3775</v>
      </c>
      <c r="Z89" s="864">
        <v>4484</v>
      </c>
      <c r="AA89" s="864">
        <v>480</v>
      </c>
      <c r="AB89" s="864">
        <v>2660</v>
      </c>
      <c r="AC89" s="864">
        <v>3140</v>
      </c>
      <c r="AD89" s="864">
        <v>655</v>
      </c>
      <c r="AE89" s="864">
        <v>1789</v>
      </c>
      <c r="AF89" s="864">
        <v>2444</v>
      </c>
      <c r="AH89" s="864">
        <f t="shared" si="31"/>
        <v>2514</v>
      </c>
      <c r="AI89" s="864">
        <f t="shared" si="32"/>
        <v>4129</v>
      </c>
      <c r="AJ89" s="864">
        <f t="shared" si="33"/>
        <v>6643</v>
      </c>
      <c r="AK89" s="864">
        <f t="shared" si="34"/>
        <v>4290</v>
      </c>
      <c r="AL89" s="864">
        <f t="shared" si="35"/>
        <v>15051</v>
      </c>
      <c r="AM89" s="864">
        <f t="shared" si="36"/>
        <v>19341</v>
      </c>
      <c r="AN89" s="864">
        <f t="shared" si="37"/>
        <v>1135</v>
      </c>
      <c r="AO89" s="864">
        <f t="shared" si="38"/>
        <v>4449</v>
      </c>
      <c r="AP89" s="864">
        <f t="shared" si="39"/>
        <v>5584</v>
      </c>
      <c r="AR89" s="865">
        <f t="shared" si="40"/>
        <v>0.37844347433388531</v>
      </c>
      <c r="AS89" s="865">
        <f t="shared" si="41"/>
        <v>0.22180859314409804</v>
      </c>
      <c r="AT89" s="865">
        <f t="shared" si="42"/>
        <v>0.2032593123209169</v>
      </c>
      <c r="AV89" s="866">
        <v>6500</v>
      </c>
      <c r="AW89" s="866">
        <v>19584</v>
      </c>
      <c r="AX89" s="866">
        <v>5945</v>
      </c>
      <c r="AZ89" s="866">
        <f t="shared" si="43"/>
        <v>2459.8825831702543</v>
      </c>
      <c r="BA89" s="866">
        <f t="shared" si="44"/>
        <v>4343.8994881340159</v>
      </c>
      <c r="BB89" s="866">
        <f t="shared" si="45"/>
        <v>1208.376611747851</v>
      </c>
      <c r="BC89" s="883">
        <f t="shared" si="46"/>
        <v>8012.158683052121</v>
      </c>
    </row>
    <row r="90" spans="1:55" s="863" customFormat="1" ht="12" customHeight="1" x14ac:dyDescent="0.2">
      <c r="A90" s="863" t="s">
        <v>216</v>
      </c>
      <c r="B90" s="867" t="s">
        <v>519</v>
      </c>
      <c r="C90" s="880">
        <v>338</v>
      </c>
      <c r="D90" s="864">
        <v>807</v>
      </c>
      <c r="E90" s="864">
        <v>1145</v>
      </c>
      <c r="F90" s="864">
        <v>349</v>
      </c>
      <c r="G90" s="864">
        <v>901</v>
      </c>
      <c r="H90" s="864">
        <v>1250</v>
      </c>
      <c r="I90" s="864">
        <v>318</v>
      </c>
      <c r="J90" s="864">
        <v>1150</v>
      </c>
      <c r="K90" s="864">
        <v>1468</v>
      </c>
      <c r="L90" s="864">
        <v>377</v>
      </c>
      <c r="M90" s="864">
        <v>1008</v>
      </c>
      <c r="N90" s="864">
        <v>1385</v>
      </c>
      <c r="O90" s="864">
        <v>325</v>
      </c>
      <c r="P90" s="864">
        <v>1367</v>
      </c>
      <c r="Q90" s="864">
        <v>1692</v>
      </c>
      <c r="R90" s="864">
        <v>279</v>
      </c>
      <c r="S90" s="864">
        <v>1964</v>
      </c>
      <c r="T90" s="864">
        <v>2243</v>
      </c>
      <c r="U90" s="864">
        <v>511</v>
      </c>
      <c r="V90" s="864">
        <v>2503</v>
      </c>
      <c r="W90" s="864">
        <v>3014</v>
      </c>
      <c r="X90" s="864">
        <v>445</v>
      </c>
      <c r="Y90" s="864">
        <v>1950</v>
      </c>
      <c r="Z90" s="864">
        <v>2395</v>
      </c>
      <c r="AA90" s="864">
        <v>264</v>
      </c>
      <c r="AB90" s="864">
        <v>1204</v>
      </c>
      <c r="AC90" s="864">
        <v>1468</v>
      </c>
      <c r="AD90" s="864">
        <v>241</v>
      </c>
      <c r="AE90" s="864">
        <v>817</v>
      </c>
      <c r="AF90" s="864">
        <v>1058</v>
      </c>
      <c r="AH90" s="864">
        <f t="shared" si="31"/>
        <v>1005</v>
      </c>
      <c r="AI90" s="864">
        <f t="shared" si="32"/>
        <v>2858</v>
      </c>
      <c r="AJ90" s="864">
        <f t="shared" si="33"/>
        <v>3863</v>
      </c>
      <c r="AK90" s="864">
        <f t="shared" si="34"/>
        <v>1937</v>
      </c>
      <c r="AL90" s="864">
        <f t="shared" si="35"/>
        <v>8792</v>
      </c>
      <c r="AM90" s="864">
        <f t="shared" si="36"/>
        <v>10729</v>
      </c>
      <c r="AN90" s="864">
        <f t="shared" si="37"/>
        <v>505</v>
      </c>
      <c r="AO90" s="864">
        <f t="shared" si="38"/>
        <v>2021</v>
      </c>
      <c r="AP90" s="864">
        <f t="shared" si="39"/>
        <v>2526</v>
      </c>
      <c r="AR90" s="865">
        <f t="shared" si="40"/>
        <v>0.26016049702303906</v>
      </c>
      <c r="AS90" s="865">
        <f t="shared" si="41"/>
        <v>0.18053872681517383</v>
      </c>
      <c r="AT90" s="865">
        <f t="shared" si="42"/>
        <v>0.19992082343626286</v>
      </c>
      <c r="AV90" s="866">
        <v>3801</v>
      </c>
      <c r="AW90" s="866">
        <v>11695</v>
      </c>
      <c r="AX90" s="866">
        <v>2912</v>
      </c>
      <c r="AZ90" s="866">
        <f t="shared" si="43"/>
        <v>988.87004918457149</v>
      </c>
      <c r="BA90" s="866">
        <f t="shared" si="44"/>
        <v>2111.4004101034579</v>
      </c>
      <c r="BB90" s="866">
        <f t="shared" si="45"/>
        <v>582.16943784639739</v>
      </c>
      <c r="BC90" s="883">
        <f t="shared" si="46"/>
        <v>3682.4398971344272</v>
      </c>
    </row>
    <row r="91" spans="1:55" s="863" customFormat="1" ht="12" customHeight="1" x14ac:dyDescent="0.2">
      <c r="A91" s="863" t="s">
        <v>218</v>
      </c>
      <c r="B91" s="867" t="s">
        <v>520</v>
      </c>
      <c r="C91" s="880">
        <v>1668</v>
      </c>
      <c r="D91" s="864">
        <v>8338</v>
      </c>
      <c r="E91" s="864">
        <v>10006</v>
      </c>
      <c r="F91" s="864">
        <v>1762</v>
      </c>
      <c r="G91" s="864">
        <v>10110</v>
      </c>
      <c r="H91" s="864">
        <v>11872</v>
      </c>
      <c r="I91" s="864">
        <v>1161</v>
      </c>
      <c r="J91" s="864">
        <v>10827</v>
      </c>
      <c r="K91" s="864">
        <v>11988</v>
      </c>
      <c r="L91" s="864">
        <v>1369</v>
      </c>
      <c r="M91" s="864">
        <v>8638</v>
      </c>
      <c r="N91" s="864">
        <v>10007</v>
      </c>
      <c r="O91" s="864">
        <v>1558</v>
      </c>
      <c r="P91" s="864">
        <v>13330</v>
      </c>
      <c r="Q91" s="864">
        <v>14888</v>
      </c>
      <c r="R91" s="864">
        <v>1836</v>
      </c>
      <c r="S91" s="864">
        <v>16893</v>
      </c>
      <c r="T91" s="864">
        <v>18729</v>
      </c>
      <c r="U91" s="864">
        <v>1024</v>
      </c>
      <c r="V91" s="864">
        <v>17992</v>
      </c>
      <c r="W91" s="864">
        <v>19016</v>
      </c>
      <c r="X91" s="864">
        <v>673</v>
      </c>
      <c r="Y91" s="864">
        <v>12419</v>
      </c>
      <c r="Z91" s="864">
        <v>13092</v>
      </c>
      <c r="AA91" s="864">
        <v>651</v>
      </c>
      <c r="AB91" s="864">
        <v>6102</v>
      </c>
      <c r="AC91" s="864">
        <v>6753</v>
      </c>
      <c r="AD91" s="864">
        <v>626</v>
      </c>
      <c r="AE91" s="864">
        <v>3906</v>
      </c>
      <c r="AF91" s="864">
        <v>4532</v>
      </c>
      <c r="AH91" s="864">
        <f t="shared" si="31"/>
        <v>4591</v>
      </c>
      <c r="AI91" s="864">
        <f t="shared" si="32"/>
        <v>29275</v>
      </c>
      <c r="AJ91" s="864">
        <f t="shared" si="33"/>
        <v>33866</v>
      </c>
      <c r="AK91" s="864">
        <f t="shared" si="34"/>
        <v>6460</v>
      </c>
      <c r="AL91" s="864">
        <f t="shared" si="35"/>
        <v>69272</v>
      </c>
      <c r="AM91" s="864">
        <f t="shared" si="36"/>
        <v>75732</v>
      </c>
      <c r="AN91" s="864">
        <f t="shared" si="37"/>
        <v>1277</v>
      </c>
      <c r="AO91" s="864">
        <f t="shared" si="38"/>
        <v>10008</v>
      </c>
      <c r="AP91" s="864">
        <f t="shared" si="39"/>
        <v>11285</v>
      </c>
      <c r="AR91" s="865">
        <f t="shared" si="40"/>
        <v>0.13556369219866532</v>
      </c>
      <c r="AS91" s="865">
        <f t="shared" si="41"/>
        <v>8.5300797549252627E-2</v>
      </c>
      <c r="AT91" s="865">
        <f t="shared" si="42"/>
        <v>0.11315906070004431</v>
      </c>
      <c r="AV91" s="866">
        <v>33455</v>
      </c>
      <c r="AW91" s="866">
        <v>78126</v>
      </c>
      <c r="AX91" s="866">
        <v>12746</v>
      </c>
      <c r="AZ91" s="866">
        <f t="shared" si="43"/>
        <v>4535.2833225063487</v>
      </c>
      <c r="BA91" s="866">
        <f t="shared" si="44"/>
        <v>6664.2101093329111</v>
      </c>
      <c r="BB91" s="866">
        <f t="shared" si="45"/>
        <v>1442.3253876827648</v>
      </c>
      <c r="BC91" s="883">
        <f t="shared" si="46"/>
        <v>12641.818819522025</v>
      </c>
    </row>
    <row r="92" spans="1:55" s="863" customFormat="1" ht="12" customHeight="1" x14ac:dyDescent="0.2">
      <c r="A92" s="863" t="s">
        <v>220</v>
      </c>
      <c r="B92" s="867" t="s">
        <v>521</v>
      </c>
      <c r="C92" s="880">
        <v>907</v>
      </c>
      <c r="D92" s="864">
        <v>9626</v>
      </c>
      <c r="E92" s="864">
        <v>10533</v>
      </c>
      <c r="F92" s="864">
        <v>894</v>
      </c>
      <c r="G92" s="864">
        <v>10972</v>
      </c>
      <c r="H92" s="864">
        <v>11866</v>
      </c>
      <c r="I92" s="864">
        <v>870</v>
      </c>
      <c r="J92" s="864">
        <v>13416</v>
      </c>
      <c r="K92" s="864">
        <v>14286</v>
      </c>
      <c r="L92" s="864">
        <v>970</v>
      </c>
      <c r="M92" s="864">
        <v>9634</v>
      </c>
      <c r="N92" s="864">
        <v>10604</v>
      </c>
      <c r="O92" s="864">
        <v>781</v>
      </c>
      <c r="P92" s="864">
        <v>13828</v>
      </c>
      <c r="Q92" s="864">
        <v>14609</v>
      </c>
      <c r="R92" s="864">
        <v>888</v>
      </c>
      <c r="S92" s="864">
        <v>19251</v>
      </c>
      <c r="T92" s="864">
        <v>20139</v>
      </c>
      <c r="U92" s="864">
        <v>662</v>
      </c>
      <c r="V92" s="864">
        <v>20157</v>
      </c>
      <c r="W92" s="864">
        <v>20819</v>
      </c>
      <c r="X92" s="864">
        <v>491</v>
      </c>
      <c r="Y92" s="864">
        <v>11560</v>
      </c>
      <c r="Z92" s="864">
        <v>12051</v>
      </c>
      <c r="AA92" s="864">
        <v>312</v>
      </c>
      <c r="AB92" s="864">
        <v>5380</v>
      </c>
      <c r="AC92" s="864">
        <v>5692</v>
      </c>
      <c r="AD92" s="864">
        <v>326</v>
      </c>
      <c r="AE92" s="864">
        <v>2891</v>
      </c>
      <c r="AF92" s="864">
        <v>3217</v>
      </c>
      <c r="AH92" s="864">
        <f t="shared" si="31"/>
        <v>2671</v>
      </c>
      <c r="AI92" s="864">
        <f t="shared" si="32"/>
        <v>34014</v>
      </c>
      <c r="AJ92" s="864">
        <f t="shared" si="33"/>
        <v>36685</v>
      </c>
      <c r="AK92" s="864">
        <f t="shared" si="34"/>
        <v>3792</v>
      </c>
      <c r="AL92" s="864">
        <f t="shared" si="35"/>
        <v>74430</v>
      </c>
      <c r="AM92" s="864">
        <f t="shared" si="36"/>
        <v>78222</v>
      </c>
      <c r="AN92" s="864">
        <f t="shared" si="37"/>
        <v>638</v>
      </c>
      <c r="AO92" s="864">
        <f t="shared" si="38"/>
        <v>8271</v>
      </c>
      <c r="AP92" s="864">
        <f t="shared" si="39"/>
        <v>8909</v>
      </c>
      <c r="AR92" s="865">
        <f t="shared" si="40"/>
        <v>7.2809050020444327E-2</v>
      </c>
      <c r="AS92" s="865">
        <f t="shared" si="41"/>
        <v>4.8477410447188771E-2</v>
      </c>
      <c r="AT92" s="865">
        <f t="shared" si="42"/>
        <v>7.1612975642608601E-2</v>
      </c>
      <c r="AV92" s="866">
        <v>37214</v>
      </c>
      <c r="AW92" s="866">
        <v>84846</v>
      </c>
      <c r="AX92" s="866">
        <v>10073</v>
      </c>
      <c r="AZ92" s="866">
        <f t="shared" si="43"/>
        <v>2709.5159874608153</v>
      </c>
      <c r="BA92" s="866">
        <f t="shared" si="44"/>
        <v>4113.1143668021787</v>
      </c>
      <c r="BB92" s="866">
        <f t="shared" si="45"/>
        <v>721.3575036479964</v>
      </c>
      <c r="BC92" s="883">
        <f t="shared" si="46"/>
        <v>7543.98785791099</v>
      </c>
    </row>
    <row r="93" spans="1:55" s="863" customFormat="1" ht="12" customHeight="1" x14ac:dyDescent="0.2">
      <c r="A93" s="863" t="s">
        <v>224</v>
      </c>
      <c r="B93" s="867" t="s">
        <v>522</v>
      </c>
      <c r="C93" s="880">
        <v>174</v>
      </c>
      <c r="D93" s="864">
        <v>277</v>
      </c>
      <c r="E93" s="864">
        <v>451</v>
      </c>
      <c r="F93" s="864">
        <v>166</v>
      </c>
      <c r="G93" s="864">
        <v>316</v>
      </c>
      <c r="H93" s="864">
        <v>482</v>
      </c>
      <c r="I93" s="864">
        <v>118</v>
      </c>
      <c r="J93" s="864">
        <v>483</v>
      </c>
      <c r="K93" s="864">
        <v>601</v>
      </c>
      <c r="L93" s="864">
        <v>208</v>
      </c>
      <c r="M93" s="864">
        <v>437</v>
      </c>
      <c r="N93" s="864">
        <v>645</v>
      </c>
      <c r="O93" s="864">
        <v>59</v>
      </c>
      <c r="P93" s="864">
        <v>492</v>
      </c>
      <c r="Q93" s="864">
        <v>551</v>
      </c>
      <c r="R93" s="864">
        <v>106</v>
      </c>
      <c r="S93" s="864">
        <v>714</v>
      </c>
      <c r="T93" s="864">
        <v>820</v>
      </c>
      <c r="U93" s="864">
        <v>124</v>
      </c>
      <c r="V93" s="864">
        <v>1241</v>
      </c>
      <c r="W93" s="864">
        <v>1365</v>
      </c>
      <c r="X93" s="864">
        <v>83</v>
      </c>
      <c r="Y93" s="864">
        <v>924</v>
      </c>
      <c r="Z93" s="864">
        <v>1007</v>
      </c>
      <c r="AA93" s="864">
        <v>95</v>
      </c>
      <c r="AB93" s="864">
        <v>542</v>
      </c>
      <c r="AC93" s="864">
        <v>637</v>
      </c>
      <c r="AD93" s="864">
        <v>72</v>
      </c>
      <c r="AE93" s="864">
        <v>395</v>
      </c>
      <c r="AF93" s="864">
        <v>467</v>
      </c>
      <c r="AH93" s="864">
        <f t="shared" si="31"/>
        <v>458</v>
      </c>
      <c r="AI93" s="864">
        <f t="shared" si="32"/>
        <v>1076</v>
      </c>
      <c r="AJ93" s="864">
        <f t="shared" si="33"/>
        <v>1534</v>
      </c>
      <c r="AK93" s="864">
        <f t="shared" si="34"/>
        <v>580</v>
      </c>
      <c r="AL93" s="864">
        <f t="shared" si="35"/>
        <v>3808</v>
      </c>
      <c r="AM93" s="864">
        <f t="shared" si="36"/>
        <v>4388</v>
      </c>
      <c r="AN93" s="864">
        <f t="shared" si="37"/>
        <v>167</v>
      </c>
      <c r="AO93" s="864">
        <f t="shared" si="38"/>
        <v>937</v>
      </c>
      <c r="AP93" s="864">
        <f t="shared" si="39"/>
        <v>1104</v>
      </c>
      <c r="AR93" s="865">
        <f t="shared" si="40"/>
        <v>0.29856584093872229</v>
      </c>
      <c r="AS93" s="865">
        <f t="shared" si="41"/>
        <v>0.13217866909753875</v>
      </c>
      <c r="AT93" s="865">
        <f t="shared" si="42"/>
        <v>0.15126811594202899</v>
      </c>
      <c r="AV93" s="866">
        <v>1394</v>
      </c>
      <c r="AW93" s="866">
        <v>4416</v>
      </c>
      <c r="AX93" s="866">
        <v>1121</v>
      </c>
      <c r="AZ93" s="866">
        <f t="shared" si="43"/>
        <v>416.20078226857891</v>
      </c>
      <c r="BA93" s="866">
        <f t="shared" si="44"/>
        <v>583.70100273473111</v>
      </c>
      <c r="BB93" s="866">
        <f t="shared" si="45"/>
        <v>169.5715579710145</v>
      </c>
      <c r="BC93" s="883">
        <f t="shared" si="46"/>
        <v>1169.4733429743246</v>
      </c>
    </row>
    <row r="94" spans="1:55" s="863" customFormat="1" ht="12" customHeight="1" x14ac:dyDescent="0.2">
      <c r="A94" s="863" t="s">
        <v>226</v>
      </c>
      <c r="B94" s="867" t="s">
        <v>523</v>
      </c>
      <c r="C94" s="880">
        <v>77</v>
      </c>
      <c r="D94" s="864">
        <v>577</v>
      </c>
      <c r="E94" s="864">
        <v>654</v>
      </c>
      <c r="F94" s="864">
        <v>194</v>
      </c>
      <c r="G94" s="864">
        <v>518</v>
      </c>
      <c r="H94" s="864">
        <v>712</v>
      </c>
      <c r="I94" s="864">
        <v>160</v>
      </c>
      <c r="J94" s="864">
        <v>545</v>
      </c>
      <c r="K94" s="864">
        <v>705</v>
      </c>
      <c r="L94" s="864">
        <v>174</v>
      </c>
      <c r="M94" s="864">
        <v>884</v>
      </c>
      <c r="N94" s="864">
        <v>1058</v>
      </c>
      <c r="O94" s="864">
        <v>315</v>
      </c>
      <c r="P94" s="864">
        <v>709</v>
      </c>
      <c r="Q94" s="864">
        <v>1024</v>
      </c>
      <c r="R94" s="864">
        <v>323</v>
      </c>
      <c r="S94" s="864">
        <v>1193</v>
      </c>
      <c r="T94" s="864">
        <v>1516</v>
      </c>
      <c r="U94" s="864">
        <v>405</v>
      </c>
      <c r="V94" s="864">
        <v>1167</v>
      </c>
      <c r="W94" s="864">
        <v>1572</v>
      </c>
      <c r="X94" s="864">
        <v>294</v>
      </c>
      <c r="Y94" s="864">
        <v>1186</v>
      </c>
      <c r="Z94" s="864">
        <v>1480</v>
      </c>
      <c r="AA94" s="864">
        <v>108</v>
      </c>
      <c r="AB94" s="864">
        <v>799</v>
      </c>
      <c r="AC94" s="864">
        <v>907</v>
      </c>
      <c r="AD94" s="864">
        <v>223</v>
      </c>
      <c r="AE94" s="864">
        <v>510</v>
      </c>
      <c r="AF94" s="864">
        <v>733</v>
      </c>
      <c r="AH94" s="864">
        <f t="shared" si="31"/>
        <v>431</v>
      </c>
      <c r="AI94" s="864">
        <f t="shared" si="32"/>
        <v>1640</v>
      </c>
      <c r="AJ94" s="864">
        <f t="shared" si="33"/>
        <v>2071</v>
      </c>
      <c r="AK94" s="864">
        <f t="shared" si="34"/>
        <v>1511</v>
      </c>
      <c r="AL94" s="864">
        <f t="shared" si="35"/>
        <v>5139</v>
      </c>
      <c r="AM94" s="864">
        <f t="shared" si="36"/>
        <v>6650</v>
      </c>
      <c r="AN94" s="864">
        <f t="shared" si="37"/>
        <v>331</v>
      </c>
      <c r="AO94" s="864">
        <f t="shared" si="38"/>
        <v>1309</v>
      </c>
      <c r="AP94" s="864">
        <f t="shared" si="39"/>
        <v>1640</v>
      </c>
      <c r="AR94" s="865">
        <f t="shared" si="40"/>
        <v>0.20811202317720909</v>
      </c>
      <c r="AS94" s="865">
        <f t="shared" si="41"/>
        <v>0.22721804511278196</v>
      </c>
      <c r="AT94" s="865">
        <f t="shared" si="42"/>
        <v>0.20182926829268294</v>
      </c>
      <c r="AV94" s="866">
        <v>2027</v>
      </c>
      <c r="AW94" s="866">
        <v>8301</v>
      </c>
      <c r="AX94" s="866">
        <v>1759</v>
      </c>
      <c r="AZ94" s="866">
        <f t="shared" si="43"/>
        <v>421.84307098020281</v>
      </c>
      <c r="BA94" s="866">
        <f t="shared" si="44"/>
        <v>1886.1369924812029</v>
      </c>
      <c r="BB94" s="866">
        <f t="shared" si="45"/>
        <v>355.01768292682931</v>
      </c>
      <c r="BC94" s="883">
        <f t="shared" si="46"/>
        <v>2662.9977463882351</v>
      </c>
    </row>
    <row r="95" spans="1:55" s="863" customFormat="1" ht="12" customHeight="1" x14ac:dyDescent="0.2">
      <c r="A95" s="863" t="s">
        <v>228</v>
      </c>
      <c r="B95" s="867" t="s">
        <v>524</v>
      </c>
      <c r="C95" s="880">
        <v>935</v>
      </c>
      <c r="D95" s="864">
        <v>1952</v>
      </c>
      <c r="E95" s="864">
        <v>2887</v>
      </c>
      <c r="F95" s="864">
        <v>1015</v>
      </c>
      <c r="G95" s="864">
        <v>1885</v>
      </c>
      <c r="H95" s="864">
        <v>2900</v>
      </c>
      <c r="I95" s="864">
        <v>862</v>
      </c>
      <c r="J95" s="864">
        <v>2308</v>
      </c>
      <c r="K95" s="864">
        <v>3170</v>
      </c>
      <c r="L95" s="864">
        <v>841</v>
      </c>
      <c r="M95" s="864">
        <v>2236</v>
      </c>
      <c r="N95" s="864">
        <v>3077</v>
      </c>
      <c r="O95" s="864">
        <v>1300</v>
      </c>
      <c r="P95" s="864">
        <v>3659</v>
      </c>
      <c r="Q95" s="864">
        <v>4959</v>
      </c>
      <c r="R95" s="864">
        <v>1457</v>
      </c>
      <c r="S95" s="864">
        <v>4224</v>
      </c>
      <c r="T95" s="864">
        <v>5681</v>
      </c>
      <c r="U95" s="864">
        <v>1373</v>
      </c>
      <c r="V95" s="864">
        <v>5486</v>
      </c>
      <c r="W95" s="864">
        <v>6859</v>
      </c>
      <c r="X95" s="864">
        <v>1163</v>
      </c>
      <c r="Y95" s="864">
        <v>5601</v>
      </c>
      <c r="Z95" s="864">
        <v>6764</v>
      </c>
      <c r="AA95" s="864">
        <v>702</v>
      </c>
      <c r="AB95" s="864">
        <v>3512</v>
      </c>
      <c r="AC95" s="864">
        <v>4214</v>
      </c>
      <c r="AD95" s="864">
        <v>636</v>
      </c>
      <c r="AE95" s="864">
        <v>2647</v>
      </c>
      <c r="AF95" s="864">
        <v>3283</v>
      </c>
      <c r="AH95" s="864">
        <f t="shared" si="31"/>
        <v>2812</v>
      </c>
      <c r="AI95" s="864">
        <f t="shared" si="32"/>
        <v>6145</v>
      </c>
      <c r="AJ95" s="864">
        <f t="shared" si="33"/>
        <v>8957</v>
      </c>
      <c r="AK95" s="864">
        <f t="shared" si="34"/>
        <v>6134</v>
      </c>
      <c r="AL95" s="864">
        <f t="shared" si="35"/>
        <v>21206</v>
      </c>
      <c r="AM95" s="864">
        <f t="shared" si="36"/>
        <v>27340</v>
      </c>
      <c r="AN95" s="864">
        <f t="shared" si="37"/>
        <v>1338</v>
      </c>
      <c r="AO95" s="864">
        <f t="shared" si="38"/>
        <v>6159</v>
      </c>
      <c r="AP95" s="864">
        <f t="shared" si="39"/>
        <v>7497</v>
      </c>
      <c r="AR95" s="865">
        <f t="shared" si="40"/>
        <v>0.31394440102712962</v>
      </c>
      <c r="AS95" s="865">
        <f t="shared" si="41"/>
        <v>0.22435991221653256</v>
      </c>
      <c r="AT95" s="865">
        <f t="shared" si="42"/>
        <v>0.17847138855542216</v>
      </c>
      <c r="AV95" s="866">
        <v>8909</v>
      </c>
      <c r="AW95" s="866">
        <v>27903</v>
      </c>
      <c r="AX95" s="866">
        <v>7903</v>
      </c>
      <c r="AZ95" s="866">
        <f t="shared" si="43"/>
        <v>2796.9306687506978</v>
      </c>
      <c r="BA95" s="866">
        <f t="shared" si="44"/>
        <v>6260.3146305779082</v>
      </c>
      <c r="BB95" s="866">
        <f t="shared" si="45"/>
        <v>1410.4593837535012</v>
      </c>
      <c r="BC95" s="883">
        <f t="shared" si="46"/>
        <v>10467.704683082107</v>
      </c>
    </row>
    <row r="96" spans="1:55" s="863" customFormat="1" ht="12" customHeight="1" x14ac:dyDescent="0.2">
      <c r="A96" s="863" t="s">
        <v>232</v>
      </c>
      <c r="B96" s="867" t="s">
        <v>525</v>
      </c>
      <c r="C96" s="880">
        <v>503</v>
      </c>
      <c r="D96" s="864">
        <v>2470</v>
      </c>
      <c r="E96" s="864">
        <v>2973</v>
      </c>
      <c r="F96" s="864">
        <v>257</v>
      </c>
      <c r="G96" s="864">
        <v>2525</v>
      </c>
      <c r="H96" s="864">
        <v>2782</v>
      </c>
      <c r="I96" s="864">
        <v>275</v>
      </c>
      <c r="J96" s="864">
        <v>2912</v>
      </c>
      <c r="K96" s="864">
        <v>3187</v>
      </c>
      <c r="L96" s="864">
        <v>490</v>
      </c>
      <c r="M96" s="864">
        <v>2241</v>
      </c>
      <c r="N96" s="864">
        <v>2731</v>
      </c>
      <c r="O96" s="864">
        <v>512</v>
      </c>
      <c r="P96" s="864">
        <v>3703</v>
      </c>
      <c r="Q96" s="864">
        <v>4215</v>
      </c>
      <c r="R96" s="864">
        <v>548</v>
      </c>
      <c r="S96" s="864">
        <v>4942</v>
      </c>
      <c r="T96" s="864">
        <v>5490</v>
      </c>
      <c r="U96" s="864">
        <v>566</v>
      </c>
      <c r="V96" s="864">
        <v>5568</v>
      </c>
      <c r="W96" s="864">
        <v>6134</v>
      </c>
      <c r="X96" s="864">
        <v>426</v>
      </c>
      <c r="Y96" s="864">
        <v>4093</v>
      </c>
      <c r="Z96" s="864">
        <v>4519</v>
      </c>
      <c r="AA96" s="864">
        <v>282</v>
      </c>
      <c r="AB96" s="864">
        <v>2467</v>
      </c>
      <c r="AC96" s="864">
        <v>2749</v>
      </c>
      <c r="AD96" s="864">
        <v>310</v>
      </c>
      <c r="AE96" s="864">
        <v>1514</v>
      </c>
      <c r="AF96" s="864">
        <v>1824</v>
      </c>
      <c r="AH96" s="864">
        <f t="shared" si="31"/>
        <v>1035</v>
      </c>
      <c r="AI96" s="864">
        <f t="shared" si="32"/>
        <v>7907</v>
      </c>
      <c r="AJ96" s="864">
        <f t="shared" si="33"/>
        <v>8942</v>
      </c>
      <c r="AK96" s="864">
        <f t="shared" si="34"/>
        <v>2542</v>
      </c>
      <c r="AL96" s="864">
        <f t="shared" si="35"/>
        <v>20547</v>
      </c>
      <c r="AM96" s="864">
        <f t="shared" si="36"/>
        <v>23089</v>
      </c>
      <c r="AN96" s="864">
        <f t="shared" si="37"/>
        <v>592</v>
      </c>
      <c r="AO96" s="864">
        <f t="shared" si="38"/>
        <v>3981</v>
      </c>
      <c r="AP96" s="864">
        <f t="shared" si="39"/>
        <v>4573</v>
      </c>
      <c r="AR96" s="865">
        <f t="shared" si="40"/>
        <v>0.11574591813911876</v>
      </c>
      <c r="AS96" s="865">
        <f t="shared" si="41"/>
        <v>0.11009571657499242</v>
      </c>
      <c r="AT96" s="865">
        <f t="shared" si="42"/>
        <v>0.12945549967198774</v>
      </c>
      <c r="AV96" s="866">
        <v>8908</v>
      </c>
      <c r="AW96" s="866">
        <v>23871</v>
      </c>
      <c r="AX96" s="866">
        <v>4970</v>
      </c>
      <c r="AZ96" s="866">
        <f t="shared" si="43"/>
        <v>1031.0646387832699</v>
      </c>
      <c r="BA96" s="866">
        <f t="shared" si="44"/>
        <v>2628.0948503616441</v>
      </c>
      <c r="BB96" s="866">
        <f t="shared" si="45"/>
        <v>643.39383336977914</v>
      </c>
      <c r="BC96" s="883">
        <f t="shared" si="46"/>
        <v>4302.5533225146928</v>
      </c>
    </row>
    <row r="97" spans="1:55" s="863" customFormat="1" ht="12" customHeight="1" x14ac:dyDescent="0.2">
      <c r="A97" s="863" t="s">
        <v>234</v>
      </c>
      <c r="B97" s="867" t="s">
        <v>526</v>
      </c>
      <c r="C97" s="880">
        <v>993</v>
      </c>
      <c r="D97" s="864">
        <v>2391</v>
      </c>
      <c r="E97" s="864">
        <v>3384</v>
      </c>
      <c r="F97" s="864">
        <v>871</v>
      </c>
      <c r="G97" s="864">
        <v>2498</v>
      </c>
      <c r="H97" s="864">
        <v>3369</v>
      </c>
      <c r="I97" s="864">
        <v>891</v>
      </c>
      <c r="J97" s="864">
        <v>2816</v>
      </c>
      <c r="K97" s="864">
        <v>3707</v>
      </c>
      <c r="L97" s="864">
        <v>1119</v>
      </c>
      <c r="M97" s="864">
        <v>2473</v>
      </c>
      <c r="N97" s="864">
        <v>3592</v>
      </c>
      <c r="O97" s="864">
        <v>1299</v>
      </c>
      <c r="P97" s="864">
        <v>4668</v>
      </c>
      <c r="Q97" s="864">
        <v>5967</v>
      </c>
      <c r="R97" s="864">
        <v>1347</v>
      </c>
      <c r="S97" s="864">
        <v>5955</v>
      </c>
      <c r="T97" s="864">
        <v>7302</v>
      </c>
      <c r="U97" s="864">
        <v>1452</v>
      </c>
      <c r="V97" s="864">
        <v>7040</v>
      </c>
      <c r="W97" s="864">
        <v>8492</v>
      </c>
      <c r="X97" s="864">
        <v>1238</v>
      </c>
      <c r="Y97" s="864">
        <v>6651</v>
      </c>
      <c r="Z97" s="864">
        <v>7889</v>
      </c>
      <c r="AA97" s="864">
        <v>829</v>
      </c>
      <c r="AB97" s="864">
        <v>4702</v>
      </c>
      <c r="AC97" s="864">
        <v>5531</v>
      </c>
      <c r="AD97" s="864">
        <v>781</v>
      </c>
      <c r="AE97" s="864">
        <v>3206</v>
      </c>
      <c r="AF97" s="864">
        <v>3987</v>
      </c>
      <c r="AH97" s="864">
        <f t="shared" si="31"/>
        <v>2755</v>
      </c>
      <c r="AI97" s="864">
        <f t="shared" si="32"/>
        <v>7705</v>
      </c>
      <c r="AJ97" s="864">
        <f t="shared" si="33"/>
        <v>10460</v>
      </c>
      <c r="AK97" s="864">
        <f t="shared" si="34"/>
        <v>6455</v>
      </c>
      <c r="AL97" s="864">
        <f t="shared" si="35"/>
        <v>26787</v>
      </c>
      <c r="AM97" s="864">
        <f t="shared" si="36"/>
        <v>33242</v>
      </c>
      <c r="AN97" s="864">
        <f t="shared" si="37"/>
        <v>1610</v>
      </c>
      <c r="AO97" s="864">
        <f t="shared" si="38"/>
        <v>7908</v>
      </c>
      <c r="AP97" s="864">
        <f t="shared" si="39"/>
        <v>9518</v>
      </c>
      <c r="AR97" s="865">
        <f t="shared" si="40"/>
        <v>0.26338432122370936</v>
      </c>
      <c r="AS97" s="865">
        <f t="shared" si="41"/>
        <v>0.19418205884122497</v>
      </c>
      <c r="AT97" s="865">
        <f t="shared" si="42"/>
        <v>0.16915318344189956</v>
      </c>
      <c r="AV97" s="866">
        <v>10580</v>
      </c>
      <c r="AW97" s="866">
        <v>34303</v>
      </c>
      <c r="AX97" s="866">
        <v>9944</v>
      </c>
      <c r="AZ97" s="866">
        <f t="shared" si="43"/>
        <v>2786.6061185468452</v>
      </c>
      <c r="BA97" s="866">
        <f t="shared" si="44"/>
        <v>6661.0271644305403</v>
      </c>
      <c r="BB97" s="866">
        <f t="shared" si="45"/>
        <v>1682.0592561462493</v>
      </c>
      <c r="BC97" s="883">
        <f t="shared" si="46"/>
        <v>11129.692539123635</v>
      </c>
    </row>
    <row r="98" spans="1:55" s="863" customFormat="1" ht="12" customHeight="1" x14ac:dyDescent="0.2">
      <c r="A98" s="863" t="s">
        <v>236</v>
      </c>
      <c r="B98" s="867" t="s">
        <v>527</v>
      </c>
      <c r="C98" s="880">
        <v>294</v>
      </c>
      <c r="D98" s="864">
        <v>680</v>
      </c>
      <c r="E98" s="864">
        <v>974</v>
      </c>
      <c r="F98" s="864">
        <v>157</v>
      </c>
      <c r="G98" s="864">
        <v>928</v>
      </c>
      <c r="H98" s="864">
        <v>1085</v>
      </c>
      <c r="I98" s="864">
        <v>213</v>
      </c>
      <c r="J98" s="864">
        <v>1149</v>
      </c>
      <c r="K98" s="864">
        <v>1362</v>
      </c>
      <c r="L98" s="864">
        <v>186</v>
      </c>
      <c r="M98" s="864">
        <v>1086</v>
      </c>
      <c r="N98" s="864">
        <v>1272</v>
      </c>
      <c r="O98" s="864">
        <v>335</v>
      </c>
      <c r="P98" s="864">
        <v>1459</v>
      </c>
      <c r="Q98" s="864">
        <v>1794</v>
      </c>
      <c r="R98" s="864">
        <v>218</v>
      </c>
      <c r="S98" s="864">
        <v>1649</v>
      </c>
      <c r="T98" s="864">
        <v>1867</v>
      </c>
      <c r="U98" s="864">
        <v>427</v>
      </c>
      <c r="V98" s="864">
        <v>2198</v>
      </c>
      <c r="W98" s="864">
        <v>2625</v>
      </c>
      <c r="X98" s="864">
        <v>382</v>
      </c>
      <c r="Y98" s="864">
        <v>2345</v>
      </c>
      <c r="Z98" s="864">
        <v>2727</v>
      </c>
      <c r="AA98" s="864">
        <v>259</v>
      </c>
      <c r="AB98" s="864">
        <v>1851</v>
      </c>
      <c r="AC98" s="864">
        <v>2110</v>
      </c>
      <c r="AD98" s="864">
        <v>357</v>
      </c>
      <c r="AE98" s="864">
        <v>1089</v>
      </c>
      <c r="AF98" s="864">
        <v>1446</v>
      </c>
      <c r="AH98" s="864">
        <f t="shared" si="31"/>
        <v>664</v>
      </c>
      <c r="AI98" s="864">
        <f t="shared" si="32"/>
        <v>2757</v>
      </c>
      <c r="AJ98" s="864">
        <f t="shared" si="33"/>
        <v>3421</v>
      </c>
      <c r="AK98" s="864">
        <f t="shared" si="34"/>
        <v>1548</v>
      </c>
      <c r="AL98" s="864">
        <f t="shared" si="35"/>
        <v>8737</v>
      </c>
      <c r="AM98" s="864">
        <f t="shared" si="36"/>
        <v>10285</v>
      </c>
      <c r="AN98" s="864">
        <f t="shared" si="37"/>
        <v>616</v>
      </c>
      <c r="AO98" s="864">
        <f t="shared" si="38"/>
        <v>2940</v>
      </c>
      <c r="AP98" s="864">
        <f t="shared" si="39"/>
        <v>3556</v>
      </c>
      <c r="AR98" s="865">
        <f t="shared" si="40"/>
        <v>0.19409529377375037</v>
      </c>
      <c r="AS98" s="865">
        <f t="shared" si="41"/>
        <v>0.15051045211473019</v>
      </c>
      <c r="AT98" s="865">
        <f t="shared" si="42"/>
        <v>0.17322834645669291</v>
      </c>
      <c r="AV98" s="866">
        <v>3481</v>
      </c>
      <c r="AW98" s="866">
        <v>10403</v>
      </c>
      <c r="AX98" s="866">
        <v>3711</v>
      </c>
      <c r="AZ98" s="866">
        <f t="shared" si="43"/>
        <v>675.64571762642504</v>
      </c>
      <c r="BA98" s="866">
        <f t="shared" si="44"/>
        <v>1565.7602333495381</v>
      </c>
      <c r="BB98" s="866">
        <f t="shared" si="45"/>
        <v>642.85039370078744</v>
      </c>
      <c r="BC98" s="883">
        <f t="shared" si="46"/>
        <v>2884.2563446767508</v>
      </c>
    </row>
    <row r="99" spans="1:55" s="863" customFormat="1" ht="12" customHeight="1" x14ac:dyDescent="0.2">
      <c r="A99" s="863" t="s">
        <v>242</v>
      </c>
      <c r="B99" s="867" t="s">
        <v>528</v>
      </c>
      <c r="C99" s="880">
        <v>1156</v>
      </c>
      <c r="D99" s="864">
        <v>1403</v>
      </c>
      <c r="E99" s="864">
        <v>2559</v>
      </c>
      <c r="F99" s="864">
        <v>1100</v>
      </c>
      <c r="G99" s="864">
        <v>1603</v>
      </c>
      <c r="H99" s="864">
        <v>2703</v>
      </c>
      <c r="I99" s="864">
        <v>1050</v>
      </c>
      <c r="J99" s="864">
        <v>2031</v>
      </c>
      <c r="K99" s="864">
        <v>3081</v>
      </c>
      <c r="L99" s="864">
        <v>1307</v>
      </c>
      <c r="M99" s="864">
        <v>2125</v>
      </c>
      <c r="N99" s="864">
        <v>3432</v>
      </c>
      <c r="O99" s="864">
        <v>1438</v>
      </c>
      <c r="P99" s="864">
        <v>3317</v>
      </c>
      <c r="Q99" s="864">
        <v>4755</v>
      </c>
      <c r="R99" s="864">
        <v>1663</v>
      </c>
      <c r="S99" s="864">
        <v>3561</v>
      </c>
      <c r="T99" s="864">
        <v>5224</v>
      </c>
      <c r="U99" s="864">
        <v>1368</v>
      </c>
      <c r="V99" s="864">
        <v>4546</v>
      </c>
      <c r="W99" s="864">
        <v>5914</v>
      </c>
      <c r="X99" s="864">
        <v>995</v>
      </c>
      <c r="Y99" s="864">
        <v>4291</v>
      </c>
      <c r="Z99" s="864">
        <v>5286</v>
      </c>
      <c r="AA99" s="864">
        <v>603</v>
      </c>
      <c r="AB99" s="864">
        <v>2650</v>
      </c>
      <c r="AC99" s="864">
        <v>3253</v>
      </c>
      <c r="AD99" s="864">
        <v>530</v>
      </c>
      <c r="AE99" s="864">
        <v>1917</v>
      </c>
      <c r="AF99" s="864">
        <v>2447</v>
      </c>
      <c r="AH99" s="864">
        <f t="shared" si="31"/>
        <v>3306</v>
      </c>
      <c r="AI99" s="864">
        <f t="shared" si="32"/>
        <v>5037</v>
      </c>
      <c r="AJ99" s="864">
        <f t="shared" si="33"/>
        <v>8343</v>
      </c>
      <c r="AK99" s="864">
        <f t="shared" si="34"/>
        <v>6771</v>
      </c>
      <c r="AL99" s="864">
        <f t="shared" si="35"/>
        <v>17840</v>
      </c>
      <c r="AM99" s="864">
        <f t="shared" si="36"/>
        <v>24611</v>
      </c>
      <c r="AN99" s="864">
        <f t="shared" si="37"/>
        <v>1133</v>
      </c>
      <c r="AO99" s="864">
        <f t="shared" si="38"/>
        <v>4567</v>
      </c>
      <c r="AP99" s="864">
        <f t="shared" si="39"/>
        <v>5700</v>
      </c>
      <c r="AR99" s="865">
        <f t="shared" si="40"/>
        <v>0.39626033800791083</v>
      </c>
      <c r="AS99" s="865">
        <f t="shared" si="41"/>
        <v>0.27512088090691156</v>
      </c>
      <c r="AT99" s="865">
        <f t="shared" si="42"/>
        <v>0.19877192982456141</v>
      </c>
      <c r="AV99" s="866">
        <v>8585</v>
      </c>
      <c r="AW99" s="866">
        <v>26974</v>
      </c>
      <c r="AX99" s="866">
        <v>6006</v>
      </c>
      <c r="AZ99" s="866">
        <f t="shared" si="43"/>
        <v>3401.8950017979146</v>
      </c>
      <c r="BA99" s="866">
        <f t="shared" si="44"/>
        <v>7421.1106415830327</v>
      </c>
      <c r="BB99" s="866">
        <f t="shared" si="45"/>
        <v>1193.8242105263157</v>
      </c>
      <c r="BC99" s="883">
        <f t="shared" si="46"/>
        <v>12016.829853907264</v>
      </c>
    </row>
    <row r="100" spans="1:55" s="863" customFormat="1" ht="12" customHeight="1" x14ac:dyDescent="0.2">
      <c r="A100" s="863" t="s">
        <v>244</v>
      </c>
      <c r="B100" s="867" t="s">
        <v>529</v>
      </c>
      <c r="C100" s="880">
        <v>632</v>
      </c>
      <c r="D100" s="864">
        <v>1005</v>
      </c>
      <c r="E100" s="864">
        <v>1637</v>
      </c>
      <c r="F100" s="864">
        <v>523</v>
      </c>
      <c r="G100" s="864">
        <v>1621</v>
      </c>
      <c r="H100" s="864">
        <v>2144</v>
      </c>
      <c r="I100" s="864">
        <v>616</v>
      </c>
      <c r="J100" s="864">
        <v>1295</v>
      </c>
      <c r="K100" s="864">
        <v>1911</v>
      </c>
      <c r="L100" s="864">
        <v>536</v>
      </c>
      <c r="M100" s="864">
        <v>1614</v>
      </c>
      <c r="N100" s="864">
        <v>2150</v>
      </c>
      <c r="O100" s="864">
        <v>597</v>
      </c>
      <c r="P100" s="864">
        <v>2599</v>
      </c>
      <c r="Q100" s="864">
        <v>3196</v>
      </c>
      <c r="R100" s="864">
        <v>665</v>
      </c>
      <c r="S100" s="864">
        <v>3361</v>
      </c>
      <c r="T100" s="864">
        <v>4026</v>
      </c>
      <c r="U100" s="864">
        <v>710</v>
      </c>
      <c r="V100" s="864">
        <v>3663</v>
      </c>
      <c r="W100" s="864">
        <v>4373</v>
      </c>
      <c r="X100" s="864">
        <v>597</v>
      </c>
      <c r="Y100" s="864">
        <v>3618</v>
      </c>
      <c r="Z100" s="864">
        <v>4215</v>
      </c>
      <c r="AA100" s="864">
        <v>353</v>
      </c>
      <c r="AB100" s="864">
        <v>2435</v>
      </c>
      <c r="AC100" s="864">
        <v>2788</v>
      </c>
      <c r="AD100" s="864">
        <v>531</v>
      </c>
      <c r="AE100" s="864">
        <v>1430</v>
      </c>
      <c r="AF100" s="864">
        <v>1961</v>
      </c>
      <c r="AH100" s="864">
        <f t="shared" si="31"/>
        <v>1771</v>
      </c>
      <c r="AI100" s="864">
        <f t="shared" si="32"/>
        <v>3921</v>
      </c>
      <c r="AJ100" s="864">
        <f t="shared" si="33"/>
        <v>5692</v>
      </c>
      <c r="AK100" s="864">
        <f t="shared" si="34"/>
        <v>3105</v>
      </c>
      <c r="AL100" s="864">
        <f t="shared" si="35"/>
        <v>14855</v>
      </c>
      <c r="AM100" s="864">
        <f t="shared" si="36"/>
        <v>17960</v>
      </c>
      <c r="AN100" s="864">
        <f t="shared" si="37"/>
        <v>884</v>
      </c>
      <c r="AO100" s="864">
        <f t="shared" si="38"/>
        <v>3865</v>
      </c>
      <c r="AP100" s="864">
        <f t="shared" si="39"/>
        <v>4749</v>
      </c>
      <c r="AR100" s="865">
        <f t="shared" si="40"/>
        <v>0.31113843991567114</v>
      </c>
      <c r="AS100" s="865">
        <f t="shared" si="41"/>
        <v>0.17288418708240536</v>
      </c>
      <c r="AT100" s="865">
        <f t="shared" si="42"/>
        <v>0.186144451463466</v>
      </c>
      <c r="AV100" s="866">
        <v>5977</v>
      </c>
      <c r="AW100" s="866">
        <v>17894</v>
      </c>
      <c r="AX100" s="866">
        <v>5333</v>
      </c>
      <c r="AZ100" s="866">
        <f t="shared" si="43"/>
        <v>1859.6744553759663</v>
      </c>
      <c r="BA100" s="866">
        <f t="shared" si="44"/>
        <v>3093.5896436525613</v>
      </c>
      <c r="BB100" s="866">
        <f t="shared" si="45"/>
        <v>992.70835965466415</v>
      </c>
      <c r="BC100" s="883">
        <f t="shared" si="46"/>
        <v>5945.9724586831917</v>
      </c>
    </row>
    <row r="101" spans="1:55" s="863" customFormat="1" ht="12" customHeight="1" x14ac:dyDescent="0.2">
      <c r="A101" s="863" t="s">
        <v>246</v>
      </c>
      <c r="B101" s="867" t="s">
        <v>749</v>
      </c>
      <c r="C101" s="880">
        <v>439</v>
      </c>
      <c r="D101" s="864">
        <v>4699</v>
      </c>
      <c r="E101" s="864">
        <v>5138</v>
      </c>
      <c r="F101" s="864">
        <v>508</v>
      </c>
      <c r="G101" s="864">
        <v>5940</v>
      </c>
      <c r="H101" s="864">
        <v>6448</v>
      </c>
      <c r="I101" s="864">
        <v>636</v>
      </c>
      <c r="J101" s="864">
        <v>7616</v>
      </c>
      <c r="K101" s="864">
        <v>8252</v>
      </c>
      <c r="L101" s="864">
        <v>609</v>
      </c>
      <c r="M101" s="864">
        <v>4897</v>
      </c>
      <c r="N101" s="864">
        <v>5506</v>
      </c>
      <c r="O101" s="864">
        <v>489</v>
      </c>
      <c r="P101" s="864">
        <v>6783</v>
      </c>
      <c r="Q101" s="864">
        <v>7272</v>
      </c>
      <c r="R101" s="864">
        <v>512</v>
      </c>
      <c r="S101" s="864">
        <v>10508</v>
      </c>
      <c r="T101" s="864">
        <v>11020</v>
      </c>
      <c r="U101" s="864">
        <v>379</v>
      </c>
      <c r="V101" s="864">
        <v>13000</v>
      </c>
      <c r="W101" s="864">
        <v>13379</v>
      </c>
      <c r="X101" s="864">
        <v>225</v>
      </c>
      <c r="Y101" s="864">
        <v>9332</v>
      </c>
      <c r="Z101" s="864">
        <v>9557</v>
      </c>
      <c r="AA101" s="864">
        <v>217</v>
      </c>
      <c r="AB101" s="864">
        <v>5302</v>
      </c>
      <c r="AC101" s="864">
        <v>5519</v>
      </c>
      <c r="AD101" s="864">
        <v>512</v>
      </c>
      <c r="AE101" s="864">
        <v>3308</v>
      </c>
      <c r="AF101" s="864">
        <v>3820</v>
      </c>
      <c r="AH101" s="864">
        <f t="shared" si="31"/>
        <v>1583</v>
      </c>
      <c r="AI101" s="864">
        <f t="shared" si="32"/>
        <v>18255</v>
      </c>
      <c r="AJ101" s="864">
        <f t="shared" si="33"/>
        <v>19838</v>
      </c>
      <c r="AK101" s="864">
        <f t="shared" si="34"/>
        <v>2214</v>
      </c>
      <c r="AL101" s="864">
        <f t="shared" si="35"/>
        <v>44520</v>
      </c>
      <c r="AM101" s="864">
        <f t="shared" si="36"/>
        <v>46734</v>
      </c>
      <c r="AN101" s="864">
        <f t="shared" si="37"/>
        <v>729</v>
      </c>
      <c r="AO101" s="864">
        <f t="shared" si="38"/>
        <v>8610</v>
      </c>
      <c r="AP101" s="864">
        <f t="shared" si="39"/>
        <v>9339</v>
      </c>
      <c r="AR101" s="865">
        <f t="shared" si="40"/>
        <v>7.979635043855228E-2</v>
      </c>
      <c r="AS101" s="865">
        <f t="shared" si="41"/>
        <v>4.7374502503530619E-2</v>
      </c>
      <c r="AT101" s="865">
        <f t="shared" si="42"/>
        <v>7.8059749437841316E-2</v>
      </c>
      <c r="AV101" s="866">
        <v>16758</v>
      </c>
      <c r="AW101" s="866">
        <v>41153</v>
      </c>
      <c r="AX101" s="866">
        <v>8223</v>
      </c>
      <c r="AZ101" s="866">
        <f t="shared" si="43"/>
        <v>1337.2272406492591</v>
      </c>
      <c r="BA101" s="866">
        <f t="shared" si="44"/>
        <v>1949.6029015277957</v>
      </c>
      <c r="BB101" s="866">
        <f t="shared" si="45"/>
        <v>641.8853196273692</v>
      </c>
      <c r="BC101" s="883">
        <f t="shared" si="46"/>
        <v>3928.7154618044242</v>
      </c>
    </row>
    <row r="102" spans="1:55" s="863" customFormat="1" ht="12" customHeight="1" x14ac:dyDescent="0.2">
      <c r="A102" s="863" t="s">
        <v>14</v>
      </c>
      <c r="B102" s="867" t="s">
        <v>15</v>
      </c>
      <c r="C102" s="880">
        <v>1767</v>
      </c>
      <c r="D102" s="864">
        <v>9613</v>
      </c>
      <c r="E102" s="864">
        <v>11380</v>
      </c>
      <c r="F102" s="864">
        <v>1663</v>
      </c>
      <c r="G102" s="864">
        <v>4934</v>
      </c>
      <c r="H102" s="864">
        <v>6597</v>
      </c>
      <c r="I102" s="864">
        <v>1080</v>
      </c>
      <c r="J102" s="864">
        <v>4150</v>
      </c>
      <c r="K102" s="864">
        <v>5230</v>
      </c>
      <c r="L102" s="864">
        <v>1489</v>
      </c>
      <c r="M102" s="864">
        <v>8262</v>
      </c>
      <c r="N102" s="864">
        <v>9751</v>
      </c>
      <c r="O102" s="864">
        <v>3190</v>
      </c>
      <c r="P102" s="864">
        <v>29865</v>
      </c>
      <c r="Q102" s="864">
        <v>33055</v>
      </c>
      <c r="R102" s="864">
        <v>1750</v>
      </c>
      <c r="S102" s="864">
        <v>22236</v>
      </c>
      <c r="T102" s="864">
        <v>23986</v>
      </c>
      <c r="U102" s="864">
        <v>1281</v>
      </c>
      <c r="V102" s="864">
        <v>16846</v>
      </c>
      <c r="W102" s="864">
        <v>18127</v>
      </c>
      <c r="X102" s="864">
        <v>1300</v>
      </c>
      <c r="Y102" s="864">
        <v>13969</v>
      </c>
      <c r="Z102" s="864">
        <v>15269</v>
      </c>
      <c r="AA102" s="864">
        <v>661</v>
      </c>
      <c r="AB102" s="864">
        <v>6220</v>
      </c>
      <c r="AC102" s="864">
        <v>6881</v>
      </c>
      <c r="AD102" s="864">
        <v>704</v>
      </c>
      <c r="AE102" s="864">
        <v>4395</v>
      </c>
      <c r="AF102" s="864">
        <v>5099</v>
      </c>
      <c r="AH102" s="864">
        <f t="shared" ref="AH102:AH126" si="47">C102+F102+I102</f>
        <v>4510</v>
      </c>
      <c r="AI102" s="864">
        <f t="shared" ref="AI102:AI126" si="48">D102+G102+J102</f>
        <v>18697</v>
      </c>
      <c r="AJ102" s="864">
        <f t="shared" ref="AJ102:AJ126" si="49">E102+H102+K102</f>
        <v>23207</v>
      </c>
      <c r="AK102" s="864">
        <f t="shared" ref="AK102:AK126" si="50">L102+O102+R102+U102+X102</f>
        <v>9010</v>
      </c>
      <c r="AL102" s="864">
        <f t="shared" ref="AL102:AL126" si="51">M102+P102+S102+V102+Y102</f>
        <v>91178</v>
      </c>
      <c r="AM102" s="864">
        <f t="shared" ref="AM102:AM126" si="52">N102+Q102+T102+W102+Z102</f>
        <v>100188</v>
      </c>
      <c r="AN102" s="864">
        <f t="shared" ref="AN102:AN126" si="53">AA102+AD102</f>
        <v>1365</v>
      </c>
      <c r="AO102" s="864">
        <f t="shared" ref="AO102:AO126" si="54">AB102+AE102</f>
        <v>10615</v>
      </c>
      <c r="AP102" s="864">
        <f t="shared" ref="AP102:AP126" si="55">AC102+AF102</f>
        <v>11980</v>
      </c>
      <c r="AR102" s="865">
        <f t="shared" ref="AR102:AR126" si="56">AH102/AJ102</f>
        <v>0.19433791528418148</v>
      </c>
      <c r="AS102" s="865">
        <f t="shared" ref="AS102:AS126" si="57">AK102/AM102</f>
        <v>8.9930929851878463E-2</v>
      </c>
      <c r="AT102" s="865">
        <f t="shared" ref="AT102:AT126" si="58">AN102/AP102</f>
        <v>0.11393989983305509</v>
      </c>
      <c r="AV102" s="866">
        <v>25229</v>
      </c>
      <c r="AW102" s="866">
        <v>105641</v>
      </c>
      <c r="AX102" s="866">
        <v>13431</v>
      </c>
      <c r="AZ102" s="866">
        <f t="shared" ref="AZ102:AZ126" si="59">AR102*AV102</f>
        <v>4902.9512647046149</v>
      </c>
      <c r="BA102" s="866">
        <f t="shared" ref="BA102:BA126" si="60">AS102*AW102</f>
        <v>9500.3933604822923</v>
      </c>
      <c r="BB102" s="866">
        <f t="shared" ref="BB102:BB126" si="61">AT102*AX102</f>
        <v>1530.326794657763</v>
      </c>
      <c r="BC102" s="883">
        <f t="shared" si="46"/>
        <v>15933.67141984467</v>
      </c>
    </row>
    <row r="103" spans="1:55" s="863" customFormat="1" ht="12" customHeight="1" x14ac:dyDescent="0.2">
      <c r="A103" s="863" t="s">
        <v>34</v>
      </c>
      <c r="B103" s="867" t="s">
        <v>35</v>
      </c>
      <c r="C103" s="880">
        <v>570</v>
      </c>
      <c r="D103" s="864">
        <v>704</v>
      </c>
      <c r="E103" s="864">
        <v>1274</v>
      </c>
      <c r="F103" s="864">
        <v>376</v>
      </c>
      <c r="G103" s="864">
        <v>760</v>
      </c>
      <c r="H103" s="864">
        <v>1136</v>
      </c>
      <c r="I103" s="864">
        <v>515</v>
      </c>
      <c r="J103" s="864">
        <v>704</v>
      </c>
      <c r="K103" s="864">
        <v>1219</v>
      </c>
      <c r="L103" s="864">
        <v>446</v>
      </c>
      <c r="M103" s="864">
        <v>784</v>
      </c>
      <c r="N103" s="864">
        <v>1230</v>
      </c>
      <c r="O103" s="864">
        <v>679</v>
      </c>
      <c r="P103" s="864">
        <v>1483</v>
      </c>
      <c r="Q103" s="864">
        <v>2162</v>
      </c>
      <c r="R103" s="864">
        <v>539</v>
      </c>
      <c r="S103" s="864">
        <v>1677</v>
      </c>
      <c r="T103" s="864">
        <v>2216</v>
      </c>
      <c r="U103" s="864">
        <v>529</v>
      </c>
      <c r="V103" s="864">
        <v>1892</v>
      </c>
      <c r="W103" s="864">
        <v>2421</v>
      </c>
      <c r="X103" s="864">
        <v>444</v>
      </c>
      <c r="Y103" s="864">
        <v>1722</v>
      </c>
      <c r="Z103" s="864">
        <v>2166</v>
      </c>
      <c r="AA103" s="864">
        <v>390</v>
      </c>
      <c r="AB103" s="864">
        <v>1359</v>
      </c>
      <c r="AC103" s="864">
        <v>1749</v>
      </c>
      <c r="AD103" s="864">
        <v>383</v>
      </c>
      <c r="AE103" s="864">
        <v>1224</v>
      </c>
      <c r="AF103" s="864">
        <v>1607</v>
      </c>
      <c r="AH103" s="864">
        <f t="shared" si="47"/>
        <v>1461</v>
      </c>
      <c r="AI103" s="864">
        <f t="shared" si="48"/>
        <v>2168</v>
      </c>
      <c r="AJ103" s="864">
        <f t="shared" si="49"/>
        <v>3629</v>
      </c>
      <c r="AK103" s="864">
        <f t="shared" si="50"/>
        <v>2637</v>
      </c>
      <c r="AL103" s="864">
        <f t="shared" si="51"/>
        <v>7558</v>
      </c>
      <c r="AM103" s="864">
        <f t="shared" si="52"/>
        <v>10195</v>
      </c>
      <c r="AN103" s="864">
        <f t="shared" si="53"/>
        <v>773</v>
      </c>
      <c r="AO103" s="864">
        <f t="shared" si="54"/>
        <v>2583</v>
      </c>
      <c r="AP103" s="864">
        <f t="shared" si="55"/>
        <v>3356</v>
      </c>
      <c r="AR103" s="865">
        <f t="shared" si="56"/>
        <v>0.4025902452466244</v>
      </c>
      <c r="AS103" s="865">
        <f t="shared" si="57"/>
        <v>0.25865620402157918</v>
      </c>
      <c r="AT103" s="865">
        <f t="shared" si="58"/>
        <v>0.2303337306317044</v>
      </c>
      <c r="AV103" s="866">
        <v>3592</v>
      </c>
      <c r="AW103" s="866">
        <v>10818</v>
      </c>
      <c r="AX103" s="866">
        <v>3340</v>
      </c>
      <c r="AZ103" s="866">
        <f t="shared" si="59"/>
        <v>1446.1041609258748</v>
      </c>
      <c r="BA103" s="866">
        <f t="shared" si="60"/>
        <v>2798.1428151054438</v>
      </c>
      <c r="BB103" s="866">
        <f t="shared" si="61"/>
        <v>769.3146603098927</v>
      </c>
      <c r="BC103" s="883">
        <f t="shared" si="46"/>
        <v>5013.5616363412119</v>
      </c>
    </row>
    <row r="104" spans="1:55" s="863" customFormat="1" ht="12" customHeight="1" x14ac:dyDescent="0.2">
      <c r="A104" s="863" t="s">
        <v>52</v>
      </c>
      <c r="B104" s="867" t="s">
        <v>53</v>
      </c>
      <c r="C104" s="880">
        <v>575</v>
      </c>
      <c r="D104" s="864">
        <v>1894</v>
      </c>
      <c r="E104" s="864">
        <v>2469</v>
      </c>
      <c r="F104" s="864">
        <v>391</v>
      </c>
      <c r="G104" s="864">
        <v>1540</v>
      </c>
      <c r="H104" s="864">
        <v>1931</v>
      </c>
      <c r="I104" s="864">
        <v>404</v>
      </c>
      <c r="J104" s="864">
        <v>1525</v>
      </c>
      <c r="K104" s="864">
        <v>1929</v>
      </c>
      <c r="L104" s="864">
        <v>6401</v>
      </c>
      <c r="M104" s="864">
        <v>3220</v>
      </c>
      <c r="N104" s="864">
        <v>9621</v>
      </c>
      <c r="O104" s="864">
        <v>1686</v>
      </c>
      <c r="P104" s="864">
        <v>5616</v>
      </c>
      <c r="Q104" s="864">
        <v>7302</v>
      </c>
      <c r="R104" s="864">
        <v>624</v>
      </c>
      <c r="S104" s="864">
        <v>3666</v>
      </c>
      <c r="T104" s="864">
        <v>4290</v>
      </c>
      <c r="U104" s="864">
        <v>946</v>
      </c>
      <c r="V104" s="864">
        <v>3365</v>
      </c>
      <c r="W104" s="864">
        <v>4311</v>
      </c>
      <c r="X104" s="864">
        <v>579</v>
      </c>
      <c r="Y104" s="864">
        <v>3154</v>
      </c>
      <c r="Z104" s="864">
        <v>3733</v>
      </c>
      <c r="AA104" s="864">
        <v>189</v>
      </c>
      <c r="AB104" s="864">
        <v>1878</v>
      </c>
      <c r="AC104" s="864">
        <v>2067</v>
      </c>
      <c r="AD104" s="864">
        <v>247</v>
      </c>
      <c r="AE104" s="864">
        <v>1577</v>
      </c>
      <c r="AF104" s="864">
        <v>1824</v>
      </c>
      <c r="AH104" s="864">
        <f t="shared" si="47"/>
        <v>1370</v>
      </c>
      <c r="AI104" s="864">
        <f t="shared" si="48"/>
        <v>4959</v>
      </c>
      <c r="AJ104" s="864">
        <f t="shared" si="49"/>
        <v>6329</v>
      </c>
      <c r="AK104" s="864">
        <f t="shared" si="50"/>
        <v>10236</v>
      </c>
      <c r="AL104" s="864">
        <f t="shared" si="51"/>
        <v>19021</v>
      </c>
      <c r="AM104" s="864">
        <f t="shared" si="52"/>
        <v>29257</v>
      </c>
      <c r="AN104" s="864">
        <f t="shared" si="53"/>
        <v>436</v>
      </c>
      <c r="AO104" s="864">
        <f t="shared" si="54"/>
        <v>3455</v>
      </c>
      <c r="AP104" s="864">
        <f t="shared" si="55"/>
        <v>3891</v>
      </c>
      <c r="AR104" s="865">
        <f t="shared" si="56"/>
        <v>0.2164638963501343</v>
      </c>
      <c r="AS104" s="865">
        <f t="shared" si="57"/>
        <v>0.34986498957514439</v>
      </c>
      <c r="AT104" s="865">
        <f t="shared" si="58"/>
        <v>0.11205345669493703</v>
      </c>
      <c r="AV104" s="866">
        <v>6368</v>
      </c>
      <c r="AW104" s="866">
        <v>33048</v>
      </c>
      <c r="AX104" s="866">
        <v>4095</v>
      </c>
      <c r="AZ104" s="866">
        <f t="shared" si="59"/>
        <v>1378.4420919576553</v>
      </c>
      <c r="BA104" s="866">
        <f t="shared" si="60"/>
        <v>11562.338175479372</v>
      </c>
      <c r="BB104" s="866">
        <f t="shared" si="61"/>
        <v>458.85890516576717</v>
      </c>
      <c r="BC104" s="883">
        <f t="shared" si="46"/>
        <v>13399.639172602794</v>
      </c>
    </row>
    <row r="105" spans="1:55" s="863" customFormat="1" ht="12" customHeight="1" x14ac:dyDescent="0.2">
      <c r="A105" s="863" t="s">
        <v>54</v>
      </c>
      <c r="B105" s="867" t="s">
        <v>55</v>
      </c>
      <c r="C105" s="880">
        <v>3084</v>
      </c>
      <c r="D105" s="864">
        <v>13772</v>
      </c>
      <c r="E105" s="864">
        <v>16856</v>
      </c>
      <c r="F105" s="864">
        <v>2692</v>
      </c>
      <c r="G105" s="864">
        <v>16302</v>
      </c>
      <c r="H105" s="864">
        <v>18994</v>
      </c>
      <c r="I105" s="864">
        <v>2296</v>
      </c>
      <c r="J105" s="864">
        <v>18621</v>
      </c>
      <c r="K105" s="864">
        <v>20917</v>
      </c>
      <c r="L105" s="864">
        <v>2402</v>
      </c>
      <c r="M105" s="864">
        <v>16644</v>
      </c>
      <c r="N105" s="864">
        <v>19046</v>
      </c>
      <c r="O105" s="864">
        <v>2964</v>
      </c>
      <c r="P105" s="864">
        <v>23493</v>
      </c>
      <c r="Q105" s="864">
        <v>26457</v>
      </c>
      <c r="R105" s="864">
        <v>2304</v>
      </c>
      <c r="S105" s="864">
        <v>28925</v>
      </c>
      <c r="T105" s="864">
        <v>31229</v>
      </c>
      <c r="U105" s="864">
        <v>2031</v>
      </c>
      <c r="V105" s="864">
        <v>33944</v>
      </c>
      <c r="W105" s="864">
        <v>35975</v>
      </c>
      <c r="X105" s="864">
        <v>1686</v>
      </c>
      <c r="Y105" s="864">
        <v>22430</v>
      </c>
      <c r="Z105" s="864">
        <v>24116</v>
      </c>
      <c r="AA105" s="864">
        <v>1218</v>
      </c>
      <c r="AB105" s="864">
        <v>11753</v>
      </c>
      <c r="AC105" s="864">
        <v>12971</v>
      </c>
      <c r="AD105" s="864">
        <v>1162</v>
      </c>
      <c r="AE105" s="864">
        <v>8133</v>
      </c>
      <c r="AF105" s="864">
        <v>9295</v>
      </c>
      <c r="AH105" s="864">
        <f t="shared" si="47"/>
        <v>8072</v>
      </c>
      <c r="AI105" s="864">
        <f t="shared" si="48"/>
        <v>48695</v>
      </c>
      <c r="AJ105" s="864">
        <f t="shared" si="49"/>
        <v>56767</v>
      </c>
      <c r="AK105" s="864">
        <f t="shared" si="50"/>
        <v>11387</v>
      </c>
      <c r="AL105" s="864">
        <f t="shared" si="51"/>
        <v>125436</v>
      </c>
      <c r="AM105" s="864">
        <f t="shared" si="52"/>
        <v>136823</v>
      </c>
      <c r="AN105" s="864">
        <f t="shared" si="53"/>
        <v>2380</v>
      </c>
      <c r="AO105" s="864">
        <f t="shared" si="54"/>
        <v>19886</v>
      </c>
      <c r="AP105" s="864">
        <f t="shared" si="55"/>
        <v>22266</v>
      </c>
      <c r="AR105" s="865">
        <f t="shared" si="56"/>
        <v>0.14219528951679672</v>
      </c>
      <c r="AS105" s="865">
        <f t="shared" si="57"/>
        <v>8.3224311701979928E-2</v>
      </c>
      <c r="AT105" s="865">
        <f t="shared" si="58"/>
        <v>0.10688942782718046</v>
      </c>
      <c r="AV105" s="866">
        <v>57117</v>
      </c>
      <c r="AW105" s="866">
        <v>143811</v>
      </c>
      <c r="AX105" s="866">
        <v>24122</v>
      </c>
      <c r="AZ105" s="866">
        <f t="shared" si="59"/>
        <v>8121.7683513308784</v>
      </c>
      <c r="BA105" s="866">
        <f t="shared" si="60"/>
        <v>11968.571490173435</v>
      </c>
      <c r="BB105" s="866">
        <f t="shared" si="61"/>
        <v>2578.3867780472469</v>
      </c>
      <c r="BC105" s="883">
        <f t="shared" si="46"/>
        <v>22668.726619551559</v>
      </c>
    </row>
    <row r="106" spans="1:55" s="863" customFormat="1" ht="12" customHeight="1" x14ac:dyDescent="0.2">
      <c r="A106" s="863" t="s">
        <v>66</v>
      </c>
      <c r="B106" s="867" t="s">
        <v>67</v>
      </c>
      <c r="C106" s="880">
        <v>1769</v>
      </c>
      <c r="D106" s="864">
        <v>1377</v>
      </c>
      <c r="E106" s="864">
        <v>3146</v>
      </c>
      <c r="F106" s="864">
        <v>1427</v>
      </c>
      <c r="G106" s="864">
        <v>1658</v>
      </c>
      <c r="H106" s="864">
        <v>3085</v>
      </c>
      <c r="I106" s="864">
        <v>1211</v>
      </c>
      <c r="J106" s="864">
        <v>1757</v>
      </c>
      <c r="K106" s="864">
        <v>2968</v>
      </c>
      <c r="L106" s="864">
        <v>1620</v>
      </c>
      <c r="M106" s="864">
        <v>2218</v>
      </c>
      <c r="N106" s="864">
        <v>3838</v>
      </c>
      <c r="O106" s="864">
        <v>1676</v>
      </c>
      <c r="P106" s="864">
        <v>2837</v>
      </c>
      <c r="Q106" s="864">
        <v>4513</v>
      </c>
      <c r="R106" s="864">
        <v>1314</v>
      </c>
      <c r="S106" s="864">
        <v>3376</v>
      </c>
      <c r="T106" s="864">
        <v>4690</v>
      </c>
      <c r="U106" s="864">
        <v>1527</v>
      </c>
      <c r="V106" s="864">
        <v>4702</v>
      </c>
      <c r="W106" s="864">
        <v>6229</v>
      </c>
      <c r="X106" s="864">
        <v>1121</v>
      </c>
      <c r="Y106" s="864">
        <v>4698</v>
      </c>
      <c r="Z106" s="864">
        <v>5819</v>
      </c>
      <c r="AA106" s="864">
        <v>753</v>
      </c>
      <c r="AB106" s="864">
        <v>3059</v>
      </c>
      <c r="AC106" s="864">
        <v>3812</v>
      </c>
      <c r="AD106" s="864">
        <v>1225</v>
      </c>
      <c r="AE106" s="864">
        <v>2640</v>
      </c>
      <c r="AF106" s="864">
        <v>3865</v>
      </c>
      <c r="AH106" s="864">
        <f t="shared" si="47"/>
        <v>4407</v>
      </c>
      <c r="AI106" s="864">
        <f t="shared" si="48"/>
        <v>4792</v>
      </c>
      <c r="AJ106" s="864">
        <f t="shared" si="49"/>
        <v>9199</v>
      </c>
      <c r="AK106" s="864">
        <f t="shared" si="50"/>
        <v>7258</v>
      </c>
      <c r="AL106" s="864">
        <f t="shared" si="51"/>
        <v>17831</v>
      </c>
      <c r="AM106" s="864">
        <f t="shared" si="52"/>
        <v>25089</v>
      </c>
      <c r="AN106" s="864">
        <f t="shared" si="53"/>
        <v>1978</v>
      </c>
      <c r="AO106" s="864">
        <f t="shared" si="54"/>
        <v>5699</v>
      </c>
      <c r="AP106" s="864">
        <f t="shared" si="55"/>
        <v>7677</v>
      </c>
      <c r="AR106" s="865">
        <f t="shared" si="56"/>
        <v>0.4790738123709099</v>
      </c>
      <c r="AS106" s="865">
        <f t="shared" si="57"/>
        <v>0.28929012714735541</v>
      </c>
      <c r="AT106" s="865">
        <f t="shared" si="58"/>
        <v>0.25765272893057184</v>
      </c>
      <c r="AV106" s="866">
        <v>9284</v>
      </c>
      <c r="AW106" s="866">
        <v>25358</v>
      </c>
      <c r="AX106" s="866">
        <v>8210</v>
      </c>
      <c r="AZ106" s="866">
        <f t="shared" si="59"/>
        <v>4447.7212740515279</v>
      </c>
      <c r="BA106" s="866">
        <f t="shared" si="60"/>
        <v>7335.8190442026389</v>
      </c>
      <c r="BB106" s="866">
        <f t="shared" si="61"/>
        <v>2115.3289045199949</v>
      </c>
      <c r="BC106" s="883">
        <f t="shared" si="46"/>
        <v>13898.869222774161</v>
      </c>
    </row>
    <row r="107" spans="1:55" s="863" customFormat="1" ht="12" customHeight="1" x14ac:dyDescent="0.2">
      <c r="A107" s="863" t="s">
        <v>82</v>
      </c>
      <c r="B107" s="867" t="s">
        <v>83</v>
      </c>
      <c r="C107" s="880">
        <v>344</v>
      </c>
      <c r="D107" s="864">
        <v>350</v>
      </c>
      <c r="E107" s="864">
        <v>694</v>
      </c>
      <c r="F107" s="864">
        <v>223</v>
      </c>
      <c r="G107" s="864">
        <v>450</v>
      </c>
      <c r="H107" s="864">
        <v>673</v>
      </c>
      <c r="I107" s="864">
        <v>265</v>
      </c>
      <c r="J107" s="864">
        <v>394</v>
      </c>
      <c r="K107" s="864">
        <v>659</v>
      </c>
      <c r="L107" s="864">
        <v>286</v>
      </c>
      <c r="M107" s="864">
        <v>550</v>
      </c>
      <c r="N107" s="864">
        <v>836</v>
      </c>
      <c r="O107" s="864">
        <v>220</v>
      </c>
      <c r="P107" s="864">
        <v>621</v>
      </c>
      <c r="Q107" s="864">
        <v>841</v>
      </c>
      <c r="R107" s="864">
        <v>116</v>
      </c>
      <c r="S107" s="864">
        <v>936</v>
      </c>
      <c r="T107" s="864">
        <v>1052</v>
      </c>
      <c r="U107" s="864">
        <v>281</v>
      </c>
      <c r="V107" s="864">
        <v>959</v>
      </c>
      <c r="W107" s="864">
        <v>1240</v>
      </c>
      <c r="X107" s="864">
        <v>211</v>
      </c>
      <c r="Y107" s="864">
        <v>872</v>
      </c>
      <c r="Z107" s="864">
        <v>1083</v>
      </c>
      <c r="AA107" s="864">
        <v>94</v>
      </c>
      <c r="AB107" s="864">
        <v>483</v>
      </c>
      <c r="AC107" s="864">
        <v>577</v>
      </c>
      <c r="AD107" s="864">
        <v>138</v>
      </c>
      <c r="AE107" s="864">
        <v>631</v>
      </c>
      <c r="AF107" s="864">
        <v>769</v>
      </c>
      <c r="AH107" s="864">
        <f t="shared" si="47"/>
        <v>832</v>
      </c>
      <c r="AI107" s="864">
        <f t="shared" si="48"/>
        <v>1194</v>
      </c>
      <c r="AJ107" s="864">
        <f t="shared" si="49"/>
        <v>2026</v>
      </c>
      <c r="AK107" s="864">
        <f t="shared" si="50"/>
        <v>1114</v>
      </c>
      <c r="AL107" s="864">
        <f t="shared" si="51"/>
        <v>3938</v>
      </c>
      <c r="AM107" s="864">
        <f t="shared" si="52"/>
        <v>5052</v>
      </c>
      <c r="AN107" s="864">
        <f t="shared" si="53"/>
        <v>232</v>
      </c>
      <c r="AO107" s="864">
        <f t="shared" si="54"/>
        <v>1114</v>
      </c>
      <c r="AP107" s="864">
        <f t="shared" si="55"/>
        <v>1346</v>
      </c>
      <c r="AR107" s="865">
        <f t="shared" si="56"/>
        <v>0.4106614017769003</v>
      </c>
      <c r="AS107" s="865">
        <f t="shared" si="57"/>
        <v>0.22050673000791765</v>
      </c>
      <c r="AT107" s="865">
        <f t="shared" si="58"/>
        <v>0.17236255572065379</v>
      </c>
      <c r="AV107" s="866">
        <v>2050</v>
      </c>
      <c r="AW107" s="866">
        <v>5023</v>
      </c>
      <c r="AX107" s="866">
        <v>1515</v>
      </c>
      <c r="AZ107" s="866">
        <f t="shared" si="59"/>
        <v>841.85587364264563</v>
      </c>
      <c r="BA107" s="866">
        <f t="shared" si="60"/>
        <v>1107.6053048297704</v>
      </c>
      <c r="BB107" s="866">
        <f t="shared" si="61"/>
        <v>261.12927191679051</v>
      </c>
      <c r="BC107" s="883">
        <f t="shared" si="46"/>
        <v>2210.5904503892066</v>
      </c>
    </row>
    <row r="108" spans="1:55" s="863" customFormat="1" ht="12" customHeight="1" x14ac:dyDescent="0.2">
      <c r="A108" s="863" t="s">
        <v>88</v>
      </c>
      <c r="B108" s="867" t="s">
        <v>89</v>
      </c>
      <c r="C108" s="880">
        <v>471</v>
      </c>
      <c r="D108" s="864">
        <v>1259</v>
      </c>
      <c r="E108" s="864">
        <v>1730</v>
      </c>
      <c r="F108" s="864">
        <v>243</v>
      </c>
      <c r="G108" s="864">
        <v>1358</v>
      </c>
      <c r="H108" s="864">
        <v>1601</v>
      </c>
      <c r="I108" s="864">
        <v>288</v>
      </c>
      <c r="J108" s="864">
        <v>1008</v>
      </c>
      <c r="K108" s="864">
        <v>1296</v>
      </c>
      <c r="L108" s="864">
        <v>1505</v>
      </c>
      <c r="M108" s="864">
        <v>1638</v>
      </c>
      <c r="N108" s="864">
        <v>3143</v>
      </c>
      <c r="O108" s="864">
        <v>351</v>
      </c>
      <c r="P108" s="864">
        <v>3063</v>
      </c>
      <c r="Q108" s="864">
        <v>3414</v>
      </c>
      <c r="R108" s="864">
        <v>314</v>
      </c>
      <c r="S108" s="864">
        <v>2643</v>
      </c>
      <c r="T108" s="864">
        <v>2957</v>
      </c>
      <c r="U108" s="864">
        <v>382</v>
      </c>
      <c r="V108" s="864">
        <v>2371</v>
      </c>
      <c r="W108" s="864">
        <v>2753</v>
      </c>
      <c r="X108" s="864">
        <v>371</v>
      </c>
      <c r="Y108" s="864">
        <v>1772</v>
      </c>
      <c r="Z108" s="864">
        <v>2143</v>
      </c>
      <c r="AA108" s="864">
        <v>74</v>
      </c>
      <c r="AB108" s="864">
        <v>1174</v>
      </c>
      <c r="AC108" s="864">
        <v>1248</v>
      </c>
      <c r="AD108" s="864">
        <v>189</v>
      </c>
      <c r="AE108" s="864">
        <v>1041</v>
      </c>
      <c r="AF108" s="864">
        <v>1230</v>
      </c>
      <c r="AH108" s="864">
        <f t="shared" si="47"/>
        <v>1002</v>
      </c>
      <c r="AI108" s="864">
        <f t="shared" si="48"/>
        <v>3625</v>
      </c>
      <c r="AJ108" s="864">
        <f t="shared" si="49"/>
        <v>4627</v>
      </c>
      <c r="AK108" s="864">
        <f t="shared" si="50"/>
        <v>2923</v>
      </c>
      <c r="AL108" s="864">
        <f t="shared" si="51"/>
        <v>11487</v>
      </c>
      <c r="AM108" s="864">
        <f t="shared" si="52"/>
        <v>14410</v>
      </c>
      <c r="AN108" s="864">
        <f t="shared" si="53"/>
        <v>263</v>
      </c>
      <c r="AO108" s="864">
        <f t="shared" si="54"/>
        <v>2215</v>
      </c>
      <c r="AP108" s="864">
        <f t="shared" si="55"/>
        <v>2478</v>
      </c>
      <c r="AR108" s="865">
        <f t="shared" si="56"/>
        <v>0.21655500324184138</v>
      </c>
      <c r="AS108" s="865">
        <f t="shared" si="57"/>
        <v>0.20284524635669673</v>
      </c>
      <c r="AT108" s="865">
        <f t="shared" si="58"/>
        <v>0.10613397901533494</v>
      </c>
      <c r="AV108" s="866">
        <v>5320</v>
      </c>
      <c r="AW108" s="866">
        <v>17912</v>
      </c>
      <c r="AX108" s="866">
        <v>2459</v>
      </c>
      <c r="AZ108" s="866">
        <f t="shared" si="59"/>
        <v>1152.0726172465961</v>
      </c>
      <c r="BA108" s="866">
        <f t="shared" si="60"/>
        <v>3633.3640527411521</v>
      </c>
      <c r="BB108" s="866">
        <f t="shared" si="61"/>
        <v>260.9834543987086</v>
      </c>
      <c r="BC108" s="883">
        <f t="shared" si="46"/>
        <v>5046.4201243864572</v>
      </c>
    </row>
    <row r="109" spans="1:55" s="863" customFormat="1" ht="12" customHeight="1" x14ac:dyDescent="0.2">
      <c r="A109" s="863" t="s">
        <v>90</v>
      </c>
      <c r="B109" s="867" t="s">
        <v>91</v>
      </c>
      <c r="C109" s="880">
        <v>145</v>
      </c>
      <c r="D109" s="864">
        <v>63</v>
      </c>
      <c r="E109" s="864">
        <v>208</v>
      </c>
      <c r="F109" s="864">
        <v>321</v>
      </c>
      <c r="G109" s="864">
        <v>223</v>
      </c>
      <c r="H109" s="864">
        <v>544</v>
      </c>
      <c r="I109" s="864">
        <v>142</v>
      </c>
      <c r="J109" s="864">
        <v>220</v>
      </c>
      <c r="K109" s="864">
        <v>362</v>
      </c>
      <c r="L109" s="864">
        <v>172</v>
      </c>
      <c r="M109" s="864">
        <v>196</v>
      </c>
      <c r="N109" s="864">
        <v>368</v>
      </c>
      <c r="O109" s="864">
        <v>500</v>
      </c>
      <c r="P109" s="864">
        <v>703</v>
      </c>
      <c r="Q109" s="864">
        <v>1203</v>
      </c>
      <c r="R109" s="864">
        <v>132</v>
      </c>
      <c r="S109" s="864">
        <v>534</v>
      </c>
      <c r="T109" s="864">
        <v>666</v>
      </c>
      <c r="U109" s="864">
        <v>236</v>
      </c>
      <c r="V109" s="864">
        <v>604</v>
      </c>
      <c r="W109" s="864">
        <v>840</v>
      </c>
      <c r="X109" s="864">
        <v>257</v>
      </c>
      <c r="Y109" s="864">
        <v>534</v>
      </c>
      <c r="Z109" s="864">
        <v>791</v>
      </c>
      <c r="AA109" s="864">
        <v>96</v>
      </c>
      <c r="AB109" s="864">
        <v>622</v>
      </c>
      <c r="AC109" s="864">
        <v>718</v>
      </c>
      <c r="AD109" s="864">
        <v>365</v>
      </c>
      <c r="AE109" s="864">
        <v>597</v>
      </c>
      <c r="AF109" s="864">
        <v>962</v>
      </c>
      <c r="AH109" s="864">
        <f t="shared" si="47"/>
        <v>608</v>
      </c>
      <c r="AI109" s="864">
        <f t="shared" si="48"/>
        <v>506</v>
      </c>
      <c r="AJ109" s="864">
        <f t="shared" si="49"/>
        <v>1114</v>
      </c>
      <c r="AK109" s="864">
        <f t="shared" si="50"/>
        <v>1297</v>
      </c>
      <c r="AL109" s="864">
        <f t="shared" si="51"/>
        <v>2571</v>
      </c>
      <c r="AM109" s="864">
        <f t="shared" si="52"/>
        <v>3868</v>
      </c>
      <c r="AN109" s="864">
        <f t="shared" si="53"/>
        <v>461</v>
      </c>
      <c r="AO109" s="864">
        <f t="shared" si="54"/>
        <v>1219</v>
      </c>
      <c r="AP109" s="864">
        <f t="shared" si="55"/>
        <v>1680</v>
      </c>
      <c r="AR109" s="865">
        <f t="shared" si="56"/>
        <v>0.54578096947935373</v>
      </c>
      <c r="AS109" s="865">
        <f t="shared" si="57"/>
        <v>0.33531540847983454</v>
      </c>
      <c r="AT109" s="865">
        <f t="shared" si="58"/>
        <v>0.27440476190476193</v>
      </c>
      <c r="AV109" s="866">
        <v>1537</v>
      </c>
      <c r="AW109" s="866">
        <v>3979</v>
      </c>
      <c r="AX109" s="866">
        <v>1467</v>
      </c>
      <c r="AZ109" s="866">
        <f t="shared" si="59"/>
        <v>838.86535008976671</v>
      </c>
      <c r="BA109" s="866">
        <f t="shared" si="60"/>
        <v>1334.2200103412617</v>
      </c>
      <c r="BB109" s="866">
        <f t="shared" si="61"/>
        <v>402.55178571428576</v>
      </c>
      <c r="BC109" s="883">
        <f t="shared" si="46"/>
        <v>2575.6371461453145</v>
      </c>
    </row>
    <row r="110" spans="1:55" s="863" customFormat="1" ht="12" customHeight="1" x14ac:dyDescent="0.2">
      <c r="A110" s="863" t="s">
        <v>106</v>
      </c>
      <c r="B110" s="867" t="s">
        <v>107</v>
      </c>
      <c r="C110" s="880">
        <v>2854</v>
      </c>
      <c r="D110" s="864">
        <v>7786</v>
      </c>
      <c r="E110" s="864">
        <v>10640</v>
      </c>
      <c r="F110" s="864">
        <v>3046</v>
      </c>
      <c r="G110" s="864">
        <v>6677</v>
      </c>
      <c r="H110" s="864">
        <v>9723</v>
      </c>
      <c r="I110" s="864">
        <v>3051</v>
      </c>
      <c r="J110" s="864">
        <v>7726</v>
      </c>
      <c r="K110" s="864">
        <v>10777</v>
      </c>
      <c r="L110" s="864">
        <v>3179</v>
      </c>
      <c r="M110" s="864">
        <v>11000</v>
      </c>
      <c r="N110" s="864">
        <v>14179</v>
      </c>
      <c r="O110" s="864">
        <v>2360</v>
      </c>
      <c r="P110" s="864">
        <v>16304</v>
      </c>
      <c r="Q110" s="864">
        <v>18664</v>
      </c>
      <c r="R110" s="864">
        <v>2567</v>
      </c>
      <c r="S110" s="864">
        <v>14294</v>
      </c>
      <c r="T110" s="864">
        <v>16861</v>
      </c>
      <c r="U110" s="864">
        <v>2069</v>
      </c>
      <c r="V110" s="864">
        <v>18621</v>
      </c>
      <c r="W110" s="864">
        <v>20690</v>
      </c>
      <c r="X110" s="864">
        <v>1807</v>
      </c>
      <c r="Y110" s="864">
        <v>13558</v>
      </c>
      <c r="Z110" s="864">
        <v>15365</v>
      </c>
      <c r="AA110" s="864">
        <v>818</v>
      </c>
      <c r="AB110" s="864">
        <v>8415</v>
      </c>
      <c r="AC110" s="864">
        <v>9233</v>
      </c>
      <c r="AD110" s="864">
        <v>1147</v>
      </c>
      <c r="AE110" s="864">
        <v>5758</v>
      </c>
      <c r="AF110" s="864">
        <v>6905</v>
      </c>
      <c r="AH110" s="864">
        <f t="shared" si="47"/>
        <v>8951</v>
      </c>
      <c r="AI110" s="864">
        <f t="shared" si="48"/>
        <v>22189</v>
      </c>
      <c r="AJ110" s="864">
        <f t="shared" si="49"/>
        <v>31140</v>
      </c>
      <c r="AK110" s="864">
        <f t="shared" si="50"/>
        <v>11982</v>
      </c>
      <c r="AL110" s="864">
        <f t="shared" si="51"/>
        <v>73777</v>
      </c>
      <c r="AM110" s="864">
        <f t="shared" si="52"/>
        <v>85759</v>
      </c>
      <c r="AN110" s="864">
        <f t="shared" si="53"/>
        <v>1965</v>
      </c>
      <c r="AO110" s="864">
        <f t="shared" si="54"/>
        <v>14173</v>
      </c>
      <c r="AP110" s="864">
        <f t="shared" si="55"/>
        <v>16138</v>
      </c>
      <c r="AR110" s="865">
        <f t="shared" si="56"/>
        <v>0.28744380218368659</v>
      </c>
      <c r="AS110" s="865">
        <f t="shared" si="57"/>
        <v>0.13971711423873878</v>
      </c>
      <c r="AT110" s="865">
        <f t="shared" si="58"/>
        <v>0.12176230016111042</v>
      </c>
      <c r="AV110" s="866">
        <v>30712</v>
      </c>
      <c r="AW110" s="866">
        <v>88489</v>
      </c>
      <c r="AX110" s="866">
        <v>17200</v>
      </c>
      <c r="AZ110" s="866">
        <f t="shared" si="59"/>
        <v>8827.9740526653823</v>
      </c>
      <c r="BA110" s="866">
        <f t="shared" si="60"/>
        <v>12363.427721871756</v>
      </c>
      <c r="BB110" s="866">
        <f t="shared" si="61"/>
        <v>2094.311562771099</v>
      </c>
      <c r="BC110" s="883">
        <f t="shared" si="46"/>
        <v>23285.713337308236</v>
      </c>
    </row>
    <row r="111" spans="1:55" s="863" customFormat="1" ht="12" customHeight="1" x14ac:dyDescent="0.2">
      <c r="A111" s="863" t="s">
        <v>116</v>
      </c>
      <c r="B111" s="867" t="s">
        <v>117</v>
      </c>
      <c r="C111" s="880">
        <v>757</v>
      </c>
      <c r="D111" s="864">
        <v>1260</v>
      </c>
      <c r="E111" s="864">
        <v>2017</v>
      </c>
      <c r="F111" s="864">
        <v>505</v>
      </c>
      <c r="G111" s="864">
        <v>874</v>
      </c>
      <c r="H111" s="864">
        <v>1379</v>
      </c>
      <c r="I111" s="864">
        <v>822</v>
      </c>
      <c r="J111" s="864">
        <v>1117</v>
      </c>
      <c r="K111" s="864">
        <v>1939</v>
      </c>
      <c r="L111" s="864">
        <v>434</v>
      </c>
      <c r="M111" s="864">
        <v>1597</v>
      </c>
      <c r="N111" s="864">
        <v>2031</v>
      </c>
      <c r="O111" s="864">
        <v>777</v>
      </c>
      <c r="P111" s="864">
        <v>2370</v>
      </c>
      <c r="Q111" s="864">
        <v>3147</v>
      </c>
      <c r="R111" s="864">
        <v>505</v>
      </c>
      <c r="S111" s="864">
        <v>2491</v>
      </c>
      <c r="T111" s="864">
        <v>2996</v>
      </c>
      <c r="U111" s="864">
        <v>610</v>
      </c>
      <c r="V111" s="864">
        <v>2329</v>
      </c>
      <c r="W111" s="864">
        <v>2939</v>
      </c>
      <c r="X111" s="864">
        <v>516</v>
      </c>
      <c r="Y111" s="864">
        <v>1878</v>
      </c>
      <c r="Z111" s="864">
        <v>2394</v>
      </c>
      <c r="AA111" s="864">
        <v>210</v>
      </c>
      <c r="AB111" s="864">
        <v>1386</v>
      </c>
      <c r="AC111" s="864">
        <v>1596</v>
      </c>
      <c r="AD111" s="864">
        <v>286</v>
      </c>
      <c r="AE111" s="864">
        <v>1298</v>
      </c>
      <c r="AF111" s="864">
        <v>1584</v>
      </c>
      <c r="AH111" s="864">
        <f t="shared" si="47"/>
        <v>2084</v>
      </c>
      <c r="AI111" s="864">
        <f t="shared" si="48"/>
        <v>3251</v>
      </c>
      <c r="AJ111" s="864">
        <f t="shared" si="49"/>
        <v>5335</v>
      </c>
      <c r="AK111" s="864">
        <f t="shared" si="50"/>
        <v>2842</v>
      </c>
      <c r="AL111" s="864">
        <f t="shared" si="51"/>
        <v>10665</v>
      </c>
      <c r="AM111" s="864">
        <f t="shared" si="52"/>
        <v>13507</v>
      </c>
      <c r="AN111" s="864">
        <f t="shared" si="53"/>
        <v>496</v>
      </c>
      <c r="AO111" s="864">
        <f t="shared" si="54"/>
        <v>2684</v>
      </c>
      <c r="AP111" s="864">
        <f t="shared" si="55"/>
        <v>3180</v>
      </c>
      <c r="AR111" s="865">
        <f t="shared" si="56"/>
        <v>0.39062792877225866</v>
      </c>
      <c r="AS111" s="865">
        <f t="shared" si="57"/>
        <v>0.21040941733915747</v>
      </c>
      <c r="AT111" s="865">
        <f t="shared" si="58"/>
        <v>0.15597484276729559</v>
      </c>
      <c r="AV111" s="866">
        <v>5605</v>
      </c>
      <c r="AW111" s="866">
        <v>13635</v>
      </c>
      <c r="AX111" s="866">
        <v>3340</v>
      </c>
      <c r="AZ111" s="866">
        <f t="shared" si="59"/>
        <v>2189.4695407685099</v>
      </c>
      <c r="BA111" s="866">
        <f t="shared" si="60"/>
        <v>2868.9324054194121</v>
      </c>
      <c r="BB111" s="866">
        <f t="shared" si="61"/>
        <v>520.95597484276732</v>
      </c>
      <c r="BC111" s="883">
        <f t="shared" si="46"/>
        <v>5579.3579210306889</v>
      </c>
    </row>
    <row r="112" spans="1:55" s="863" customFormat="1" ht="12" customHeight="1" x14ac:dyDescent="0.2">
      <c r="A112" s="863" t="s">
        <v>138</v>
      </c>
      <c r="B112" s="867" t="s">
        <v>139</v>
      </c>
      <c r="C112" s="880">
        <v>2402</v>
      </c>
      <c r="D112" s="864">
        <v>2700</v>
      </c>
      <c r="E112" s="864">
        <v>5102</v>
      </c>
      <c r="F112" s="864">
        <v>1577</v>
      </c>
      <c r="G112" s="864">
        <v>3199</v>
      </c>
      <c r="H112" s="864">
        <v>4776</v>
      </c>
      <c r="I112" s="864">
        <v>1248</v>
      </c>
      <c r="J112" s="864">
        <v>3311</v>
      </c>
      <c r="K112" s="864">
        <v>4559</v>
      </c>
      <c r="L112" s="864">
        <v>5359</v>
      </c>
      <c r="M112" s="864">
        <v>5038</v>
      </c>
      <c r="N112" s="864">
        <v>10397</v>
      </c>
      <c r="O112" s="864">
        <v>2181</v>
      </c>
      <c r="P112" s="864">
        <v>6576</v>
      </c>
      <c r="Q112" s="864">
        <v>8757</v>
      </c>
      <c r="R112" s="864">
        <v>1705</v>
      </c>
      <c r="S112" s="864">
        <v>5745</v>
      </c>
      <c r="T112" s="864">
        <v>7450</v>
      </c>
      <c r="U112" s="864">
        <v>1491</v>
      </c>
      <c r="V112" s="864">
        <v>7005</v>
      </c>
      <c r="W112" s="864">
        <v>8496</v>
      </c>
      <c r="X112" s="864">
        <v>1334</v>
      </c>
      <c r="Y112" s="864">
        <v>6129</v>
      </c>
      <c r="Z112" s="864">
        <v>7463</v>
      </c>
      <c r="AA112" s="864">
        <v>530</v>
      </c>
      <c r="AB112" s="864">
        <v>4082</v>
      </c>
      <c r="AC112" s="864">
        <v>4612</v>
      </c>
      <c r="AD112" s="864">
        <v>783</v>
      </c>
      <c r="AE112" s="864">
        <v>4343</v>
      </c>
      <c r="AF112" s="864">
        <v>5126</v>
      </c>
      <c r="AH112" s="864">
        <f t="shared" si="47"/>
        <v>5227</v>
      </c>
      <c r="AI112" s="864">
        <f t="shared" si="48"/>
        <v>9210</v>
      </c>
      <c r="AJ112" s="864">
        <f t="shared" si="49"/>
        <v>14437</v>
      </c>
      <c r="AK112" s="864">
        <f t="shared" si="50"/>
        <v>12070</v>
      </c>
      <c r="AL112" s="864">
        <f t="shared" si="51"/>
        <v>30493</v>
      </c>
      <c r="AM112" s="864">
        <f t="shared" si="52"/>
        <v>42563</v>
      </c>
      <c r="AN112" s="864">
        <f t="shared" si="53"/>
        <v>1313</v>
      </c>
      <c r="AO112" s="864">
        <f t="shared" si="54"/>
        <v>8425</v>
      </c>
      <c r="AP112" s="864">
        <f t="shared" si="55"/>
        <v>9738</v>
      </c>
      <c r="AR112" s="865">
        <f t="shared" si="56"/>
        <v>0.36205582877329084</v>
      </c>
      <c r="AS112" s="865">
        <f t="shared" si="57"/>
        <v>0.28357963489415688</v>
      </c>
      <c r="AT112" s="865">
        <f t="shared" si="58"/>
        <v>0.13483261449989731</v>
      </c>
      <c r="AV112" s="866">
        <v>14947</v>
      </c>
      <c r="AW112" s="866">
        <v>50797</v>
      </c>
      <c r="AX112" s="866">
        <v>10760</v>
      </c>
      <c r="AZ112" s="866">
        <f t="shared" si="59"/>
        <v>5411.6484726743784</v>
      </c>
      <c r="BA112" s="866">
        <f t="shared" si="60"/>
        <v>14404.994713718488</v>
      </c>
      <c r="BB112" s="866">
        <f t="shared" si="61"/>
        <v>1450.7989320188951</v>
      </c>
      <c r="BC112" s="883">
        <f t="shared" si="46"/>
        <v>21267.44211841176</v>
      </c>
    </row>
    <row r="113" spans="1:55" s="863" customFormat="1" ht="12" customHeight="1" x14ac:dyDescent="0.2">
      <c r="A113" s="863" t="s">
        <v>142</v>
      </c>
      <c r="B113" s="867" t="s">
        <v>143</v>
      </c>
      <c r="C113" s="880">
        <v>916</v>
      </c>
      <c r="D113" s="864">
        <v>2782</v>
      </c>
      <c r="E113" s="864">
        <v>3698</v>
      </c>
      <c r="F113" s="864">
        <v>1200</v>
      </c>
      <c r="G113" s="864">
        <v>2083</v>
      </c>
      <c r="H113" s="864">
        <v>3283</v>
      </c>
      <c r="I113" s="864">
        <v>531</v>
      </c>
      <c r="J113" s="864">
        <v>2908</v>
      </c>
      <c r="K113" s="864">
        <v>3439</v>
      </c>
      <c r="L113" s="864">
        <v>547</v>
      </c>
      <c r="M113" s="864">
        <v>3150</v>
      </c>
      <c r="N113" s="864">
        <v>3697</v>
      </c>
      <c r="O113" s="864">
        <v>881</v>
      </c>
      <c r="P113" s="864">
        <v>4642</v>
      </c>
      <c r="Q113" s="864">
        <v>5523</v>
      </c>
      <c r="R113" s="864">
        <v>1003</v>
      </c>
      <c r="S113" s="864">
        <v>4676</v>
      </c>
      <c r="T113" s="864">
        <v>5679</v>
      </c>
      <c r="U113" s="864">
        <v>406</v>
      </c>
      <c r="V113" s="864">
        <v>4895</v>
      </c>
      <c r="W113" s="864">
        <v>5301</v>
      </c>
      <c r="X113" s="864">
        <v>306</v>
      </c>
      <c r="Y113" s="864">
        <v>3097</v>
      </c>
      <c r="Z113" s="864">
        <v>3403</v>
      </c>
      <c r="AA113" s="864">
        <v>162</v>
      </c>
      <c r="AB113" s="864">
        <v>1357</v>
      </c>
      <c r="AC113" s="864">
        <v>1519</v>
      </c>
      <c r="AD113" s="864">
        <v>80</v>
      </c>
      <c r="AE113" s="864">
        <v>938</v>
      </c>
      <c r="AF113" s="864">
        <v>1018</v>
      </c>
      <c r="AH113" s="864">
        <f t="shared" si="47"/>
        <v>2647</v>
      </c>
      <c r="AI113" s="864">
        <f t="shared" si="48"/>
        <v>7773</v>
      </c>
      <c r="AJ113" s="864">
        <f t="shared" si="49"/>
        <v>10420</v>
      </c>
      <c r="AK113" s="864">
        <f t="shared" si="50"/>
        <v>3143</v>
      </c>
      <c r="AL113" s="864">
        <f t="shared" si="51"/>
        <v>20460</v>
      </c>
      <c r="AM113" s="864">
        <f t="shared" si="52"/>
        <v>23603</v>
      </c>
      <c r="AN113" s="864">
        <f t="shared" si="53"/>
        <v>242</v>
      </c>
      <c r="AO113" s="864">
        <f t="shared" si="54"/>
        <v>2295</v>
      </c>
      <c r="AP113" s="864">
        <f t="shared" si="55"/>
        <v>2537</v>
      </c>
      <c r="AR113" s="865">
        <f t="shared" si="56"/>
        <v>0.2540307101727447</v>
      </c>
      <c r="AS113" s="865">
        <f t="shared" si="57"/>
        <v>0.13316103885099351</v>
      </c>
      <c r="AT113" s="865">
        <f t="shared" si="58"/>
        <v>9.5388253843121801E-2</v>
      </c>
      <c r="AV113" s="866">
        <v>11024</v>
      </c>
      <c r="AW113" s="866">
        <v>25519</v>
      </c>
      <c r="AX113" s="866">
        <v>2757</v>
      </c>
      <c r="AZ113" s="866">
        <f t="shared" si="59"/>
        <v>2800.4345489443376</v>
      </c>
      <c r="BA113" s="866">
        <f t="shared" si="60"/>
        <v>3398.1365504385035</v>
      </c>
      <c r="BB113" s="866">
        <f t="shared" si="61"/>
        <v>262.98541584548678</v>
      </c>
      <c r="BC113" s="883">
        <f t="shared" si="46"/>
        <v>6461.556515228328</v>
      </c>
    </row>
    <row r="114" spans="1:55" s="863" customFormat="1" ht="12" customHeight="1" x14ac:dyDescent="0.2">
      <c r="A114" s="863" t="s">
        <v>144</v>
      </c>
      <c r="B114" s="867" t="s">
        <v>145</v>
      </c>
      <c r="C114" s="880">
        <v>183</v>
      </c>
      <c r="D114" s="864">
        <v>1365</v>
      </c>
      <c r="E114" s="864">
        <v>1548</v>
      </c>
      <c r="F114" s="864">
        <v>227</v>
      </c>
      <c r="G114" s="864">
        <v>1167</v>
      </c>
      <c r="H114" s="864">
        <v>1394</v>
      </c>
      <c r="I114" s="864">
        <v>39</v>
      </c>
      <c r="J114" s="864">
        <v>999</v>
      </c>
      <c r="K114" s="864">
        <v>1038</v>
      </c>
      <c r="L114" s="864">
        <v>139</v>
      </c>
      <c r="M114" s="864">
        <v>1254</v>
      </c>
      <c r="N114" s="864">
        <v>1393</v>
      </c>
      <c r="O114" s="864">
        <v>133</v>
      </c>
      <c r="P114" s="864">
        <v>2317</v>
      </c>
      <c r="Q114" s="864">
        <v>2450</v>
      </c>
      <c r="R114" s="864">
        <v>81</v>
      </c>
      <c r="S114" s="864">
        <v>2354</v>
      </c>
      <c r="T114" s="864">
        <v>2435</v>
      </c>
      <c r="U114" s="864">
        <v>18</v>
      </c>
      <c r="V114" s="864">
        <v>1693</v>
      </c>
      <c r="W114" s="864">
        <v>1711</v>
      </c>
      <c r="X114" s="864">
        <v>110</v>
      </c>
      <c r="Y114" s="864">
        <v>845</v>
      </c>
      <c r="Z114" s="864">
        <v>955</v>
      </c>
      <c r="AA114" s="864">
        <v>42</v>
      </c>
      <c r="AB114" s="864">
        <v>443</v>
      </c>
      <c r="AC114" s="864">
        <v>485</v>
      </c>
      <c r="AD114" s="864">
        <v>74</v>
      </c>
      <c r="AE114" s="864">
        <v>260</v>
      </c>
      <c r="AF114" s="864">
        <v>334</v>
      </c>
      <c r="AH114" s="864">
        <f t="shared" si="47"/>
        <v>449</v>
      </c>
      <c r="AI114" s="864">
        <f t="shared" si="48"/>
        <v>3531</v>
      </c>
      <c r="AJ114" s="864">
        <f t="shared" si="49"/>
        <v>3980</v>
      </c>
      <c r="AK114" s="864">
        <f t="shared" si="50"/>
        <v>481</v>
      </c>
      <c r="AL114" s="864">
        <f t="shared" si="51"/>
        <v>8463</v>
      </c>
      <c r="AM114" s="864">
        <f t="shared" si="52"/>
        <v>8944</v>
      </c>
      <c r="AN114" s="864">
        <f t="shared" si="53"/>
        <v>116</v>
      </c>
      <c r="AO114" s="864">
        <f t="shared" si="54"/>
        <v>703</v>
      </c>
      <c r="AP114" s="864">
        <f t="shared" si="55"/>
        <v>819</v>
      </c>
      <c r="AR114" s="865">
        <f t="shared" si="56"/>
        <v>0.11281407035175879</v>
      </c>
      <c r="AS114" s="865">
        <f t="shared" si="57"/>
        <v>5.3779069767441859E-2</v>
      </c>
      <c r="AT114" s="865">
        <f t="shared" si="58"/>
        <v>0.14163614163614163</v>
      </c>
      <c r="AV114" s="866">
        <v>4426</v>
      </c>
      <c r="AW114" s="866">
        <v>10119</v>
      </c>
      <c r="AX114" s="866">
        <v>787</v>
      </c>
      <c r="AZ114" s="866">
        <f t="shared" si="59"/>
        <v>499.31507537688441</v>
      </c>
      <c r="BA114" s="866">
        <f t="shared" si="60"/>
        <v>544.19040697674416</v>
      </c>
      <c r="BB114" s="866">
        <f t="shared" si="61"/>
        <v>111.46764346764347</v>
      </c>
      <c r="BC114" s="883">
        <f t="shared" si="46"/>
        <v>1154.9731258212721</v>
      </c>
    </row>
    <row r="115" spans="1:55" s="863" customFormat="1" ht="12" customHeight="1" x14ac:dyDescent="0.2">
      <c r="A115" s="863" t="s">
        <v>158</v>
      </c>
      <c r="B115" s="867" t="s">
        <v>159</v>
      </c>
      <c r="C115" s="880">
        <v>5139</v>
      </c>
      <c r="D115" s="864">
        <v>10578</v>
      </c>
      <c r="E115" s="864">
        <v>15717</v>
      </c>
      <c r="F115" s="864">
        <v>3631</v>
      </c>
      <c r="G115" s="864">
        <v>10278</v>
      </c>
      <c r="H115" s="864">
        <v>13909</v>
      </c>
      <c r="I115" s="864">
        <v>3008</v>
      </c>
      <c r="J115" s="864">
        <v>11217</v>
      </c>
      <c r="K115" s="864">
        <v>14225</v>
      </c>
      <c r="L115" s="864">
        <v>5567</v>
      </c>
      <c r="M115" s="864">
        <v>14387</v>
      </c>
      <c r="N115" s="864">
        <v>19954</v>
      </c>
      <c r="O115" s="864">
        <v>4292</v>
      </c>
      <c r="P115" s="864">
        <v>22506</v>
      </c>
      <c r="Q115" s="864">
        <v>26798</v>
      </c>
      <c r="R115" s="864">
        <v>2780</v>
      </c>
      <c r="S115" s="864">
        <v>19632</v>
      </c>
      <c r="T115" s="864">
        <v>22412</v>
      </c>
      <c r="U115" s="864">
        <v>2723</v>
      </c>
      <c r="V115" s="864">
        <v>22035</v>
      </c>
      <c r="W115" s="864">
        <v>24758</v>
      </c>
      <c r="X115" s="864">
        <v>2475</v>
      </c>
      <c r="Y115" s="864">
        <v>15195</v>
      </c>
      <c r="Z115" s="864">
        <v>17670</v>
      </c>
      <c r="AA115" s="864">
        <v>1014</v>
      </c>
      <c r="AB115" s="864">
        <v>9053</v>
      </c>
      <c r="AC115" s="864">
        <v>10067</v>
      </c>
      <c r="AD115" s="864">
        <v>1019</v>
      </c>
      <c r="AE115" s="864">
        <v>7091</v>
      </c>
      <c r="AF115" s="864">
        <v>8110</v>
      </c>
      <c r="AH115" s="864">
        <f t="shared" si="47"/>
        <v>11778</v>
      </c>
      <c r="AI115" s="864">
        <f t="shared" si="48"/>
        <v>32073</v>
      </c>
      <c r="AJ115" s="864">
        <f t="shared" si="49"/>
        <v>43851</v>
      </c>
      <c r="AK115" s="864">
        <f t="shared" si="50"/>
        <v>17837</v>
      </c>
      <c r="AL115" s="864">
        <f t="shared" si="51"/>
        <v>93755</v>
      </c>
      <c r="AM115" s="864">
        <f t="shared" si="52"/>
        <v>111592</v>
      </c>
      <c r="AN115" s="864">
        <f t="shared" si="53"/>
        <v>2033</v>
      </c>
      <c r="AO115" s="864">
        <f t="shared" si="54"/>
        <v>16144</v>
      </c>
      <c r="AP115" s="864">
        <f t="shared" si="55"/>
        <v>18177</v>
      </c>
      <c r="AR115" s="865">
        <f t="shared" si="56"/>
        <v>0.26859136621741808</v>
      </c>
      <c r="AS115" s="865">
        <f t="shared" si="57"/>
        <v>0.15984120725500037</v>
      </c>
      <c r="AT115" s="865">
        <f t="shared" si="58"/>
        <v>0.11184463882928976</v>
      </c>
      <c r="AV115" s="866">
        <v>43481</v>
      </c>
      <c r="AW115" s="866">
        <v>116671</v>
      </c>
      <c r="AX115" s="866">
        <v>19459</v>
      </c>
      <c r="AZ115" s="866">
        <f t="shared" si="59"/>
        <v>11678.621194499556</v>
      </c>
      <c r="BA115" s="866">
        <f t="shared" si="60"/>
        <v>18648.833491648147</v>
      </c>
      <c r="BB115" s="866">
        <f t="shared" si="61"/>
        <v>2176.3848269791492</v>
      </c>
      <c r="BC115" s="883">
        <f t="shared" si="46"/>
        <v>32503.839513126852</v>
      </c>
    </row>
    <row r="116" spans="1:55" s="863" customFormat="1" ht="12" customHeight="1" x14ac:dyDescent="0.2">
      <c r="A116" s="863" t="s">
        <v>160</v>
      </c>
      <c r="B116" s="867" t="s">
        <v>161</v>
      </c>
      <c r="C116" s="880">
        <v>7226</v>
      </c>
      <c r="D116" s="864">
        <v>12364</v>
      </c>
      <c r="E116" s="864">
        <v>19590</v>
      </c>
      <c r="F116" s="864">
        <v>5898</v>
      </c>
      <c r="G116" s="864">
        <v>10637</v>
      </c>
      <c r="H116" s="864">
        <v>16535</v>
      </c>
      <c r="I116" s="864">
        <v>4687</v>
      </c>
      <c r="J116" s="864">
        <v>10320</v>
      </c>
      <c r="K116" s="864">
        <v>15007</v>
      </c>
      <c r="L116" s="864">
        <v>8956</v>
      </c>
      <c r="M116" s="864">
        <v>22633</v>
      </c>
      <c r="N116" s="864">
        <v>31589</v>
      </c>
      <c r="O116" s="864">
        <v>7339</v>
      </c>
      <c r="P116" s="864">
        <v>30554</v>
      </c>
      <c r="Q116" s="864">
        <v>37893</v>
      </c>
      <c r="R116" s="864">
        <v>4172</v>
      </c>
      <c r="S116" s="864">
        <v>23184</v>
      </c>
      <c r="T116" s="864">
        <v>27356</v>
      </c>
      <c r="U116" s="864">
        <v>4981</v>
      </c>
      <c r="V116" s="864">
        <v>24197</v>
      </c>
      <c r="W116" s="864">
        <v>29178</v>
      </c>
      <c r="X116" s="864">
        <v>3225</v>
      </c>
      <c r="Y116" s="864">
        <v>18164</v>
      </c>
      <c r="Z116" s="864">
        <v>21389</v>
      </c>
      <c r="AA116" s="864">
        <v>1747</v>
      </c>
      <c r="AB116" s="864">
        <v>9446</v>
      </c>
      <c r="AC116" s="864">
        <v>11193</v>
      </c>
      <c r="AD116" s="864">
        <v>1811</v>
      </c>
      <c r="AE116" s="864">
        <v>9124</v>
      </c>
      <c r="AF116" s="864">
        <v>10935</v>
      </c>
      <c r="AH116" s="864">
        <f t="shared" si="47"/>
        <v>17811</v>
      </c>
      <c r="AI116" s="864">
        <f t="shared" si="48"/>
        <v>33321</v>
      </c>
      <c r="AJ116" s="864">
        <f t="shared" si="49"/>
        <v>51132</v>
      </c>
      <c r="AK116" s="864">
        <f t="shared" si="50"/>
        <v>28673</v>
      </c>
      <c r="AL116" s="864">
        <f t="shared" si="51"/>
        <v>118732</v>
      </c>
      <c r="AM116" s="864">
        <f t="shared" si="52"/>
        <v>147405</v>
      </c>
      <c r="AN116" s="864">
        <f t="shared" si="53"/>
        <v>3558</v>
      </c>
      <c r="AO116" s="864">
        <f t="shared" si="54"/>
        <v>18570</v>
      </c>
      <c r="AP116" s="864">
        <f t="shared" si="55"/>
        <v>22128</v>
      </c>
      <c r="AR116" s="865">
        <f t="shared" si="56"/>
        <v>0.34833372447782213</v>
      </c>
      <c r="AS116" s="865">
        <f t="shared" si="57"/>
        <v>0.19451850344289542</v>
      </c>
      <c r="AT116" s="865">
        <f t="shared" si="58"/>
        <v>0.16079175704989154</v>
      </c>
      <c r="AV116" s="866">
        <v>50672</v>
      </c>
      <c r="AW116" s="866">
        <v>169118</v>
      </c>
      <c r="AX116" s="866">
        <v>22838</v>
      </c>
      <c r="AZ116" s="866">
        <f t="shared" si="59"/>
        <v>17650.766486740202</v>
      </c>
      <c r="BA116" s="866">
        <f t="shared" si="60"/>
        <v>32896.580265255587</v>
      </c>
      <c r="BB116" s="866">
        <f t="shared" si="61"/>
        <v>3672.162147505423</v>
      </c>
      <c r="BC116" s="883">
        <f t="shared" si="46"/>
        <v>54219.508899501212</v>
      </c>
    </row>
    <row r="117" spans="1:55" s="863" customFormat="1" ht="12" customHeight="1" x14ac:dyDescent="0.2">
      <c r="A117" s="863" t="s">
        <v>166</v>
      </c>
      <c r="B117" s="867" t="s">
        <v>167</v>
      </c>
      <c r="C117" s="880">
        <v>102</v>
      </c>
      <c r="D117" s="864">
        <v>75</v>
      </c>
      <c r="E117" s="864">
        <v>177</v>
      </c>
      <c r="F117" s="864">
        <v>49</v>
      </c>
      <c r="G117" s="864">
        <v>268</v>
      </c>
      <c r="H117" s="864">
        <v>317</v>
      </c>
      <c r="I117" s="864">
        <v>117</v>
      </c>
      <c r="J117" s="864">
        <v>335</v>
      </c>
      <c r="K117" s="864">
        <v>452</v>
      </c>
      <c r="L117" s="864">
        <v>181</v>
      </c>
      <c r="M117" s="864">
        <v>187</v>
      </c>
      <c r="N117" s="864">
        <v>368</v>
      </c>
      <c r="O117" s="864">
        <v>79</v>
      </c>
      <c r="P117" s="864">
        <v>334</v>
      </c>
      <c r="Q117" s="864">
        <v>413</v>
      </c>
      <c r="R117" s="864">
        <v>127</v>
      </c>
      <c r="S117" s="864">
        <v>422</v>
      </c>
      <c r="T117" s="864">
        <v>549</v>
      </c>
      <c r="U117" s="864">
        <v>135</v>
      </c>
      <c r="V117" s="864">
        <v>475</v>
      </c>
      <c r="W117" s="864">
        <v>610</v>
      </c>
      <c r="X117" s="864">
        <v>40</v>
      </c>
      <c r="Y117" s="864">
        <v>488</v>
      </c>
      <c r="Z117" s="864">
        <v>528</v>
      </c>
      <c r="AA117" s="864">
        <v>77</v>
      </c>
      <c r="AB117" s="864">
        <v>191</v>
      </c>
      <c r="AC117" s="864">
        <v>268</v>
      </c>
      <c r="AD117" s="864">
        <v>35</v>
      </c>
      <c r="AE117" s="864">
        <v>174</v>
      </c>
      <c r="AF117" s="864">
        <v>209</v>
      </c>
      <c r="AH117" s="864">
        <f t="shared" si="47"/>
        <v>268</v>
      </c>
      <c r="AI117" s="864">
        <f t="shared" si="48"/>
        <v>678</v>
      </c>
      <c r="AJ117" s="864">
        <f t="shared" si="49"/>
        <v>946</v>
      </c>
      <c r="AK117" s="864">
        <f t="shared" si="50"/>
        <v>562</v>
      </c>
      <c r="AL117" s="864">
        <f t="shared" si="51"/>
        <v>1906</v>
      </c>
      <c r="AM117" s="864">
        <f t="shared" si="52"/>
        <v>2468</v>
      </c>
      <c r="AN117" s="864">
        <f t="shared" si="53"/>
        <v>112</v>
      </c>
      <c r="AO117" s="864">
        <f t="shared" si="54"/>
        <v>365</v>
      </c>
      <c r="AP117" s="864">
        <f t="shared" si="55"/>
        <v>477</v>
      </c>
      <c r="AR117" s="865">
        <f t="shared" si="56"/>
        <v>0.28329809725158561</v>
      </c>
      <c r="AS117" s="865">
        <f t="shared" si="57"/>
        <v>0.22771474878444084</v>
      </c>
      <c r="AT117" s="865">
        <f t="shared" si="58"/>
        <v>0.23480083857442349</v>
      </c>
      <c r="AV117" s="866">
        <v>891</v>
      </c>
      <c r="AW117" s="866">
        <v>2588</v>
      </c>
      <c r="AX117" s="866">
        <v>575</v>
      </c>
      <c r="AZ117" s="866">
        <f t="shared" si="59"/>
        <v>252.41860465116278</v>
      </c>
      <c r="BA117" s="866">
        <f t="shared" si="60"/>
        <v>589.32576985413289</v>
      </c>
      <c r="BB117" s="866">
        <f t="shared" si="61"/>
        <v>135.01048218029351</v>
      </c>
      <c r="BC117" s="883">
        <f t="shared" si="46"/>
        <v>976.75485668558917</v>
      </c>
    </row>
    <row r="118" spans="1:55" s="863" customFormat="1" ht="12" customHeight="1" x14ac:dyDescent="0.2">
      <c r="A118" s="863" t="s">
        <v>176</v>
      </c>
      <c r="B118" s="867" t="s">
        <v>177</v>
      </c>
      <c r="C118" s="880">
        <v>1152</v>
      </c>
      <c r="D118" s="864">
        <v>1316</v>
      </c>
      <c r="E118" s="864">
        <v>2468</v>
      </c>
      <c r="F118" s="864">
        <v>1062</v>
      </c>
      <c r="G118" s="864">
        <v>670</v>
      </c>
      <c r="H118" s="864">
        <v>1732</v>
      </c>
      <c r="I118" s="864">
        <v>965</v>
      </c>
      <c r="J118" s="864">
        <v>1542</v>
      </c>
      <c r="K118" s="864">
        <v>2507</v>
      </c>
      <c r="L118" s="864">
        <v>989</v>
      </c>
      <c r="M118" s="864">
        <v>2756</v>
      </c>
      <c r="N118" s="864">
        <v>3745</v>
      </c>
      <c r="O118" s="864">
        <v>1201</v>
      </c>
      <c r="P118" s="864">
        <v>2775</v>
      </c>
      <c r="Q118" s="864">
        <v>3976</v>
      </c>
      <c r="R118" s="864">
        <v>842</v>
      </c>
      <c r="S118" s="864">
        <v>2919</v>
      </c>
      <c r="T118" s="864">
        <v>3761</v>
      </c>
      <c r="U118" s="864">
        <v>1286</v>
      </c>
      <c r="V118" s="864">
        <v>3598</v>
      </c>
      <c r="W118" s="864">
        <v>4884</v>
      </c>
      <c r="X118" s="864">
        <v>588</v>
      </c>
      <c r="Y118" s="864">
        <v>3455</v>
      </c>
      <c r="Z118" s="864">
        <v>4043</v>
      </c>
      <c r="AA118" s="864">
        <v>447</v>
      </c>
      <c r="AB118" s="864">
        <v>2046</v>
      </c>
      <c r="AC118" s="864">
        <v>2493</v>
      </c>
      <c r="AD118" s="864">
        <v>476</v>
      </c>
      <c r="AE118" s="864">
        <v>1497</v>
      </c>
      <c r="AF118" s="864">
        <v>1973</v>
      </c>
      <c r="AH118" s="864">
        <f t="shared" si="47"/>
        <v>3179</v>
      </c>
      <c r="AI118" s="864">
        <f t="shared" si="48"/>
        <v>3528</v>
      </c>
      <c r="AJ118" s="864">
        <f t="shared" si="49"/>
        <v>6707</v>
      </c>
      <c r="AK118" s="864">
        <f t="shared" si="50"/>
        <v>4906</v>
      </c>
      <c r="AL118" s="864">
        <f t="shared" si="51"/>
        <v>15503</v>
      </c>
      <c r="AM118" s="864">
        <f t="shared" si="52"/>
        <v>20409</v>
      </c>
      <c r="AN118" s="864">
        <f t="shared" si="53"/>
        <v>923</v>
      </c>
      <c r="AO118" s="864">
        <f t="shared" si="54"/>
        <v>3543</v>
      </c>
      <c r="AP118" s="864">
        <f t="shared" si="55"/>
        <v>4466</v>
      </c>
      <c r="AR118" s="865">
        <f t="shared" si="56"/>
        <v>0.47398240644103173</v>
      </c>
      <c r="AS118" s="865">
        <f t="shared" si="57"/>
        <v>0.24038414425008575</v>
      </c>
      <c r="AT118" s="865">
        <f t="shared" si="58"/>
        <v>0.20667263770712047</v>
      </c>
      <c r="AV118" s="866">
        <v>6938</v>
      </c>
      <c r="AW118" s="866">
        <v>20387</v>
      </c>
      <c r="AX118" s="866">
        <v>5001</v>
      </c>
      <c r="AZ118" s="866">
        <f t="shared" si="59"/>
        <v>3288.4899358878783</v>
      </c>
      <c r="BA118" s="866">
        <f t="shared" si="60"/>
        <v>4900.7115488264981</v>
      </c>
      <c r="BB118" s="866">
        <f t="shared" si="61"/>
        <v>1033.5698611733094</v>
      </c>
      <c r="BC118" s="883">
        <f t="shared" si="46"/>
        <v>9222.771345887686</v>
      </c>
    </row>
    <row r="119" spans="1:55" s="863" customFormat="1" ht="12" customHeight="1" x14ac:dyDescent="0.2">
      <c r="A119" s="863" t="s">
        <v>180</v>
      </c>
      <c r="B119" s="867" t="s">
        <v>181</v>
      </c>
      <c r="C119" s="880">
        <v>3133</v>
      </c>
      <c r="D119" s="864">
        <v>5078</v>
      </c>
      <c r="E119" s="864">
        <v>8211</v>
      </c>
      <c r="F119" s="864">
        <v>2271</v>
      </c>
      <c r="G119" s="864">
        <v>4879</v>
      </c>
      <c r="H119" s="864">
        <v>7150</v>
      </c>
      <c r="I119" s="864">
        <v>1911</v>
      </c>
      <c r="J119" s="864">
        <v>5299</v>
      </c>
      <c r="K119" s="864">
        <v>7210</v>
      </c>
      <c r="L119" s="864">
        <v>2366</v>
      </c>
      <c r="M119" s="864">
        <v>5868</v>
      </c>
      <c r="N119" s="864">
        <v>8234</v>
      </c>
      <c r="O119" s="864">
        <v>2738</v>
      </c>
      <c r="P119" s="864">
        <v>10410</v>
      </c>
      <c r="Q119" s="864">
        <v>13148</v>
      </c>
      <c r="R119" s="864">
        <v>1461</v>
      </c>
      <c r="S119" s="864">
        <v>9460</v>
      </c>
      <c r="T119" s="864">
        <v>10921</v>
      </c>
      <c r="U119" s="864">
        <v>1867</v>
      </c>
      <c r="V119" s="864">
        <v>11354</v>
      </c>
      <c r="W119" s="864">
        <v>13221</v>
      </c>
      <c r="X119" s="864">
        <v>1433</v>
      </c>
      <c r="Y119" s="864">
        <v>9125</v>
      </c>
      <c r="Z119" s="864">
        <v>10558</v>
      </c>
      <c r="AA119" s="864">
        <v>757</v>
      </c>
      <c r="AB119" s="864">
        <v>5501</v>
      </c>
      <c r="AC119" s="864">
        <v>6258</v>
      </c>
      <c r="AD119" s="864">
        <v>1102</v>
      </c>
      <c r="AE119" s="864">
        <v>4910</v>
      </c>
      <c r="AF119" s="864">
        <v>6012</v>
      </c>
      <c r="AH119" s="864">
        <f t="shared" si="47"/>
        <v>7315</v>
      </c>
      <c r="AI119" s="864">
        <f t="shared" si="48"/>
        <v>15256</v>
      </c>
      <c r="AJ119" s="864">
        <f t="shared" si="49"/>
        <v>22571</v>
      </c>
      <c r="AK119" s="864">
        <f t="shared" si="50"/>
        <v>9865</v>
      </c>
      <c r="AL119" s="864">
        <f t="shared" si="51"/>
        <v>46217</v>
      </c>
      <c r="AM119" s="864">
        <f t="shared" si="52"/>
        <v>56082</v>
      </c>
      <c r="AN119" s="864">
        <f t="shared" si="53"/>
        <v>1859</v>
      </c>
      <c r="AO119" s="864">
        <f t="shared" si="54"/>
        <v>10411</v>
      </c>
      <c r="AP119" s="864">
        <f t="shared" si="55"/>
        <v>12270</v>
      </c>
      <c r="AR119" s="865">
        <f t="shared" si="56"/>
        <v>0.32408843205883658</v>
      </c>
      <c r="AS119" s="865">
        <f t="shared" si="57"/>
        <v>0.17590314182803751</v>
      </c>
      <c r="AT119" s="865">
        <f t="shared" si="58"/>
        <v>0.1515077424612877</v>
      </c>
      <c r="AV119" s="866">
        <v>22755</v>
      </c>
      <c r="AW119" s="866">
        <v>60387</v>
      </c>
      <c r="AX119" s="866">
        <v>12542</v>
      </c>
      <c r="AZ119" s="866">
        <f t="shared" si="59"/>
        <v>7374.6322714988264</v>
      </c>
      <c r="BA119" s="866">
        <f t="shared" si="60"/>
        <v>10622.2630255697</v>
      </c>
      <c r="BB119" s="866">
        <f t="shared" si="61"/>
        <v>1900.2101059494703</v>
      </c>
      <c r="BC119" s="883">
        <f t="shared" si="46"/>
        <v>19897.105403017998</v>
      </c>
    </row>
    <row r="120" spans="1:55" s="863" customFormat="1" ht="12" customHeight="1" x14ac:dyDescent="0.2">
      <c r="A120" s="863" t="s">
        <v>192</v>
      </c>
      <c r="B120" s="867" t="s">
        <v>193</v>
      </c>
      <c r="C120" s="880">
        <v>112</v>
      </c>
      <c r="D120" s="864">
        <v>500</v>
      </c>
      <c r="E120" s="864">
        <v>612</v>
      </c>
      <c r="F120" s="864">
        <v>159</v>
      </c>
      <c r="G120" s="864">
        <v>545</v>
      </c>
      <c r="H120" s="864">
        <v>704</v>
      </c>
      <c r="I120" s="864">
        <v>178</v>
      </c>
      <c r="J120" s="864">
        <v>534</v>
      </c>
      <c r="K120" s="864">
        <v>712</v>
      </c>
      <c r="L120" s="864">
        <v>3762</v>
      </c>
      <c r="M120" s="864">
        <v>827</v>
      </c>
      <c r="N120" s="864">
        <v>4589</v>
      </c>
      <c r="O120" s="864">
        <v>354</v>
      </c>
      <c r="P120" s="864">
        <v>1045</v>
      </c>
      <c r="Q120" s="864">
        <v>1399</v>
      </c>
      <c r="R120" s="864">
        <v>133</v>
      </c>
      <c r="S120" s="864">
        <v>1087</v>
      </c>
      <c r="T120" s="864">
        <v>1220</v>
      </c>
      <c r="U120" s="864">
        <v>298</v>
      </c>
      <c r="V120" s="864">
        <v>1150</v>
      </c>
      <c r="W120" s="864">
        <v>1448</v>
      </c>
      <c r="X120" s="864">
        <v>53</v>
      </c>
      <c r="Y120" s="864">
        <v>888</v>
      </c>
      <c r="Z120" s="864">
        <v>941</v>
      </c>
      <c r="AA120" s="864">
        <v>123</v>
      </c>
      <c r="AB120" s="864">
        <v>648</v>
      </c>
      <c r="AC120" s="864">
        <v>771</v>
      </c>
      <c r="AD120" s="864">
        <v>151</v>
      </c>
      <c r="AE120" s="864">
        <v>505</v>
      </c>
      <c r="AF120" s="864">
        <v>656</v>
      </c>
      <c r="AH120" s="864">
        <f t="shared" si="47"/>
        <v>449</v>
      </c>
      <c r="AI120" s="864">
        <f t="shared" si="48"/>
        <v>1579</v>
      </c>
      <c r="AJ120" s="864">
        <f t="shared" si="49"/>
        <v>2028</v>
      </c>
      <c r="AK120" s="864">
        <f t="shared" si="50"/>
        <v>4600</v>
      </c>
      <c r="AL120" s="864">
        <f t="shared" si="51"/>
        <v>4997</v>
      </c>
      <c r="AM120" s="864">
        <f t="shared" si="52"/>
        <v>9597</v>
      </c>
      <c r="AN120" s="864">
        <f t="shared" si="53"/>
        <v>274</v>
      </c>
      <c r="AO120" s="864">
        <f t="shared" si="54"/>
        <v>1153</v>
      </c>
      <c r="AP120" s="864">
        <f t="shared" si="55"/>
        <v>1427</v>
      </c>
      <c r="AR120" s="865">
        <f t="shared" si="56"/>
        <v>0.22140039447731755</v>
      </c>
      <c r="AS120" s="865">
        <f t="shared" si="57"/>
        <v>0.47931645305824738</v>
      </c>
      <c r="AT120" s="865">
        <f t="shared" si="58"/>
        <v>0.19201121233356691</v>
      </c>
      <c r="AV120" s="866">
        <v>2050</v>
      </c>
      <c r="AW120" s="866">
        <v>12937</v>
      </c>
      <c r="AX120" s="866">
        <v>1427</v>
      </c>
      <c r="AZ120" s="866">
        <f t="shared" si="59"/>
        <v>453.87080867850096</v>
      </c>
      <c r="BA120" s="866">
        <f t="shared" si="60"/>
        <v>6200.9169532145461</v>
      </c>
      <c r="BB120" s="866">
        <f t="shared" si="61"/>
        <v>274</v>
      </c>
      <c r="BC120" s="883">
        <f t="shared" si="46"/>
        <v>6928.787761893047</v>
      </c>
    </row>
    <row r="121" spans="1:55" s="863" customFormat="1" ht="12" customHeight="1" x14ac:dyDescent="0.2">
      <c r="A121" s="863" t="s">
        <v>196</v>
      </c>
      <c r="B121" s="867" t="s">
        <v>197</v>
      </c>
      <c r="C121" s="880">
        <v>6893</v>
      </c>
      <c r="D121" s="864">
        <v>8237</v>
      </c>
      <c r="E121" s="864">
        <v>15130</v>
      </c>
      <c r="F121" s="864">
        <v>6052</v>
      </c>
      <c r="G121" s="864">
        <v>6112</v>
      </c>
      <c r="H121" s="864">
        <v>12164</v>
      </c>
      <c r="I121" s="864">
        <v>4866</v>
      </c>
      <c r="J121" s="864">
        <v>6164</v>
      </c>
      <c r="K121" s="864">
        <v>11030</v>
      </c>
      <c r="L121" s="864">
        <v>15048</v>
      </c>
      <c r="M121" s="864">
        <v>13192</v>
      </c>
      <c r="N121" s="864">
        <v>28240</v>
      </c>
      <c r="O121" s="864">
        <v>8672</v>
      </c>
      <c r="P121" s="864">
        <v>25296</v>
      </c>
      <c r="Q121" s="864">
        <v>33968</v>
      </c>
      <c r="R121" s="864">
        <v>4789</v>
      </c>
      <c r="S121" s="864">
        <v>19247</v>
      </c>
      <c r="T121" s="864">
        <v>24036</v>
      </c>
      <c r="U121" s="864">
        <v>5552</v>
      </c>
      <c r="V121" s="864">
        <v>20057</v>
      </c>
      <c r="W121" s="864">
        <v>25609</v>
      </c>
      <c r="X121" s="864">
        <v>4607</v>
      </c>
      <c r="Y121" s="864">
        <v>16784</v>
      </c>
      <c r="Z121" s="864">
        <v>21391</v>
      </c>
      <c r="AA121" s="864">
        <v>2531</v>
      </c>
      <c r="AB121" s="864">
        <v>8702</v>
      </c>
      <c r="AC121" s="864">
        <v>11233</v>
      </c>
      <c r="AD121" s="864">
        <v>2177</v>
      </c>
      <c r="AE121" s="864">
        <v>8420</v>
      </c>
      <c r="AF121" s="864">
        <v>10597</v>
      </c>
      <c r="AH121" s="864">
        <f t="shared" si="47"/>
        <v>17811</v>
      </c>
      <c r="AI121" s="864">
        <f t="shared" si="48"/>
        <v>20513</v>
      </c>
      <c r="AJ121" s="864">
        <f t="shared" si="49"/>
        <v>38324</v>
      </c>
      <c r="AK121" s="864">
        <f t="shared" si="50"/>
        <v>38668</v>
      </c>
      <c r="AL121" s="864">
        <f t="shared" si="51"/>
        <v>94576</v>
      </c>
      <c r="AM121" s="864">
        <f t="shared" si="52"/>
        <v>133244</v>
      </c>
      <c r="AN121" s="864">
        <f t="shared" si="53"/>
        <v>4708</v>
      </c>
      <c r="AO121" s="864">
        <f t="shared" si="54"/>
        <v>17122</v>
      </c>
      <c r="AP121" s="864">
        <f t="shared" si="55"/>
        <v>21830</v>
      </c>
      <c r="AR121" s="865">
        <f t="shared" si="56"/>
        <v>0.46474793862853564</v>
      </c>
      <c r="AS121" s="865">
        <f t="shared" si="57"/>
        <v>0.29020443697277176</v>
      </c>
      <c r="AT121" s="865">
        <f t="shared" si="58"/>
        <v>0.21566651397159872</v>
      </c>
      <c r="AV121" s="866">
        <v>39396</v>
      </c>
      <c r="AW121" s="866">
        <v>143661</v>
      </c>
      <c r="AX121" s="866">
        <v>22476</v>
      </c>
      <c r="AZ121" s="866">
        <f t="shared" si="59"/>
        <v>18309.209790209788</v>
      </c>
      <c r="BA121" s="866">
        <f t="shared" si="60"/>
        <v>41691.059619945365</v>
      </c>
      <c r="BB121" s="866">
        <f t="shared" si="61"/>
        <v>4847.3205680256533</v>
      </c>
      <c r="BC121" s="883">
        <f t="shared" si="46"/>
        <v>64847.589978180804</v>
      </c>
    </row>
    <row r="122" spans="1:55" s="863" customFormat="1" ht="12" customHeight="1" x14ac:dyDescent="0.2">
      <c r="A122" s="863" t="s">
        <v>200</v>
      </c>
      <c r="B122" s="867" t="s">
        <v>201</v>
      </c>
      <c r="C122" s="880">
        <v>3167</v>
      </c>
      <c r="D122" s="864">
        <v>4574</v>
      </c>
      <c r="E122" s="864">
        <v>7741</v>
      </c>
      <c r="F122" s="864">
        <v>2806</v>
      </c>
      <c r="G122" s="864">
        <v>3698</v>
      </c>
      <c r="H122" s="864">
        <v>6504</v>
      </c>
      <c r="I122" s="864">
        <v>2386</v>
      </c>
      <c r="J122" s="864">
        <v>3845</v>
      </c>
      <c r="K122" s="864">
        <v>6231</v>
      </c>
      <c r="L122" s="864">
        <v>3011</v>
      </c>
      <c r="M122" s="864">
        <v>5271</v>
      </c>
      <c r="N122" s="864">
        <v>8282</v>
      </c>
      <c r="O122" s="864">
        <v>3420</v>
      </c>
      <c r="P122" s="864">
        <v>10524</v>
      </c>
      <c r="Q122" s="864">
        <v>13944</v>
      </c>
      <c r="R122" s="864">
        <v>2650</v>
      </c>
      <c r="S122" s="864">
        <v>10011</v>
      </c>
      <c r="T122" s="864">
        <v>12661</v>
      </c>
      <c r="U122" s="864">
        <v>2980</v>
      </c>
      <c r="V122" s="864">
        <v>10777</v>
      </c>
      <c r="W122" s="864">
        <v>13757</v>
      </c>
      <c r="X122" s="864">
        <v>2014</v>
      </c>
      <c r="Y122" s="864">
        <v>10035</v>
      </c>
      <c r="Z122" s="864">
        <v>12049</v>
      </c>
      <c r="AA122" s="864">
        <v>1202</v>
      </c>
      <c r="AB122" s="864">
        <v>5294</v>
      </c>
      <c r="AC122" s="864">
        <v>6496</v>
      </c>
      <c r="AD122" s="864">
        <v>1236</v>
      </c>
      <c r="AE122" s="864">
        <v>5378</v>
      </c>
      <c r="AF122" s="864">
        <v>6614</v>
      </c>
      <c r="AH122" s="864">
        <f t="shared" si="47"/>
        <v>8359</v>
      </c>
      <c r="AI122" s="864">
        <f t="shared" si="48"/>
        <v>12117</v>
      </c>
      <c r="AJ122" s="864">
        <f t="shared" si="49"/>
        <v>20476</v>
      </c>
      <c r="AK122" s="864">
        <f t="shared" si="50"/>
        <v>14075</v>
      </c>
      <c r="AL122" s="864">
        <f t="shared" si="51"/>
        <v>46618</v>
      </c>
      <c r="AM122" s="864">
        <f t="shared" si="52"/>
        <v>60693</v>
      </c>
      <c r="AN122" s="864">
        <f t="shared" si="53"/>
        <v>2438</v>
      </c>
      <c r="AO122" s="864">
        <f t="shared" si="54"/>
        <v>10672</v>
      </c>
      <c r="AP122" s="864">
        <f t="shared" si="55"/>
        <v>13110</v>
      </c>
      <c r="AR122" s="865">
        <f t="shared" si="56"/>
        <v>0.40823403008400078</v>
      </c>
      <c r="AS122" s="865">
        <f t="shared" si="57"/>
        <v>0.23190483251775329</v>
      </c>
      <c r="AT122" s="865">
        <f t="shared" si="58"/>
        <v>0.18596491228070175</v>
      </c>
      <c r="AV122" s="866">
        <v>21053</v>
      </c>
      <c r="AW122" s="866">
        <v>61790</v>
      </c>
      <c r="AX122" s="866">
        <v>13871</v>
      </c>
      <c r="AZ122" s="866">
        <f t="shared" si="59"/>
        <v>8594.5510353584687</v>
      </c>
      <c r="BA122" s="866">
        <f t="shared" si="60"/>
        <v>14329.399601271976</v>
      </c>
      <c r="BB122" s="866">
        <f t="shared" si="61"/>
        <v>2579.5192982456138</v>
      </c>
      <c r="BC122" s="883">
        <f t="shared" si="46"/>
        <v>25503.469934876059</v>
      </c>
    </row>
    <row r="123" spans="1:55" s="863" customFormat="1" ht="12" customHeight="1" x14ac:dyDescent="0.2">
      <c r="A123" s="863" t="s">
        <v>222</v>
      </c>
      <c r="B123" s="867" t="s">
        <v>223</v>
      </c>
      <c r="C123" s="880">
        <v>1792</v>
      </c>
      <c r="D123" s="864">
        <v>5748</v>
      </c>
      <c r="E123" s="864">
        <v>7540</v>
      </c>
      <c r="F123" s="864">
        <v>1628</v>
      </c>
      <c r="G123" s="864">
        <v>5507</v>
      </c>
      <c r="H123" s="864">
        <v>7135</v>
      </c>
      <c r="I123" s="864">
        <v>1378</v>
      </c>
      <c r="J123" s="864">
        <v>5698</v>
      </c>
      <c r="K123" s="864">
        <v>7076</v>
      </c>
      <c r="L123" s="864">
        <v>1362</v>
      </c>
      <c r="M123" s="864">
        <v>5179</v>
      </c>
      <c r="N123" s="864">
        <v>6541</v>
      </c>
      <c r="O123" s="864">
        <v>1570</v>
      </c>
      <c r="P123" s="864">
        <v>7943</v>
      </c>
      <c r="Q123" s="864">
        <v>9513</v>
      </c>
      <c r="R123" s="864">
        <v>1290</v>
      </c>
      <c r="S123" s="864">
        <v>11473</v>
      </c>
      <c r="T123" s="864">
        <v>12763</v>
      </c>
      <c r="U123" s="864">
        <v>1158</v>
      </c>
      <c r="V123" s="864">
        <v>12154</v>
      </c>
      <c r="W123" s="864">
        <v>13312</v>
      </c>
      <c r="X123" s="864">
        <v>797</v>
      </c>
      <c r="Y123" s="864">
        <v>8499</v>
      </c>
      <c r="Z123" s="864">
        <v>9296</v>
      </c>
      <c r="AA123" s="864">
        <v>511</v>
      </c>
      <c r="AB123" s="864">
        <v>4866</v>
      </c>
      <c r="AC123" s="864">
        <v>5377</v>
      </c>
      <c r="AD123" s="864">
        <v>676</v>
      </c>
      <c r="AE123" s="864">
        <v>3132</v>
      </c>
      <c r="AF123" s="864">
        <v>3808</v>
      </c>
      <c r="AH123" s="864">
        <f t="shared" si="47"/>
        <v>4798</v>
      </c>
      <c r="AI123" s="864">
        <f t="shared" si="48"/>
        <v>16953</v>
      </c>
      <c r="AJ123" s="864">
        <f t="shared" si="49"/>
        <v>21751</v>
      </c>
      <c r="AK123" s="864">
        <f t="shared" si="50"/>
        <v>6177</v>
      </c>
      <c r="AL123" s="864">
        <f t="shared" si="51"/>
        <v>45248</v>
      </c>
      <c r="AM123" s="864">
        <f t="shared" si="52"/>
        <v>51425</v>
      </c>
      <c r="AN123" s="864">
        <f t="shared" si="53"/>
        <v>1187</v>
      </c>
      <c r="AO123" s="864">
        <f t="shared" si="54"/>
        <v>7998</v>
      </c>
      <c r="AP123" s="864">
        <f t="shared" si="55"/>
        <v>9185</v>
      </c>
      <c r="AR123" s="865">
        <f t="shared" si="56"/>
        <v>0.2205875591926808</v>
      </c>
      <c r="AS123" s="865">
        <f t="shared" si="57"/>
        <v>0.12011667476908118</v>
      </c>
      <c r="AT123" s="865">
        <f t="shared" si="58"/>
        <v>0.12923244420250407</v>
      </c>
      <c r="AV123" s="866">
        <v>21786</v>
      </c>
      <c r="AW123" s="866">
        <v>53101</v>
      </c>
      <c r="AX123" s="866">
        <v>10043</v>
      </c>
      <c r="AZ123" s="866">
        <f t="shared" si="59"/>
        <v>4805.720564571744</v>
      </c>
      <c r="BA123" s="866">
        <f t="shared" si="60"/>
        <v>6378.3155469129797</v>
      </c>
      <c r="BB123" s="866">
        <f t="shared" si="61"/>
        <v>1297.8814371257483</v>
      </c>
      <c r="BC123" s="883">
        <f t="shared" si="46"/>
        <v>12481.917548610472</v>
      </c>
    </row>
    <row r="124" spans="1:55" s="863" customFormat="1" ht="12" customHeight="1" x14ac:dyDescent="0.2">
      <c r="A124" s="863" t="s">
        <v>230</v>
      </c>
      <c r="B124" s="867" t="s">
        <v>231</v>
      </c>
      <c r="C124" s="880">
        <v>5661</v>
      </c>
      <c r="D124" s="864">
        <v>27970</v>
      </c>
      <c r="E124" s="864">
        <v>33631</v>
      </c>
      <c r="F124" s="864">
        <v>4858</v>
      </c>
      <c r="G124" s="864">
        <v>29701</v>
      </c>
      <c r="H124" s="864">
        <v>34559</v>
      </c>
      <c r="I124" s="864">
        <v>4188</v>
      </c>
      <c r="J124" s="864">
        <v>32452</v>
      </c>
      <c r="K124" s="864">
        <v>36640</v>
      </c>
      <c r="L124" s="864">
        <v>5825</v>
      </c>
      <c r="M124" s="864">
        <v>36166</v>
      </c>
      <c r="N124" s="864">
        <v>41991</v>
      </c>
      <c r="O124" s="864">
        <v>5896</v>
      </c>
      <c r="P124" s="864">
        <v>58846</v>
      </c>
      <c r="Q124" s="864">
        <v>64742</v>
      </c>
      <c r="R124" s="864">
        <v>4241</v>
      </c>
      <c r="S124" s="864">
        <v>55844</v>
      </c>
      <c r="T124" s="864">
        <v>60085</v>
      </c>
      <c r="U124" s="864">
        <v>4287</v>
      </c>
      <c r="V124" s="864">
        <v>59707</v>
      </c>
      <c r="W124" s="864">
        <v>63994</v>
      </c>
      <c r="X124" s="864">
        <v>2815</v>
      </c>
      <c r="Y124" s="864">
        <v>43187</v>
      </c>
      <c r="Z124" s="864">
        <v>46002</v>
      </c>
      <c r="AA124" s="864">
        <v>1824</v>
      </c>
      <c r="AB124" s="864">
        <v>23101</v>
      </c>
      <c r="AC124" s="864">
        <v>24925</v>
      </c>
      <c r="AD124" s="864">
        <v>1774</v>
      </c>
      <c r="AE124" s="864">
        <v>17775</v>
      </c>
      <c r="AF124" s="864">
        <v>19549</v>
      </c>
      <c r="AH124" s="864">
        <f t="shared" si="47"/>
        <v>14707</v>
      </c>
      <c r="AI124" s="864">
        <f t="shared" si="48"/>
        <v>90123</v>
      </c>
      <c r="AJ124" s="864">
        <f t="shared" si="49"/>
        <v>104830</v>
      </c>
      <c r="AK124" s="864">
        <f t="shared" si="50"/>
        <v>23064</v>
      </c>
      <c r="AL124" s="864">
        <f t="shared" si="51"/>
        <v>253750</v>
      </c>
      <c r="AM124" s="864">
        <f t="shared" si="52"/>
        <v>276814</v>
      </c>
      <c r="AN124" s="864">
        <f t="shared" si="53"/>
        <v>3598</v>
      </c>
      <c r="AO124" s="864">
        <f t="shared" si="54"/>
        <v>40876</v>
      </c>
      <c r="AP124" s="864">
        <f t="shared" si="55"/>
        <v>44474</v>
      </c>
      <c r="AR124" s="865">
        <f t="shared" si="56"/>
        <v>0.14029380902413432</v>
      </c>
      <c r="AS124" s="865">
        <f t="shared" si="57"/>
        <v>8.3319485286148826E-2</v>
      </c>
      <c r="AT124" s="865">
        <f t="shared" si="58"/>
        <v>8.0901200701533477E-2</v>
      </c>
      <c r="AV124" s="866">
        <v>104515</v>
      </c>
      <c r="AW124" s="866">
        <v>290072</v>
      </c>
      <c r="AX124" s="866">
        <v>48120</v>
      </c>
      <c r="AZ124" s="866">
        <f t="shared" si="59"/>
        <v>14662.807450157399</v>
      </c>
      <c r="BA124" s="866">
        <f t="shared" si="60"/>
        <v>24168.649735923762</v>
      </c>
      <c r="BB124" s="866">
        <f t="shared" si="61"/>
        <v>3892.9657777577909</v>
      </c>
      <c r="BC124" s="883">
        <f t="shared" si="46"/>
        <v>42724.422963838952</v>
      </c>
    </row>
    <row r="125" spans="1:55" s="863" customFormat="1" ht="12" customHeight="1" x14ac:dyDescent="0.2">
      <c r="A125" s="863" t="s">
        <v>238</v>
      </c>
      <c r="B125" s="867" t="s">
        <v>239</v>
      </c>
      <c r="C125" s="880">
        <v>109</v>
      </c>
      <c r="D125" s="864">
        <v>410</v>
      </c>
      <c r="E125" s="864">
        <v>519</v>
      </c>
      <c r="F125" s="864">
        <v>90</v>
      </c>
      <c r="G125" s="864">
        <v>368</v>
      </c>
      <c r="H125" s="864">
        <v>458</v>
      </c>
      <c r="I125" s="864">
        <v>43</v>
      </c>
      <c r="J125" s="864">
        <v>322</v>
      </c>
      <c r="K125" s="864">
        <v>365</v>
      </c>
      <c r="L125" s="864">
        <v>780</v>
      </c>
      <c r="M125" s="864">
        <v>723</v>
      </c>
      <c r="N125" s="864">
        <v>1503</v>
      </c>
      <c r="O125" s="864">
        <v>224</v>
      </c>
      <c r="P125" s="864">
        <v>954</v>
      </c>
      <c r="Q125" s="864">
        <v>1178</v>
      </c>
      <c r="R125" s="864">
        <v>90</v>
      </c>
      <c r="S125" s="864">
        <v>705</v>
      </c>
      <c r="T125" s="864">
        <v>795</v>
      </c>
      <c r="U125" s="864">
        <v>110</v>
      </c>
      <c r="V125" s="864">
        <v>824</v>
      </c>
      <c r="W125" s="864">
        <v>934</v>
      </c>
      <c r="X125" s="864">
        <v>64</v>
      </c>
      <c r="Y125" s="864">
        <v>1103</v>
      </c>
      <c r="Z125" s="864">
        <v>1167</v>
      </c>
      <c r="AA125" s="864">
        <v>104</v>
      </c>
      <c r="AB125" s="864">
        <v>964</v>
      </c>
      <c r="AC125" s="864">
        <v>1068</v>
      </c>
      <c r="AD125" s="864">
        <v>31</v>
      </c>
      <c r="AE125" s="864">
        <v>627</v>
      </c>
      <c r="AF125" s="864">
        <v>658</v>
      </c>
      <c r="AH125" s="864">
        <f t="shared" si="47"/>
        <v>242</v>
      </c>
      <c r="AI125" s="864">
        <f t="shared" si="48"/>
        <v>1100</v>
      </c>
      <c r="AJ125" s="864">
        <f t="shared" si="49"/>
        <v>1342</v>
      </c>
      <c r="AK125" s="864">
        <f t="shared" si="50"/>
        <v>1268</v>
      </c>
      <c r="AL125" s="864">
        <f t="shared" si="51"/>
        <v>4309</v>
      </c>
      <c r="AM125" s="864">
        <f t="shared" si="52"/>
        <v>5577</v>
      </c>
      <c r="AN125" s="864">
        <f t="shared" si="53"/>
        <v>135</v>
      </c>
      <c r="AO125" s="864">
        <f t="shared" si="54"/>
        <v>1591</v>
      </c>
      <c r="AP125" s="864">
        <f t="shared" si="55"/>
        <v>1726</v>
      </c>
      <c r="AR125" s="865">
        <f t="shared" si="56"/>
        <v>0.18032786885245902</v>
      </c>
      <c r="AS125" s="865">
        <f t="shared" si="57"/>
        <v>0.22736238120853505</v>
      </c>
      <c r="AT125" s="865">
        <f t="shared" si="58"/>
        <v>7.8215527230590956E-2</v>
      </c>
      <c r="AV125" s="866">
        <v>1518</v>
      </c>
      <c r="AW125" s="866">
        <v>11055</v>
      </c>
      <c r="AX125" s="866">
        <v>1871</v>
      </c>
      <c r="AZ125" s="866">
        <f t="shared" si="59"/>
        <v>273.73770491803282</v>
      </c>
      <c r="BA125" s="866">
        <f t="shared" si="60"/>
        <v>2513.4911242603548</v>
      </c>
      <c r="BB125" s="866">
        <f t="shared" si="61"/>
        <v>146.34125144843568</v>
      </c>
      <c r="BC125" s="883">
        <f t="shared" si="46"/>
        <v>2933.5700806268233</v>
      </c>
    </row>
    <row r="126" spans="1:55" s="863" customFormat="1" ht="12" customHeight="1" x14ac:dyDescent="0.2">
      <c r="A126" s="863" t="s">
        <v>240</v>
      </c>
      <c r="B126" s="867" t="s">
        <v>241</v>
      </c>
      <c r="C126" s="880">
        <v>678</v>
      </c>
      <c r="D126" s="864">
        <v>1340</v>
      </c>
      <c r="E126" s="864">
        <v>2018</v>
      </c>
      <c r="F126" s="864">
        <v>554</v>
      </c>
      <c r="G126" s="864">
        <v>1068</v>
      </c>
      <c r="H126" s="864">
        <v>1622</v>
      </c>
      <c r="I126" s="864">
        <v>334</v>
      </c>
      <c r="J126" s="864">
        <v>1551</v>
      </c>
      <c r="K126" s="864">
        <v>1885</v>
      </c>
      <c r="L126" s="864">
        <v>1112</v>
      </c>
      <c r="M126" s="864">
        <v>1628</v>
      </c>
      <c r="N126" s="864">
        <v>2740</v>
      </c>
      <c r="O126" s="864">
        <v>756</v>
      </c>
      <c r="P126" s="864">
        <v>3033</v>
      </c>
      <c r="Q126" s="864">
        <v>3789</v>
      </c>
      <c r="R126" s="864">
        <v>624</v>
      </c>
      <c r="S126" s="864">
        <v>2603</v>
      </c>
      <c r="T126" s="864">
        <v>3227</v>
      </c>
      <c r="U126" s="864">
        <v>685</v>
      </c>
      <c r="V126" s="864">
        <v>2840</v>
      </c>
      <c r="W126" s="864">
        <v>3525</v>
      </c>
      <c r="X126" s="864">
        <v>360</v>
      </c>
      <c r="Y126" s="864">
        <v>2471</v>
      </c>
      <c r="Z126" s="864">
        <v>2831</v>
      </c>
      <c r="AA126" s="864">
        <v>253</v>
      </c>
      <c r="AB126" s="864">
        <v>1433</v>
      </c>
      <c r="AC126" s="864">
        <v>1686</v>
      </c>
      <c r="AD126" s="864">
        <v>204</v>
      </c>
      <c r="AE126" s="864">
        <v>1608</v>
      </c>
      <c r="AF126" s="864">
        <v>1812</v>
      </c>
      <c r="AH126" s="864">
        <f t="shared" si="47"/>
        <v>1566</v>
      </c>
      <c r="AI126" s="864">
        <f t="shared" si="48"/>
        <v>3959</v>
      </c>
      <c r="AJ126" s="864">
        <f t="shared" si="49"/>
        <v>5525</v>
      </c>
      <c r="AK126" s="864">
        <f t="shared" si="50"/>
        <v>3537</v>
      </c>
      <c r="AL126" s="864">
        <f t="shared" si="51"/>
        <v>12575</v>
      </c>
      <c r="AM126" s="864">
        <f t="shared" si="52"/>
        <v>16112</v>
      </c>
      <c r="AN126" s="864">
        <f t="shared" si="53"/>
        <v>457</v>
      </c>
      <c r="AO126" s="864">
        <f t="shared" si="54"/>
        <v>3041</v>
      </c>
      <c r="AP126" s="864">
        <f t="shared" si="55"/>
        <v>3498</v>
      </c>
      <c r="AR126" s="865">
        <f t="shared" si="56"/>
        <v>0.28343891402714932</v>
      </c>
      <c r="AS126" s="865">
        <f t="shared" si="57"/>
        <v>0.219525819265144</v>
      </c>
      <c r="AT126" s="865">
        <f t="shared" si="58"/>
        <v>0.13064608347627216</v>
      </c>
      <c r="AV126" s="866">
        <v>6017</v>
      </c>
      <c r="AW126" s="866">
        <v>16837</v>
      </c>
      <c r="AX126" s="866">
        <v>3733</v>
      </c>
      <c r="AZ126" s="866">
        <f t="shared" si="59"/>
        <v>1705.4519457013575</v>
      </c>
      <c r="BA126" s="866">
        <f t="shared" si="60"/>
        <v>3696.1562189672295</v>
      </c>
      <c r="BB126" s="866">
        <f t="shared" si="61"/>
        <v>487.70182961692399</v>
      </c>
      <c r="BC126" s="883">
        <f t="shared" si="46"/>
        <v>5889.3099942855115</v>
      </c>
    </row>
  </sheetData>
  <mergeCells count="14">
    <mergeCell ref="C4:E4"/>
    <mergeCell ref="F4:H4"/>
    <mergeCell ref="AZ3:BB3"/>
    <mergeCell ref="I4:K4"/>
    <mergeCell ref="L4:N4"/>
    <mergeCell ref="O4:Q4"/>
    <mergeCell ref="R4:T4"/>
    <mergeCell ref="U4:W4"/>
    <mergeCell ref="AA4:AC4"/>
    <mergeCell ref="AD4:AF4"/>
    <mergeCell ref="AH4:AJ4"/>
    <mergeCell ref="AK4:AM4"/>
    <mergeCell ref="AN4:AP4"/>
    <mergeCell ref="X4: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C137"/>
  <sheetViews>
    <sheetView workbookViewId="0">
      <pane xSplit="3" ySplit="4" topLeftCell="K9" activePane="bottomRight" state="frozen"/>
      <selection pane="topRight" activeCell="D1" sqref="D1"/>
      <selection pane="bottomLeft" activeCell="A5" sqref="A5"/>
      <selection pane="bottomRight" activeCell="N27" sqref="N27:N29"/>
    </sheetView>
  </sheetViews>
  <sheetFormatPr defaultRowHeight="15.75" x14ac:dyDescent="0.25"/>
  <cols>
    <col min="1" max="1" width="9.875" style="389" customWidth="1"/>
    <col min="2" max="2" width="32.5" style="389" customWidth="1"/>
    <col min="3" max="3" width="12.5" style="389" customWidth="1"/>
    <col min="4" max="15" width="7.375" style="389" customWidth="1"/>
    <col min="16" max="20" width="7.625" style="389" customWidth="1"/>
    <col min="21" max="21" width="3.25" style="389" customWidth="1"/>
    <col min="22" max="45" width="15" style="389" customWidth="1"/>
    <col min="46" max="46" width="14.125" style="389" customWidth="1"/>
    <col min="47" max="47" width="13.875" style="389" customWidth="1"/>
    <col min="48" max="49" width="14" style="389" customWidth="1"/>
    <col min="50" max="50" width="10.875" style="389" customWidth="1"/>
    <col min="51" max="55" width="12.625" style="389" customWidth="1"/>
    <col min="56" max="16384" width="9" style="389"/>
  </cols>
  <sheetData>
    <row r="1" spans="1:55" x14ac:dyDescent="0.25">
      <c r="A1" s="181" t="s">
        <v>1220</v>
      </c>
    </row>
    <row r="3" spans="1:55" ht="33.75" customHeight="1" x14ac:dyDescent="0.25">
      <c r="A3" s="392" t="s">
        <v>4</v>
      </c>
      <c r="B3" s="501" t="s">
        <v>5</v>
      </c>
      <c r="C3" s="579" t="s">
        <v>251</v>
      </c>
      <c r="D3" s="393">
        <v>2000</v>
      </c>
      <c r="E3" s="394">
        <v>2001</v>
      </c>
      <c r="F3" s="395">
        <v>2002</v>
      </c>
      <c r="G3" s="395">
        <v>2003</v>
      </c>
      <c r="H3" s="395">
        <v>2004</v>
      </c>
      <c r="I3" s="395">
        <v>2005</v>
      </c>
      <c r="J3" s="395">
        <v>2006</v>
      </c>
      <c r="K3" s="395">
        <v>2007</v>
      </c>
      <c r="L3" s="395">
        <v>2008</v>
      </c>
      <c r="M3" s="395">
        <v>2009</v>
      </c>
      <c r="N3" s="395">
        <v>2010</v>
      </c>
      <c r="O3" s="396" t="s">
        <v>587</v>
      </c>
      <c r="P3" s="397" t="s">
        <v>816</v>
      </c>
      <c r="Q3" s="1311">
        <v>2013</v>
      </c>
      <c r="R3" s="1314">
        <v>2014</v>
      </c>
      <c r="S3" s="1481">
        <v>2015</v>
      </c>
      <c r="T3" s="1683">
        <v>2016</v>
      </c>
      <c r="U3" s="183"/>
      <c r="V3" s="393" t="s">
        <v>727</v>
      </c>
      <c r="W3" s="398" t="s">
        <v>726</v>
      </c>
      <c r="X3" s="393" t="s">
        <v>438</v>
      </c>
      <c r="Y3" s="398" t="s">
        <v>439</v>
      </c>
      <c r="Z3" s="399" t="s">
        <v>440</v>
      </c>
      <c r="AA3" s="395" t="s">
        <v>441</v>
      </c>
      <c r="AB3" s="399" t="s">
        <v>442</v>
      </c>
      <c r="AC3" s="395" t="s">
        <v>443</v>
      </c>
      <c r="AD3" s="399" t="s">
        <v>252</v>
      </c>
      <c r="AE3" s="395" t="s">
        <v>253</v>
      </c>
      <c r="AF3" s="399" t="s">
        <v>254</v>
      </c>
      <c r="AG3" s="395" t="s">
        <v>255</v>
      </c>
      <c r="AH3" s="399" t="s">
        <v>256</v>
      </c>
      <c r="AI3" s="395" t="s">
        <v>257</v>
      </c>
      <c r="AJ3" s="399" t="s">
        <v>258</v>
      </c>
      <c r="AK3" s="395" t="s">
        <v>259</v>
      </c>
      <c r="AL3" s="399" t="s">
        <v>260</v>
      </c>
      <c r="AM3" s="395" t="s">
        <v>261</v>
      </c>
      <c r="AN3" s="400" t="s">
        <v>262</v>
      </c>
      <c r="AO3" s="395" t="s">
        <v>263</v>
      </c>
      <c r="AP3" s="393" t="s">
        <v>589</v>
      </c>
      <c r="AQ3" s="395" t="s">
        <v>590</v>
      </c>
      <c r="AR3" s="401" t="s">
        <v>591</v>
      </c>
      <c r="AS3" s="402" t="s">
        <v>592</v>
      </c>
      <c r="AT3" s="393" t="s">
        <v>817</v>
      </c>
      <c r="AU3" s="398" t="s">
        <v>818</v>
      </c>
      <c r="AV3" s="925" t="s">
        <v>829</v>
      </c>
      <c r="AW3" s="1320" t="s">
        <v>830</v>
      </c>
      <c r="AX3" s="1323" t="s">
        <v>1062</v>
      </c>
      <c r="AY3" s="1324" t="s">
        <v>1063</v>
      </c>
      <c r="AZ3" s="1487" t="s">
        <v>1179</v>
      </c>
      <c r="BA3" s="1488" t="s">
        <v>1180</v>
      </c>
      <c r="BB3" s="1487" t="s">
        <v>1218</v>
      </c>
      <c r="BC3" s="1488" t="s">
        <v>1219</v>
      </c>
    </row>
    <row r="4" spans="1:55" x14ac:dyDescent="0.25">
      <c r="A4" s="1012" t="s">
        <v>8</v>
      </c>
      <c r="B4" s="1013" t="s">
        <v>9</v>
      </c>
      <c r="C4" s="1014"/>
      <c r="D4" s="1015">
        <f t="shared" ref="D4" si="0">W4/V4</f>
        <v>2.2744400394302866E-2</v>
      </c>
      <c r="E4" s="1016">
        <f t="shared" ref="E4" si="1">Y4/X4</f>
        <v>3.2187783912701044E-2</v>
      </c>
      <c r="F4" s="1017">
        <f>AA4/Z4</f>
        <v>4.1810282554885593E-2</v>
      </c>
      <c r="G4" s="1017">
        <f t="shared" ref="G4" si="2">AC4/AB4</f>
        <v>4.0951027325666245E-2</v>
      </c>
      <c r="H4" s="1017">
        <f t="shared" ref="H4" si="3">AE4/AD4</f>
        <v>3.6983564098822252E-2</v>
      </c>
      <c r="I4" s="1017">
        <f t="shared" ref="I4" si="4">AG4/AF4</f>
        <v>3.5184099138150848E-2</v>
      </c>
      <c r="J4" s="1017">
        <f t="shared" ref="J4" si="5">AI4/AH4</f>
        <v>3.042605361214783E-2</v>
      </c>
      <c r="K4" s="1017">
        <f t="shared" ref="K4" si="6">AK4/AJ4</f>
        <v>3.0637117624127935E-2</v>
      </c>
      <c r="L4" s="1017">
        <f t="shared" ref="L4" si="7">AM4/AL4</f>
        <v>3.9533104507533175E-2</v>
      </c>
      <c r="M4" s="1017">
        <f t="shared" ref="M4" si="8">AO4/AN4</f>
        <v>6.9500899241383113E-2</v>
      </c>
      <c r="N4" s="1017">
        <f t="shared" ref="N4" si="9">AQ4/AP4</f>
        <v>7.0996273411972191E-2</v>
      </c>
      <c r="O4" s="1018">
        <f t="shared" ref="O4" si="10">AS4/AR4</f>
        <v>6.4437374190308969E-2</v>
      </c>
      <c r="P4" s="1019">
        <f t="shared" ref="P4" si="11">AU4/AT4</f>
        <v>5.8774345474193433E-2</v>
      </c>
      <c r="Q4" s="1312">
        <f t="shared" ref="Q4" si="12">AW4/AV4</f>
        <v>5.5454654156622714E-2</v>
      </c>
      <c r="R4" s="1315">
        <f t="shared" ref="R4" si="13">AY4/AX4</f>
        <v>5.1645529339042547E-2</v>
      </c>
      <c r="S4" s="1482">
        <f t="shared" ref="S4:S35" si="14">BA4/AZ4</f>
        <v>4.4467413563948954E-2</v>
      </c>
      <c r="T4" s="1482">
        <f>BC4/BB4</f>
        <v>4.0126015938058909E-2</v>
      </c>
      <c r="U4" s="184"/>
      <c r="V4" s="1005">
        <v>3584047</v>
      </c>
      <c r="W4" s="1006">
        <v>81517</v>
      </c>
      <c r="X4" s="1007">
        <v>3655393</v>
      </c>
      <c r="Y4" s="1008">
        <v>117659</v>
      </c>
      <c r="Z4" s="1007">
        <v>3744653</v>
      </c>
      <c r="AA4" s="1008">
        <v>156565</v>
      </c>
      <c r="AB4" s="1007">
        <v>3802835</v>
      </c>
      <c r="AC4" s="1008">
        <v>155730</v>
      </c>
      <c r="AD4" s="1007">
        <v>3857957</v>
      </c>
      <c r="AE4" s="1008">
        <v>142681</v>
      </c>
      <c r="AF4" s="1007">
        <v>3921800</v>
      </c>
      <c r="AG4" s="1008">
        <v>137985</v>
      </c>
      <c r="AH4" s="1007">
        <v>3983724</v>
      </c>
      <c r="AI4" s="1008">
        <v>121209</v>
      </c>
      <c r="AJ4" s="1007">
        <v>4017186</v>
      </c>
      <c r="AK4" s="1008">
        <v>123075</v>
      </c>
      <c r="AL4" s="1007">
        <v>4138228</v>
      </c>
      <c r="AM4" s="1008">
        <v>163597</v>
      </c>
      <c r="AN4" s="1009">
        <v>4130148</v>
      </c>
      <c r="AO4" s="1008">
        <v>287049</v>
      </c>
      <c r="AP4" s="1007">
        <v>4139175</v>
      </c>
      <c r="AQ4" s="1008">
        <v>293866</v>
      </c>
      <c r="AR4" s="1007">
        <v>4208241</v>
      </c>
      <c r="AS4" s="1008">
        <v>271168</v>
      </c>
      <c r="AT4" s="1010">
        <v>4220651</v>
      </c>
      <c r="AU4" s="1011">
        <v>248066</v>
      </c>
      <c r="AV4" s="1153">
        <v>4240113</v>
      </c>
      <c r="AW4" s="1321">
        <v>235134</v>
      </c>
      <c r="AX4" s="1328">
        <v>4261182</v>
      </c>
      <c r="AY4" s="1329">
        <v>220071</v>
      </c>
      <c r="AZ4" s="1328">
        <f>SUM(AZ5:AZ124)</f>
        <v>4240476</v>
      </c>
      <c r="BA4" s="1486">
        <f>SUM(BA5:BA124)</f>
        <v>188563</v>
      </c>
      <c r="BB4" s="1328">
        <f>SUM(BB5:BB124)</f>
        <v>4240416</v>
      </c>
      <c r="BC4" s="1486">
        <f>SUM(BC5:BC124)</f>
        <v>170151</v>
      </c>
    </row>
    <row r="5" spans="1:55" ht="15" customHeight="1" x14ac:dyDescent="0.25">
      <c r="A5" s="403" t="s">
        <v>10</v>
      </c>
      <c r="B5" s="404" t="s">
        <v>11</v>
      </c>
      <c r="C5" s="187" t="s">
        <v>264</v>
      </c>
      <c r="D5" s="405">
        <f t="shared" ref="D5:D36" si="15">W5/V5</f>
        <v>2.9532585766625957E-2</v>
      </c>
      <c r="E5" s="406">
        <f t="shared" ref="E5:E36" si="16">Y5/X5</f>
        <v>3.3548598949211909E-2</v>
      </c>
      <c r="F5" s="407">
        <f t="shared" ref="F5:F68" si="17">AA5/Z5</f>
        <v>4.1398440362170934E-2</v>
      </c>
      <c r="G5" s="407">
        <f t="shared" ref="G5:G36" si="18">AC5/AB5</f>
        <v>4.3487190018996764E-2</v>
      </c>
      <c r="H5" s="407">
        <f t="shared" ref="H5:H36" si="19">AE5/AD5</f>
        <v>4.57900986010015E-2</v>
      </c>
      <c r="I5" s="407">
        <f t="shared" ref="I5:I36" si="20">AG5/AF5</f>
        <v>4.6296296296296294E-2</v>
      </c>
      <c r="J5" s="407">
        <f t="shared" ref="J5:J36" si="21">AI5/AH5</f>
        <v>4.2121684867394697E-2</v>
      </c>
      <c r="K5" s="407">
        <f t="shared" ref="K5:K36" si="22">AK5/AJ5</f>
        <v>4.1361228530151423E-2</v>
      </c>
      <c r="L5" s="407">
        <f t="shared" ref="L5:L36" si="23">AM5/AL5</f>
        <v>4.9915842625710076E-2</v>
      </c>
      <c r="M5" s="407">
        <f t="shared" ref="M5:M36" si="24">AO5/AN5</f>
        <v>6.7361708588491317E-2</v>
      </c>
      <c r="N5" s="407">
        <f t="shared" ref="N5:N36" si="25">AQ5/AP5</f>
        <v>7.0492496300993454E-2</v>
      </c>
      <c r="O5" s="408">
        <f t="shared" ref="O5:O36" si="26">AS5/AR5</f>
        <v>7.280433499651269E-2</v>
      </c>
      <c r="P5" s="409">
        <f t="shared" ref="P5:P36" si="27">AU5/AT5</f>
        <v>6.8050561185572622E-2</v>
      </c>
      <c r="Q5" s="1313">
        <f t="shared" ref="Q5:Q36" si="28">AW5/AV5</f>
        <v>6.469613259668508E-2</v>
      </c>
      <c r="R5" s="1316">
        <f t="shared" ref="R5:R36" si="29">AY5/AX5</f>
        <v>6.4902646030953567E-2</v>
      </c>
      <c r="S5" s="1483">
        <f t="shared" si="14"/>
        <v>5.4219884798397198E-2</v>
      </c>
      <c r="T5" s="1483">
        <f t="shared" ref="T5:T68" si="30">BC5/BB5</f>
        <v>4.8167605544654726E-2</v>
      </c>
      <c r="U5" s="216"/>
      <c r="V5" s="410">
        <v>18014</v>
      </c>
      <c r="W5" s="411">
        <v>532</v>
      </c>
      <c r="X5" s="412">
        <v>18272</v>
      </c>
      <c r="Y5" s="413">
        <v>613</v>
      </c>
      <c r="Z5" s="412">
        <v>19107</v>
      </c>
      <c r="AA5" s="413">
        <v>791</v>
      </c>
      <c r="AB5" s="412">
        <v>19477</v>
      </c>
      <c r="AC5" s="413">
        <v>847</v>
      </c>
      <c r="AD5" s="412">
        <v>19371</v>
      </c>
      <c r="AE5" s="413">
        <v>887</v>
      </c>
      <c r="AF5" s="412">
        <v>18900</v>
      </c>
      <c r="AG5" s="413">
        <v>875</v>
      </c>
      <c r="AH5" s="412">
        <v>18589</v>
      </c>
      <c r="AI5" s="413">
        <v>783</v>
      </c>
      <c r="AJ5" s="412">
        <v>18689</v>
      </c>
      <c r="AK5" s="413">
        <v>773</v>
      </c>
      <c r="AL5" s="412">
        <v>19012</v>
      </c>
      <c r="AM5" s="413">
        <v>949</v>
      </c>
      <c r="AN5" s="414">
        <v>19759</v>
      </c>
      <c r="AO5" s="413">
        <v>1331</v>
      </c>
      <c r="AP5" s="412">
        <v>18924</v>
      </c>
      <c r="AQ5" s="413">
        <v>1334</v>
      </c>
      <c r="AR5" s="415">
        <v>18639</v>
      </c>
      <c r="AS5" s="416">
        <v>1357</v>
      </c>
      <c r="AT5" s="417">
        <v>18354</v>
      </c>
      <c r="AU5" s="418">
        <v>1249</v>
      </c>
      <c r="AV5" s="417">
        <v>18100</v>
      </c>
      <c r="AW5" s="1322">
        <v>1171</v>
      </c>
      <c r="AX5" s="1325">
        <v>16024</v>
      </c>
      <c r="AY5" s="1326">
        <v>1040</v>
      </c>
      <c r="AZ5" s="1469">
        <v>15972</v>
      </c>
      <c r="BA5" s="1489">
        <v>866</v>
      </c>
      <c r="BB5" s="1469">
        <v>15799</v>
      </c>
      <c r="BC5" s="1489">
        <v>761</v>
      </c>
    </row>
    <row r="6" spans="1:55" ht="15" customHeight="1" x14ac:dyDescent="0.25">
      <c r="A6" s="403" t="s">
        <v>12</v>
      </c>
      <c r="B6" s="419" t="s">
        <v>13</v>
      </c>
      <c r="C6" s="187" t="s">
        <v>265</v>
      </c>
      <c r="D6" s="405">
        <f t="shared" si="15"/>
        <v>1.7134675780528359E-2</v>
      </c>
      <c r="E6" s="406">
        <f t="shared" si="16"/>
        <v>2.1573084791998182E-2</v>
      </c>
      <c r="F6" s="407">
        <f t="shared" si="17"/>
        <v>3.1228952449373626E-2</v>
      </c>
      <c r="G6" s="407">
        <f t="shared" si="18"/>
        <v>3.391626921038686E-2</v>
      </c>
      <c r="H6" s="407">
        <f t="shared" si="19"/>
        <v>3.0472824447222102E-2</v>
      </c>
      <c r="I6" s="407">
        <f t="shared" si="20"/>
        <v>2.8059513830678961E-2</v>
      </c>
      <c r="J6" s="407">
        <f t="shared" si="21"/>
        <v>2.4123422159887799E-2</v>
      </c>
      <c r="K6" s="407">
        <f t="shared" si="22"/>
        <v>2.2556390977443608E-2</v>
      </c>
      <c r="L6" s="407">
        <f t="shared" si="23"/>
        <v>2.9824128706672486E-2</v>
      </c>
      <c r="M6" s="407">
        <f t="shared" si="24"/>
        <v>5.3294908741594621E-2</v>
      </c>
      <c r="N6" s="407">
        <f t="shared" si="25"/>
        <v>5.7299975601058539E-2</v>
      </c>
      <c r="O6" s="408">
        <f t="shared" si="26"/>
        <v>5.2466318595056412E-2</v>
      </c>
      <c r="P6" s="409">
        <f t="shared" si="27"/>
        <v>4.8710188788009798E-2</v>
      </c>
      <c r="Q6" s="1313">
        <f t="shared" si="28"/>
        <v>4.5550468559982835E-2</v>
      </c>
      <c r="R6" s="1316">
        <f t="shared" si="29"/>
        <v>4.3976595193126689E-2</v>
      </c>
      <c r="S6" s="1483">
        <f t="shared" si="14"/>
        <v>3.8520262688324348E-2</v>
      </c>
      <c r="T6" s="1483">
        <f t="shared" si="30"/>
        <v>3.4977445833025214E-2</v>
      </c>
      <c r="U6" s="216"/>
      <c r="V6" s="410">
        <v>43304</v>
      </c>
      <c r="W6" s="411">
        <v>742</v>
      </c>
      <c r="X6" s="412">
        <v>43990</v>
      </c>
      <c r="Y6" s="413">
        <v>949</v>
      </c>
      <c r="Z6" s="412">
        <v>44542</v>
      </c>
      <c r="AA6" s="413">
        <v>1391</v>
      </c>
      <c r="AB6" s="412">
        <v>45288</v>
      </c>
      <c r="AC6" s="413">
        <v>1536</v>
      </c>
      <c r="AD6" s="412">
        <v>46402</v>
      </c>
      <c r="AE6" s="413">
        <v>1414</v>
      </c>
      <c r="AF6" s="412">
        <v>47720</v>
      </c>
      <c r="AG6" s="413">
        <v>1339</v>
      </c>
      <c r="AH6" s="412">
        <v>49910</v>
      </c>
      <c r="AI6" s="413">
        <v>1204</v>
      </c>
      <c r="AJ6" s="412">
        <v>51072</v>
      </c>
      <c r="AK6" s="413">
        <v>1152</v>
      </c>
      <c r="AL6" s="412">
        <v>52709</v>
      </c>
      <c r="AM6" s="413">
        <v>1572</v>
      </c>
      <c r="AN6" s="414">
        <v>52050</v>
      </c>
      <c r="AO6" s="413">
        <v>2774</v>
      </c>
      <c r="AP6" s="412">
        <v>53281</v>
      </c>
      <c r="AQ6" s="413">
        <v>3053</v>
      </c>
      <c r="AR6" s="415">
        <v>54778</v>
      </c>
      <c r="AS6" s="416">
        <v>2874</v>
      </c>
      <c r="AT6" s="417">
        <v>55512</v>
      </c>
      <c r="AU6" s="418">
        <v>2704</v>
      </c>
      <c r="AV6" s="417">
        <v>55916</v>
      </c>
      <c r="AW6" s="1322">
        <v>2547</v>
      </c>
      <c r="AX6" s="1325">
        <v>54006</v>
      </c>
      <c r="AY6" s="1326">
        <v>2375</v>
      </c>
      <c r="AZ6" s="1469">
        <v>54361</v>
      </c>
      <c r="BA6" s="1489">
        <v>2094</v>
      </c>
      <c r="BB6" s="1469">
        <v>54092</v>
      </c>
      <c r="BC6" s="1489">
        <v>1892</v>
      </c>
    </row>
    <row r="7" spans="1:55" ht="15" customHeight="1" x14ac:dyDescent="0.25">
      <c r="A7" s="403" t="s">
        <v>16</v>
      </c>
      <c r="B7" s="419" t="s">
        <v>17</v>
      </c>
      <c r="C7" s="187" t="s">
        <v>265</v>
      </c>
      <c r="D7" s="405">
        <f t="shared" si="15"/>
        <v>3.2557259133068332E-2</v>
      </c>
      <c r="E7" s="406">
        <f t="shared" si="16"/>
        <v>4.3324326842448524E-2</v>
      </c>
      <c r="F7" s="407">
        <f t="shared" si="17"/>
        <v>5.5366116295764538E-2</v>
      </c>
      <c r="G7" s="407">
        <f t="shared" si="18"/>
        <v>4.8516797712651896E-2</v>
      </c>
      <c r="H7" s="407">
        <f t="shared" si="19"/>
        <v>4.8531655225019073E-2</v>
      </c>
      <c r="I7" s="407">
        <f t="shared" si="20"/>
        <v>4.9295774647887321E-2</v>
      </c>
      <c r="J7" s="407">
        <f t="shared" si="21"/>
        <v>5.4240631163708086E-2</v>
      </c>
      <c r="K7" s="407">
        <f t="shared" si="22"/>
        <v>4.8147763826917093E-2</v>
      </c>
      <c r="L7" s="407">
        <f t="shared" si="23"/>
        <v>5.8110367892976592E-2</v>
      </c>
      <c r="M7" s="407">
        <f t="shared" si="24"/>
        <v>9.7239139261063742E-2</v>
      </c>
      <c r="N7" s="407">
        <f t="shared" si="25"/>
        <v>9.9793601651186795E-2</v>
      </c>
      <c r="O7" s="408">
        <f t="shared" si="26"/>
        <v>8.9150894611645465E-2</v>
      </c>
      <c r="P7" s="409">
        <f t="shared" si="27"/>
        <v>8.5031391122370306E-2</v>
      </c>
      <c r="Q7" s="1313">
        <f t="shared" si="28"/>
        <v>7.8494504274453203E-2</v>
      </c>
      <c r="R7" s="1316">
        <f t="shared" si="29"/>
        <v>6.5392868090323894E-2</v>
      </c>
      <c r="S7" s="1483">
        <f t="shared" si="14"/>
        <v>5.3347280334728034E-2</v>
      </c>
      <c r="T7" s="1483">
        <f t="shared" si="30"/>
        <v>5.2574991936350929E-2</v>
      </c>
      <c r="U7" s="216"/>
      <c r="V7" s="420">
        <v>10566</v>
      </c>
      <c r="W7" s="421">
        <v>344</v>
      </c>
      <c r="X7" s="1269">
        <v>10733</v>
      </c>
      <c r="Y7" s="1270">
        <v>465</v>
      </c>
      <c r="Z7" s="1269">
        <v>11144</v>
      </c>
      <c r="AA7" s="1270">
        <v>617</v>
      </c>
      <c r="AB7" s="1269">
        <v>11192</v>
      </c>
      <c r="AC7" s="1270">
        <v>543</v>
      </c>
      <c r="AD7" s="1269">
        <v>10488</v>
      </c>
      <c r="AE7" s="1270">
        <v>509</v>
      </c>
      <c r="AF7" s="1269">
        <v>10366</v>
      </c>
      <c r="AG7" s="1270">
        <v>511</v>
      </c>
      <c r="AH7" s="1269">
        <v>10140</v>
      </c>
      <c r="AI7" s="1270">
        <v>550</v>
      </c>
      <c r="AJ7" s="1269">
        <v>9637</v>
      </c>
      <c r="AK7" s="1270">
        <v>464</v>
      </c>
      <c r="AL7" s="1269">
        <v>9568</v>
      </c>
      <c r="AM7" s="1270">
        <v>556</v>
      </c>
      <c r="AN7" s="1271">
        <v>9852</v>
      </c>
      <c r="AO7" s="1270">
        <v>958</v>
      </c>
      <c r="AP7" s="1269">
        <v>9690</v>
      </c>
      <c r="AQ7" s="1270">
        <v>967</v>
      </c>
      <c r="AR7" s="415">
        <v>9669</v>
      </c>
      <c r="AS7" s="416">
        <v>862</v>
      </c>
      <c r="AT7" s="417">
        <v>9079</v>
      </c>
      <c r="AU7" s="418">
        <v>772</v>
      </c>
      <c r="AV7" s="417">
        <v>9007</v>
      </c>
      <c r="AW7" s="1322">
        <v>707</v>
      </c>
      <c r="AX7" s="1325">
        <v>9787</v>
      </c>
      <c r="AY7" s="1326">
        <v>640</v>
      </c>
      <c r="AZ7" s="1469">
        <v>9560</v>
      </c>
      <c r="BA7" s="1489">
        <v>510</v>
      </c>
      <c r="BB7" s="1469">
        <v>9301</v>
      </c>
      <c r="BC7" s="1489">
        <v>489</v>
      </c>
    </row>
    <row r="8" spans="1:55" ht="15" customHeight="1" x14ac:dyDescent="0.25">
      <c r="A8" s="403" t="s">
        <v>18</v>
      </c>
      <c r="B8" s="419" t="s">
        <v>19</v>
      </c>
      <c r="C8" s="187" t="s">
        <v>266</v>
      </c>
      <c r="D8" s="405">
        <f t="shared" si="15"/>
        <v>1.9893671754416052E-2</v>
      </c>
      <c r="E8" s="406">
        <f t="shared" si="16"/>
        <v>2.5436662709852467E-2</v>
      </c>
      <c r="F8" s="407">
        <f t="shared" si="17"/>
        <v>3.8499834052439431E-2</v>
      </c>
      <c r="G8" s="407">
        <f t="shared" si="18"/>
        <v>3.9124668435013263E-2</v>
      </c>
      <c r="H8" s="407">
        <f t="shared" si="19"/>
        <v>3.5229476405946994E-2</v>
      </c>
      <c r="I8" s="407">
        <f t="shared" si="20"/>
        <v>3.4135598552776467E-2</v>
      </c>
      <c r="J8" s="407">
        <f t="shared" si="21"/>
        <v>2.9896748343350286E-2</v>
      </c>
      <c r="K8" s="407">
        <f t="shared" si="22"/>
        <v>2.7713979482468228E-2</v>
      </c>
      <c r="L8" s="407">
        <f t="shared" si="23"/>
        <v>4.4903988183161006E-2</v>
      </c>
      <c r="M8" s="407">
        <f t="shared" si="24"/>
        <v>8.0485611510791366E-2</v>
      </c>
      <c r="N8" s="407">
        <f t="shared" si="25"/>
        <v>7.9832584095489073E-2</v>
      </c>
      <c r="O8" s="408">
        <f t="shared" si="26"/>
        <v>7.094903875495881E-2</v>
      </c>
      <c r="P8" s="409">
        <f t="shared" si="27"/>
        <v>5.9086013232805046E-2</v>
      </c>
      <c r="Q8" s="1313">
        <f t="shared" si="28"/>
        <v>5.4936670227376777E-2</v>
      </c>
      <c r="R8" s="1316">
        <f t="shared" si="29"/>
        <v>5.2547260493431593E-2</v>
      </c>
      <c r="S8" s="1483">
        <f t="shared" si="14"/>
        <v>4.4483418367346941E-2</v>
      </c>
      <c r="T8" s="1483">
        <f t="shared" si="30"/>
        <v>4.1920976549951812E-2</v>
      </c>
      <c r="U8" s="216"/>
      <c r="V8" s="410">
        <v>5831</v>
      </c>
      <c r="W8" s="411">
        <v>116</v>
      </c>
      <c r="X8" s="412">
        <v>5897</v>
      </c>
      <c r="Y8" s="413">
        <v>150</v>
      </c>
      <c r="Z8" s="412">
        <v>6026</v>
      </c>
      <c r="AA8" s="413">
        <v>232</v>
      </c>
      <c r="AB8" s="412">
        <v>6032</v>
      </c>
      <c r="AC8" s="413">
        <v>236</v>
      </c>
      <c r="AD8" s="412">
        <v>6188</v>
      </c>
      <c r="AE8" s="413">
        <v>218</v>
      </c>
      <c r="AF8" s="412">
        <v>6357</v>
      </c>
      <c r="AG8" s="413">
        <v>217</v>
      </c>
      <c r="AH8" s="412">
        <v>6489</v>
      </c>
      <c r="AI8" s="413">
        <v>194</v>
      </c>
      <c r="AJ8" s="412">
        <v>6531</v>
      </c>
      <c r="AK8" s="413">
        <v>181</v>
      </c>
      <c r="AL8" s="412">
        <v>6770</v>
      </c>
      <c r="AM8" s="413">
        <v>304</v>
      </c>
      <c r="AN8" s="414">
        <v>6672</v>
      </c>
      <c r="AO8" s="413">
        <v>537</v>
      </c>
      <c r="AP8" s="412">
        <v>6451</v>
      </c>
      <c r="AQ8" s="413">
        <v>515</v>
      </c>
      <c r="AR8" s="415">
        <v>6554</v>
      </c>
      <c r="AS8" s="416">
        <v>465</v>
      </c>
      <c r="AT8" s="417">
        <v>6499</v>
      </c>
      <c r="AU8" s="418">
        <v>384</v>
      </c>
      <c r="AV8" s="417">
        <v>6553</v>
      </c>
      <c r="AW8" s="1322">
        <v>360</v>
      </c>
      <c r="AX8" s="1325">
        <v>6242</v>
      </c>
      <c r="AY8" s="1326">
        <v>328</v>
      </c>
      <c r="AZ8" s="1469">
        <v>6272</v>
      </c>
      <c r="BA8" s="1489">
        <v>279</v>
      </c>
      <c r="BB8" s="1469">
        <v>6226</v>
      </c>
      <c r="BC8" s="1489">
        <v>261</v>
      </c>
    </row>
    <row r="9" spans="1:55" ht="15" customHeight="1" x14ac:dyDescent="0.25">
      <c r="A9" s="403" t="s">
        <v>20</v>
      </c>
      <c r="B9" s="419" t="s">
        <v>21</v>
      </c>
      <c r="C9" s="187" t="s">
        <v>265</v>
      </c>
      <c r="D9" s="405">
        <f t="shared" si="15"/>
        <v>2.114882506527415E-2</v>
      </c>
      <c r="E9" s="406">
        <f t="shared" si="16"/>
        <v>3.6382880201098103E-2</v>
      </c>
      <c r="F9" s="407">
        <f t="shared" si="17"/>
        <v>5.460259264108943E-2</v>
      </c>
      <c r="G9" s="407">
        <f t="shared" si="18"/>
        <v>4.9579777184181377E-2</v>
      </c>
      <c r="H9" s="407">
        <f t="shared" si="19"/>
        <v>4.4838646331085946E-2</v>
      </c>
      <c r="I9" s="407">
        <f t="shared" si="20"/>
        <v>4.0736896730669436E-2</v>
      </c>
      <c r="J9" s="407">
        <f t="shared" si="21"/>
        <v>3.2092095954723773E-2</v>
      </c>
      <c r="K9" s="407">
        <f t="shared" si="22"/>
        <v>3.5009383291270305E-2</v>
      </c>
      <c r="L9" s="407">
        <f t="shared" si="23"/>
        <v>4.132643520538553E-2</v>
      </c>
      <c r="M9" s="407">
        <f t="shared" si="24"/>
        <v>8.0362268001785822E-2</v>
      </c>
      <c r="N9" s="407">
        <f t="shared" si="25"/>
        <v>8.6634797983105236E-2</v>
      </c>
      <c r="O9" s="408">
        <f t="shared" si="26"/>
        <v>7.6019488753921116E-2</v>
      </c>
      <c r="P9" s="409">
        <f t="shared" si="27"/>
        <v>6.9684536221160956E-2</v>
      </c>
      <c r="Q9" s="1313">
        <f t="shared" si="28"/>
        <v>6.3376483279395907E-2</v>
      </c>
      <c r="R9" s="1316">
        <f t="shared" si="29"/>
        <v>5.4191842900302115E-2</v>
      </c>
      <c r="S9" s="1483">
        <f t="shared" si="14"/>
        <v>4.7671127123005662E-2</v>
      </c>
      <c r="T9" s="1483">
        <f t="shared" si="30"/>
        <v>4.3461030383091147E-2</v>
      </c>
      <c r="U9" s="216"/>
      <c r="V9" s="410">
        <v>15320</v>
      </c>
      <c r="W9" s="411">
        <v>324</v>
      </c>
      <c r="X9" s="412">
        <v>15117</v>
      </c>
      <c r="Y9" s="413">
        <v>550</v>
      </c>
      <c r="Z9" s="412">
        <v>15274</v>
      </c>
      <c r="AA9" s="413">
        <v>834</v>
      </c>
      <c r="AB9" s="412">
        <v>15349</v>
      </c>
      <c r="AC9" s="413">
        <v>761</v>
      </c>
      <c r="AD9" s="412">
        <v>15277</v>
      </c>
      <c r="AE9" s="413">
        <v>685</v>
      </c>
      <c r="AF9" s="412">
        <v>15416</v>
      </c>
      <c r="AG9" s="413">
        <v>628</v>
      </c>
      <c r="AH9" s="412">
        <v>15549</v>
      </c>
      <c r="AI9" s="413">
        <v>499</v>
      </c>
      <c r="AJ9" s="412">
        <v>15453</v>
      </c>
      <c r="AK9" s="413">
        <v>541</v>
      </c>
      <c r="AL9" s="412">
        <v>16043</v>
      </c>
      <c r="AM9" s="413">
        <v>663</v>
      </c>
      <c r="AN9" s="414">
        <v>15679</v>
      </c>
      <c r="AO9" s="413">
        <v>1260</v>
      </c>
      <c r="AP9" s="412">
        <v>15271</v>
      </c>
      <c r="AQ9" s="413">
        <v>1323</v>
      </c>
      <c r="AR9" s="415">
        <v>14983</v>
      </c>
      <c r="AS9" s="416">
        <v>1139</v>
      </c>
      <c r="AT9" s="417">
        <v>14867</v>
      </c>
      <c r="AU9" s="418">
        <v>1036</v>
      </c>
      <c r="AV9" s="417">
        <v>14832</v>
      </c>
      <c r="AW9" s="1322">
        <v>940</v>
      </c>
      <c r="AX9" s="1325">
        <v>15888</v>
      </c>
      <c r="AY9" s="1326">
        <v>861</v>
      </c>
      <c r="AZ9" s="1469">
        <v>15544</v>
      </c>
      <c r="BA9" s="1489">
        <v>741</v>
      </c>
      <c r="BB9" s="1469">
        <v>15140</v>
      </c>
      <c r="BC9" s="1489">
        <v>658</v>
      </c>
    </row>
    <row r="10" spans="1:55" ht="15" customHeight="1" x14ac:dyDescent="0.25">
      <c r="A10" s="403" t="s">
        <v>22</v>
      </c>
      <c r="B10" s="419" t="s">
        <v>23</v>
      </c>
      <c r="C10" s="187" t="s">
        <v>265</v>
      </c>
      <c r="D10" s="405">
        <f t="shared" si="15"/>
        <v>2.4676676081462762E-2</v>
      </c>
      <c r="E10" s="406">
        <f t="shared" si="16"/>
        <v>4.311502312397434E-2</v>
      </c>
      <c r="F10" s="407">
        <f t="shared" si="17"/>
        <v>5.6684968096156703E-2</v>
      </c>
      <c r="G10" s="407">
        <f t="shared" si="18"/>
        <v>5.5621127176158157E-2</v>
      </c>
      <c r="H10" s="407">
        <f t="shared" si="19"/>
        <v>4.4738778513612951E-2</v>
      </c>
      <c r="I10" s="407">
        <f t="shared" si="20"/>
        <v>4.6752111855519952E-2</v>
      </c>
      <c r="J10" s="407">
        <f t="shared" si="21"/>
        <v>3.6303630363036306E-2</v>
      </c>
      <c r="K10" s="407">
        <f t="shared" si="22"/>
        <v>3.9201608271108558E-2</v>
      </c>
      <c r="L10" s="407">
        <f t="shared" si="23"/>
        <v>4.4626967830253252E-2</v>
      </c>
      <c r="M10" s="407">
        <f t="shared" si="24"/>
        <v>8.1797878280290337E-2</v>
      </c>
      <c r="N10" s="407">
        <f t="shared" si="25"/>
        <v>8.7819089900110989E-2</v>
      </c>
      <c r="O10" s="408">
        <f t="shared" si="26"/>
        <v>7.6858462830743379E-2</v>
      </c>
      <c r="P10" s="409">
        <f t="shared" si="27"/>
        <v>7.1136203246294993E-2</v>
      </c>
      <c r="Q10" s="1313">
        <f t="shared" si="28"/>
        <v>6.1745919091554295E-2</v>
      </c>
      <c r="R10" s="1316">
        <f t="shared" si="29"/>
        <v>5.6622148024485251E-2</v>
      </c>
      <c r="S10" s="1483">
        <f t="shared" si="14"/>
        <v>4.8535446441205603E-2</v>
      </c>
      <c r="T10" s="1483">
        <f t="shared" si="30"/>
        <v>4.6171494121020937E-2</v>
      </c>
      <c r="U10" s="216"/>
      <c r="V10" s="410">
        <v>6727</v>
      </c>
      <c r="W10" s="411">
        <v>166</v>
      </c>
      <c r="X10" s="412">
        <v>6703</v>
      </c>
      <c r="Y10" s="413">
        <v>289</v>
      </c>
      <c r="Z10" s="412">
        <v>6739</v>
      </c>
      <c r="AA10" s="413">
        <v>382</v>
      </c>
      <c r="AB10" s="412">
        <v>6778</v>
      </c>
      <c r="AC10" s="413">
        <v>377</v>
      </c>
      <c r="AD10" s="412">
        <v>6795</v>
      </c>
      <c r="AE10" s="413">
        <v>304</v>
      </c>
      <c r="AF10" s="412">
        <v>6866</v>
      </c>
      <c r="AG10" s="413">
        <v>321</v>
      </c>
      <c r="AH10" s="412">
        <v>6969</v>
      </c>
      <c r="AI10" s="413">
        <v>253</v>
      </c>
      <c r="AJ10" s="412">
        <v>6964</v>
      </c>
      <c r="AK10" s="413">
        <v>273</v>
      </c>
      <c r="AL10" s="412">
        <v>7305</v>
      </c>
      <c r="AM10" s="413">
        <v>326</v>
      </c>
      <c r="AN10" s="414">
        <v>7164</v>
      </c>
      <c r="AO10" s="413">
        <v>586</v>
      </c>
      <c r="AP10" s="412">
        <v>7208</v>
      </c>
      <c r="AQ10" s="413">
        <v>633</v>
      </c>
      <c r="AR10" s="415">
        <v>7143</v>
      </c>
      <c r="AS10" s="416">
        <v>549</v>
      </c>
      <c r="AT10" s="417">
        <v>7085</v>
      </c>
      <c r="AU10" s="418">
        <v>504</v>
      </c>
      <c r="AV10" s="417">
        <v>7045</v>
      </c>
      <c r="AW10" s="1322">
        <v>435</v>
      </c>
      <c r="AX10" s="1325">
        <v>7188</v>
      </c>
      <c r="AY10" s="1326">
        <v>407</v>
      </c>
      <c r="AZ10" s="1469">
        <v>7067</v>
      </c>
      <c r="BA10" s="1489">
        <v>343</v>
      </c>
      <c r="BB10" s="1469">
        <v>6974</v>
      </c>
      <c r="BC10" s="1489">
        <v>322</v>
      </c>
    </row>
    <row r="11" spans="1:55" ht="15" customHeight="1" x14ac:dyDescent="0.25">
      <c r="A11" s="403" t="s">
        <v>24</v>
      </c>
      <c r="B11" s="419" t="s">
        <v>25</v>
      </c>
      <c r="C11" s="187" t="s">
        <v>267</v>
      </c>
      <c r="D11" s="405">
        <f t="shared" si="15"/>
        <v>1.5587853445514171E-2</v>
      </c>
      <c r="E11" s="406">
        <f t="shared" si="16"/>
        <v>2.4040972421112927E-2</v>
      </c>
      <c r="F11" s="407">
        <f t="shared" si="17"/>
        <v>2.9707281405837942E-2</v>
      </c>
      <c r="G11" s="407">
        <f t="shared" si="18"/>
        <v>2.6742175270659006E-2</v>
      </c>
      <c r="H11" s="407">
        <f t="shared" si="19"/>
        <v>2.4003933485406609E-2</v>
      </c>
      <c r="I11" s="407">
        <f t="shared" si="20"/>
        <v>2.2998783601988124E-2</v>
      </c>
      <c r="J11" s="407">
        <f t="shared" si="21"/>
        <v>1.9534497090606815E-2</v>
      </c>
      <c r="K11" s="407">
        <f t="shared" si="22"/>
        <v>1.9385538113161356E-2</v>
      </c>
      <c r="L11" s="407">
        <f t="shared" si="23"/>
        <v>2.4609629028840323E-2</v>
      </c>
      <c r="M11" s="407">
        <f t="shared" si="24"/>
        <v>4.4287636853017134E-2</v>
      </c>
      <c r="N11" s="407">
        <f t="shared" si="25"/>
        <v>4.4648289778722552E-2</v>
      </c>
      <c r="O11" s="408">
        <f t="shared" si="26"/>
        <v>3.991020758938494E-2</v>
      </c>
      <c r="P11" s="409">
        <f t="shared" si="27"/>
        <v>3.6574578365219428E-2</v>
      </c>
      <c r="Q11" s="1313">
        <f t="shared" si="28"/>
        <v>3.6364821979741772E-2</v>
      </c>
      <c r="R11" s="1316">
        <f t="shared" si="29"/>
        <v>3.2063139721297325E-2</v>
      </c>
      <c r="S11" s="1483">
        <f t="shared" si="14"/>
        <v>2.8161149333370099E-2</v>
      </c>
      <c r="T11" s="1483">
        <f t="shared" si="30"/>
        <v>2.5838470307945414E-2</v>
      </c>
      <c r="U11" s="216"/>
      <c r="V11" s="410">
        <v>118618</v>
      </c>
      <c r="W11" s="411">
        <v>1849</v>
      </c>
      <c r="X11" s="412">
        <v>118714</v>
      </c>
      <c r="Y11" s="413">
        <v>2854</v>
      </c>
      <c r="Z11" s="412">
        <v>121721</v>
      </c>
      <c r="AA11" s="413">
        <v>3616</v>
      </c>
      <c r="AB11" s="412">
        <v>122017</v>
      </c>
      <c r="AC11" s="413">
        <v>3263</v>
      </c>
      <c r="AD11" s="412">
        <v>124063</v>
      </c>
      <c r="AE11" s="413">
        <v>2978</v>
      </c>
      <c r="AF11" s="412">
        <v>124137</v>
      </c>
      <c r="AG11" s="413">
        <v>2855</v>
      </c>
      <c r="AH11" s="412">
        <v>127518</v>
      </c>
      <c r="AI11" s="413">
        <v>2491</v>
      </c>
      <c r="AJ11" s="412">
        <v>130716</v>
      </c>
      <c r="AK11" s="413">
        <v>2534</v>
      </c>
      <c r="AL11" s="412">
        <v>136857</v>
      </c>
      <c r="AM11" s="413">
        <v>3368</v>
      </c>
      <c r="AN11" s="414">
        <v>137465</v>
      </c>
      <c r="AO11" s="413">
        <v>6088</v>
      </c>
      <c r="AP11" s="412">
        <v>129837</v>
      </c>
      <c r="AQ11" s="413">
        <v>5797</v>
      </c>
      <c r="AR11" s="415">
        <v>134978</v>
      </c>
      <c r="AS11" s="416">
        <v>5387</v>
      </c>
      <c r="AT11" s="417">
        <v>136789</v>
      </c>
      <c r="AU11" s="418">
        <v>5003</v>
      </c>
      <c r="AV11" s="417">
        <v>138018</v>
      </c>
      <c r="AW11" s="1322">
        <v>5019</v>
      </c>
      <c r="AX11" s="1325">
        <v>145962</v>
      </c>
      <c r="AY11" s="1326">
        <v>4680</v>
      </c>
      <c r="AZ11" s="1469">
        <v>145058</v>
      </c>
      <c r="BA11" s="1489">
        <v>4085</v>
      </c>
      <c r="BB11" s="1469">
        <v>146487</v>
      </c>
      <c r="BC11" s="1489">
        <v>3785</v>
      </c>
    </row>
    <row r="12" spans="1:55" x14ac:dyDescent="0.25">
      <c r="A12" s="403" t="s">
        <v>26</v>
      </c>
      <c r="B12" s="1268" t="s">
        <v>685</v>
      </c>
      <c r="C12" s="1697" t="s">
        <v>265</v>
      </c>
      <c r="D12" s="405">
        <f t="shared" si="15"/>
        <v>2.0796628948180976E-2</v>
      </c>
      <c r="E12" s="406">
        <f t="shared" si="16"/>
        <v>2.9483809830320586E-2</v>
      </c>
      <c r="F12" s="407">
        <f t="shared" si="17"/>
        <v>3.7718668464461452E-2</v>
      </c>
      <c r="G12" s="407">
        <f t="shared" si="18"/>
        <v>3.691635758605151E-2</v>
      </c>
      <c r="H12" s="407">
        <f t="shared" si="19"/>
        <v>3.2337650894351928E-2</v>
      </c>
      <c r="I12" s="407">
        <f t="shared" si="20"/>
        <v>3.1978507669642081E-2</v>
      </c>
      <c r="J12" s="407">
        <f t="shared" si="21"/>
        <v>2.789840088227185E-2</v>
      </c>
      <c r="K12" s="407">
        <f t="shared" si="22"/>
        <v>2.8824985066985238E-2</v>
      </c>
      <c r="L12" s="407">
        <f t="shared" si="23"/>
        <v>3.9859942583096865E-2</v>
      </c>
      <c r="M12" s="407">
        <f t="shared" si="24"/>
        <v>7.2243097533082834E-2</v>
      </c>
      <c r="N12" s="407">
        <f t="shared" si="25"/>
        <v>7.5877901538984785E-2</v>
      </c>
      <c r="O12" s="408">
        <f t="shared" si="26"/>
        <v>6.6654335726656688E-2</v>
      </c>
      <c r="P12" s="409">
        <f t="shared" si="27"/>
        <v>5.8930812348364427E-2</v>
      </c>
      <c r="Q12" s="1313">
        <f t="shared" si="28"/>
        <v>5.2848318462594371E-2</v>
      </c>
      <c r="R12" s="1316">
        <f t="shared" si="29"/>
        <v>4.8929767017211648E-2</v>
      </c>
      <c r="S12" s="1483">
        <f t="shared" si="14"/>
        <v>4.273257296323367E-2</v>
      </c>
      <c r="T12" s="1483">
        <f t="shared" si="30"/>
        <v>3.7525682169357991E-2</v>
      </c>
      <c r="U12" s="216"/>
      <c r="V12" s="420">
        <v>55057</v>
      </c>
      <c r="W12" s="421">
        <v>1145</v>
      </c>
      <c r="X12" s="1269">
        <v>55929</v>
      </c>
      <c r="Y12" s="1270">
        <v>1649</v>
      </c>
      <c r="Z12" s="1269">
        <v>57107</v>
      </c>
      <c r="AA12" s="1270">
        <v>2154</v>
      </c>
      <c r="AB12" s="1269">
        <v>57698</v>
      </c>
      <c r="AC12" s="1270">
        <v>2130</v>
      </c>
      <c r="AD12" s="1269">
        <v>56745</v>
      </c>
      <c r="AE12" s="1270">
        <v>1835</v>
      </c>
      <c r="AF12" s="1269">
        <v>57695</v>
      </c>
      <c r="AG12" s="1270">
        <v>1845</v>
      </c>
      <c r="AH12" s="1269">
        <v>58032</v>
      </c>
      <c r="AI12" s="1270">
        <v>1619</v>
      </c>
      <c r="AJ12" s="1269">
        <v>58595</v>
      </c>
      <c r="AK12" s="1270">
        <v>1689</v>
      </c>
      <c r="AL12" s="1269">
        <v>60261</v>
      </c>
      <c r="AM12" s="1270">
        <v>2402</v>
      </c>
      <c r="AN12" s="1271">
        <v>61210</v>
      </c>
      <c r="AO12" s="1270">
        <v>4422</v>
      </c>
      <c r="AP12" s="1269">
        <v>58805</v>
      </c>
      <c r="AQ12" s="1270">
        <v>4462</v>
      </c>
      <c r="AR12" s="415">
        <v>59471</v>
      </c>
      <c r="AS12" s="416">
        <v>3964</v>
      </c>
      <c r="AT12" s="417">
        <v>59765</v>
      </c>
      <c r="AU12" s="418">
        <v>3522</v>
      </c>
      <c r="AV12" s="417">
        <v>59737</v>
      </c>
      <c r="AW12" s="1322">
        <v>3157</v>
      </c>
      <c r="AX12" s="1325">
        <v>59146</v>
      </c>
      <c r="AY12" s="1326">
        <v>2894</v>
      </c>
      <c r="AZ12" s="1469">
        <v>58831</v>
      </c>
      <c r="BA12" s="1489">
        <v>2514</v>
      </c>
      <c r="BB12" s="1469">
        <v>58893</v>
      </c>
      <c r="BC12" s="1489">
        <v>2210</v>
      </c>
    </row>
    <row r="13" spans="1:55" ht="15" customHeight="1" x14ac:dyDescent="0.25">
      <c r="A13" s="403" t="s">
        <v>27</v>
      </c>
      <c r="B13" s="419" t="s">
        <v>28</v>
      </c>
      <c r="C13" s="187" t="s">
        <v>265</v>
      </c>
      <c r="D13" s="405">
        <f t="shared" si="15"/>
        <v>2.6460859977949284E-2</v>
      </c>
      <c r="E13" s="406">
        <f t="shared" si="16"/>
        <v>3.6982248520710061E-2</v>
      </c>
      <c r="F13" s="407">
        <f t="shared" si="17"/>
        <v>4.4018459353922609E-2</v>
      </c>
      <c r="G13" s="407">
        <f t="shared" si="18"/>
        <v>4.5735900962861072E-2</v>
      </c>
      <c r="H13" s="407">
        <f t="shared" si="19"/>
        <v>3.5864978902953586E-2</v>
      </c>
      <c r="I13" s="407">
        <f t="shared" si="20"/>
        <v>3.5302104548540394E-2</v>
      </c>
      <c r="J13" s="407">
        <f t="shared" si="21"/>
        <v>3.2447359337245428E-2</v>
      </c>
      <c r="K13" s="407">
        <f t="shared" si="22"/>
        <v>3.1903945111492284E-2</v>
      </c>
      <c r="L13" s="407">
        <f t="shared" si="23"/>
        <v>4.1042112776588154E-2</v>
      </c>
      <c r="M13" s="407">
        <f t="shared" si="24"/>
        <v>6.4492216456634541E-2</v>
      </c>
      <c r="N13" s="407">
        <f t="shared" si="25"/>
        <v>7.0459683496608888E-2</v>
      </c>
      <c r="O13" s="408">
        <f t="shared" si="26"/>
        <v>5.7727438801607599E-2</v>
      </c>
      <c r="P13" s="409">
        <f t="shared" si="27"/>
        <v>5.3479853479853477E-2</v>
      </c>
      <c r="Q13" s="1313">
        <f t="shared" si="28"/>
        <v>5.0018254837531945E-2</v>
      </c>
      <c r="R13" s="1316">
        <f t="shared" si="29"/>
        <v>4.441913439635535E-2</v>
      </c>
      <c r="S13" s="1483">
        <f t="shared" si="14"/>
        <v>4.0640875341930442E-2</v>
      </c>
      <c r="T13" s="1483">
        <f t="shared" si="30"/>
        <v>3.6770583533173459E-2</v>
      </c>
      <c r="U13" s="216"/>
      <c r="V13" s="410">
        <v>2721</v>
      </c>
      <c r="W13" s="411">
        <v>72</v>
      </c>
      <c r="X13" s="412">
        <v>2704</v>
      </c>
      <c r="Y13" s="413">
        <v>100</v>
      </c>
      <c r="Z13" s="412">
        <v>2817</v>
      </c>
      <c r="AA13" s="413">
        <v>124</v>
      </c>
      <c r="AB13" s="412">
        <v>2908</v>
      </c>
      <c r="AC13" s="413">
        <v>133</v>
      </c>
      <c r="AD13" s="412">
        <v>2844</v>
      </c>
      <c r="AE13" s="413">
        <v>102</v>
      </c>
      <c r="AF13" s="412">
        <v>2946</v>
      </c>
      <c r="AG13" s="413">
        <v>104</v>
      </c>
      <c r="AH13" s="412">
        <v>2897</v>
      </c>
      <c r="AI13" s="413">
        <v>94</v>
      </c>
      <c r="AJ13" s="412">
        <v>2915</v>
      </c>
      <c r="AK13" s="413">
        <v>93</v>
      </c>
      <c r="AL13" s="412">
        <v>2802</v>
      </c>
      <c r="AM13" s="413">
        <v>115</v>
      </c>
      <c r="AN13" s="414">
        <v>2698</v>
      </c>
      <c r="AO13" s="413">
        <v>174</v>
      </c>
      <c r="AP13" s="412">
        <v>2654</v>
      </c>
      <c r="AQ13" s="413">
        <v>187</v>
      </c>
      <c r="AR13" s="415">
        <v>2737</v>
      </c>
      <c r="AS13" s="416">
        <v>158</v>
      </c>
      <c r="AT13" s="417">
        <v>2730</v>
      </c>
      <c r="AU13" s="418">
        <v>146</v>
      </c>
      <c r="AV13" s="417">
        <v>2739</v>
      </c>
      <c r="AW13" s="1322">
        <v>137</v>
      </c>
      <c r="AX13" s="1325">
        <v>2634</v>
      </c>
      <c r="AY13" s="1326">
        <v>117</v>
      </c>
      <c r="AZ13" s="1469">
        <v>2559</v>
      </c>
      <c r="BA13" s="1489">
        <v>104</v>
      </c>
      <c r="BB13" s="1469">
        <v>2502</v>
      </c>
      <c r="BC13" s="1489">
        <v>92</v>
      </c>
    </row>
    <row r="14" spans="1:55" ht="15" customHeight="1" x14ac:dyDescent="0.25">
      <c r="A14" s="403" t="s">
        <v>29</v>
      </c>
      <c r="B14" s="419" t="s">
        <v>901</v>
      </c>
      <c r="C14" s="187" t="s">
        <v>265</v>
      </c>
      <c r="D14" s="405">
        <f t="shared" si="15"/>
        <v>1.9583985167159163E-2</v>
      </c>
      <c r="E14" s="406">
        <f t="shared" si="16"/>
        <v>3.3024944372877389E-2</v>
      </c>
      <c r="F14" s="407">
        <f t="shared" si="17"/>
        <v>4.6328395839899152E-2</v>
      </c>
      <c r="G14" s="407">
        <f t="shared" si="18"/>
        <v>4.1594943138527525E-2</v>
      </c>
      <c r="H14" s="407">
        <f t="shared" si="19"/>
        <v>3.7889340836908675E-2</v>
      </c>
      <c r="I14" s="407">
        <f t="shared" si="20"/>
        <v>3.4545702220405941E-2</v>
      </c>
      <c r="J14" s="407">
        <f t="shared" si="21"/>
        <v>2.9520980319346454E-2</v>
      </c>
      <c r="K14" s="407">
        <f t="shared" si="22"/>
        <v>2.9997868712702474E-2</v>
      </c>
      <c r="L14" s="407">
        <f t="shared" si="23"/>
        <v>3.6713151018084915E-2</v>
      </c>
      <c r="M14" s="407">
        <f t="shared" si="24"/>
        <v>7.0708940423619013E-2</v>
      </c>
      <c r="N14" s="407">
        <f t="shared" si="25"/>
        <v>7.3098636557307195E-2</v>
      </c>
      <c r="O14" s="408">
        <f t="shared" si="26"/>
        <v>6.6261203585147241E-2</v>
      </c>
      <c r="P14" s="409">
        <f t="shared" si="27"/>
        <v>6.17806409876277E-2</v>
      </c>
      <c r="Q14" s="1313">
        <f t="shared" si="28"/>
        <v>5.775346305179755E-2</v>
      </c>
      <c r="R14" s="1316">
        <f t="shared" si="29"/>
        <v>5.0913058160376133E-2</v>
      </c>
      <c r="S14" s="1483">
        <f t="shared" si="14"/>
        <v>4.4429308673669871E-2</v>
      </c>
      <c r="T14" s="1483">
        <f t="shared" si="30"/>
        <v>4.0564792821324885E-2</v>
      </c>
      <c r="U14" s="216"/>
      <c r="V14" s="420">
        <v>34518</v>
      </c>
      <c r="W14" s="421">
        <v>676</v>
      </c>
      <c r="X14" s="1269">
        <v>34156</v>
      </c>
      <c r="Y14" s="1270">
        <v>1128</v>
      </c>
      <c r="Z14" s="1269">
        <v>34903</v>
      </c>
      <c r="AA14" s="1270">
        <v>1617</v>
      </c>
      <c r="AB14" s="1269">
        <v>35437</v>
      </c>
      <c r="AC14" s="1270">
        <v>1474</v>
      </c>
      <c r="AD14" s="1269">
        <v>35894</v>
      </c>
      <c r="AE14" s="1270">
        <v>1360</v>
      </c>
      <c r="AF14" s="1269">
        <v>36705</v>
      </c>
      <c r="AG14" s="1270">
        <v>1268</v>
      </c>
      <c r="AH14" s="1269">
        <v>37702</v>
      </c>
      <c r="AI14" s="1270">
        <v>1113</v>
      </c>
      <c r="AJ14" s="1269">
        <v>37536</v>
      </c>
      <c r="AK14" s="1270">
        <v>1126</v>
      </c>
      <c r="AL14" s="1269">
        <v>38651</v>
      </c>
      <c r="AM14" s="1270">
        <v>1419</v>
      </c>
      <c r="AN14" s="1271">
        <v>37817</v>
      </c>
      <c r="AO14" s="1270">
        <v>2674</v>
      </c>
      <c r="AP14" s="1269">
        <v>37552</v>
      </c>
      <c r="AQ14" s="1270">
        <v>2745</v>
      </c>
      <c r="AR14" s="415">
        <v>37488</v>
      </c>
      <c r="AS14" s="416">
        <v>2484</v>
      </c>
      <c r="AT14" s="417">
        <v>37099</v>
      </c>
      <c r="AU14" s="418">
        <v>2292</v>
      </c>
      <c r="AV14" s="417">
        <v>37106</v>
      </c>
      <c r="AW14" s="1322">
        <v>2143</v>
      </c>
      <c r="AX14" s="1325">
        <v>38497</v>
      </c>
      <c r="AY14" s="1326">
        <v>1960</v>
      </c>
      <c r="AZ14" s="1469">
        <v>38173</v>
      </c>
      <c r="BA14" s="1489">
        <v>1696</v>
      </c>
      <c r="BB14" s="1469">
        <v>37890</v>
      </c>
      <c r="BC14" s="1489">
        <v>1537</v>
      </c>
    </row>
    <row r="15" spans="1:55" ht="15" customHeight="1" x14ac:dyDescent="0.25">
      <c r="A15" s="403" t="s">
        <v>30</v>
      </c>
      <c r="B15" s="419" t="s">
        <v>31</v>
      </c>
      <c r="C15" s="187" t="s">
        <v>268</v>
      </c>
      <c r="D15" s="405">
        <f t="shared" si="15"/>
        <v>5.1818805765271106E-2</v>
      </c>
      <c r="E15" s="406">
        <f t="shared" si="16"/>
        <v>5.6653491436100128E-2</v>
      </c>
      <c r="F15" s="407">
        <f t="shared" si="17"/>
        <v>5.2787858792477729E-2</v>
      </c>
      <c r="G15" s="407">
        <f t="shared" si="18"/>
        <v>0.05</v>
      </c>
      <c r="H15" s="407">
        <f t="shared" si="19"/>
        <v>4.5015005001667226E-2</v>
      </c>
      <c r="I15" s="407">
        <f t="shared" si="20"/>
        <v>3.9311241065627028E-2</v>
      </c>
      <c r="J15" s="407">
        <f t="shared" si="21"/>
        <v>3.7197768133911964E-2</v>
      </c>
      <c r="K15" s="407">
        <f t="shared" si="22"/>
        <v>3.7993469872365689E-2</v>
      </c>
      <c r="L15" s="407">
        <f t="shared" si="23"/>
        <v>4.7714285714285716E-2</v>
      </c>
      <c r="M15" s="407">
        <f t="shared" si="24"/>
        <v>7.7072359301358473E-2</v>
      </c>
      <c r="N15" s="407">
        <f t="shared" si="25"/>
        <v>7.5116009280742455E-2</v>
      </c>
      <c r="O15" s="408">
        <f t="shared" si="26"/>
        <v>6.3779988297249859E-2</v>
      </c>
      <c r="P15" s="409">
        <f t="shared" si="27"/>
        <v>6.0134936931651513E-2</v>
      </c>
      <c r="Q15" s="1313">
        <f t="shared" si="28"/>
        <v>5.9224163458691144E-2</v>
      </c>
      <c r="R15" s="1316">
        <f t="shared" si="29"/>
        <v>5.9937995177402684E-2</v>
      </c>
      <c r="S15" s="1483">
        <f t="shared" si="14"/>
        <v>5.7836486968939664E-2</v>
      </c>
      <c r="T15" s="1483">
        <f t="shared" si="30"/>
        <v>5.2420822715689847E-2</v>
      </c>
      <c r="U15" s="216"/>
      <c r="V15" s="410">
        <v>2914</v>
      </c>
      <c r="W15" s="411">
        <v>151</v>
      </c>
      <c r="X15" s="412">
        <v>3036</v>
      </c>
      <c r="Y15" s="413">
        <v>172</v>
      </c>
      <c r="Z15" s="412">
        <v>3031</v>
      </c>
      <c r="AA15" s="413">
        <v>160</v>
      </c>
      <c r="AB15" s="412">
        <v>3060</v>
      </c>
      <c r="AC15" s="413">
        <v>153</v>
      </c>
      <c r="AD15" s="412">
        <v>2999</v>
      </c>
      <c r="AE15" s="413">
        <v>135</v>
      </c>
      <c r="AF15" s="412">
        <v>3078</v>
      </c>
      <c r="AG15" s="413">
        <v>121</v>
      </c>
      <c r="AH15" s="412">
        <v>3226</v>
      </c>
      <c r="AI15" s="413">
        <v>120</v>
      </c>
      <c r="AJ15" s="412">
        <v>3369</v>
      </c>
      <c r="AK15" s="413">
        <v>128</v>
      </c>
      <c r="AL15" s="412">
        <v>3500</v>
      </c>
      <c r="AM15" s="413">
        <v>167</v>
      </c>
      <c r="AN15" s="414">
        <v>3607</v>
      </c>
      <c r="AO15" s="413">
        <v>278</v>
      </c>
      <c r="AP15" s="412">
        <v>3448</v>
      </c>
      <c r="AQ15" s="413">
        <v>259</v>
      </c>
      <c r="AR15" s="415">
        <v>3418</v>
      </c>
      <c r="AS15" s="416">
        <v>218</v>
      </c>
      <c r="AT15" s="417">
        <v>3409</v>
      </c>
      <c r="AU15" s="418">
        <v>205</v>
      </c>
      <c r="AV15" s="417">
        <v>3377</v>
      </c>
      <c r="AW15" s="1322">
        <v>200</v>
      </c>
      <c r="AX15" s="1325">
        <v>2903</v>
      </c>
      <c r="AY15" s="1326">
        <v>174</v>
      </c>
      <c r="AZ15" s="1469">
        <v>2801</v>
      </c>
      <c r="BA15" s="1489">
        <v>162</v>
      </c>
      <c r="BB15" s="1469">
        <v>2747</v>
      </c>
      <c r="BC15" s="1489">
        <v>144</v>
      </c>
    </row>
    <row r="16" spans="1:55" ht="15" customHeight="1" x14ac:dyDescent="0.25">
      <c r="A16" s="403" t="s">
        <v>32</v>
      </c>
      <c r="B16" s="419" t="s">
        <v>33</v>
      </c>
      <c r="C16" s="187" t="s">
        <v>265</v>
      </c>
      <c r="D16" s="405">
        <f t="shared" si="15"/>
        <v>1.7711005252229142E-2</v>
      </c>
      <c r="E16" s="406">
        <f t="shared" si="16"/>
        <v>2.6597665182332409E-2</v>
      </c>
      <c r="F16" s="407">
        <f t="shared" si="17"/>
        <v>3.6391117311940474E-2</v>
      </c>
      <c r="G16" s="407">
        <f t="shared" si="18"/>
        <v>3.5630291627469425E-2</v>
      </c>
      <c r="H16" s="407">
        <f t="shared" si="19"/>
        <v>3.2599066910765959E-2</v>
      </c>
      <c r="I16" s="407">
        <f t="shared" si="20"/>
        <v>2.9896064463389001E-2</v>
      </c>
      <c r="J16" s="407">
        <f t="shared" si="21"/>
        <v>2.5611642697530509E-2</v>
      </c>
      <c r="K16" s="407">
        <f t="shared" si="22"/>
        <v>2.6592062759575451E-2</v>
      </c>
      <c r="L16" s="407">
        <f t="shared" si="23"/>
        <v>3.2679003318521853E-2</v>
      </c>
      <c r="M16" s="407">
        <f t="shared" si="24"/>
        <v>6.5336374002280498E-2</v>
      </c>
      <c r="N16" s="407">
        <f t="shared" si="25"/>
        <v>6.691919191919192E-2</v>
      </c>
      <c r="O16" s="408">
        <f t="shared" si="26"/>
        <v>6.0882974470272432E-2</v>
      </c>
      <c r="P16" s="409">
        <f t="shared" si="27"/>
        <v>5.6118383608423451E-2</v>
      </c>
      <c r="Q16" s="1313">
        <f t="shared" si="28"/>
        <v>5.2125966348340158E-2</v>
      </c>
      <c r="R16" s="1316">
        <f t="shared" si="29"/>
        <v>4.8348196758090753E-2</v>
      </c>
      <c r="S16" s="1483">
        <f t="shared" si="14"/>
        <v>4.1775903339792544E-2</v>
      </c>
      <c r="T16" s="1483">
        <f t="shared" si="30"/>
        <v>3.6153580871364527E-2</v>
      </c>
      <c r="U16" s="216"/>
      <c r="V16" s="410">
        <v>16374</v>
      </c>
      <c r="W16" s="411">
        <v>290</v>
      </c>
      <c r="X16" s="412">
        <v>16618</v>
      </c>
      <c r="Y16" s="413">
        <v>442</v>
      </c>
      <c r="Z16" s="412">
        <v>17202</v>
      </c>
      <c r="AA16" s="413">
        <v>626</v>
      </c>
      <c r="AB16" s="412">
        <v>17008</v>
      </c>
      <c r="AC16" s="413">
        <v>606</v>
      </c>
      <c r="AD16" s="412">
        <v>16933</v>
      </c>
      <c r="AE16" s="413">
        <v>552</v>
      </c>
      <c r="AF16" s="412">
        <v>17126</v>
      </c>
      <c r="AG16" s="413">
        <v>512</v>
      </c>
      <c r="AH16" s="412">
        <v>17453</v>
      </c>
      <c r="AI16" s="413">
        <v>447</v>
      </c>
      <c r="AJ16" s="412">
        <v>17336</v>
      </c>
      <c r="AK16" s="413">
        <v>461</v>
      </c>
      <c r="AL16" s="412">
        <v>17779</v>
      </c>
      <c r="AM16" s="413">
        <v>581</v>
      </c>
      <c r="AN16" s="414">
        <v>17540</v>
      </c>
      <c r="AO16" s="413">
        <v>1146</v>
      </c>
      <c r="AP16" s="412">
        <v>17424</v>
      </c>
      <c r="AQ16" s="413">
        <v>1166</v>
      </c>
      <c r="AR16" s="415">
        <v>17509</v>
      </c>
      <c r="AS16" s="416">
        <v>1066</v>
      </c>
      <c r="AT16" s="417">
        <v>17570</v>
      </c>
      <c r="AU16" s="418">
        <v>986</v>
      </c>
      <c r="AV16" s="417">
        <v>17592</v>
      </c>
      <c r="AW16" s="1322">
        <v>917</v>
      </c>
      <c r="AX16" s="1325">
        <v>17829</v>
      </c>
      <c r="AY16" s="1326">
        <v>862</v>
      </c>
      <c r="AZ16" s="1469">
        <v>17546</v>
      </c>
      <c r="BA16" s="1489">
        <v>733</v>
      </c>
      <c r="BB16" s="1469">
        <v>17398</v>
      </c>
      <c r="BC16" s="1489">
        <v>629</v>
      </c>
    </row>
    <row r="17" spans="1:55" ht="15" customHeight="1" x14ac:dyDescent="0.25">
      <c r="A17" s="403" t="s">
        <v>36</v>
      </c>
      <c r="B17" s="419" t="s">
        <v>37</v>
      </c>
      <c r="C17" s="187" t="s">
        <v>264</v>
      </c>
      <c r="D17" s="405">
        <f t="shared" si="15"/>
        <v>3.4811985898942424E-2</v>
      </c>
      <c r="E17" s="406">
        <f t="shared" si="16"/>
        <v>5.4026354319180091E-2</v>
      </c>
      <c r="F17" s="407">
        <f t="shared" si="17"/>
        <v>6.3566117509841091E-2</v>
      </c>
      <c r="G17" s="407">
        <f t="shared" si="18"/>
        <v>6.9684420962444663E-2</v>
      </c>
      <c r="H17" s="407">
        <f t="shared" si="19"/>
        <v>6.4218841427735512E-2</v>
      </c>
      <c r="I17" s="407">
        <f t="shared" si="20"/>
        <v>5.101440752719788E-2</v>
      </c>
      <c r="J17" s="407">
        <f t="shared" si="21"/>
        <v>4.7967241883591694E-2</v>
      </c>
      <c r="K17" s="407">
        <f t="shared" si="22"/>
        <v>4.8384739073234907E-2</v>
      </c>
      <c r="L17" s="407">
        <f t="shared" si="23"/>
        <v>6.6222348269994333E-2</v>
      </c>
      <c r="M17" s="407">
        <f t="shared" si="24"/>
        <v>0.11619864434914925</v>
      </c>
      <c r="N17" s="407">
        <f t="shared" si="25"/>
        <v>0.11972348874834535</v>
      </c>
      <c r="O17" s="408">
        <f t="shared" si="26"/>
        <v>0.10966212211025489</v>
      </c>
      <c r="P17" s="409">
        <f t="shared" si="27"/>
        <v>0.10413223140495868</v>
      </c>
      <c r="Q17" s="1313">
        <f t="shared" si="28"/>
        <v>9.965220021170422E-2</v>
      </c>
      <c r="R17" s="1316">
        <f t="shared" si="29"/>
        <v>8.2259054634745241E-2</v>
      </c>
      <c r="S17" s="1483">
        <f t="shared" si="14"/>
        <v>6.8163846275502135E-2</v>
      </c>
      <c r="T17" s="1483">
        <f t="shared" si="30"/>
        <v>6.0198527057316681E-2</v>
      </c>
      <c r="U17" s="216"/>
      <c r="V17" s="410">
        <v>6808</v>
      </c>
      <c r="W17" s="411">
        <v>237</v>
      </c>
      <c r="X17" s="412">
        <v>6830</v>
      </c>
      <c r="Y17" s="413">
        <v>369</v>
      </c>
      <c r="Z17" s="412">
        <v>6859</v>
      </c>
      <c r="AA17" s="413">
        <v>436</v>
      </c>
      <c r="AB17" s="412">
        <v>7003</v>
      </c>
      <c r="AC17" s="413">
        <v>488</v>
      </c>
      <c r="AD17" s="412">
        <v>6836</v>
      </c>
      <c r="AE17" s="413">
        <v>439</v>
      </c>
      <c r="AF17" s="412">
        <v>6802</v>
      </c>
      <c r="AG17" s="413">
        <v>347</v>
      </c>
      <c r="AH17" s="412">
        <v>6838</v>
      </c>
      <c r="AI17" s="413">
        <v>328</v>
      </c>
      <c r="AJ17" s="412">
        <v>6841</v>
      </c>
      <c r="AK17" s="413">
        <v>331</v>
      </c>
      <c r="AL17" s="412">
        <v>7052</v>
      </c>
      <c r="AM17" s="413">
        <v>467</v>
      </c>
      <c r="AN17" s="414">
        <v>7229</v>
      </c>
      <c r="AO17" s="413">
        <v>840</v>
      </c>
      <c r="AP17" s="412">
        <v>6799</v>
      </c>
      <c r="AQ17" s="413">
        <v>814</v>
      </c>
      <c r="AR17" s="415">
        <v>6748</v>
      </c>
      <c r="AS17" s="416">
        <v>740</v>
      </c>
      <c r="AT17" s="417">
        <v>6655</v>
      </c>
      <c r="AU17" s="418">
        <v>693</v>
      </c>
      <c r="AV17" s="417">
        <v>6613</v>
      </c>
      <c r="AW17" s="1322">
        <v>659</v>
      </c>
      <c r="AX17" s="1325">
        <v>6516</v>
      </c>
      <c r="AY17" s="1326">
        <v>536</v>
      </c>
      <c r="AZ17" s="1469">
        <v>6323</v>
      </c>
      <c r="BA17" s="1489">
        <v>431</v>
      </c>
      <c r="BB17" s="1469">
        <v>6246</v>
      </c>
      <c r="BC17" s="1489">
        <v>376</v>
      </c>
    </row>
    <row r="18" spans="1:55" ht="15" customHeight="1" x14ac:dyDescent="0.25">
      <c r="A18" s="403" t="s">
        <v>38</v>
      </c>
      <c r="B18" s="419" t="s">
        <v>39</v>
      </c>
      <c r="C18" s="187" t="s">
        <v>268</v>
      </c>
      <c r="D18" s="405">
        <f t="shared" si="15"/>
        <v>5.8179723502304145E-2</v>
      </c>
      <c r="E18" s="406">
        <f t="shared" si="16"/>
        <v>6.0146975692481626E-2</v>
      </c>
      <c r="F18" s="407">
        <f t="shared" si="17"/>
        <v>7.0692520775623269E-2</v>
      </c>
      <c r="G18" s="407">
        <f t="shared" si="18"/>
        <v>6.9593386952636282E-2</v>
      </c>
      <c r="H18" s="407">
        <f t="shared" si="19"/>
        <v>5.622632575757576E-2</v>
      </c>
      <c r="I18" s="407">
        <f t="shared" si="20"/>
        <v>5.3129807123417347E-2</v>
      </c>
      <c r="J18" s="407">
        <f t="shared" si="21"/>
        <v>4.9252314265369093E-2</v>
      </c>
      <c r="K18" s="407">
        <f t="shared" si="22"/>
        <v>4.9094707520891366E-2</v>
      </c>
      <c r="L18" s="407">
        <f t="shared" si="23"/>
        <v>5.0011163206072781E-2</v>
      </c>
      <c r="M18" s="407">
        <f t="shared" si="24"/>
        <v>8.8565264293419627E-2</v>
      </c>
      <c r="N18" s="407">
        <f t="shared" si="25"/>
        <v>9.2319375135604259E-2</v>
      </c>
      <c r="O18" s="408">
        <f t="shared" si="26"/>
        <v>7.6824720298348428E-2</v>
      </c>
      <c r="P18" s="409">
        <f t="shared" si="27"/>
        <v>8.142812402129658E-2</v>
      </c>
      <c r="Q18" s="1313">
        <f t="shared" si="28"/>
        <v>9.7566323174742384E-2</v>
      </c>
      <c r="R18" s="1316">
        <f t="shared" si="29"/>
        <v>0.10363220726441452</v>
      </c>
      <c r="S18" s="1483">
        <f t="shared" si="14"/>
        <v>0.10772138228941684</v>
      </c>
      <c r="T18" s="1483">
        <f t="shared" si="30"/>
        <v>0.10782302959273367</v>
      </c>
      <c r="U18" s="216"/>
      <c r="V18" s="410">
        <v>8680</v>
      </c>
      <c r="W18" s="411">
        <v>505</v>
      </c>
      <c r="X18" s="412">
        <v>8845</v>
      </c>
      <c r="Y18" s="413">
        <v>532</v>
      </c>
      <c r="Z18" s="412">
        <v>9025</v>
      </c>
      <c r="AA18" s="413">
        <v>638</v>
      </c>
      <c r="AB18" s="412">
        <v>8952</v>
      </c>
      <c r="AC18" s="413">
        <v>623</v>
      </c>
      <c r="AD18" s="412">
        <v>8448</v>
      </c>
      <c r="AE18" s="413">
        <v>475</v>
      </c>
      <c r="AF18" s="412">
        <v>8451</v>
      </c>
      <c r="AG18" s="413">
        <v>449</v>
      </c>
      <c r="AH18" s="412">
        <v>8426</v>
      </c>
      <c r="AI18" s="413">
        <v>415</v>
      </c>
      <c r="AJ18" s="412">
        <v>8616</v>
      </c>
      <c r="AK18" s="413">
        <v>423</v>
      </c>
      <c r="AL18" s="412">
        <v>8958</v>
      </c>
      <c r="AM18" s="413">
        <v>448</v>
      </c>
      <c r="AN18" s="414">
        <v>9270</v>
      </c>
      <c r="AO18" s="413">
        <v>821</v>
      </c>
      <c r="AP18" s="412">
        <v>9218</v>
      </c>
      <c r="AQ18" s="413">
        <v>851</v>
      </c>
      <c r="AR18" s="415">
        <v>9385</v>
      </c>
      <c r="AS18" s="416">
        <v>721</v>
      </c>
      <c r="AT18" s="417">
        <v>9579</v>
      </c>
      <c r="AU18" s="418">
        <v>780</v>
      </c>
      <c r="AV18" s="417">
        <v>9122</v>
      </c>
      <c r="AW18" s="1322">
        <v>890</v>
      </c>
      <c r="AX18" s="1325">
        <v>7874</v>
      </c>
      <c r="AY18" s="1326">
        <v>816</v>
      </c>
      <c r="AZ18" s="1469">
        <v>7408</v>
      </c>
      <c r="BA18" s="1489">
        <v>798</v>
      </c>
      <c r="BB18" s="1469">
        <v>6826</v>
      </c>
      <c r="BC18" s="1489">
        <v>736</v>
      </c>
    </row>
    <row r="19" spans="1:55" ht="15" customHeight="1" x14ac:dyDescent="0.25">
      <c r="A19" s="403" t="s">
        <v>40</v>
      </c>
      <c r="B19" s="419" t="s">
        <v>41</v>
      </c>
      <c r="C19" s="187" t="s">
        <v>266</v>
      </c>
      <c r="D19" s="405">
        <f t="shared" si="15"/>
        <v>3.1766824954969707E-2</v>
      </c>
      <c r="E19" s="406">
        <f t="shared" si="16"/>
        <v>3.4309758860657062E-2</v>
      </c>
      <c r="F19" s="407">
        <f t="shared" si="17"/>
        <v>3.8498402555910541E-2</v>
      </c>
      <c r="G19" s="407">
        <f t="shared" si="18"/>
        <v>4.3625192012288788E-2</v>
      </c>
      <c r="H19" s="407">
        <f t="shared" si="19"/>
        <v>4.2060212514757972E-2</v>
      </c>
      <c r="I19" s="407">
        <f t="shared" si="20"/>
        <v>4.3070612364488718E-2</v>
      </c>
      <c r="J19" s="407">
        <f t="shared" si="21"/>
        <v>3.5510740903112667E-2</v>
      </c>
      <c r="K19" s="407">
        <f t="shared" si="22"/>
        <v>3.4893739230327396E-2</v>
      </c>
      <c r="L19" s="407">
        <f t="shared" si="23"/>
        <v>4.9202858713578893E-2</v>
      </c>
      <c r="M19" s="407">
        <f t="shared" si="24"/>
        <v>8.4076777507434447E-2</v>
      </c>
      <c r="N19" s="407">
        <f t="shared" si="25"/>
        <v>0.10057236304170074</v>
      </c>
      <c r="O19" s="408">
        <f t="shared" si="26"/>
        <v>8.9039242219215151E-2</v>
      </c>
      <c r="P19" s="409">
        <f t="shared" si="27"/>
        <v>7.6725304465493915E-2</v>
      </c>
      <c r="Q19" s="1313">
        <f t="shared" si="28"/>
        <v>7.1759890859481576E-2</v>
      </c>
      <c r="R19" s="1316">
        <f t="shared" si="29"/>
        <v>6.5837937384898709E-2</v>
      </c>
      <c r="S19" s="1483">
        <f t="shared" si="14"/>
        <v>5.8389577774289748E-2</v>
      </c>
      <c r="T19" s="1483">
        <f t="shared" si="30"/>
        <v>5.3460620525059663E-2</v>
      </c>
      <c r="U19" s="216"/>
      <c r="V19" s="410">
        <v>6107</v>
      </c>
      <c r="W19" s="411">
        <v>194</v>
      </c>
      <c r="X19" s="412">
        <v>6179</v>
      </c>
      <c r="Y19" s="413">
        <v>212</v>
      </c>
      <c r="Z19" s="412">
        <v>6260</v>
      </c>
      <c r="AA19" s="413">
        <v>241</v>
      </c>
      <c r="AB19" s="412">
        <v>6510</v>
      </c>
      <c r="AC19" s="413">
        <v>284</v>
      </c>
      <c r="AD19" s="412">
        <v>6776</v>
      </c>
      <c r="AE19" s="413">
        <v>285</v>
      </c>
      <c r="AF19" s="412">
        <v>6826</v>
      </c>
      <c r="AG19" s="413">
        <v>294</v>
      </c>
      <c r="AH19" s="412">
        <v>6843</v>
      </c>
      <c r="AI19" s="413">
        <v>243</v>
      </c>
      <c r="AJ19" s="412">
        <v>6964</v>
      </c>
      <c r="AK19" s="413">
        <v>243</v>
      </c>
      <c r="AL19" s="412">
        <v>7276</v>
      </c>
      <c r="AM19" s="413">
        <v>358</v>
      </c>
      <c r="AN19" s="414">
        <v>7398</v>
      </c>
      <c r="AO19" s="413">
        <v>622</v>
      </c>
      <c r="AP19" s="412">
        <v>7338</v>
      </c>
      <c r="AQ19" s="413">
        <v>738</v>
      </c>
      <c r="AR19" s="415">
        <v>7390</v>
      </c>
      <c r="AS19" s="416">
        <v>658</v>
      </c>
      <c r="AT19" s="417">
        <v>7390</v>
      </c>
      <c r="AU19" s="418">
        <v>567</v>
      </c>
      <c r="AV19" s="417">
        <v>7330</v>
      </c>
      <c r="AW19" s="1322">
        <v>526</v>
      </c>
      <c r="AX19" s="1325">
        <v>6516</v>
      </c>
      <c r="AY19" s="1326">
        <v>429</v>
      </c>
      <c r="AZ19" s="1469">
        <v>6371</v>
      </c>
      <c r="BA19" s="1489">
        <v>372</v>
      </c>
      <c r="BB19" s="1469">
        <v>6285</v>
      </c>
      <c r="BC19" s="1489">
        <v>336</v>
      </c>
    </row>
    <row r="20" spans="1:55" ht="15" customHeight="1" x14ac:dyDescent="0.25">
      <c r="A20" s="403" t="s">
        <v>42</v>
      </c>
      <c r="B20" s="419" t="s">
        <v>43</v>
      </c>
      <c r="C20" s="187" t="s">
        <v>265</v>
      </c>
      <c r="D20" s="405">
        <f t="shared" si="15"/>
        <v>2.3074003795066415E-2</v>
      </c>
      <c r="E20" s="406">
        <f t="shared" si="16"/>
        <v>4.2419119342196263E-2</v>
      </c>
      <c r="F20" s="407">
        <f t="shared" si="17"/>
        <v>5.7055584885737989E-2</v>
      </c>
      <c r="G20" s="407">
        <f t="shared" si="18"/>
        <v>4.9788774894387447E-2</v>
      </c>
      <c r="H20" s="407">
        <f t="shared" si="19"/>
        <v>4.304698443948056E-2</v>
      </c>
      <c r="I20" s="407">
        <f t="shared" si="20"/>
        <v>3.9225181598062951E-2</v>
      </c>
      <c r="J20" s="407">
        <f t="shared" si="21"/>
        <v>3.2129990441879273E-2</v>
      </c>
      <c r="K20" s="407">
        <f t="shared" si="22"/>
        <v>3.4512001769846243E-2</v>
      </c>
      <c r="L20" s="407">
        <f t="shared" si="23"/>
        <v>3.9788178044940607E-2</v>
      </c>
      <c r="M20" s="407">
        <f t="shared" si="24"/>
        <v>7.5120302685229401E-2</v>
      </c>
      <c r="N20" s="407">
        <f t="shared" si="25"/>
        <v>7.8146611341632088E-2</v>
      </c>
      <c r="O20" s="408">
        <f t="shared" si="26"/>
        <v>7.1841392932913889E-2</v>
      </c>
      <c r="P20" s="409">
        <f t="shared" si="27"/>
        <v>6.2729805013927581E-2</v>
      </c>
      <c r="Q20" s="1313">
        <f t="shared" si="28"/>
        <v>5.9094283593170011E-2</v>
      </c>
      <c r="R20" s="1316">
        <f t="shared" si="29"/>
        <v>5.2928592505163768E-2</v>
      </c>
      <c r="S20" s="1483">
        <f t="shared" si="14"/>
        <v>4.7541726455705764E-2</v>
      </c>
      <c r="T20" s="1483">
        <f t="shared" si="30"/>
        <v>4.3840774610005379E-2</v>
      </c>
      <c r="U20" s="216"/>
      <c r="V20" s="410">
        <v>26350</v>
      </c>
      <c r="W20" s="411">
        <v>608</v>
      </c>
      <c r="X20" s="412">
        <v>26026</v>
      </c>
      <c r="Y20" s="413">
        <v>1104</v>
      </c>
      <c r="Z20" s="412">
        <v>26518</v>
      </c>
      <c r="AA20" s="413">
        <v>1513</v>
      </c>
      <c r="AB20" s="412">
        <v>26512</v>
      </c>
      <c r="AC20" s="413">
        <v>1320</v>
      </c>
      <c r="AD20" s="412">
        <v>26413</v>
      </c>
      <c r="AE20" s="413">
        <v>1137</v>
      </c>
      <c r="AF20" s="412">
        <v>26845</v>
      </c>
      <c r="AG20" s="413">
        <v>1053</v>
      </c>
      <c r="AH20" s="412">
        <v>27202</v>
      </c>
      <c r="AI20" s="413">
        <v>874</v>
      </c>
      <c r="AJ20" s="412">
        <v>27121</v>
      </c>
      <c r="AK20" s="413">
        <v>936</v>
      </c>
      <c r="AL20" s="412">
        <v>27948</v>
      </c>
      <c r="AM20" s="413">
        <v>1112</v>
      </c>
      <c r="AN20" s="414">
        <v>27223</v>
      </c>
      <c r="AO20" s="413">
        <v>2045</v>
      </c>
      <c r="AP20" s="412">
        <v>27474</v>
      </c>
      <c r="AQ20" s="413">
        <v>2147</v>
      </c>
      <c r="AR20" s="415">
        <v>27338</v>
      </c>
      <c r="AS20" s="416">
        <v>1964</v>
      </c>
      <c r="AT20" s="417">
        <v>26925</v>
      </c>
      <c r="AU20" s="418">
        <v>1689</v>
      </c>
      <c r="AV20" s="417">
        <v>26940</v>
      </c>
      <c r="AW20" s="1322">
        <v>1592</v>
      </c>
      <c r="AX20" s="1325">
        <v>27112</v>
      </c>
      <c r="AY20" s="1326">
        <v>1435</v>
      </c>
      <c r="AZ20" s="1469">
        <v>26482</v>
      </c>
      <c r="BA20" s="1489">
        <v>1259</v>
      </c>
      <c r="BB20" s="1469">
        <v>26026</v>
      </c>
      <c r="BC20" s="1489">
        <v>1141</v>
      </c>
    </row>
    <row r="21" spans="1:55" ht="15" customHeight="1" x14ac:dyDescent="0.25">
      <c r="A21" s="403" t="s">
        <v>44</v>
      </c>
      <c r="B21" s="419" t="s">
        <v>45</v>
      </c>
      <c r="C21" s="187" t="s">
        <v>266</v>
      </c>
      <c r="D21" s="405">
        <f t="shared" si="15"/>
        <v>2.1677490167383153E-2</v>
      </c>
      <c r="E21" s="406">
        <f t="shared" si="16"/>
        <v>3.0198603427949579E-2</v>
      </c>
      <c r="F21" s="407">
        <f t="shared" si="17"/>
        <v>4.2680776014109349E-2</v>
      </c>
      <c r="G21" s="407">
        <f t="shared" si="18"/>
        <v>4.252577319587629E-2</v>
      </c>
      <c r="H21" s="407">
        <f t="shared" si="19"/>
        <v>3.9278656126482216E-2</v>
      </c>
      <c r="I21" s="407">
        <f t="shared" si="20"/>
        <v>3.7629423582135682E-2</v>
      </c>
      <c r="J21" s="407">
        <f t="shared" si="21"/>
        <v>3.3736004714201531E-2</v>
      </c>
      <c r="K21" s="407">
        <f t="shared" si="22"/>
        <v>3.7513552584026021E-2</v>
      </c>
      <c r="L21" s="407">
        <f t="shared" si="23"/>
        <v>4.8008957939673878E-2</v>
      </c>
      <c r="M21" s="407">
        <f t="shared" si="24"/>
        <v>8.6913580246913577E-2</v>
      </c>
      <c r="N21" s="407">
        <f t="shared" si="25"/>
        <v>9.4811419045634504E-2</v>
      </c>
      <c r="O21" s="408">
        <f t="shared" si="26"/>
        <v>8.4720121028744322E-2</v>
      </c>
      <c r="P21" s="409">
        <f t="shared" si="27"/>
        <v>7.2523262178434592E-2</v>
      </c>
      <c r="Q21" s="1313">
        <f t="shared" si="28"/>
        <v>6.700645599728168E-2</v>
      </c>
      <c r="R21" s="1316">
        <f t="shared" si="29"/>
        <v>6.1231416740207725E-2</v>
      </c>
      <c r="S21" s="1483">
        <f t="shared" si="14"/>
        <v>5.059803789813197E-2</v>
      </c>
      <c r="T21" s="1483">
        <f t="shared" si="30"/>
        <v>4.373020685937605E-2</v>
      </c>
      <c r="U21" s="216"/>
      <c r="V21" s="410">
        <v>10933</v>
      </c>
      <c r="W21" s="411">
        <v>237</v>
      </c>
      <c r="X21" s="412">
        <v>11027</v>
      </c>
      <c r="Y21" s="413">
        <v>333</v>
      </c>
      <c r="Z21" s="412">
        <v>11340</v>
      </c>
      <c r="AA21" s="413">
        <v>484</v>
      </c>
      <c r="AB21" s="412">
        <v>11640</v>
      </c>
      <c r="AC21" s="413">
        <v>495</v>
      </c>
      <c r="AD21" s="412">
        <v>12144</v>
      </c>
      <c r="AE21" s="413">
        <v>477</v>
      </c>
      <c r="AF21" s="412">
        <v>12942</v>
      </c>
      <c r="AG21" s="413">
        <v>487</v>
      </c>
      <c r="AH21" s="412">
        <v>13576</v>
      </c>
      <c r="AI21" s="413">
        <v>458</v>
      </c>
      <c r="AJ21" s="412">
        <v>13835</v>
      </c>
      <c r="AK21" s="413">
        <v>519</v>
      </c>
      <c r="AL21" s="412">
        <v>14289</v>
      </c>
      <c r="AM21" s="413">
        <v>686</v>
      </c>
      <c r="AN21" s="414">
        <v>14175</v>
      </c>
      <c r="AO21" s="413">
        <v>1232</v>
      </c>
      <c r="AP21" s="412">
        <v>14397</v>
      </c>
      <c r="AQ21" s="413">
        <v>1365</v>
      </c>
      <c r="AR21" s="415">
        <v>14542</v>
      </c>
      <c r="AS21" s="416">
        <v>1232</v>
      </c>
      <c r="AT21" s="417">
        <v>14616</v>
      </c>
      <c r="AU21" s="418">
        <v>1060</v>
      </c>
      <c r="AV21" s="417">
        <v>14715</v>
      </c>
      <c r="AW21" s="1322">
        <v>986</v>
      </c>
      <c r="AX21" s="1325">
        <v>14731</v>
      </c>
      <c r="AY21" s="1326">
        <v>902</v>
      </c>
      <c r="AZ21" s="1469">
        <v>14882</v>
      </c>
      <c r="BA21" s="1489">
        <v>753</v>
      </c>
      <c r="BB21" s="1469">
        <v>14841</v>
      </c>
      <c r="BC21" s="1489">
        <v>649</v>
      </c>
    </row>
    <row r="22" spans="1:55" ht="15" customHeight="1" x14ac:dyDescent="0.25">
      <c r="A22" s="403" t="s">
        <v>46</v>
      </c>
      <c r="B22" s="419" t="s">
        <v>47</v>
      </c>
      <c r="C22" s="187" t="s">
        <v>268</v>
      </c>
      <c r="D22" s="405">
        <f t="shared" si="15"/>
        <v>4.0266177768724112E-2</v>
      </c>
      <c r="E22" s="406">
        <f t="shared" si="16"/>
        <v>6.8937495767589896E-2</v>
      </c>
      <c r="F22" s="407">
        <f t="shared" si="17"/>
        <v>6.5912610247088124E-2</v>
      </c>
      <c r="G22" s="407">
        <f t="shared" si="18"/>
        <v>5.5688463583200426E-2</v>
      </c>
      <c r="H22" s="407">
        <f t="shared" si="19"/>
        <v>4.9054293101102188E-2</v>
      </c>
      <c r="I22" s="407">
        <f t="shared" si="20"/>
        <v>5.5567074434998961E-2</v>
      </c>
      <c r="J22" s="407">
        <f t="shared" si="21"/>
        <v>5.1886110709640124E-2</v>
      </c>
      <c r="K22" s="407">
        <f t="shared" si="22"/>
        <v>5.6880601329864125E-2</v>
      </c>
      <c r="L22" s="407">
        <f t="shared" si="23"/>
        <v>6.6704553527029906E-2</v>
      </c>
      <c r="M22" s="407">
        <f t="shared" si="24"/>
        <v>0.1121398466109307</v>
      </c>
      <c r="N22" s="407">
        <f t="shared" si="25"/>
        <v>0.11297335203366059</v>
      </c>
      <c r="O22" s="408">
        <f t="shared" si="26"/>
        <v>9.5360091090236271E-2</v>
      </c>
      <c r="P22" s="409">
        <f t="shared" si="27"/>
        <v>8.5284031608766964E-2</v>
      </c>
      <c r="Q22" s="1313">
        <f t="shared" si="28"/>
        <v>8.0836547018688823E-2</v>
      </c>
      <c r="R22" s="1316">
        <f t="shared" si="29"/>
        <v>6.7508315693982468E-2</v>
      </c>
      <c r="S22" s="1483">
        <f t="shared" si="14"/>
        <v>5.3362852126116495E-2</v>
      </c>
      <c r="T22" s="1483">
        <f t="shared" si="30"/>
        <v>5.1361386138613858E-2</v>
      </c>
      <c r="U22" s="216"/>
      <c r="V22" s="410">
        <v>14727</v>
      </c>
      <c r="W22" s="411">
        <v>593</v>
      </c>
      <c r="X22" s="412">
        <v>14767</v>
      </c>
      <c r="Y22" s="413">
        <v>1018</v>
      </c>
      <c r="Z22" s="412">
        <v>14853</v>
      </c>
      <c r="AA22" s="413">
        <v>979</v>
      </c>
      <c r="AB22" s="412">
        <v>15048</v>
      </c>
      <c r="AC22" s="413">
        <v>838</v>
      </c>
      <c r="AD22" s="412">
        <v>14698</v>
      </c>
      <c r="AE22" s="413">
        <v>721</v>
      </c>
      <c r="AF22" s="412">
        <v>14469</v>
      </c>
      <c r="AG22" s="413">
        <v>804</v>
      </c>
      <c r="AH22" s="412">
        <v>13838</v>
      </c>
      <c r="AI22" s="413">
        <v>718</v>
      </c>
      <c r="AJ22" s="412">
        <v>13836</v>
      </c>
      <c r="AK22" s="413">
        <v>787</v>
      </c>
      <c r="AL22" s="412">
        <v>14077</v>
      </c>
      <c r="AM22" s="413">
        <v>939</v>
      </c>
      <c r="AN22" s="414">
        <v>14473</v>
      </c>
      <c r="AO22" s="413">
        <v>1623</v>
      </c>
      <c r="AP22" s="412">
        <v>14260</v>
      </c>
      <c r="AQ22" s="413">
        <v>1611</v>
      </c>
      <c r="AR22" s="415">
        <v>14052</v>
      </c>
      <c r="AS22" s="416">
        <v>1340</v>
      </c>
      <c r="AT22" s="417">
        <v>13414</v>
      </c>
      <c r="AU22" s="418">
        <v>1144</v>
      </c>
      <c r="AV22" s="417">
        <v>13484</v>
      </c>
      <c r="AW22" s="1322">
        <v>1090</v>
      </c>
      <c r="AX22" s="1325">
        <v>13228</v>
      </c>
      <c r="AY22" s="1326">
        <v>893</v>
      </c>
      <c r="AZ22" s="1469">
        <v>13099</v>
      </c>
      <c r="BA22" s="1489">
        <v>699</v>
      </c>
      <c r="BB22" s="1469">
        <v>12928</v>
      </c>
      <c r="BC22" s="1489">
        <v>664</v>
      </c>
    </row>
    <row r="23" spans="1:55" ht="15" customHeight="1" x14ac:dyDescent="0.25">
      <c r="A23" s="403" t="s">
        <v>48</v>
      </c>
      <c r="B23" s="419" t="s">
        <v>269</v>
      </c>
      <c r="C23" s="187" t="s">
        <v>266</v>
      </c>
      <c r="D23" s="405">
        <f t="shared" si="15"/>
        <v>2.4492067909824659E-2</v>
      </c>
      <c r="E23" s="406">
        <f t="shared" si="16"/>
        <v>4.8873201194678251E-2</v>
      </c>
      <c r="F23" s="407">
        <f t="shared" si="17"/>
        <v>5.2097248196633715E-2</v>
      </c>
      <c r="G23" s="407">
        <f t="shared" si="18"/>
        <v>5.0317796610169489E-2</v>
      </c>
      <c r="H23" s="407">
        <f t="shared" si="19"/>
        <v>4.9697607152248226E-2</v>
      </c>
      <c r="I23" s="407">
        <f t="shared" si="20"/>
        <v>4.3374768579740812E-2</v>
      </c>
      <c r="J23" s="407">
        <f t="shared" si="21"/>
        <v>3.9302446642373763E-2</v>
      </c>
      <c r="K23" s="407">
        <f t="shared" si="22"/>
        <v>3.9313984168865439E-2</v>
      </c>
      <c r="L23" s="407">
        <f t="shared" si="23"/>
        <v>5.0115651503469548E-2</v>
      </c>
      <c r="M23" s="407">
        <f t="shared" si="24"/>
        <v>9.3319469716662329E-2</v>
      </c>
      <c r="N23" s="407">
        <f t="shared" si="25"/>
        <v>9.5063025210084029E-2</v>
      </c>
      <c r="O23" s="408">
        <f t="shared" si="26"/>
        <v>8.7467362924281991E-2</v>
      </c>
      <c r="P23" s="409">
        <f t="shared" si="27"/>
        <v>7.4920297555791715E-2</v>
      </c>
      <c r="Q23" s="1313">
        <f t="shared" si="28"/>
        <v>6.0719041278295603E-2</v>
      </c>
      <c r="R23" s="1316">
        <f t="shared" si="29"/>
        <v>5.7868551976957318E-2</v>
      </c>
      <c r="S23" s="1483">
        <f t="shared" si="14"/>
        <v>5.2268506235075618E-2</v>
      </c>
      <c r="T23" s="1483">
        <f t="shared" si="30"/>
        <v>4.5356951154052604E-2</v>
      </c>
      <c r="U23" s="216"/>
      <c r="V23" s="410">
        <v>3593</v>
      </c>
      <c r="W23" s="411">
        <v>88</v>
      </c>
      <c r="X23" s="412">
        <v>3683</v>
      </c>
      <c r="Y23" s="413">
        <v>180</v>
      </c>
      <c r="Z23" s="412">
        <v>3743</v>
      </c>
      <c r="AA23" s="413">
        <v>195</v>
      </c>
      <c r="AB23" s="412">
        <v>3776</v>
      </c>
      <c r="AC23" s="413">
        <v>190</v>
      </c>
      <c r="AD23" s="412">
        <v>3803</v>
      </c>
      <c r="AE23" s="413">
        <v>189</v>
      </c>
      <c r="AF23" s="412">
        <v>3781</v>
      </c>
      <c r="AG23" s="413">
        <v>164</v>
      </c>
      <c r="AH23" s="412">
        <v>3842</v>
      </c>
      <c r="AI23" s="413">
        <v>151</v>
      </c>
      <c r="AJ23" s="412">
        <v>3790</v>
      </c>
      <c r="AK23" s="413">
        <v>149</v>
      </c>
      <c r="AL23" s="412">
        <v>3891</v>
      </c>
      <c r="AM23" s="413">
        <v>195</v>
      </c>
      <c r="AN23" s="414">
        <v>3847</v>
      </c>
      <c r="AO23" s="413">
        <v>359</v>
      </c>
      <c r="AP23" s="412">
        <v>3808</v>
      </c>
      <c r="AQ23" s="413">
        <v>362</v>
      </c>
      <c r="AR23" s="415">
        <v>3830</v>
      </c>
      <c r="AS23" s="416">
        <v>335</v>
      </c>
      <c r="AT23" s="417">
        <v>3764</v>
      </c>
      <c r="AU23" s="418">
        <v>282</v>
      </c>
      <c r="AV23" s="417">
        <v>3755</v>
      </c>
      <c r="AW23" s="1322">
        <v>228</v>
      </c>
      <c r="AX23" s="1325">
        <v>3819</v>
      </c>
      <c r="AY23" s="1326">
        <v>221</v>
      </c>
      <c r="AZ23" s="1469">
        <v>3769</v>
      </c>
      <c r="BA23" s="1489">
        <v>197</v>
      </c>
      <c r="BB23" s="1469">
        <v>3726</v>
      </c>
      <c r="BC23" s="1489">
        <v>169</v>
      </c>
    </row>
    <row r="24" spans="1:55" ht="15" customHeight="1" x14ac:dyDescent="0.25">
      <c r="A24" s="403" t="s">
        <v>50</v>
      </c>
      <c r="B24" s="419" t="s">
        <v>51</v>
      </c>
      <c r="C24" s="187" t="s">
        <v>265</v>
      </c>
      <c r="D24" s="405">
        <f t="shared" si="15"/>
        <v>3.1358249772105745E-2</v>
      </c>
      <c r="E24" s="406">
        <f t="shared" si="16"/>
        <v>4.2880703683342493E-2</v>
      </c>
      <c r="F24" s="407">
        <f t="shared" si="17"/>
        <v>7.4353448275862072E-2</v>
      </c>
      <c r="G24" s="407">
        <f t="shared" si="18"/>
        <v>6.4985111227885792E-2</v>
      </c>
      <c r="H24" s="407">
        <f t="shared" si="19"/>
        <v>5.9128260092890315E-2</v>
      </c>
      <c r="I24" s="407">
        <f t="shared" si="20"/>
        <v>8.1224789145581219E-2</v>
      </c>
      <c r="J24" s="407">
        <f t="shared" si="21"/>
        <v>6.5969581749049433E-2</v>
      </c>
      <c r="K24" s="407">
        <f t="shared" si="22"/>
        <v>5.34147272033575E-2</v>
      </c>
      <c r="L24" s="407">
        <f t="shared" si="23"/>
        <v>5.9353178978316795E-2</v>
      </c>
      <c r="M24" s="407">
        <f t="shared" si="24"/>
        <v>9.5528820254982938E-2</v>
      </c>
      <c r="N24" s="407">
        <f t="shared" si="25"/>
        <v>0.10061832490163013</v>
      </c>
      <c r="O24" s="408">
        <f t="shared" si="26"/>
        <v>9.7165236851920925E-2</v>
      </c>
      <c r="P24" s="409">
        <f t="shared" si="27"/>
        <v>8.8521400778210121E-2</v>
      </c>
      <c r="Q24" s="1313">
        <f t="shared" si="28"/>
        <v>7.9009433962264147E-2</v>
      </c>
      <c r="R24" s="1316">
        <f t="shared" si="29"/>
        <v>6.7341962108422429E-2</v>
      </c>
      <c r="S24" s="1483">
        <f t="shared" si="14"/>
        <v>5.7420831743609312E-2</v>
      </c>
      <c r="T24" s="1483">
        <f t="shared" si="30"/>
        <v>5.0256996002284407E-2</v>
      </c>
      <c r="U24" s="216"/>
      <c r="V24" s="410">
        <v>5485</v>
      </c>
      <c r="W24" s="411">
        <v>172</v>
      </c>
      <c r="X24" s="412">
        <v>5457</v>
      </c>
      <c r="Y24" s="413">
        <v>234</v>
      </c>
      <c r="Z24" s="412">
        <v>5568</v>
      </c>
      <c r="AA24" s="413">
        <v>414</v>
      </c>
      <c r="AB24" s="412">
        <v>5709</v>
      </c>
      <c r="AC24" s="413">
        <v>371</v>
      </c>
      <c r="AD24" s="412">
        <v>5598</v>
      </c>
      <c r="AE24" s="413">
        <v>331</v>
      </c>
      <c r="AF24" s="412">
        <v>5454</v>
      </c>
      <c r="AG24" s="413">
        <v>443</v>
      </c>
      <c r="AH24" s="412">
        <v>5260</v>
      </c>
      <c r="AI24" s="413">
        <v>347</v>
      </c>
      <c r="AJ24" s="412">
        <v>5242</v>
      </c>
      <c r="AK24" s="413">
        <v>280</v>
      </c>
      <c r="AL24" s="412">
        <v>5442</v>
      </c>
      <c r="AM24" s="413">
        <v>323</v>
      </c>
      <c r="AN24" s="414">
        <v>5569</v>
      </c>
      <c r="AO24" s="413">
        <v>532</v>
      </c>
      <c r="AP24" s="412">
        <v>5337</v>
      </c>
      <c r="AQ24" s="413">
        <v>537</v>
      </c>
      <c r="AR24" s="415">
        <v>5362</v>
      </c>
      <c r="AS24" s="416">
        <v>521</v>
      </c>
      <c r="AT24" s="417">
        <v>5140</v>
      </c>
      <c r="AU24" s="418">
        <v>455</v>
      </c>
      <c r="AV24" s="417">
        <v>5088</v>
      </c>
      <c r="AW24" s="1322">
        <v>402</v>
      </c>
      <c r="AX24" s="1325">
        <v>5331</v>
      </c>
      <c r="AY24" s="1326">
        <v>359</v>
      </c>
      <c r="AZ24" s="1469">
        <v>5242</v>
      </c>
      <c r="BA24" s="1489">
        <v>301</v>
      </c>
      <c r="BB24" s="1469">
        <v>5253</v>
      </c>
      <c r="BC24" s="1489">
        <v>264</v>
      </c>
    </row>
    <row r="25" spans="1:55" x14ac:dyDescent="0.25">
      <c r="A25" s="403" t="s">
        <v>56</v>
      </c>
      <c r="B25" s="419" t="s">
        <v>57</v>
      </c>
      <c r="C25" s="187" t="s">
        <v>266</v>
      </c>
      <c r="D25" s="405">
        <f t="shared" si="15"/>
        <v>1.8083773262944594E-2</v>
      </c>
      <c r="E25" s="406">
        <f t="shared" si="16"/>
        <v>2.6142125346296587E-2</v>
      </c>
      <c r="F25" s="407">
        <f t="shared" si="17"/>
        <v>3.4532823056692925E-2</v>
      </c>
      <c r="G25" s="407">
        <f t="shared" si="18"/>
        <v>3.5656008270948295E-2</v>
      </c>
      <c r="H25" s="407">
        <f t="shared" si="19"/>
        <v>3.3082360916089674E-2</v>
      </c>
      <c r="I25" s="407">
        <f t="shared" si="20"/>
        <v>3.1828336760514137E-2</v>
      </c>
      <c r="J25" s="407">
        <f t="shared" si="21"/>
        <v>2.7787702414568086E-2</v>
      </c>
      <c r="K25" s="407">
        <f t="shared" si="22"/>
        <v>2.6788330814624981E-2</v>
      </c>
      <c r="L25" s="407">
        <f t="shared" si="23"/>
        <v>3.7053340093942753E-2</v>
      </c>
      <c r="M25" s="407">
        <f t="shared" si="24"/>
        <v>6.9645389269593419E-2</v>
      </c>
      <c r="N25" s="407">
        <f t="shared" si="25"/>
        <v>7.3687374080299198E-2</v>
      </c>
      <c r="O25" s="408">
        <f t="shared" si="26"/>
        <v>6.6593648510211642E-2</v>
      </c>
      <c r="P25" s="409">
        <f t="shared" si="27"/>
        <v>5.9556465737921373E-2</v>
      </c>
      <c r="Q25" s="1313">
        <f t="shared" si="28"/>
        <v>5.5725337664558047E-2</v>
      </c>
      <c r="R25" s="1316">
        <f t="shared" si="29"/>
        <v>5.1289353630555451E-2</v>
      </c>
      <c r="S25" s="1483">
        <f t="shared" si="14"/>
        <v>4.3124850482443314E-2</v>
      </c>
      <c r="T25" s="1483">
        <f t="shared" si="30"/>
        <v>3.8545666393030212E-2</v>
      </c>
      <c r="U25" s="216"/>
      <c r="V25" s="420">
        <v>150024</v>
      </c>
      <c r="W25" s="421">
        <v>2713</v>
      </c>
      <c r="X25" s="1269">
        <v>153048</v>
      </c>
      <c r="Y25" s="1270">
        <v>4001</v>
      </c>
      <c r="Z25" s="1269">
        <v>157039</v>
      </c>
      <c r="AA25" s="1270">
        <v>5423</v>
      </c>
      <c r="AB25" s="1269">
        <v>160562</v>
      </c>
      <c r="AC25" s="1270">
        <v>5725</v>
      </c>
      <c r="AD25" s="1269">
        <v>165224</v>
      </c>
      <c r="AE25" s="1270">
        <v>5466</v>
      </c>
      <c r="AF25" s="1269">
        <v>168749</v>
      </c>
      <c r="AG25" s="1270">
        <v>5371</v>
      </c>
      <c r="AH25" s="1269">
        <v>173530</v>
      </c>
      <c r="AI25" s="1270">
        <v>4822</v>
      </c>
      <c r="AJ25" s="1269">
        <v>174031</v>
      </c>
      <c r="AK25" s="1270">
        <v>4662</v>
      </c>
      <c r="AL25" s="1269">
        <v>179471</v>
      </c>
      <c r="AM25" s="1270">
        <v>6650</v>
      </c>
      <c r="AN25" s="1271">
        <v>177011</v>
      </c>
      <c r="AO25" s="1270">
        <v>12328</v>
      </c>
      <c r="AP25" s="1269">
        <v>179678</v>
      </c>
      <c r="AQ25" s="1270">
        <v>13240</v>
      </c>
      <c r="AR25" s="415">
        <v>183516</v>
      </c>
      <c r="AS25" s="416">
        <v>12221</v>
      </c>
      <c r="AT25" s="417">
        <v>185555</v>
      </c>
      <c r="AU25" s="418">
        <v>11051</v>
      </c>
      <c r="AV25" s="417">
        <v>187168</v>
      </c>
      <c r="AW25" s="1322">
        <v>10430</v>
      </c>
      <c r="AX25" s="1325">
        <v>186101</v>
      </c>
      <c r="AY25" s="1326">
        <v>9545</v>
      </c>
      <c r="AZ25" s="1469">
        <v>188105</v>
      </c>
      <c r="BA25" s="1489">
        <v>8112</v>
      </c>
      <c r="BB25" s="1469">
        <v>188815</v>
      </c>
      <c r="BC25" s="1489">
        <v>7278</v>
      </c>
    </row>
    <row r="26" spans="1:55" ht="15" customHeight="1" x14ac:dyDescent="0.25">
      <c r="A26" s="403" t="s">
        <v>58</v>
      </c>
      <c r="B26" s="419" t="s">
        <v>59</v>
      </c>
      <c r="C26" s="187" t="s">
        <v>267</v>
      </c>
      <c r="D26" s="405">
        <f t="shared" si="15"/>
        <v>1.5729682493445966E-2</v>
      </c>
      <c r="E26" s="406">
        <f t="shared" si="16"/>
        <v>2.2301136363636363E-2</v>
      </c>
      <c r="F26" s="407">
        <f t="shared" si="17"/>
        <v>3.0128114881036182E-2</v>
      </c>
      <c r="G26" s="407">
        <f t="shared" si="18"/>
        <v>3.0972222222222224E-2</v>
      </c>
      <c r="H26" s="407">
        <f t="shared" si="19"/>
        <v>2.7955271565495207E-2</v>
      </c>
      <c r="I26" s="407">
        <f t="shared" si="20"/>
        <v>2.5552131484334873E-2</v>
      </c>
      <c r="J26" s="407">
        <f t="shared" si="21"/>
        <v>2.4302541847489152E-2</v>
      </c>
      <c r="K26" s="407">
        <f t="shared" si="22"/>
        <v>2.707445475056405E-2</v>
      </c>
      <c r="L26" s="407">
        <f t="shared" si="23"/>
        <v>3.4247410115783056E-2</v>
      </c>
      <c r="M26" s="407">
        <f t="shared" si="24"/>
        <v>6.5484982767109803E-2</v>
      </c>
      <c r="N26" s="407">
        <f t="shared" si="25"/>
        <v>5.9979182930002602E-2</v>
      </c>
      <c r="O26" s="408">
        <f t="shared" si="26"/>
        <v>5.3084832904884319E-2</v>
      </c>
      <c r="P26" s="409">
        <f t="shared" si="27"/>
        <v>5.0135676443985012E-2</v>
      </c>
      <c r="Q26" s="1313">
        <f t="shared" si="28"/>
        <v>4.5056642636457263E-2</v>
      </c>
      <c r="R26" s="1316">
        <f t="shared" si="29"/>
        <v>4.3182412980895056E-2</v>
      </c>
      <c r="S26" s="1483">
        <f t="shared" si="14"/>
        <v>3.9609189331925004E-2</v>
      </c>
      <c r="T26" s="1483">
        <f t="shared" si="30"/>
        <v>3.5000670510929331E-2</v>
      </c>
      <c r="U26" s="216"/>
      <c r="V26" s="410">
        <v>6866</v>
      </c>
      <c r="W26" s="411">
        <v>108</v>
      </c>
      <c r="X26" s="412">
        <v>7040</v>
      </c>
      <c r="Y26" s="413">
        <v>157</v>
      </c>
      <c r="Z26" s="412">
        <v>7103</v>
      </c>
      <c r="AA26" s="413">
        <v>214</v>
      </c>
      <c r="AB26" s="412">
        <v>7200</v>
      </c>
      <c r="AC26" s="413">
        <v>223</v>
      </c>
      <c r="AD26" s="412">
        <v>7512</v>
      </c>
      <c r="AE26" s="413">
        <v>210</v>
      </c>
      <c r="AF26" s="412">
        <v>7788</v>
      </c>
      <c r="AG26" s="413">
        <v>199</v>
      </c>
      <c r="AH26" s="412">
        <v>8065</v>
      </c>
      <c r="AI26" s="413">
        <v>196</v>
      </c>
      <c r="AJ26" s="412">
        <v>7978</v>
      </c>
      <c r="AK26" s="413">
        <v>216</v>
      </c>
      <c r="AL26" s="412">
        <v>8205</v>
      </c>
      <c r="AM26" s="413">
        <v>281</v>
      </c>
      <c r="AN26" s="414">
        <v>8124</v>
      </c>
      <c r="AO26" s="413">
        <v>532</v>
      </c>
      <c r="AP26" s="412">
        <v>7686</v>
      </c>
      <c r="AQ26" s="413">
        <v>461</v>
      </c>
      <c r="AR26" s="415">
        <v>7780</v>
      </c>
      <c r="AS26" s="416">
        <v>413</v>
      </c>
      <c r="AT26" s="417">
        <v>7739</v>
      </c>
      <c r="AU26" s="418">
        <v>388</v>
      </c>
      <c r="AV26" s="417">
        <v>7768</v>
      </c>
      <c r="AW26" s="1322">
        <v>350</v>
      </c>
      <c r="AX26" s="1325">
        <v>7642</v>
      </c>
      <c r="AY26" s="1326">
        <v>330</v>
      </c>
      <c r="AZ26" s="1469">
        <v>7574</v>
      </c>
      <c r="BA26" s="1489">
        <v>300</v>
      </c>
      <c r="BB26" s="1469">
        <v>7457</v>
      </c>
      <c r="BC26" s="1489">
        <v>261</v>
      </c>
    </row>
    <row r="27" spans="1:55" ht="15" customHeight="1" x14ac:dyDescent="0.25">
      <c r="A27" s="403" t="s">
        <v>60</v>
      </c>
      <c r="B27" s="419" t="s">
        <v>61</v>
      </c>
      <c r="C27" s="187" t="s">
        <v>265</v>
      </c>
      <c r="D27" s="405">
        <f t="shared" si="15"/>
        <v>2.4115755627009645E-2</v>
      </c>
      <c r="E27" s="406">
        <f t="shared" si="16"/>
        <v>2.9246794871794872E-2</v>
      </c>
      <c r="F27" s="407">
        <f t="shared" si="17"/>
        <v>4.0078585461689589E-2</v>
      </c>
      <c r="G27" s="407">
        <f t="shared" si="18"/>
        <v>4.0873015873015874E-2</v>
      </c>
      <c r="H27" s="407">
        <f t="shared" si="19"/>
        <v>3.8630027877339705E-2</v>
      </c>
      <c r="I27" s="407">
        <f t="shared" si="20"/>
        <v>3.8553259141494434E-2</v>
      </c>
      <c r="J27" s="407">
        <f t="shared" si="21"/>
        <v>3.399765533411489E-2</v>
      </c>
      <c r="K27" s="407">
        <f t="shared" si="22"/>
        <v>3.7676609105180531E-2</v>
      </c>
      <c r="L27" s="407">
        <f t="shared" si="23"/>
        <v>3.9921722113502936E-2</v>
      </c>
      <c r="M27" s="407">
        <f t="shared" si="24"/>
        <v>7.6703386372909022E-2</v>
      </c>
      <c r="N27" s="407">
        <f t="shared" si="25"/>
        <v>7.9968012794882054E-2</v>
      </c>
      <c r="O27" s="408">
        <f t="shared" si="26"/>
        <v>7.6583801122694473E-2</v>
      </c>
      <c r="P27" s="409">
        <f t="shared" si="27"/>
        <v>6.7246835443037972E-2</v>
      </c>
      <c r="Q27" s="1313">
        <f t="shared" si="28"/>
        <v>6.6535433070866137E-2</v>
      </c>
      <c r="R27" s="1316">
        <f t="shared" si="29"/>
        <v>6.2676910634856448E-2</v>
      </c>
      <c r="S27" s="1483">
        <f t="shared" si="14"/>
        <v>5.5121349238996295E-2</v>
      </c>
      <c r="T27" s="1483">
        <f t="shared" si="30"/>
        <v>4.6835443037974683E-2</v>
      </c>
      <c r="U27" s="216"/>
      <c r="V27" s="410">
        <v>2488</v>
      </c>
      <c r="W27" s="411">
        <v>60</v>
      </c>
      <c r="X27" s="412">
        <v>2496</v>
      </c>
      <c r="Y27" s="413">
        <v>73</v>
      </c>
      <c r="Z27" s="412">
        <v>2545</v>
      </c>
      <c r="AA27" s="413">
        <v>102</v>
      </c>
      <c r="AB27" s="412">
        <v>2520</v>
      </c>
      <c r="AC27" s="413">
        <v>103</v>
      </c>
      <c r="AD27" s="412">
        <v>2511</v>
      </c>
      <c r="AE27" s="413">
        <v>97</v>
      </c>
      <c r="AF27" s="412">
        <v>2516</v>
      </c>
      <c r="AG27" s="413">
        <v>97</v>
      </c>
      <c r="AH27" s="412">
        <v>2559</v>
      </c>
      <c r="AI27" s="413">
        <v>87</v>
      </c>
      <c r="AJ27" s="412">
        <v>2548</v>
      </c>
      <c r="AK27" s="413">
        <v>96</v>
      </c>
      <c r="AL27" s="412">
        <v>2555</v>
      </c>
      <c r="AM27" s="413">
        <v>102</v>
      </c>
      <c r="AN27" s="414">
        <v>2451</v>
      </c>
      <c r="AO27" s="413">
        <v>188</v>
      </c>
      <c r="AP27" s="412">
        <v>2501</v>
      </c>
      <c r="AQ27" s="413">
        <v>200</v>
      </c>
      <c r="AR27" s="415">
        <v>2494</v>
      </c>
      <c r="AS27" s="416">
        <v>191</v>
      </c>
      <c r="AT27" s="417">
        <v>2528</v>
      </c>
      <c r="AU27" s="418">
        <v>170</v>
      </c>
      <c r="AV27" s="417">
        <v>2540</v>
      </c>
      <c r="AW27" s="1322">
        <v>169</v>
      </c>
      <c r="AX27" s="1325">
        <v>2473</v>
      </c>
      <c r="AY27" s="1326">
        <v>155</v>
      </c>
      <c r="AZ27" s="1469">
        <v>2431</v>
      </c>
      <c r="BA27" s="1489">
        <v>134</v>
      </c>
      <c r="BB27" s="1469">
        <v>2370</v>
      </c>
      <c r="BC27" s="1489">
        <v>111</v>
      </c>
    </row>
    <row r="28" spans="1:55" ht="15" customHeight="1" x14ac:dyDescent="0.25">
      <c r="A28" s="403" t="s">
        <v>62</v>
      </c>
      <c r="B28" s="419" t="s">
        <v>63</v>
      </c>
      <c r="C28" s="187" t="s">
        <v>267</v>
      </c>
      <c r="D28" s="405">
        <f t="shared" si="15"/>
        <v>1.9015925837889233E-2</v>
      </c>
      <c r="E28" s="406">
        <f t="shared" si="16"/>
        <v>2.5980789260502256E-2</v>
      </c>
      <c r="F28" s="407">
        <f t="shared" si="17"/>
        <v>3.7692002493906931E-2</v>
      </c>
      <c r="G28" s="407">
        <f t="shared" si="18"/>
        <v>4.0235579040070454E-2</v>
      </c>
      <c r="H28" s="407">
        <f t="shared" si="19"/>
        <v>3.4819323353621756E-2</v>
      </c>
      <c r="I28" s="407">
        <f t="shared" si="20"/>
        <v>3.2595068951107399E-2</v>
      </c>
      <c r="J28" s="407">
        <f t="shared" si="21"/>
        <v>3.2203474192424468E-2</v>
      </c>
      <c r="K28" s="407">
        <f t="shared" si="22"/>
        <v>3.6269687484473595E-2</v>
      </c>
      <c r="L28" s="407">
        <f t="shared" si="23"/>
        <v>4.8125029780340209E-2</v>
      </c>
      <c r="M28" s="407">
        <f t="shared" si="24"/>
        <v>8.2175763528366308E-2</v>
      </c>
      <c r="N28" s="407">
        <f t="shared" si="25"/>
        <v>8.1104359060242118E-2</v>
      </c>
      <c r="O28" s="408">
        <f t="shared" si="26"/>
        <v>7.13878868426049E-2</v>
      </c>
      <c r="P28" s="409">
        <f t="shared" si="27"/>
        <v>6.3088248998229429E-2</v>
      </c>
      <c r="Q28" s="1313">
        <f t="shared" si="28"/>
        <v>5.893254262416605E-2</v>
      </c>
      <c r="R28" s="1316">
        <f t="shared" si="29"/>
        <v>4.9567403997783747E-2</v>
      </c>
      <c r="S28" s="1483">
        <f t="shared" si="14"/>
        <v>4.3295610425240057E-2</v>
      </c>
      <c r="T28" s="1483">
        <f t="shared" si="30"/>
        <v>3.8261243813212824E-2</v>
      </c>
      <c r="U28" s="216"/>
      <c r="V28" s="410">
        <v>16828</v>
      </c>
      <c r="W28" s="411">
        <v>320</v>
      </c>
      <c r="X28" s="412">
        <v>17282</v>
      </c>
      <c r="Y28" s="413">
        <v>449</v>
      </c>
      <c r="Z28" s="412">
        <v>17643</v>
      </c>
      <c r="AA28" s="413">
        <v>665</v>
      </c>
      <c r="AB28" s="412">
        <v>18168</v>
      </c>
      <c r="AC28" s="413">
        <v>731</v>
      </c>
      <c r="AD28" s="412">
        <v>18237</v>
      </c>
      <c r="AE28" s="413">
        <v>635</v>
      </c>
      <c r="AF28" s="412">
        <v>19144</v>
      </c>
      <c r="AG28" s="413">
        <v>624</v>
      </c>
      <c r="AH28" s="412">
        <v>20091</v>
      </c>
      <c r="AI28" s="413">
        <v>647</v>
      </c>
      <c r="AJ28" s="412">
        <v>20127</v>
      </c>
      <c r="AK28" s="413">
        <v>730</v>
      </c>
      <c r="AL28" s="412">
        <v>20987</v>
      </c>
      <c r="AM28" s="413">
        <v>1010</v>
      </c>
      <c r="AN28" s="414">
        <v>21381</v>
      </c>
      <c r="AO28" s="413">
        <v>1757</v>
      </c>
      <c r="AP28" s="412">
        <v>20899</v>
      </c>
      <c r="AQ28" s="413">
        <v>1695</v>
      </c>
      <c r="AR28" s="415">
        <v>21068</v>
      </c>
      <c r="AS28" s="416">
        <v>1504</v>
      </c>
      <c r="AT28" s="417">
        <v>21462</v>
      </c>
      <c r="AU28" s="418">
        <v>1354</v>
      </c>
      <c r="AV28" s="417">
        <v>21584</v>
      </c>
      <c r="AW28" s="1322">
        <v>1272</v>
      </c>
      <c r="AX28" s="1325">
        <v>23463</v>
      </c>
      <c r="AY28" s="1326">
        <v>1163</v>
      </c>
      <c r="AZ28" s="1469">
        <v>23328</v>
      </c>
      <c r="BA28" s="1489">
        <v>1010</v>
      </c>
      <c r="BB28" s="1469">
        <v>23235</v>
      </c>
      <c r="BC28" s="1489">
        <v>889</v>
      </c>
    </row>
    <row r="29" spans="1:55" ht="15" customHeight="1" x14ac:dyDescent="0.25">
      <c r="A29" s="403" t="s">
        <v>64</v>
      </c>
      <c r="B29" s="419" t="s">
        <v>65</v>
      </c>
      <c r="C29" s="187" t="s">
        <v>266</v>
      </c>
      <c r="D29" s="405">
        <f t="shared" si="15"/>
        <v>2.2317188983855651E-2</v>
      </c>
      <c r="E29" s="406">
        <f t="shared" si="16"/>
        <v>2.7877055039313797E-2</v>
      </c>
      <c r="F29" s="407">
        <f t="shared" si="17"/>
        <v>3.6636918741193049E-2</v>
      </c>
      <c r="G29" s="407">
        <f t="shared" si="18"/>
        <v>4.0387722132471729E-2</v>
      </c>
      <c r="H29" s="407">
        <f t="shared" si="19"/>
        <v>3.9041095890410958E-2</v>
      </c>
      <c r="I29" s="407">
        <f t="shared" si="20"/>
        <v>3.861607142857143E-2</v>
      </c>
      <c r="J29" s="407">
        <f t="shared" si="21"/>
        <v>3.422389048355045E-2</v>
      </c>
      <c r="K29" s="407">
        <f t="shared" si="22"/>
        <v>3.2378035440822579E-2</v>
      </c>
      <c r="L29" s="407">
        <f t="shared" si="23"/>
        <v>4.7831632653061222E-2</v>
      </c>
      <c r="M29" s="407">
        <f t="shared" si="24"/>
        <v>7.5672159583694706E-2</v>
      </c>
      <c r="N29" s="407">
        <f t="shared" si="25"/>
        <v>8.2872928176795577E-2</v>
      </c>
      <c r="O29" s="408">
        <f t="shared" si="26"/>
        <v>7.2083599914693958E-2</v>
      </c>
      <c r="P29" s="409">
        <f t="shared" si="27"/>
        <v>6.8987749838813672E-2</v>
      </c>
      <c r="Q29" s="1313">
        <f t="shared" si="28"/>
        <v>6.3193851409052093E-2</v>
      </c>
      <c r="R29" s="1316">
        <f t="shared" si="29"/>
        <v>6.0693003751931138E-2</v>
      </c>
      <c r="S29" s="1483">
        <f t="shared" si="14"/>
        <v>5.272407732864675E-2</v>
      </c>
      <c r="T29" s="1483">
        <f t="shared" si="30"/>
        <v>4.5819761129207381E-2</v>
      </c>
      <c r="U29" s="216"/>
      <c r="V29" s="410">
        <v>4212</v>
      </c>
      <c r="W29" s="411">
        <v>94</v>
      </c>
      <c r="X29" s="412">
        <v>4197</v>
      </c>
      <c r="Y29" s="413">
        <v>117</v>
      </c>
      <c r="Z29" s="412">
        <v>4258</v>
      </c>
      <c r="AA29" s="413">
        <v>156</v>
      </c>
      <c r="AB29" s="412">
        <v>4333</v>
      </c>
      <c r="AC29" s="413">
        <v>175</v>
      </c>
      <c r="AD29" s="412">
        <v>4380</v>
      </c>
      <c r="AE29" s="413">
        <v>171</v>
      </c>
      <c r="AF29" s="412">
        <v>4480</v>
      </c>
      <c r="AG29" s="413">
        <v>173</v>
      </c>
      <c r="AH29" s="412">
        <v>4529</v>
      </c>
      <c r="AI29" s="413">
        <v>155</v>
      </c>
      <c r="AJ29" s="412">
        <v>4571</v>
      </c>
      <c r="AK29" s="413">
        <v>148</v>
      </c>
      <c r="AL29" s="412">
        <v>4704</v>
      </c>
      <c r="AM29" s="413">
        <v>225</v>
      </c>
      <c r="AN29" s="414">
        <v>4612</v>
      </c>
      <c r="AO29" s="413">
        <v>349</v>
      </c>
      <c r="AP29" s="412">
        <v>4706</v>
      </c>
      <c r="AQ29" s="413">
        <v>390</v>
      </c>
      <c r="AR29" s="415">
        <v>4689</v>
      </c>
      <c r="AS29" s="416">
        <v>338</v>
      </c>
      <c r="AT29" s="417">
        <v>4653</v>
      </c>
      <c r="AU29" s="418">
        <v>321</v>
      </c>
      <c r="AV29" s="417">
        <v>4684</v>
      </c>
      <c r="AW29" s="1322">
        <v>296</v>
      </c>
      <c r="AX29" s="1325">
        <v>4531</v>
      </c>
      <c r="AY29" s="1326">
        <v>275</v>
      </c>
      <c r="AZ29" s="1469">
        <v>4552</v>
      </c>
      <c r="BA29" s="1489">
        <v>240</v>
      </c>
      <c r="BB29" s="1469">
        <v>4605</v>
      </c>
      <c r="BC29" s="1489">
        <v>211</v>
      </c>
    </row>
    <row r="30" spans="1:55" ht="15" customHeight="1" x14ac:dyDescent="0.25">
      <c r="A30" s="403" t="s">
        <v>68</v>
      </c>
      <c r="B30" s="419" t="s">
        <v>69</v>
      </c>
      <c r="C30" s="187" t="s">
        <v>268</v>
      </c>
      <c r="D30" s="405">
        <f t="shared" si="15"/>
        <v>5.7598499061913694E-2</v>
      </c>
      <c r="E30" s="406">
        <f t="shared" si="16"/>
        <v>6.987378818364734E-2</v>
      </c>
      <c r="F30" s="407">
        <f t="shared" si="17"/>
        <v>7.804792107117689E-2</v>
      </c>
      <c r="G30" s="407">
        <f t="shared" si="18"/>
        <v>8.4341455103083995E-2</v>
      </c>
      <c r="H30" s="407">
        <f t="shared" si="19"/>
        <v>6.1293179805137286E-2</v>
      </c>
      <c r="I30" s="407">
        <f t="shared" si="20"/>
        <v>6.3456189151599438E-2</v>
      </c>
      <c r="J30" s="407">
        <f t="shared" si="21"/>
        <v>5.0661959399823479E-2</v>
      </c>
      <c r="K30" s="407">
        <f t="shared" si="22"/>
        <v>5.2777777777777778E-2</v>
      </c>
      <c r="L30" s="407">
        <f t="shared" si="23"/>
        <v>5.7227429699062651E-2</v>
      </c>
      <c r="M30" s="407">
        <f t="shared" si="24"/>
        <v>8.9995361063862689E-2</v>
      </c>
      <c r="N30" s="407">
        <f t="shared" si="25"/>
        <v>8.7580874230708539E-2</v>
      </c>
      <c r="O30" s="408">
        <f t="shared" si="26"/>
        <v>8.0728757656667191E-2</v>
      </c>
      <c r="P30" s="409">
        <f t="shared" si="27"/>
        <v>8.8809645101035825E-2</v>
      </c>
      <c r="Q30" s="1313">
        <f t="shared" si="28"/>
        <v>9.9549080818591748E-2</v>
      </c>
      <c r="R30" s="1316">
        <f t="shared" si="29"/>
        <v>9.9064707005153657E-2</v>
      </c>
      <c r="S30" s="1483">
        <f t="shared" si="14"/>
        <v>0.10068190934616927</v>
      </c>
      <c r="T30" s="1483">
        <f t="shared" si="30"/>
        <v>9.9448732083792721E-2</v>
      </c>
      <c r="U30" s="216"/>
      <c r="V30" s="410">
        <v>5330</v>
      </c>
      <c r="W30" s="411">
        <v>307</v>
      </c>
      <c r="X30" s="412">
        <v>5467</v>
      </c>
      <c r="Y30" s="413">
        <v>382</v>
      </c>
      <c r="Z30" s="412">
        <v>5676</v>
      </c>
      <c r="AA30" s="413">
        <v>443</v>
      </c>
      <c r="AB30" s="412">
        <v>5869</v>
      </c>
      <c r="AC30" s="413">
        <v>495</v>
      </c>
      <c r="AD30" s="412">
        <v>5645</v>
      </c>
      <c r="AE30" s="413">
        <v>346</v>
      </c>
      <c r="AF30" s="412">
        <v>5752</v>
      </c>
      <c r="AG30" s="413">
        <v>365</v>
      </c>
      <c r="AH30" s="412">
        <v>5665</v>
      </c>
      <c r="AI30" s="413">
        <v>287</v>
      </c>
      <c r="AJ30" s="412">
        <v>5760</v>
      </c>
      <c r="AK30" s="413">
        <v>304</v>
      </c>
      <c r="AL30" s="412">
        <v>6081</v>
      </c>
      <c r="AM30" s="413">
        <v>348</v>
      </c>
      <c r="AN30" s="414">
        <v>6467</v>
      </c>
      <c r="AO30" s="413">
        <v>582</v>
      </c>
      <c r="AP30" s="412">
        <v>6337</v>
      </c>
      <c r="AQ30" s="413">
        <v>555</v>
      </c>
      <c r="AR30" s="415">
        <v>6367</v>
      </c>
      <c r="AS30" s="416">
        <v>514</v>
      </c>
      <c r="AT30" s="417">
        <v>5889</v>
      </c>
      <c r="AU30" s="418">
        <v>523</v>
      </c>
      <c r="AV30" s="417">
        <v>5766</v>
      </c>
      <c r="AW30" s="1322">
        <v>574</v>
      </c>
      <c r="AX30" s="1325">
        <v>5239</v>
      </c>
      <c r="AY30" s="1326">
        <v>519</v>
      </c>
      <c r="AZ30" s="1469">
        <v>4986</v>
      </c>
      <c r="BA30" s="1489">
        <v>502</v>
      </c>
      <c r="BB30" s="1469">
        <v>4535</v>
      </c>
      <c r="BC30" s="1489">
        <v>451</v>
      </c>
    </row>
    <row r="31" spans="1:55" ht="15" customHeight="1" x14ac:dyDescent="0.25">
      <c r="A31" s="403" t="s">
        <v>70</v>
      </c>
      <c r="B31" s="419" t="s">
        <v>71</v>
      </c>
      <c r="C31" s="187" t="s">
        <v>264</v>
      </c>
      <c r="D31" s="405">
        <f t="shared" si="15"/>
        <v>2.0810697868783954E-2</v>
      </c>
      <c r="E31" s="406">
        <f t="shared" si="16"/>
        <v>3.0168440459230703E-2</v>
      </c>
      <c r="F31" s="407">
        <f t="shared" si="17"/>
        <v>3.9805505192022417E-2</v>
      </c>
      <c r="G31" s="407">
        <f t="shared" si="18"/>
        <v>4.0508598907816447E-2</v>
      </c>
      <c r="H31" s="407">
        <f t="shared" si="19"/>
        <v>3.8051750380517502E-2</v>
      </c>
      <c r="I31" s="407">
        <f t="shared" si="20"/>
        <v>4.0795391777795315E-2</v>
      </c>
      <c r="J31" s="407">
        <f t="shared" si="21"/>
        <v>3.1440638198029093E-2</v>
      </c>
      <c r="K31" s="407">
        <f t="shared" si="22"/>
        <v>3.4668962278916887E-2</v>
      </c>
      <c r="L31" s="407">
        <f t="shared" si="23"/>
        <v>4.5361605452480122E-2</v>
      </c>
      <c r="M31" s="407">
        <f t="shared" si="24"/>
        <v>8.3333333333333329E-2</v>
      </c>
      <c r="N31" s="407">
        <f t="shared" si="25"/>
        <v>8.4443473829802718E-2</v>
      </c>
      <c r="O31" s="408">
        <f t="shared" si="26"/>
        <v>7.6705780095610604E-2</v>
      </c>
      <c r="P31" s="409">
        <f t="shared" si="27"/>
        <v>7.2369842298552603E-2</v>
      </c>
      <c r="Q31" s="1313">
        <f t="shared" si="28"/>
        <v>6.8537159991432853E-2</v>
      </c>
      <c r="R31" s="1316">
        <f t="shared" si="29"/>
        <v>6.3621055714181127E-2</v>
      </c>
      <c r="S31" s="1483">
        <f t="shared" si="14"/>
        <v>5.3413120567375884E-2</v>
      </c>
      <c r="T31" s="1483">
        <f t="shared" si="30"/>
        <v>4.8284625158831002E-2</v>
      </c>
      <c r="U31" s="216"/>
      <c r="V31" s="410">
        <v>11965</v>
      </c>
      <c r="W31" s="411">
        <v>249</v>
      </c>
      <c r="X31" s="412">
        <v>11933</v>
      </c>
      <c r="Y31" s="413">
        <v>360</v>
      </c>
      <c r="Z31" s="412">
        <v>12134</v>
      </c>
      <c r="AA31" s="413">
        <v>483</v>
      </c>
      <c r="AB31" s="412">
        <v>12269</v>
      </c>
      <c r="AC31" s="413">
        <v>497</v>
      </c>
      <c r="AD31" s="412">
        <v>12483</v>
      </c>
      <c r="AE31" s="413">
        <v>475</v>
      </c>
      <c r="AF31" s="412">
        <v>12673</v>
      </c>
      <c r="AG31" s="413">
        <v>517</v>
      </c>
      <c r="AH31" s="412">
        <v>12786</v>
      </c>
      <c r="AI31" s="413">
        <v>402</v>
      </c>
      <c r="AJ31" s="412">
        <v>12778</v>
      </c>
      <c r="AK31" s="413">
        <v>443</v>
      </c>
      <c r="AL31" s="412">
        <v>13205</v>
      </c>
      <c r="AM31" s="413">
        <v>599</v>
      </c>
      <c r="AN31" s="414">
        <v>13104</v>
      </c>
      <c r="AO31" s="413">
        <v>1092</v>
      </c>
      <c r="AP31" s="412">
        <v>13737</v>
      </c>
      <c r="AQ31" s="413">
        <v>1160</v>
      </c>
      <c r="AR31" s="415">
        <v>13806</v>
      </c>
      <c r="AS31" s="416">
        <v>1059</v>
      </c>
      <c r="AT31" s="417">
        <v>13887</v>
      </c>
      <c r="AU31" s="418">
        <v>1005</v>
      </c>
      <c r="AV31" s="417">
        <v>14007</v>
      </c>
      <c r="AW31" s="1322">
        <v>960</v>
      </c>
      <c r="AX31" s="1325">
        <v>13659</v>
      </c>
      <c r="AY31" s="1326">
        <v>869</v>
      </c>
      <c r="AZ31" s="1469">
        <v>13536</v>
      </c>
      <c r="BA31" s="1489">
        <v>723</v>
      </c>
      <c r="BB31" s="1469">
        <v>13379</v>
      </c>
      <c r="BC31" s="1489">
        <v>646</v>
      </c>
    </row>
    <row r="32" spans="1:55" ht="15" customHeight="1" x14ac:dyDescent="0.25">
      <c r="A32" s="403" t="s">
        <v>72</v>
      </c>
      <c r="B32" s="419" t="s">
        <v>73</v>
      </c>
      <c r="C32" s="187" t="s">
        <v>266</v>
      </c>
      <c r="D32" s="405">
        <f t="shared" si="15"/>
        <v>2.6562499999999999E-2</v>
      </c>
      <c r="E32" s="406">
        <f t="shared" si="16"/>
        <v>3.2276546982429336E-2</v>
      </c>
      <c r="F32" s="407">
        <f t="shared" si="17"/>
        <v>4.4029850746268653E-2</v>
      </c>
      <c r="G32" s="407">
        <f t="shared" si="18"/>
        <v>5.3873304848597439E-2</v>
      </c>
      <c r="H32" s="407">
        <f t="shared" si="19"/>
        <v>4.200442151805453E-2</v>
      </c>
      <c r="I32" s="407">
        <f t="shared" si="20"/>
        <v>4.6116952591772738E-2</v>
      </c>
      <c r="J32" s="407">
        <f t="shared" si="21"/>
        <v>3.8984920926811328E-2</v>
      </c>
      <c r="K32" s="407">
        <f t="shared" si="22"/>
        <v>3.6962488563586457E-2</v>
      </c>
      <c r="L32" s="407">
        <f t="shared" si="23"/>
        <v>5.197100936892346E-2</v>
      </c>
      <c r="M32" s="407">
        <f t="shared" si="24"/>
        <v>8.3732876712328763E-2</v>
      </c>
      <c r="N32" s="407">
        <f t="shared" si="25"/>
        <v>9.065453272663633E-2</v>
      </c>
      <c r="O32" s="408">
        <f t="shared" si="26"/>
        <v>8.2218309859154931E-2</v>
      </c>
      <c r="P32" s="409">
        <f t="shared" si="27"/>
        <v>7.3110285006195791E-2</v>
      </c>
      <c r="Q32" s="1313">
        <f t="shared" si="28"/>
        <v>6.7917783735478104E-2</v>
      </c>
      <c r="R32" s="1316">
        <f t="shared" si="29"/>
        <v>6.3571799757491776E-2</v>
      </c>
      <c r="S32" s="1483">
        <f t="shared" si="14"/>
        <v>5.4200542005420058E-2</v>
      </c>
      <c r="T32" s="1483">
        <f t="shared" si="30"/>
        <v>4.8223350253807105E-2</v>
      </c>
      <c r="U32" s="216"/>
      <c r="V32" s="410">
        <v>5120</v>
      </c>
      <c r="W32" s="411">
        <v>136</v>
      </c>
      <c r="X32" s="412">
        <v>5236</v>
      </c>
      <c r="Y32" s="413">
        <v>169</v>
      </c>
      <c r="Z32" s="412">
        <v>5360</v>
      </c>
      <c r="AA32" s="413">
        <v>236</v>
      </c>
      <c r="AB32" s="412">
        <v>5383</v>
      </c>
      <c r="AC32" s="413">
        <v>290</v>
      </c>
      <c r="AD32" s="412">
        <v>5428</v>
      </c>
      <c r="AE32" s="413">
        <v>228</v>
      </c>
      <c r="AF32" s="412">
        <v>5421</v>
      </c>
      <c r="AG32" s="413">
        <v>250</v>
      </c>
      <c r="AH32" s="412">
        <v>5438</v>
      </c>
      <c r="AI32" s="413">
        <v>212</v>
      </c>
      <c r="AJ32" s="412">
        <v>5465</v>
      </c>
      <c r="AK32" s="413">
        <v>202</v>
      </c>
      <c r="AL32" s="412">
        <v>5657</v>
      </c>
      <c r="AM32" s="413">
        <v>294</v>
      </c>
      <c r="AN32" s="414">
        <v>5840</v>
      </c>
      <c r="AO32" s="413">
        <v>489</v>
      </c>
      <c r="AP32" s="412">
        <v>5714</v>
      </c>
      <c r="AQ32" s="413">
        <v>518</v>
      </c>
      <c r="AR32" s="415">
        <v>5680</v>
      </c>
      <c r="AS32" s="416">
        <v>467</v>
      </c>
      <c r="AT32" s="417">
        <v>5649</v>
      </c>
      <c r="AU32" s="418">
        <v>413</v>
      </c>
      <c r="AV32" s="417">
        <v>5595</v>
      </c>
      <c r="AW32" s="1322">
        <v>380</v>
      </c>
      <c r="AX32" s="1325">
        <v>5773</v>
      </c>
      <c r="AY32" s="1326">
        <v>367</v>
      </c>
      <c r="AZ32" s="1469">
        <v>5535</v>
      </c>
      <c r="BA32" s="1489">
        <v>300</v>
      </c>
      <c r="BB32" s="1469">
        <v>5516</v>
      </c>
      <c r="BC32" s="1489">
        <v>266</v>
      </c>
    </row>
    <row r="33" spans="1:55" x14ac:dyDescent="0.25">
      <c r="A33" s="403" t="s">
        <v>74</v>
      </c>
      <c r="B33" s="419" t="s">
        <v>648</v>
      </c>
      <c r="C33" s="187" t="s">
        <v>267</v>
      </c>
      <c r="D33" s="405">
        <f t="shared" si="15"/>
        <v>1.6152713998724321E-2</v>
      </c>
      <c r="E33" s="406">
        <f t="shared" si="16"/>
        <v>2.5071257911724022E-2</v>
      </c>
      <c r="F33" s="407">
        <f t="shared" si="17"/>
        <v>3.3457909420529626E-2</v>
      </c>
      <c r="G33" s="407">
        <f t="shared" si="18"/>
        <v>3.0671264015172645E-2</v>
      </c>
      <c r="H33" s="407">
        <f t="shared" si="19"/>
        <v>2.6978136364962577E-2</v>
      </c>
      <c r="I33" s="407">
        <f t="shared" si="20"/>
        <v>2.5467677006867157E-2</v>
      </c>
      <c r="J33" s="407">
        <f t="shared" si="21"/>
        <v>2.210276389051449E-2</v>
      </c>
      <c r="K33" s="407">
        <f t="shared" si="22"/>
        <v>2.2099567424800199E-2</v>
      </c>
      <c r="L33" s="407">
        <f t="shared" si="23"/>
        <v>2.8680573286215403E-2</v>
      </c>
      <c r="M33" s="407">
        <f t="shared" si="24"/>
        <v>4.9874891102857852E-2</v>
      </c>
      <c r="N33" s="407">
        <f t="shared" si="25"/>
        <v>5.0458416702292161E-2</v>
      </c>
      <c r="O33" s="408">
        <f t="shared" si="26"/>
        <v>4.6651153268518791E-2</v>
      </c>
      <c r="P33" s="409">
        <f t="shared" si="27"/>
        <v>4.3947231679605403E-2</v>
      </c>
      <c r="Q33" s="1313">
        <f t="shared" si="28"/>
        <v>4.2505310470092046E-2</v>
      </c>
      <c r="R33" s="1316">
        <f t="shared" si="29"/>
        <v>4.0753124272595961E-2</v>
      </c>
      <c r="S33" s="1483">
        <f t="shared" si="14"/>
        <v>3.5472922938294203E-2</v>
      </c>
      <c r="T33" s="1483">
        <f t="shared" si="30"/>
        <v>3.1695787700346589E-2</v>
      </c>
      <c r="U33" s="216"/>
      <c r="V33" s="420">
        <v>565973</v>
      </c>
      <c r="W33" s="421">
        <v>9142</v>
      </c>
      <c r="X33" s="1269">
        <v>572568</v>
      </c>
      <c r="Y33" s="1270">
        <v>14355</v>
      </c>
      <c r="Z33" s="1269">
        <v>574214</v>
      </c>
      <c r="AA33" s="1270">
        <v>19212</v>
      </c>
      <c r="AB33" s="1269">
        <v>573664</v>
      </c>
      <c r="AC33" s="1270">
        <v>17595</v>
      </c>
      <c r="AD33" s="1269">
        <v>582657</v>
      </c>
      <c r="AE33" s="1270">
        <v>15719</v>
      </c>
      <c r="AF33" s="1269">
        <v>591220</v>
      </c>
      <c r="AG33" s="1270">
        <v>15057</v>
      </c>
      <c r="AH33" s="1269">
        <v>598070</v>
      </c>
      <c r="AI33" s="1270">
        <v>13219</v>
      </c>
      <c r="AJ33" s="1269">
        <v>598971</v>
      </c>
      <c r="AK33" s="1270">
        <v>13237</v>
      </c>
      <c r="AL33" s="1269">
        <v>614911</v>
      </c>
      <c r="AM33" s="1270">
        <v>17636</v>
      </c>
      <c r="AN33" s="1271">
        <v>610668</v>
      </c>
      <c r="AO33" s="1270">
        <v>30457</v>
      </c>
      <c r="AP33" s="1269">
        <v>629231</v>
      </c>
      <c r="AQ33" s="1270">
        <v>31750</v>
      </c>
      <c r="AR33" s="415">
        <v>639877</v>
      </c>
      <c r="AS33" s="416">
        <v>29851</v>
      </c>
      <c r="AT33" s="417">
        <v>644705</v>
      </c>
      <c r="AU33" s="418">
        <v>28333</v>
      </c>
      <c r="AV33" s="417">
        <v>649660</v>
      </c>
      <c r="AW33" s="1322">
        <v>27614</v>
      </c>
      <c r="AX33" s="1325">
        <v>648711</v>
      </c>
      <c r="AY33" s="1326">
        <v>26437</v>
      </c>
      <c r="AZ33" s="1469">
        <v>641447</v>
      </c>
      <c r="BA33" s="1489">
        <v>22754</v>
      </c>
      <c r="BB33" s="1469">
        <v>642262</v>
      </c>
      <c r="BC33" s="1489">
        <v>20357</v>
      </c>
    </row>
    <row r="34" spans="1:55" ht="15" customHeight="1" x14ac:dyDescent="0.25">
      <c r="A34" s="403" t="s">
        <v>76</v>
      </c>
      <c r="B34" s="419" t="s">
        <v>77</v>
      </c>
      <c r="C34" s="187" t="s">
        <v>267</v>
      </c>
      <c r="D34" s="405">
        <f t="shared" si="15"/>
        <v>1.5381030062922395E-2</v>
      </c>
      <c r="E34" s="406">
        <f t="shared" si="16"/>
        <v>2.1385882732999517E-2</v>
      </c>
      <c r="F34" s="407">
        <f t="shared" si="17"/>
        <v>3.0731234564041643E-2</v>
      </c>
      <c r="G34" s="407">
        <f t="shared" si="18"/>
        <v>3.1034693006523992E-2</v>
      </c>
      <c r="H34" s="407">
        <f t="shared" si="19"/>
        <v>2.7431713166052522E-2</v>
      </c>
      <c r="I34" s="407">
        <f t="shared" si="20"/>
        <v>2.6372639789018881E-2</v>
      </c>
      <c r="J34" s="407">
        <f t="shared" si="21"/>
        <v>2.4234310537963443E-2</v>
      </c>
      <c r="K34" s="407">
        <f t="shared" si="22"/>
        <v>2.522586263197997E-2</v>
      </c>
      <c r="L34" s="407">
        <f t="shared" si="23"/>
        <v>3.3481199831009716E-2</v>
      </c>
      <c r="M34" s="407">
        <f t="shared" si="24"/>
        <v>5.6859398335822486E-2</v>
      </c>
      <c r="N34" s="407">
        <f t="shared" si="25"/>
        <v>5.949945349065329E-2</v>
      </c>
      <c r="O34" s="408">
        <f t="shared" si="26"/>
        <v>5.1669029155896495E-2</v>
      </c>
      <c r="P34" s="409">
        <f t="shared" si="27"/>
        <v>4.8507150623065987E-2</v>
      </c>
      <c r="Q34" s="1313">
        <f t="shared" si="28"/>
        <v>4.6214764357312955E-2</v>
      </c>
      <c r="R34" s="1316">
        <f t="shared" si="29"/>
        <v>4.5116330723527123E-2</v>
      </c>
      <c r="S34" s="1483">
        <f t="shared" si="14"/>
        <v>3.9294150340419616E-2</v>
      </c>
      <c r="T34" s="1483">
        <f t="shared" si="30"/>
        <v>3.4380045654473584E-2</v>
      </c>
      <c r="U34" s="216"/>
      <c r="V34" s="410">
        <v>30037</v>
      </c>
      <c r="W34" s="411">
        <v>462</v>
      </c>
      <c r="X34" s="412">
        <v>30955</v>
      </c>
      <c r="Y34" s="413">
        <v>662</v>
      </c>
      <c r="Z34" s="412">
        <v>31987</v>
      </c>
      <c r="AA34" s="413">
        <v>983</v>
      </c>
      <c r="AB34" s="412">
        <v>32802</v>
      </c>
      <c r="AC34" s="413">
        <v>1018</v>
      </c>
      <c r="AD34" s="412">
        <v>34194</v>
      </c>
      <c r="AE34" s="413">
        <v>938</v>
      </c>
      <c r="AF34" s="412">
        <v>35643</v>
      </c>
      <c r="AG34" s="413">
        <v>940</v>
      </c>
      <c r="AH34" s="412">
        <v>36601</v>
      </c>
      <c r="AI34" s="413">
        <v>887</v>
      </c>
      <c r="AJ34" s="412">
        <v>36748</v>
      </c>
      <c r="AK34" s="413">
        <v>927</v>
      </c>
      <c r="AL34" s="412">
        <v>37872</v>
      </c>
      <c r="AM34" s="413">
        <v>1268</v>
      </c>
      <c r="AN34" s="414">
        <v>37496</v>
      </c>
      <c r="AO34" s="413">
        <v>2132</v>
      </c>
      <c r="AP34" s="412">
        <v>35681</v>
      </c>
      <c r="AQ34" s="413">
        <v>2123</v>
      </c>
      <c r="AR34" s="415">
        <v>35979</v>
      </c>
      <c r="AS34" s="416">
        <v>1859</v>
      </c>
      <c r="AT34" s="417">
        <v>35871</v>
      </c>
      <c r="AU34" s="418">
        <v>1740</v>
      </c>
      <c r="AV34" s="417">
        <v>36114</v>
      </c>
      <c r="AW34" s="1322">
        <v>1669</v>
      </c>
      <c r="AX34" s="1325">
        <v>36018</v>
      </c>
      <c r="AY34" s="1326">
        <v>1625</v>
      </c>
      <c r="AZ34" s="1469">
        <v>35985</v>
      </c>
      <c r="BA34" s="1489">
        <v>1414</v>
      </c>
      <c r="BB34" s="1469">
        <v>35922</v>
      </c>
      <c r="BC34" s="1489">
        <v>1235</v>
      </c>
    </row>
    <row r="35" spans="1:55" ht="15" customHeight="1" x14ac:dyDescent="0.25">
      <c r="A35" s="403" t="s">
        <v>78</v>
      </c>
      <c r="B35" s="419" t="s">
        <v>79</v>
      </c>
      <c r="C35" s="187" t="s">
        <v>268</v>
      </c>
      <c r="D35" s="405">
        <f t="shared" si="15"/>
        <v>3.6919526968560712E-2</v>
      </c>
      <c r="E35" s="406">
        <f t="shared" si="16"/>
        <v>4.2771349055221911E-2</v>
      </c>
      <c r="F35" s="407">
        <f t="shared" si="17"/>
        <v>4.3695748124172429E-2</v>
      </c>
      <c r="G35" s="407">
        <f t="shared" si="18"/>
        <v>4.0195545898967955E-2</v>
      </c>
      <c r="H35" s="407">
        <f t="shared" si="19"/>
        <v>4.0022870211549454E-2</v>
      </c>
      <c r="I35" s="407">
        <f t="shared" si="20"/>
        <v>3.6564864107593166E-2</v>
      </c>
      <c r="J35" s="407">
        <f t="shared" si="21"/>
        <v>3.2396175253318109E-2</v>
      </c>
      <c r="K35" s="407">
        <f t="shared" si="22"/>
        <v>3.5067873303167421E-2</v>
      </c>
      <c r="L35" s="407">
        <f t="shared" si="23"/>
        <v>4.4211994421199441E-2</v>
      </c>
      <c r="M35" s="407">
        <f t="shared" si="24"/>
        <v>7.9337046596929764E-2</v>
      </c>
      <c r="N35" s="407">
        <f t="shared" si="25"/>
        <v>7.6712328767123292E-2</v>
      </c>
      <c r="O35" s="408">
        <f t="shared" si="26"/>
        <v>7.0659488559892333E-2</v>
      </c>
      <c r="P35" s="409">
        <f t="shared" si="27"/>
        <v>6.3496352337206158E-2</v>
      </c>
      <c r="Q35" s="1313">
        <f t="shared" si="28"/>
        <v>6.1246612466124659E-2</v>
      </c>
      <c r="R35" s="1316">
        <f t="shared" si="29"/>
        <v>4.5891141942369262E-2</v>
      </c>
      <c r="S35" s="1483">
        <f t="shared" si="14"/>
        <v>3.9808153477218222E-2</v>
      </c>
      <c r="T35" s="1483">
        <f t="shared" si="30"/>
        <v>3.9630440068076832E-2</v>
      </c>
      <c r="U35" s="216"/>
      <c r="V35" s="410">
        <v>6934</v>
      </c>
      <c r="W35" s="411">
        <v>256</v>
      </c>
      <c r="X35" s="412">
        <v>6827</v>
      </c>
      <c r="Y35" s="413">
        <v>292</v>
      </c>
      <c r="Z35" s="412">
        <v>6797</v>
      </c>
      <c r="AA35" s="413">
        <v>297</v>
      </c>
      <c r="AB35" s="412">
        <v>7364</v>
      </c>
      <c r="AC35" s="413">
        <v>296</v>
      </c>
      <c r="AD35" s="412">
        <v>6996</v>
      </c>
      <c r="AE35" s="413">
        <v>280</v>
      </c>
      <c r="AF35" s="412">
        <v>7138</v>
      </c>
      <c r="AG35" s="413">
        <v>261</v>
      </c>
      <c r="AH35" s="412">
        <v>7007</v>
      </c>
      <c r="AI35" s="413">
        <v>227</v>
      </c>
      <c r="AJ35" s="412">
        <v>7072</v>
      </c>
      <c r="AK35" s="413">
        <v>248</v>
      </c>
      <c r="AL35" s="412">
        <v>7170</v>
      </c>
      <c r="AM35" s="413">
        <v>317</v>
      </c>
      <c r="AN35" s="414">
        <v>7361</v>
      </c>
      <c r="AO35" s="413">
        <v>584</v>
      </c>
      <c r="AP35" s="412">
        <v>7300</v>
      </c>
      <c r="AQ35" s="413">
        <v>560</v>
      </c>
      <c r="AR35" s="415">
        <v>7430</v>
      </c>
      <c r="AS35" s="416">
        <v>525</v>
      </c>
      <c r="AT35" s="417">
        <v>7402</v>
      </c>
      <c r="AU35" s="418">
        <v>470</v>
      </c>
      <c r="AV35" s="417">
        <v>7380</v>
      </c>
      <c r="AW35" s="1322">
        <v>452</v>
      </c>
      <c r="AX35" s="1325">
        <v>8433</v>
      </c>
      <c r="AY35" s="1326">
        <v>387</v>
      </c>
      <c r="AZ35" s="1469">
        <v>8340</v>
      </c>
      <c r="BA35" s="1489">
        <v>332</v>
      </c>
      <c r="BB35" s="1469">
        <v>8226</v>
      </c>
      <c r="BC35" s="1489">
        <v>326</v>
      </c>
    </row>
    <row r="36" spans="1:55" ht="15" customHeight="1" x14ac:dyDescent="0.25">
      <c r="A36" s="403" t="s">
        <v>80</v>
      </c>
      <c r="B36" s="419" t="s">
        <v>81</v>
      </c>
      <c r="C36" s="187" t="s">
        <v>266</v>
      </c>
      <c r="D36" s="405">
        <f t="shared" si="15"/>
        <v>1.9673421207948062E-2</v>
      </c>
      <c r="E36" s="406">
        <f t="shared" si="16"/>
        <v>2.481834481457016E-2</v>
      </c>
      <c r="F36" s="407">
        <f t="shared" si="17"/>
        <v>3.1975199291408324E-2</v>
      </c>
      <c r="G36" s="407">
        <f t="shared" si="18"/>
        <v>3.4188034188034191E-2</v>
      </c>
      <c r="H36" s="407">
        <f t="shared" si="19"/>
        <v>3.0305505636333933E-2</v>
      </c>
      <c r="I36" s="407">
        <f t="shared" si="20"/>
        <v>3.021359223300971E-2</v>
      </c>
      <c r="J36" s="407">
        <f t="shared" si="21"/>
        <v>2.3502200999776169E-2</v>
      </c>
      <c r="K36" s="407">
        <f t="shared" si="22"/>
        <v>2.3814725802927681E-2</v>
      </c>
      <c r="L36" s="407">
        <f t="shared" si="23"/>
        <v>3.3077085831158759E-2</v>
      </c>
      <c r="M36" s="407">
        <f t="shared" si="24"/>
        <v>5.9528053040564625E-2</v>
      </c>
      <c r="N36" s="407">
        <f t="shared" si="25"/>
        <v>5.9369744827081961E-2</v>
      </c>
      <c r="O36" s="408">
        <f t="shared" si="26"/>
        <v>5.4138766206012254E-2</v>
      </c>
      <c r="P36" s="409">
        <f t="shared" si="27"/>
        <v>4.7989063961436075E-2</v>
      </c>
      <c r="Q36" s="1313">
        <f t="shared" si="28"/>
        <v>4.3897905197683565E-2</v>
      </c>
      <c r="R36" s="1316">
        <f t="shared" si="29"/>
        <v>4.2680196985524547E-2</v>
      </c>
      <c r="S36" s="1483">
        <f t="shared" ref="S36:S67" si="31">BA36/AZ36</f>
        <v>3.7294989889912381E-2</v>
      </c>
      <c r="T36" s="1483">
        <f t="shared" si="30"/>
        <v>3.3275353550631478E-2</v>
      </c>
      <c r="U36" s="216"/>
      <c r="V36" s="410">
        <v>10166</v>
      </c>
      <c r="W36" s="411">
        <v>200</v>
      </c>
      <c r="X36" s="412">
        <v>10597</v>
      </c>
      <c r="Y36" s="413">
        <v>263</v>
      </c>
      <c r="Z36" s="412">
        <v>11290</v>
      </c>
      <c r="AA36" s="413">
        <v>361</v>
      </c>
      <c r="AB36" s="412">
        <v>11817</v>
      </c>
      <c r="AC36" s="413">
        <v>404</v>
      </c>
      <c r="AD36" s="412">
        <v>12242</v>
      </c>
      <c r="AE36" s="413">
        <v>371</v>
      </c>
      <c r="AF36" s="412">
        <v>12875</v>
      </c>
      <c r="AG36" s="413">
        <v>389</v>
      </c>
      <c r="AH36" s="412">
        <v>13403</v>
      </c>
      <c r="AI36" s="413">
        <v>315</v>
      </c>
      <c r="AJ36" s="412">
        <v>13731</v>
      </c>
      <c r="AK36" s="413">
        <v>327</v>
      </c>
      <c r="AL36" s="412">
        <v>14179</v>
      </c>
      <c r="AM36" s="413">
        <v>469</v>
      </c>
      <c r="AN36" s="414">
        <v>14027</v>
      </c>
      <c r="AO36" s="413">
        <v>835</v>
      </c>
      <c r="AP36" s="412">
        <v>13677</v>
      </c>
      <c r="AQ36" s="413">
        <v>812</v>
      </c>
      <c r="AR36" s="415">
        <v>14038</v>
      </c>
      <c r="AS36" s="416">
        <v>760</v>
      </c>
      <c r="AT36" s="417">
        <v>13899</v>
      </c>
      <c r="AU36" s="418">
        <v>667</v>
      </c>
      <c r="AV36" s="417">
        <v>13987</v>
      </c>
      <c r="AW36" s="1322">
        <v>614</v>
      </c>
      <c r="AX36" s="1325">
        <v>13402</v>
      </c>
      <c r="AY36" s="1326">
        <v>572</v>
      </c>
      <c r="AZ36" s="1469">
        <v>13353</v>
      </c>
      <c r="BA36" s="1489">
        <v>498</v>
      </c>
      <c r="BB36" s="1469">
        <v>13223</v>
      </c>
      <c r="BC36" s="1489">
        <v>440</v>
      </c>
    </row>
    <row r="37" spans="1:55" ht="15" customHeight="1" x14ac:dyDescent="0.25">
      <c r="A37" s="403" t="s">
        <v>84</v>
      </c>
      <c r="B37" s="419" t="s">
        <v>308</v>
      </c>
      <c r="C37" s="187" t="s">
        <v>265</v>
      </c>
      <c r="D37" s="405">
        <f t="shared" ref="D37:D68" si="32">W37/V37</f>
        <v>2.9677632393610435E-2</v>
      </c>
      <c r="E37" s="406">
        <f t="shared" ref="E37:E68" si="33">Y37/X37</f>
        <v>4.0230347938144333E-2</v>
      </c>
      <c r="F37" s="407">
        <f t="shared" si="17"/>
        <v>5.1865438651264438E-2</v>
      </c>
      <c r="G37" s="407">
        <f t="shared" ref="G37:G68" si="34">AC37/AB37</f>
        <v>4.438880941026864E-2</v>
      </c>
      <c r="H37" s="407">
        <f t="shared" ref="H37:H68" si="35">AE37/AD37</f>
        <v>3.8464604591836732E-2</v>
      </c>
      <c r="I37" s="407">
        <f t="shared" ref="I37:I68" si="36">AG37/AF37</f>
        <v>3.6002823750882422E-2</v>
      </c>
      <c r="J37" s="407">
        <f t="shared" ref="J37:J68" si="37">AI37/AH37</f>
        <v>3.1560760222691497E-2</v>
      </c>
      <c r="K37" s="407">
        <f t="shared" ref="K37:K68" si="38">AK37/AJ37</f>
        <v>3.3549124143183548E-2</v>
      </c>
      <c r="L37" s="407">
        <f t="shared" ref="L37:L68" si="39">AM37/AL37</f>
        <v>4.7812142883474032E-2</v>
      </c>
      <c r="M37" s="407">
        <f t="shared" ref="M37:M68" si="40">AO37/AN37</f>
        <v>8.5049438703442129E-2</v>
      </c>
      <c r="N37" s="407">
        <f t="shared" ref="N37:N68" si="41">AQ37/AP37</f>
        <v>8.0061012379837537E-2</v>
      </c>
      <c r="O37" s="408">
        <f t="shared" ref="O37:O68" si="42">AS37/AR37</f>
        <v>6.8013349727735817E-2</v>
      </c>
      <c r="P37" s="409">
        <f t="shared" ref="P37:P68" si="43">AU37/AT37</f>
        <v>6.0171919770773637E-2</v>
      </c>
      <c r="Q37" s="1313">
        <f t="shared" ref="Q37:Q68" si="44">AW37/AV37</f>
        <v>5.4773193687637112E-2</v>
      </c>
      <c r="R37" s="1316">
        <f t="shared" ref="R37:R68" si="45">AY37/AX37</f>
        <v>5.297675435400423E-2</v>
      </c>
      <c r="S37" s="1483">
        <f t="shared" si="31"/>
        <v>4.6391561118746052E-2</v>
      </c>
      <c r="T37" s="1483">
        <f t="shared" si="30"/>
        <v>4.2595044448647625E-2</v>
      </c>
      <c r="U37" s="216"/>
      <c r="V37" s="410">
        <v>24227</v>
      </c>
      <c r="W37" s="411">
        <v>719</v>
      </c>
      <c r="X37" s="412">
        <v>24832</v>
      </c>
      <c r="Y37" s="413">
        <v>999</v>
      </c>
      <c r="Z37" s="412">
        <v>25624</v>
      </c>
      <c r="AA37" s="413">
        <v>1329</v>
      </c>
      <c r="AB37" s="412">
        <v>25164</v>
      </c>
      <c r="AC37" s="413">
        <v>1117</v>
      </c>
      <c r="AD37" s="412">
        <v>25088</v>
      </c>
      <c r="AE37" s="413">
        <v>965</v>
      </c>
      <c r="AF37" s="412">
        <v>25498</v>
      </c>
      <c r="AG37" s="413">
        <v>918</v>
      </c>
      <c r="AH37" s="412">
        <v>26045</v>
      </c>
      <c r="AI37" s="413">
        <v>822</v>
      </c>
      <c r="AJ37" s="412">
        <v>26260</v>
      </c>
      <c r="AK37" s="413">
        <v>881</v>
      </c>
      <c r="AL37" s="412">
        <v>27127</v>
      </c>
      <c r="AM37" s="413">
        <v>1297</v>
      </c>
      <c r="AN37" s="414">
        <v>26902</v>
      </c>
      <c r="AO37" s="413">
        <v>2288</v>
      </c>
      <c r="AP37" s="412">
        <v>28191</v>
      </c>
      <c r="AQ37" s="413">
        <v>2257</v>
      </c>
      <c r="AR37" s="415">
        <v>28465</v>
      </c>
      <c r="AS37" s="416">
        <v>1936</v>
      </c>
      <c r="AT37" s="417">
        <v>28269</v>
      </c>
      <c r="AU37" s="418">
        <v>1701</v>
      </c>
      <c r="AV37" s="417">
        <v>28262</v>
      </c>
      <c r="AW37" s="1322">
        <v>1548</v>
      </c>
      <c r="AX37" s="1325">
        <v>27446</v>
      </c>
      <c r="AY37" s="1326">
        <v>1454</v>
      </c>
      <c r="AZ37" s="1469">
        <v>26923</v>
      </c>
      <c r="BA37" s="1489">
        <v>1249</v>
      </c>
      <c r="BB37" s="1469">
        <v>26435</v>
      </c>
      <c r="BC37" s="1489">
        <v>1126</v>
      </c>
    </row>
    <row r="38" spans="1:55" ht="15" customHeight="1" x14ac:dyDescent="0.25">
      <c r="A38" s="403" t="s">
        <v>86</v>
      </c>
      <c r="B38" s="419" t="s">
        <v>87</v>
      </c>
      <c r="C38" s="187" t="s">
        <v>267</v>
      </c>
      <c r="D38" s="405">
        <f t="shared" si="32"/>
        <v>2.0230418971365707E-2</v>
      </c>
      <c r="E38" s="406">
        <f t="shared" si="33"/>
        <v>2.7932126426480252E-2</v>
      </c>
      <c r="F38" s="407">
        <f t="shared" si="17"/>
        <v>3.4510548887545692E-2</v>
      </c>
      <c r="G38" s="407">
        <f t="shared" si="34"/>
        <v>3.6193764041865306E-2</v>
      </c>
      <c r="H38" s="407">
        <f t="shared" si="35"/>
        <v>2.9792332268370608E-2</v>
      </c>
      <c r="I38" s="407">
        <f t="shared" si="36"/>
        <v>2.787293677981937E-2</v>
      </c>
      <c r="J38" s="407">
        <f t="shared" si="37"/>
        <v>2.6269788512199327E-2</v>
      </c>
      <c r="K38" s="407">
        <f t="shared" si="38"/>
        <v>2.9813543168544267E-2</v>
      </c>
      <c r="L38" s="407">
        <f t="shared" si="39"/>
        <v>4.1969835686406783E-2</v>
      </c>
      <c r="M38" s="407">
        <f t="shared" si="40"/>
        <v>7.8297104980992294E-2</v>
      </c>
      <c r="N38" s="407">
        <f t="shared" si="41"/>
        <v>7.2260960932276241E-2</v>
      </c>
      <c r="O38" s="408">
        <f t="shared" si="42"/>
        <v>6.3382556529764655E-2</v>
      </c>
      <c r="P38" s="409">
        <f t="shared" si="43"/>
        <v>5.5965024720747117E-2</v>
      </c>
      <c r="Q38" s="1313">
        <f t="shared" si="44"/>
        <v>5.0163306678680034E-2</v>
      </c>
      <c r="R38" s="1316">
        <f t="shared" si="45"/>
        <v>4.6521515361722124E-2</v>
      </c>
      <c r="S38" s="1483">
        <f t="shared" si="31"/>
        <v>3.961303007283614E-2</v>
      </c>
      <c r="T38" s="1483">
        <f t="shared" si="30"/>
        <v>3.4600075604278316E-2</v>
      </c>
      <c r="U38" s="216"/>
      <c r="V38" s="410">
        <v>32723</v>
      </c>
      <c r="W38" s="411">
        <v>662</v>
      </c>
      <c r="X38" s="412">
        <v>33474</v>
      </c>
      <c r="Y38" s="413">
        <v>935</v>
      </c>
      <c r="Z38" s="412">
        <v>34743</v>
      </c>
      <c r="AA38" s="413">
        <v>1199</v>
      </c>
      <c r="AB38" s="412">
        <v>36498</v>
      </c>
      <c r="AC38" s="413">
        <v>1321</v>
      </c>
      <c r="AD38" s="412">
        <v>37560</v>
      </c>
      <c r="AE38" s="413">
        <v>1119</v>
      </c>
      <c r="AF38" s="412">
        <v>38532</v>
      </c>
      <c r="AG38" s="413">
        <v>1074</v>
      </c>
      <c r="AH38" s="412">
        <v>40617</v>
      </c>
      <c r="AI38" s="413">
        <v>1067</v>
      </c>
      <c r="AJ38" s="412">
        <v>40921</v>
      </c>
      <c r="AK38" s="413">
        <v>1220</v>
      </c>
      <c r="AL38" s="412">
        <v>41506</v>
      </c>
      <c r="AM38" s="413">
        <v>1742</v>
      </c>
      <c r="AN38" s="414">
        <v>41036</v>
      </c>
      <c r="AO38" s="413">
        <v>3213</v>
      </c>
      <c r="AP38" s="412">
        <v>41876</v>
      </c>
      <c r="AQ38" s="413">
        <v>3026</v>
      </c>
      <c r="AR38" s="415">
        <v>43340</v>
      </c>
      <c r="AS38" s="416">
        <v>2747</v>
      </c>
      <c r="AT38" s="417">
        <v>43688</v>
      </c>
      <c r="AU38" s="418">
        <v>2445</v>
      </c>
      <c r="AV38" s="417">
        <v>44395</v>
      </c>
      <c r="AW38" s="1322">
        <v>2227</v>
      </c>
      <c r="AX38" s="1325">
        <v>44689</v>
      </c>
      <c r="AY38" s="1326">
        <v>2079</v>
      </c>
      <c r="AZ38" s="1469">
        <v>44758</v>
      </c>
      <c r="BA38" s="1489">
        <v>1773</v>
      </c>
      <c r="BB38" s="1469">
        <v>44971</v>
      </c>
      <c r="BC38" s="1489">
        <v>1556</v>
      </c>
    </row>
    <row r="39" spans="1:55" ht="15" customHeight="1" x14ac:dyDescent="0.25">
      <c r="A39" s="403" t="s">
        <v>92</v>
      </c>
      <c r="B39" s="419" t="s">
        <v>93</v>
      </c>
      <c r="C39" s="187" t="s">
        <v>268</v>
      </c>
      <c r="D39" s="405">
        <f t="shared" si="32"/>
        <v>4.206451612903226E-2</v>
      </c>
      <c r="E39" s="406">
        <f t="shared" si="33"/>
        <v>5.6577445135100851E-2</v>
      </c>
      <c r="F39" s="407">
        <f t="shared" si="17"/>
        <v>5.9977648081460326E-2</v>
      </c>
      <c r="G39" s="407">
        <f t="shared" si="34"/>
        <v>5.3773812394502046E-2</v>
      </c>
      <c r="H39" s="407">
        <f t="shared" si="35"/>
        <v>4.9849124924562463E-2</v>
      </c>
      <c r="I39" s="407">
        <f t="shared" si="36"/>
        <v>5.0702213758628899E-2</v>
      </c>
      <c r="J39" s="407">
        <f t="shared" si="37"/>
        <v>3.6984687868080096E-2</v>
      </c>
      <c r="K39" s="407">
        <f t="shared" si="38"/>
        <v>4.5280690931523752E-2</v>
      </c>
      <c r="L39" s="407">
        <f t="shared" si="39"/>
        <v>5.3912213740458015E-2</v>
      </c>
      <c r="M39" s="407">
        <f t="shared" si="40"/>
        <v>9.4788429356920875E-2</v>
      </c>
      <c r="N39" s="407">
        <f t="shared" si="41"/>
        <v>9.7684158659768414E-2</v>
      </c>
      <c r="O39" s="408">
        <f t="shared" si="42"/>
        <v>7.7622205846229433E-2</v>
      </c>
      <c r="P39" s="409">
        <f t="shared" si="43"/>
        <v>7.052709725315516E-2</v>
      </c>
      <c r="Q39" s="1313">
        <f t="shared" si="44"/>
        <v>6.6845245342749299E-2</v>
      </c>
      <c r="R39" s="1316">
        <f t="shared" si="45"/>
        <v>6.0316692856279462E-2</v>
      </c>
      <c r="S39" s="1483">
        <f t="shared" si="31"/>
        <v>5.1183541950675426E-2</v>
      </c>
      <c r="T39" s="1483">
        <f t="shared" si="30"/>
        <v>5.3041729512317747E-2</v>
      </c>
      <c r="U39" s="216"/>
      <c r="V39" s="410">
        <v>7750</v>
      </c>
      <c r="W39" s="411">
        <v>326</v>
      </c>
      <c r="X39" s="412">
        <v>7883</v>
      </c>
      <c r="Y39" s="413">
        <v>446</v>
      </c>
      <c r="Z39" s="412">
        <v>8053</v>
      </c>
      <c r="AA39" s="413">
        <v>483</v>
      </c>
      <c r="AB39" s="412">
        <v>8294</v>
      </c>
      <c r="AC39" s="413">
        <v>446</v>
      </c>
      <c r="AD39" s="412">
        <v>8285</v>
      </c>
      <c r="AE39" s="413">
        <v>413</v>
      </c>
      <c r="AF39" s="412">
        <v>8402</v>
      </c>
      <c r="AG39" s="413">
        <v>426</v>
      </c>
      <c r="AH39" s="412">
        <v>8490</v>
      </c>
      <c r="AI39" s="413">
        <v>314</v>
      </c>
      <c r="AJ39" s="412">
        <v>8105</v>
      </c>
      <c r="AK39" s="413">
        <v>367</v>
      </c>
      <c r="AL39" s="412">
        <v>8384</v>
      </c>
      <c r="AM39" s="413">
        <v>452</v>
      </c>
      <c r="AN39" s="414">
        <v>8366</v>
      </c>
      <c r="AO39" s="413">
        <v>793</v>
      </c>
      <c r="AP39" s="412">
        <v>8118</v>
      </c>
      <c r="AQ39" s="413">
        <v>793</v>
      </c>
      <c r="AR39" s="415">
        <v>8142</v>
      </c>
      <c r="AS39" s="416">
        <v>632</v>
      </c>
      <c r="AT39" s="417">
        <v>8082</v>
      </c>
      <c r="AU39" s="418">
        <v>570</v>
      </c>
      <c r="AV39" s="417">
        <v>8213</v>
      </c>
      <c r="AW39" s="1322">
        <v>549</v>
      </c>
      <c r="AX39" s="1325">
        <v>8273</v>
      </c>
      <c r="AY39" s="1326">
        <v>499</v>
      </c>
      <c r="AZ39" s="1469">
        <v>8069</v>
      </c>
      <c r="BA39" s="1489">
        <v>413</v>
      </c>
      <c r="BB39" s="1469">
        <v>7956</v>
      </c>
      <c r="BC39" s="1489">
        <v>422</v>
      </c>
    </row>
    <row r="40" spans="1:55" ht="15" customHeight="1" x14ac:dyDescent="0.25">
      <c r="A40" s="403" t="s">
        <v>94</v>
      </c>
      <c r="B40" s="419" t="s">
        <v>95</v>
      </c>
      <c r="C40" s="187" t="s">
        <v>264</v>
      </c>
      <c r="D40" s="405">
        <f t="shared" si="32"/>
        <v>1.9212076162159072E-2</v>
      </c>
      <c r="E40" s="406">
        <f t="shared" si="33"/>
        <v>2.4434840425531915E-2</v>
      </c>
      <c r="F40" s="407">
        <f t="shared" si="17"/>
        <v>3.1527673696606362E-2</v>
      </c>
      <c r="G40" s="407">
        <f t="shared" si="34"/>
        <v>3.1682027649769587E-2</v>
      </c>
      <c r="H40" s="407">
        <f t="shared" si="35"/>
        <v>3.0356130495284236E-2</v>
      </c>
      <c r="I40" s="407">
        <f t="shared" si="36"/>
        <v>3.0563083408611864E-2</v>
      </c>
      <c r="J40" s="407">
        <f t="shared" si="37"/>
        <v>2.6159509202453989E-2</v>
      </c>
      <c r="K40" s="407">
        <f t="shared" si="38"/>
        <v>2.4990219092331768E-2</v>
      </c>
      <c r="L40" s="407">
        <f t="shared" si="39"/>
        <v>3.4801574131145985E-2</v>
      </c>
      <c r="M40" s="407">
        <f t="shared" si="40"/>
        <v>6.2437155853483362E-2</v>
      </c>
      <c r="N40" s="407">
        <f t="shared" si="41"/>
        <v>6.8224441177961379E-2</v>
      </c>
      <c r="O40" s="408">
        <f t="shared" si="42"/>
        <v>6.0557043926603653E-2</v>
      </c>
      <c r="P40" s="409">
        <f t="shared" si="43"/>
        <v>5.5116504359353488E-2</v>
      </c>
      <c r="Q40" s="1313">
        <f t="shared" si="44"/>
        <v>5.1436679673643133E-2</v>
      </c>
      <c r="R40" s="1316">
        <f t="shared" si="45"/>
        <v>4.847359735973597E-2</v>
      </c>
      <c r="S40" s="1483">
        <f t="shared" si="31"/>
        <v>4.0712731793224904E-2</v>
      </c>
      <c r="T40" s="1483">
        <f t="shared" si="30"/>
        <v>3.6542404963457592E-2</v>
      </c>
      <c r="U40" s="216"/>
      <c r="V40" s="410">
        <v>17489</v>
      </c>
      <c r="W40" s="411">
        <v>336</v>
      </c>
      <c r="X40" s="412">
        <v>18048</v>
      </c>
      <c r="Y40" s="413">
        <v>441</v>
      </c>
      <c r="Z40" s="412">
        <v>18682</v>
      </c>
      <c r="AA40" s="413">
        <v>589</v>
      </c>
      <c r="AB40" s="412">
        <v>19096</v>
      </c>
      <c r="AC40" s="413">
        <v>605</v>
      </c>
      <c r="AD40" s="412">
        <v>19403</v>
      </c>
      <c r="AE40" s="413">
        <v>589</v>
      </c>
      <c r="AF40" s="412">
        <v>19926</v>
      </c>
      <c r="AG40" s="413">
        <v>609</v>
      </c>
      <c r="AH40" s="412">
        <v>20375</v>
      </c>
      <c r="AI40" s="413">
        <v>533</v>
      </c>
      <c r="AJ40" s="412">
        <v>20448</v>
      </c>
      <c r="AK40" s="413">
        <v>511</v>
      </c>
      <c r="AL40" s="412">
        <v>21091</v>
      </c>
      <c r="AM40" s="413">
        <v>734</v>
      </c>
      <c r="AN40" s="414">
        <v>20885</v>
      </c>
      <c r="AO40" s="413">
        <v>1304</v>
      </c>
      <c r="AP40" s="412">
        <v>19729</v>
      </c>
      <c r="AQ40" s="413">
        <v>1346</v>
      </c>
      <c r="AR40" s="415">
        <v>19783</v>
      </c>
      <c r="AS40" s="416">
        <v>1198</v>
      </c>
      <c r="AT40" s="417">
        <v>19613</v>
      </c>
      <c r="AU40" s="418">
        <v>1081</v>
      </c>
      <c r="AV40" s="417">
        <v>19733</v>
      </c>
      <c r="AW40" s="1322">
        <v>1015</v>
      </c>
      <c r="AX40" s="1325">
        <v>19392</v>
      </c>
      <c r="AY40" s="1326">
        <v>940</v>
      </c>
      <c r="AZ40" s="1469">
        <v>19306</v>
      </c>
      <c r="BA40" s="1489">
        <v>786</v>
      </c>
      <c r="BB40" s="1469">
        <v>19019</v>
      </c>
      <c r="BC40" s="1489">
        <v>695</v>
      </c>
    </row>
    <row r="41" spans="1:55" ht="15" customHeight="1" x14ac:dyDescent="0.25">
      <c r="A41" s="403" t="s">
        <v>96</v>
      </c>
      <c r="B41" s="419" t="s">
        <v>97</v>
      </c>
      <c r="C41" s="187" t="s">
        <v>266</v>
      </c>
      <c r="D41" s="405">
        <f t="shared" si="32"/>
        <v>1.7375606453796683E-2</v>
      </c>
      <c r="E41" s="406">
        <f t="shared" si="33"/>
        <v>2.4967003959524857E-2</v>
      </c>
      <c r="F41" s="407">
        <f t="shared" si="17"/>
        <v>3.3479048939119307E-2</v>
      </c>
      <c r="G41" s="407">
        <f t="shared" si="34"/>
        <v>3.33782523064165E-2</v>
      </c>
      <c r="H41" s="407">
        <f t="shared" si="35"/>
        <v>3.2762397928699463E-2</v>
      </c>
      <c r="I41" s="407">
        <f t="shared" si="36"/>
        <v>2.9586935638808837E-2</v>
      </c>
      <c r="J41" s="407">
        <f t="shared" si="37"/>
        <v>2.4365482233502538E-2</v>
      </c>
      <c r="K41" s="407">
        <f t="shared" si="38"/>
        <v>2.4028906955736225E-2</v>
      </c>
      <c r="L41" s="407">
        <f t="shared" si="39"/>
        <v>3.3225778320397664E-2</v>
      </c>
      <c r="M41" s="407">
        <f t="shared" si="40"/>
        <v>6.7530875010948579E-2</v>
      </c>
      <c r="N41" s="407">
        <f t="shared" si="41"/>
        <v>6.4931650893796003E-2</v>
      </c>
      <c r="O41" s="408">
        <f t="shared" si="42"/>
        <v>5.7241379310344828E-2</v>
      </c>
      <c r="P41" s="409">
        <f t="shared" si="43"/>
        <v>4.9663597733711047E-2</v>
      </c>
      <c r="Q41" s="1313">
        <f t="shared" si="44"/>
        <v>4.6483073145062268E-2</v>
      </c>
      <c r="R41" s="1316">
        <f t="shared" si="45"/>
        <v>4.7469856641032947E-2</v>
      </c>
      <c r="S41" s="1483">
        <f t="shared" si="31"/>
        <v>4.1165413533834586E-2</v>
      </c>
      <c r="T41" s="1483">
        <f t="shared" si="30"/>
        <v>3.7497662240508697E-2</v>
      </c>
      <c r="U41" s="216"/>
      <c r="V41" s="410">
        <v>8863</v>
      </c>
      <c r="W41" s="411">
        <v>154</v>
      </c>
      <c r="X41" s="412">
        <v>9092</v>
      </c>
      <c r="Y41" s="413">
        <v>227</v>
      </c>
      <c r="Z41" s="412">
        <v>9379</v>
      </c>
      <c r="AA41" s="413">
        <v>314</v>
      </c>
      <c r="AB41" s="412">
        <v>9647</v>
      </c>
      <c r="AC41" s="413">
        <v>322</v>
      </c>
      <c r="AD41" s="412">
        <v>10042</v>
      </c>
      <c r="AE41" s="413">
        <v>329</v>
      </c>
      <c r="AF41" s="412">
        <v>10410</v>
      </c>
      <c r="AG41" s="413">
        <v>308</v>
      </c>
      <c r="AH41" s="412">
        <v>10835</v>
      </c>
      <c r="AI41" s="413">
        <v>264</v>
      </c>
      <c r="AJ41" s="412">
        <v>11070</v>
      </c>
      <c r="AK41" s="413">
        <v>266</v>
      </c>
      <c r="AL41" s="412">
        <v>11467</v>
      </c>
      <c r="AM41" s="413">
        <v>381</v>
      </c>
      <c r="AN41" s="414">
        <v>11417</v>
      </c>
      <c r="AO41" s="413">
        <v>771</v>
      </c>
      <c r="AP41" s="412">
        <v>11412</v>
      </c>
      <c r="AQ41" s="413">
        <v>741</v>
      </c>
      <c r="AR41" s="415">
        <v>11600</v>
      </c>
      <c r="AS41" s="416">
        <v>664</v>
      </c>
      <c r="AT41" s="417">
        <v>11296</v>
      </c>
      <c r="AU41" s="418">
        <v>561</v>
      </c>
      <c r="AV41" s="417">
        <v>11402</v>
      </c>
      <c r="AW41" s="1322">
        <v>530</v>
      </c>
      <c r="AX41" s="1325">
        <v>10533</v>
      </c>
      <c r="AY41" s="1326">
        <v>500</v>
      </c>
      <c r="AZ41" s="1469">
        <v>10640</v>
      </c>
      <c r="BA41" s="1489">
        <v>438</v>
      </c>
      <c r="BB41" s="1469">
        <v>10694</v>
      </c>
      <c r="BC41" s="1489">
        <v>401</v>
      </c>
    </row>
    <row r="42" spans="1:55" ht="15" customHeight="1" x14ac:dyDescent="0.25">
      <c r="A42" s="403" t="s">
        <v>98</v>
      </c>
      <c r="B42" s="419" t="s">
        <v>99</v>
      </c>
      <c r="C42" s="187" t="s">
        <v>268</v>
      </c>
      <c r="D42" s="405">
        <f t="shared" si="32"/>
        <v>5.0851672261593935E-2</v>
      </c>
      <c r="E42" s="406">
        <f t="shared" si="33"/>
        <v>7.5638755375664057E-2</v>
      </c>
      <c r="F42" s="407">
        <f t="shared" si="17"/>
        <v>7.9582193484207905E-2</v>
      </c>
      <c r="G42" s="407">
        <f t="shared" si="34"/>
        <v>6.2772993884936984E-2</v>
      </c>
      <c r="H42" s="407">
        <f t="shared" si="35"/>
        <v>4.7662575084878561E-2</v>
      </c>
      <c r="I42" s="407">
        <f t="shared" si="36"/>
        <v>4.6333601933924252E-2</v>
      </c>
      <c r="J42" s="407">
        <f t="shared" si="37"/>
        <v>5.4438036292024192E-2</v>
      </c>
      <c r="K42" s="407">
        <f t="shared" si="38"/>
        <v>5.1495485327313767E-2</v>
      </c>
      <c r="L42" s="407">
        <f t="shared" si="39"/>
        <v>6.4772252402841624E-2</v>
      </c>
      <c r="M42" s="407">
        <f t="shared" si="40"/>
        <v>0.11080786026200873</v>
      </c>
      <c r="N42" s="407">
        <f t="shared" si="41"/>
        <v>0.1251616611582124</v>
      </c>
      <c r="O42" s="408">
        <f t="shared" si="42"/>
        <v>0.10685781850428613</v>
      </c>
      <c r="P42" s="409">
        <f t="shared" si="43"/>
        <v>9.6603303209722657E-2</v>
      </c>
      <c r="Q42" s="1313">
        <f t="shared" si="44"/>
        <v>9.7256473489519116E-2</v>
      </c>
      <c r="R42" s="1316">
        <f t="shared" si="45"/>
        <v>7.7387640449438203E-2</v>
      </c>
      <c r="S42" s="1483">
        <f t="shared" si="31"/>
        <v>5.8284404983531435E-2</v>
      </c>
      <c r="T42" s="1483">
        <f t="shared" si="30"/>
        <v>5.245948251350583E-2</v>
      </c>
      <c r="U42" s="216"/>
      <c r="V42" s="410">
        <v>8043</v>
      </c>
      <c r="W42" s="411">
        <v>409</v>
      </c>
      <c r="X42" s="412">
        <v>7906</v>
      </c>
      <c r="Y42" s="413">
        <v>598</v>
      </c>
      <c r="Z42" s="412">
        <v>8042</v>
      </c>
      <c r="AA42" s="413">
        <v>640</v>
      </c>
      <c r="AB42" s="412">
        <v>8013</v>
      </c>
      <c r="AC42" s="413">
        <v>503</v>
      </c>
      <c r="AD42" s="412">
        <v>7658</v>
      </c>
      <c r="AE42" s="413">
        <v>365</v>
      </c>
      <c r="AF42" s="412">
        <v>7446</v>
      </c>
      <c r="AG42" s="413">
        <v>345</v>
      </c>
      <c r="AH42" s="412">
        <v>7109</v>
      </c>
      <c r="AI42" s="413">
        <v>387</v>
      </c>
      <c r="AJ42" s="412">
        <v>7088</v>
      </c>
      <c r="AK42" s="413">
        <v>365</v>
      </c>
      <c r="AL42" s="412">
        <v>7179</v>
      </c>
      <c r="AM42" s="413">
        <v>465</v>
      </c>
      <c r="AN42" s="414">
        <v>7328</v>
      </c>
      <c r="AO42" s="413">
        <v>812</v>
      </c>
      <c r="AP42" s="412">
        <v>6959</v>
      </c>
      <c r="AQ42" s="413">
        <v>871</v>
      </c>
      <c r="AR42" s="415">
        <v>6766</v>
      </c>
      <c r="AS42" s="416">
        <v>723</v>
      </c>
      <c r="AT42" s="417">
        <v>6418</v>
      </c>
      <c r="AU42" s="418">
        <v>620</v>
      </c>
      <c r="AV42" s="417">
        <v>6488</v>
      </c>
      <c r="AW42" s="1322">
        <v>631</v>
      </c>
      <c r="AX42" s="1325">
        <v>7120</v>
      </c>
      <c r="AY42" s="1326">
        <v>551</v>
      </c>
      <c r="AZ42" s="1469">
        <v>6983</v>
      </c>
      <c r="BA42" s="1489">
        <v>407</v>
      </c>
      <c r="BB42" s="1469">
        <v>7034</v>
      </c>
      <c r="BC42" s="1489">
        <v>369</v>
      </c>
    </row>
    <row r="43" spans="1:55" ht="15" customHeight="1" x14ac:dyDescent="0.25">
      <c r="A43" s="403" t="s">
        <v>100</v>
      </c>
      <c r="B43" s="419" t="s">
        <v>101</v>
      </c>
      <c r="C43" s="187" t="s">
        <v>267</v>
      </c>
      <c r="D43" s="405">
        <f t="shared" si="32"/>
        <v>1.8323353293413173E-2</v>
      </c>
      <c r="E43" s="406">
        <f t="shared" si="33"/>
        <v>2.2833178005591797E-2</v>
      </c>
      <c r="F43" s="407">
        <f t="shared" si="17"/>
        <v>3.5230958505759982E-2</v>
      </c>
      <c r="G43" s="407">
        <f t="shared" si="34"/>
        <v>4.0628385698808236E-2</v>
      </c>
      <c r="H43" s="407">
        <f t="shared" si="35"/>
        <v>3.0635038825656845E-2</v>
      </c>
      <c r="I43" s="407">
        <f t="shared" si="36"/>
        <v>2.8909465020576133E-2</v>
      </c>
      <c r="J43" s="407">
        <f t="shared" si="37"/>
        <v>2.301563883151372E-2</v>
      </c>
      <c r="K43" s="407">
        <f t="shared" si="38"/>
        <v>2.1506413347478059E-2</v>
      </c>
      <c r="L43" s="407">
        <f t="shared" si="39"/>
        <v>3.2809871003925968E-2</v>
      </c>
      <c r="M43" s="407">
        <f t="shared" si="40"/>
        <v>6.0100166944908183E-2</v>
      </c>
      <c r="N43" s="407">
        <f t="shared" si="41"/>
        <v>6.1052031902772502E-2</v>
      </c>
      <c r="O43" s="408">
        <f t="shared" si="42"/>
        <v>5.4081632653061228E-2</v>
      </c>
      <c r="P43" s="409">
        <f t="shared" si="43"/>
        <v>4.9291207263967386E-2</v>
      </c>
      <c r="Q43" s="1313">
        <f t="shared" si="44"/>
        <v>4.1235207100591718E-2</v>
      </c>
      <c r="R43" s="1316">
        <f t="shared" si="45"/>
        <v>4.3500100462125782E-2</v>
      </c>
      <c r="S43" s="1483">
        <f t="shared" si="31"/>
        <v>3.6595147383196309E-2</v>
      </c>
      <c r="T43" s="1483">
        <f t="shared" si="30"/>
        <v>3.2130549361443342E-2</v>
      </c>
      <c r="U43" s="216"/>
      <c r="V43" s="410">
        <v>8350</v>
      </c>
      <c r="W43" s="411">
        <v>153</v>
      </c>
      <c r="X43" s="412">
        <v>8584</v>
      </c>
      <c r="Y43" s="413">
        <v>196</v>
      </c>
      <c r="Z43" s="412">
        <v>8941</v>
      </c>
      <c r="AA43" s="413">
        <v>315</v>
      </c>
      <c r="AB43" s="412">
        <v>9230</v>
      </c>
      <c r="AC43" s="413">
        <v>375</v>
      </c>
      <c r="AD43" s="412">
        <v>9401</v>
      </c>
      <c r="AE43" s="413">
        <v>288</v>
      </c>
      <c r="AF43" s="412">
        <v>9720</v>
      </c>
      <c r="AG43" s="413">
        <v>281</v>
      </c>
      <c r="AH43" s="412">
        <v>10167</v>
      </c>
      <c r="AI43" s="413">
        <v>234</v>
      </c>
      <c r="AJ43" s="412">
        <v>10369</v>
      </c>
      <c r="AK43" s="413">
        <v>223</v>
      </c>
      <c r="AL43" s="412">
        <v>10698</v>
      </c>
      <c r="AM43" s="413">
        <v>351</v>
      </c>
      <c r="AN43" s="414">
        <v>10782</v>
      </c>
      <c r="AO43" s="413">
        <v>648</v>
      </c>
      <c r="AP43" s="412">
        <v>10532</v>
      </c>
      <c r="AQ43" s="413">
        <v>643</v>
      </c>
      <c r="AR43" s="415">
        <v>10780</v>
      </c>
      <c r="AS43" s="416">
        <v>583</v>
      </c>
      <c r="AT43" s="417">
        <v>10793</v>
      </c>
      <c r="AU43" s="418">
        <v>532</v>
      </c>
      <c r="AV43" s="417">
        <v>10816</v>
      </c>
      <c r="AW43" s="1322">
        <v>446</v>
      </c>
      <c r="AX43" s="1325">
        <v>9954</v>
      </c>
      <c r="AY43" s="1326">
        <v>433</v>
      </c>
      <c r="AZ43" s="1469">
        <v>9974</v>
      </c>
      <c r="BA43" s="1489">
        <v>365</v>
      </c>
      <c r="BB43" s="1469">
        <v>9866</v>
      </c>
      <c r="BC43" s="1489">
        <v>317</v>
      </c>
    </row>
    <row r="44" spans="1:55" ht="15" customHeight="1" x14ac:dyDescent="0.25">
      <c r="A44" s="403" t="s">
        <v>102</v>
      </c>
      <c r="B44" s="419" t="s">
        <v>103</v>
      </c>
      <c r="C44" s="187" t="s">
        <v>264</v>
      </c>
      <c r="D44" s="405">
        <f t="shared" si="32"/>
        <v>3.2649842271293375E-2</v>
      </c>
      <c r="E44" s="406">
        <f t="shared" si="33"/>
        <v>4.4612534732942265E-2</v>
      </c>
      <c r="F44" s="407">
        <f t="shared" si="17"/>
        <v>4.794414274631497E-2</v>
      </c>
      <c r="G44" s="407">
        <f t="shared" si="34"/>
        <v>5.8686809994189425E-2</v>
      </c>
      <c r="H44" s="407">
        <f t="shared" si="35"/>
        <v>6.6204772902232492E-2</v>
      </c>
      <c r="I44" s="407">
        <f t="shared" si="36"/>
        <v>5.451421430802874E-2</v>
      </c>
      <c r="J44" s="407">
        <f t="shared" si="37"/>
        <v>4.7027782089088935E-2</v>
      </c>
      <c r="K44" s="407">
        <f t="shared" si="38"/>
        <v>5.15417845970505E-2</v>
      </c>
      <c r="L44" s="407">
        <f t="shared" si="39"/>
        <v>6.2165678762469277E-2</v>
      </c>
      <c r="M44" s="407">
        <f t="shared" si="40"/>
        <v>0.1046812176909822</v>
      </c>
      <c r="N44" s="407">
        <f t="shared" si="41"/>
        <v>0.1126946811636791</v>
      </c>
      <c r="O44" s="408">
        <f t="shared" si="42"/>
        <v>0.10076157000585823</v>
      </c>
      <c r="P44" s="409">
        <f t="shared" si="43"/>
        <v>9.8780487804878053E-2</v>
      </c>
      <c r="Q44" s="1313">
        <f t="shared" si="44"/>
        <v>9.4935704080012701E-2</v>
      </c>
      <c r="R44" s="1316">
        <f t="shared" si="45"/>
        <v>7.2433086345077877E-2</v>
      </c>
      <c r="S44" s="1483">
        <f t="shared" si="31"/>
        <v>5.9694513715710724E-2</v>
      </c>
      <c r="T44" s="1483">
        <f t="shared" si="30"/>
        <v>5.5953865336658352E-2</v>
      </c>
      <c r="U44" s="216"/>
      <c r="V44" s="420">
        <v>6340</v>
      </c>
      <c r="W44" s="421">
        <v>207</v>
      </c>
      <c r="X44" s="1269">
        <v>6478</v>
      </c>
      <c r="Y44" s="1270">
        <v>289</v>
      </c>
      <c r="Z44" s="1269">
        <v>6445</v>
      </c>
      <c r="AA44" s="1270">
        <v>309</v>
      </c>
      <c r="AB44" s="1269">
        <v>6884</v>
      </c>
      <c r="AC44" s="1270">
        <v>404</v>
      </c>
      <c r="AD44" s="1269">
        <v>6495</v>
      </c>
      <c r="AE44" s="1270">
        <v>430</v>
      </c>
      <c r="AF44" s="1269">
        <v>6402</v>
      </c>
      <c r="AG44" s="1270">
        <v>349</v>
      </c>
      <c r="AH44" s="1269">
        <v>6443</v>
      </c>
      <c r="AI44" s="1270">
        <v>303</v>
      </c>
      <c r="AJ44" s="1269">
        <v>6713</v>
      </c>
      <c r="AK44" s="1270">
        <v>346</v>
      </c>
      <c r="AL44" s="1269">
        <v>6917</v>
      </c>
      <c r="AM44" s="1270">
        <v>430</v>
      </c>
      <c r="AN44" s="1271">
        <v>6964</v>
      </c>
      <c r="AO44" s="1270">
        <v>729</v>
      </c>
      <c r="AP44" s="1269">
        <v>6806</v>
      </c>
      <c r="AQ44" s="1270">
        <v>767</v>
      </c>
      <c r="AR44" s="415">
        <v>6828</v>
      </c>
      <c r="AS44" s="416">
        <v>688</v>
      </c>
      <c r="AT44" s="417">
        <v>6560</v>
      </c>
      <c r="AU44" s="418">
        <v>648</v>
      </c>
      <c r="AV44" s="417">
        <v>6299</v>
      </c>
      <c r="AW44" s="1322">
        <v>598</v>
      </c>
      <c r="AX44" s="1325">
        <v>6613</v>
      </c>
      <c r="AY44" s="1326">
        <v>479</v>
      </c>
      <c r="AZ44" s="1469">
        <v>6416</v>
      </c>
      <c r="BA44" s="1489">
        <v>383</v>
      </c>
      <c r="BB44" s="1469">
        <v>6416</v>
      </c>
      <c r="BC44" s="1489">
        <v>359</v>
      </c>
    </row>
    <row r="45" spans="1:55" ht="15" customHeight="1" x14ac:dyDescent="0.25">
      <c r="A45" s="403" t="s">
        <v>104</v>
      </c>
      <c r="B45" s="419" t="s">
        <v>649</v>
      </c>
      <c r="C45" s="187" t="s">
        <v>265</v>
      </c>
      <c r="D45" s="405">
        <f t="shared" si="32"/>
        <v>4.9624246941183781E-2</v>
      </c>
      <c r="E45" s="406">
        <f t="shared" si="33"/>
        <v>7.2848477568914785E-2</v>
      </c>
      <c r="F45" s="407">
        <f t="shared" si="17"/>
        <v>0.10212690114068441</v>
      </c>
      <c r="G45" s="407">
        <f t="shared" si="34"/>
        <v>0.10154444849811504</v>
      </c>
      <c r="H45" s="407">
        <f t="shared" si="35"/>
        <v>7.5813421453990851E-2</v>
      </c>
      <c r="I45" s="407">
        <f t="shared" si="36"/>
        <v>6.0686181932640859E-2</v>
      </c>
      <c r="J45" s="407">
        <f t="shared" si="37"/>
        <v>5.8118899733806566E-2</v>
      </c>
      <c r="K45" s="407">
        <f t="shared" si="38"/>
        <v>6.4114270806157059E-2</v>
      </c>
      <c r="L45" s="407">
        <f t="shared" si="39"/>
        <v>6.8633047890897553E-2</v>
      </c>
      <c r="M45" s="407">
        <f t="shared" si="40"/>
        <v>0.11679711017459361</v>
      </c>
      <c r="N45" s="407">
        <f t="shared" si="41"/>
        <v>0.12400684512895734</v>
      </c>
      <c r="O45" s="408">
        <f t="shared" si="42"/>
        <v>0.11027397260273973</v>
      </c>
      <c r="P45" s="409">
        <f t="shared" si="43"/>
        <v>9.4667770911639165E-2</v>
      </c>
      <c r="Q45" s="1313">
        <f t="shared" si="44"/>
        <v>9.2465972266598501E-2</v>
      </c>
      <c r="R45" s="1316">
        <f t="shared" si="45"/>
        <v>7.808612440191387E-2</v>
      </c>
      <c r="S45" s="1483">
        <f t="shared" si="31"/>
        <v>6.3821456538762728E-2</v>
      </c>
      <c r="T45" s="1483">
        <f t="shared" si="30"/>
        <v>5.7836822329575953E-2</v>
      </c>
      <c r="U45" s="216"/>
      <c r="V45" s="410">
        <v>16101</v>
      </c>
      <c r="W45" s="411">
        <v>799</v>
      </c>
      <c r="X45" s="412">
        <v>16651</v>
      </c>
      <c r="Y45" s="413">
        <v>1213</v>
      </c>
      <c r="Z45" s="412">
        <v>16832</v>
      </c>
      <c r="AA45" s="413">
        <v>1719</v>
      </c>
      <c r="AB45" s="412">
        <v>16446</v>
      </c>
      <c r="AC45" s="413">
        <v>1670</v>
      </c>
      <c r="AD45" s="412">
        <v>15736</v>
      </c>
      <c r="AE45" s="413">
        <v>1193</v>
      </c>
      <c r="AF45" s="412">
        <v>15885</v>
      </c>
      <c r="AG45" s="413">
        <v>964</v>
      </c>
      <c r="AH45" s="412">
        <v>15778</v>
      </c>
      <c r="AI45" s="413">
        <v>917</v>
      </c>
      <c r="AJ45" s="412">
        <v>15332</v>
      </c>
      <c r="AK45" s="413">
        <v>983</v>
      </c>
      <c r="AL45" s="412">
        <v>15765</v>
      </c>
      <c r="AM45" s="413">
        <v>1082</v>
      </c>
      <c r="AN45" s="414">
        <v>16610</v>
      </c>
      <c r="AO45" s="413">
        <v>1940</v>
      </c>
      <c r="AP45" s="412">
        <v>16362</v>
      </c>
      <c r="AQ45" s="413">
        <v>2029</v>
      </c>
      <c r="AR45" s="415">
        <v>16060</v>
      </c>
      <c r="AS45" s="416">
        <v>1771</v>
      </c>
      <c r="AT45" s="417">
        <v>15697</v>
      </c>
      <c r="AU45" s="418">
        <v>1486</v>
      </c>
      <c r="AV45" s="417">
        <v>15649</v>
      </c>
      <c r="AW45" s="1322">
        <v>1447</v>
      </c>
      <c r="AX45" s="1325">
        <v>15675</v>
      </c>
      <c r="AY45" s="1326">
        <v>1224</v>
      </c>
      <c r="AZ45" s="1469">
        <v>15324</v>
      </c>
      <c r="BA45" s="1489">
        <v>978</v>
      </c>
      <c r="BB45" s="1469">
        <v>14904</v>
      </c>
      <c r="BC45" s="1489">
        <v>862</v>
      </c>
    </row>
    <row r="46" spans="1:55" ht="15" customHeight="1" x14ac:dyDescent="0.25">
      <c r="A46" s="403" t="s">
        <v>108</v>
      </c>
      <c r="B46" s="419" t="s">
        <v>109</v>
      </c>
      <c r="C46" s="187" t="s">
        <v>266</v>
      </c>
      <c r="D46" s="405">
        <f t="shared" si="32"/>
        <v>1.6439981356722172E-2</v>
      </c>
      <c r="E46" s="406">
        <f t="shared" si="33"/>
        <v>2.5038155343810584E-2</v>
      </c>
      <c r="F46" s="407">
        <f t="shared" si="17"/>
        <v>3.271297197449699E-2</v>
      </c>
      <c r="G46" s="407">
        <f t="shared" si="34"/>
        <v>3.2354424486945726E-2</v>
      </c>
      <c r="H46" s="407">
        <f t="shared" si="35"/>
        <v>3.0360674263113289E-2</v>
      </c>
      <c r="I46" s="407">
        <f t="shared" si="36"/>
        <v>2.9299812466346064E-2</v>
      </c>
      <c r="J46" s="407">
        <f t="shared" si="37"/>
        <v>2.507888449121783E-2</v>
      </c>
      <c r="K46" s="407">
        <f t="shared" si="38"/>
        <v>2.4858632591613423E-2</v>
      </c>
      <c r="L46" s="407">
        <f t="shared" si="39"/>
        <v>3.441922037961323E-2</v>
      </c>
      <c r="M46" s="407">
        <f t="shared" si="40"/>
        <v>6.7749538652683128E-2</v>
      </c>
      <c r="N46" s="407">
        <f t="shared" si="41"/>
        <v>6.6994468346650279E-2</v>
      </c>
      <c r="O46" s="408">
        <f t="shared" si="42"/>
        <v>6.0957483898196232E-2</v>
      </c>
      <c r="P46" s="409">
        <f t="shared" si="43"/>
        <v>5.6196990424076609E-2</v>
      </c>
      <c r="Q46" s="1313">
        <f t="shared" si="44"/>
        <v>5.0495533853930755E-2</v>
      </c>
      <c r="R46" s="1316">
        <f t="shared" si="45"/>
        <v>4.5303415536155613E-2</v>
      </c>
      <c r="S46" s="1483">
        <f t="shared" si="31"/>
        <v>3.8510570487623498E-2</v>
      </c>
      <c r="T46" s="1483">
        <f t="shared" si="30"/>
        <v>3.4795604395604397E-2</v>
      </c>
      <c r="U46" s="216"/>
      <c r="V46" s="410">
        <v>47202</v>
      </c>
      <c r="W46" s="411">
        <v>776</v>
      </c>
      <c r="X46" s="412">
        <v>48486</v>
      </c>
      <c r="Y46" s="413">
        <v>1214</v>
      </c>
      <c r="Z46" s="412">
        <v>50347</v>
      </c>
      <c r="AA46" s="413">
        <v>1647</v>
      </c>
      <c r="AB46" s="412">
        <v>51554</v>
      </c>
      <c r="AC46" s="413">
        <v>1668</v>
      </c>
      <c r="AD46" s="412">
        <v>53095</v>
      </c>
      <c r="AE46" s="413">
        <v>1612</v>
      </c>
      <c r="AF46" s="412">
        <v>53857</v>
      </c>
      <c r="AG46" s="413">
        <v>1578</v>
      </c>
      <c r="AH46" s="412">
        <v>54827</v>
      </c>
      <c r="AI46" s="413">
        <v>1375</v>
      </c>
      <c r="AJ46" s="412">
        <v>54468</v>
      </c>
      <c r="AK46" s="413">
        <v>1354</v>
      </c>
      <c r="AL46" s="412">
        <v>55899</v>
      </c>
      <c r="AM46" s="413">
        <v>1924</v>
      </c>
      <c r="AN46" s="414">
        <v>54731</v>
      </c>
      <c r="AO46" s="413">
        <v>3708</v>
      </c>
      <c r="AP46" s="412">
        <v>53691</v>
      </c>
      <c r="AQ46" s="413">
        <v>3597</v>
      </c>
      <c r="AR46" s="415">
        <v>54497</v>
      </c>
      <c r="AS46" s="416">
        <v>3322</v>
      </c>
      <c r="AT46" s="417">
        <v>54825</v>
      </c>
      <c r="AU46" s="418">
        <v>3081</v>
      </c>
      <c r="AV46" s="417">
        <v>55193</v>
      </c>
      <c r="AW46" s="1322">
        <v>2787</v>
      </c>
      <c r="AX46" s="1325">
        <v>56243</v>
      </c>
      <c r="AY46" s="1326">
        <v>2548</v>
      </c>
      <c r="AZ46" s="1469">
        <v>56478</v>
      </c>
      <c r="BA46" s="1489">
        <v>2175</v>
      </c>
      <c r="BB46" s="1469">
        <v>56875</v>
      </c>
      <c r="BC46" s="1489">
        <v>1979</v>
      </c>
    </row>
    <row r="47" spans="1:55" ht="15" customHeight="1" x14ac:dyDescent="0.25">
      <c r="A47" s="403" t="s">
        <v>110</v>
      </c>
      <c r="B47" s="419" t="s">
        <v>111</v>
      </c>
      <c r="C47" s="187" t="s">
        <v>266</v>
      </c>
      <c r="D47" s="405">
        <f t="shared" si="32"/>
        <v>1.8059299191374664E-2</v>
      </c>
      <c r="E47" s="406">
        <f t="shared" si="33"/>
        <v>2.9352983562873032E-2</v>
      </c>
      <c r="F47" s="407">
        <f t="shared" si="17"/>
        <v>3.6631019630469497E-2</v>
      </c>
      <c r="G47" s="407">
        <f t="shared" si="34"/>
        <v>3.7052470054434454E-2</v>
      </c>
      <c r="H47" s="407">
        <f t="shared" si="35"/>
        <v>3.4427774621701185E-2</v>
      </c>
      <c r="I47" s="407">
        <f t="shared" si="36"/>
        <v>3.3550484462900175E-2</v>
      </c>
      <c r="J47" s="407">
        <f t="shared" si="37"/>
        <v>2.8531741562488267E-2</v>
      </c>
      <c r="K47" s="407">
        <f t="shared" si="38"/>
        <v>2.7845066244809175E-2</v>
      </c>
      <c r="L47" s="407">
        <f t="shared" si="39"/>
        <v>3.6416689227807358E-2</v>
      </c>
      <c r="M47" s="407">
        <f t="shared" si="40"/>
        <v>7.1342765616657769E-2</v>
      </c>
      <c r="N47" s="407">
        <f t="shared" si="41"/>
        <v>7.3396023291639162E-2</v>
      </c>
      <c r="O47" s="408">
        <f t="shared" si="42"/>
        <v>6.6215940550779548E-2</v>
      </c>
      <c r="P47" s="409">
        <f t="shared" si="43"/>
        <v>5.9157970906292531E-2</v>
      </c>
      <c r="Q47" s="1313">
        <f t="shared" si="44"/>
        <v>5.4472823423485028E-2</v>
      </c>
      <c r="R47" s="1316">
        <f t="shared" si="45"/>
        <v>5.0677719785346326E-2</v>
      </c>
      <c r="S47" s="1483">
        <f t="shared" si="31"/>
        <v>4.2766554433221103E-2</v>
      </c>
      <c r="T47" s="1483">
        <f t="shared" si="30"/>
        <v>3.8406144983197311E-2</v>
      </c>
      <c r="U47" s="216"/>
      <c r="V47" s="410">
        <v>144690</v>
      </c>
      <c r="W47" s="411">
        <v>2613</v>
      </c>
      <c r="X47" s="412">
        <v>147106</v>
      </c>
      <c r="Y47" s="413">
        <v>4318</v>
      </c>
      <c r="Z47" s="412">
        <v>149054</v>
      </c>
      <c r="AA47" s="413">
        <v>5460</v>
      </c>
      <c r="AB47" s="412">
        <v>151191</v>
      </c>
      <c r="AC47" s="413">
        <v>5602</v>
      </c>
      <c r="AD47" s="412">
        <v>154904</v>
      </c>
      <c r="AE47" s="413">
        <v>5333</v>
      </c>
      <c r="AF47" s="412">
        <v>157494</v>
      </c>
      <c r="AG47" s="413">
        <v>5284</v>
      </c>
      <c r="AH47" s="412">
        <v>159822</v>
      </c>
      <c r="AI47" s="413">
        <v>4560</v>
      </c>
      <c r="AJ47" s="412">
        <v>161824</v>
      </c>
      <c r="AK47" s="413">
        <v>4506</v>
      </c>
      <c r="AL47" s="412">
        <v>166215</v>
      </c>
      <c r="AM47" s="413">
        <v>6053</v>
      </c>
      <c r="AN47" s="414">
        <v>164824</v>
      </c>
      <c r="AO47" s="413">
        <v>11759</v>
      </c>
      <c r="AP47" s="412">
        <v>168129</v>
      </c>
      <c r="AQ47" s="413">
        <v>12340</v>
      </c>
      <c r="AR47" s="415">
        <v>171575</v>
      </c>
      <c r="AS47" s="416">
        <v>11361</v>
      </c>
      <c r="AT47" s="417">
        <v>174127</v>
      </c>
      <c r="AU47" s="418">
        <v>10301</v>
      </c>
      <c r="AV47" s="417">
        <v>175482</v>
      </c>
      <c r="AW47" s="1322">
        <v>9559</v>
      </c>
      <c r="AX47" s="1325">
        <v>176843</v>
      </c>
      <c r="AY47" s="1326">
        <v>8962</v>
      </c>
      <c r="AZ47" s="1469">
        <v>178200</v>
      </c>
      <c r="BA47" s="1489">
        <v>7621</v>
      </c>
      <c r="BB47" s="1469">
        <v>179138</v>
      </c>
      <c r="BC47" s="1489">
        <v>6880</v>
      </c>
    </row>
    <row r="48" spans="1:55" ht="15" customHeight="1" x14ac:dyDescent="0.25">
      <c r="A48" s="403" t="s">
        <v>112</v>
      </c>
      <c r="B48" s="419" t="s">
        <v>113</v>
      </c>
      <c r="C48" s="187" t="s">
        <v>265</v>
      </c>
      <c r="D48" s="405">
        <f t="shared" si="32"/>
        <v>5.4047942107643597E-2</v>
      </c>
      <c r="E48" s="406">
        <f t="shared" si="33"/>
        <v>6.2667809197372179E-2</v>
      </c>
      <c r="F48" s="407">
        <f t="shared" si="17"/>
        <v>0.10528577567683713</v>
      </c>
      <c r="G48" s="407">
        <f t="shared" si="34"/>
        <v>0.10082872928176796</v>
      </c>
      <c r="H48" s="407">
        <f t="shared" si="35"/>
        <v>9.7198381559588029E-2</v>
      </c>
      <c r="I48" s="407">
        <f t="shared" si="36"/>
        <v>7.2034434738574502E-2</v>
      </c>
      <c r="J48" s="407">
        <f t="shared" si="37"/>
        <v>5.1916185064410938E-2</v>
      </c>
      <c r="K48" s="407">
        <f t="shared" si="38"/>
        <v>6.0584914039205733E-2</v>
      </c>
      <c r="L48" s="407">
        <f t="shared" si="39"/>
        <v>8.7894921414225141E-2</v>
      </c>
      <c r="M48" s="407">
        <f t="shared" si="40"/>
        <v>0.15290147182900535</v>
      </c>
      <c r="N48" s="407">
        <f t="shared" si="41"/>
        <v>0.14967170059093893</v>
      </c>
      <c r="O48" s="408">
        <f t="shared" si="42"/>
        <v>0.12581699346405228</v>
      </c>
      <c r="P48" s="409">
        <f t="shared" si="43"/>
        <v>0.1077602969771964</v>
      </c>
      <c r="Q48" s="1313">
        <f t="shared" si="44"/>
        <v>9.6939486893474619E-2</v>
      </c>
      <c r="R48" s="1316">
        <f t="shared" si="45"/>
        <v>8.1516587677725114E-2</v>
      </c>
      <c r="S48" s="1483">
        <f t="shared" si="31"/>
        <v>6.9413846653905889E-2</v>
      </c>
      <c r="T48" s="1483">
        <f t="shared" si="30"/>
        <v>5.8510638297872342E-2</v>
      </c>
      <c r="U48" s="216"/>
      <c r="V48" s="420">
        <v>35376</v>
      </c>
      <c r="W48" s="421">
        <v>1912</v>
      </c>
      <c r="X48" s="1269">
        <v>35010</v>
      </c>
      <c r="Y48" s="1270">
        <v>2194</v>
      </c>
      <c r="Z48" s="1269">
        <v>34905</v>
      </c>
      <c r="AA48" s="1270">
        <v>3675</v>
      </c>
      <c r="AB48" s="1269">
        <v>34752</v>
      </c>
      <c r="AC48" s="1270">
        <v>3504</v>
      </c>
      <c r="AD48" s="1269">
        <v>32624</v>
      </c>
      <c r="AE48" s="1270">
        <v>3171</v>
      </c>
      <c r="AF48" s="1269">
        <v>31596</v>
      </c>
      <c r="AG48" s="1270">
        <v>2276</v>
      </c>
      <c r="AH48" s="1269">
        <v>30973</v>
      </c>
      <c r="AI48" s="1270">
        <v>1608</v>
      </c>
      <c r="AJ48" s="1269">
        <v>31526</v>
      </c>
      <c r="AK48" s="1270">
        <v>1910</v>
      </c>
      <c r="AL48" s="1269">
        <v>31367</v>
      </c>
      <c r="AM48" s="1270">
        <v>2757</v>
      </c>
      <c r="AN48" s="1271">
        <v>32001</v>
      </c>
      <c r="AO48" s="1270">
        <v>4893</v>
      </c>
      <c r="AP48" s="1269">
        <v>30460</v>
      </c>
      <c r="AQ48" s="1270">
        <v>4559</v>
      </c>
      <c r="AR48" s="415">
        <v>29376</v>
      </c>
      <c r="AS48" s="416">
        <v>3696</v>
      </c>
      <c r="AT48" s="417">
        <v>28285</v>
      </c>
      <c r="AU48" s="418">
        <v>3048</v>
      </c>
      <c r="AV48" s="417">
        <v>28688</v>
      </c>
      <c r="AW48" s="1322">
        <v>2781</v>
      </c>
      <c r="AX48" s="1325">
        <v>28485</v>
      </c>
      <c r="AY48" s="1326">
        <v>2322</v>
      </c>
      <c r="AZ48" s="1469">
        <v>27689</v>
      </c>
      <c r="BA48" s="1489">
        <v>1922</v>
      </c>
      <c r="BB48" s="1469">
        <v>27260</v>
      </c>
      <c r="BC48" s="1489">
        <v>1595</v>
      </c>
    </row>
    <row r="49" spans="1:55" ht="15" customHeight="1" x14ac:dyDescent="0.25">
      <c r="A49" s="403" t="s">
        <v>114</v>
      </c>
      <c r="B49" s="419" t="s">
        <v>115</v>
      </c>
      <c r="C49" s="187" t="s">
        <v>265</v>
      </c>
      <c r="D49" s="405">
        <f t="shared" si="32"/>
        <v>2.8350515463917526E-2</v>
      </c>
      <c r="E49" s="406">
        <f t="shared" si="33"/>
        <v>3.1774051191526917E-2</v>
      </c>
      <c r="F49" s="407">
        <f t="shared" si="17"/>
        <v>3.9007092198581561E-2</v>
      </c>
      <c r="G49" s="407">
        <f t="shared" si="34"/>
        <v>4.1771094402673348E-2</v>
      </c>
      <c r="H49" s="407">
        <f t="shared" si="35"/>
        <v>3.3940397350993377E-2</v>
      </c>
      <c r="I49" s="407">
        <f t="shared" si="36"/>
        <v>3.4424853064651553E-2</v>
      </c>
      <c r="J49" s="407">
        <f t="shared" si="37"/>
        <v>3.1802120141342753E-2</v>
      </c>
      <c r="K49" s="407">
        <f t="shared" si="38"/>
        <v>3.3898305084745763E-2</v>
      </c>
      <c r="L49" s="407">
        <f t="shared" si="39"/>
        <v>5.0699300699300696E-2</v>
      </c>
      <c r="M49" s="407">
        <f t="shared" si="40"/>
        <v>7.8111587982832617E-2</v>
      </c>
      <c r="N49" s="407">
        <f t="shared" si="41"/>
        <v>7.9252003561887802E-2</v>
      </c>
      <c r="O49" s="408">
        <f t="shared" si="42"/>
        <v>7.1808510638297879E-2</v>
      </c>
      <c r="P49" s="409">
        <f t="shared" si="43"/>
        <v>6.2444246208742192E-2</v>
      </c>
      <c r="Q49" s="1313">
        <f t="shared" si="44"/>
        <v>5.6066176470588237E-2</v>
      </c>
      <c r="R49" s="1316">
        <f t="shared" si="45"/>
        <v>3.8354253835425386E-2</v>
      </c>
      <c r="S49" s="1483">
        <f t="shared" si="31"/>
        <v>3.5398230088495575E-2</v>
      </c>
      <c r="T49" s="1483">
        <f t="shared" si="30"/>
        <v>3.1538461538461536E-2</v>
      </c>
      <c r="U49" s="216"/>
      <c r="V49" s="410">
        <v>1164</v>
      </c>
      <c r="W49" s="411">
        <v>33</v>
      </c>
      <c r="X49" s="412">
        <v>1133</v>
      </c>
      <c r="Y49" s="413">
        <v>36</v>
      </c>
      <c r="Z49" s="412">
        <v>1128</v>
      </c>
      <c r="AA49" s="413">
        <v>44</v>
      </c>
      <c r="AB49" s="412">
        <v>1197</v>
      </c>
      <c r="AC49" s="413">
        <v>50</v>
      </c>
      <c r="AD49" s="412">
        <v>1208</v>
      </c>
      <c r="AE49" s="413">
        <v>41</v>
      </c>
      <c r="AF49" s="412">
        <v>1191</v>
      </c>
      <c r="AG49" s="413">
        <v>41</v>
      </c>
      <c r="AH49" s="412">
        <v>1132</v>
      </c>
      <c r="AI49" s="413">
        <v>36</v>
      </c>
      <c r="AJ49" s="412">
        <v>1121</v>
      </c>
      <c r="AK49" s="413">
        <v>38</v>
      </c>
      <c r="AL49" s="412">
        <v>1144</v>
      </c>
      <c r="AM49" s="413">
        <v>58</v>
      </c>
      <c r="AN49" s="414">
        <v>1165</v>
      </c>
      <c r="AO49" s="413">
        <v>91</v>
      </c>
      <c r="AP49" s="412">
        <v>1123</v>
      </c>
      <c r="AQ49" s="413">
        <v>89</v>
      </c>
      <c r="AR49" s="415">
        <v>1128</v>
      </c>
      <c r="AS49" s="416">
        <v>81</v>
      </c>
      <c r="AT49" s="417">
        <v>1121</v>
      </c>
      <c r="AU49" s="418">
        <v>70</v>
      </c>
      <c r="AV49" s="417">
        <v>1088</v>
      </c>
      <c r="AW49" s="1322">
        <v>61</v>
      </c>
      <c r="AX49" s="1325">
        <v>1434</v>
      </c>
      <c r="AY49" s="1326">
        <v>55</v>
      </c>
      <c r="AZ49" s="1469">
        <v>1356</v>
      </c>
      <c r="BA49" s="1489">
        <v>48</v>
      </c>
      <c r="BB49" s="1469">
        <v>1300</v>
      </c>
      <c r="BC49" s="1489">
        <v>41</v>
      </c>
    </row>
    <row r="50" spans="1:55" ht="15" customHeight="1" x14ac:dyDescent="0.25">
      <c r="A50" s="403" t="s">
        <v>118</v>
      </c>
      <c r="B50" s="419" t="s">
        <v>119</v>
      </c>
      <c r="C50" s="187" t="s">
        <v>264</v>
      </c>
      <c r="D50" s="405">
        <f t="shared" si="32"/>
        <v>2.1593899723328161E-2</v>
      </c>
      <c r="E50" s="406">
        <f t="shared" si="33"/>
        <v>2.6667536023994264E-2</v>
      </c>
      <c r="F50" s="407">
        <f t="shared" si="17"/>
        <v>3.4725274725274723E-2</v>
      </c>
      <c r="G50" s="407">
        <f t="shared" si="34"/>
        <v>3.565571281054486E-2</v>
      </c>
      <c r="H50" s="407">
        <f t="shared" si="35"/>
        <v>3.3994669825288718E-2</v>
      </c>
      <c r="I50" s="407">
        <f t="shared" si="36"/>
        <v>3.6443732478974769E-2</v>
      </c>
      <c r="J50" s="407">
        <f t="shared" si="37"/>
        <v>3.0549786861952127E-2</v>
      </c>
      <c r="K50" s="407">
        <f t="shared" si="38"/>
        <v>2.886642521217363E-2</v>
      </c>
      <c r="L50" s="407">
        <f t="shared" si="39"/>
        <v>3.6818158046127293E-2</v>
      </c>
      <c r="M50" s="407">
        <f t="shared" si="40"/>
        <v>6.442562202223398E-2</v>
      </c>
      <c r="N50" s="407">
        <f t="shared" si="41"/>
        <v>7.4087902709622358E-2</v>
      </c>
      <c r="O50" s="408">
        <f t="shared" si="42"/>
        <v>6.8190253990137339E-2</v>
      </c>
      <c r="P50" s="409">
        <f t="shared" si="43"/>
        <v>6.0338365992076239E-2</v>
      </c>
      <c r="Q50" s="1313">
        <f t="shared" si="44"/>
        <v>5.6271294718909709E-2</v>
      </c>
      <c r="R50" s="1316">
        <f t="shared" si="45"/>
        <v>5.2690049198539916E-2</v>
      </c>
      <c r="S50" s="1483">
        <f t="shared" si="31"/>
        <v>4.5763071375543536E-2</v>
      </c>
      <c r="T50" s="1483">
        <f t="shared" si="30"/>
        <v>4.3200000000000002E-2</v>
      </c>
      <c r="U50" s="216"/>
      <c r="V50" s="410">
        <v>14819</v>
      </c>
      <c r="W50" s="411">
        <v>320</v>
      </c>
      <c r="X50" s="412">
        <v>15337</v>
      </c>
      <c r="Y50" s="413">
        <v>409</v>
      </c>
      <c r="Z50" s="412">
        <v>15925</v>
      </c>
      <c r="AA50" s="413">
        <v>553</v>
      </c>
      <c r="AB50" s="412">
        <v>16463</v>
      </c>
      <c r="AC50" s="413">
        <v>587</v>
      </c>
      <c r="AD50" s="412">
        <v>16885</v>
      </c>
      <c r="AE50" s="413">
        <v>574</v>
      </c>
      <c r="AF50" s="412">
        <v>17479</v>
      </c>
      <c r="AG50" s="413">
        <v>637</v>
      </c>
      <c r="AH50" s="412">
        <v>18298</v>
      </c>
      <c r="AI50" s="413">
        <v>559</v>
      </c>
      <c r="AJ50" s="412">
        <v>18499</v>
      </c>
      <c r="AK50" s="413">
        <v>534</v>
      </c>
      <c r="AL50" s="412">
        <v>19121</v>
      </c>
      <c r="AM50" s="413">
        <v>704</v>
      </c>
      <c r="AN50" s="414">
        <v>18890</v>
      </c>
      <c r="AO50" s="413">
        <v>1217</v>
      </c>
      <c r="AP50" s="412">
        <v>18748</v>
      </c>
      <c r="AQ50" s="413">
        <v>1389</v>
      </c>
      <c r="AR50" s="415">
        <v>18859</v>
      </c>
      <c r="AS50" s="416">
        <v>1286</v>
      </c>
      <c r="AT50" s="417">
        <v>18678</v>
      </c>
      <c r="AU50" s="418">
        <v>1127</v>
      </c>
      <c r="AV50" s="417">
        <v>18784</v>
      </c>
      <c r="AW50" s="1322">
        <v>1057</v>
      </c>
      <c r="AX50" s="1325">
        <v>18903</v>
      </c>
      <c r="AY50" s="1326">
        <v>996</v>
      </c>
      <c r="AZ50" s="1469">
        <v>18858</v>
      </c>
      <c r="BA50" s="1489">
        <v>863</v>
      </c>
      <c r="BB50" s="1469">
        <v>18750</v>
      </c>
      <c r="BC50" s="1489">
        <v>810</v>
      </c>
    </row>
    <row r="51" spans="1:55" ht="15" customHeight="1" x14ac:dyDescent="0.25">
      <c r="A51" s="403" t="s">
        <v>120</v>
      </c>
      <c r="B51" s="419" t="s">
        <v>121</v>
      </c>
      <c r="C51" s="187" t="s">
        <v>264</v>
      </c>
      <c r="D51" s="405">
        <f t="shared" si="32"/>
        <v>1.9565499071394637E-2</v>
      </c>
      <c r="E51" s="406">
        <f t="shared" si="33"/>
        <v>2.5278225973273758E-2</v>
      </c>
      <c r="F51" s="407">
        <f t="shared" si="17"/>
        <v>3.2810662485299881E-2</v>
      </c>
      <c r="G51" s="407">
        <f t="shared" si="34"/>
        <v>3.3176248821866164E-2</v>
      </c>
      <c r="H51" s="407">
        <f t="shared" si="35"/>
        <v>3.3103994812866973E-2</v>
      </c>
      <c r="I51" s="407">
        <f t="shared" si="36"/>
        <v>3.1131359149582385E-2</v>
      </c>
      <c r="J51" s="407">
        <f t="shared" si="37"/>
        <v>2.6343519494204427E-2</v>
      </c>
      <c r="K51" s="407">
        <f t="shared" si="38"/>
        <v>2.4816441694187053E-2</v>
      </c>
      <c r="L51" s="407">
        <f t="shared" si="39"/>
        <v>3.1770977781886534E-2</v>
      </c>
      <c r="M51" s="407">
        <f t="shared" si="40"/>
        <v>5.5722658066916807E-2</v>
      </c>
      <c r="N51" s="407">
        <f t="shared" si="41"/>
        <v>6.2990052662375659E-2</v>
      </c>
      <c r="O51" s="408">
        <f t="shared" si="42"/>
        <v>6.0007422421422249E-2</v>
      </c>
      <c r="P51" s="409">
        <f t="shared" si="43"/>
        <v>5.5816068434364964E-2</v>
      </c>
      <c r="Q51" s="1313">
        <f t="shared" si="44"/>
        <v>5.2170719995480612E-2</v>
      </c>
      <c r="R51" s="1316">
        <f t="shared" si="45"/>
        <v>4.9621704693226153E-2</v>
      </c>
      <c r="S51" s="1483">
        <f t="shared" si="31"/>
        <v>4.3073882462361213E-2</v>
      </c>
      <c r="T51" s="1483">
        <f t="shared" si="30"/>
        <v>3.8677425013155589E-2</v>
      </c>
      <c r="U51" s="216"/>
      <c r="V51" s="410">
        <v>23153</v>
      </c>
      <c r="W51" s="411">
        <v>453</v>
      </c>
      <c r="X51" s="412">
        <v>24171</v>
      </c>
      <c r="Y51" s="413">
        <v>611</v>
      </c>
      <c r="Z51" s="412">
        <v>25510</v>
      </c>
      <c r="AA51" s="413">
        <v>837</v>
      </c>
      <c r="AB51" s="412">
        <v>26525</v>
      </c>
      <c r="AC51" s="413">
        <v>880</v>
      </c>
      <c r="AD51" s="412">
        <v>27761</v>
      </c>
      <c r="AE51" s="413">
        <v>919</v>
      </c>
      <c r="AF51" s="412">
        <v>28974</v>
      </c>
      <c r="AG51" s="413">
        <v>902</v>
      </c>
      <c r="AH51" s="412">
        <v>30368</v>
      </c>
      <c r="AI51" s="413">
        <v>800</v>
      </c>
      <c r="AJ51" s="412">
        <v>31189</v>
      </c>
      <c r="AK51" s="413">
        <v>774</v>
      </c>
      <c r="AL51" s="412">
        <v>32451</v>
      </c>
      <c r="AM51" s="413">
        <v>1031</v>
      </c>
      <c r="AN51" s="414">
        <v>32249</v>
      </c>
      <c r="AO51" s="413">
        <v>1797</v>
      </c>
      <c r="AP51" s="412">
        <v>34180</v>
      </c>
      <c r="AQ51" s="413">
        <v>2153</v>
      </c>
      <c r="AR51" s="415">
        <v>35029</v>
      </c>
      <c r="AS51" s="416">
        <v>2102</v>
      </c>
      <c r="AT51" s="417">
        <v>35187</v>
      </c>
      <c r="AU51" s="418">
        <v>1964</v>
      </c>
      <c r="AV51" s="417">
        <v>35403</v>
      </c>
      <c r="AW51" s="1322">
        <v>1847</v>
      </c>
      <c r="AX51" s="1325">
        <v>33836</v>
      </c>
      <c r="AY51" s="1326">
        <v>1679</v>
      </c>
      <c r="AZ51" s="1469">
        <v>34406</v>
      </c>
      <c r="BA51" s="1489">
        <v>1482</v>
      </c>
      <c r="BB51" s="1469">
        <v>34206</v>
      </c>
      <c r="BC51" s="1489">
        <v>1323</v>
      </c>
    </row>
    <row r="52" spans="1:55" ht="15" customHeight="1" x14ac:dyDescent="0.25">
      <c r="A52" s="403" t="s">
        <v>122</v>
      </c>
      <c r="B52" s="419" t="s">
        <v>271</v>
      </c>
      <c r="C52" s="187" t="s">
        <v>266</v>
      </c>
      <c r="D52" s="405">
        <f t="shared" si="32"/>
        <v>2.5461489497135583E-2</v>
      </c>
      <c r="E52" s="406">
        <f t="shared" si="33"/>
        <v>3.2760814249363869E-2</v>
      </c>
      <c r="F52" s="407">
        <f t="shared" si="17"/>
        <v>4.3698543381887271E-2</v>
      </c>
      <c r="G52" s="407">
        <f t="shared" si="34"/>
        <v>4.5167403663929247E-2</v>
      </c>
      <c r="H52" s="407">
        <f t="shared" si="35"/>
        <v>3.7434795949677815E-2</v>
      </c>
      <c r="I52" s="407">
        <f t="shared" si="36"/>
        <v>3.8976857490864797E-2</v>
      </c>
      <c r="J52" s="407">
        <f t="shared" si="37"/>
        <v>3.3263410248726401E-2</v>
      </c>
      <c r="K52" s="407">
        <f t="shared" si="38"/>
        <v>3.5294117647058823E-2</v>
      </c>
      <c r="L52" s="407">
        <f t="shared" si="39"/>
        <v>4.5915324985092425E-2</v>
      </c>
      <c r="M52" s="407">
        <f t="shared" si="40"/>
        <v>8.3078802687843623E-2</v>
      </c>
      <c r="N52" s="407">
        <f t="shared" si="41"/>
        <v>8.6086692937253712E-2</v>
      </c>
      <c r="O52" s="408">
        <f t="shared" si="42"/>
        <v>7.8208955223880591E-2</v>
      </c>
      <c r="P52" s="409">
        <f t="shared" si="43"/>
        <v>7.0581257413997622E-2</v>
      </c>
      <c r="Q52" s="1313">
        <f t="shared" si="44"/>
        <v>6.3164108618654069E-2</v>
      </c>
      <c r="R52" s="1316">
        <f t="shared" si="45"/>
        <v>5.7760744593484806E-2</v>
      </c>
      <c r="S52" s="1483">
        <f t="shared" si="31"/>
        <v>4.8453326033397207E-2</v>
      </c>
      <c r="T52" s="1483">
        <f t="shared" si="30"/>
        <v>4.1793523387766401E-2</v>
      </c>
      <c r="U52" s="216"/>
      <c r="V52" s="410">
        <v>3142</v>
      </c>
      <c r="W52" s="411">
        <v>80</v>
      </c>
      <c r="X52" s="412">
        <v>3144</v>
      </c>
      <c r="Y52" s="413">
        <v>103</v>
      </c>
      <c r="Z52" s="412">
        <v>3158</v>
      </c>
      <c r="AA52" s="413">
        <v>138</v>
      </c>
      <c r="AB52" s="412">
        <v>3166</v>
      </c>
      <c r="AC52" s="413">
        <v>143</v>
      </c>
      <c r="AD52" s="412">
        <v>3259</v>
      </c>
      <c r="AE52" s="413">
        <v>122</v>
      </c>
      <c r="AF52" s="412">
        <v>3284</v>
      </c>
      <c r="AG52" s="413">
        <v>128</v>
      </c>
      <c r="AH52" s="412">
        <v>3337</v>
      </c>
      <c r="AI52" s="413">
        <v>111</v>
      </c>
      <c r="AJ52" s="412">
        <v>3315</v>
      </c>
      <c r="AK52" s="413">
        <v>117</v>
      </c>
      <c r="AL52" s="412">
        <v>3354</v>
      </c>
      <c r="AM52" s="413">
        <v>154</v>
      </c>
      <c r="AN52" s="414">
        <v>3274</v>
      </c>
      <c r="AO52" s="413">
        <v>272</v>
      </c>
      <c r="AP52" s="412">
        <v>3299</v>
      </c>
      <c r="AQ52" s="413">
        <v>284</v>
      </c>
      <c r="AR52" s="415">
        <v>3350</v>
      </c>
      <c r="AS52" s="416">
        <v>262</v>
      </c>
      <c r="AT52" s="417">
        <v>3372</v>
      </c>
      <c r="AU52" s="418">
        <v>238</v>
      </c>
      <c r="AV52" s="417">
        <v>3388</v>
      </c>
      <c r="AW52" s="1322">
        <v>214</v>
      </c>
      <c r="AX52" s="1325">
        <v>3653</v>
      </c>
      <c r="AY52" s="1326">
        <v>211</v>
      </c>
      <c r="AZ52" s="1469">
        <v>3653</v>
      </c>
      <c r="BA52" s="1489">
        <v>177</v>
      </c>
      <c r="BB52" s="1469">
        <v>3613</v>
      </c>
      <c r="BC52" s="1489">
        <v>151</v>
      </c>
    </row>
    <row r="53" spans="1:55" ht="15" customHeight="1" x14ac:dyDescent="0.25">
      <c r="A53" s="403" t="s">
        <v>124</v>
      </c>
      <c r="B53" s="419" t="s">
        <v>125</v>
      </c>
      <c r="C53" s="187" t="s">
        <v>267</v>
      </c>
      <c r="D53" s="405">
        <f t="shared" si="32"/>
        <v>1.9267592149353759E-2</v>
      </c>
      <c r="E53" s="406">
        <f t="shared" si="33"/>
        <v>2.4404282260849546E-2</v>
      </c>
      <c r="F53" s="407">
        <f t="shared" si="17"/>
        <v>3.1165311653116531E-2</v>
      </c>
      <c r="G53" s="407">
        <f t="shared" si="34"/>
        <v>3.22969126341143E-2</v>
      </c>
      <c r="H53" s="407">
        <f t="shared" si="35"/>
        <v>3.0739466895958727E-2</v>
      </c>
      <c r="I53" s="407">
        <f t="shared" si="36"/>
        <v>3.3298319327731092E-2</v>
      </c>
      <c r="J53" s="407">
        <f t="shared" si="37"/>
        <v>3.3385992627698792E-2</v>
      </c>
      <c r="K53" s="407">
        <f t="shared" si="38"/>
        <v>3.5457182765660254E-2</v>
      </c>
      <c r="L53" s="407">
        <f t="shared" si="39"/>
        <v>5.0921134340716205E-2</v>
      </c>
      <c r="M53" s="407">
        <f t="shared" si="40"/>
        <v>7.8471411901983659E-2</v>
      </c>
      <c r="N53" s="407">
        <f t="shared" si="41"/>
        <v>8.1770222743259083E-2</v>
      </c>
      <c r="O53" s="408">
        <f t="shared" si="42"/>
        <v>7.6378398791540791E-2</v>
      </c>
      <c r="P53" s="409">
        <f t="shared" si="43"/>
        <v>7.1326676176890161E-2</v>
      </c>
      <c r="Q53" s="1313">
        <f t="shared" si="44"/>
        <v>6.2604651162790695E-2</v>
      </c>
      <c r="R53" s="1316">
        <f t="shared" si="45"/>
        <v>5.260998030203546E-2</v>
      </c>
      <c r="S53" s="1483">
        <f t="shared" si="31"/>
        <v>4.7433452193382533E-2</v>
      </c>
      <c r="T53" s="1483">
        <f t="shared" si="30"/>
        <v>4.1734594065862406E-2</v>
      </c>
      <c r="U53" s="216"/>
      <c r="V53" s="410">
        <v>8356</v>
      </c>
      <c r="W53" s="411">
        <v>161</v>
      </c>
      <c r="X53" s="412">
        <v>8687</v>
      </c>
      <c r="Y53" s="413">
        <v>212</v>
      </c>
      <c r="Z53" s="412">
        <v>8856</v>
      </c>
      <c r="AA53" s="413">
        <v>276</v>
      </c>
      <c r="AB53" s="412">
        <v>9134</v>
      </c>
      <c r="AC53" s="413">
        <v>295</v>
      </c>
      <c r="AD53" s="412">
        <v>9304</v>
      </c>
      <c r="AE53" s="413">
        <v>286</v>
      </c>
      <c r="AF53" s="412">
        <v>9520</v>
      </c>
      <c r="AG53" s="413">
        <v>317</v>
      </c>
      <c r="AH53" s="412">
        <v>9495</v>
      </c>
      <c r="AI53" s="413">
        <v>317</v>
      </c>
      <c r="AJ53" s="412">
        <v>9307</v>
      </c>
      <c r="AK53" s="413">
        <v>330</v>
      </c>
      <c r="AL53" s="412">
        <v>9662</v>
      </c>
      <c r="AM53" s="413">
        <v>492</v>
      </c>
      <c r="AN53" s="414">
        <v>10284</v>
      </c>
      <c r="AO53" s="413">
        <v>807</v>
      </c>
      <c r="AP53" s="412">
        <v>10236</v>
      </c>
      <c r="AQ53" s="413">
        <v>837</v>
      </c>
      <c r="AR53" s="415">
        <v>10592</v>
      </c>
      <c r="AS53" s="416">
        <v>809</v>
      </c>
      <c r="AT53" s="417">
        <v>10515</v>
      </c>
      <c r="AU53" s="418">
        <v>750</v>
      </c>
      <c r="AV53" s="417">
        <v>10750</v>
      </c>
      <c r="AW53" s="1322">
        <v>673</v>
      </c>
      <c r="AX53" s="1325">
        <v>12184</v>
      </c>
      <c r="AY53" s="1326">
        <v>641</v>
      </c>
      <c r="AZ53" s="1469">
        <v>12059</v>
      </c>
      <c r="BA53" s="1489">
        <v>572</v>
      </c>
      <c r="BB53" s="1469">
        <v>12268</v>
      </c>
      <c r="BC53" s="1489">
        <v>512</v>
      </c>
    </row>
    <row r="54" spans="1:55" ht="15" customHeight="1" x14ac:dyDescent="0.25">
      <c r="A54" s="403" t="s">
        <v>126</v>
      </c>
      <c r="B54" s="419" t="s">
        <v>127</v>
      </c>
      <c r="C54" s="187" t="s">
        <v>266</v>
      </c>
      <c r="D54" s="405">
        <f t="shared" si="32"/>
        <v>1.8749105481608703E-2</v>
      </c>
      <c r="E54" s="406">
        <f t="shared" si="33"/>
        <v>2.9227557411273485E-2</v>
      </c>
      <c r="F54" s="407">
        <f t="shared" si="17"/>
        <v>3.6183764737769346E-2</v>
      </c>
      <c r="G54" s="407">
        <f t="shared" si="34"/>
        <v>3.6243386243386244E-2</v>
      </c>
      <c r="H54" s="407">
        <f t="shared" si="35"/>
        <v>3.350148751778554E-2</v>
      </c>
      <c r="I54" s="407">
        <f t="shared" si="36"/>
        <v>3.453906053755338E-2</v>
      </c>
      <c r="J54" s="407">
        <f t="shared" si="37"/>
        <v>2.7105168052041922E-2</v>
      </c>
      <c r="K54" s="407">
        <f t="shared" si="38"/>
        <v>2.7315914489311165E-2</v>
      </c>
      <c r="L54" s="407">
        <f t="shared" si="39"/>
        <v>3.7505699954400368E-2</v>
      </c>
      <c r="M54" s="407">
        <f t="shared" si="40"/>
        <v>7.2744014732965004E-2</v>
      </c>
      <c r="N54" s="407">
        <f t="shared" si="41"/>
        <v>7.5633250089190154E-2</v>
      </c>
      <c r="O54" s="408">
        <f t="shared" si="42"/>
        <v>7.1035048646114166E-2</v>
      </c>
      <c r="P54" s="409">
        <f t="shared" si="43"/>
        <v>6.3877168307548055E-2</v>
      </c>
      <c r="Q54" s="1313">
        <f t="shared" si="44"/>
        <v>5.6676384839650144E-2</v>
      </c>
      <c r="R54" s="1316">
        <f t="shared" si="45"/>
        <v>5.1767104666968738E-2</v>
      </c>
      <c r="S54" s="1483">
        <f t="shared" si="31"/>
        <v>4.2111237230419978E-2</v>
      </c>
      <c r="T54" s="1483">
        <f t="shared" si="30"/>
        <v>3.7210364113685654E-2</v>
      </c>
      <c r="U54" s="187"/>
      <c r="V54" s="420">
        <v>6987</v>
      </c>
      <c r="W54" s="421">
        <v>131</v>
      </c>
      <c r="X54" s="412">
        <v>7185</v>
      </c>
      <c r="Y54" s="413">
        <v>210</v>
      </c>
      <c r="Z54" s="412">
        <v>7379</v>
      </c>
      <c r="AA54" s="413">
        <v>267</v>
      </c>
      <c r="AB54" s="412">
        <v>7560</v>
      </c>
      <c r="AC54" s="413">
        <v>274</v>
      </c>
      <c r="AD54" s="438">
        <v>7731</v>
      </c>
      <c r="AE54" s="416">
        <v>259</v>
      </c>
      <c r="AF54" s="438">
        <v>7962</v>
      </c>
      <c r="AG54" s="416">
        <v>275</v>
      </c>
      <c r="AH54" s="438">
        <v>8301</v>
      </c>
      <c r="AI54" s="416">
        <v>225</v>
      </c>
      <c r="AJ54" s="438">
        <v>8420</v>
      </c>
      <c r="AK54" s="416">
        <v>230</v>
      </c>
      <c r="AL54" s="438">
        <v>8772</v>
      </c>
      <c r="AM54" s="416">
        <v>329</v>
      </c>
      <c r="AN54" s="422">
        <v>8688</v>
      </c>
      <c r="AO54" s="416">
        <v>632</v>
      </c>
      <c r="AP54" s="412">
        <v>8409</v>
      </c>
      <c r="AQ54" s="413">
        <v>636</v>
      </c>
      <c r="AR54" s="415">
        <v>8531</v>
      </c>
      <c r="AS54" s="416">
        <v>606</v>
      </c>
      <c r="AT54" s="417">
        <v>8532</v>
      </c>
      <c r="AU54" s="418">
        <v>545</v>
      </c>
      <c r="AV54" s="417">
        <v>8575</v>
      </c>
      <c r="AW54" s="1322">
        <v>486</v>
      </c>
      <c r="AX54" s="1325">
        <v>8828</v>
      </c>
      <c r="AY54" s="1326">
        <v>457</v>
      </c>
      <c r="AZ54" s="1469">
        <v>8810</v>
      </c>
      <c r="BA54" s="1489">
        <v>371</v>
      </c>
      <c r="BB54" s="1469">
        <v>8761</v>
      </c>
      <c r="BC54" s="1489">
        <v>326</v>
      </c>
    </row>
    <row r="55" spans="1:55" ht="15" customHeight="1" x14ac:dyDescent="0.25">
      <c r="A55" s="403" t="s">
        <v>128</v>
      </c>
      <c r="B55" s="419" t="s">
        <v>129</v>
      </c>
      <c r="C55" s="187" t="s">
        <v>266</v>
      </c>
      <c r="D55" s="405">
        <f t="shared" si="32"/>
        <v>5.73208722741433E-2</v>
      </c>
      <c r="E55" s="406">
        <f t="shared" si="33"/>
        <v>6.1216188732967254E-2</v>
      </c>
      <c r="F55" s="407">
        <f t="shared" si="17"/>
        <v>6.3751926040061635E-2</v>
      </c>
      <c r="G55" s="407">
        <f t="shared" si="34"/>
        <v>5.5094339622641507E-2</v>
      </c>
      <c r="H55" s="407">
        <f t="shared" si="35"/>
        <v>5.5384021613276727E-2</v>
      </c>
      <c r="I55" s="407">
        <f t="shared" si="36"/>
        <v>5.5703929797787106E-2</v>
      </c>
      <c r="J55" s="407">
        <f t="shared" si="37"/>
        <v>4.3553671227596839E-2</v>
      </c>
      <c r="K55" s="407">
        <f t="shared" si="38"/>
        <v>4.383975812547241E-2</v>
      </c>
      <c r="L55" s="407">
        <f t="shared" si="39"/>
        <v>5.7137707281903385E-2</v>
      </c>
      <c r="M55" s="407">
        <f t="shared" si="40"/>
        <v>9.6177558569667074E-2</v>
      </c>
      <c r="N55" s="407">
        <f t="shared" si="41"/>
        <v>9.9064391854705558E-2</v>
      </c>
      <c r="O55" s="408">
        <f t="shared" si="42"/>
        <v>9.3406593406593408E-2</v>
      </c>
      <c r="P55" s="409">
        <f t="shared" si="43"/>
        <v>8.0141976461797118E-2</v>
      </c>
      <c r="Q55" s="1313">
        <f t="shared" si="44"/>
        <v>7.668886774500476E-2</v>
      </c>
      <c r="R55" s="1316">
        <f t="shared" si="45"/>
        <v>7.5701624815361884E-2</v>
      </c>
      <c r="S55" s="1483">
        <f t="shared" si="31"/>
        <v>6.7228537828302626E-2</v>
      </c>
      <c r="T55" s="1483">
        <f t="shared" si="30"/>
        <v>5.6078431372549017E-2</v>
      </c>
      <c r="U55" s="216"/>
      <c r="V55" s="410">
        <v>4815</v>
      </c>
      <c r="W55" s="411">
        <v>276</v>
      </c>
      <c r="X55" s="412">
        <v>4917</v>
      </c>
      <c r="Y55" s="413">
        <v>301</v>
      </c>
      <c r="Z55" s="412">
        <v>5192</v>
      </c>
      <c r="AA55" s="413">
        <v>331</v>
      </c>
      <c r="AB55" s="412">
        <v>5300</v>
      </c>
      <c r="AC55" s="413">
        <v>292</v>
      </c>
      <c r="AD55" s="412">
        <v>5182</v>
      </c>
      <c r="AE55" s="413">
        <v>287</v>
      </c>
      <c r="AF55" s="412">
        <v>5242</v>
      </c>
      <c r="AG55" s="413">
        <v>292</v>
      </c>
      <c r="AH55" s="412">
        <v>5189</v>
      </c>
      <c r="AI55" s="413">
        <v>226</v>
      </c>
      <c r="AJ55" s="412">
        <v>5292</v>
      </c>
      <c r="AK55" s="413">
        <v>232</v>
      </c>
      <c r="AL55" s="412">
        <v>5548</v>
      </c>
      <c r="AM55" s="413">
        <v>317</v>
      </c>
      <c r="AN55" s="414">
        <v>5677</v>
      </c>
      <c r="AO55" s="413">
        <v>546</v>
      </c>
      <c r="AP55" s="412">
        <v>5451</v>
      </c>
      <c r="AQ55" s="413">
        <v>540</v>
      </c>
      <c r="AR55" s="415">
        <v>5460</v>
      </c>
      <c r="AS55" s="416">
        <v>510</v>
      </c>
      <c r="AT55" s="417">
        <v>5353</v>
      </c>
      <c r="AU55" s="418">
        <v>429</v>
      </c>
      <c r="AV55" s="417">
        <v>5255</v>
      </c>
      <c r="AW55" s="1322">
        <v>403</v>
      </c>
      <c r="AX55" s="1325">
        <v>5416</v>
      </c>
      <c r="AY55" s="1326">
        <v>410</v>
      </c>
      <c r="AZ55" s="1469">
        <v>5102</v>
      </c>
      <c r="BA55" s="1489">
        <v>343</v>
      </c>
      <c r="BB55" s="1469">
        <v>5100</v>
      </c>
      <c r="BC55" s="1489">
        <v>286</v>
      </c>
    </row>
    <row r="56" spans="1:55" ht="15" customHeight="1" x14ac:dyDescent="0.25">
      <c r="A56" s="403" t="s">
        <v>130</v>
      </c>
      <c r="B56" s="419" t="s">
        <v>131</v>
      </c>
      <c r="C56" s="187" t="s">
        <v>268</v>
      </c>
      <c r="D56" s="405">
        <f t="shared" si="32"/>
        <v>4.1828128561659447E-2</v>
      </c>
      <c r="E56" s="406">
        <f t="shared" si="33"/>
        <v>4.9562035702406033E-2</v>
      </c>
      <c r="F56" s="407">
        <f t="shared" si="17"/>
        <v>5.7074039166404862E-2</v>
      </c>
      <c r="G56" s="407">
        <f t="shared" si="34"/>
        <v>5.9788739616449593E-2</v>
      </c>
      <c r="H56" s="407">
        <f t="shared" si="35"/>
        <v>5.4732161761592207E-2</v>
      </c>
      <c r="I56" s="407">
        <f t="shared" si="36"/>
        <v>4.9757673667205168E-2</v>
      </c>
      <c r="J56" s="407">
        <f t="shared" si="37"/>
        <v>4.2855604608592654E-2</v>
      </c>
      <c r="K56" s="407">
        <f t="shared" si="38"/>
        <v>4.1937513105472848E-2</v>
      </c>
      <c r="L56" s="407">
        <f t="shared" si="39"/>
        <v>5.316869068272273E-2</v>
      </c>
      <c r="M56" s="407">
        <f t="shared" si="40"/>
        <v>7.4832611264277274E-2</v>
      </c>
      <c r="N56" s="407">
        <f t="shared" si="41"/>
        <v>8.3998787021126051E-2</v>
      </c>
      <c r="O56" s="408">
        <f t="shared" si="42"/>
        <v>7.887352174784526E-2</v>
      </c>
      <c r="P56" s="409">
        <f t="shared" si="43"/>
        <v>8.5312040344610207E-2</v>
      </c>
      <c r="Q56" s="1313">
        <f t="shared" si="44"/>
        <v>9.0948603716179507E-2</v>
      </c>
      <c r="R56" s="1316">
        <f t="shared" si="45"/>
        <v>8.1891709728150977E-2</v>
      </c>
      <c r="S56" s="1483">
        <f t="shared" si="31"/>
        <v>7.2287763127457785E-2</v>
      </c>
      <c r="T56" s="1483">
        <f t="shared" si="30"/>
        <v>6.8050477650666352E-2</v>
      </c>
      <c r="U56" s="216"/>
      <c r="V56" s="410">
        <v>8774</v>
      </c>
      <c r="W56" s="411">
        <v>367</v>
      </c>
      <c r="X56" s="412">
        <v>9019</v>
      </c>
      <c r="Y56" s="413">
        <v>447</v>
      </c>
      <c r="Z56" s="412">
        <v>9549</v>
      </c>
      <c r="AA56" s="413">
        <v>545</v>
      </c>
      <c r="AB56" s="412">
        <v>9751</v>
      </c>
      <c r="AC56" s="413">
        <v>583</v>
      </c>
      <c r="AD56" s="412">
        <v>9446</v>
      </c>
      <c r="AE56" s="413">
        <v>517</v>
      </c>
      <c r="AF56" s="412">
        <v>9285</v>
      </c>
      <c r="AG56" s="413">
        <v>462</v>
      </c>
      <c r="AH56" s="412">
        <v>9287</v>
      </c>
      <c r="AI56" s="413">
        <v>398</v>
      </c>
      <c r="AJ56" s="412">
        <v>9538</v>
      </c>
      <c r="AK56" s="413">
        <v>400</v>
      </c>
      <c r="AL56" s="412">
        <v>9799</v>
      </c>
      <c r="AM56" s="413">
        <v>521</v>
      </c>
      <c r="AN56" s="414">
        <v>10156</v>
      </c>
      <c r="AO56" s="413">
        <v>760</v>
      </c>
      <c r="AP56" s="412">
        <v>9893</v>
      </c>
      <c r="AQ56" s="413">
        <v>831</v>
      </c>
      <c r="AR56" s="415">
        <v>9978</v>
      </c>
      <c r="AS56" s="416">
        <v>787</v>
      </c>
      <c r="AT56" s="417">
        <v>9518</v>
      </c>
      <c r="AU56" s="418">
        <v>812</v>
      </c>
      <c r="AV56" s="417">
        <v>9203</v>
      </c>
      <c r="AW56" s="1322">
        <v>837</v>
      </c>
      <c r="AX56" s="1325">
        <v>8902</v>
      </c>
      <c r="AY56" s="1326">
        <v>729</v>
      </c>
      <c r="AZ56" s="1469">
        <v>8646</v>
      </c>
      <c r="BA56" s="1489">
        <v>625</v>
      </c>
      <c r="BB56" s="1469">
        <v>8479</v>
      </c>
      <c r="BC56" s="1489">
        <v>577</v>
      </c>
    </row>
    <row r="57" spans="1:55" ht="15" customHeight="1" x14ac:dyDescent="0.25">
      <c r="A57" s="403" t="s">
        <v>132</v>
      </c>
      <c r="B57" s="419" t="s">
        <v>133</v>
      </c>
      <c r="C57" s="187" t="s">
        <v>267</v>
      </c>
      <c r="D57" s="405">
        <f t="shared" si="32"/>
        <v>1.4113957135389441E-2</v>
      </c>
      <c r="E57" s="406">
        <f t="shared" si="33"/>
        <v>2.4879548478869362E-2</v>
      </c>
      <c r="F57" s="407">
        <f t="shared" si="17"/>
        <v>3.7200116277081446E-2</v>
      </c>
      <c r="G57" s="407">
        <f t="shared" si="34"/>
        <v>3.160730034880857E-2</v>
      </c>
      <c r="H57" s="407">
        <f t="shared" si="35"/>
        <v>2.6035261844297782E-2</v>
      </c>
      <c r="I57" s="407">
        <f t="shared" si="36"/>
        <v>2.4054936456112896E-2</v>
      </c>
      <c r="J57" s="407">
        <f t="shared" si="37"/>
        <v>2.1251017708121312E-2</v>
      </c>
      <c r="K57" s="407">
        <f t="shared" si="38"/>
        <v>2.1132630546702624E-2</v>
      </c>
      <c r="L57" s="407">
        <f t="shared" si="39"/>
        <v>2.8066066308605579E-2</v>
      </c>
      <c r="M57" s="407">
        <f t="shared" si="40"/>
        <v>4.8770153902528396E-2</v>
      </c>
      <c r="N57" s="407">
        <f t="shared" si="41"/>
        <v>4.8989603367059674E-2</v>
      </c>
      <c r="O57" s="408">
        <f t="shared" si="42"/>
        <v>4.4019831167090982E-2</v>
      </c>
      <c r="P57" s="409">
        <f t="shared" si="43"/>
        <v>4.2400797690456425E-2</v>
      </c>
      <c r="Q57" s="1313">
        <f t="shared" si="44"/>
        <v>4.1688020582586596E-2</v>
      </c>
      <c r="R57" s="1316">
        <f t="shared" si="45"/>
        <v>4.2016937785610678E-2</v>
      </c>
      <c r="S57" s="1483">
        <f t="shared" si="31"/>
        <v>3.5660620508040322E-2</v>
      </c>
      <c r="T57" s="1483">
        <f t="shared" si="30"/>
        <v>3.161577482580976E-2</v>
      </c>
      <c r="U57" s="216"/>
      <c r="V57" s="410">
        <v>99476</v>
      </c>
      <c r="W57" s="411">
        <v>1404</v>
      </c>
      <c r="X57" s="412">
        <v>108965</v>
      </c>
      <c r="Y57" s="413">
        <v>2711</v>
      </c>
      <c r="Z57" s="412">
        <v>116962</v>
      </c>
      <c r="AA57" s="413">
        <v>4351</v>
      </c>
      <c r="AB57" s="412">
        <v>125857</v>
      </c>
      <c r="AC57" s="413">
        <v>3978</v>
      </c>
      <c r="AD57" s="412">
        <v>137429</v>
      </c>
      <c r="AE57" s="413">
        <v>3578</v>
      </c>
      <c r="AF57" s="412">
        <v>148244</v>
      </c>
      <c r="AG57" s="413">
        <v>3566</v>
      </c>
      <c r="AH57" s="412">
        <v>157216</v>
      </c>
      <c r="AI57" s="413">
        <v>3341</v>
      </c>
      <c r="AJ57" s="412">
        <v>163160</v>
      </c>
      <c r="AK57" s="413">
        <v>3448</v>
      </c>
      <c r="AL57" s="412">
        <v>173341</v>
      </c>
      <c r="AM57" s="413">
        <v>4865</v>
      </c>
      <c r="AN57" s="414">
        <v>174656</v>
      </c>
      <c r="AO57" s="413">
        <v>8518</v>
      </c>
      <c r="AP57" s="412">
        <v>179385</v>
      </c>
      <c r="AQ57" s="413">
        <v>8788</v>
      </c>
      <c r="AR57" s="415">
        <v>186575</v>
      </c>
      <c r="AS57" s="416">
        <v>8213</v>
      </c>
      <c r="AT57" s="417">
        <v>191553</v>
      </c>
      <c r="AU57" s="418">
        <v>8122</v>
      </c>
      <c r="AV57" s="417">
        <v>193173</v>
      </c>
      <c r="AW57" s="1322">
        <v>8053</v>
      </c>
      <c r="AX57" s="1325">
        <v>192351</v>
      </c>
      <c r="AY57" s="1326">
        <v>8082</v>
      </c>
      <c r="AZ57" s="1469">
        <v>196323</v>
      </c>
      <c r="BA57" s="1489">
        <v>7001</v>
      </c>
      <c r="BB57" s="1469">
        <v>202652</v>
      </c>
      <c r="BC57" s="1489">
        <v>6407</v>
      </c>
    </row>
    <row r="58" spans="1:55" ht="15" customHeight="1" x14ac:dyDescent="0.25">
      <c r="A58" s="403" t="s">
        <v>134</v>
      </c>
      <c r="B58" s="419" t="s">
        <v>135</v>
      </c>
      <c r="C58" s="187" t="s">
        <v>267</v>
      </c>
      <c r="D58" s="405">
        <f t="shared" si="32"/>
        <v>2.3731459797033568E-2</v>
      </c>
      <c r="E58" s="406">
        <f t="shared" si="33"/>
        <v>3.1004799268682867E-2</v>
      </c>
      <c r="F58" s="407">
        <f t="shared" si="17"/>
        <v>4.3529153559148437E-2</v>
      </c>
      <c r="G58" s="407">
        <f t="shared" si="34"/>
        <v>4.228943826592052E-2</v>
      </c>
      <c r="H58" s="407">
        <f t="shared" si="35"/>
        <v>3.7364596188125598E-2</v>
      </c>
      <c r="I58" s="407">
        <f t="shared" si="36"/>
        <v>3.5993946173586894E-2</v>
      </c>
      <c r="J58" s="407">
        <f t="shared" si="37"/>
        <v>3.065739570164349E-2</v>
      </c>
      <c r="K58" s="407">
        <f t="shared" si="38"/>
        <v>2.9241585267218317E-2</v>
      </c>
      <c r="L58" s="407">
        <f t="shared" si="39"/>
        <v>4.2110271813477665E-2</v>
      </c>
      <c r="M58" s="407">
        <f t="shared" si="40"/>
        <v>8.1334848394234799E-2</v>
      </c>
      <c r="N58" s="407">
        <f t="shared" si="41"/>
        <v>8.0770633280661239E-2</v>
      </c>
      <c r="O58" s="408">
        <f t="shared" si="42"/>
        <v>7.2232870148538575E-2</v>
      </c>
      <c r="P58" s="409">
        <f t="shared" si="43"/>
        <v>6.5985296754527523E-2</v>
      </c>
      <c r="Q58" s="1313">
        <f t="shared" si="44"/>
        <v>5.8924961350933523E-2</v>
      </c>
      <c r="R58" s="1316">
        <f t="shared" si="45"/>
        <v>5.0607615446934914E-2</v>
      </c>
      <c r="S58" s="1483">
        <f t="shared" si="31"/>
        <v>4.2512690355329952E-2</v>
      </c>
      <c r="T58" s="1483">
        <f t="shared" si="30"/>
        <v>3.7655090209676542E-2</v>
      </c>
      <c r="U58" s="216"/>
      <c r="V58" s="410">
        <v>12810</v>
      </c>
      <c r="W58" s="411">
        <v>304</v>
      </c>
      <c r="X58" s="412">
        <v>13127</v>
      </c>
      <c r="Y58" s="413">
        <v>407</v>
      </c>
      <c r="Z58" s="412">
        <v>13669</v>
      </c>
      <c r="AA58" s="413">
        <v>595</v>
      </c>
      <c r="AB58" s="412">
        <v>14117</v>
      </c>
      <c r="AC58" s="413">
        <v>597</v>
      </c>
      <c r="AD58" s="412">
        <v>14586</v>
      </c>
      <c r="AE58" s="413">
        <v>545</v>
      </c>
      <c r="AF58" s="412">
        <v>15197</v>
      </c>
      <c r="AG58" s="413">
        <v>547</v>
      </c>
      <c r="AH58" s="412">
        <v>15820</v>
      </c>
      <c r="AI58" s="413">
        <v>485</v>
      </c>
      <c r="AJ58" s="412">
        <v>16073</v>
      </c>
      <c r="AK58" s="413">
        <v>470</v>
      </c>
      <c r="AL58" s="412">
        <v>16813</v>
      </c>
      <c r="AM58" s="413">
        <v>708</v>
      </c>
      <c r="AN58" s="414">
        <v>16721</v>
      </c>
      <c r="AO58" s="413">
        <v>1360</v>
      </c>
      <c r="AP58" s="412">
        <v>16454</v>
      </c>
      <c r="AQ58" s="413">
        <v>1329</v>
      </c>
      <c r="AR58" s="415">
        <v>16696</v>
      </c>
      <c r="AS58" s="416">
        <v>1206</v>
      </c>
      <c r="AT58" s="417">
        <v>16731</v>
      </c>
      <c r="AU58" s="418">
        <v>1104</v>
      </c>
      <c r="AV58" s="417">
        <v>16818</v>
      </c>
      <c r="AW58" s="1322">
        <v>991</v>
      </c>
      <c r="AX58" s="1325">
        <v>18515</v>
      </c>
      <c r="AY58" s="1326">
        <v>937</v>
      </c>
      <c r="AZ58" s="1469">
        <v>18912</v>
      </c>
      <c r="BA58" s="1489">
        <v>804</v>
      </c>
      <c r="BB58" s="1469">
        <v>18457</v>
      </c>
      <c r="BC58" s="1489">
        <v>695</v>
      </c>
    </row>
    <row r="59" spans="1:55" ht="15" customHeight="1" x14ac:dyDescent="0.25">
      <c r="A59" s="403" t="s">
        <v>136</v>
      </c>
      <c r="B59" s="419" t="s">
        <v>137</v>
      </c>
      <c r="C59" s="187" t="s">
        <v>266</v>
      </c>
      <c r="D59" s="405">
        <f t="shared" si="32"/>
        <v>3.4450477438681897E-2</v>
      </c>
      <c r="E59" s="406">
        <f t="shared" si="33"/>
        <v>4.5006509205876885E-2</v>
      </c>
      <c r="F59" s="407">
        <f t="shared" si="17"/>
        <v>5.5717407137654773E-2</v>
      </c>
      <c r="G59" s="407">
        <f t="shared" si="34"/>
        <v>5.58205264087617E-2</v>
      </c>
      <c r="H59" s="407">
        <f t="shared" si="35"/>
        <v>4.8492553577915001E-2</v>
      </c>
      <c r="I59" s="407">
        <f t="shared" si="36"/>
        <v>5.2049910873440283E-2</v>
      </c>
      <c r="J59" s="407">
        <f t="shared" si="37"/>
        <v>4.3914680050188205E-2</v>
      </c>
      <c r="K59" s="407">
        <f t="shared" si="38"/>
        <v>4.561211457763182E-2</v>
      </c>
      <c r="L59" s="407">
        <f t="shared" si="39"/>
        <v>5.9538936286077329E-2</v>
      </c>
      <c r="M59" s="407">
        <f t="shared" si="40"/>
        <v>9.6150434628348408E-2</v>
      </c>
      <c r="N59" s="407">
        <f t="shared" si="41"/>
        <v>0.10185012147262194</v>
      </c>
      <c r="O59" s="408">
        <f t="shared" si="42"/>
        <v>9.1803899299640362E-2</v>
      </c>
      <c r="P59" s="409">
        <f t="shared" si="43"/>
        <v>8.2660893524896667E-2</v>
      </c>
      <c r="Q59" s="1313">
        <f t="shared" si="44"/>
        <v>8.0739104237798759E-2</v>
      </c>
      <c r="R59" s="1316">
        <f t="shared" si="45"/>
        <v>5.9501673484566753E-2</v>
      </c>
      <c r="S59" s="1483">
        <f t="shared" si="31"/>
        <v>5.1948051948051951E-2</v>
      </c>
      <c r="T59" s="1483">
        <f t="shared" si="30"/>
        <v>4.5887281035795889E-2</v>
      </c>
      <c r="U59" s="216"/>
      <c r="V59" s="410">
        <v>5341</v>
      </c>
      <c r="W59" s="411">
        <v>184</v>
      </c>
      <c r="X59" s="412">
        <v>5377</v>
      </c>
      <c r="Y59" s="413">
        <v>242</v>
      </c>
      <c r="Z59" s="412">
        <v>5492</v>
      </c>
      <c r="AA59" s="413">
        <v>306</v>
      </c>
      <c r="AB59" s="412">
        <v>5661</v>
      </c>
      <c r="AC59" s="413">
        <v>316</v>
      </c>
      <c r="AD59" s="412">
        <v>5506</v>
      </c>
      <c r="AE59" s="413">
        <v>267</v>
      </c>
      <c r="AF59" s="412">
        <v>5610</v>
      </c>
      <c r="AG59" s="413">
        <v>292</v>
      </c>
      <c r="AH59" s="412">
        <v>5579</v>
      </c>
      <c r="AI59" s="413">
        <v>245</v>
      </c>
      <c r="AJ59" s="412">
        <v>5481</v>
      </c>
      <c r="AK59" s="413">
        <v>250</v>
      </c>
      <c r="AL59" s="412">
        <v>5509</v>
      </c>
      <c r="AM59" s="413">
        <v>328</v>
      </c>
      <c r="AN59" s="414">
        <v>5637</v>
      </c>
      <c r="AO59" s="413">
        <v>542</v>
      </c>
      <c r="AP59" s="412">
        <v>5351</v>
      </c>
      <c r="AQ59" s="413">
        <v>545</v>
      </c>
      <c r="AR59" s="415">
        <v>5283</v>
      </c>
      <c r="AS59" s="416">
        <v>485</v>
      </c>
      <c r="AT59" s="417">
        <v>5081</v>
      </c>
      <c r="AU59" s="418">
        <v>420</v>
      </c>
      <c r="AV59" s="417">
        <v>4979</v>
      </c>
      <c r="AW59" s="1322">
        <v>402</v>
      </c>
      <c r="AX59" s="1325">
        <v>5378</v>
      </c>
      <c r="AY59" s="1326">
        <v>320</v>
      </c>
      <c r="AZ59" s="1469">
        <v>5313</v>
      </c>
      <c r="BA59" s="1489">
        <v>276</v>
      </c>
      <c r="BB59" s="1469">
        <v>5252</v>
      </c>
      <c r="BC59" s="1489">
        <v>241</v>
      </c>
    </row>
    <row r="60" spans="1:55" ht="15" customHeight="1" x14ac:dyDescent="0.25">
      <c r="A60" s="403" t="s">
        <v>140</v>
      </c>
      <c r="B60" s="419" t="s">
        <v>141</v>
      </c>
      <c r="C60" s="187" t="s">
        <v>267</v>
      </c>
      <c r="D60" s="405">
        <f t="shared" si="32"/>
        <v>1.763803680981595E-2</v>
      </c>
      <c r="E60" s="406">
        <f t="shared" si="33"/>
        <v>2.2172949002217297E-2</v>
      </c>
      <c r="F60" s="407">
        <f t="shared" si="17"/>
        <v>4.2871385842472583E-2</v>
      </c>
      <c r="G60" s="407">
        <f t="shared" si="34"/>
        <v>3.8482834994462901E-2</v>
      </c>
      <c r="H60" s="407">
        <f t="shared" si="35"/>
        <v>2.962650940746981E-2</v>
      </c>
      <c r="I60" s="407">
        <f t="shared" si="36"/>
        <v>3.0479357162648935E-2</v>
      </c>
      <c r="J60" s="407">
        <f t="shared" si="37"/>
        <v>2.622545654263353E-2</v>
      </c>
      <c r="K60" s="407">
        <f t="shared" si="38"/>
        <v>2.6923602569359027E-2</v>
      </c>
      <c r="L60" s="407">
        <f t="shared" si="39"/>
        <v>3.7506745817593092E-2</v>
      </c>
      <c r="M60" s="407">
        <f t="shared" si="40"/>
        <v>6.3766948583702507E-2</v>
      </c>
      <c r="N60" s="407">
        <f t="shared" si="41"/>
        <v>6.3250488690309969E-2</v>
      </c>
      <c r="O60" s="408">
        <f t="shared" si="42"/>
        <v>5.20586182833217E-2</v>
      </c>
      <c r="P60" s="409">
        <f t="shared" si="43"/>
        <v>4.5466631215102367E-2</v>
      </c>
      <c r="Q60" s="1313">
        <f t="shared" si="44"/>
        <v>4.265213925059793E-2</v>
      </c>
      <c r="R60" s="1316">
        <f t="shared" si="45"/>
        <v>4.0224380900259954E-2</v>
      </c>
      <c r="S60" s="1483">
        <f t="shared" si="31"/>
        <v>3.4935718278367806E-2</v>
      </c>
      <c r="T60" s="1483">
        <f t="shared" si="30"/>
        <v>3.0771372876636033E-2</v>
      </c>
      <c r="U60" s="216"/>
      <c r="V60" s="410">
        <v>6520</v>
      </c>
      <c r="W60" s="411">
        <v>115</v>
      </c>
      <c r="X60" s="412">
        <v>6765</v>
      </c>
      <c r="Y60" s="413">
        <v>150</v>
      </c>
      <c r="Z60" s="412">
        <v>7021</v>
      </c>
      <c r="AA60" s="413">
        <v>301</v>
      </c>
      <c r="AB60" s="412">
        <v>7224</v>
      </c>
      <c r="AC60" s="413">
        <v>278</v>
      </c>
      <c r="AD60" s="412">
        <v>7122</v>
      </c>
      <c r="AE60" s="413">
        <v>211</v>
      </c>
      <c r="AF60" s="412">
        <v>7218</v>
      </c>
      <c r="AG60" s="413">
        <v>220</v>
      </c>
      <c r="AH60" s="412">
        <v>7283</v>
      </c>
      <c r="AI60" s="413">
        <v>191</v>
      </c>
      <c r="AJ60" s="412">
        <v>7317</v>
      </c>
      <c r="AK60" s="413">
        <v>197</v>
      </c>
      <c r="AL60" s="412">
        <v>7412</v>
      </c>
      <c r="AM60" s="413">
        <v>278</v>
      </c>
      <c r="AN60" s="414">
        <v>7449</v>
      </c>
      <c r="AO60" s="413">
        <v>475</v>
      </c>
      <c r="AP60" s="412">
        <v>7162</v>
      </c>
      <c r="AQ60" s="413">
        <v>453</v>
      </c>
      <c r="AR60" s="415">
        <v>7165</v>
      </c>
      <c r="AS60" s="416">
        <v>373</v>
      </c>
      <c r="AT60" s="417">
        <v>7522</v>
      </c>
      <c r="AU60" s="418">
        <v>342</v>
      </c>
      <c r="AV60" s="417">
        <v>7526</v>
      </c>
      <c r="AW60" s="1322">
        <v>321</v>
      </c>
      <c r="AX60" s="1325">
        <v>7309</v>
      </c>
      <c r="AY60" s="1326">
        <v>294</v>
      </c>
      <c r="AZ60" s="1469">
        <v>7156</v>
      </c>
      <c r="BA60" s="1489">
        <v>250</v>
      </c>
      <c r="BB60" s="1469">
        <v>7182</v>
      </c>
      <c r="BC60" s="1489">
        <v>221</v>
      </c>
    </row>
    <row r="61" spans="1:55" ht="15" customHeight="1" x14ac:dyDescent="0.25">
      <c r="A61" s="403" t="s">
        <v>146</v>
      </c>
      <c r="B61" s="419" t="s">
        <v>147</v>
      </c>
      <c r="C61" s="187" t="s">
        <v>264</v>
      </c>
      <c r="D61" s="405">
        <f t="shared" si="32"/>
        <v>2.1733994802740374E-2</v>
      </c>
      <c r="E61" s="406">
        <f t="shared" si="33"/>
        <v>2.9737206085753802E-2</v>
      </c>
      <c r="F61" s="407">
        <f t="shared" si="17"/>
        <v>3.9595050618672668E-2</v>
      </c>
      <c r="G61" s="407">
        <f t="shared" si="34"/>
        <v>3.1839890834659997E-2</v>
      </c>
      <c r="H61" s="407">
        <f t="shared" si="35"/>
        <v>2.9741477922672156E-2</v>
      </c>
      <c r="I61" s="407">
        <f t="shared" si="36"/>
        <v>2.9830508474576273E-2</v>
      </c>
      <c r="J61" s="407">
        <f t="shared" si="37"/>
        <v>2.600313830979601E-2</v>
      </c>
      <c r="K61" s="407">
        <f t="shared" si="38"/>
        <v>2.5652667423382521E-2</v>
      </c>
      <c r="L61" s="407">
        <f t="shared" si="39"/>
        <v>3.5523978685612786E-2</v>
      </c>
      <c r="M61" s="407">
        <f t="shared" si="40"/>
        <v>5.72940635066728E-2</v>
      </c>
      <c r="N61" s="407">
        <f t="shared" si="41"/>
        <v>6.1697247706422022E-2</v>
      </c>
      <c r="O61" s="408">
        <f t="shared" si="42"/>
        <v>6.3593004769475353E-2</v>
      </c>
      <c r="P61" s="409">
        <f t="shared" si="43"/>
        <v>5.340143951706524E-2</v>
      </c>
      <c r="Q61" s="1313">
        <f t="shared" si="44"/>
        <v>4.8081368469717986E-2</v>
      </c>
      <c r="R61" s="1316">
        <f t="shared" si="45"/>
        <v>4.6444816854201577E-2</v>
      </c>
      <c r="S61" s="1483">
        <f t="shared" si="31"/>
        <v>4.1646371164150021E-2</v>
      </c>
      <c r="T61" s="1483">
        <f t="shared" si="30"/>
        <v>3.9586919104991396E-2</v>
      </c>
      <c r="U61" s="216"/>
      <c r="V61" s="410">
        <v>4233</v>
      </c>
      <c r="W61" s="411">
        <v>92</v>
      </c>
      <c r="X61" s="412">
        <v>4338</v>
      </c>
      <c r="Y61" s="413">
        <v>129</v>
      </c>
      <c r="Z61" s="412">
        <v>4445</v>
      </c>
      <c r="AA61" s="413">
        <v>176</v>
      </c>
      <c r="AB61" s="412">
        <v>4397</v>
      </c>
      <c r="AC61" s="413">
        <v>140</v>
      </c>
      <c r="AD61" s="412">
        <v>4371</v>
      </c>
      <c r="AE61" s="413">
        <v>130</v>
      </c>
      <c r="AF61" s="412">
        <v>4425</v>
      </c>
      <c r="AG61" s="413">
        <v>132</v>
      </c>
      <c r="AH61" s="412">
        <v>4461</v>
      </c>
      <c r="AI61" s="413">
        <v>116</v>
      </c>
      <c r="AJ61" s="412">
        <v>4405</v>
      </c>
      <c r="AK61" s="413">
        <v>113</v>
      </c>
      <c r="AL61" s="412">
        <v>4504</v>
      </c>
      <c r="AM61" s="413">
        <v>160</v>
      </c>
      <c r="AN61" s="414">
        <v>4346</v>
      </c>
      <c r="AO61" s="413">
        <v>249</v>
      </c>
      <c r="AP61" s="412">
        <v>4360</v>
      </c>
      <c r="AQ61" s="413">
        <v>269</v>
      </c>
      <c r="AR61" s="415">
        <v>4403</v>
      </c>
      <c r="AS61" s="416">
        <v>280</v>
      </c>
      <c r="AT61" s="417">
        <v>4307</v>
      </c>
      <c r="AU61" s="418">
        <v>230</v>
      </c>
      <c r="AV61" s="417">
        <v>4326</v>
      </c>
      <c r="AW61" s="1322">
        <v>208</v>
      </c>
      <c r="AX61" s="1325">
        <v>4177</v>
      </c>
      <c r="AY61" s="1326">
        <v>194</v>
      </c>
      <c r="AZ61" s="1469">
        <v>4106</v>
      </c>
      <c r="BA61" s="1489">
        <v>171</v>
      </c>
      <c r="BB61" s="1469">
        <v>4067</v>
      </c>
      <c r="BC61" s="1489">
        <v>161</v>
      </c>
    </row>
    <row r="62" spans="1:55" ht="15" customHeight="1" x14ac:dyDescent="0.25">
      <c r="A62" s="403" t="s">
        <v>148</v>
      </c>
      <c r="B62" s="419" t="s">
        <v>149</v>
      </c>
      <c r="C62" s="187" t="s">
        <v>265</v>
      </c>
      <c r="D62" s="405">
        <f t="shared" si="32"/>
        <v>3.340631400522636E-2</v>
      </c>
      <c r="E62" s="406">
        <f t="shared" si="33"/>
        <v>5.8173315382980234E-2</v>
      </c>
      <c r="F62" s="407">
        <f t="shared" si="17"/>
        <v>0.10162544169611308</v>
      </c>
      <c r="G62" s="407">
        <f t="shared" si="34"/>
        <v>9.3296575739988397E-2</v>
      </c>
      <c r="H62" s="407">
        <f t="shared" si="35"/>
        <v>6.651029055690072E-2</v>
      </c>
      <c r="I62" s="407">
        <f t="shared" si="36"/>
        <v>6.0959987943636502E-2</v>
      </c>
      <c r="J62" s="407">
        <f t="shared" si="37"/>
        <v>5.2238805970149252E-2</v>
      </c>
      <c r="K62" s="407">
        <f t="shared" si="38"/>
        <v>5.0879731891233147E-2</v>
      </c>
      <c r="L62" s="407">
        <f t="shared" si="39"/>
        <v>6.5568906690402023E-2</v>
      </c>
      <c r="M62" s="407">
        <f t="shared" si="40"/>
        <v>0.11300594395697708</v>
      </c>
      <c r="N62" s="407">
        <f t="shared" si="41"/>
        <v>0.11956761526582838</v>
      </c>
      <c r="O62" s="408">
        <f t="shared" si="42"/>
        <v>0.10824017176278966</v>
      </c>
      <c r="P62" s="409">
        <f t="shared" si="43"/>
        <v>9.8811465858774178E-2</v>
      </c>
      <c r="Q62" s="1313">
        <f t="shared" si="44"/>
        <v>9.8816809465524277E-2</v>
      </c>
      <c r="R62" s="1316">
        <f t="shared" si="45"/>
        <v>7.7450903068065305E-2</v>
      </c>
      <c r="S62" s="1483">
        <f t="shared" si="31"/>
        <v>6.1691939345570629E-2</v>
      </c>
      <c r="T62" s="1483">
        <f t="shared" si="30"/>
        <v>5.6199677938808375E-2</v>
      </c>
      <c r="U62" s="216"/>
      <c r="V62" s="410">
        <v>14159</v>
      </c>
      <c r="W62" s="411">
        <v>473</v>
      </c>
      <c r="X62" s="412">
        <v>14113</v>
      </c>
      <c r="Y62" s="413">
        <v>821</v>
      </c>
      <c r="Z62" s="412">
        <v>14150</v>
      </c>
      <c r="AA62" s="413">
        <v>1438</v>
      </c>
      <c r="AB62" s="412">
        <v>13784</v>
      </c>
      <c r="AC62" s="413">
        <v>1286</v>
      </c>
      <c r="AD62" s="412">
        <v>13216</v>
      </c>
      <c r="AE62" s="413">
        <v>879</v>
      </c>
      <c r="AF62" s="412">
        <v>13271</v>
      </c>
      <c r="AG62" s="413">
        <v>809</v>
      </c>
      <c r="AH62" s="412">
        <v>13132</v>
      </c>
      <c r="AI62" s="413">
        <v>686</v>
      </c>
      <c r="AJ62" s="412">
        <v>13129</v>
      </c>
      <c r="AK62" s="413">
        <v>668</v>
      </c>
      <c r="AL62" s="412">
        <v>13482</v>
      </c>
      <c r="AM62" s="413">
        <v>884</v>
      </c>
      <c r="AN62" s="414">
        <v>14132</v>
      </c>
      <c r="AO62" s="413">
        <v>1597</v>
      </c>
      <c r="AP62" s="412">
        <v>13599</v>
      </c>
      <c r="AQ62" s="413">
        <v>1626</v>
      </c>
      <c r="AR62" s="415">
        <v>13507</v>
      </c>
      <c r="AS62" s="416">
        <v>1462</v>
      </c>
      <c r="AT62" s="417">
        <v>12873</v>
      </c>
      <c r="AU62" s="418">
        <v>1272</v>
      </c>
      <c r="AV62" s="417">
        <v>12255</v>
      </c>
      <c r="AW62" s="1322">
        <v>1211</v>
      </c>
      <c r="AX62" s="1325">
        <v>12679</v>
      </c>
      <c r="AY62" s="1326">
        <v>982</v>
      </c>
      <c r="AZ62" s="1469">
        <v>12530</v>
      </c>
      <c r="BA62" s="1489">
        <v>773</v>
      </c>
      <c r="BB62" s="1469">
        <v>12420</v>
      </c>
      <c r="BC62" s="1489">
        <v>698</v>
      </c>
    </row>
    <row r="63" spans="1:55" ht="15" customHeight="1" x14ac:dyDescent="0.25">
      <c r="A63" s="403" t="s">
        <v>150</v>
      </c>
      <c r="B63" s="419" t="s">
        <v>151</v>
      </c>
      <c r="C63" s="187" t="s">
        <v>266</v>
      </c>
      <c r="D63" s="405">
        <f t="shared" si="32"/>
        <v>2.0810272304626964E-2</v>
      </c>
      <c r="E63" s="406">
        <f t="shared" si="33"/>
        <v>2.6446997615434641E-2</v>
      </c>
      <c r="F63" s="407">
        <f t="shared" si="17"/>
        <v>3.2969340613187736E-2</v>
      </c>
      <c r="G63" s="407">
        <f t="shared" si="34"/>
        <v>3.4897959183673471E-2</v>
      </c>
      <c r="H63" s="407">
        <f t="shared" si="35"/>
        <v>3.3400809716599193E-2</v>
      </c>
      <c r="I63" s="407">
        <f t="shared" si="36"/>
        <v>3.4959510171834879E-2</v>
      </c>
      <c r="J63" s="407">
        <f t="shared" si="37"/>
        <v>3.1583103039873668E-2</v>
      </c>
      <c r="K63" s="407">
        <f t="shared" si="38"/>
        <v>3.0296990233207095E-2</v>
      </c>
      <c r="L63" s="407">
        <f t="shared" si="39"/>
        <v>3.834176722460101E-2</v>
      </c>
      <c r="M63" s="407">
        <f t="shared" si="40"/>
        <v>6.9038461538461535E-2</v>
      </c>
      <c r="N63" s="407">
        <f t="shared" si="41"/>
        <v>7.4390001983733384E-2</v>
      </c>
      <c r="O63" s="408">
        <f t="shared" si="42"/>
        <v>6.6772655007949128E-2</v>
      </c>
      <c r="P63" s="409">
        <f t="shared" si="43"/>
        <v>6.1987602479504099E-2</v>
      </c>
      <c r="Q63" s="1313">
        <f t="shared" si="44"/>
        <v>5.7927440368811388E-2</v>
      </c>
      <c r="R63" s="1316">
        <f t="shared" si="45"/>
        <v>5.0730359257797078E-2</v>
      </c>
      <c r="S63" s="1483">
        <f t="shared" si="31"/>
        <v>4.2937399678972712E-2</v>
      </c>
      <c r="T63" s="1483">
        <f t="shared" si="30"/>
        <v>3.7713139418254764E-2</v>
      </c>
      <c r="U63" s="216"/>
      <c r="V63" s="410">
        <v>4517</v>
      </c>
      <c r="W63" s="411">
        <v>94</v>
      </c>
      <c r="X63" s="412">
        <v>4613</v>
      </c>
      <c r="Y63" s="413">
        <v>122</v>
      </c>
      <c r="Z63" s="412">
        <v>4762</v>
      </c>
      <c r="AA63" s="413">
        <v>157</v>
      </c>
      <c r="AB63" s="412">
        <v>4900</v>
      </c>
      <c r="AC63" s="413">
        <v>171</v>
      </c>
      <c r="AD63" s="412">
        <v>4940</v>
      </c>
      <c r="AE63" s="413">
        <v>165</v>
      </c>
      <c r="AF63" s="412">
        <v>5063</v>
      </c>
      <c r="AG63" s="413">
        <v>177</v>
      </c>
      <c r="AH63" s="412">
        <v>5066</v>
      </c>
      <c r="AI63" s="413">
        <v>160</v>
      </c>
      <c r="AJ63" s="412">
        <v>5017</v>
      </c>
      <c r="AK63" s="413">
        <v>152</v>
      </c>
      <c r="AL63" s="412">
        <v>5138</v>
      </c>
      <c r="AM63" s="413">
        <v>197</v>
      </c>
      <c r="AN63" s="414">
        <v>5200</v>
      </c>
      <c r="AO63" s="413">
        <v>359</v>
      </c>
      <c r="AP63" s="412">
        <v>5041</v>
      </c>
      <c r="AQ63" s="413">
        <v>375</v>
      </c>
      <c r="AR63" s="415">
        <v>5032</v>
      </c>
      <c r="AS63" s="416">
        <v>336</v>
      </c>
      <c r="AT63" s="417">
        <v>5001</v>
      </c>
      <c r="AU63" s="418">
        <v>310</v>
      </c>
      <c r="AV63" s="417">
        <v>4989</v>
      </c>
      <c r="AW63" s="1322">
        <v>289</v>
      </c>
      <c r="AX63" s="1325">
        <v>5066</v>
      </c>
      <c r="AY63" s="1326">
        <v>257</v>
      </c>
      <c r="AZ63" s="1469">
        <v>4984</v>
      </c>
      <c r="BA63" s="1489">
        <v>214</v>
      </c>
      <c r="BB63" s="1469">
        <v>4985</v>
      </c>
      <c r="BC63" s="1489">
        <v>188</v>
      </c>
    </row>
    <row r="64" spans="1:55" ht="15" customHeight="1" x14ac:dyDescent="0.25">
      <c r="A64" s="403" t="s">
        <v>152</v>
      </c>
      <c r="B64" s="419" t="s">
        <v>153</v>
      </c>
      <c r="C64" s="187" t="s">
        <v>268</v>
      </c>
      <c r="D64" s="405">
        <f t="shared" si="32"/>
        <v>2.5115224410322136E-2</v>
      </c>
      <c r="E64" s="406">
        <f t="shared" si="33"/>
        <v>3.2999901931940766E-2</v>
      </c>
      <c r="F64" s="407">
        <f t="shared" si="17"/>
        <v>3.9803629012850748E-2</v>
      </c>
      <c r="G64" s="407">
        <f t="shared" si="34"/>
        <v>3.7969689233411472E-2</v>
      </c>
      <c r="H64" s="407">
        <f t="shared" si="35"/>
        <v>3.6267025547021832E-2</v>
      </c>
      <c r="I64" s="407">
        <f t="shared" si="36"/>
        <v>3.544187118331605E-2</v>
      </c>
      <c r="J64" s="407">
        <f t="shared" si="37"/>
        <v>3.0656699990828214E-2</v>
      </c>
      <c r="K64" s="407">
        <f t="shared" si="38"/>
        <v>3.2284411371009826E-2</v>
      </c>
      <c r="L64" s="407">
        <f t="shared" si="39"/>
        <v>4.0866536033093835E-2</v>
      </c>
      <c r="M64" s="407">
        <f t="shared" si="40"/>
        <v>7.2259026894221909E-2</v>
      </c>
      <c r="N64" s="407">
        <f t="shared" si="41"/>
        <v>7.4622651753719182E-2</v>
      </c>
      <c r="O64" s="408">
        <f t="shared" si="42"/>
        <v>6.6477477286685446E-2</v>
      </c>
      <c r="P64" s="409">
        <f t="shared" si="43"/>
        <v>6.0118189980997723E-2</v>
      </c>
      <c r="Q64" s="1313">
        <f t="shared" si="44"/>
        <v>5.5163474002592541E-2</v>
      </c>
      <c r="R64" s="1316">
        <f t="shared" si="45"/>
        <v>5.0468666043105334E-2</v>
      </c>
      <c r="S64" s="1483">
        <f t="shared" si="31"/>
        <v>4.3233082706766915E-2</v>
      </c>
      <c r="T64" s="1483">
        <f t="shared" si="30"/>
        <v>4.029568920493351E-2</v>
      </c>
      <c r="U64" s="216"/>
      <c r="V64" s="410">
        <v>40573</v>
      </c>
      <c r="W64" s="411">
        <v>1019</v>
      </c>
      <c r="X64" s="412">
        <v>40788</v>
      </c>
      <c r="Y64" s="413">
        <v>1346</v>
      </c>
      <c r="Z64" s="412">
        <v>41554</v>
      </c>
      <c r="AA64" s="413">
        <v>1654</v>
      </c>
      <c r="AB64" s="412">
        <v>43087</v>
      </c>
      <c r="AC64" s="413">
        <v>1636</v>
      </c>
      <c r="AD64" s="412">
        <v>43097</v>
      </c>
      <c r="AE64" s="413">
        <v>1563</v>
      </c>
      <c r="AF64" s="412">
        <v>43395</v>
      </c>
      <c r="AG64" s="413">
        <v>1538</v>
      </c>
      <c r="AH64" s="412">
        <v>43612</v>
      </c>
      <c r="AI64" s="413">
        <v>1337</v>
      </c>
      <c r="AJ64" s="412">
        <v>44077</v>
      </c>
      <c r="AK64" s="413">
        <v>1423</v>
      </c>
      <c r="AL64" s="412">
        <v>45930</v>
      </c>
      <c r="AM64" s="413">
        <v>1877</v>
      </c>
      <c r="AN64" s="414">
        <v>45586</v>
      </c>
      <c r="AO64" s="413">
        <v>3294</v>
      </c>
      <c r="AP64" s="412">
        <v>46045</v>
      </c>
      <c r="AQ64" s="413">
        <v>3436</v>
      </c>
      <c r="AR64" s="415">
        <v>47219</v>
      </c>
      <c r="AS64" s="416">
        <v>3139</v>
      </c>
      <c r="AT64" s="417">
        <v>47889</v>
      </c>
      <c r="AU64" s="418">
        <v>2879</v>
      </c>
      <c r="AV64" s="417">
        <v>48601</v>
      </c>
      <c r="AW64" s="1322">
        <v>2681</v>
      </c>
      <c r="AX64" s="1325">
        <v>50249</v>
      </c>
      <c r="AY64" s="1326">
        <v>2536</v>
      </c>
      <c r="AZ64" s="1469">
        <v>50008</v>
      </c>
      <c r="BA64" s="1489">
        <v>2162</v>
      </c>
      <c r="BB64" s="1469">
        <v>49782</v>
      </c>
      <c r="BC64" s="1489">
        <v>2006</v>
      </c>
    </row>
    <row r="65" spans="1:55" ht="15" customHeight="1" x14ac:dyDescent="0.25">
      <c r="A65" s="403" t="s">
        <v>154</v>
      </c>
      <c r="B65" s="419" t="s">
        <v>155</v>
      </c>
      <c r="C65" s="187" t="s">
        <v>265</v>
      </c>
      <c r="D65" s="405">
        <f t="shared" si="32"/>
        <v>2.3172650550708052E-2</v>
      </c>
      <c r="E65" s="406">
        <f t="shared" si="33"/>
        <v>3.2717529262445352E-2</v>
      </c>
      <c r="F65" s="407">
        <f t="shared" si="17"/>
        <v>3.6289757601233014E-2</v>
      </c>
      <c r="G65" s="407">
        <f t="shared" si="34"/>
        <v>3.6341025286721014E-2</v>
      </c>
      <c r="H65" s="407">
        <f t="shared" si="35"/>
        <v>3.5563428259980927E-2</v>
      </c>
      <c r="I65" s="407">
        <f t="shared" si="36"/>
        <v>3.1990362735912194E-2</v>
      </c>
      <c r="J65" s="407">
        <f t="shared" si="37"/>
        <v>2.7439813616360342E-2</v>
      </c>
      <c r="K65" s="407">
        <f t="shared" si="38"/>
        <v>2.707856598016781E-2</v>
      </c>
      <c r="L65" s="407">
        <f t="shared" si="39"/>
        <v>3.5979228486646884E-2</v>
      </c>
      <c r="M65" s="407">
        <f t="shared" si="40"/>
        <v>6.6352474265161845E-2</v>
      </c>
      <c r="N65" s="407">
        <f t="shared" si="41"/>
        <v>6.859158609877189E-2</v>
      </c>
      <c r="O65" s="408">
        <f t="shared" si="42"/>
        <v>5.8162078324932143E-2</v>
      </c>
      <c r="P65" s="409">
        <f t="shared" si="43"/>
        <v>5.4675118858954042E-2</v>
      </c>
      <c r="Q65" s="1313">
        <f t="shared" si="44"/>
        <v>5.1527468205060968E-2</v>
      </c>
      <c r="R65" s="1316">
        <f t="shared" si="45"/>
        <v>4.8410692911291395E-2</v>
      </c>
      <c r="S65" s="1483">
        <f t="shared" si="31"/>
        <v>4.0311744154797095E-2</v>
      </c>
      <c r="T65" s="1483">
        <f t="shared" si="30"/>
        <v>3.558078360791915E-2</v>
      </c>
      <c r="U65" s="216"/>
      <c r="V65" s="410">
        <v>6991</v>
      </c>
      <c r="W65" s="411">
        <v>162</v>
      </c>
      <c r="X65" s="412">
        <v>7091</v>
      </c>
      <c r="Y65" s="413">
        <v>232</v>
      </c>
      <c r="Z65" s="412">
        <v>7137</v>
      </c>
      <c r="AA65" s="413">
        <v>259</v>
      </c>
      <c r="AB65" s="412">
        <v>7237</v>
      </c>
      <c r="AC65" s="413">
        <v>263</v>
      </c>
      <c r="AD65" s="412">
        <v>7339</v>
      </c>
      <c r="AE65" s="413">
        <v>261</v>
      </c>
      <c r="AF65" s="412">
        <v>7471</v>
      </c>
      <c r="AG65" s="413">
        <v>239</v>
      </c>
      <c r="AH65" s="412">
        <v>7726</v>
      </c>
      <c r="AI65" s="413">
        <v>212</v>
      </c>
      <c r="AJ65" s="412">
        <v>7866</v>
      </c>
      <c r="AK65" s="413">
        <v>213</v>
      </c>
      <c r="AL65" s="412">
        <v>8088</v>
      </c>
      <c r="AM65" s="413">
        <v>291</v>
      </c>
      <c r="AN65" s="414">
        <v>8063</v>
      </c>
      <c r="AO65" s="413">
        <v>535</v>
      </c>
      <c r="AP65" s="412">
        <v>7654</v>
      </c>
      <c r="AQ65" s="413">
        <v>525</v>
      </c>
      <c r="AR65" s="415">
        <v>7737</v>
      </c>
      <c r="AS65" s="416">
        <v>450</v>
      </c>
      <c r="AT65" s="417">
        <v>7572</v>
      </c>
      <c r="AU65" s="418">
        <v>414</v>
      </c>
      <c r="AV65" s="417">
        <v>7627</v>
      </c>
      <c r="AW65" s="1322">
        <v>393</v>
      </c>
      <c r="AX65" s="1325">
        <v>7519</v>
      </c>
      <c r="AY65" s="1326">
        <v>364</v>
      </c>
      <c r="AZ65" s="1469">
        <v>7442</v>
      </c>
      <c r="BA65" s="1489">
        <v>300</v>
      </c>
      <c r="BB65" s="1469">
        <v>7223</v>
      </c>
      <c r="BC65" s="1489">
        <v>257</v>
      </c>
    </row>
    <row r="66" spans="1:55" ht="15" customHeight="1" x14ac:dyDescent="0.25">
      <c r="A66" s="403" t="s">
        <v>156</v>
      </c>
      <c r="B66" s="419" t="s">
        <v>157</v>
      </c>
      <c r="C66" s="187" t="s">
        <v>266</v>
      </c>
      <c r="D66" s="405">
        <f t="shared" si="32"/>
        <v>1.8191841234840134E-2</v>
      </c>
      <c r="E66" s="406">
        <f t="shared" si="33"/>
        <v>2.9976019184652279E-2</v>
      </c>
      <c r="F66" s="407">
        <f t="shared" si="17"/>
        <v>3.6105738233397806E-2</v>
      </c>
      <c r="G66" s="407">
        <f t="shared" si="34"/>
        <v>3.6813592711154891E-2</v>
      </c>
      <c r="H66" s="407">
        <f t="shared" si="35"/>
        <v>3.3721066854658678E-2</v>
      </c>
      <c r="I66" s="407">
        <f t="shared" si="36"/>
        <v>3.1991860728012661E-2</v>
      </c>
      <c r="J66" s="407">
        <f t="shared" si="37"/>
        <v>2.7370689655172413E-2</v>
      </c>
      <c r="K66" s="407">
        <f t="shared" si="38"/>
        <v>2.7327070879590094E-2</v>
      </c>
      <c r="L66" s="407">
        <f t="shared" si="39"/>
        <v>3.5919106549954727E-2</v>
      </c>
      <c r="M66" s="407">
        <f t="shared" si="40"/>
        <v>7.2193053311793209E-2</v>
      </c>
      <c r="N66" s="407">
        <f t="shared" si="41"/>
        <v>7.7038971474487752E-2</v>
      </c>
      <c r="O66" s="408">
        <f t="shared" si="42"/>
        <v>6.6497164091531391E-2</v>
      </c>
      <c r="P66" s="409">
        <f t="shared" si="43"/>
        <v>5.6865197729240834E-2</v>
      </c>
      <c r="Q66" s="1313">
        <f t="shared" si="44"/>
        <v>5.2762141017078525E-2</v>
      </c>
      <c r="R66" s="1316">
        <f t="shared" si="45"/>
        <v>4.5138888888888888E-2</v>
      </c>
      <c r="S66" s="1483">
        <f t="shared" si="31"/>
        <v>3.8035714285714284E-2</v>
      </c>
      <c r="T66" s="1483">
        <f t="shared" si="30"/>
        <v>3.3818984547461371E-2</v>
      </c>
      <c r="U66" s="216"/>
      <c r="V66" s="410">
        <v>7256</v>
      </c>
      <c r="W66" s="411">
        <v>132</v>
      </c>
      <c r="X66" s="412">
        <v>7506</v>
      </c>
      <c r="Y66" s="413">
        <v>225</v>
      </c>
      <c r="Z66" s="412">
        <v>7755</v>
      </c>
      <c r="AA66" s="413">
        <v>280</v>
      </c>
      <c r="AB66" s="412">
        <v>8122</v>
      </c>
      <c r="AC66" s="413">
        <v>299</v>
      </c>
      <c r="AD66" s="412">
        <v>8511</v>
      </c>
      <c r="AE66" s="413">
        <v>287</v>
      </c>
      <c r="AF66" s="412">
        <v>8846</v>
      </c>
      <c r="AG66" s="413">
        <v>283</v>
      </c>
      <c r="AH66" s="412">
        <v>9280</v>
      </c>
      <c r="AI66" s="413">
        <v>254</v>
      </c>
      <c r="AJ66" s="412">
        <v>9368</v>
      </c>
      <c r="AK66" s="413">
        <v>256</v>
      </c>
      <c r="AL66" s="412">
        <v>9939</v>
      </c>
      <c r="AM66" s="413">
        <v>357</v>
      </c>
      <c r="AN66" s="414">
        <v>9904</v>
      </c>
      <c r="AO66" s="413">
        <v>715</v>
      </c>
      <c r="AP66" s="412">
        <v>9956</v>
      </c>
      <c r="AQ66" s="413">
        <v>767</v>
      </c>
      <c r="AR66" s="415">
        <v>10226</v>
      </c>
      <c r="AS66" s="416">
        <v>680</v>
      </c>
      <c r="AT66" s="417">
        <v>10393</v>
      </c>
      <c r="AU66" s="418">
        <v>591</v>
      </c>
      <c r="AV66" s="417">
        <v>10481</v>
      </c>
      <c r="AW66" s="1322">
        <v>553</v>
      </c>
      <c r="AX66" s="1325">
        <v>10944</v>
      </c>
      <c r="AY66" s="1326">
        <v>494</v>
      </c>
      <c r="AZ66" s="1469">
        <v>11200</v>
      </c>
      <c r="BA66" s="1489">
        <v>426</v>
      </c>
      <c r="BB66" s="1469">
        <v>11325</v>
      </c>
      <c r="BC66" s="1489">
        <v>383</v>
      </c>
    </row>
    <row r="67" spans="1:55" ht="15" customHeight="1" x14ac:dyDescent="0.25">
      <c r="A67" s="403" t="s">
        <v>162</v>
      </c>
      <c r="B67" s="419" t="s">
        <v>163</v>
      </c>
      <c r="C67" s="187" t="s">
        <v>264</v>
      </c>
      <c r="D67" s="405">
        <f t="shared" si="32"/>
        <v>2.6400862068965518E-2</v>
      </c>
      <c r="E67" s="406">
        <f t="shared" si="33"/>
        <v>3.6663124335812966E-2</v>
      </c>
      <c r="F67" s="407">
        <f t="shared" si="17"/>
        <v>5.0643631436314361E-2</v>
      </c>
      <c r="G67" s="407">
        <f t="shared" si="34"/>
        <v>4.8395143854980872E-2</v>
      </c>
      <c r="H67" s="407">
        <f t="shared" si="35"/>
        <v>4.6182060686895635E-2</v>
      </c>
      <c r="I67" s="407">
        <f t="shared" si="36"/>
        <v>5.0764834425953941E-2</v>
      </c>
      <c r="J67" s="407">
        <f t="shared" si="37"/>
        <v>4.3767029972752045E-2</v>
      </c>
      <c r="K67" s="407">
        <f t="shared" si="38"/>
        <v>4.0809443507588535E-2</v>
      </c>
      <c r="L67" s="407">
        <f t="shared" si="39"/>
        <v>5.4411764705882354E-2</v>
      </c>
      <c r="M67" s="407">
        <f t="shared" si="40"/>
        <v>7.9493987193503049E-2</v>
      </c>
      <c r="N67" s="407">
        <f t="shared" si="41"/>
        <v>7.9508825786646198E-2</v>
      </c>
      <c r="O67" s="408">
        <f t="shared" si="42"/>
        <v>8.4870271959987489E-2</v>
      </c>
      <c r="P67" s="409">
        <f t="shared" si="43"/>
        <v>8.7836760720548385E-2</v>
      </c>
      <c r="Q67" s="1313">
        <f t="shared" si="44"/>
        <v>7.6622106292794256E-2</v>
      </c>
      <c r="R67" s="1316">
        <f t="shared" si="45"/>
        <v>7.434210526315789E-2</v>
      </c>
      <c r="S67" s="1483">
        <f t="shared" si="31"/>
        <v>6.1281337047353758E-2</v>
      </c>
      <c r="T67" s="1483">
        <f t="shared" si="30"/>
        <v>5.7239627434377646E-2</v>
      </c>
      <c r="U67" s="216"/>
      <c r="V67" s="410">
        <v>5568</v>
      </c>
      <c r="W67" s="411">
        <v>147</v>
      </c>
      <c r="X67" s="412">
        <v>5646</v>
      </c>
      <c r="Y67" s="413">
        <v>207</v>
      </c>
      <c r="Z67" s="412">
        <v>5904</v>
      </c>
      <c r="AA67" s="413">
        <v>299</v>
      </c>
      <c r="AB67" s="412">
        <v>6013</v>
      </c>
      <c r="AC67" s="413">
        <v>291</v>
      </c>
      <c r="AD67" s="412">
        <v>5998</v>
      </c>
      <c r="AE67" s="413">
        <v>277</v>
      </c>
      <c r="AF67" s="412">
        <v>5949</v>
      </c>
      <c r="AG67" s="413">
        <v>302</v>
      </c>
      <c r="AH67" s="412">
        <v>5872</v>
      </c>
      <c r="AI67" s="413">
        <v>257</v>
      </c>
      <c r="AJ67" s="412">
        <v>5930</v>
      </c>
      <c r="AK67" s="413">
        <v>242</v>
      </c>
      <c r="AL67" s="412">
        <v>6120</v>
      </c>
      <c r="AM67" s="413">
        <v>333</v>
      </c>
      <c r="AN67" s="414">
        <v>6403</v>
      </c>
      <c r="AO67" s="413">
        <v>509</v>
      </c>
      <c r="AP67" s="412">
        <v>6515</v>
      </c>
      <c r="AQ67" s="413">
        <v>518</v>
      </c>
      <c r="AR67" s="415">
        <v>6398</v>
      </c>
      <c r="AS67" s="416">
        <v>543</v>
      </c>
      <c r="AT67" s="417">
        <v>6273</v>
      </c>
      <c r="AU67" s="418">
        <v>551</v>
      </c>
      <c r="AV67" s="417">
        <v>6134</v>
      </c>
      <c r="AW67" s="1322">
        <v>470</v>
      </c>
      <c r="AX67" s="1325">
        <v>6080</v>
      </c>
      <c r="AY67" s="1326">
        <v>452</v>
      </c>
      <c r="AZ67" s="1469">
        <v>6103</v>
      </c>
      <c r="BA67" s="1489">
        <v>374</v>
      </c>
      <c r="BB67" s="1469">
        <v>5905</v>
      </c>
      <c r="BC67" s="1489">
        <v>338</v>
      </c>
    </row>
    <row r="68" spans="1:55" ht="15" customHeight="1" x14ac:dyDescent="0.25">
      <c r="A68" s="403" t="s">
        <v>164</v>
      </c>
      <c r="B68" s="419" t="s">
        <v>165</v>
      </c>
      <c r="C68" s="187" t="s">
        <v>266</v>
      </c>
      <c r="D68" s="405">
        <f t="shared" si="32"/>
        <v>4.4781643227239085E-2</v>
      </c>
      <c r="E68" s="406">
        <f t="shared" si="33"/>
        <v>5.0200803212851405E-2</v>
      </c>
      <c r="F68" s="407">
        <f t="shared" si="17"/>
        <v>5.9432446903444583E-2</v>
      </c>
      <c r="G68" s="407">
        <f t="shared" si="34"/>
        <v>5.576012624934245E-2</v>
      </c>
      <c r="H68" s="407">
        <f t="shared" si="35"/>
        <v>4.9319163068747923E-2</v>
      </c>
      <c r="I68" s="407">
        <f t="shared" si="36"/>
        <v>4.7909120842937108E-2</v>
      </c>
      <c r="J68" s="407">
        <f t="shared" si="37"/>
        <v>4.1492387485360549E-2</v>
      </c>
      <c r="K68" s="407">
        <f t="shared" si="38"/>
        <v>4.3595809395065903E-2</v>
      </c>
      <c r="L68" s="407">
        <f t="shared" si="39"/>
        <v>5.695453777251986E-2</v>
      </c>
      <c r="M68" s="407">
        <f t="shared" si="40"/>
        <v>9.0257412838057993E-2</v>
      </c>
      <c r="N68" s="407">
        <f t="shared" si="41"/>
        <v>8.7867522811760732E-2</v>
      </c>
      <c r="O68" s="408">
        <f t="shared" si="42"/>
        <v>9.1049382716049385E-2</v>
      </c>
      <c r="P68" s="409">
        <f t="shared" si="43"/>
        <v>8.409703504043127E-2</v>
      </c>
      <c r="Q68" s="1313">
        <f t="shared" si="44"/>
        <v>7.8127913481260483E-2</v>
      </c>
      <c r="R68" s="1316">
        <f t="shared" si="45"/>
        <v>7.0534297302063134E-2</v>
      </c>
      <c r="S68" s="1483">
        <f t="shared" ref="S68:S99" si="46">BA68/AZ68</f>
        <v>6.1687717371407651E-2</v>
      </c>
      <c r="T68" s="1483">
        <f t="shared" si="30"/>
        <v>5.4108584005869403E-2</v>
      </c>
      <c r="U68" s="216"/>
      <c r="V68" s="410">
        <v>5404</v>
      </c>
      <c r="W68" s="411">
        <v>242</v>
      </c>
      <c r="X68" s="412">
        <v>5478</v>
      </c>
      <c r="Y68" s="413">
        <v>275</v>
      </c>
      <c r="Z68" s="412">
        <v>5603</v>
      </c>
      <c r="AA68" s="413">
        <v>333</v>
      </c>
      <c r="AB68" s="412">
        <v>5703</v>
      </c>
      <c r="AC68" s="413">
        <v>318</v>
      </c>
      <c r="AD68" s="412">
        <v>6022</v>
      </c>
      <c r="AE68" s="413">
        <v>297</v>
      </c>
      <c r="AF68" s="412">
        <v>6074</v>
      </c>
      <c r="AG68" s="413">
        <v>291</v>
      </c>
      <c r="AH68" s="412">
        <v>5977</v>
      </c>
      <c r="AI68" s="413">
        <v>248</v>
      </c>
      <c r="AJ68" s="412">
        <v>5918</v>
      </c>
      <c r="AK68" s="413">
        <v>258</v>
      </c>
      <c r="AL68" s="412">
        <v>5917</v>
      </c>
      <c r="AM68" s="413">
        <v>337</v>
      </c>
      <c r="AN68" s="414">
        <v>6138</v>
      </c>
      <c r="AO68" s="413">
        <v>554</v>
      </c>
      <c r="AP68" s="412">
        <v>5918</v>
      </c>
      <c r="AQ68" s="413">
        <v>520</v>
      </c>
      <c r="AR68" s="415">
        <v>5832</v>
      </c>
      <c r="AS68" s="416">
        <v>531</v>
      </c>
      <c r="AT68" s="417">
        <v>5565</v>
      </c>
      <c r="AU68" s="418">
        <v>468</v>
      </c>
      <c r="AV68" s="417">
        <v>5363</v>
      </c>
      <c r="AW68" s="1322">
        <v>419</v>
      </c>
      <c r="AX68" s="1325">
        <v>5671</v>
      </c>
      <c r="AY68" s="1326">
        <v>400</v>
      </c>
      <c r="AZ68" s="1469">
        <v>5463</v>
      </c>
      <c r="BA68" s="1489">
        <v>337</v>
      </c>
      <c r="BB68" s="1469">
        <v>5452</v>
      </c>
      <c r="BC68" s="1489">
        <v>295</v>
      </c>
    </row>
    <row r="69" spans="1:55" ht="15" customHeight="1" x14ac:dyDescent="0.25">
      <c r="A69" s="403" t="s">
        <v>168</v>
      </c>
      <c r="B69" s="419" t="s">
        <v>169</v>
      </c>
      <c r="C69" s="187" t="s">
        <v>266</v>
      </c>
      <c r="D69" s="405">
        <f t="shared" ref="D69:D100" si="47">W69/V69</f>
        <v>2.9176854115729421E-2</v>
      </c>
      <c r="E69" s="406">
        <f t="shared" ref="E69:E100" si="48">Y69/X69</f>
        <v>3.9743589743589741E-2</v>
      </c>
      <c r="F69" s="407">
        <f t="shared" ref="F69:F124" si="49">AA69/Z69</f>
        <v>4.3866520444931847E-2</v>
      </c>
      <c r="G69" s="407">
        <f t="shared" ref="G69:G100" si="50">AC69/AB69</f>
        <v>4.4307692307692305E-2</v>
      </c>
      <c r="H69" s="407">
        <f t="shared" ref="H69:H100" si="51">AE69/AD69</f>
        <v>4.3662635464111824E-2</v>
      </c>
      <c r="I69" s="407">
        <f t="shared" ref="I69:I100" si="52">AG69/AF69</f>
        <v>4.5269423558897244E-2</v>
      </c>
      <c r="J69" s="407">
        <f t="shared" ref="J69:J100" si="53">AI69/AH69</f>
        <v>4.087659309916071E-2</v>
      </c>
      <c r="K69" s="407">
        <f t="shared" ref="K69:K100" si="54">AK69/AJ69</f>
        <v>3.9107852123434157E-2</v>
      </c>
      <c r="L69" s="407">
        <f t="shared" ref="L69:L100" si="55">AM69/AL69</f>
        <v>5.4873427315446414E-2</v>
      </c>
      <c r="M69" s="407">
        <f t="shared" ref="M69:M100" si="56">AO69/AN69</f>
        <v>8.3158210747523262E-2</v>
      </c>
      <c r="N69" s="407">
        <f t="shared" ref="N69:N100" si="57">AQ69/AP69</f>
        <v>8.5674375291013502E-2</v>
      </c>
      <c r="O69" s="408">
        <f t="shared" ref="O69:O100" si="58">AS69/AR69</f>
        <v>7.9480439152620999E-2</v>
      </c>
      <c r="P69" s="409">
        <f t="shared" ref="P69:P100" si="59">AU69/AT69</f>
        <v>7.2156862745098041E-2</v>
      </c>
      <c r="Q69" s="1313">
        <f t="shared" ref="Q69:Q100" si="60">AW69/AV69</f>
        <v>6.7989097516656577E-2</v>
      </c>
      <c r="R69" s="1316">
        <f t="shared" ref="R69:R100" si="61">AY69/AX69</f>
        <v>5.4225352112676053E-2</v>
      </c>
      <c r="S69" s="1483">
        <f t="shared" si="46"/>
        <v>4.5397401871769799E-2</v>
      </c>
      <c r="T69" s="1483">
        <f t="shared" ref="T69:T124" si="62">BC69/BB69</f>
        <v>3.943262411347518E-2</v>
      </c>
      <c r="U69" s="216"/>
      <c r="V69" s="410">
        <v>6135</v>
      </c>
      <c r="W69" s="411">
        <v>179</v>
      </c>
      <c r="X69" s="412">
        <v>6240</v>
      </c>
      <c r="Y69" s="413">
        <v>248</v>
      </c>
      <c r="Z69" s="412">
        <v>6383</v>
      </c>
      <c r="AA69" s="413">
        <v>280</v>
      </c>
      <c r="AB69" s="412">
        <v>6500</v>
      </c>
      <c r="AC69" s="413">
        <v>288</v>
      </c>
      <c r="AD69" s="412">
        <v>6367</v>
      </c>
      <c r="AE69" s="413">
        <v>278</v>
      </c>
      <c r="AF69" s="412">
        <v>6384</v>
      </c>
      <c r="AG69" s="413">
        <v>289</v>
      </c>
      <c r="AH69" s="412">
        <v>6434</v>
      </c>
      <c r="AI69" s="413">
        <v>263</v>
      </c>
      <c r="AJ69" s="412">
        <v>6546</v>
      </c>
      <c r="AK69" s="413">
        <v>256</v>
      </c>
      <c r="AL69" s="412">
        <v>6597</v>
      </c>
      <c r="AM69" s="413">
        <v>362</v>
      </c>
      <c r="AN69" s="414">
        <v>6662</v>
      </c>
      <c r="AO69" s="413">
        <v>554</v>
      </c>
      <c r="AP69" s="412">
        <v>6443</v>
      </c>
      <c r="AQ69" s="413">
        <v>552</v>
      </c>
      <c r="AR69" s="415">
        <v>6467</v>
      </c>
      <c r="AS69" s="416">
        <v>514</v>
      </c>
      <c r="AT69" s="417">
        <v>6375</v>
      </c>
      <c r="AU69" s="418">
        <v>460</v>
      </c>
      <c r="AV69" s="417">
        <v>6604</v>
      </c>
      <c r="AW69" s="1322">
        <v>449</v>
      </c>
      <c r="AX69" s="1325">
        <v>7100</v>
      </c>
      <c r="AY69" s="1326">
        <v>385</v>
      </c>
      <c r="AZ69" s="1469">
        <v>7159</v>
      </c>
      <c r="BA69" s="1489">
        <v>325</v>
      </c>
      <c r="BB69" s="1469">
        <v>7050</v>
      </c>
      <c r="BC69" s="1489">
        <v>278</v>
      </c>
    </row>
    <row r="70" spans="1:55" ht="15" customHeight="1" x14ac:dyDescent="0.25">
      <c r="A70" s="403" t="s">
        <v>170</v>
      </c>
      <c r="B70" s="419" t="s">
        <v>171</v>
      </c>
      <c r="C70" s="187" t="s">
        <v>267</v>
      </c>
      <c r="D70" s="405">
        <f t="shared" si="47"/>
        <v>2.0456520022115156E-2</v>
      </c>
      <c r="E70" s="406">
        <f t="shared" si="48"/>
        <v>2.6861268535051625E-2</v>
      </c>
      <c r="F70" s="407">
        <f t="shared" si="49"/>
        <v>4.4787297783103655E-2</v>
      </c>
      <c r="G70" s="407">
        <f t="shared" si="50"/>
        <v>3.9910829857615418E-2</v>
      </c>
      <c r="H70" s="407">
        <f t="shared" si="51"/>
        <v>3.3084386124101348E-2</v>
      </c>
      <c r="I70" s="407">
        <f t="shared" si="52"/>
        <v>3.1671753136656496E-2</v>
      </c>
      <c r="J70" s="407">
        <f t="shared" si="53"/>
        <v>3.014207940512548E-2</v>
      </c>
      <c r="K70" s="407">
        <f t="shared" si="54"/>
        <v>3.2243326153645321E-2</v>
      </c>
      <c r="L70" s="407">
        <f t="shared" si="55"/>
        <v>4.5871559633027525E-2</v>
      </c>
      <c r="M70" s="407">
        <f t="shared" si="56"/>
        <v>8.0060422960725075E-2</v>
      </c>
      <c r="N70" s="407">
        <f t="shared" si="57"/>
        <v>8.1804818815108329E-2</v>
      </c>
      <c r="O70" s="408">
        <f t="shared" si="58"/>
        <v>7.6596023024594451E-2</v>
      </c>
      <c r="P70" s="409">
        <f t="shared" si="59"/>
        <v>6.8258940224484463E-2</v>
      </c>
      <c r="Q70" s="1313">
        <f t="shared" si="60"/>
        <v>5.9647335922082885E-2</v>
      </c>
      <c r="R70" s="1316">
        <f t="shared" si="61"/>
        <v>5.2236047800911664E-2</v>
      </c>
      <c r="S70" s="1483">
        <f t="shared" si="46"/>
        <v>4.5838509316770186E-2</v>
      </c>
      <c r="T70" s="1483">
        <f t="shared" si="62"/>
        <v>4.0183206106870227E-2</v>
      </c>
      <c r="U70" s="216"/>
      <c r="V70" s="410">
        <v>12661</v>
      </c>
      <c r="W70" s="411">
        <v>259</v>
      </c>
      <c r="X70" s="412">
        <v>12881</v>
      </c>
      <c r="Y70" s="413">
        <v>346</v>
      </c>
      <c r="Z70" s="412">
        <v>13352</v>
      </c>
      <c r="AA70" s="413">
        <v>598</v>
      </c>
      <c r="AB70" s="412">
        <v>13906</v>
      </c>
      <c r="AC70" s="413">
        <v>555</v>
      </c>
      <c r="AD70" s="412">
        <v>14327</v>
      </c>
      <c r="AE70" s="413">
        <v>474</v>
      </c>
      <c r="AF70" s="412">
        <v>14745</v>
      </c>
      <c r="AG70" s="413">
        <v>467</v>
      </c>
      <c r="AH70" s="412">
        <v>15062</v>
      </c>
      <c r="AI70" s="413">
        <v>454</v>
      </c>
      <c r="AJ70" s="412">
        <v>15321</v>
      </c>
      <c r="AK70" s="413">
        <v>494</v>
      </c>
      <c r="AL70" s="412">
        <v>15696</v>
      </c>
      <c r="AM70" s="413">
        <v>720</v>
      </c>
      <c r="AN70" s="414">
        <v>15888</v>
      </c>
      <c r="AO70" s="413">
        <v>1272</v>
      </c>
      <c r="AP70" s="412">
        <v>15647</v>
      </c>
      <c r="AQ70" s="413">
        <v>1280</v>
      </c>
      <c r="AR70" s="415">
        <v>15288</v>
      </c>
      <c r="AS70" s="416">
        <v>1171</v>
      </c>
      <c r="AT70" s="417">
        <v>15324</v>
      </c>
      <c r="AU70" s="418">
        <v>1046</v>
      </c>
      <c r="AV70" s="417">
        <v>15709</v>
      </c>
      <c r="AW70" s="1322">
        <v>937</v>
      </c>
      <c r="AX70" s="1325">
        <v>16234</v>
      </c>
      <c r="AY70" s="1326">
        <v>848</v>
      </c>
      <c r="AZ70" s="1469">
        <v>16100</v>
      </c>
      <c r="BA70" s="1489">
        <v>738</v>
      </c>
      <c r="BB70" s="1469">
        <v>16375</v>
      </c>
      <c r="BC70" s="1489">
        <v>658</v>
      </c>
    </row>
    <row r="71" spans="1:55" ht="15" customHeight="1" x14ac:dyDescent="0.25">
      <c r="A71" s="403" t="s">
        <v>172</v>
      </c>
      <c r="B71" s="419" t="s">
        <v>173</v>
      </c>
      <c r="C71" s="187" t="s">
        <v>267</v>
      </c>
      <c r="D71" s="405">
        <f t="shared" si="47"/>
        <v>2.5956284153005466E-2</v>
      </c>
      <c r="E71" s="406">
        <f t="shared" si="48"/>
        <v>3.3432392273402674E-2</v>
      </c>
      <c r="F71" s="407">
        <f t="shared" si="49"/>
        <v>6.1209618654359969E-2</v>
      </c>
      <c r="G71" s="407">
        <f t="shared" si="50"/>
        <v>6.9630245118404654E-2</v>
      </c>
      <c r="H71" s="407">
        <f t="shared" si="51"/>
        <v>5.4213727193744572E-2</v>
      </c>
      <c r="I71" s="407">
        <f t="shared" si="52"/>
        <v>5.0856298356950359E-2</v>
      </c>
      <c r="J71" s="407">
        <f t="shared" si="53"/>
        <v>4.6474215747609258E-2</v>
      </c>
      <c r="K71" s="407">
        <f t="shared" si="54"/>
        <v>5.0913606528295192E-2</v>
      </c>
      <c r="L71" s="407">
        <f t="shared" si="55"/>
        <v>6.9012293344637557E-2</v>
      </c>
      <c r="M71" s="407">
        <f t="shared" si="56"/>
        <v>0.12177426003792563</v>
      </c>
      <c r="N71" s="407">
        <f t="shared" si="57"/>
        <v>0.11980749746707194</v>
      </c>
      <c r="O71" s="408">
        <f t="shared" si="58"/>
        <v>0.11279195411852713</v>
      </c>
      <c r="P71" s="409">
        <f t="shared" si="59"/>
        <v>0.1048835592631213</v>
      </c>
      <c r="Q71" s="1313">
        <f t="shared" si="60"/>
        <v>9.4080056803053161E-2</v>
      </c>
      <c r="R71" s="1316">
        <f t="shared" si="61"/>
        <v>8.0775037745344738E-2</v>
      </c>
      <c r="S71" s="1483">
        <f t="shared" si="46"/>
        <v>6.9360211839070637E-2</v>
      </c>
      <c r="T71" s="1483">
        <f t="shared" si="62"/>
        <v>5.5574822264608983E-2</v>
      </c>
      <c r="U71" s="187"/>
      <c r="V71" s="420">
        <v>11712</v>
      </c>
      <c r="W71" s="421">
        <v>304</v>
      </c>
      <c r="X71" s="412">
        <v>12114</v>
      </c>
      <c r="Y71" s="413">
        <v>405</v>
      </c>
      <c r="Z71" s="412">
        <v>12351</v>
      </c>
      <c r="AA71" s="413">
        <v>756</v>
      </c>
      <c r="AB71" s="412">
        <v>12035</v>
      </c>
      <c r="AC71" s="413">
        <v>838</v>
      </c>
      <c r="AD71" s="438">
        <v>11510</v>
      </c>
      <c r="AE71" s="416">
        <v>624</v>
      </c>
      <c r="AF71" s="438">
        <v>11503</v>
      </c>
      <c r="AG71" s="416">
        <v>585</v>
      </c>
      <c r="AH71" s="438">
        <v>11189</v>
      </c>
      <c r="AI71" s="416">
        <v>520</v>
      </c>
      <c r="AJ71" s="438">
        <v>11274</v>
      </c>
      <c r="AK71" s="416">
        <v>574</v>
      </c>
      <c r="AL71" s="438">
        <v>11795</v>
      </c>
      <c r="AM71" s="416">
        <v>814</v>
      </c>
      <c r="AN71" s="422">
        <v>12129</v>
      </c>
      <c r="AO71" s="416">
        <v>1477</v>
      </c>
      <c r="AP71" s="412">
        <v>11844</v>
      </c>
      <c r="AQ71" s="413">
        <v>1419</v>
      </c>
      <c r="AR71" s="415">
        <v>12031</v>
      </c>
      <c r="AS71" s="416">
        <v>1357</v>
      </c>
      <c r="AT71" s="417">
        <v>11508</v>
      </c>
      <c r="AU71" s="418">
        <v>1207</v>
      </c>
      <c r="AV71" s="417">
        <v>11267</v>
      </c>
      <c r="AW71" s="1322">
        <v>1060</v>
      </c>
      <c r="AX71" s="1325">
        <v>11922</v>
      </c>
      <c r="AY71" s="1326">
        <v>963</v>
      </c>
      <c r="AZ71" s="1469">
        <v>11707</v>
      </c>
      <c r="BA71" s="1489">
        <v>812</v>
      </c>
      <c r="BB71" s="1469">
        <v>11534</v>
      </c>
      <c r="BC71" s="1489">
        <v>641</v>
      </c>
    </row>
    <row r="72" spans="1:55" ht="15" customHeight="1" x14ac:dyDescent="0.25">
      <c r="A72" s="403" t="s">
        <v>174</v>
      </c>
      <c r="B72" s="419" t="s">
        <v>175</v>
      </c>
      <c r="C72" s="187" t="s">
        <v>268</v>
      </c>
      <c r="D72" s="405">
        <f t="shared" si="47"/>
        <v>3.2804232804232801E-2</v>
      </c>
      <c r="E72" s="406">
        <f t="shared" si="48"/>
        <v>5.2559941367396085E-2</v>
      </c>
      <c r="F72" s="407">
        <f t="shared" si="49"/>
        <v>8.3877656817003626E-2</v>
      </c>
      <c r="G72" s="407">
        <f t="shared" si="50"/>
        <v>7.6378351036924627E-2</v>
      </c>
      <c r="H72" s="407">
        <f t="shared" si="51"/>
        <v>7.5663282017687516E-2</v>
      </c>
      <c r="I72" s="407">
        <f t="shared" si="52"/>
        <v>6.5458663646659115E-2</v>
      </c>
      <c r="J72" s="407">
        <f t="shared" si="53"/>
        <v>4.5933991153453556E-2</v>
      </c>
      <c r="K72" s="407">
        <f t="shared" si="54"/>
        <v>4.0861647790361978E-2</v>
      </c>
      <c r="L72" s="407">
        <f t="shared" si="55"/>
        <v>6.4896755162241887E-2</v>
      </c>
      <c r="M72" s="407">
        <f t="shared" si="56"/>
        <v>0.11533082302313072</v>
      </c>
      <c r="N72" s="407">
        <f t="shared" si="57"/>
        <v>0.11521596141197106</v>
      </c>
      <c r="O72" s="408">
        <f t="shared" si="58"/>
        <v>9.6082194874110877E-2</v>
      </c>
      <c r="P72" s="409">
        <f t="shared" si="59"/>
        <v>8.0185938407902377E-2</v>
      </c>
      <c r="Q72" s="1313">
        <f t="shared" si="60"/>
        <v>7.430488974113135E-2</v>
      </c>
      <c r="R72" s="1316">
        <f t="shared" si="61"/>
        <v>6.5043791859866043E-2</v>
      </c>
      <c r="S72" s="1483">
        <f t="shared" si="46"/>
        <v>5.4848445085946725E-2</v>
      </c>
      <c r="T72" s="1483">
        <f t="shared" si="62"/>
        <v>4.8045805327358727E-2</v>
      </c>
      <c r="U72" s="216"/>
      <c r="V72" s="410">
        <v>9450</v>
      </c>
      <c r="W72" s="411">
        <v>310</v>
      </c>
      <c r="X72" s="412">
        <v>9551</v>
      </c>
      <c r="Y72" s="413">
        <v>502</v>
      </c>
      <c r="Z72" s="412">
        <v>9645</v>
      </c>
      <c r="AA72" s="413">
        <v>809</v>
      </c>
      <c r="AB72" s="412">
        <v>9885</v>
      </c>
      <c r="AC72" s="413">
        <v>755</v>
      </c>
      <c r="AD72" s="412">
        <v>9159</v>
      </c>
      <c r="AE72" s="413">
        <v>693</v>
      </c>
      <c r="AF72" s="412">
        <v>8830</v>
      </c>
      <c r="AG72" s="413">
        <v>578</v>
      </c>
      <c r="AH72" s="412">
        <v>8817</v>
      </c>
      <c r="AI72" s="413">
        <v>405</v>
      </c>
      <c r="AJ72" s="412">
        <v>9006</v>
      </c>
      <c r="AK72" s="413">
        <v>368</v>
      </c>
      <c r="AL72" s="412">
        <v>9153</v>
      </c>
      <c r="AM72" s="413">
        <v>594</v>
      </c>
      <c r="AN72" s="414">
        <v>9295</v>
      </c>
      <c r="AO72" s="413">
        <v>1072</v>
      </c>
      <c r="AP72" s="412">
        <v>9122</v>
      </c>
      <c r="AQ72" s="413">
        <v>1051</v>
      </c>
      <c r="AR72" s="415">
        <v>8857</v>
      </c>
      <c r="AS72" s="416">
        <v>851</v>
      </c>
      <c r="AT72" s="417">
        <v>8605</v>
      </c>
      <c r="AU72" s="418">
        <v>690</v>
      </c>
      <c r="AV72" s="417">
        <v>8344</v>
      </c>
      <c r="AW72" s="1322">
        <v>620</v>
      </c>
      <c r="AX72" s="1325">
        <v>7764</v>
      </c>
      <c r="AY72" s="1326">
        <v>505</v>
      </c>
      <c r="AZ72" s="1469">
        <v>7621</v>
      </c>
      <c r="BA72" s="1489">
        <v>418</v>
      </c>
      <c r="BB72" s="1469">
        <v>8034</v>
      </c>
      <c r="BC72" s="1489">
        <v>386</v>
      </c>
    </row>
    <row r="73" spans="1:55" ht="15" customHeight="1" x14ac:dyDescent="0.25">
      <c r="A73" s="403" t="s">
        <v>178</v>
      </c>
      <c r="B73" s="419" t="s">
        <v>179</v>
      </c>
      <c r="C73" s="187" t="s">
        <v>265</v>
      </c>
      <c r="D73" s="405">
        <f t="shared" si="47"/>
        <v>3.2901986713264698E-2</v>
      </c>
      <c r="E73" s="406">
        <f t="shared" si="48"/>
        <v>5.8485494485123739E-2</v>
      </c>
      <c r="F73" s="407">
        <f t="shared" si="49"/>
        <v>7.0014851635195344E-2</v>
      </c>
      <c r="G73" s="407">
        <f t="shared" si="50"/>
        <v>6.5173301044346904E-2</v>
      </c>
      <c r="H73" s="407">
        <f t="shared" si="51"/>
        <v>6.1639997509495052E-2</v>
      </c>
      <c r="I73" s="407">
        <f t="shared" si="52"/>
        <v>6.298473855391544E-2</v>
      </c>
      <c r="J73" s="407">
        <f t="shared" si="53"/>
        <v>5.423063306620321E-2</v>
      </c>
      <c r="K73" s="407">
        <f t="shared" si="54"/>
        <v>5.7580577104092957E-2</v>
      </c>
      <c r="L73" s="407">
        <f t="shared" si="55"/>
        <v>6.6670865744968985E-2</v>
      </c>
      <c r="M73" s="407">
        <f t="shared" si="56"/>
        <v>0.1097893122123783</v>
      </c>
      <c r="N73" s="407">
        <f t="shared" si="57"/>
        <v>0.10673005219985086</v>
      </c>
      <c r="O73" s="408">
        <f t="shared" si="58"/>
        <v>8.6870802784794532E-2</v>
      </c>
      <c r="P73" s="409">
        <f t="shared" si="59"/>
        <v>7.4528715475668569E-2</v>
      </c>
      <c r="Q73" s="1313">
        <f t="shared" si="60"/>
        <v>6.8663972723828764E-2</v>
      </c>
      <c r="R73" s="1316">
        <f t="shared" si="61"/>
        <v>6.2989019659412185E-2</v>
      </c>
      <c r="S73" s="1483">
        <f t="shared" si="46"/>
        <v>5.3451597900471728E-2</v>
      </c>
      <c r="T73" s="1483">
        <f t="shared" si="62"/>
        <v>4.7183502649431303E-2</v>
      </c>
      <c r="U73" s="216"/>
      <c r="V73" s="410">
        <v>31761</v>
      </c>
      <c r="W73" s="411">
        <v>1045</v>
      </c>
      <c r="X73" s="412">
        <v>32367</v>
      </c>
      <c r="Y73" s="413">
        <v>1893</v>
      </c>
      <c r="Z73" s="412">
        <v>32993</v>
      </c>
      <c r="AA73" s="413">
        <v>2310</v>
      </c>
      <c r="AB73" s="412">
        <v>33035</v>
      </c>
      <c r="AC73" s="413">
        <v>2153</v>
      </c>
      <c r="AD73" s="412">
        <v>32122</v>
      </c>
      <c r="AE73" s="413">
        <v>1980</v>
      </c>
      <c r="AF73" s="412">
        <v>31976</v>
      </c>
      <c r="AG73" s="413">
        <v>2014</v>
      </c>
      <c r="AH73" s="412">
        <v>31071</v>
      </c>
      <c r="AI73" s="413">
        <v>1685</v>
      </c>
      <c r="AJ73" s="412">
        <v>30809</v>
      </c>
      <c r="AK73" s="413">
        <v>1774</v>
      </c>
      <c r="AL73" s="412">
        <v>31753</v>
      </c>
      <c r="AM73" s="413">
        <v>2117</v>
      </c>
      <c r="AN73" s="414">
        <v>31943</v>
      </c>
      <c r="AO73" s="413">
        <v>3507</v>
      </c>
      <c r="AP73" s="412">
        <v>32184</v>
      </c>
      <c r="AQ73" s="413">
        <v>3435</v>
      </c>
      <c r="AR73" s="415">
        <v>32462</v>
      </c>
      <c r="AS73" s="416">
        <v>2820</v>
      </c>
      <c r="AT73" s="417">
        <v>31934</v>
      </c>
      <c r="AU73" s="418">
        <v>2380</v>
      </c>
      <c r="AV73" s="417">
        <v>31676</v>
      </c>
      <c r="AW73" s="1322">
        <v>2175</v>
      </c>
      <c r="AX73" s="1325">
        <v>30418</v>
      </c>
      <c r="AY73" s="1326">
        <v>1916</v>
      </c>
      <c r="AZ73" s="1469">
        <v>30102</v>
      </c>
      <c r="BA73" s="1489">
        <v>1609</v>
      </c>
      <c r="BB73" s="1469">
        <v>29629</v>
      </c>
      <c r="BC73" s="1489">
        <v>1398</v>
      </c>
    </row>
    <row r="74" spans="1:55" ht="15" customHeight="1" x14ac:dyDescent="0.25">
      <c r="A74" s="403" t="s">
        <v>182</v>
      </c>
      <c r="B74" s="419" t="s">
        <v>183</v>
      </c>
      <c r="C74" s="187" t="s">
        <v>266</v>
      </c>
      <c r="D74" s="405">
        <f t="shared" si="47"/>
        <v>1.8063131538943039E-2</v>
      </c>
      <c r="E74" s="406">
        <f t="shared" si="48"/>
        <v>2.5097698653929659E-2</v>
      </c>
      <c r="F74" s="407">
        <f t="shared" si="49"/>
        <v>3.1296205027106949E-2</v>
      </c>
      <c r="G74" s="407">
        <f t="shared" si="50"/>
        <v>3.150977753147019E-2</v>
      </c>
      <c r="H74" s="407">
        <f t="shared" si="51"/>
        <v>2.8658304827061953E-2</v>
      </c>
      <c r="I74" s="407">
        <f t="shared" si="52"/>
        <v>2.8247756363101367E-2</v>
      </c>
      <c r="J74" s="407">
        <f t="shared" si="53"/>
        <v>2.5709468951952797E-2</v>
      </c>
      <c r="K74" s="407">
        <f t="shared" si="54"/>
        <v>2.3774354645846523E-2</v>
      </c>
      <c r="L74" s="407">
        <f t="shared" si="55"/>
        <v>3.3653187114461962E-2</v>
      </c>
      <c r="M74" s="407">
        <f t="shared" si="56"/>
        <v>6.5338308807998305E-2</v>
      </c>
      <c r="N74" s="407">
        <f t="shared" si="57"/>
        <v>7.0073200198990826E-2</v>
      </c>
      <c r="O74" s="408">
        <f t="shared" si="58"/>
        <v>6.1175642379443861E-2</v>
      </c>
      <c r="P74" s="409">
        <f t="shared" si="59"/>
        <v>5.4825332114992617E-2</v>
      </c>
      <c r="Q74" s="1313">
        <f t="shared" si="60"/>
        <v>4.9085323278871669E-2</v>
      </c>
      <c r="R74" s="1316">
        <f t="shared" si="61"/>
        <v>4.5272872611002109E-2</v>
      </c>
      <c r="S74" s="1483">
        <f t="shared" si="46"/>
        <v>3.9229878401852922E-2</v>
      </c>
      <c r="T74" s="1483">
        <f t="shared" si="62"/>
        <v>3.5495082452118611E-2</v>
      </c>
      <c r="U74" s="216"/>
      <c r="V74" s="410">
        <v>11183</v>
      </c>
      <c r="W74" s="411">
        <v>202</v>
      </c>
      <c r="X74" s="412">
        <v>11515</v>
      </c>
      <c r="Y74" s="413">
        <v>289</v>
      </c>
      <c r="Z74" s="412">
        <v>12174</v>
      </c>
      <c r="AA74" s="413">
        <v>381</v>
      </c>
      <c r="AB74" s="412">
        <v>12631</v>
      </c>
      <c r="AC74" s="413">
        <v>398</v>
      </c>
      <c r="AD74" s="412">
        <v>13155</v>
      </c>
      <c r="AE74" s="413">
        <v>377</v>
      </c>
      <c r="AF74" s="412">
        <v>13594</v>
      </c>
      <c r="AG74" s="413">
        <v>384</v>
      </c>
      <c r="AH74" s="412">
        <v>14236</v>
      </c>
      <c r="AI74" s="413">
        <v>366</v>
      </c>
      <c r="AJ74" s="412">
        <v>14217</v>
      </c>
      <c r="AK74" s="413">
        <v>338</v>
      </c>
      <c r="AL74" s="412">
        <v>14590</v>
      </c>
      <c r="AM74" s="413">
        <v>491</v>
      </c>
      <c r="AN74" s="414">
        <v>14203</v>
      </c>
      <c r="AO74" s="413">
        <v>928</v>
      </c>
      <c r="AP74" s="412">
        <v>14071</v>
      </c>
      <c r="AQ74" s="413">
        <v>986</v>
      </c>
      <c r="AR74" s="415">
        <v>14205</v>
      </c>
      <c r="AS74" s="416">
        <v>869</v>
      </c>
      <c r="AT74" s="417">
        <v>14227</v>
      </c>
      <c r="AU74" s="418">
        <v>780</v>
      </c>
      <c r="AV74" s="417">
        <v>14322</v>
      </c>
      <c r="AW74" s="1322">
        <v>703</v>
      </c>
      <c r="AX74" s="1325">
        <v>13761</v>
      </c>
      <c r="AY74" s="1326">
        <v>623</v>
      </c>
      <c r="AZ74" s="1469">
        <v>13816</v>
      </c>
      <c r="BA74" s="1489">
        <v>542</v>
      </c>
      <c r="BB74" s="1469">
        <v>13523</v>
      </c>
      <c r="BC74" s="1489">
        <v>480</v>
      </c>
    </row>
    <row r="75" spans="1:55" ht="15" customHeight="1" x14ac:dyDescent="0.25">
      <c r="A75" s="403" t="s">
        <v>184</v>
      </c>
      <c r="B75" s="419" t="s">
        <v>185</v>
      </c>
      <c r="C75" s="187" t="s">
        <v>266</v>
      </c>
      <c r="D75" s="405">
        <f t="shared" si="47"/>
        <v>3.3399307273626916E-2</v>
      </c>
      <c r="E75" s="406">
        <f t="shared" si="48"/>
        <v>4.1839473042205415E-2</v>
      </c>
      <c r="F75" s="407">
        <f t="shared" si="49"/>
        <v>5.8405587668593446E-2</v>
      </c>
      <c r="G75" s="407">
        <f t="shared" si="50"/>
        <v>5.6962764094782306E-2</v>
      </c>
      <c r="H75" s="407">
        <f t="shared" si="51"/>
        <v>5.5450011873664211E-2</v>
      </c>
      <c r="I75" s="407">
        <f t="shared" si="52"/>
        <v>5.673345759552656E-2</v>
      </c>
      <c r="J75" s="407">
        <f t="shared" si="53"/>
        <v>4.752808988764045E-2</v>
      </c>
      <c r="K75" s="407">
        <f t="shared" si="54"/>
        <v>4.6281908990011097E-2</v>
      </c>
      <c r="L75" s="407">
        <f t="shared" si="55"/>
        <v>5.5187409401532411E-2</v>
      </c>
      <c r="M75" s="407">
        <f t="shared" si="56"/>
        <v>9.2214136177848668E-2</v>
      </c>
      <c r="N75" s="407">
        <f t="shared" si="57"/>
        <v>0.10266856793644327</v>
      </c>
      <c r="O75" s="408">
        <f t="shared" si="58"/>
        <v>9.3684104829802189E-2</v>
      </c>
      <c r="P75" s="409">
        <f t="shared" si="59"/>
        <v>9.0537994557253504E-2</v>
      </c>
      <c r="Q75" s="1313">
        <f t="shared" si="60"/>
        <v>8.9957264957264957E-2</v>
      </c>
      <c r="R75" s="1316">
        <f t="shared" si="61"/>
        <v>7.8425389075373816E-2</v>
      </c>
      <c r="S75" s="1483">
        <f t="shared" si="46"/>
        <v>6.4502959787711783E-2</v>
      </c>
      <c r="T75" s="1483">
        <f t="shared" si="62"/>
        <v>5.3353057199211046E-2</v>
      </c>
      <c r="U75" s="216"/>
      <c r="V75" s="410">
        <v>8084</v>
      </c>
      <c r="W75" s="411">
        <v>270</v>
      </c>
      <c r="X75" s="412">
        <v>8198</v>
      </c>
      <c r="Y75" s="413">
        <v>343</v>
      </c>
      <c r="Z75" s="412">
        <v>8304</v>
      </c>
      <c r="AA75" s="413">
        <v>485</v>
      </c>
      <c r="AB75" s="412">
        <v>8567</v>
      </c>
      <c r="AC75" s="413">
        <v>488</v>
      </c>
      <c r="AD75" s="412">
        <v>8422</v>
      </c>
      <c r="AE75" s="413">
        <v>467</v>
      </c>
      <c r="AF75" s="412">
        <v>8584</v>
      </c>
      <c r="AG75" s="413">
        <v>487</v>
      </c>
      <c r="AH75" s="412">
        <v>8900</v>
      </c>
      <c r="AI75" s="413">
        <v>423</v>
      </c>
      <c r="AJ75" s="412">
        <v>9010</v>
      </c>
      <c r="AK75" s="413">
        <v>417</v>
      </c>
      <c r="AL75" s="412">
        <v>9658</v>
      </c>
      <c r="AM75" s="413">
        <v>533</v>
      </c>
      <c r="AN75" s="414">
        <v>10031</v>
      </c>
      <c r="AO75" s="413">
        <v>925</v>
      </c>
      <c r="AP75" s="412">
        <v>9818</v>
      </c>
      <c r="AQ75" s="413">
        <v>1008</v>
      </c>
      <c r="AR75" s="415">
        <v>9959</v>
      </c>
      <c r="AS75" s="416">
        <v>933</v>
      </c>
      <c r="AT75" s="417">
        <v>9554</v>
      </c>
      <c r="AU75" s="418">
        <v>865</v>
      </c>
      <c r="AV75" s="417">
        <v>9360</v>
      </c>
      <c r="AW75" s="1322">
        <v>842</v>
      </c>
      <c r="AX75" s="1325">
        <v>9831</v>
      </c>
      <c r="AY75" s="1326">
        <v>771</v>
      </c>
      <c r="AZ75" s="1469">
        <v>9798</v>
      </c>
      <c r="BA75" s="1489">
        <v>632</v>
      </c>
      <c r="BB75" s="1469">
        <v>10140</v>
      </c>
      <c r="BC75" s="1489">
        <v>541</v>
      </c>
    </row>
    <row r="76" spans="1:55" ht="15" customHeight="1" x14ac:dyDescent="0.25">
      <c r="A76" s="403" t="s">
        <v>186</v>
      </c>
      <c r="B76" s="419" t="s">
        <v>187</v>
      </c>
      <c r="C76" s="187" t="s">
        <v>264</v>
      </c>
      <c r="D76" s="405">
        <f t="shared" si="47"/>
        <v>2.5486914181375532E-2</v>
      </c>
      <c r="E76" s="406">
        <f t="shared" si="48"/>
        <v>3.4864824937213768E-2</v>
      </c>
      <c r="F76" s="407">
        <f t="shared" si="49"/>
        <v>3.8423575860124085E-2</v>
      </c>
      <c r="G76" s="407">
        <f t="shared" si="50"/>
        <v>4.1530944625407164E-2</v>
      </c>
      <c r="H76" s="407">
        <f t="shared" si="51"/>
        <v>3.6058335563286061E-2</v>
      </c>
      <c r="I76" s="407">
        <f t="shared" si="52"/>
        <v>3.8224985120031744E-2</v>
      </c>
      <c r="J76" s="407">
        <f t="shared" si="53"/>
        <v>3.3418504572350724E-2</v>
      </c>
      <c r="K76" s="407">
        <f t="shared" si="54"/>
        <v>3.2487517953628343E-2</v>
      </c>
      <c r="L76" s="407">
        <f t="shared" si="55"/>
        <v>4.2663822411839213E-2</v>
      </c>
      <c r="M76" s="407">
        <f t="shared" si="56"/>
        <v>7.1934821487712797E-2</v>
      </c>
      <c r="N76" s="407">
        <f t="shared" si="57"/>
        <v>7.7079677079677084E-2</v>
      </c>
      <c r="O76" s="408">
        <f t="shared" si="58"/>
        <v>7.4306116949609272E-2</v>
      </c>
      <c r="P76" s="409">
        <f t="shared" si="59"/>
        <v>6.7486702127659573E-2</v>
      </c>
      <c r="Q76" s="1313">
        <f t="shared" si="60"/>
        <v>6.1699035539701415E-2</v>
      </c>
      <c r="R76" s="1316">
        <f t="shared" si="61"/>
        <v>6.2110552763819098E-2</v>
      </c>
      <c r="S76" s="1483">
        <f t="shared" si="46"/>
        <v>5.3323495874974848E-2</v>
      </c>
      <c r="T76" s="1483">
        <f t="shared" si="62"/>
        <v>4.7996272134203169E-2</v>
      </c>
      <c r="U76" s="216"/>
      <c r="V76" s="410">
        <v>13144</v>
      </c>
      <c r="W76" s="411">
        <v>335</v>
      </c>
      <c r="X76" s="412">
        <v>13538</v>
      </c>
      <c r="Y76" s="413">
        <v>472</v>
      </c>
      <c r="Z76" s="412">
        <v>14184</v>
      </c>
      <c r="AA76" s="413">
        <v>545</v>
      </c>
      <c r="AB76" s="412">
        <v>14736</v>
      </c>
      <c r="AC76" s="413">
        <v>612</v>
      </c>
      <c r="AD76" s="412">
        <v>14948</v>
      </c>
      <c r="AE76" s="413">
        <v>539</v>
      </c>
      <c r="AF76" s="412">
        <v>15121</v>
      </c>
      <c r="AG76" s="413">
        <v>578</v>
      </c>
      <c r="AH76" s="412">
        <v>14872</v>
      </c>
      <c r="AI76" s="413">
        <v>497</v>
      </c>
      <c r="AJ76" s="412">
        <v>14621</v>
      </c>
      <c r="AK76" s="413">
        <v>475</v>
      </c>
      <c r="AL76" s="412">
        <v>15001</v>
      </c>
      <c r="AM76" s="413">
        <v>640</v>
      </c>
      <c r="AN76" s="414">
        <v>15097</v>
      </c>
      <c r="AO76" s="413">
        <v>1086</v>
      </c>
      <c r="AP76" s="412">
        <v>14245</v>
      </c>
      <c r="AQ76" s="413">
        <v>1098</v>
      </c>
      <c r="AR76" s="415">
        <v>14844</v>
      </c>
      <c r="AS76" s="416">
        <v>1103</v>
      </c>
      <c r="AT76" s="417">
        <v>15040</v>
      </c>
      <c r="AU76" s="418">
        <v>1015</v>
      </c>
      <c r="AV76" s="417">
        <v>15138</v>
      </c>
      <c r="AW76" s="1322">
        <v>934</v>
      </c>
      <c r="AX76" s="1325">
        <v>14925</v>
      </c>
      <c r="AY76" s="1326">
        <v>927</v>
      </c>
      <c r="AZ76" s="1469">
        <v>14909</v>
      </c>
      <c r="BA76" s="1489">
        <v>795</v>
      </c>
      <c r="BB76" s="1469">
        <v>15022</v>
      </c>
      <c r="BC76" s="1489">
        <v>721</v>
      </c>
    </row>
    <row r="77" spans="1:55" ht="15" customHeight="1" x14ac:dyDescent="0.25">
      <c r="A77" s="403" t="s">
        <v>188</v>
      </c>
      <c r="B77" s="419" t="s">
        <v>189</v>
      </c>
      <c r="C77" s="187" t="s">
        <v>267</v>
      </c>
      <c r="D77" s="405">
        <f t="shared" si="47"/>
        <v>1.7590621827826714E-2</v>
      </c>
      <c r="E77" s="406">
        <f t="shared" si="48"/>
        <v>2.4553752725591509E-2</v>
      </c>
      <c r="F77" s="407">
        <f t="shared" si="49"/>
        <v>3.4000934321957763E-2</v>
      </c>
      <c r="G77" s="407">
        <f t="shared" si="50"/>
        <v>3.3842542267039803E-2</v>
      </c>
      <c r="H77" s="407">
        <f t="shared" si="51"/>
        <v>2.8726171270536331E-2</v>
      </c>
      <c r="I77" s="407">
        <f t="shared" si="52"/>
        <v>2.6975062866722549E-2</v>
      </c>
      <c r="J77" s="407">
        <f t="shared" si="53"/>
        <v>2.3885527822535696E-2</v>
      </c>
      <c r="K77" s="407">
        <f t="shared" si="54"/>
        <v>2.4858774068611221E-2</v>
      </c>
      <c r="L77" s="407">
        <f t="shared" si="55"/>
        <v>3.3007139429718058E-2</v>
      </c>
      <c r="M77" s="407">
        <f t="shared" si="56"/>
        <v>5.659772249692456E-2</v>
      </c>
      <c r="N77" s="407">
        <f t="shared" si="57"/>
        <v>5.918444273886999E-2</v>
      </c>
      <c r="O77" s="408">
        <f t="shared" si="58"/>
        <v>5.3830209674252179E-2</v>
      </c>
      <c r="P77" s="409">
        <f t="shared" si="59"/>
        <v>4.9925292390128294E-2</v>
      </c>
      <c r="Q77" s="1313">
        <f t="shared" si="60"/>
        <v>4.8885197725675587E-2</v>
      </c>
      <c r="R77" s="1316">
        <f t="shared" si="61"/>
        <v>4.8033598966185656E-2</v>
      </c>
      <c r="S77" s="1483">
        <f t="shared" si="46"/>
        <v>4.1125541125541128E-2</v>
      </c>
      <c r="T77" s="1483">
        <f t="shared" si="62"/>
        <v>3.5884666800490309E-2</v>
      </c>
      <c r="U77" s="216"/>
      <c r="V77" s="410">
        <v>152695</v>
      </c>
      <c r="W77" s="411">
        <v>2686</v>
      </c>
      <c r="X77" s="412">
        <v>160057</v>
      </c>
      <c r="Y77" s="413">
        <v>3930</v>
      </c>
      <c r="Z77" s="412">
        <v>166966</v>
      </c>
      <c r="AA77" s="413">
        <v>5677</v>
      </c>
      <c r="AB77" s="412">
        <v>172948</v>
      </c>
      <c r="AC77" s="413">
        <v>5853</v>
      </c>
      <c r="AD77" s="412">
        <v>182238</v>
      </c>
      <c r="AE77" s="413">
        <v>5235</v>
      </c>
      <c r="AF77" s="412">
        <v>190880</v>
      </c>
      <c r="AG77" s="413">
        <v>5149</v>
      </c>
      <c r="AH77" s="412">
        <v>197358</v>
      </c>
      <c r="AI77" s="413">
        <v>4714</v>
      </c>
      <c r="AJ77" s="412">
        <v>199326</v>
      </c>
      <c r="AK77" s="413">
        <v>4955</v>
      </c>
      <c r="AL77" s="412">
        <v>206319</v>
      </c>
      <c r="AM77" s="413">
        <v>6810</v>
      </c>
      <c r="AN77" s="414">
        <v>208913</v>
      </c>
      <c r="AO77" s="413">
        <v>11824</v>
      </c>
      <c r="AP77" s="412">
        <v>220193</v>
      </c>
      <c r="AQ77" s="413">
        <v>13032</v>
      </c>
      <c r="AR77" s="415">
        <v>229165</v>
      </c>
      <c r="AS77" s="416">
        <v>12336</v>
      </c>
      <c r="AT77" s="417">
        <v>232908</v>
      </c>
      <c r="AU77" s="418">
        <v>11628</v>
      </c>
      <c r="AV77" s="417">
        <v>234795</v>
      </c>
      <c r="AW77" s="1322">
        <v>11478</v>
      </c>
      <c r="AX77" s="1325">
        <v>232150</v>
      </c>
      <c r="AY77" s="1326">
        <v>11151</v>
      </c>
      <c r="AZ77" s="1469">
        <v>231924</v>
      </c>
      <c r="BA77" s="1489">
        <v>9538</v>
      </c>
      <c r="BB77" s="1469">
        <v>234139</v>
      </c>
      <c r="BC77" s="1489">
        <v>8402</v>
      </c>
    </row>
    <row r="78" spans="1:55" ht="15" customHeight="1" x14ac:dyDescent="0.25">
      <c r="A78" s="403" t="s">
        <v>190</v>
      </c>
      <c r="B78" s="419" t="s">
        <v>191</v>
      </c>
      <c r="C78" s="187" t="s">
        <v>268</v>
      </c>
      <c r="D78" s="405">
        <f t="shared" si="47"/>
        <v>4.4944470152707083E-2</v>
      </c>
      <c r="E78" s="406">
        <f t="shared" si="48"/>
        <v>7.0724801812004537E-2</v>
      </c>
      <c r="F78" s="407">
        <f t="shared" si="49"/>
        <v>6.2953309156844967E-2</v>
      </c>
      <c r="G78" s="407">
        <f t="shared" si="50"/>
        <v>6.0844823812650474E-2</v>
      </c>
      <c r="H78" s="407">
        <f t="shared" si="51"/>
        <v>5.8065924470639602E-2</v>
      </c>
      <c r="I78" s="407">
        <f t="shared" si="52"/>
        <v>4.4623626221903134E-2</v>
      </c>
      <c r="J78" s="407">
        <f t="shared" si="53"/>
        <v>3.8603854862760259E-2</v>
      </c>
      <c r="K78" s="407">
        <f t="shared" si="54"/>
        <v>5.5498808307797069E-2</v>
      </c>
      <c r="L78" s="407">
        <f t="shared" si="55"/>
        <v>6.4013650374284456E-2</v>
      </c>
      <c r="M78" s="407">
        <f t="shared" si="56"/>
        <v>0.11312465678198792</v>
      </c>
      <c r="N78" s="407">
        <f t="shared" si="57"/>
        <v>9.9417565307652389E-2</v>
      </c>
      <c r="O78" s="408">
        <f t="shared" si="58"/>
        <v>7.4552798615118293E-2</v>
      </c>
      <c r="P78" s="409">
        <f t="shared" si="59"/>
        <v>6.6468026587210641E-2</v>
      </c>
      <c r="Q78" s="1313">
        <f t="shared" si="60"/>
        <v>7.1296865396435163E-2</v>
      </c>
      <c r="R78" s="1316">
        <f t="shared" si="61"/>
        <v>5.9806769011913938E-2</v>
      </c>
      <c r="S78" s="1483">
        <f t="shared" si="46"/>
        <v>5.0179211469534052E-2</v>
      </c>
      <c r="T78" s="1483">
        <f t="shared" si="62"/>
        <v>5.8128257970663108E-2</v>
      </c>
      <c r="U78" s="216"/>
      <c r="V78" s="410">
        <v>17288</v>
      </c>
      <c r="W78" s="411">
        <v>777</v>
      </c>
      <c r="X78" s="412">
        <v>17660</v>
      </c>
      <c r="Y78" s="413">
        <v>1249</v>
      </c>
      <c r="Z78" s="412">
        <v>17648</v>
      </c>
      <c r="AA78" s="413">
        <v>1111</v>
      </c>
      <c r="AB78" s="412">
        <v>18276</v>
      </c>
      <c r="AC78" s="413">
        <v>1112</v>
      </c>
      <c r="AD78" s="412">
        <v>18324</v>
      </c>
      <c r="AE78" s="413">
        <v>1064</v>
      </c>
      <c r="AF78" s="412">
        <v>18107</v>
      </c>
      <c r="AG78" s="413">
        <v>808</v>
      </c>
      <c r="AH78" s="412">
        <v>18107</v>
      </c>
      <c r="AI78" s="413">
        <v>699</v>
      </c>
      <c r="AJ78" s="412">
        <v>17622</v>
      </c>
      <c r="AK78" s="413">
        <v>978</v>
      </c>
      <c r="AL78" s="412">
        <v>18168</v>
      </c>
      <c r="AM78" s="413">
        <v>1163</v>
      </c>
      <c r="AN78" s="414">
        <v>18210</v>
      </c>
      <c r="AO78" s="413">
        <v>2060</v>
      </c>
      <c r="AP78" s="412">
        <v>17341</v>
      </c>
      <c r="AQ78" s="413">
        <v>1724</v>
      </c>
      <c r="AR78" s="415">
        <v>17330</v>
      </c>
      <c r="AS78" s="416">
        <v>1292</v>
      </c>
      <c r="AT78" s="417">
        <v>17452</v>
      </c>
      <c r="AU78" s="418">
        <v>1160</v>
      </c>
      <c r="AV78" s="417">
        <v>17897</v>
      </c>
      <c r="AW78" s="1322">
        <v>1276</v>
      </c>
      <c r="AX78" s="1325">
        <v>16871</v>
      </c>
      <c r="AY78" s="1326">
        <v>1009</v>
      </c>
      <c r="AZ78" s="1469">
        <v>16461</v>
      </c>
      <c r="BA78" s="1489">
        <v>826</v>
      </c>
      <c r="BB78" s="1469">
        <v>16498</v>
      </c>
      <c r="BC78" s="1489">
        <v>959</v>
      </c>
    </row>
    <row r="79" spans="1:55" ht="15" customHeight="1" x14ac:dyDescent="0.25">
      <c r="A79" s="403" t="s">
        <v>194</v>
      </c>
      <c r="B79" s="419" t="s">
        <v>195</v>
      </c>
      <c r="C79" s="187" t="s">
        <v>267</v>
      </c>
      <c r="D79" s="405">
        <f t="shared" si="47"/>
        <v>1.8493701420530688E-2</v>
      </c>
      <c r="E79" s="406">
        <f t="shared" si="48"/>
        <v>2.3624161073825502E-2</v>
      </c>
      <c r="F79" s="407">
        <f t="shared" si="49"/>
        <v>3.3893781692020286E-2</v>
      </c>
      <c r="G79" s="407">
        <f t="shared" si="50"/>
        <v>3.0272704528396296E-2</v>
      </c>
      <c r="H79" s="407">
        <f t="shared" si="51"/>
        <v>2.5740650801359885E-2</v>
      </c>
      <c r="I79" s="407">
        <f t="shared" si="52"/>
        <v>2.5851654989127809E-2</v>
      </c>
      <c r="J79" s="407">
        <f t="shared" si="53"/>
        <v>2.3179583235776166E-2</v>
      </c>
      <c r="K79" s="407">
        <f t="shared" si="54"/>
        <v>2.5384257102934328E-2</v>
      </c>
      <c r="L79" s="407">
        <f t="shared" si="55"/>
        <v>3.4997666822211851E-2</v>
      </c>
      <c r="M79" s="407">
        <f t="shared" si="56"/>
        <v>6.0391601792875678E-2</v>
      </c>
      <c r="N79" s="407">
        <f t="shared" si="57"/>
        <v>6.0278578290105668E-2</v>
      </c>
      <c r="O79" s="408">
        <f t="shared" si="58"/>
        <v>5.2469135802469133E-2</v>
      </c>
      <c r="P79" s="409">
        <f t="shared" si="59"/>
        <v>4.778156996587031E-2</v>
      </c>
      <c r="Q79" s="1313">
        <f t="shared" si="60"/>
        <v>4.5296972498266697E-2</v>
      </c>
      <c r="R79" s="1316">
        <f t="shared" si="61"/>
        <v>4.6624203821656052E-2</v>
      </c>
      <c r="S79" s="1483">
        <f t="shared" si="46"/>
        <v>4.0994445913779425E-2</v>
      </c>
      <c r="T79" s="1483">
        <f t="shared" si="62"/>
        <v>3.4946236559139782E-2</v>
      </c>
      <c r="U79" s="216"/>
      <c r="V79" s="410">
        <v>3731</v>
      </c>
      <c r="W79" s="411">
        <v>69</v>
      </c>
      <c r="X79" s="412">
        <v>3725</v>
      </c>
      <c r="Y79" s="413">
        <v>88</v>
      </c>
      <c r="Z79" s="412">
        <v>3747</v>
      </c>
      <c r="AA79" s="413">
        <v>127</v>
      </c>
      <c r="AB79" s="412">
        <v>3997</v>
      </c>
      <c r="AC79" s="413">
        <v>121</v>
      </c>
      <c r="AD79" s="412">
        <v>4118</v>
      </c>
      <c r="AE79" s="413">
        <v>106</v>
      </c>
      <c r="AF79" s="412">
        <v>4139</v>
      </c>
      <c r="AG79" s="413">
        <v>107</v>
      </c>
      <c r="AH79" s="412">
        <v>4271</v>
      </c>
      <c r="AI79" s="413">
        <v>99</v>
      </c>
      <c r="AJ79" s="412">
        <v>4294</v>
      </c>
      <c r="AK79" s="413">
        <v>109</v>
      </c>
      <c r="AL79" s="412">
        <v>4286</v>
      </c>
      <c r="AM79" s="413">
        <v>150</v>
      </c>
      <c r="AN79" s="414">
        <v>4239</v>
      </c>
      <c r="AO79" s="413">
        <v>256</v>
      </c>
      <c r="AP79" s="412">
        <v>4164</v>
      </c>
      <c r="AQ79" s="413">
        <v>251</v>
      </c>
      <c r="AR79" s="415">
        <v>4212</v>
      </c>
      <c r="AS79" s="416">
        <v>221</v>
      </c>
      <c r="AT79" s="417">
        <v>4395</v>
      </c>
      <c r="AU79" s="418">
        <v>210</v>
      </c>
      <c r="AV79" s="417">
        <v>4327</v>
      </c>
      <c r="AW79" s="1322">
        <v>196</v>
      </c>
      <c r="AX79" s="1325">
        <v>3925</v>
      </c>
      <c r="AY79" s="1326">
        <v>183</v>
      </c>
      <c r="AZ79" s="1469">
        <v>3781</v>
      </c>
      <c r="BA79" s="1489">
        <v>155</v>
      </c>
      <c r="BB79" s="1469">
        <v>3720</v>
      </c>
      <c r="BC79" s="1489">
        <v>130</v>
      </c>
    </row>
    <row r="80" spans="1:55" ht="15" customHeight="1" x14ac:dyDescent="0.25">
      <c r="A80" s="403" t="s">
        <v>198</v>
      </c>
      <c r="B80" s="419" t="s">
        <v>199</v>
      </c>
      <c r="C80" s="187" t="s">
        <v>266</v>
      </c>
      <c r="D80" s="405">
        <f t="shared" si="47"/>
        <v>4.2890716803760283E-2</v>
      </c>
      <c r="E80" s="406">
        <f t="shared" si="48"/>
        <v>4.1143857601400644E-2</v>
      </c>
      <c r="F80" s="407">
        <f t="shared" si="49"/>
        <v>5.6469920544835413E-2</v>
      </c>
      <c r="G80" s="407">
        <f t="shared" si="50"/>
        <v>6.2309609526446964E-2</v>
      </c>
      <c r="H80" s="407">
        <f t="shared" si="51"/>
        <v>5.1719238420005684E-2</v>
      </c>
      <c r="I80" s="407">
        <f t="shared" si="52"/>
        <v>4.6531544390522407E-2</v>
      </c>
      <c r="J80" s="407">
        <f t="shared" si="53"/>
        <v>4.7727922263503857E-2</v>
      </c>
      <c r="K80" s="407">
        <f t="shared" si="54"/>
        <v>4.3640539764570774E-2</v>
      </c>
      <c r="L80" s="407">
        <f t="shared" si="55"/>
        <v>5.0450450450450449E-2</v>
      </c>
      <c r="M80" s="407">
        <f t="shared" si="56"/>
        <v>7.9980492562789565E-2</v>
      </c>
      <c r="N80" s="407">
        <f t="shared" si="57"/>
        <v>8.4265473527218498E-2</v>
      </c>
      <c r="O80" s="408">
        <f t="shared" si="58"/>
        <v>7.9759217456734394E-2</v>
      </c>
      <c r="P80" s="409">
        <f t="shared" si="59"/>
        <v>8.2072176949941789E-2</v>
      </c>
      <c r="Q80" s="1313">
        <f t="shared" si="60"/>
        <v>8.5269038518082915E-2</v>
      </c>
      <c r="R80" s="1316">
        <f t="shared" si="61"/>
        <v>5.5486439412789253E-2</v>
      </c>
      <c r="S80" s="1483">
        <f t="shared" si="46"/>
        <v>4.5605944145529077E-2</v>
      </c>
      <c r="T80" s="1483">
        <f t="shared" si="62"/>
        <v>3.7208108801642291E-2</v>
      </c>
      <c r="U80" s="216"/>
      <c r="V80" s="410">
        <v>3404</v>
      </c>
      <c r="W80" s="411">
        <v>146</v>
      </c>
      <c r="X80" s="412">
        <v>3427</v>
      </c>
      <c r="Y80" s="413">
        <v>141</v>
      </c>
      <c r="Z80" s="412">
        <v>3524</v>
      </c>
      <c r="AA80" s="413">
        <v>199</v>
      </c>
      <c r="AB80" s="412">
        <v>3611</v>
      </c>
      <c r="AC80" s="413">
        <v>225</v>
      </c>
      <c r="AD80" s="412">
        <v>3519</v>
      </c>
      <c r="AE80" s="413">
        <v>182</v>
      </c>
      <c r="AF80" s="412">
        <v>3503</v>
      </c>
      <c r="AG80" s="413">
        <v>163</v>
      </c>
      <c r="AH80" s="412">
        <v>3499</v>
      </c>
      <c r="AI80" s="413">
        <v>167</v>
      </c>
      <c r="AJ80" s="412">
        <v>3483</v>
      </c>
      <c r="AK80" s="413">
        <v>152</v>
      </c>
      <c r="AL80" s="412">
        <v>3885</v>
      </c>
      <c r="AM80" s="413">
        <v>196</v>
      </c>
      <c r="AN80" s="414">
        <v>4101</v>
      </c>
      <c r="AO80" s="413">
        <v>328</v>
      </c>
      <c r="AP80" s="412">
        <v>4023</v>
      </c>
      <c r="AQ80" s="413">
        <v>339</v>
      </c>
      <c r="AR80" s="415">
        <v>3987</v>
      </c>
      <c r="AS80" s="416">
        <v>318</v>
      </c>
      <c r="AT80" s="417">
        <v>3436</v>
      </c>
      <c r="AU80" s="418">
        <v>282</v>
      </c>
      <c r="AV80" s="417">
        <v>3401</v>
      </c>
      <c r="AW80" s="1322">
        <v>290</v>
      </c>
      <c r="AX80" s="1325">
        <v>4019</v>
      </c>
      <c r="AY80" s="1326">
        <v>223</v>
      </c>
      <c r="AZ80" s="1469">
        <v>3903</v>
      </c>
      <c r="BA80" s="1489">
        <v>178</v>
      </c>
      <c r="BB80" s="1469">
        <v>3897</v>
      </c>
      <c r="BC80" s="1489">
        <v>145</v>
      </c>
    </row>
    <row r="81" spans="1:55" ht="15" customHeight="1" x14ac:dyDescent="0.25">
      <c r="A81" s="403" t="s">
        <v>202</v>
      </c>
      <c r="B81" s="419" t="s">
        <v>203</v>
      </c>
      <c r="C81" s="187" t="s">
        <v>265</v>
      </c>
      <c r="D81" s="405">
        <f t="shared" si="47"/>
        <v>1.7720396363822419E-2</v>
      </c>
      <c r="E81" s="406">
        <f t="shared" si="48"/>
        <v>2.5326921454484098E-2</v>
      </c>
      <c r="F81" s="407">
        <f t="shared" si="49"/>
        <v>3.3697677102395435E-2</v>
      </c>
      <c r="G81" s="407">
        <f t="shared" si="50"/>
        <v>3.466009984253024E-2</v>
      </c>
      <c r="H81" s="407">
        <f t="shared" si="51"/>
        <v>3.2426583712319733E-2</v>
      </c>
      <c r="I81" s="407">
        <f t="shared" si="52"/>
        <v>2.9996652159357214E-2</v>
      </c>
      <c r="J81" s="407">
        <f t="shared" si="53"/>
        <v>2.6474769012082445E-2</v>
      </c>
      <c r="K81" s="407">
        <f t="shared" si="54"/>
        <v>2.6336997517810514E-2</v>
      </c>
      <c r="L81" s="407">
        <f t="shared" si="55"/>
        <v>3.2906130931763075E-2</v>
      </c>
      <c r="M81" s="407">
        <f t="shared" si="56"/>
        <v>6.2158017916229519E-2</v>
      </c>
      <c r="N81" s="407">
        <f t="shared" si="57"/>
        <v>6.7505364718987007E-2</v>
      </c>
      <c r="O81" s="408">
        <f t="shared" si="58"/>
        <v>5.9671845224637449E-2</v>
      </c>
      <c r="P81" s="409">
        <f t="shared" si="59"/>
        <v>5.4506013954316611E-2</v>
      </c>
      <c r="Q81" s="1313">
        <f t="shared" si="60"/>
        <v>5.301857585139319E-2</v>
      </c>
      <c r="R81" s="1316">
        <f t="shared" si="61"/>
        <v>4.6509432477933196E-2</v>
      </c>
      <c r="S81" s="1483">
        <f t="shared" si="46"/>
        <v>3.9982734365008314E-2</v>
      </c>
      <c r="T81" s="1483">
        <f t="shared" si="62"/>
        <v>3.6258251489293188E-2</v>
      </c>
      <c r="U81" s="216"/>
      <c r="V81" s="420">
        <v>58633</v>
      </c>
      <c r="W81" s="421">
        <v>1039</v>
      </c>
      <c r="X81" s="1269">
        <v>59265</v>
      </c>
      <c r="Y81" s="1270">
        <v>1501</v>
      </c>
      <c r="Z81" s="1269">
        <v>60657</v>
      </c>
      <c r="AA81" s="1270">
        <v>2044</v>
      </c>
      <c r="AB81" s="1269">
        <v>59694</v>
      </c>
      <c r="AC81" s="1270">
        <v>2069</v>
      </c>
      <c r="AD81" s="1269">
        <v>59149</v>
      </c>
      <c r="AE81" s="1270">
        <v>1918</v>
      </c>
      <c r="AF81" s="1269">
        <v>59740</v>
      </c>
      <c r="AG81" s="1270">
        <v>1792</v>
      </c>
      <c r="AH81" s="1269">
        <v>61908</v>
      </c>
      <c r="AI81" s="1270">
        <v>1639</v>
      </c>
      <c r="AJ81" s="1269">
        <v>62042</v>
      </c>
      <c r="AK81" s="1270">
        <v>1634</v>
      </c>
      <c r="AL81" s="1269">
        <v>63514</v>
      </c>
      <c r="AM81" s="1270">
        <v>2090</v>
      </c>
      <c r="AN81" s="1271">
        <v>61955</v>
      </c>
      <c r="AO81" s="1270">
        <v>3851</v>
      </c>
      <c r="AP81" s="1269">
        <v>61047</v>
      </c>
      <c r="AQ81" s="1270">
        <v>4121</v>
      </c>
      <c r="AR81" s="415">
        <v>61922</v>
      </c>
      <c r="AS81" s="416">
        <v>3695</v>
      </c>
      <c r="AT81" s="417">
        <v>61773</v>
      </c>
      <c r="AU81" s="418">
        <v>3367</v>
      </c>
      <c r="AV81" s="417">
        <v>62016</v>
      </c>
      <c r="AW81" s="1322">
        <v>3288</v>
      </c>
      <c r="AX81" s="1325">
        <v>63557</v>
      </c>
      <c r="AY81" s="1326">
        <v>2956</v>
      </c>
      <c r="AZ81" s="1469">
        <v>62552</v>
      </c>
      <c r="BA81" s="1489">
        <v>2501</v>
      </c>
      <c r="BB81" s="1469">
        <v>62110</v>
      </c>
      <c r="BC81" s="1489">
        <v>2252</v>
      </c>
    </row>
    <row r="82" spans="1:55" x14ac:dyDescent="0.25">
      <c r="A82" s="403" t="s">
        <v>204</v>
      </c>
      <c r="B82" s="423" t="s">
        <v>205</v>
      </c>
      <c r="C82" s="187" t="s">
        <v>265</v>
      </c>
      <c r="D82" s="405">
        <f t="shared" si="47"/>
        <v>2.3680438711285598E-2</v>
      </c>
      <c r="E82" s="406">
        <f t="shared" si="48"/>
        <v>3.1662911770078551E-2</v>
      </c>
      <c r="F82" s="407">
        <f t="shared" si="49"/>
        <v>3.9747709151493511E-2</v>
      </c>
      <c r="G82" s="407">
        <f t="shared" si="50"/>
        <v>4.1165479388064932E-2</v>
      </c>
      <c r="H82" s="407">
        <f t="shared" si="51"/>
        <v>3.6937742031575814E-2</v>
      </c>
      <c r="I82" s="407">
        <f t="shared" si="52"/>
        <v>3.484484073444008E-2</v>
      </c>
      <c r="J82" s="407">
        <f t="shared" si="53"/>
        <v>3.1052600507704115E-2</v>
      </c>
      <c r="K82" s="407">
        <f t="shared" si="54"/>
        <v>3.3134134074906813E-2</v>
      </c>
      <c r="L82" s="407">
        <f t="shared" si="55"/>
        <v>4.6557075525922517E-2</v>
      </c>
      <c r="M82" s="407">
        <f t="shared" si="56"/>
        <v>7.5846833578792336E-2</v>
      </c>
      <c r="N82" s="407">
        <f t="shared" si="57"/>
        <v>8.5301837270341213E-2</v>
      </c>
      <c r="O82" s="408">
        <f t="shared" si="58"/>
        <v>7.6588389557754197E-2</v>
      </c>
      <c r="P82" s="409">
        <f t="shared" si="59"/>
        <v>6.4341517857142858E-2</v>
      </c>
      <c r="Q82" s="1313">
        <f t="shared" si="60"/>
        <v>6.0816232947380491E-2</v>
      </c>
      <c r="R82" s="1316">
        <f t="shared" si="61"/>
        <v>5.8171218553957293E-2</v>
      </c>
      <c r="S82" s="1483">
        <f t="shared" si="46"/>
        <v>5.3609201480698046E-2</v>
      </c>
      <c r="T82" s="1483">
        <f t="shared" si="62"/>
        <v>4.8255850627641456E-2</v>
      </c>
      <c r="U82" s="216"/>
      <c r="V82" s="420">
        <v>16047</v>
      </c>
      <c r="W82" s="421">
        <v>380</v>
      </c>
      <c r="X82" s="1269">
        <v>16423</v>
      </c>
      <c r="Y82" s="1270">
        <v>520</v>
      </c>
      <c r="Z82" s="1269">
        <v>16806</v>
      </c>
      <c r="AA82" s="1270">
        <v>668</v>
      </c>
      <c r="AB82" s="1269">
        <v>17126</v>
      </c>
      <c r="AC82" s="1270">
        <v>705</v>
      </c>
      <c r="AD82" s="1269">
        <v>16785</v>
      </c>
      <c r="AE82" s="1270">
        <v>620</v>
      </c>
      <c r="AF82" s="1269">
        <v>17047</v>
      </c>
      <c r="AG82" s="1270">
        <v>594</v>
      </c>
      <c r="AH82" s="1269">
        <v>16939</v>
      </c>
      <c r="AI82" s="1270">
        <v>526</v>
      </c>
      <c r="AJ82" s="1269">
        <v>16901</v>
      </c>
      <c r="AK82" s="1270">
        <v>560</v>
      </c>
      <c r="AL82" s="1269">
        <v>17398</v>
      </c>
      <c r="AM82" s="1270">
        <v>810</v>
      </c>
      <c r="AN82" s="1271">
        <v>17654</v>
      </c>
      <c r="AO82" s="1270">
        <v>1339</v>
      </c>
      <c r="AP82" s="1269">
        <v>16764</v>
      </c>
      <c r="AQ82" s="1270">
        <v>1430</v>
      </c>
      <c r="AR82" s="415">
        <v>16778</v>
      </c>
      <c r="AS82" s="416">
        <v>1285</v>
      </c>
      <c r="AT82" s="417">
        <v>17920</v>
      </c>
      <c r="AU82" s="418">
        <v>1153</v>
      </c>
      <c r="AV82" s="417">
        <v>17446</v>
      </c>
      <c r="AW82" s="1322">
        <v>1061</v>
      </c>
      <c r="AX82" s="1325">
        <v>15781</v>
      </c>
      <c r="AY82" s="1326">
        <v>918</v>
      </c>
      <c r="AZ82" s="1469">
        <v>15128</v>
      </c>
      <c r="BA82" s="1489">
        <v>811</v>
      </c>
      <c r="BB82" s="1469">
        <v>15853</v>
      </c>
      <c r="BC82" s="1489">
        <v>765</v>
      </c>
    </row>
    <row r="83" spans="1:55" x14ac:dyDescent="0.25">
      <c r="A83" s="403" t="s">
        <v>206</v>
      </c>
      <c r="B83" s="419" t="s">
        <v>207</v>
      </c>
      <c r="C83" s="187" t="s">
        <v>267</v>
      </c>
      <c r="D83" s="405">
        <f t="shared" si="47"/>
        <v>1.8901273310969233E-2</v>
      </c>
      <c r="E83" s="406">
        <f t="shared" si="48"/>
        <v>2.5413409102941955E-2</v>
      </c>
      <c r="F83" s="407">
        <f t="shared" si="49"/>
        <v>3.5456493784826404E-2</v>
      </c>
      <c r="G83" s="407">
        <f t="shared" si="50"/>
        <v>3.4176214934808373E-2</v>
      </c>
      <c r="H83" s="407">
        <f t="shared" si="51"/>
        <v>3.2957066740084535E-2</v>
      </c>
      <c r="I83" s="407">
        <f t="shared" si="52"/>
        <v>3.2440331222601072E-2</v>
      </c>
      <c r="J83" s="407">
        <f t="shared" si="53"/>
        <v>2.5767389467755562E-2</v>
      </c>
      <c r="K83" s="407">
        <f t="shared" si="54"/>
        <v>2.657204933022805E-2</v>
      </c>
      <c r="L83" s="407">
        <f t="shared" si="55"/>
        <v>3.6388408370711695E-2</v>
      </c>
      <c r="M83" s="407">
        <f t="shared" si="56"/>
        <v>6.4100787013507063E-2</v>
      </c>
      <c r="N83" s="407">
        <f t="shared" si="57"/>
        <v>7.0191722458916611E-2</v>
      </c>
      <c r="O83" s="408">
        <f t="shared" si="58"/>
        <v>6.3634207092871542E-2</v>
      </c>
      <c r="P83" s="409">
        <f t="shared" si="59"/>
        <v>5.908467910136464E-2</v>
      </c>
      <c r="Q83" s="1313">
        <f t="shared" si="60"/>
        <v>5.369569446730818E-2</v>
      </c>
      <c r="R83" s="1316">
        <f t="shared" si="61"/>
        <v>5.150875679672217E-2</v>
      </c>
      <c r="S83" s="1483">
        <f t="shared" si="46"/>
        <v>4.5616547087295532E-2</v>
      </c>
      <c r="T83" s="1483">
        <f t="shared" si="62"/>
        <v>3.9263860559985167E-2</v>
      </c>
      <c r="U83" s="216"/>
      <c r="V83" s="420">
        <v>55446</v>
      </c>
      <c r="W83" s="421">
        <v>1048</v>
      </c>
      <c r="X83" s="1269">
        <v>56663</v>
      </c>
      <c r="Y83" s="1270">
        <v>1440</v>
      </c>
      <c r="Z83" s="1269">
        <v>58325</v>
      </c>
      <c r="AA83" s="1270">
        <v>2068</v>
      </c>
      <c r="AB83" s="1269">
        <v>60744</v>
      </c>
      <c r="AC83" s="1270">
        <v>2076</v>
      </c>
      <c r="AD83" s="1269">
        <v>61747</v>
      </c>
      <c r="AE83" s="1270">
        <v>2035</v>
      </c>
      <c r="AF83" s="1269">
        <v>61590</v>
      </c>
      <c r="AG83" s="1270">
        <v>1998</v>
      </c>
      <c r="AH83" s="1269">
        <v>63918</v>
      </c>
      <c r="AI83" s="1270">
        <v>1647</v>
      </c>
      <c r="AJ83" s="1269">
        <v>63977</v>
      </c>
      <c r="AK83" s="1270">
        <v>1700</v>
      </c>
      <c r="AL83" s="1269">
        <v>65323</v>
      </c>
      <c r="AM83" s="1270">
        <v>2377</v>
      </c>
      <c r="AN83" s="1271">
        <v>64929</v>
      </c>
      <c r="AO83" s="1270">
        <v>4162</v>
      </c>
      <c r="AP83" s="1269">
        <v>65720</v>
      </c>
      <c r="AQ83" s="1270">
        <v>4613</v>
      </c>
      <c r="AR83" s="415">
        <v>67448</v>
      </c>
      <c r="AS83" s="416">
        <v>4292</v>
      </c>
      <c r="AT83" s="417">
        <v>67124</v>
      </c>
      <c r="AU83" s="418">
        <v>3966</v>
      </c>
      <c r="AV83" s="417">
        <v>66821</v>
      </c>
      <c r="AW83" s="1322">
        <v>3588</v>
      </c>
      <c r="AX83" s="1325">
        <v>64921</v>
      </c>
      <c r="AY83" s="1326">
        <v>3344</v>
      </c>
      <c r="AZ83" s="1469">
        <v>64253</v>
      </c>
      <c r="BA83" s="1489">
        <v>2931</v>
      </c>
      <c r="BB83" s="1469">
        <v>64716</v>
      </c>
      <c r="BC83" s="1489">
        <v>2541</v>
      </c>
    </row>
    <row r="84" spans="1:55" ht="15" customHeight="1" x14ac:dyDescent="0.25">
      <c r="A84" s="403" t="s">
        <v>208</v>
      </c>
      <c r="B84" s="419" t="s">
        <v>209</v>
      </c>
      <c r="C84" s="187" t="s">
        <v>268</v>
      </c>
      <c r="D84" s="405">
        <f t="shared" si="47"/>
        <v>5.1403851047586734E-2</v>
      </c>
      <c r="E84" s="406">
        <f t="shared" si="48"/>
        <v>6.3865688011473895E-2</v>
      </c>
      <c r="F84" s="407">
        <f t="shared" si="49"/>
        <v>6.3125102475815709E-2</v>
      </c>
      <c r="G84" s="407">
        <f t="shared" si="50"/>
        <v>6.1736334405144692E-2</v>
      </c>
      <c r="H84" s="407">
        <f t="shared" si="51"/>
        <v>5.7250277706570964E-2</v>
      </c>
      <c r="I84" s="407">
        <f t="shared" si="52"/>
        <v>5.6788891660430697E-2</v>
      </c>
      <c r="J84" s="407">
        <f t="shared" si="53"/>
        <v>5.9470433973437105E-2</v>
      </c>
      <c r="K84" s="407">
        <f t="shared" si="54"/>
        <v>5.1894844656879484E-2</v>
      </c>
      <c r="L84" s="407">
        <f t="shared" si="55"/>
        <v>5.7532172596517793E-2</v>
      </c>
      <c r="M84" s="407">
        <f t="shared" si="56"/>
        <v>0.10896972617040071</v>
      </c>
      <c r="N84" s="407">
        <f t="shared" si="57"/>
        <v>0.10420352118608374</v>
      </c>
      <c r="O84" s="408">
        <f t="shared" si="58"/>
        <v>9.5234042553191484E-2</v>
      </c>
      <c r="P84" s="409">
        <f t="shared" si="59"/>
        <v>8.8095656761033939E-2</v>
      </c>
      <c r="Q84" s="1313">
        <f t="shared" si="60"/>
        <v>8.7357954545454544E-2</v>
      </c>
      <c r="R84" s="1316">
        <f t="shared" si="61"/>
        <v>7.9685150791545062E-2</v>
      </c>
      <c r="S84" s="1483">
        <f t="shared" si="46"/>
        <v>6.486346799896632E-2</v>
      </c>
      <c r="T84" s="1483">
        <f t="shared" si="62"/>
        <v>6.4773338111449558E-2</v>
      </c>
      <c r="U84" s="216"/>
      <c r="V84" s="410">
        <v>11789</v>
      </c>
      <c r="W84" s="411">
        <v>606</v>
      </c>
      <c r="X84" s="412">
        <v>11853</v>
      </c>
      <c r="Y84" s="413">
        <v>757</v>
      </c>
      <c r="Z84" s="412">
        <v>12198</v>
      </c>
      <c r="AA84" s="413">
        <v>770</v>
      </c>
      <c r="AB84" s="412">
        <v>12440</v>
      </c>
      <c r="AC84" s="413">
        <v>768</v>
      </c>
      <c r="AD84" s="412">
        <v>11703</v>
      </c>
      <c r="AE84" s="413">
        <v>670</v>
      </c>
      <c r="AF84" s="412">
        <v>12027</v>
      </c>
      <c r="AG84" s="413">
        <v>683</v>
      </c>
      <c r="AH84" s="412">
        <v>11821</v>
      </c>
      <c r="AI84" s="413">
        <v>703</v>
      </c>
      <c r="AJ84" s="412">
        <v>11716</v>
      </c>
      <c r="AK84" s="413">
        <v>608</v>
      </c>
      <c r="AL84" s="412">
        <v>11889</v>
      </c>
      <c r="AM84" s="413">
        <v>684</v>
      </c>
      <c r="AN84" s="414">
        <v>12453</v>
      </c>
      <c r="AO84" s="413">
        <v>1357</v>
      </c>
      <c r="AP84" s="412">
        <v>11871</v>
      </c>
      <c r="AQ84" s="413">
        <v>1237</v>
      </c>
      <c r="AR84" s="415">
        <v>11750</v>
      </c>
      <c r="AS84" s="416">
        <v>1119</v>
      </c>
      <c r="AT84" s="417">
        <v>11374</v>
      </c>
      <c r="AU84" s="418">
        <v>1002</v>
      </c>
      <c r="AV84" s="417">
        <v>11264</v>
      </c>
      <c r="AW84" s="1322">
        <v>984</v>
      </c>
      <c r="AX84" s="1325">
        <v>11307</v>
      </c>
      <c r="AY84" s="1326">
        <v>901</v>
      </c>
      <c r="AZ84" s="1469">
        <v>11609</v>
      </c>
      <c r="BA84" s="1489">
        <v>753</v>
      </c>
      <c r="BB84" s="1469">
        <v>11162</v>
      </c>
      <c r="BC84" s="1489">
        <v>723</v>
      </c>
    </row>
    <row r="85" spans="1:55" ht="15" customHeight="1" x14ac:dyDescent="0.25">
      <c r="A85" s="403" t="s">
        <v>210</v>
      </c>
      <c r="B85" s="419" t="s">
        <v>211</v>
      </c>
      <c r="C85" s="187" t="s">
        <v>268</v>
      </c>
      <c r="D85" s="405">
        <f t="shared" si="47"/>
        <v>3.8105046343975282E-2</v>
      </c>
      <c r="E85" s="406">
        <f t="shared" si="48"/>
        <v>4.6062101583384744E-2</v>
      </c>
      <c r="F85" s="407">
        <f t="shared" si="49"/>
        <v>5.2930440073007505E-2</v>
      </c>
      <c r="G85" s="407">
        <f t="shared" si="50"/>
        <v>5.4459905896486131E-2</v>
      </c>
      <c r="H85" s="407">
        <f t="shared" si="51"/>
        <v>5.5223426892288985E-2</v>
      </c>
      <c r="I85" s="407">
        <f t="shared" si="52"/>
        <v>5.1694311590515928E-2</v>
      </c>
      <c r="J85" s="407">
        <f t="shared" si="53"/>
        <v>4.8620897926313668E-2</v>
      </c>
      <c r="K85" s="407">
        <f t="shared" si="54"/>
        <v>4.66331864302552E-2</v>
      </c>
      <c r="L85" s="407">
        <f t="shared" si="55"/>
        <v>5.4281194384022145E-2</v>
      </c>
      <c r="M85" s="407">
        <f t="shared" si="56"/>
        <v>9.8888888888888887E-2</v>
      </c>
      <c r="N85" s="407">
        <f t="shared" si="57"/>
        <v>9.7534081796311151E-2</v>
      </c>
      <c r="O85" s="408">
        <f t="shared" si="58"/>
        <v>8.2663491118388416E-2</v>
      </c>
      <c r="P85" s="409">
        <f t="shared" si="59"/>
        <v>8.5585133098945249E-2</v>
      </c>
      <c r="Q85" s="1313">
        <f t="shared" si="60"/>
        <v>7.3705583756345172E-2</v>
      </c>
      <c r="R85" s="1316">
        <f t="shared" si="61"/>
        <v>5.8511702340468097E-2</v>
      </c>
      <c r="S85" s="1483">
        <f t="shared" si="46"/>
        <v>5.1364200082678793E-2</v>
      </c>
      <c r="T85" s="1483">
        <f t="shared" si="62"/>
        <v>4.8252560447682398E-2</v>
      </c>
      <c r="U85" s="216"/>
      <c r="V85" s="410">
        <v>9710</v>
      </c>
      <c r="W85" s="411">
        <v>370</v>
      </c>
      <c r="X85" s="412">
        <v>9726</v>
      </c>
      <c r="Y85" s="413">
        <v>448</v>
      </c>
      <c r="Z85" s="412">
        <v>9862</v>
      </c>
      <c r="AA85" s="413">
        <v>522</v>
      </c>
      <c r="AB85" s="412">
        <v>9989</v>
      </c>
      <c r="AC85" s="413">
        <v>544</v>
      </c>
      <c r="AD85" s="412">
        <v>9869</v>
      </c>
      <c r="AE85" s="413">
        <v>545</v>
      </c>
      <c r="AF85" s="412">
        <v>9827</v>
      </c>
      <c r="AG85" s="413">
        <v>508</v>
      </c>
      <c r="AH85" s="412">
        <v>9934</v>
      </c>
      <c r="AI85" s="413">
        <v>483</v>
      </c>
      <c r="AJ85" s="412">
        <v>9757</v>
      </c>
      <c r="AK85" s="413">
        <v>455</v>
      </c>
      <c r="AL85" s="412">
        <v>10114</v>
      </c>
      <c r="AM85" s="413">
        <v>549</v>
      </c>
      <c r="AN85" s="414">
        <v>9900</v>
      </c>
      <c r="AO85" s="413">
        <v>979</v>
      </c>
      <c r="AP85" s="412">
        <v>9976</v>
      </c>
      <c r="AQ85" s="413">
        <v>973</v>
      </c>
      <c r="AR85" s="415">
        <v>10077</v>
      </c>
      <c r="AS85" s="416">
        <v>833</v>
      </c>
      <c r="AT85" s="417">
        <v>9955</v>
      </c>
      <c r="AU85" s="418">
        <v>852</v>
      </c>
      <c r="AV85" s="417">
        <v>9850</v>
      </c>
      <c r="AW85" s="1322">
        <v>726</v>
      </c>
      <c r="AX85" s="1325">
        <v>9998</v>
      </c>
      <c r="AY85" s="1326">
        <v>585</v>
      </c>
      <c r="AZ85" s="1469">
        <v>9676</v>
      </c>
      <c r="BA85" s="1489">
        <v>497</v>
      </c>
      <c r="BB85" s="1469">
        <v>9471</v>
      </c>
      <c r="BC85" s="1489">
        <v>457</v>
      </c>
    </row>
    <row r="86" spans="1:55" ht="15" customHeight="1" x14ac:dyDescent="0.25">
      <c r="A86" s="403" t="s">
        <v>212</v>
      </c>
      <c r="B86" s="419" t="s">
        <v>213</v>
      </c>
      <c r="C86" s="187" t="s">
        <v>267</v>
      </c>
      <c r="D86" s="405">
        <f t="shared" si="47"/>
        <v>1.7770773327536547E-2</v>
      </c>
      <c r="E86" s="406">
        <f t="shared" si="48"/>
        <v>2.4315946985891408E-2</v>
      </c>
      <c r="F86" s="407">
        <f t="shared" si="49"/>
        <v>3.1119465329991644E-2</v>
      </c>
      <c r="G86" s="407">
        <f t="shared" si="50"/>
        <v>3.8794882377218322E-2</v>
      </c>
      <c r="H86" s="407">
        <f t="shared" si="51"/>
        <v>3.2581712867190735E-2</v>
      </c>
      <c r="I86" s="407">
        <f t="shared" si="52"/>
        <v>3.0235162374020158E-2</v>
      </c>
      <c r="J86" s="407">
        <f t="shared" si="53"/>
        <v>2.9779931354734505E-2</v>
      </c>
      <c r="K86" s="407">
        <f t="shared" si="54"/>
        <v>3.2089589715261387E-2</v>
      </c>
      <c r="L86" s="407">
        <f t="shared" si="55"/>
        <v>4.6618095894457028E-2</v>
      </c>
      <c r="M86" s="407">
        <f t="shared" si="56"/>
        <v>8.495862884160757E-2</v>
      </c>
      <c r="N86" s="407">
        <f t="shared" si="57"/>
        <v>8.5925330385407769E-2</v>
      </c>
      <c r="O86" s="408">
        <f t="shared" si="58"/>
        <v>7.2882534008539376E-2</v>
      </c>
      <c r="P86" s="409">
        <f t="shared" si="59"/>
        <v>6.5834680679062244E-2</v>
      </c>
      <c r="Q86" s="1313">
        <f t="shared" si="60"/>
        <v>5.9222858300825777E-2</v>
      </c>
      <c r="R86" s="1316">
        <f t="shared" si="61"/>
        <v>4.9906103286384979E-2</v>
      </c>
      <c r="S86" s="1483">
        <f t="shared" si="46"/>
        <v>4.2589277301422784E-2</v>
      </c>
      <c r="T86" s="1483">
        <f t="shared" si="62"/>
        <v>3.7275125929479493E-2</v>
      </c>
      <c r="U86" s="216"/>
      <c r="V86" s="410">
        <v>18401</v>
      </c>
      <c r="W86" s="411">
        <v>327</v>
      </c>
      <c r="X86" s="412">
        <v>18712</v>
      </c>
      <c r="Y86" s="413">
        <v>455</v>
      </c>
      <c r="Z86" s="412">
        <v>19152</v>
      </c>
      <c r="AA86" s="413">
        <v>596</v>
      </c>
      <c r="AB86" s="412">
        <v>19384</v>
      </c>
      <c r="AC86" s="413">
        <v>752</v>
      </c>
      <c r="AD86" s="412">
        <v>19336</v>
      </c>
      <c r="AE86" s="413">
        <v>630</v>
      </c>
      <c r="AF86" s="412">
        <v>19646</v>
      </c>
      <c r="AG86" s="413">
        <v>594</v>
      </c>
      <c r="AH86" s="412">
        <v>19812</v>
      </c>
      <c r="AI86" s="413">
        <v>590</v>
      </c>
      <c r="AJ86" s="412">
        <v>19913</v>
      </c>
      <c r="AK86" s="413">
        <v>639</v>
      </c>
      <c r="AL86" s="412">
        <v>20314</v>
      </c>
      <c r="AM86" s="413">
        <v>947</v>
      </c>
      <c r="AN86" s="414">
        <v>20304</v>
      </c>
      <c r="AO86" s="413">
        <v>1725</v>
      </c>
      <c r="AP86" s="412">
        <v>19901</v>
      </c>
      <c r="AQ86" s="413">
        <v>1710</v>
      </c>
      <c r="AR86" s="415">
        <v>20142</v>
      </c>
      <c r="AS86" s="416">
        <v>1468</v>
      </c>
      <c r="AT86" s="417">
        <v>19792</v>
      </c>
      <c r="AU86" s="418">
        <v>1303</v>
      </c>
      <c r="AV86" s="417">
        <v>19739</v>
      </c>
      <c r="AW86" s="1322">
        <v>1169</v>
      </c>
      <c r="AX86" s="1325">
        <v>21300</v>
      </c>
      <c r="AY86" s="1326">
        <v>1063</v>
      </c>
      <c r="AZ86" s="1469">
        <v>21226</v>
      </c>
      <c r="BA86" s="1489">
        <v>904</v>
      </c>
      <c r="BB86" s="1469">
        <v>20845</v>
      </c>
      <c r="BC86" s="1489">
        <v>777</v>
      </c>
    </row>
    <row r="87" spans="1:55" ht="15" customHeight="1" x14ac:dyDescent="0.25">
      <c r="A87" s="403" t="s">
        <v>214</v>
      </c>
      <c r="B87" s="419" t="s">
        <v>215</v>
      </c>
      <c r="C87" s="187" t="s">
        <v>268</v>
      </c>
      <c r="D87" s="405">
        <f t="shared" si="47"/>
        <v>4.3136259832529812E-2</v>
      </c>
      <c r="E87" s="406">
        <f t="shared" si="48"/>
        <v>6.3496160547202682E-2</v>
      </c>
      <c r="F87" s="407">
        <f t="shared" si="49"/>
        <v>8.028304921196526E-2</v>
      </c>
      <c r="G87" s="407">
        <f t="shared" si="50"/>
        <v>7.5430359937402186E-2</v>
      </c>
      <c r="H87" s="407">
        <f t="shared" si="51"/>
        <v>5.1024327784891167E-2</v>
      </c>
      <c r="I87" s="407">
        <f t="shared" si="52"/>
        <v>4.590080326405712E-2</v>
      </c>
      <c r="J87" s="407">
        <f t="shared" si="53"/>
        <v>4.6235998958061998E-2</v>
      </c>
      <c r="K87" s="407">
        <f t="shared" si="54"/>
        <v>5.4888622115512875E-2</v>
      </c>
      <c r="L87" s="407">
        <f t="shared" si="55"/>
        <v>6.094420600858369E-2</v>
      </c>
      <c r="M87" s="407">
        <f t="shared" si="56"/>
        <v>0.11512444999014908</v>
      </c>
      <c r="N87" s="407">
        <f t="shared" si="57"/>
        <v>0.11354935739677331</v>
      </c>
      <c r="O87" s="408">
        <f t="shared" si="58"/>
        <v>0.10046903677520223</v>
      </c>
      <c r="P87" s="409">
        <f t="shared" si="59"/>
        <v>8.82891770011274E-2</v>
      </c>
      <c r="Q87" s="1313">
        <f t="shared" si="60"/>
        <v>8.3687340696686485E-2</v>
      </c>
      <c r="R87" s="1316">
        <f t="shared" si="61"/>
        <v>7.7559231113097898E-2</v>
      </c>
      <c r="S87" s="1483">
        <f t="shared" si="46"/>
        <v>6.4801178203240065E-2</v>
      </c>
      <c r="T87" s="1483">
        <f t="shared" si="62"/>
        <v>5.7692307692307696E-2</v>
      </c>
      <c r="U87" s="216"/>
      <c r="V87" s="410">
        <v>15764</v>
      </c>
      <c r="W87" s="411">
        <v>680</v>
      </c>
      <c r="X87" s="412">
        <v>15497</v>
      </c>
      <c r="Y87" s="413">
        <v>984</v>
      </c>
      <c r="Z87" s="412">
        <v>15545</v>
      </c>
      <c r="AA87" s="413">
        <v>1248</v>
      </c>
      <c r="AB87" s="412">
        <v>15975</v>
      </c>
      <c r="AC87" s="413">
        <v>1205</v>
      </c>
      <c r="AD87" s="412">
        <v>15620</v>
      </c>
      <c r="AE87" s="413">
        <v>797</v>
      </c>
      <c r="AF87" s="412">
        <v>15686</v>
      </c>
      <c r="AG87" s="413">
        <v>720</v>
      </c>
      <c r="AH87" s="412">
        <v>15356</v>
      </c>
      <c r="AI87" s="413">
        <v>710</v>
      </c>
      <c r="AJ87" s="412">
        <v>14994</v>
      </c>
      <c r="AK87" s="413">
        <v>823</v>
      </c>
      <c r="AL87" s="412">
        <v>15145</v>
      </c>
      <c r="AM87" s="413">
        <v>923</v>
      </c>
      <c r="AN87" s="414">
        <v>15227</v>
      </c>
      <c r="AO87" s="413">
        <v>1753</v>
      </c>
      <c r="AP87" s="412">
        <v>14628</v>
      </c>
      <c r="AQ87" s="413">
        <v>1661</v>
      </c>
      <c r="AR87" s="415">
        <v>14711</v>
      </c>
      <c r="AS87" s="416">
        <v>1478</v>
      </c>
      <c r="AT87" s="417">
        <v>14192</v>
      </c>
      <c r="AU87" s="418">
        <v>1253</v>
      </c>
      <c r="AV87" s="417">
        <v>14124</v>
      </c>
      <c r="AW87" s="1322">
        <v>1182</v>
      </c>
      <c r="AX87" s="1325">
        <v>13422</v>
      </c>
      <c r="AY87" s="1326">
        <v>1041</v>
      </c>
      <c r="AZ87" s="1469">
        <v>13580</v>
      </c>
      <c r="BA87" s="1489">
        <v>880</v>
      </c>
      <c r="BB87" s="1469">
        <v>13728</v>
      </c>
      <c r="BC87" s="1489">
        <v>792</v>
      </c>
    </row>
    <row r="88" spans="1:55" ht="15" customHeight="1" x14ac:dyDescent="0.25">
      <c r="A88" s="403" t="s">
        <v>216</v>
      </c>
      <c r="B88" s="419" t="s">
        <v>217</v>
      </c>
      <c r="C88" s="187" t="s">
        <v>264</v>
      </c>
      <c r="D88" s="405">
        <f t="shared" si="47"/>
        <v>2.7408303103587262E-2</v>
      </c>
      <c r="E88" s="406">
        <f t="shared" si="48"/>
        <v>3.2240585207260905E-2</v>
      </c>
      <c r="F88" s="407">
        <f t="shared" si="49"/>
        <v>4.1750301083902049E-2</v>
      </c>
      <c r="G88" s="407">
        <f t="shared" si="50"/>
        <v>4.3705153294194388E-2</v>
      </c>
      <c r="H88" s="407">
        <f t="shared" si="51"/>
        <v>4.1904256729876674E-2</v>
      </c>
      <c r="I88" s="407">
        <f t="shared" si="52"/>
        <v>4.1347424042272124E-2</v>
      </c>
      <c r="J88" s="407">
        <f t="shared" si="53"/>
        <v>3.6203264876250661E-2</v>
      </c>
      <c r="K88" s="407">
        <f t="shared" si="54"/>
        <v>3.6149312377210217E-2</v>
      </c>
      <c r="L88" s="407">
        <f t="shared" si="55"/>
        <v>4.8146779953207736E-2</v>
      </c>
      <c r="M88" s="407">
        <f t="shared" si="56"/>
        <v>8.2615119428712136E-2</v>
      </c>
      <c r="N88" s="407">
        <f t="shared" si="57"/>
        <v>0.10273466371027347</v>
      </c>
      <c r="O88" s="408">
        <f t="shared" si="58"/>
        <v>9.1101168282376341E-2</v>
      </c>
      <c r="P88" s="409">
        <f t="shared" si="59"/>
        <v>7.4524048096192383E-2</v>
      </c>
      <c r="Q88" s="1313">
        <f t="shared" si="60"/>
        <v>7.0066975785677485E-2</v>
      </c>
      <c r="R88" s="1316">
        <f t="shared" si="61"/>
        <v>5.0125586982636236E-2</v>
      </c>
      <c r="S88" s="1483">
        <f t="shared" si="46"/>
        <v>4.0264097846087241E-2</v>
      </c>
      <c r="T88" s="1483">
        <f t="shared" si="62"/>
        <v>3.8946669617171942E-2</v>
      </c>
      <c r="U88" s="216"/>
      <c r="V88" s="410">
        <v>7443</v>
      </c>
      <c r="W88" s="411">
        <v>204</v>
      </c>
      <c r="X88" s="412">
        <v>7382</v>
      </c>
      <c r="Y88" s="413">
        <v>238</v>
      </c>
      <c r="Z88" s="412">
        <v>7473</v>
      </c>
      <c r="AA88" s="413">
        <v>312</v>
      </c>
      <c r="AB88" s="412">
        <v>7665</v>
      </c>
      <c r="AC88" s="413">
        <v>335</v>
      </c>
      <c r="AD88" s="412">
        <v>7541</v>
      </c>
      <c r="AE88" s="413">
        <v>316</v>
      </c>
      <c r="AF88" s="412">
        <v>7570</v>
      </c>
      <c r="AG88" s="413">
        <v>313</v>
      </c>
      <c r="AH88" s="412">
        <v>7596</v>
      </c>
      <c r="AI88" s="413">
        <v>275</v>
      </c>
      <c r="AJ88" s="412">
        <v>7635</v>
      </c>
      <c r="AK88" s="413">
        <v>276</v>
      </c>
      <c r="AL88" s="412">
        <v>8121</v>
      </c>
      <c r="AM88" s="413">
        <v>391</v>
      </c>
      <c r="AN88" s="414">
        <v>8122</v>
      </c>
      <c r="AO88" s="413">
        <v>671</v>
      </c>
      <c r="AP88" s="412">
        <v>8118</v>
      </c>
      <c r="AQ88" s="413">
        <v>834</v>
      </c>
      <c r="AR88" s="415">
        <v>8046</v>
      </c>
      <c r="AS88" s="416">
        <v>733</v>
      </c>
      <c r="AT88" s="417">
        <v>7984</v>
      </c>
      <c r="AU88" s="418">
        <v>595</v>
      </c>
      <c r="AV88" s="417">
        <v>7764</v>
      </c>
      <c r="AW88" s="1322">
        <v>544</v>
      </c>
      <c r="AX88" s="1325">
        <v>9157</v>
      </c>
      <c r="AY88" s="1326">
        <v>459</v>
      </c>
      <c r="AZ88" s="1469">
        <v>9239</v>
      </c>
      <c r="BA88" s="1489">
        <v>372</v>
      </c>
      <c r="BB88" s="1469">
        <v>9038</v>
      </c>
      <c r="BC88" s="1489">
        <v>352</v>
      </c>
    </row>
    <row r="89" spans="1:55" ht="15" customHeight="1" x14ac:dyDescent="0.25">
      <c r="A89" s="403" t="s">
        <v>218</v>
      </c>
      <c r="B89" s="419" t="s">
        <v>219</v>
      </c>
      <c r="C89" s="187" t="s">
        <v>267</v>
      </c>
      <c r="D89" s="405">
        <f t="shared" si="47"/>
        <v>1.6980427931663628E-2</v>
      </c>
      <c r="E89" s="406">
        <f t="shared" si="48"/>
        <v>2.0994322662040689E-2</v>
      </c>
      <c r="F89" s="407">
        <f t="shared" si="49"/>
        <v>2.8757511290262383E-2</v>
      </c>
      <c r="G89" s="407">
        <f t="shared" si="50"/>
        <v>3.0428129114915121E-2</v>
      </c>
      <c r="H89" s="407">
        <f t="shared" si="51"/>
        <v>2.8156144774023249E-2</v>
      </c>
      <c r="I89" s="407">
        <f t="shared" si="52"/>
        <v>2.6717618535347858E-2</v>
      </c>
      <c r="J89" s="407">
        <f t="shared" si="53"/>
        <v>2.4145212881587528E-2</v>
      </c>
      <c r="K89" s="407">
        <f t="shared" si="54"/>
        <v>2.553184876691893E-2</v>
      </c>
      <c r="L89" s="407">
        <f t="shared" si="55"/>
        <v>3.4221163127413128E-2</v>
      </c>
      <c r="M89" s="407">
        <f t="shared" si="56"/>
        <v>5.8377896613190733E-2</v>
      </c>
      <c r="N89" s="407">
        <f t="shared" si="57"/>
        <v>6.5334896539123291E-2</v>
      </c>
      <c r="O89" s="408">
        <f t="shared" si="58"/>
        <v>6.1160794670187861E-2</v>
      </c>
      <c r="P89" s="409">
        <f t="shared" si="59"/>
        <v>5.3909979369644763E-2</v>
      </c>
      <c r="Q89" s="1313">
        <f t="shared" si="60"/>
        <v>5.1802778567049006E-2</v>
      </c>
      <c r="R89" s="1316">
        <f t="shared" si="61"/>
        <v>5.3159758901385697E-2</v>
      </c>
      <c r="S89" s="1483">
        <f t="shared" si="46"/>
        <v>4.6234211757367846E-2</v>
      </c>
      <c r="T89" s="1483">
        <f t="shared" si="62"/>
        <v>4.0604885614579297E-2</v>
      </c>
      <c r="U89" s="216"/>
      <c r="V89" s="410">
        <v>48232</v>
      </c>
      <c r="W89" s="411">
        <v>819</v>
      </c>
      <c r="X89" s="412">
        <v>50728</v>
      </c>
      <c r="Y89" s="413">
        <v>1065</v>
      </c>
      <c r="Z89" s="412">
        <v>53586</v>
      </c>
      <c r="AA89" s="413">
        <v>1541</v>
      </c>
      <c r="AB89" s="412">
        <v>56198</v>
      </c>
      <c r="AC89" s="413">
        <v>1710</v>
      </c>
      <c r="AD89" s="412">
        <v>59099</v>
      </c>
      <c r="AE89" s="413">
        <v>1664</v>
      </c>
      <c r="AF89" s="412">
        <v>62281</v>
      </c>
      <c r="AG89" s="413">
        <v>1664</v>
      </c>
      <c r="AH89" s="412">
        <v>64402</v>
      </c>
      <c r="AI89" s="413">
        <v>1555</v>
      </c>
      <c r="AJ89" s="412">
        <v>64351</v>
      </c>
      <c r="AK89" s="413">
        <v>1643</v>
      </c>
      <c r="AL89" s="412">
        <v>66304</v>
      </c>
      <c r="AM89" s="413">
        <v>2269</v>
      </c>
      <c r="AN89" s="414">
        <v>65076</v>
      </c>
      <c r="AO89" s="413">
        <v>3799</v>
      </c>
      <c r="AP89" s="412">
        <v>65677</v>
      </c>
      <c r="AQ89" s="413">
        <v>4291</v>
      </c>
      <c r="AR89" s="415">
        <v>66644</v>
      </c>
      <c r="AS89" s="416">
        <v>4076</v>
      </c>
      <c r="AT89" s="417">
        <v>66407</v>
      </c>
      <c r="AU89" s="418">
        <v>3580</v>
      </c>
      <c r="AV89" s="417">
        <v>66869</v>
      </c>
      <c r="AW89" s="1322">
        <v>3464</v>
      </c>
      <c r="AX89" s="1325">
        <v>64372</v>
      </c>
      <c r="AY89" s="1326">
        <v>3422</v>
      </c>
      <c r="AZ89" s="1469">
        <v>64130</v>
      </c>
      <c r="BA89" s="1489">
        <v>2965</v>
      </c>
      <c r="BB89" s="1469">
        <v>64475</v>
      </c>
      <c r="BC89" s="1489">
        <v>2618</v>
      </c>
    </row>
    <row r="90" spans="1:55" ht="15" customHeight="1" x14ac:dyDescent="0.25">
      <c r="A90" s="403" t="s">
        <v>220</v>
      </c>
      <c r="B90" s="419" t="s">
        <v>221</v>
      </c>
      <c r="C90" s="187" t="s">
        <v>267</v>
      </c>
      <c r="D90" s="405">
        <f t="shared" si="47"/>
        <v>1.6807246437029959E-2</v>
      </c>
      <c r="E90" s="406">
        <f t="shared" si="48"/>
        <v>2.2063042919049411E-2</v>
      </c>
      <c r="F90" s="407">
        <f t="shared" si="49"/>
        <v>3.0037781019713463E-2</v>
      </c>
      <c r="G90" s="407">
        <f t="shared" si="50"/>
        <v>3.0942911665566869E-2</v>
      </c>
      <c r="H90" s="407">
        <f t="shared" si="51"/>
        <v>2.7699759498141577E-2</v>
      </c>
      <c r="I90" s="407">
        <f t="shared" si="52"/>
        <v>2.6954177897574125E-2</v>
      </c>
      <c r="J90" s="407">
        <f t="shared" si="53"/>
        <v>2.4496649561382859E-2</v>
      </c>
      <c r="K90" s="407">
        <f t="shared" si="54"/>
        <v>2.63448984996962E-2</v>
      </c>
      <c r="L90" s="407">
        <f t="shared" si="55"/>
        <v>3.4499947132305184E-2</v>
      </c>
      <c r="M90" s="407">
        <f t="shared" si="56"/>
        <v>5.6831333373941646E-2</v>
      </c>
      <c r="N90" s="407">
        <f t="shared" si="57"/>
        <v>5.9401413125248922E-2</v>
      </c>
      <c r="O90" s="408">
        <f t="shared" si="58"/>
        <v>5.5870585187530582E-2</v>
      </c>
      <c r="P90" s="409">
        <f t="shared" si="59"/>
        <v>5.1501101857416791E-2</v>
      </c>
      <c r="Q90" s="1313">
        <f t="shared" si="60"/>
        <v>5.0866937200261073E-2</v>
      </c>
      <c r="R90" s="1316">
        <f t="shared" si="61"/>
        <v>5.2472204646117689E-2</v>
      </c>
      <c r="S90" s="1483">
        <f t="shared" si="46"/>
        <v>4.4738538091455463E-2</v>
      </c>
      <c r="T90" s="1483">
        <f t="shared" si="62"/>
        <v>3.9055323436157287E-2</v>
      </c>
      <c r="U90" s="216"/>
      <c r="V90" s="410">
        <v>48134</v>
      </c>
      <c r="W90" s="411">
        <v>809</v>
      </c>
      <c r="X90" s="412">
        <v>50537</v>
      </c>
      <c r="Y90" s="413">
        <v>1115</v>
      </c>
      <c r="Z90" s="412">
        <v>53466</v>
      </c>
      <c r="AA90" s="413">
        <v>1606</v>
      </c>
      <c r="AB90" s="412">
        <v>56071</v>
      </c>
      <c r="AC90" s="413">
        <v>1735</v>
      </c>
      <c r="AD90" s="412">
        <v>59459</v>
      </c>
      <c r="AE90" s="413">
        <v>1647</v>
      </c>
      <c r="AF90" s="412">
        <v>61957</v>
      </c>
      <c r="AG90" s="413">
        <v>1670</v>
      </c>
      <c r="AH90" s="412">
        <v>63723</v>
      </c>
      <c r="AI90" s="413">
        <v>1561</v>
      </c>
      <c r="AJ90" s="412">
        <v>64187</v>
      </c>
      <c r="AK90" s="413">
        <v>1691</v>
      </c>
      <c r="AL90" s="412">
        <v>66203</v>
      </c>
      <c r="AM90" s="413">
        <v>2284</v>
      </c>
      <c r="AN90" s="414">
        <v>65668</v>
      </c>
      <c r="AO90" s="413">
        <v>3732</v>
      </c>
      <c r="AP90" s="412">
        <v>67793</v>
      </c>
      <c r="AQ90" s="413">
        <v>4027</v>
      </c>
      <c r="AR90" s="415">
        <v>69482</v>
      </c>
      <c r="AS90" s="416">
        <v>3882</v>
      </c>
      <c r="AT90" s="417">
        <v>69882</v>
      </c>
      <c r="AU90" s="418">
        <v>3599</v>
      </c>
      <c r="AV90" s="417">
        <v>70478</v>
      </c>
      <c r="AW90" s="1322">
        <v>3585</v>
      </c>
      <c r="AX90" s="1325">
        <v>66378</v>
      </c>
      <c r="AY90" s="1326">
        <v>3483</v>
      </c>
      <c r="AZ90" s="1469">
        <v>66721</v>
      </c>
      <c r="BA90" s="1489">
        <v>2985</v>
      </c>
      <c r="BB90" s="1469">
        <v>67494</v>
      </c>
      <c r="BC90" s="1489">
        <v>2636</v>
      </c>
    </row>
    <row r="91" spans="1:55" ht="15" customHeight="1" x14ac:dyDescent="0.25">
      <c r="A91" s="403" t="s">
        <v>224</v>
      </c>
      <c r="B91" s="419" t="s">
        <v>225</v>
      </c>
      <c r="C91" s="187" t="s">
        <v>264</v>
      </c>
      <c r="D91" s="405">
        <f t="shared" si="47"/>
        <v>2.874074074074074E-2</v>
      </c>
      <c r="E91" s="406">
        <f t="shared" si="48"/>
        <v>3.3101045296167246E-2</v>
      </c>
      <c r="F91" s="407">
        <f t="shared" si="49"/>
        <v>4.5022371364653244E-2</v>
      </c>
      <c r="G91" s="407">
        <f t="shared" si="50"/>
        <v>4.5618915159944366E-2</v>
      </c>
      <c r="H91" s="407">
        <f t="shared" si="51"/>
        <v>4.1179744017807454E-2</v>
      </c>
      <c r="I91" s="407">
        <f t="shared" si="52"/>
        <v>4.7540983606557376E-2</v>
      </c>
      <c r="J91" s="407">
        <f t="shared" si="53"/>
        <v>3.3683643222850987E-2</v>
      </c>
      <c r="K91" s="407">
        <f t="shared" si="54"/>
        <v>3.4222581514416602E-2</v>
      </c>
      <c r="L91" s="407">
        <f t="shared" si="55"/>
        <v>4.476439790575916E-2</v>
      </c>
      <c r="M91" s="407">
        <f t="shared" si="56"/>
        <v>7.7706323687031079E-2</v>
      </c>
      <c r="N91" s="407">
        <f t="shared" si="57"/>
        <v>8.8368379025818469E-2</v>
      </c>
      <c r="O91" s="408">
        <f t="shared" si="58"/>
        <v>8.2387898433279302E-2</v>
      </c>
      <c r="P91" s="409">
        <f t="shared" si="59"/>
        <v>7.6200993926007737E-2</v>
      </c>
      <c r="Q91" s="1313">
        <f t="shared" si="60"/>
        <v>7.0170610897083111E-2</v>
      </c>
      <c r="R91" s="1316">
        <f t="shared" si="61"/>
        <v>6.0803474484256242E-2</v>
      </c>
      <c r="S91" s="1483">
        <f t="shared" si="46"/>
        <v>5.1951547779273216E-2</v>
      </c>
      <c r="T91" s="1483">
        <f t="shared" si="62"/>
        <v>5.2617155385036994E-2</v>
      </c>
      <c r="U91" s="216"/>
      <c r="V91" s="410">
        <v>3375</v>
      </c>
      <c r="W91" s="411">
        <v>97</v>
      </c>
      <c r="X91" s="412">
        <v>3444</v>
      </c>
      <c r="Y91" s="413">
        <v>114</v>
      </c>
      <c r="Z91" s="412">
        <v>3576</v>
      </c>
      <c r="AA91" s="413">
        <v>161</v>
      </c>
      <c r="AB91" s="412">
        <v>3595</v>
      </c>
      <c r="AC91" s="413">
        <v>164</v>
      </c>
      <c r="AD91" s="412">
        <v>3594</v>
      </c>
      <c r="AE91" s="413">
        <v>148</v>
      </c>
      <c r="AF91" s="412">
        <v>3660</v>
      </c>
      <c r="AG91" s="413">
        <v>174</v>
      </c>
      <c r="AH91" s="412">
        <v>3711</v>
      </c>
      <c r="AI91" s="413">
        <v>125</v>
      </c>
      <c r="AJ91" s="412">
        <v>3711</v>
      </c>
      <c r="AK91" s="413">
        <v>127</v>
      </c>
      <c r="AL91" s="412">
        <v>3820</v>
      </c>
      <c r="AM91" s="413">
        <v>171</v>
      </c>
      <c r="AN91" s="414">
        <v>3732</v>
      </c>
      <c r="AO91" s="413">
        <v>290</v>
      </c>
      <c r="AP91" s="412">
        <v>3757</v>
      </c>
      <c r="AQ91" s="413">
        <v>332</v>
      </c>
      <c r="AR91" s="415">
        <v>3702</v>
      </c>
      <c r="AS91" s="416">
        <v>305</v>
      </c>
      <c r="AT91" s="417">
        <v>3622</v>
      </c>
      <c r="AU91" s="418">
        <v>276</v>
      </c>
      <c r="AV91" s="417">
        <v>3634</v>
      </c>
      <c r="AW91" s="1322">
        <v>255</v>
      </c>
      <c r="AX91" s="1325">
        <v>3684</v>
      </c>
      <c r="AY91" s="1326">
        <v>224</v>
      </c>
      <c r="AZ91" s="1469">
        <v>3715</v>
      </c>
      <c r="BA91" s="1489">
        <v>193</v>
      </c>
      <c r="BB91" s="1469">
        <v>3649</v>
      </c>
      <c r="BC91" s="1489">
        <v>192</v>
      </c>
    </row>
    <row r="92" spans="1:55" ht="15" customHeight="1" x14ac:dyDescent="0.25">
      <c r="A92" s="403" t="s">
        <v>226</v>
      </c>
      <c r="B92" s="419" t="s">
        <v>227</v>
      </c>
      <c r="C92" s="187" t="s">
        <v>264</v>
      </c>
      <c r="D92" s="405">
        <f t="shared" si="47"/>
        <v>3.6634103019538192E-2</v>
      </c>
      <c r="E92" s="406">
        <f t="shared" si="48"/>
        <v>4.7159218504379069E-2</v>
      </c>
      <c r="F92" s="407">
        <f t="shared" si="49"/>
        <v>5.7648660916931459E-2</v>
      </c>
      <c r="G92" s="407">
        <f t="shared" si="50"/>
        <v>6.9079673361288896E-2</v>
      </c>
      <c r="H92" s="407">
        <f t="shared" si="51"/>
        <v>5.8521331248603974E-2</v>
      </c>
      <c r="I92" s="407">
        <f t="shared" si="52"/>
        <v>5.7961208840775824E-2</v>
      </c>
      <c r="J92" s="407">
        <f t="shared" si="53"/>
        <v>4.4642857142857144E-2</v>
      </c>
      <c r="K92" s="407">
        <f t="shared" si="54"/>
        <v>4.5024763619990998E-2</v>
      </c>
      <c r="L92" s="407">
        <f t="shared" si="55"/>
        <v>5.8327788866711021E-2</v>
      </c>
      <c r="M92" s="407">
        <f t="shared" si="56"/>
        <v>0.10515695067264574</v>
      </c>
      <c r="N92" s="407">
        <f t="shared" si="57"/>
        <v>0.10669408270504913</v>
      </c>
      <c r="O92" s="408">
        <f t="shared" si="58"/>
        <v>9.4739239353222496E-2</v>
      </c>
      <c r="P92" s="409">
        <f t="shared" si="59"/>
        <v>8.612329716000923E-2</v>
      </c>
      <c r="Q92" s="1313">
        <f t="shared" si="60"/>
        <v>7.862068965517241E-2</v>
      </c>
      <c r="R92" s="1316">
        <f t="shared" si="61"/>
        <v>7.4260994953136261E-2</v>
      </c>
      <c r="S92" s="1483">
        <f t="shared" si="46"/>
        <v>6.7613089509143409E-2</v>
      </c>
      <c r="T92" s="1483">
        <f t="shared" si="62"/>
        <v>6.1431756254644539E-2</v>
      </c>
      <c r="U92" s="216"/>
      <c r="V92" s="410">
        <v>4504</v>
      </c>
      <c r="W92" s="411">
        <v>165</v>
      </c>
      <c r="X92" s="412">
        <v>4453</v>
      </c>
      <c r="Y92" s="413">
        <v>210</v>
      </c>
      <c r="Z92" s="412">
        <v>4406</v>
      </c>
      <c r="AA92" s="413">
        <v>254</v>
      </c>
      <c r="AB92" s="412">
        <v>4531</v>
      </c>
      <c r="AC92" s="413">
        <v>313</v>
      </c>
      <c r="AD92" s="412">
        <v>4477</v>
      </c>
      <c r="AE92" s="413">
        <v>262</v>
      </c>
      <c r="AF92" s="412">
        <v>4434</v>
      </c>
      <c r="AG92" s="413">
        <v>257</v>
      </c>
      <c r="AH92" s="412">
        <v>4480</v>
      </c>
      <c r="AI92" s="413">
        <v>200</v>
      </c>
      <c r="AJ92" s="412">
        <v>4442</v>
      </c>
      <c r="AK92" s="413">
        <v>200</v>
      </c>
      <c r="AL92" s="412">
        <v>4509</v>
      </c>
      <c r="AM92" s="413">
        <v>263</v>
      </c>
      <c r="AN92" s="414">
        <v>4460</v>
      </c>
      <c r="AO92" s="413">
        <v>469</v>
      </c>
      <c r="AP92" s="412">
        <v>4377</v>
      </c>
      <c r="AQ92" s="413">
        <v>467</v>
      </c>
      <c r="AR92" s="415">
        <v>4391</v>
      </c>
      <c r="AS92" s="416">
        <v>416</v>
      </c>
      <c r="AT92" s="417">
        <v>4331</v>
      </c>
      <c r="AU92" s="418">
        <v>373</v>
      </c>
      <c r="AV92" s="417">
        <v>4350</v>
      </c>
      <c r="AW92" s="1322">
        <v>342</v>
      </c>
      <c r="AX92" s="1325">
        <v>4161</v>
      </c>
      <c r="AY92" s="1326">
        <v>309</v>
      </c>
      <c r="AZ92" s="1469">
        <v>4156</v>
      </c>
      <c r="BA92" s="1489">
        <v>281</v>
      </c>
      <c r="BB92" s="1469">
        <v>4037</v>
      </c>
      <c r="BC92" s="1489">
        <v>248</v>
      </c>
    </row>
    <row r="93" spans="1:55" ht="15" customHeight="1" x14ac:dyDescent="0.25">
      <c r="A93" s="403" t="s">
        <v>228</v>
      </c>
      <c r="B93" s="419" t="s">
        <v>229</v>
      </c>
      <c r="C93" s="187" t="s">
        <v>268</v>
      </c>
      <c r="D93" s="405">
        <f t="shared" si="47"/>
        <v>5.0802563966732002E-2</v>
      </c>
      <c r="E93" s="406">
        <f t="shared" si="48"/>
        <v>4.9108992954828012E-2</v>
      </c>
      <c r="F93" s="407">
        <f t="shared" si="49"/>
        <v>5.7536145771439888E-2</v>
      </c>
      <c r="G93" s="407">
        <f t="shared" si="50"/>
        <v>5.3863703997619285E-2</v>
      </c>
      <c r="H93" s="407">
        <f t="shared" si="51"/>
        <v>4.6371482559624123E-2</v>
      </c>
      <c r="I93" s="407">
        <f t="shared" si="52"/>
        <v>4.4977052524222336E-2</v>
      </c>
      <c r="J93" s="407">
        <f t="shared" si="53"/>
        <v>3.9336232318688456E-2</v>
      </c>
      <c r="K93" s="407">
        <f t="shared" si="54"/>
        <v>4.5391545391545392E-2</v>
      </c>
      <c r="L93" s="407">
        <f t="shared" si="55"/>
        <v>4.3951282915322777E-2</v>
      </c>
      <c r="M93" s="407">
        <f t="shared" si="56"/>
        <v>7.8268534842720602E-2</v>
      </c>
      <c r="N93" s="407">
        <f t="shared" si="57"/>
        <v>7.1626927128219858E-2</v>
      </c>
      <c r="O93" s="408">
        <f t="shared" si="58"/>
        <v>6.7583157085175927E-2</v>
      </c>
      <c r="P93" s="409">
        <f t="shared" si="59"/>
        <v>7.1064497157420109E-2</v>
      </c>
      <c r="Q93" s="1313">
        <f t="shared" si="60"/>
        <v>7.0360773370540169E-2</v>
      </c>
      <c r="R93" s="1316">
        <f t="shared" si="61"/>
        <v>8.033289025024562E-2</v>
      </c>
      <c r="S93" s="1483">
        <f t="shared" si="46"/>
        <v>7.4849578820697954E-2</v>
      </c>
      <c r="T93" s="1483">
        <f t="shared" si="62"/>
        <v>7.545870123364018E-2</v>
      </c>
      <c r="U93" s="216"/>
      <c r="V93" s="410">
        <v>18877</v>
      </c>
      <c r="W93" s="411">
        <v>959</v>
      </c>
      <c r="X93" s="412">
        <v>19304</v>
      </c>
      <c r="Y93" s="413">
        <v>948</v>
      </c>
      <c r="Z93" s="412">
        <v>20196</v>
      </c>
      <c r="AA93" s="413">
        <v>1162</v>
      </c>
      <c r="AB93" s="412">
        <v>20162</v>
      </c>
      <c r="AC93" s="413">
        <v>1086</v>
      </c>
      <c r="AD93" s="412">
        <v>19581</v>
      </c>
      <c r="AE93" s="413">
        <v>908</v>
      </c>
      <c r="AF93" s="412">
        <v>19610</v>
      </c>
      <c r="AG93" s="413">
        <v>882</v>
      </c>
      <c r="AH93" s="412">
        <v>20007</v>
      </c>
      <c r="AI93" s="413">
        <v>787</v>
      </c>
      <c r="AJ93" s="412">
        <v>20202</v>
      </c>
      <c r="AK93" s="413">
        <v>917</v>
      </c>
      <c r="AL93" s="412">
        <v>20773</v>
      </c>
      <c r="AM93" s="413">
        <v>913</v>
      </c>
      <c r="AN93" s="414">
        <v>21554</v>
      </c>
      <c r="AO93" s="413">
        <v>1687</v>
      </c>
      <c r="AP93" s="412">
        <v>20886</v>
      </c>
      <c r="AQ93" s="413">
        <v>1496</v>
      </c>
      <c r="AR93" s="415">
        <v>20804</v>
      </c>
      <c r="AS93" s="416">
        <v>1406</v>
      </c>
      <c r="AT93" s="417">
        <v>20404</v>
      </c>
      <c r="AU93" s="418">
        <v>1450</v>
      </c>
      <c r="AV93" s="417">
        <v>20068</v>
      </c>
      <c r="AW93" s="1322">
        <v>1412</v>
      </c>
      <c r="AX93" s="1325">
        <v>17303</v>
      </c>
      <c r="AY93" s="1326">
        <v>1390</v>
      </c>
      <c r="AZ93" s="1469">
        <v>16620</v>
      </c>
      <c r="BA93" s="1489">
        <v>1244</v>
      </c>
      <c r="BB93" s="1469">
        <v>15969</v>
      </c>
      <c r="BC93" s="1489">
        <v>1205</v>
      </c>
    </row>
    <row r="94" spans="1:55" ht="15" customHeight="1" x14ac:dyDescent="0.25">
      <c r="A94" s="403" t="s">
        <v>232</v>
      </c>
      <c r="B94" s="419" t="s">
        <v>233</v>
      </c>
      <c r="C94" s="187" t="s">
        <v>267</v>
      </c>
      <c r="D94" s="405">
        <f t="shared" si="47"/>
        <v>2.0141964448219377E-2</v>
      </c>
      <c r="E94" s="406">
        <f t="shared" si="48"/>
        <v>2.7968684635152095E-2</v>
      </c>
      <c r="F94" s="407">
        <f t="shared" si="49"/>
        <v>3.9671443551205873E-2</v>
      </c>
      <c r="G94" s="407">
        <f t="shared" si="50"/>
        <v>3.9977188480182495E-2</v>
      </c>
      <c r="H94" s="407">
        <f t="shared" si="51"/>
        <v>3.3168509361631203E-2</v>
      </c>
      <c r="I94" s="407">
        <f t="shared" si="52"/>
        <v>3.012176885280923E-2</v>
      </c>
      <c r="J94" s="407">
        <f t="shared" si="53"/>
        <v>2.7903823084545976E-2</v>
      </c>
      <c r="K94" s="407">
        <f t="shared" si="54"/>
        <v>3.0657085250478208E-2</v>
      </c>
      <c r="L94" s="407">
        <f t="shared" si="55"/>
        <v>4.4142530108490098E-2</v>
      </c>
      <c r="M94" s="407">
        <f t="shared" si="56"/>
        <v>7.8289838978345364E-2</v>
      </c>
      <c r="N94" s="407">
        <f t="shared" si="57"/>
        <v>7.4005504128096075E-2</v>
      </c>
      <c r="O94" s="408">
        <f t="shared" si="58"/>
        <v>6.7536492701459713E-2</v>
      </c>
      <c r="P94" s="409">
        <f t="shared" si="59"/>
        <v>6.0107640460741414E-2</v>
      </c>
      <c r="Q94" s="1313">
        <f t="shared" si="60"/>
        <v>5.6250625563006709E-2</v>
      </c>
      <c r="R94" s="1316">
        <f t="shared" si="61"/>
        <v>5.5296104928457872E-2</v>
      </c>
      <c r="S94" s="1483">
        <f t="shared" si="46"/>
        <v>4.7367361320849691E-2</v>
      </c>
      <c r="T94" s="1483">
        <f t="shared" si="62"/>
        <v>4.0008102906917857E-2</v>
      </c>
      <c r="U94" s="216"/>
      <c r="V94" s="410">
        <v>16483</v>
      </c>
      <c r="W94" s="411">
        <v>332</v>
      </c>
      <c r="X94" s="412">
        <v>16733</v>
      </c>
      <c r="Y94" s="413">
        <v>468</v>
      </c>
      <c r="Z94" s="412">
        <v>17166</v>
      </c>
      <c r="AA94" s="413">
        <v>681</v>
      </c>
      <c r="AB94" s="412">
        <v>17535</v>
      </c>
      <c r="AC94" s="413">
        <v>701</v>
      </c>
      <c r="AD94" s="412">
        <v>17999</v>
      </c>
      <c r="AE94" s="413">
        <v>597</v>
      </c>
      <c r="AF94" s="412">
        <v>18724</v>
      </c>
      <c r="AG94" s="413">
        <v>564</v>
      </c>
      <c r="AH94" s="412">
        <v>19173</v>
      </c>
      <c r="AI94" s="413">
        <v>535</v>
      </c>
      <c r="AJ94" s="412">
        <v>19343</v>
      </c>
      <c r="AK94" s="413">
        <v>593</v>
      </c>
      <c r="AL94" s="412">
        <v>20094</v>
      </c>
      <c r="AM94" s="413">
        <v>887</v>
      </c>
      <c r="AN94" s="414">
        <v>19811</v>
      </c>
      <c r="AO94" s="413">
        <v>1551</v>
      </c>
      <c r="AP94" s="412">
        <v>19985</v>
      </c>
      <c r="AQ94" s="413">
        <v>1479</v>
      </c>
      <c r="AR94" s="415">
        <v>20004</v>
      </c>
      <c r="AS94" s="416">
        <v>1351</v>
      </c>
      <c r="AT94" s="417">
        <v>19881</v>
      </c>
      <c r="AU94" s="418">
        <v>1195</v>
      </c>
      <c r="AV94" s="417">
        <v>19982</v>
      </c>
      <c r="AW94" s="1322">
        <v>1124</v>
      </c>
      <c r="AX94" s="1325">
        <v>20128</v>
      </c>
      <c r="AY94" s="1326">
        <v>1113</v>
      </c>
      <c r="AZ94" s="1469">
        <v>19866</v>
      </c>
      <c r="BA94" s="1489">
        <v>941</v>
      </c>
      <c r="BB94" s="1469">
        <v>19746</v>
      </c>
      <c r="BC94" s="1489">
        <v>790</v>
      </c>
    </row>
    <row r="95" spans="1:55" ht="15" customHeight="1" x14ac:dyDescent="0.25">
      <c r="A95" s="403" t="s">
        <v>234</v>
      </c>
      <c r="B95" s="419" t="s">
        <v>235</v>
      </c>
      <c r="C95" s="187" t="s">
        <v>268</v>
      </c>
      <c r="D95" s="405">
        <f t="shared" si="47"/>
        <v>3.5575653287446475E-2</v>
      </c>
      <c r="E95" s="406">
        <f t="shared" si="48"/>
        <v>5.0377536573855596E-2</v>
      </c>
      <c r="F95" s="407">
        <f t="shared" si="49"/>
        <v>6.0489752053427499E-2</v>
      </c>
      <c r="G95" s="407">
        <f t="shared" si="50"/>
        <v>5.3925666945352287E-2</v>
      </c>
      <c r="H95" s="407">
        <f t="shared" si="51"/>
        <v>4.7437673130193904E-2</v>
      </c>
      <c r="I95" s="407">
        <f t="shared" si="52"/>
        <v>4.4569632865792901E-2</v>
      </c>
      <c r="J95" s="407">
        <f t="shared" si="53"/>
        <v>4.1013406044080894E-2</v>
      </c>
      <c r="K95" s="407">
        <f t="shared" si="54"/>
        <v>4.5732967569801962E-2</v>
      </c>
      <c r="L95" s="407">
        <f t="shared" si="55"/>
        <v>4.9266627940749347E-2</v>
      </c>
      <c r="M95" s="407">
        <f t="shared" si="56"/>
        <v>8.8177758092496214E-2</v>
      </c>
      <c r="N95" s="407">
        <f t="shared" si="57"/>
        <v>8.7819210679048174E-2</v>
      </c>
      <c r="O95" s="408">
        <f t="shared" si="58"/>
        <v>7.9765082754938599E-2</v>
      </c>
      <c r="P95" s="409">
        <f t="shared" si="59"/>
        <v>7.06378115848868E-2</v>
      </c>
      <c r="Q95" s="1313">
        <f t="shared" si="60"/>
        <v>6.9060280523930193E-2</v>
      </c>
      <c r="R95" s="1316">
        <f t="shared" si="61"/>
        <v>5.7284780045027336E-2</v>
      </c>
      <c r="S95" s="1483">
        <f t="shared" si="46"/>
        <v>4.7954762429316296E-2</v>
      </c>
      <c r="T95" s="1483">
        <f t="shared" si="62"/>
        <v>4.4852040248022869E-2</v>
      </c>
      <c r="U95" s="216"/>
      <c r="V95" s="410">
        <v>24989</v>
      </c>
      <c r="W95" s="411">
        <v>889</v>
      </c>
      <c r="X95" s="412">
        <v>25428</v>
      </c>
      <c r="Y95" s="413">
        <v>1281</v>
      </c>
      <c r="Z95" s="412">
        <v>26054</v>
      </c>
      <c r="AA95" s="413">
        <v>1576</v>
      </c>
      <c r="AB95" s="412">
        <v>26314</v>
      </c>
      <c r="AC95" s="413">
        <v>1419</v>
      </c>
      <c r="AD95" s="412">
        <v>25992</v>
      </c>
      <c r="AE95" s="413">
        <v>1233</v>
      </c>
      <c r="AF95" s="412">
        <v>26094</v>
      </c>
      <c r="AG95" s="413">
        <v>1163</v>
      </c>
      <c r="AH95" s="412">
        <v>26406</v>
      </c>
      <c r="AI95" s="413">
        <v>1083</v>
      </c>
      <c r="AJ95" s="412">
        <v>26611</v>
      </c>
      <c r="AK95" s="413">
        <v>1217</v>
      </c>
      <c r="AL95" s="412">
        <v>27544</v>
      </c>
      <c r="AM95" s="413">
        <v>1357</v>
      </c>
      <c r="AN95" s="414">
        <v>27093</v>
      </c>
      <c r="AO95" s="413">
        <v>2389</v>
      </c>
      <c r="AP95" s="412">
        <v>27568</v>
      </c>
      <c r="AQ95" s="413">
        <v>2421</v>
      </c>
      <c r="AR95" s="415">
        <v>28095</v>
      </c>
      <c r="AS95" s="416">
        <v>2241</v>
      </c>
      <c r="AT95" s="417">
        <v>28002</v>
      </c>
      <c r="AU95" s="418">
        <v>1978</v>
      </c>
      <c r="AV95" s="417">
        <v>28019</v>
      </c>
      <c r="AW95" s="1322">
        <v>1935</v>
      </c>
      <c r="AX95" s="1325">
        <v>27983</v>
      </c>
      <c r="AY95" s="1326">
        <v>1603</v>
      </c>
      <c r="AZ95" s="1469">
        <v>27234</v>
      </c>
      <c r="BA95" s="1489">
        <v>1306</v>
      </c>
      <c r="BB95" s="1469">
        <v>26933</v>
      </c>
      <c r="BC95" s="1489">
        <v>1208</v>
      </c>
    </row>
    <row r="96" spans="1:55" ht="15" customHeight="1" x14ac:dyDescent="0.25">
      <c r="A96" s="403" t="s">
        <v>236</v>
      </c>
      <c r="B96" s="419" t="s">
        <v>237</v>
      </c>
      <c r="C96" s="187" t="s">
        <v>266</v>
      </c>
      <c r="D96" s="405">
        <f t="shared" si="47"/>
        <v>3.52232552049234E-2</v>
      </c>
      <c r="E96" s="406">
        <f t="shared" si="48"/>
        <v>4.0816326530612242E-2</v>
      </c>
      <c r="F96" s="407">
        <f t="shared" si="49"/>
        <v>4.7263995956021737E-2</v>
      </c>
      <c r="G96" s="407">
        <f t="shared" si="50"/>
        <v>4.8003918687239772E-2</v>
      </c>
      <c r="H96" s="407">
        <f t="shared" si="51"/>
        <v>4.5836996106994848E-2</v>
      </c>
      <c r="I96" s="407">
        <f t="shared" si="52"/>
        <v>4.5075943165115137E-2</v>
      </c>
      <c r="J96" s="407">
        <f t="shared" si="53"/>
        <v>3.8819687991292783E-2</v>
      </c>
      <c r="K96" s="407">
        <f t="shared" si="54"/>
        <v>4.2306297594584791E-2</v>
      </c>
      <c r="L96" s="407">
        <f t="shared" si="55"/>
        <v>5.0528921899617378E-2</v>
      </c>
      <c r="M96" s="407">
        <f t="shared" si="56"/>
        <v>7.8912901113294034E-2</v>
      </c>
      <c r="N96" s="407">
        <f t="shared" si="57"/>
        <v>8.2327971403038422E-2</v>
      </c>
      <c r="O96" s="408">
        <f t="shared" si="58"/>
        <v>7.5953529153879873E-2</v>
      </c>
      <c r="P96" s="409">
        <f t="shared" si="59"/>
        <v>7.4484030900495796E-2</v>
      </c>
      <c r="Q96" s="1313">
        <f t="shared" si="60"/>
        <v>7.0226014760147601E-2</v>
      </c>
      <c r="R96" s="1316">
        <f t="shared" si="61"/>
        <v>6.3264631323707701E-2</v>
      </c>
      <c r="S96" s="1483">
        <f t="shared" si="46"/>
        <v>5.4199328107502796E-2</v>
      </c>
      <c r="T96" s="1483">
        <f t="shared" si="62"/>
        <v>4.5933228769885724E-2</v>
      </c>
      <c r="U96" s="216"/>
      <c r="V96" s="410">
        <v>7637</v>
      </c>
      <c r="W96" s="411">
        <v>269</v>
      </c>
      <c r="X96" s="412">
        <v>7644</v>
      </c>
      <c r="Y96" s="413">
        <v>312</v>
      </c>
      <c r="Z96" s="412">
        <v>7913</v>
      </c>
      <c r="AA96" s="413">
        <v>374</v>
      </c>
      <c r="AB96" s="412">
        <v>8166</v>
      </c>
      <c r="AC96" s="413">
        <v>392</v>
      </c>
      <c r="AD96" s="412">
        <v>7963</v>
      </c>
      <c r="AE96" s="413">
        <v>365</v>
      </c>
      <c r="AF96" s="412">
        <v>8164</v>
      </c>
      <c r="AG96" s="413">
        <v>368</v>
      </c>
      <c r="AH96" s="412">
        <v>8269</v>
      </c>
      <c r="AI96" s="413">
        <v>321</v>
      </c>
      <c r="AJ96" s="412">
        <v>8273</v>
      </c>
      <c r="AK96" s="413">
        <v>350</v>
      </c>
      <c r="AL96" s="412">
        <v>8886</v>
      </c>
      <c r="AM96" s="413">
        <v>449</v>
      </c>
      <c r="AN96" s="414">
        <v>9162</v>
      </c>
      <c r="AO96" s="413">
        <v>723</v>
      </c>
      <c r="AP96" s="412">
        <v>8952</v>
      </c>
      <c r="AQ96" s="413">
        <v>737</v>
      </c>
      <c r="AR96" s="415">
        <v>9124</v>
      </c>
      <c r="AS96" s="416">
        <v>693</v>
      </c>
      <c r="AT96" s="417">
        <v>8673</v>
      </c>
      <c r="AU96" s="418">
        <v>646</v>
      </c>
      <c r="AV96" s="417">
        <v>8672</v>
      </c>
      <c r="AW96" s="1322">
        <v>609</v>
      </c>
      <c r="AX96" s="1325">
        <v>9073</v>
      </c>
      <c r="AY96" s="1326">
        <v>574</v>
      </c>
      <c r="AZ96" s="1469">
        <v>8930</v>
      </c>
      <c r="BA96" s="1489">
        <v>484</v>
      </c>
      <c r="BB96" s="1469">
        <v>8926</v>
      </c>
      <c r="BC96" s="1489">
        <v>410</v>
      </c>
    </row>
    <row r="97" spans="1:55" ht="15" customHeight="1" x14ac:dyDescent="0.25">
      <c r="A97" s="403" t="s">
        <v>242</v>
      </c>
      <c r="B97" s="419" t="s">
        <v>243</v>
      </c>
      <c r="C97" s="187" t="s">
        <v>268</v>
      </c>
      <c r="D97" s="405">
        <f t="shared" si="47"/>
        <v>4.1928851784935516E-2</v>
      </c>
      <c r="E97" s="406">
        <f t="shared" si="48"/>
        <v>4.6936274509803921E-2</v>
      </c>
      <c r="F97" s="407">
        <f t="shared" si="49"/>
        <v>5.8830450641251912E-2</v>
      </c>
      <c r="G97" s="407">
        <f t="shared" si="50"/>
        <v>5.7373298249628189E-2</v>
      </c>
      <c r="H97" s="407">
        <f t="shared" si="51"/>
        <v>5.1327019759148836E-2</v>
      </c>
      <c r="I97" s="407">
        <f t="shared" si="52"/>
        <v>4.710562730627306E-2</v>
      </c>
      <c r="J97" s="407">
        <f t="shared" si="53"/>
        <v>4.4518963922294173E-2</v>
      </c>
      <c r="K97" s="407">
        <f t="shared" si="54"/>
        <v>3.9661524291964081E-2</v>
      </c>
      <c r="L97" s="407">
        <f t="shared" si="55"/>
        <v>4.6119048932531582E-2</v>
      </c>
      <c r="M97" s="407">
        <f t="shared" si="56"/>
        <v>6.8625436613930557E-2</v>
      </c>
      <c r="N97" s="407">
        <f t="shared" si="57"/>
        <v>7.5056900475894889E-2</v>
      </c>
      <c r="O97" s="408">
        <f t="shared" si="58"/>
        <v>6.7557950386335913E-2</v>
      </c>
      <c r="P97" s="409">
        <f t="shared" si="59"/>
        <v>7.8970718722271516E-2</v>
      </c>
      <c r="Q97" s="1313">
        <f t="shared" si="60"/>
        <v>8.7724278900749492E-2</v>
      </c>
      <c r="R97" s="1316">
        <f t="shared" si="61"/>
        <v>9.372181755116199E-2</v>
      </c>
      <c r="S97" s="1483">
        <f t="shared" si="46"/>
        <v>8.2939406961753337E-2</v>
      </c>
      <c r="T97" s="1483">
        <f t="shared" si="62"/>
        <v>8.5355584475235391E-2</v>
      </c>
      <c r="U97" s="216"/>
      <c r="V97" s="410">
        <v>16051</v>
      </c>
      <c r="W97" s="411">
        <v>673</v>
      </c>
      <c r="X97" s="412">
        <v>16320</v>
      </c>
      <c r="Y97" s="413">
        <v>766</v>
      </c>
      <c r="Z97" s="412">
        <v>16998</v>
      </c>
      <c r="AA97" s="413">
        <v>1000</v>
      </c>
      <c r="AB97" s="412">
        <v>17482</v>
      </c>
      <c r="AC97" s="413">
        <v>1003</v>
      </c>
      <c r="AD97" s="412">
        <v>17106</v>
      </c>
      <c r="AE97" s="413">
        <v>878</v>
      </c>
      <c r="AF97" s="412">
        <v>17344</v>
      </c>
      <c r="AG97" s="413">
        <v>817</v>
      </c>
      <c r="AH97" s="412">
        <v>17296</v>
      </c>
      <c r="AI97" s="413">
        <v>770</v>
      </c>
      <c r="AJ97" s="412">
        <v>17372</v>
      </c>
      <c r="AK97" s="413">
        <v>689</v>
      </c>
      <c r="AL97" s="412">
        <v>18127</v>
      </c>
      <c r="AM97" s="413">
        <v>836</v>
      </c>
      <c r="AN97" s="414">
        <v>19468</v>
      </c>
      <c r="AO97" s="413">
        <v>1336</v>
      </c>
      <c r="AP97" s="412">
        <v>19332</v>
      </c>
      <c r="AQ97" s="413">
        <v>1451</v>
      </c>
      <c r="AR97" s="415">
        <v>19672</v>
      </c>
      <c r="AS97" s="416">
        <v>1329</v>
      </c>
      <c r="AT97" s="417">
        <v>18032</v>
      </c>
      <c r="AU97" s="418">
        <v>1424</v>
      </c>
      <c r="AV97" s="417">
        <v>17612</v>
      </c>
      <c r="AW97" s="1322">
        <v>1545</v>
      </c>
      <c r="AX97" s="1325">
        <v>14415</v>
      </c>
      <c r="AY97" s="1326">
        <v>1351</v>
      </c>
      <c r="AZ97" s="1469">
        <v>13962</v>
      </c>
      <c r="BA97" s="1489">
        <v>1158</v>
      </c>
      <c r="BB97" s="1469">
        <v>13063</v>
      </c>
      <c r="BC97" s="1489">
        <v>1115</v>
      </c>
    </row>
    <row r="98" spans="1:55" ht="15" customHeight="1" x14ac:dyDescent="0.25">
      <c r="A98" s="403" t="s">
        <v>244</v>
      </c>
      <c r="B98" s="419" t="s">
        <v>245</v>
      </c>
      <c r="C98" s="187" t="s">
        <v>268</v>
      </c>
      <c r="D98" s="405">
        <f t="shared" si="47"/>
        <v>4.3058121358533465E-2</v>
      </c>
      <c r="E98" s="406">
        <f t="shared" si="48"/>
        <v>6.7896471908536163E-2</v>
      </c>
      <c r="F98" s="407">
        <f t="shared" si="49"/>
        <v>6.2426220401361018E-2</v>
      </c>
      <c r="G98" s="407">
        <f t="shared" si="50"/>
        <v>5.2613941018766756E-2</v>
      </c>
      <c r="H98" s="407">
        <f t="shared" si="51"/>
        <v>4.7149942251511652E-2</v>
      </c>
      <c r="I98" s="407">
        <f t="shared" si="52"/>
        <v>4.2900783636605128E-2</v>
      </c>
      <c r="J98" s="407">
        <f t="shared" si="53"/>
        <v>4.0599999999999997E-2</v>
      </c>
      <c r="K98" s="407">
        <f t="shared" si="54"/>
        <v>4.4997078111810924E-2</v>
      </c>
      <c r="L98" s="407">
        <f t="shared" si="55"/>
        <v>5.359347987157323E-2</v>
      </c>
      <c r="M98" s="407">
        <f t="shared" si="56"/>
        <v>0.10856102003642987</v>
      </c>
      <c r="N98" s="407">
        <f t="shared" si="57"/>
        <v>0.10053380782918149</v>
      </c>
      <c r="O98" s="408">
        <f t="shared" si="58"/>
        <v>8.143569040560146E-2</v>
      </c>
      <c r="P98" s="409">
        <f t="shared" si="59"/>
        <v>6.9371035940803377E-2</v>
      </c>
      <c r="Q98" s="1313">
        <f t="shared" si="60"/>
        <v>7.0217276099629036E-2</v>
      </c>
      <c r="R98" s="1316">
        <f t="shared" si="61"/>
        <v>6.3857421170358614E-2</v>
      </c>
      <c r="S98" s="1483">
        <f t="shared" si="46"/>
        <v>5.432800991759644E-2</v>
      </c>
      <c r="T98" s="1483">
        <f t="shared" si="62"/>
        <v>5.6888430968501616E-2</v>
      </c>
      <c r="U98" s="216"/>
      <c r="V98" s="410">
        <v>14074</v>
      </c>
      <c r="W98" s="411">
        <v>606</v>
      </c>
      <c r="X98" s="412">
        <v>14257</v>
      </c>
      <c r="Y98" s="413">
        <v>968</v>
      </c>
      <c r="Z98" s="412">
        <v>14401</v>
      </c>
      <c r="AA98" s="413">
        <v>899</v>
      </c>
      <c r="AB98" s="412">
        <v>14920</v>
      </c>
      <c r="AC98" s="413">
        <v>785</v>
      </c>
      <c r="AD98" s="412">
        <v>14719</v>
      </c>
      <c r="AE98" s="413">
        <v>694</v>
      </c>
      <c r="AF98" s="412">
        <v>15058</v>
      </c>
      <c r="AG98" s="413">
        <v>646</v>
      </c>
      <c r="AH98" s="412">
        <v>15000</v>
      </c>
      <c r="AI98" s="413">
        <v>609</v>
      </c>
      <c r="AJ98" s="412">
        <v>15401</v>
      </c>
      <c r="AK98" s="413">
        <v>693</v>
      </c>
      <c r="AL98" s="412">
        <v>16196</v>
      </c>
      <c r="AM98" s="413">
        <v>868</v>
      </c>
      <c r="AN98" s="414">
        <v>16470</v>
      </c>
      <c r="AO98" s="413">
        <v>1788</v>
      </c>
      <c r="AP98" s="412">
        <v>15736</v>
      </c>
      <c r="AQ98" s="413">
        <v>1582</v>
      </c>
      <c r="AR98" s="415">
        <v>15853</v>
      </c>
      <c r="AS98" s="416">
        <v>1291</v>
      </c>
      <c r="AT98" s="417">
        <v>15136</v>
      </c>
      <c r="AU98" s="418">
        <v>1050</v>
      </c>
      <c r="AV98" s="417">
        <v>15096</v>
      </c>
      <c r="AW98" s="1322">
        <v>1060</v>
      </c>
      <c r="AX98" s="1325">
        <v>13859</v>
      </c>
      <c r="AY98" s="1326">
        <v>885</v>
      </c>
      <c r="AZ98" s="1469">
        <v>13713</v>
      </c>
      <c r="BA98" s="1489">
        <v>745</v>
      </c>
      <c r="BB98" s="1469">
        <v>13588</v>
      </c>
      <c r="BC98" s="1489">
        <v>773</v>
      </c>
    </row>
    <row r="99" spans="1:55" ht="15" customHeight="1" x14ac:dyDescent="0.25">
      <c r="A99" s="403" t="s">
        <v>246</v>
      </c>
      <c r="B99" s="419" t="s">
        <v>247</v>
      </c>
      <c r="C99" s="187" t="s">
        <v>264</v>
      </c>
      <c r="D99" s="405">
        <f t="shared" si="47"/>
        <v>1.9172770357604479E-2</v>
      </c>
      <c r="E99" s="406">
        <f t="shared" si="48"/>
        <v>2.455807331830585E-2</v>
      </c>
      <c r="F99" s="407">
        <f t="shared" si="49"/>
        <v>3.0109489051094892E-2</v>
      </c>
      <c r="G99" s="407">
        <f t="shared" si="50"/>
        <v>3.1530520646319567E-2</v>
      </c>
      <c r="H99" s="407">
        <f t="shared" si="51"/>
        <v>2.9931821961088633E-2</v>
      </c>
      <c r="I99" s="407">
        <f t="shared" si="52"/>
        <v>2.9768348127300281E-2</v>
      </c>
      <c r="J99" s="407">
        <f t="shared" si="53"/>
        <v>2.600213789417424E-2</v>
      </c>
      <c r="K99" s="407">
        <f t="shared" si="54"/>
        <v>2.4632531093522855E-2</v>
      </c>
      <c r="L99" s="407">
        <f t="shared" si="55"/>
        <v>3.2568115021050122E-2</v>
      </c>
      <c r="M99" s="407">
        <f t="shared" si="56"/>
        <v>5.4853469876892907E-2</v>
      </c>
      <c r="N99" s="407">
        <f t="shared" si="57"/>
        <v>5.9112048590815522E-2</v>
      </c>
      <c r="O99" s="408">
        <f t="shared" si="58"/>
        <v>5.9293870717873114E-2</v>
      </c>
      <c r="P99" s="924">
        <f t="shared" si="59"/>
        <v>5.4214443773888552E-2</v>
      </c>
      <c r="Q99" s="1313">
        <f t="shared" si="60"/>
        <v>5.058482455263421E-2</v>
      </c>
      <c r="R99" s="1316">
        <f t="shared" si="61"/>
        <v>4.9320570668474999E-2</v>
      </c>
      <c r="S99" s="1483">
        <f t="shared" si="46"/>
        <v>4.2438149496228303E-2</v>
      </c>
      <c r="T99" s="1483">
        <f t="shared" si="62"/>
        <v>3.8309357230825666E-2</v>
      </c>
      <c r="U99" s="216"/>
      <c r="V99" s="420">
        <v>32494</v>
      </c>
      <c r="W99" s="421">
        <v>623</v>
      </c>
      <c r="X99" s="1269">
        <v>33716</v>
      </c>
      <c r="Y99" s="1270">
        <v>828</v>
      </c>
      <c r="Z99" s="1269">
        <v>35072</v>
      </c>
      <c r="AA99" s="1270">
        <v>1056</v>
      </c>
      <c r="AB99" s="1269">
        <v>35648</v>
      </c>
      <c r="AC99" s="1270">
        <v>1124</v>
      </c>
      <c r="AD99" s="1269">
        <v>36082</v>
      </c>
      <c r="AE99" s="1270">
        <v>1080</v>
      </c>
      <c r="AF99" s="1269">
        <v>36952</v>
      </c>
      <c r="AG99" s="1270">
        <v>1100</v>
      </c>
      <c r="AH99" s="1269">
        <v>37420</v>
      </c>
      <c r="AI99" s="1270">
        <v>973</v>
      </c>
      <c r="AJ99" s="1269">
        <v>37146</v>
      </c>
      <c r="AK99" s="1270">
        <v>915</v>
      </c>
      <c r="AL99" s="1269">
        <v>37767</v>
      </c>
      <c r="AM99" s="1270">
        <v>1230</v>
      </c>
      <c r="AN99" s="1271">
        <v>36716</v>
      </c>
      <c r="AO99" s="1270">
        <v>2014</v>
      </c>
      <c r="AP99" s="1269">
        <v>39349</v>
      </c>
      <c r="AQ99" s="1270">
        <v>2326</v>
      </c>
      <c r="AR99" s="415">
        <v>40021</v>
      </c>
      <c r="AS99" s="416">
        <v>2373</v>
      </c>
      <c r="AT99" s="417">
        <v>39768</v>
      </c>
      <c r="AU99" s="418">
        <v>2156</v>
      </c>
      <c r="AV99" s="417">
        <v>40012</v>
      </c>
      <c r="AW99" s="1322">
        <v>2024</v>
      </c>
      <c r="AX99" s="1325">
        <v>38341</v>
      </c>
      <c r="AY99" s="1326">
        <v>1891</v>
      </c>
      <c r="AZ99" s="1469">
        <v>37914</v>
      </c>
      <c r="BA99" s="1489">
        <v>1609</v>
      </c>
      <c r="BB99" s="1469">
        <v>38163</v>
      </c>
      <c r="BC99" s="1489">
        <v>1462</v>
      </c>
    </row>
    <row r="100" spans="1:55" ht="15" customHeight="1" x14ac:dyDescent="0.25">
      <c r="A100" s="403" t="s">
        <v>14</v>
      </c>
      <c r="B100" s="419" t="s">
        <v>15</v>
      </c>
      <c r="C100" s="187" t="s">
        <v>267</v>
      </c>
      <c r="D100" s="405">
        <f t="shared" si="47"/>
        <v>1.7673817395411271E-2</v>
      </c>
      <c r="E100" s="406">
        <f t="shared" si="48"/>
        <v>2.697317442160806E-2</v>
      </c>
      <c r="F100" s="407">
        <f t="shared" si="49"/>
        <v>3.420419593810213E-2</v>
      </c>
      <c r="G100" s="407">
        <f t="shared" si="50"/>
        <v>2.986396104284569E-2</v>
      </c>
      <c r="H100" s="407">
        <f t="shared" si="51"/>
        <v>2.6632393159383545E-2</v>
      </c>
      <c r="I100" s="407">
        <f t="shared" si="52"/>
        <v>2.5650945497602551E-2</v>
      </c>
      <c r="J100" s="407">
        <f t="shared" si="53"/>
        <v>2.1999884997987464E-2</v>
      </c>
      <c r="K100" s="407">
        <f t="shared" si="54"/>
        <v>2.244061324198349E-2</v>
      </c>
      <c r="L100" s="407">
        <f t="shared" si="55"/>
        <v>2.7634610233056522E-2</v>
      </c>
      <c r="M100" s="407">
        <f t="shared" si="56"/>
        <v>4.9902245706737118E-2</v>
      </c>
      <c r="N100" s="407">
        <f t="shared" si="57"/>
        <v>5.1356855207761301E-2</v>
      </c>
      <c r="O100" s="408">
        <f t="shared" si="58"/>
        <v>4.6206160821442861E-2</v>
      </c>
      <c r="P100" s="409">
        <f t="shared" si="59"/>
        <v>4.2135702889558591E-2</v>
      </c>
      <c r="Q100" s="1313">
        <f t="shared" si="60"/>
        <v>4.1020004396570678E-2</v>
      </c>
      <c r="R100" s="1316">
        <f t="shared" si="61"/>
        <v>3.7448651402732222E-2</v>
      </c>
      <c r="S100" s="1483">
        <f t="shared" ref="S100:S124" si="63">BA100/AZ100</f>
        <v>3.299140560022179E-2</v>
      </c>
      <c r="T100" s="1483">
        <f t="shared" si="62"/>
        <v>2.8724486051850844E-2</v>
      </c>
      <c r="U100" s="216"/>
      <c r="V100" s="410">
        <v>80458</v>
      </c>
      <c r="W100" s="411">
        <v>1422</v>
      </c>
      <c r="X100" s="412">
        <v>81303</v>
      </c>
      <c r="Y100" s="413">
        <v>2193</v>
      </c>
      <c r="Z100" s="412">
        <v>83557</v>
      </c>
      <c r="AA100" s="413">
        <v>2858</v>
      </c>
      <c r="AB100" s="412">
        <v>83579</v>
      </c>
      <c r="AC100" s="413">
        <v>2496</v>
      </c>
      <c r="AD100" s="412">
        <v>85197</v>
      </c>
      <c r="AE100" s="413">
        <v>2269</v>
      </c>
      <c r="AF100" s="412">
        <v>85299</v>
      </c>
      <c r="AG100" s="413">
        <v>2188</v>
      </c>
      <c r="AH100" s="412">
        <v>86955</v>
      </c>
      <c r="AI100" s="413">
        <v>1913</v>
      </c>
      <c r="AJ100" s="412">
        <v>89035</v>
      </c>
      <c r="AK100" s="413">
        <v>1998</v>
      </c>
      <c r="AL100" s="412">
        <v>93325</v>
      </c>
      <c r="AM100" s="413">
        <v>2579</v>
      </c>
      <c r="AN100" s="414">
        <v>94625</v>
      </c>
      <c r="AO100" s="413">
        <v>4722</v>
      </c>
      <c r="AP100" s="412">
        <v>87408</v>
      </c>
      <c r="AQ100" s="413">
        <v>4489</v>
      </c>
      <c r="AR100" s="415">
        <v>89988</v>
      </c>
      <c r="AS100" s="416">
        <v>4158</v>
      </c>
      <c r="AT100" s="417">
        <v>90256</v>
      </c>
      <c r="AU100" s="418">
        <v>3803</v>
      </c>
      <c r="AV100" s="417">
        <v>90980</v>
      </c>
      <c r="AW100" s="1322">
        <v>3732</v>
      </c>
      <c r="AX100" s="1325">
        <v>94209</v>
      </c>
      <c r="AY100" s="1326">
        <v>3528</v>
      </c>
      <c r="AZ100" s="1469">
        <v>93782</v>
      </c>
      <c r="BA100" s="1489">
        <v>3094</v>
      </c>
      <c r="BB100" s="1469">
        <v>95389</v>
      </c>
      <c r="BC100" s="1489">
        <v>2740</v>
      </c>
    </row>
    <row r="101" spans="1:55" ht="15" customHeight="1" x14ac:dyDescent="0.25">
      <c r="A101" s="403" t="s">
        <v>34</v>
      </c>
      <c r="B101" s="419" t="s">
        <v>35</v>
      </c>
      <c r="C101" s="187" t="s">
        <v>268</v>
      </c>
      <c r="D101" s="405">
        <f t="shared" ref="D101:D124" si="64">W101/V101</f>
        <v>3.1735404392072841E-2</v>
      </c>
      <c r="E101" s="406">
        <f t="shared" ref="E101:E124" si="65">Y101/X101</f>
        <v>4.1694242223692918E-2</v>
      </c>
      <c r="F101" s="407">
        <f t="shared" si="49"/>
        <v>4.9546589564988829E-2</v>
      </c>
      <c r="G101" s="407">
        <f t="shared" ref="G101:G124" si="66">AC101/AB101</f>
        <v>6.1846580173825418E-2</v>
      </c>
      <c r="H101" s="407">
        <f t="shared" ref="H101:H124" si="67">AE101/AD101</f>
        <v>6.0633137605310188E-2</v>
      </c>
      <c r="I101" s="407">
        <f t="shared" ref="I101:I124" si="68">AG101/AF101</f>
        <v>5.4085303186022608E-2</v>
      </c>
      <c r="J101" s="407">
        <f t="shared" ref="J101:J124" si="69">AI101/AH101</f>
        <v>4.7960725075528704E-2</v>
      </c>
      <c r="K101" s="407">
        <f t="shared" ref="K101:K124" si="70">AK101/AJ101</f>
        <v>5.1715438950554998E-2</v>
      </c>
      <c r="L101" s="407">
        <f t="shared" ref="L101:L124" si="71">AM101/AL101</f>
        <v>5.777064559930873E-2</v>
      </c>
      <c r="M101" s="407">
        <f t="shared" ref="M101:M124" si="72">AO101/AN101</f>
        <v>0.1033214854761613</v>
      </c>
      <c r="N101" s="407">
        <f t="shared" ref="N101:N124" si="73">AQ101/AP101</f>
        <v>9.9006211180124218E-2</v>
      </c>
      <c r="O101" s="408">
        <f t="shared" ref="O101:O124" si="74">AS101/AR101</f>
        <v>9.6801653897604284E-2</v>
      </c>
      <c r="P101" s="409">
        <f t="shared" ref="P101:P124" si="75">AU101/AT101</f>
        <v>7.7998252839136403E-2</v>
      </c>
      <c r="Q101" s="1313">
        <f t="shared" ref="Q101:Q124" si="76">AW101/AV101</f>
        <v>7.8177517739325283E-2</v>
      </c>
      <c r="R101" s="1316">
        <f t="shared" ref="R101:R124" si="77">AY101/AX101</f>
        <v>6.3786531130876747E-2</v>
      </c>
      <c r="S101" s="1483">
        <f t="shared" si="63"/>
        <v>5.3152202585069905E-2</v>
      </c>
      <c r="T101" s="1483">
        <f t="shared" si="62"/>
        <v>5.0526596453806159E-2</v>
      </c>
      <c r="U101" s="216"/>
      <c r="V101" s="410">
        <v>7468</v>
      </c>
      <c r="W101" s="411">
        <v>237</v>
      </c>
      <c r="X101" s="412">
        <v>7555</v>
      </c>
      <c r="Y101" s="413">
        <v>315</v>
      </c>
      <c r="Z101" s="412">
        <v>7609</v>
      </c>
      <c r="AA101" s="413">
        <v>377</v>
      </c>
      <c r="AB101" s="412">
        <v>7939</v>
      </c>
      <c r="AC101" s="413">
        <v>491</v>
      </c>
      <c r="AD101" s="412">
        <v>7834</v>
      </c>
      <c r="AE101" s="413">
        <v>475</v>
      </c>
      <c r="AF101" s="412">
        <v>7784</v>
      </c>
      <c r="AG101" s="413">
        <v>421</v>
      </c>
      <c r="AH101" s="412">
        <v>7944</v>
      </c>
      <c r="AI101" s="413">
        <v>381</v>
      </c>
      <c r="AJ101" s="412">
        <v>7928</v>
      </c>
      <c r="AK101" s="413">
        <v>410</v>
      </c>
      <c r="AL101" s="412">
        <v>8101</v>
      </c>
      <c r="AM101" s="413">
        <v>468</v>
      </c>
      <c r="AN101" s="414">
        <v>8159</v>
      </c>
      <c r="AO101" s="413">
        <v>843</v>
      </c>
      <c r="AP101" s="412">
        <v>8050</v>
      </c>
      <c r="AQ101" s="413">
        <v>797</v>
      </c>
      <c r="AR101" s="415">
        <v>8223</v>
      </c>
      <c r="AS101" s="416">
        <v>796</v>
      </c>
      <c r="AT101" s="417">
        <v>8013</v>
      </c>
      <c r="AU101" s="418">
        <v>625</v>
      </c>
      <c r="AV101" s="417">
        <v>8033</v>
      </c>
      <c r="AW101" s="1322">
        <v>628</v>
      </c>
      <c r="AX101" s="1325">
        <v>7870</v>
      </c>
      <c r="AY101" s="1326">
        <v>502</v>
      </c>
      <c r="AZ101" s="1469">
        <v>7582</v>
      </c>
      <c r="BA101" s="1489">
        <v>403</v>
      </c>
      <c r="BB101" s="1469">
        <v>7501</v>
      </c>
      <c r="BC101" s="1489">
        <v>379</v>
      </c>
    </row>
    <row r="102" spans="1:55" ht="15" customHeight="1" x14ac:dyDescent="0.25">
      <c r="A102" s="403" t="s">
        <v>52</v>
      </c>
      <c r="B102" s="419" t="s">
        <v>53</v>
      </c>
      <c r="C102" s="187" t="s">
        <v>265</v>
      </c>
      <c r="D102" s="405">
        <f t="shared" si="64"/>
        <v>2.9387331256490134E-2</v>
      </c>
      <c r="E102" s="406">
        <f t="shared" si="65"/>
        <v>3.5909568874868562E-2</v>
      </c>
      <c r="F102" s="407">
        <f t="shared" si="49"/>
        <v>3.8652482269503546E-2</v>
      </c>
      <c r="G102" s="407">
        <f t="shared" si="66"/>
        <v>4.1420720537349888E-2</v>
      </c>
      <c r="H102" s="407">
        <f t="shared" si="67"/>
        <v>4.0241145440844006E-2</v>
      </c>
      <c r="I102" s="407">
        <f t="shared" si="68"/>
        <v>3.764682260817187E-2</v>
      </c>
      <c r="J102" s="407">
        <f t="shared" si="69"/>
        <v>3.195967110415035E-2</v>
      </c>
      <c r="K102" s="407">
        <f t="shared" si="70"/>
        <v>3.0791788856304986E-2</v>
      </c>
      <c r="L102" s="407">
        <f t="shared" si="71"/>
        <v>3.8981336765652297E-2</v>
      </c>
      <c r="M102" s="407">
        <f t="shared" si="72"/>
        <v>6.7033976124885222E-2</v>
      </c>
      <c r="N102" s="407">
        <f t="shared" si="73"/>
        <v>6.4296174263225328E-2</v>
      </c>
      <c r="O102" s="408">
        <f t="shared" si="74"/>
        <v>6.0120149961606216E-2</v>
      </c>
      <c r="P102" s="409">
        <f t="shared" si="75"/>
        <v>5.2534354584365846E-2</v>
      </c>
      <c r="Q102" s="1313">
        <f t="shared" si="76"/>
        <v>4.8701880035810205E-2</v>
      </c>
      <c r="R102" s="1316">
        <f t="shared" si="77"/>
        <v>4.2769434995436818E-2</v>
      </c>
      <c r="S102" s="1483">
        <f t="shared" si="63"/>
        <v>3.6931702758704749E-2</v>
      </c>
      <c r="T102" s="1483">
        <f t="shared" si="62"/>
        <v>3.3467579540877972E-2</v>
      </c>
      <c r="U102" s="216"/>
      <c r="V102" s="410">
        <v>19260</v>
      </c>
      <c r="W102" s="411">
        <v>566</v>
      </c>
      <c r="X102" s="412">
        <v>19020</v>
      </c>
      <c r="Y102" s="413">
        <v>683</v>
      </c>
      <c r="Z102" s="412">
        <v>19740</v>
      </c>
      <c r="AA102" s="413">
        <v>763</v>
      </c>
      <c r="AB102" s="412">
        <v>19652</v>
      </c>
      <c r="AC102" s="413">
        <v>814</v>
      </c>
      <c r="AD102" s="412">
        <v>19905</v>
      </c>
      <c r="AE102" s="413">
        <v>801</v>
      </c>
      <c r="AF102" s="412">
        <v>19922</v>
      </c>
      <c r="AG102" s="413">
        <v>750</v>
      </c>
      <c r="AH102" s="412">
        <v>20432</v>
      </c>
      <c r="AI102" s="413">
        <v>653</v>
      </c>
      <c r="AJ102" s="412">
        <v>21142</v>
      </c>
      <c r="AK102" s="413">
        <v>651</v>
      </c>
      <c r="AL102" s="412">
        <v>21754</v>
      </c>
      <c r="AM102" s="413">
        <v>848</v>
      </c>
      <c r="AN102" s="414">
        <v>21780</v>
      </c>
      <c r="AO102" s="413">
        <v>1460</v>
      </c>
      <c r="AP102" s="412">
        <v>21852</v>
      </c>
      <c r="AQ102" s="413">
        <v>1405</v>
      </c>
      <c r="AR102" s="415">
        <v>22139</v>
      </c>
      <c r="AS102" s="416">
        <v>1331</v>
      </c>
      <c r="AT102" s="417">
        <v>22195</v>
      </c>
      <c r="AU102" s="418">
        <v>1166</v>
      </c>
      <c r="AV102" s="417">
        <v>22340</v>
      </c>
      <c r="AW102" s="1322">
        <v>1088</v>
      </c>
      <c r="AX102" s="1325">
        <v>24106</v>
      </c>
      <c r="AY102" s="1326">
        <v>1031</v>
      </c>
      <c r="AZ102" s="1469">
        <v>24613</v>
      </c>
      <c r="BA102" s="1489">
        <v>909</v>
      </c>
      <c r="BB102" s="1469">
        <v>24830</v>
      </c>
      <c r="BC102" s="1489">
        <v>831</v>
      </c>
    </row>
    <row r="103" spans="1:55" ht="15" customHeight="1" x14ac:dyDescent="0.25">
      <c r="A103" s="403" t="s">
        <v>54</v>
      </c>
      <c r="B103" s="419" t="s">
        <v>55</v>
      </c>
      <c r="C103" s="187" t="s">
        <v>264</v>
      </c>
      <c r="D103" s="405">
        <f t="shared" si="64"/>
        <v>2.2726805923552487E-2</v>
      </c>
      <c r="E103" s="406">
        <f t="shared" si="65"/>
        <v>2.9324465180920235E-2</v>
      </c>
      <c r="F103" s="407">
        <f t="shared" si="49"/>
        <v>3.6751749968707573E-2</v>
      </c>
      <c r="G103" s="407">
        <f t="shared" si="66"/>
        <v>3.8424699983097638E-2</v>
      </c>
      <c r="H103" s="407">
        <f t="shared" si="67"/>
        <v>3.6383087670531437E-2</v>
      </c>
      <c r="I103" s="407">
        <f t="shared" si="68"/>
        <v>3.5573825921378109E-2</v>
      </c>
      <c r="J103" s="407">
        <f t="shared" si="69"/>
        <v>3.2200232625254704E-2</v>
      </c>
      <c r="K103" s="407">
        <f t="shared" si="70"/>
        <v>3.0347506635495947E-2</v>
      </c>
      <c r="L103" s="407">
        <f t="shared" si="71"/>
        <v>3.8573913341501655E-2</v>
      </c>
      <c r="M103" s="407">
        <f t="shared" si="72"/>
        <v>6.6089959393329401E-2</v>
      </c>
      <c r="N103" s="407">
        <f t="shared" si="73"/>
        <v>7.0252260828177052E-2</v>
      </c>
      <c r="O103" s="408">
        <f t="shared" si="74"/>
        <v>6.6218190466483196E-2</v>
      </c>
      <c r="P103" s="409">
        <f t="shared" si="75"/>
        <v>6.0685793317478788E-2</v>
      </c>
      <c r="Q103" s="1313">
        <f t="shared" si="76"/>
        <v>5.6573077052094863E-2</v>
      </c>
      <c r="R103" s="1316">
        <f t="shared" si="77"/>
        <v>5.2654168383463811E-2</v>
      </c>
      <c r="S103" s="1483">
        <f t="shared" si="63"/>
        <v>4.5472868084084496E-2</v>
      </c>
      <c r="T103" s="1483">
        <f t="shared" si="62"/>
        <v>4.2701723353283129E-2</v>
      </c>
      <c r="U103" s="216"/>
      <c r="V103" s="410">
        <v>97374</v>
      </c>
      <c r="W103" s="411">
        <v>2213</v>
      </c>
      <c r="X103" s="412">
        <v>100735</v>
      </c>
      <c r="Y103" s="413">
        <v>2954</v>
      </c>
      <c r="Z103" s="412">
        <v>103859</v>
      </c>
      <c r="AA103" s="413">
        <v>3817</v>
      </c>
      <c r="AB103" s="412">
        <v>106494</v>
      </c>
      <c r="AC103" s="413">
        <v>4092</v>
      </c>
      <c r="AD103" s="412">
        <v>109364</v>
      </c>
      <c r="AE103" s="413">
        <v>3979</v>
      </c>
      <c r="AF103" s="412">
        <v>112386</v>
      </c>
      <c r="AG103" s="413">
        <v>3998</v>
      </c>
      <c r="AH103" s="412">
        <v>114347</v>
      </c>
      <c r="AI103" s="413">
        <v>3682</v>
      </c>
      <c r="AJ103" s="412">
        <v>113782</v>
      </c>
      <c r="AK103" s="413">
        <v>3453</v>
      </c>
      <c r="AL103" s="412">
        <v>116711</v>
      </c>
      <c r="AM103" s="413">
        <v>4502</v>
      </c>
      <c r="AN103" s="414">
        <v>115252</v>
      </c>
      <c r="AO103" s="413">
        <v>7617</v>
      </c>
      <c r="AP103" s="412">
        <v>115555</v>
      </c>
      <c r="AQ103" s="413">
        <v>8118</v>
      </c>
      <c r="AR103" s="415">
        <v>117732</v>
      </c>
      <c r="AS103" s="416">
        <v>7796</v>
      </c>
      <c r="AT103" s="417">
        <v>118578</v>
      </c>
      <c r="AU103" s="418">
        <v>7196</v>
      </c>
      <c r="AV103" s="417">
        <v>119244</v>
      </c>
      <c r="AW103" s="1322">
        <v>6746</v>
      </c>
      <c r="AX103" s="1325">
        <v>116496</v>
      </c>
      <c r="AY103" s="1326">
        <v>6134</v>
      </c>
      <c r="AZ103" s="1469">
        <v>116597</v>
      </c>
      <c r="BA103" s="1489">
        <v>5302</v>
      </c>
      <c r="BB103" s="1469">
        <v>116459</v>
      </c>
      <c r="BC103" s="1489">
        <v>4973</v>
      </c>
    </row>
    <row r="104" spans="1:55" ht="15" customHeight="1" x14ac:dyDescent="0.25">
      <c r="A104" s="403" t="s">
        <v>66</v>
      </c>
      <c r="B104" s="419" t="s">
        <v>67</v>
      </c>
      <c r="C104" s="187" t="s">
        <v>265</v>
      </c>
      <c r="D104" s="405">
        <f t="shared" si="64"/>
        <v>4.3566219713008704E-2</v>
      </c>
      <c r="E104" s="406">
        <f t="shared" si="65"/>
        <v>6.9532237673830599E-2</v>
      </c>
      <c r="F104" s="407">
        <f t="shared" si="49"/>
        <v>8.5968696929361543E-2</v>
      </c>
      <c r="G104" s="407">
        <f t="shared" si="66"/>
        <v>9.4343049123762832E-2</v>
      </c>
      <c r="H104" s="407">
        <f t="shared" si="67"/>
        <v>9.1992621671475192E-2</v>
      </c>
      <c r="I104" s="407">
        <f t="shared" si="68"/>
        <v>0.10009986209520186</v>
      </c>
      <c r="J104" s="407">
        <f t="shared" si="69"/>
        <v>8.6327370038158477E-2</v>
      </c>
      <c r="K104" s="407">
        <f t="shared" si="70"/>
        <v>7.447621960544426E-2</v>
      </c>
      <c r="L104" s="407">
        <f t="shared" si="71"/>
        <v>9.2485262792886505E-2</v>
      </c>
      <c r="M104" s="407">
        <f t="shared" si="72"/>
        <v>0.13978335064549635</v>
      </c>
      <c r="N104" s="407">
        <f t="shared" si="73"/>
        <v>0.13678528379015775</v>
      </c>
      <c r="O104" s="408">
        <f t="shared" si="74"/>
        <v>0.11826957823550668</v>
      </c>
      <c r="P104" s="409">
        <f t="shared" si="75"/>
        <v>0.10283855396400651</v>
      </c>
      <c r="Q104" s="1313">
        <f t="shared" si="76"/>
        <v>9.5351672231939369E-2</v>
      </c>
      <c r="R104" s="1316">
        <f t="shared" si="77"/>
        <v>8.6740387541848429E-2</v>
      </c>
      <c r="S104" s="1483">
        <f t="shared" si="63"/>
        <v>7.327722251446607E-2</v>
      </c>
      <c r="T104" s="1483">
        <f t="shared" si="62"/>
        <v>6.0096658961966802E-2</v>
      </c>
      <c r="U104" s="216"/>
      <c r="V104" s="410">
        <v>21255</v>
      </c>
      <c r="W104" s="411">
        <v>926</v>
      </c>
      <c r="X104" s="412">
        <v>21357</v>
      </c>
      <c r="Y104" s="413">
        <v>1485</v>
      </c>
      <c r="Z104" s="412">
        <v>21787</v>
      </c>
      <c r="AA104" s="413">
        <v>1873</v>
      </c>
      <c r="AB104" s="412">
        <v>22026</v>
      </c>
      <c r="AC104" s="413">
        <v>2078</v>
      </c>
      <c r="AD104" s="412">
        <v>21143</v>
      </c>
      <c r="AE104" s="413">
        <v>1945</v>
      </c>
      <c r="AF104" s="412">
        <v>21029</v>
      </c>
      <c r="AG104" s="413">
        <v>2105</v>
      </c>
      <c r="AH104" s="412">
        <v>20179</v>
      </c>
      <c r="AI104" s="413">
        <v>1742</v>
      </c>
      <c r="AJ104" s="412">
        <v>19617</v>
      </c>
      <c r="AK104" s="413">
        <v>1461</v>
      </c>
      <c r="AL104" s="412">
        <v>20187</v>
      </c>
      <c r="AM104" s="413">
        <v>1867</v>
      </c>
      <c r="AN104" s="414">
        <v>20217</v>
      </c>
      <c r="AO104" s="413">
        <v>2826</v>
      </c>
      <c r="AP104" s="412">
        <v>19081</v>
      </c>
      <c r="AQ104" s="413">
        <v>2610</v>
      </c>
      <c r="AR104" s="415">
        <v>19371</v>
      </c>
      <c r="AS104" s="416">
        <v>2291</v>
      </c>
      <c r="AT104" s="417">
        <v>19059</v>
      </c>
      <c r="AU104" s="418">
        <v>1960</v>
      </c>
      <c r="AV104" s="417">
        <v>18867</v>
      </c>
      <c r="AW104" s="1322">
        <v>1799</v>
      </c>
      <c r="AX104" s="1325">
        <v>19714</v>
      </c>
      <c r="AY104" s="1326">
        <v>1710</v>
      </c>
      <c r="AZ104" s="1469">
        <v>19010</v>
      </c>
      <c r="BA104" s="1489">
        <v>1393</v>
      </c>
      <c r="BB104" s="1469">
        <v>19036</v>
      </c>
      <c r="BC104" s="1489">
        <v>1144</v>
      </c>
    </row>
    <row r="105" spans="1:55" ht="15" customHeight="1" x14ac:dyDescent="0.25">
      <c r="A105" s="403" t="s">
        <v>82</v>
      </c>
      <c r="B105" s="419" t="s">
        <v>311</v>
      </c>
      <c r="C105" s="187" t="s">
        <v>264</v>
      </c>
      <c r="D105" s="405">
        <f t="shared" si="64"/>
        <v>3.1567080045095827E-2</v>
      </c>
      <c r="E105" s="406">
        <f t="shared" si="65"/>
        <v>4.3576683644595361E-2</v>
      </c>
      <c r="F105" s="407">
        <f t="shared" si="49"/>
        <v>4.7873838355392849E-2</v>
      </c>
      <c r="G105" s="407">
        <f t="shared" si="66"/>
        <v>4.8734518039849219E-2</v>
      </c>
      <c r="H105" s="407">
        <f t="shared" si="67"/>
        <v>4.9175898405836263E-2</v>
      </c>
      <c r="I105" s="407">
        <f t="shared" si="68"/>
        <v>5.1240992794235385E-2</v>
      </c>
      <c r="J105" s="407">
        <f t="shared" si="69"/>
        <v>4.6829781636411473E-2</v>
      </c>
      <c r="K105" s="407">
        <f t="shared" si="70"/>
        <v>4.6350832266325227E-2</v>
      </c>
      <c r="L105" s="407">
        <f t="shared" si="71"/>
        <v>6.2689585439838214E-2</v>
      </c>
      <c r="M105" s="407">
        <f t="shared" si="72"/>
        <v>0.10474507824331146</v>
      </c>
      <c r="N105" s="407">
        <f t="shared" si="73"/>
        <v>0.11448166710630441</v>
      </c>
      <c r="O105" s="408">
        <f t="shared" si="74"/>
        <v>0.10585763068032572</v>
      </c>
      <c r="P105" s="409">
        <f t="shared" si="75"/>
        <v>9.5124536301006896E-2</v>
      </c>
      <c r="Q105" s="1313">
        <f t="shared" si="76"/>
        <v>8.6254107338444685E-2</v>
      </c>
      <c r="R105" s="1316">
        <f t="shared" si="77"/>
        <v>7.9005524861878451E-2</v>
      </c>
      <c r="S105" s="1483">
        <f t="shared" si="63"/>
        <v>6.7344694887300716E-2</v>
      </c>
      <c r="T105" s="1483">
        <f t="shared" si="62"/>
        <v>5.9486890329856219E-2</v>
      </c>
      <c r="U105" s="216"/>
      <c r="V105" s="410">
        <v>3548</v>
      </c>
      <c r="W105" s="411">
        <v>112</v>
      </c>
      <c r="X105" s="412">
        <v>3534</v>
      </c>
      <c r="Y105" s="413">
        <v>154</v>
      </c>
      <c r="Z105" s="412">
        <v>3551</v>
      </c>
      <c r="AA105" s="413">
        <v>170</v>
      </c>
      <c r="AB105" s="412">
        <v>3714</v>
      </c>
      <c r="AC105" s="413">
        <v>181</v>
      </c>
      <c r="AD105" s="412">
        <v>3701</v>
      </c>
      <c r="AE105" s="413">
        <v>182</v>
      </c>
      <c r="AF105" s="412">
        <v>3747</v>
      </c>
      <c r="AG105" s="413">
        <v>192</v>
      </c>
      <c r="AH105" s="412">
        <v>3801</v>
      </c>
      <c r="AI105" s="413">
        <v>178</v>
      </c>
      <c r="AJ105" s="412">
        <v>3905</v>
      </c>
      <c r="AK105" s="413">
        <v>181</v>
      </c>
      <c r="AL105" s="412">
        <v>3956</v>
      </c>
      <c r="AM105" s="413">
        <v>248</v>
      </c>
      <c r="AN105" s="414">
        <v>3962</v>
      </c>
      <c r="AO105" s="413">
        <v>415</v>
      </c>
      <c r="AP105" s="412">
        <v>3791</v>
      </c>
      <c r="AQ105" s="413">
        <v>434</v>
      </c>
      <c r="AR105" s="415">
        <v>3807</v>
      </c>
      <c r="AS105" s="416">
        <v>403</v>
      </c>
      <c r="AT105" s="417">
        <v>3774</v>
      </c>
      <c r="AU105" s="418">
        <v>359</v>
      </c>
      <c r="AV105" s="417">
        <v>3652</v>
      </c>
      <c r="AW105" s="1322">
        <v>315</v>
      </c>
      <c r="AX105" s="1325">
        <v>3620</v>
      </c>
      <c r="AY105" s="1326">
        <v>286</v>
      </c>
      <c r="AZ105" s="1469">
        <v>3638</v>
      </c>
      <c r="BA105" s="1489">
        <v>245</v>
      </c>
      <c r="BB105" s="1469">
        <v>3547</v>
      </c>
      <c r="BC105" s="1489">
        <v>211</v>
      </c>
    </row>
    <row r="106" spans="1:55" ht="15" customHeight="1" x14ac:dyDescent="0.25">
      <c r="A106" s="403" t="s">
        <v>88</v>
      </c>
      <c r="B106" s="419" t="s">
        <v>89</v>
      </c>
      <c r="C106" s="187" t="s">
        <v>267</v>
      </c>
      <c r="D106" s="405">
        <f t="shared" si="64"/>
        <v>2.2900019489378289E-2</v>
      </c>
      <c r="E106" s="406">
        <f t="shared" si="65"/>
        <v>3.5592255125284737E-2</v>
      </c>
      <c r="F106" s="407">
        <f t="shared" si="49"/>
        <v>5.4172086972681659E-2</v>
      </c>
      <c r="G106" s="407">
        <f t="shared" si="66"/>
        <v>5.225409836065574E-2</v>
      </c>
      <c r="H106" s="407">
        <f t="shared" si="67"/>
        <v>4.7491757996970509E-2</v>
      </c>
      <c r="I106" s="407">
        <f t="shared" si="68"/>
        <v>4.409420931468036E-2</v>
      </c>
      <c r="J106" s="407">
        <f t="shared" si="69"/>
        <v>3.9286326985760851E-2</v>
      </c>
      <c r="K106" s="407">
        <f t="shared" si="70"/>
        <v>4.5189975747776882E-2</v>
      </c>
      <c r="L106" s="407">
        <f t="shared" si="71"/>
        <v>6.0472998998536323E-2</v>
      </c>
      <c r="M106" s="407">
        <f t="shared" si="72"/>
        <v>9.7046413502109699E-2</v>
      </c>
      <c r="N106" s="407">
        <f t="shared" si="73"/>
        <v>7.2269929325936622E-2</v>
      </c>
      <c r="O106" s="408">
        <f t="shared" si="74"/>
        <v>6.5869126549437884E-2</v>
      </c>
      <c r="P106" s="409">
        <f t="shared" si="75"/>
        <v>5.8394662631542749E-2</v>
      </c>
      <c r="Q106" s="1313">
        <f t="shared" si="76"/>
        <v>5.5574543714539612E-2</v>
      </c>
      <c r="R106" s="1316">
        <f t="shared" si="77"/>
        <v>5.9866801795280151E-2</v>
      </c>
      <c r="S106" s="1483">
        <f t="shared" si="63"/>
        <v>5.3147159880108194E-2</v>
      </c>
      <c r="T106" s="1483">
        <f t="shared" si="62"/>
        <v>4.7228381374722836E-2</v>
      </c>
      <c r="U106" s="216"/>
      <c r="V106" s="410">
        <v>10262</v>
      </c>
      <c r="W106" s="411">
        <v>235</v>
      </c>
      <c r="X106" s="412">
        <v>10536</v>
      </c>
      <c r="Y106" s="413">
        <v>375</v>
      </c>
      <c r="Z106" s="412">
        <v>10762</v>
      </c>
      <c r="AA106" s="413">
        <v>583</v>
      </c>
      <c r="AB106" s="412">
        <v>10736</v>
      </c>
      <c r="AC106" s="413">
        <v>561</v>
      </c>
      <c r="AD106" s="412">
        <v>11223</v>
      </c>
      <c r="AE106" s="413">
        <v>533</v>
      </c>
      <c r="AF106" s="412">
        <v>11294</v>
      </c>
      <c r="AG106" s="413">
        <v>498</v>
      </c>
      <c r="AH106" s="412">
        <v>11658</v>
      </c>
      <c r="AI106" s="413">
        <v>458</v>
      </c>
      <c r="AJ106" s="412">
        <v>12370</v>
      </c>
      <c r="AK106" s="413">
        <v>559</v>
      </c>
      <c r="AL106" s="412">
        <v>12981</v>
      </c>
      <c r="AM106" s="413">
        <v>785</v>
      </c>
      <c r="AN106" s="414">
        <v>13035</v>
      </c>
      <c r="AO106" s="413">
        <v>1265</v>
      </c>
      <c r="AP106" s="412">
        <v>13159</v>
      </c>
      <c r="AQ106" s="413">
        <v>951</v>
      </c>
      <c r="AR106" s="415">
        <v>13876</v>
      </c>
      <c r="AS106" s="416">
        <v>914</v>
      </c>
      <c r="AT106" s="417">
        <v>14539</v>
      </c>
      <c r="AU106" s="418">
        <v>849</v>
      </c>
      <c r="AV106" s="417">
        <v>14629</v>
      </c>
      <c r="AW106" s="1322">
        <v>813</v>
      </c>
      <c r="AX106" s="1325">
        <v>13814</v>
      </c>
      <c r="AY106" s="1326">
        <v>827</v>
      </c>
      <c r="AZ106" s="1469">
        <v>13679</v>
      </c>
      <c r="BA106" s="1489">
        <v>727</v>
      </c>
      <c r="BB106" s="1469">
        <v>13530</v>
      </c>
      <c r="BC106" s="1489">
        <v>639</v>
      </c>
    </row>
    <row r="107" spans="1:55" ht="15" customHeight="1" x14ac:dyDescent="0.25">
      <c r="A107" s="403" t="s">
        <v>90</v>
      </c>
      <c r="B107" s="419" t="s">
        <v>91</v>
      </c>
      <c r="C107" s="187" t="s">
        <v>268</v>
      </c>
      <c r="D107" s="405">
        <f t="shared" si="64"/>
        <v>3.4703196347031964E-2</v>
      </c>
      <c r="E107" s="406">
        <f t="shared" si="65"/>
        <v>6.019539867633155E-2</v>
      </c>
      <c r="F107" s="407">
        <f t="shared" si="49"/>
        <v>8.008526187576126E-2</v>
      </c>
      <c r="G107" s="407">
        <f t="shared" si="66"/>
        <v>6.3804052010886E-2</v>
      </c>
      <c r="H107" s="407">
        <f t="shared" si="67"/>
        <v>5.520702634880803E-2</v>
      </c>
      <c r="I107" s="407">
        <f t="shared" si="68"/>
        <v>5.0814956855225309E-2</v>
      </c>
      <c r="J107" s="407">
        <f t="shared" si="69"/>
        <v>6.025683240039513E-2</v>
      </c>
      <c r="K107" s="407">
        <f t="shared" si="70"/>
        <v>5.6913183279742763E-2</v>
      </c>
      <c r="L107" s="407">
        <f t="shared" si="71"/>
        <v>6.1263560944479899E-2</v>
      </c>
      <c r="M107" s="407">
        <f t="shared" si="72"/>
        <v>0.10040036957191253</v>
      </c>
      <c r="N107" s="407">
        <f t="shared" si="73"/>
        <v>0.11121524523586379</v>
      </c>
      <c r="O107" s="408">
        <f t="shared" si="74"/>
        <v>0.10094936708860759</v>
      </c>
      <c r="P107" s="409">
        <f t="shared" si="75"/>
        <v>8.7131367292225204E-2</v>
      </c>
      <c r="Q107" s="1313">
        <f t="shared" si="76"/>
        <v>8.5438829787234036E-2</v>
      </c>
      <c r="R107" s="1316">
        <f t="shared" si="77"/>
        <v>7.2048032021347561E-2</v>
      </c>
      <c r="S107" s="1483">
        <f t="shared" si="63"/>
        <v>5.4956169925826026E-2</v>
      </c>
      <c r="T107" s="1483">
        <f t="shared" si="62"/>
        <v>4.9913941480206538E-2</v>
      </c>
      <c r="U107" s="216"/>
      <c r="V107" s="410">
        <v>3285</v>
      </c>
      <c r="W107" s="411">
        <v>114</v>
      </c>
      <c r="X107" s="412">
        <v>3173</v>
      </c>
      <c r="Y107" s="413">
        <v>191</v>
      </c>
      <c r="Z107" s="412">
        <v>3284</v>
      </c>
      <c r="AA107" s="413">
        <v>263</v>
      </c>
      <c r="AB107" s="412">
        <v>3307</v>
      </c>
      <c r="AC107" s="413">
        <v>211</v>
      </c>
      <c r="AD107" s="412">
        <v>3188</v>
      </c>
      <c r="AE107" s="413">
        <v>176</v>
      </c>
      <c r="AF107" s="412">
        <v>3129</v>
      </c>
      <c r="AG107" s="413">
        <v>159</v>
      </c>
      <c r="AH107" s="412">
        <v>3037</v>
      </c>
      <c r="AI107" s="413">
        <v>183</v>
      </c>
      <c r="AJ107" s="412">
        <v>3110</v>
      </c>
      <c r="AK107" s="413">
        <v>177</v>
      </c>
      <c r="AL107" s="412">
        <v>3134</v>
      </c>
      <c r="AM107" s="413">
        <v>192</v>
      </c>
      <c r="AN107" s="414">
        <v>3247</v>
      </c>
      <c r="AO107" s="413">
        <v>326</v>
      </c>
      <c r="AP107" s="412">
        <v>3201</v>
      </c>
      <c r="AQ107" s="413">
        <v>356</v>
      </c>
      <c r="AR107" s="415">
        <v>3160</v>
      </c>
      <c r="AS107" s="416">
        <v>319</v>
      </c>
      <c r="AT107" s="417">
        <v>2984</v>
      </c>
      <c r="AU107" s="418">
        <v>260</v>
      </c>
      <c r="AV107" s="417">
        <v>3008</v>
      </c>
      <c r="AW107" s="1322">
        <v>257</v>
      </c>
      <c r="AX107" s="1325">
        <v>2998</v>
      </c>
      <c r="AY107" s="1326">
        <v>216</v>
      </c>
      <c r="AZ107" s="1469">
        <v>2966</v>
      </c>
      <c r="BA107" s="1489">
        <v>163</v>
      </c>
      <c r="BB107" s="1469">
        <v>2905</v>
      </c>
      <c r="BC107" s="1489">
        <v>145</v>
      </c>
    </row>
    <row r="108" spans="1:55" ht="15" customHeight="1" x14ac:dyDescent="0.25">
      <c r="A108" s="403" t="s">
        <v>106</v>
      </c>
      <c r="B108" s="419" t="s">
        <v>107</v>
      </c>
      <c r="C108" s="187" t="s">
        <v>264</v>
      </c>
      <c r="D108" s="405">
        <f t="shared" si="64"/>
        <v>2.6882897535343425E-2</v>
      </c>
      <c r="E108" s="406">
        <f t="shared" si="65"/>
        <v>3.4860542378119447E-2</v>
      </c>
      <c r="F108" s="407">
        <f t="shared" si="49"/>
        <v>4.8358091668807522E-2</v>
      </c>
      <c r="G108" s="407">
        <f t="shared" si="66"/>
        <v>4.8798437969360169E-2</v>
      </c>
      <c r="H108" s="407">
        <f t="shared" si="67"/>
        <v>4.6526670477451189E-2</v>
      </c>
      <c r="I108" s="407">
        <f t="shared" si="68"/>
        <v>4.445039895200667E-2</v>
      </c>
      <c r="J108" s="407">
        <f t="shared" si="69"/>
        <v>3.666627000654489E-2</v>
      </c>
      <c r="K108" s="407">
        <f t="shared" si="70"/>
        <v>3.5885097268272645E-2</v>
      </c>
      <c r="L108" s="407">
        <f t="shared" si="71"/>
        <v>4.750299237125593E-2</v>
      </c>
      <c r="M108" s="407">
        <f t="shared" si="72"/>
        <v>8.1161523425931414E-2</v>
      </c>
      <c r="N108" s="407">
        <f t="shared" si="73"/>
        <v>8.8086844434781264E-2</v>
      </c>
      <c r="O108" s="408">
        <f t="shared" si="74"/>
        <v>8.5893767881577307E-2</v>
      </c>
      <c r="P108" s="409">
        <f t="shared" si="75"/>
        <v>7.730294099203612E-2</v>
      </c>
      <c r="Q108" s="1313">
        <f t="shared" si="76"/>
        <v>6.9600738735072706E-2</v>
      </c>
      <c r="R108" s="1316">
        <f t="shared" si="77"/>
        <v>6.6941156808824204E-2</v>
      </c>
      <c r="S108" s="1483">
        <f t="shared" si="63"/>
        <v>5.9715465246550747E-2</v>
      </c>
      <c r="T108" s="1483">
        <f t="shared" si="62"/>
        <v>5.6226274192544654E-2</v>
      </c>
      <c r="U108" s="216"/>
      <c r="V108" s="410">
        <v>63944</v>
      </c>
      <c r="W108" s="411">
        <v>1719</v>
      </c>
      <c r="X108" s="412">
        <v>64715</v>
      </c>
      <c r="Y108" s="413">
        <v>2256</v>
      </c>
      <c r="Z108" s="412">
        <v>66173</v>
      </c>
      <c r="AA108" s="413">
        <v>3200</v>
      </c>
      <c r="AB108" s="412">
        <v>66580</v>
      </c>
      <c r="AC108" s="413">
        <v>3249</v>
      </c>
      <c r="AD108" s="412">
        <v>66478</v>
      </c>
      <c r="AE108" s="413">
        <v>3093</v>
      </c>
      <c r="AF108" s="412">
        <v>67176</v>
      </c>
      <c r="AG108" s="413">
        <v>2986</v>
      </c>
      <c r="AH108" s="412">
        <v>67228</v>
      </c>
      <c r="AI108" s="413">
        <v>2465</v>
      </c>
      <c r="AJ108" s="412">
        <v>68162</v>
      </c>
      <c r="AK108" s="413">
        <v>2446</v>
      </c>
      <c r="AL108" s="412">
        <v>69343</v>
      </c>
      <c r="AM108" s="413">
        <v>3294</v>
      </c>
      <c r="AN108" s="414">
        <v>67532</v>
      </c>
      <c r="AO108" s="413">
        <v>5481</v>
      </c>
      <c r="AP108" s="412">
        <v>64391</v>
      </c>
      <c r="AQ108" s="413">
        <v>5672</v>
      </c>
      <c r="AR108" s="415">
        <v>64312</v>
      </c>
      <c r="AS108" s="416">
        <v>5524</v>
      </c>
      <c r="AT108" s="417">
        <v>63788</v>
      </c>
      <c r="AU108" s="418">
        <v>4931</v>
      </c>
      <c r="AV108" s="417">
        <v>63893</v>
      </c>
      <c r="AW108" s="1322">
        <v>4447</v>
      </c>
      <c r="AX108" s="1325">
        <v>65819</v>
      </c>
      <c r="AY108" s="1326">
        <v>4406</v>
      </c>
      <c r="AZ108" s="1469">
        <v>65159</v>
      </c>
      <c r="BA108" s="1489">
        <v>3891</v>
      </c>
      <c r="BB108" s="1469">
        <v>64276</v>
      </c>
      <c r="BC108" s="1489">
        <v>3614</v>
      </c>
    </row>
    <row r="109" spans="1:55" ht="15" customHeight="1" x14ac:dyDescent="0.25">
      <c r="A109" s="403" t="s">
        <v>116</v>
      </c>
      <c r="B109" s="419" t="s">
        <v>117</v>
      </c>
      <c r="C109" s="187" t="s">
        <v>266</v>
      </c>
      <c r="D109" s="405">
        <f t="shared" si="64"/>
        <v>2.8329766636094975E-2</v>
      </c>
      <c r="E109" s="406">
        <f t="shared" si="65"/>
        <v>4.6310278868418403E-2</v>
      </c>
      <c r="F109" s="407">
        <f t="shared" si="49"/>
        <v>6.1546036435253568E-2</v>
      </c>
      <c r="G109" s="407">
        <f t="shared" si="66"/>
        <v>6.3152709359605916E-2</v>
      </c>
      <c r="H109" s="407">
        <f t="shared" si="67"/>
        <v>5.4840294840294838E-2</v>
      </c>
      <c r="I109" s="407">
        <f t="shared" si="68"/>
        <v>5.6780808667053588E-2</v>
      </c>
      <c r="J109" s="407">
        <f t="shared" si="69"/>
        <v>4.619565217391304E-2</v>
      </c>
      <c r="K109" s="407">
        <f t="shared" si="70"/>
        <v>4.6981804178299801E-2</v>
      </c>
      <c r="L109" s="407">
        <f t="shared" si="71"/>
        <v>5.9793814432989693E-2</v>
      </c>
      <c r="M109" s="407">
        <f t="shared" si="72"/>
        <v>0.10801886792452831</v>
      </c>
      <c r="N109" s="407">
        <f t="shared" si="73"/>
        <v>0.10805230557467309</v>
      </c>
      <c r="O109" s="408">
        <f t="shared" si="74"/>
        <v>0.10347174948944861</v>
      </c>
      <c r="P109" s="409">
        <f t="shared" si="75"/>
        <v>8.3732057416267949E-2</v>
      </c>
      <c r="Q109" s="1313">
        <f t="shared" si="76"/>
        <v>8.5102201257861637E-2</v>
      </c>
      <c r="R109" s="1316">
        <f t="shared" si="77"/>
        <v>8.661740558292283E-2</v>
      </c>
      <c r="S109" s="1483">
        <f t="shared" si="63"/>
        <v>7.5131402658971447E-2</v>
      </c>
      <c r="T109" s="1483">
        <f t="shared" si="62"/>
        <v>6.4972626794752603E-2</v>
      </c>
      <c r="U109" s="216"/>
      <c r="V109" s="410">
        <v>9813</v>
      </c>
      <c r="W109" s="411">
        <v>278</v>
      </c>
      <c r="X109" s="412">
        <v>9933</v>
      </c>
      <c r="Y109" s="413">
        <v>460</v>
      </c>
      <c r="Z109" s="412">
        <v>10155</v>
      </c>
      <c r="AA109" s="413">
        <v>625</v>
      </c>
      <c r="AB109" s="412">
        <v>10150</v>
      </c>
      <c r="AC109" s="413">
        <v>641</v>
      </c>
      <c r="AD109" s="412">
        <v>10175</v>
      </c>
      <c r="AE109" s="413">
        <v>558</v>
      </c>
      <c r="AF109" s="412">
        <v>10338</v>
      </c>
      <c r="AG109" s="413">
        <v>587</v>
      </c>
      <c r="AH109" s="412">
        <v>10304</v>
      </c>
      <c r="AI109" s="413">
        <v>476</v>
      </c>
      <c r="AJ109" s="412">
        <v>10387</v>
      </c>
      <c r="AK109" s="413">
        <v>488</v>
      </c>
      <c r="AL109" s="412">
        <v>10670</v>
      </c>
      <c r="AM109" s="413">
        <v>638</v>
      </c>
      <c r="AN109" s="414">
        <v>10600</v>
      </c>
      <c r="AO109" s="413">
        <v>1145</v>
      </c>
      <c r="AP109" s="412">
        <v>10171</v>
      </c>
      <c r="AQ109" s="413">
        <v>1099</v>
      </c>
      <c r="AR109" s="415">
        <v>10283</v>
      </c>
      <c r="AS109" s="416">
        <v>1064</v>
      </c>
      <c r="AT109" s="417">
        <v>10032</v>
      </c>
      <c r="AU109" s="418">
        <v>840</v>
      </c>
      <c r="AV109" s="417">
        <v>10176</v>
      </c>
      <c r="AW109" s="1322">
        <v>866</v>
      </c>
      <c r="AX109" s="1325">
        <v>9744</v>
      </c>
      <c r="AY109" s="1326">
        <v>844</v>
      </c>
      <c r="AZ109" s="1469">
        <v>9703</v>
      </c>
      <c r="BA109" s="1489">
        <v>729</v>
      </c>
      <c r="BB109" s="1469">
        <v>9681</v>
      </c>
      <c r="BC109" s="1489">
        <v>629</v>
      </c>
    </row>
    <row r="110" spans="1:55" ht="15" customHeight="1" x14ac:dyDescent="0.25">
      <c r="A110" s="403" t="s">
        <v>138</v>
      </c>
      <c r="B110" s="419" t="s">
        <v>139</v>
      </c>
      <c r="C110" s="187" t="s">
        <v>265</v>
      </c>
      <c r="D110" s="405">
        <f t="shared" si="64"/>
        <v>2.4182216267442241E-2</v>
      </c>
      <c r="E110" s="406">
        <f t="shared" si="65"/>
        <v>4.1346089516290895E-2</v>
      </c>
      <c r="F110" s="407">
        <f t="shared" si="49"/>
        <v>5.8576444721556785E-2</v>
      </c>
      <c r="G110" s="407">
        <f t="shared" si="66"/>
        <v>5.5768179332968834E-2</v>
      </c>
      <c r="H110" s="407">
        <f t="shared" si="67"/>
        <v>5.013676588897828E-2</v>
      </c>
      <c r="I110" s="407">
        <f t="shared" si="68"/>
        <v>4.5067107690350487E-2</v>
      </c>
      <c r="J110" s="407">
        <f t="shared" si="69"/>
        <v>3.6199236593454726E-2</v>
      </c>
      <c r="K110" s="407">
        <f t="shared" si="70"/>
        <v>3.7760105237981345E-2</v>
      </c>
      <c r="L110" s="407">
        <f t="shared" si="71"/>
        <v>4.7854644715516509E-2</v>
      </c>
      <c r="M110" s="407">
        <f t="shared" si="72"/>
        <v>8.356689355373792E-2</v>
      </c>
      <c r="N110" s="407">
        <f t="shared" si="73"/>
        <v>8.5977658444131758E-2</v>
      </c>
      <c r="O110" s="408">
        <f t="shared" si="74"/>
        <v>8.1041720209029389E-2</v>
      </c>
      <c r="P110" s="409">
        <f t="shared" si="75"/>
        <v>7.4948989855447304E-2</v>
      </c>
      <c r="Q110" s="1313">
        <f t="shared" si="76"/>
        <v>7.1050968223869443E-2</v>
      </c>
      <c r="R110" s="1316">
        <f t="shared" si="77"/>
        <v>6.3496036712557366E-2</v>
      </c>
      <c r="S110" s="1483">
        <f t="shared" si="63"/>
        <v>5.5595970900951315E-2</v>
      </c>
      <c r="T110" s="1483">
        <f t="shared" si="62"/>
        <v>5.1591564425849494E-2</v>
      </c>
      <c r="U110" s="216"/>
      <c r="V110" s="410">
        <v>30601</v>
      </c>
      <c r="W110" s="411">
        <v>740</v>
      </c>
      <c r="X110" s="412">
        <v>29894</v>
      </c>
      <c r="Y110" s="413">
        <v>1236</v>
      </c>
      <c r="Z110" s="412">
        <v>30473</v>
      </c>
      <c r="AA110" s="413">
        <v>1785</v>
      </c>
      <c r="AB110" s="412">
        <v>31093</v>
      </c>
      <c r="AC110" s="413">
        <v>1734</v>
      </c>
      <c r="AD110" s="412">
        <v>31075</v>
      </c>
      <c r="AE110" s="413">
        <v>1558</v>
      </c>
      <c r="AF110" s="412">
        <v>31442</v>
      </c>
      <c r="AG110" s="413">
        <v>1417</v>
      </c>
      <c r="AH110" s="412">
        <v>31962</v>
      </c>
      <c r="AI110" s="413">
        <v>1157</v>
      </c>
      <c r="AJ110" s="412">
        <v>33448</v>
      </c>
      <c r="AK110" s="413">
        <v>1263</v>
      </c>
      <c r="AL110" s="412">
        <v>35169</v>
      </c>
      <c r="AM110" s="413">
        <v>1683</v>
      </c>
      <c r="AN110" s="414">
        <v>34966</v>
      </c>
      <c r="AO110" s="413">
        <v>2922</v>
      </c>
      <c r="AP110" s="412">
        <v>34823</v>
      </c>
      <c r="AQ110" s="413">
        <v>2994</v>
      </c>
      <c r="AR110" s="415">
        <v>35019</v>
      </c>
      <c r="AS110" s="416">
        <v>2838</v>
      </c>
      <c r="AT110" s="417">
        <v>34797</v>
      </c>
      <c r="AU110" s="418">
        <v>2608</v>
      </c>
      <c r="AV110" s="417">
        <v>34806</v>
      </c>
      <c r="AW110" s="1322">
        <v>2473</v>
      </c>
      <c r="AX110" s="1325">
        <v>35955</v>
      </c>
      <c r="AY110" s="1326">
        <v>2283</v>
      </c>
      <c r="AZ110" s="1469">
        <v>35740</v>
      </c>
      <c r="BA110" s="1489">
        <v>1987</v>
      </c>
      <c r="BB110" s="1469">
        <v>35374</v>
      </c>
      <c r="BC110" s="1489">
        <v>1825</v>
      </c>
    </row>
    <row r="111" spans="1:55" ht="15" customHeight="1" x14ac:dyDescent="0.25">
      <c r="A111" s="403" t="s">
        <v>142</v>
      </c>
      <c r="B111" s="419" t="s">
        <v>143</v>
      </c>
      <c r="C111" s="187" t="s">
        <v>267</v>
      </c>
      <c r="D111" s="405">
        <f t="shared" si="64"/>
        <v>1.6701461377870562E-2</v>
      </c>
      <c r="E111" s="406">
        <f t="shared" si="65"/>
        <v>3.1484794275491952E-2</v>
      </c>
      <c r="F111" s="407">
        <f t="shared" si="49"/>
        <v>4.3036072144288576E-2</v>
      </c>
      <c r="G111" s="407">
        <f t="shared" si="66"/>
        <v>3.4189743077076874E-2</v>
      </c>
      <c r="H111" s="407">
        <f t="shared" si="67"/>
        <v>3.0415466484401698E-2</v>
      </c>
      <c r="I111" s="407">
        <f t="shared" si="68"/>
        <v>2.8420644911397307E-2</v>
      </c>
      <c r="J111" s="407">
        <f t="shared" si="69"/>
        <v>2.5968266482704248E-2</v>
      </c>
      <c r="K111" s="407">
        <f t="shared" si="70"/>
        <v>2.9320595558717414E-2</v>
      </c>
      <c r="L111" s="407">
        <f t="shared" si="71"/>
        <v>4.2238805970149257E-2</v>
      </c>
      <c r="M111" s="407">
        <f t="shared" si="72"/>
        <v>7.5832846288720043E-2</v>
      </c>
      <c r="N111" s="407">
        <f t="shared" si="73"/>
        <v>6.3923868114966836E-2</v>
      </c>
      <c r="O111" s="408">
        <f t="shared" si="74"/>
        <v>5.5534901013105306E-2</v>
      </c>
      <c r="P111" s="409">
        <f t="shared" si="75"/>
        <v>5.1706120223544913E-2</v>
      </c>
      <c r="Q111" s="1313">
        <f t="shared" si="76"/>
        <v>5.0660296570063552E-2</v>
      </c>
      <c r="R111" s="1316">
        <f t="shared" si="77"/>
        <v>4.9395432154052843E-2</v>
      </c>
      <c r="S111" s="1483">
        <f t="shared" si="63"/>
        <v>4.1336532802100784E-2</v>
      </c>
      <c r="T111" s="1483">
        <f t="shared" si="62"/>
        <v>3.5540899514518644E-2</v>
      </c>
      <c r="U111" s="216"/>
      <c r="V111" s="410">
        <v>19160</v>
      </c>
      <c r="W111" s="411">
        <v>320</v>
      </c>
      <c r="X111" s="412">
        <v>19565</v>
      </c>
      <c r="Y111" s="413">
        <v>616</v>
      </c>
      <c r="Z111" s="412">
        <v>19960</v>
      </c>
      <c r="AA111" s="413">
        <v>859</v>
      </c>
      <c r="AB111" s="412">
        <v>20006</v>
      </c>
      <c r="AC111" s="413">
        <v>684</v>
      </c>
      <c r="AD111" s="412">
        <v>20483</v>
      </c>
      <c r="AE111" s="413">
        <v>623</v>
      </c>
      <c r="AF111" s="412">
        <v>20654</v>
      </c>
      <c r="AG111" s="413">
        <v>587</v>
      </c>
      <c r="AH111" s="412">
        <v>20294</v>
      </c>
      <c r="AI111" s="413">
        <v>527</v>
      </c>
      <c r="AJ111" s="412">
        <v>19679</v>
      </c>
      <c r="AK111" s="413">
        <v>577</v>
      </c>
      <c r="AL111" s="412">
        <v>20100</v>
      </c>
      <c r="AM111" s="413">
        <v>849</v>
      </c>
      <c r="AN111" s="414">
        <v>20532</v>
      </c>
      <c r="AO111" s="413">
        <v>1557</v>
      </c>
      <c r="AP111" s="412">
        <v>20806</v>
      </c>
      <c r="AQ111" s="413">
        <v>1330</v>
      </c>
      <c r="AR111" s="415">
        <v>21518</v>
      </c>
      <c r="AS111" s="416">
        <v>1195</v>
      </c>
      <c r="AT111" s="417">
        <v>22009</v>
      </c>
      <c r="AU111" s="418">
        <v>1138</v>
      </c>
      <c r="AV111" s="417">
        <v>22187</v>
      </c>
      <c r="AW111" s="1322">
        <v>1124</v>
      </c>
      <c r="AX111" s="1325">
        <v>22330</v>
      </c>
      <c r="AY111" s="1326">
        <v>1103</v>
      </c>
      <c r="AZ111" s="1469">
        <v>22087</v>
      </c>
      <c r="BA111" s="1489">
        <v>913</v>
      </c>
      <c r="BB111" s="1469">
        <v>21834</v>
      </c>
      <c r="BC111" s="1489">
        <v>776</v>
      </c>
    </row>
    <row r="112" spans="1:55" ht="15" customHeight="1" x14ac:dyDescent="0.25">
      <c r="A112" s="403" t="s">
        <v>144</v>
      </c>
      <c r="B112" s="419" t="s">
        <v>145</v>
      </c>
      <c r="C112" s="187" t="s">
        <v>267</v>
      </c>
      <c r="D112" s="405">
        <f t="shared" si="64"/>
        <v>1.3898540653231411E-2</v>
      </c>
      <c r="E112" s="406">
        <f t="shared" si="65"/>
        <v>1.8087422542287724E-2</v>
      </c>
      <c r="F112" s="407">
        <f t="shared" si="49"/>
        <v>2.7621567978828979E-2</v>
      </c>
      <c r="G112" s="407">
        <f t="shared" si="66"/>
        <v>2.6459401356044319E-2</v>
      </c>
      <c r="H112" s="407">
        <f t="shared" si="67"/>
        <v>2.6980661260137241E-2</v>
      </c>
      <c r="I112" s="407">
        <f t="shared" si="68"/>
        <v>2.4839987808594942E-2</v>
      </c>
      <c r="J112" s="407">
        <f t="shared" si="69"/>
        <v>2.2922636103151862E-2</v>
      </c>
      <c r="K112" s="407">
        <f t="shared" si="70"/>
        <v>2.5578189615561343E-2</v>
      </c>
      <c r="L112" s="407">
        <f t="shared" si="71"/>
        <v>3.7505648441030277E-2</v>
      </c>
      <c r="M112" s="407">
        <f t="shared" si="72"/>
        <v>6.2717770034843204E-2</v>
      </c>
      <c r="N112" s="407">
        <f t="shared" si="73"/>
        <v>6.1075322101090186E-2</v>
      </c>
      <c r="O112" s="408">
        <f t="shared" si="74"/>
        <v>5.451388888888889E-2</v>
      </c>
      <c r="P112" s="409">
        <f t="shared" si="75"/>
        <v>5.031803725579282E-2</v>
      </c>
      <c r="Q112" s="1313">
        <f t="shared" si="76"/>
        <v>4.7092038396386225E-2</v>
      </c>
      <c r="R112" s="1316">
        <f t="shared" si="77"/>
        <v>4.5294983580568451E-2</v>
      </c>
      <c r="S112" s="1483">
        <f t="shared" si="63"/>
        <v>4.1880969875091843E-2</v>
      </c>
      <c r="T112" s="1483">
        <f t="shared" si="62"/>
        <v>3.543400713436385E-2</v>
      </c>
      <c r="U112" s="216"/>
      <c r="V112" s="410">
        <v>5756</v>
      </c>
      <c r="W112" s="411">
        <v>80</v>
      </c>
      <c r="X112" s="412">
        <v>5971</v>
      </c>
      <c r="Y112" s="413">
        <v>108</v>
      </c>
      <c r="Z112" s="412">
        <v>6046</v>
      </c>
      <c r="AA112" s="413">
        <v>167</v>
      </c>
      <c r="AB112" s="412">
        <v>6047</v>
      </c>
      <c r="AC112" s="413">
        <v>160</v>
      </c>
      <c r="AD112" s="412">
        <v>6412</v>
      </c>
      <c r="AE112" s="413">
        <v>173</v>
      </c>
      <c r="AF112" s="412">
        <v>6562</v>
      </c>
      <c r="AG112" s="413">
        <v>163</v>
      </c>
      <c r="AH112" s="412">
        <v>6631</v>
      </c>
      <c r="AI112" s="413">
        <v>152</v>
      </c>
      <c r="AJ112" s="412">
        <v>6529</v>
      </c>
      <c r="AK112" s="413">
        <v>167</v>
      </c>
      <c r="AL112" s="412">
        <v>6639</v>
      </c>
      <c r="AM112" s="413">
        <v>249</v>
      </c>
      <c r="AN112" s="414">
        <v>6888</v>
      </c>
      <c r="AO112" s="413">
        <v>432</v>
      </c>
      <c r="AP112" s="412">
        <v>8072</v>
      </c>
      <c r="AQ112" s="413">
        <v>493</v>
      </c>
      <c r="AR112" s="415">
        <v>8640</v>
      </c>
      <c r="AS112" s="416">
        <v>471</v>
      </c>
      <c r="AT112" s="417">
        <v>8804</v>
      </c>
      <c r="AU112" s="418">
        <v>443</v>
      </c>
      <c r="AV112" s="417">
        <v>8855</v>
      </c>
      <c r="AW112" s="1322">
        <v>417</v>
      </c>
      <c r="AX112" s="1325">
        <v>8831</v>
      </c>
      <c r="AY112" s="1326">
        <v>400</v>
      </c>
      <c r="AZ112" s="1469">
        <v>8166</v>
      </c>
      <c r="BA112" s="1489">
        <v>342</v>
      </c>
      <c r="BB112" s="1469">
        <v>8410</v>
      </c>
      <c r="BC112" s="1489">
        <v>298</v>
      </c>
    </row>
    <row r="113" spans="1:55" ht="15" customHeight="1" x14ac:dyDescent="0.25">
      <c r="A113" s="403" t="s">
        <v>158</v>
      </c>
      <c r="B113" s="419" t="s">
        <v>159</v>
      </c>
      <c r="C113" s="187" t="s">
        <v>264</v>
      </c>
      <c r="D113" s="405">
        <f t="shared" si="64"/>
        <v>2.5916484583636806E-2</v>
      </c>
      <c r="E113" s="406">
        <f t="shared" si="65"/>
        <v>3.5431802727175117E-2</v>
      </c>
      <c r="F113" s="407">
        <f t="shared" si="49"/>
        <v>4.5563857109502684E-2</v>
      </c>
      <c r="G113" s="407">
        <f t="shared" si="66"/>
        <v>4.7292310530928548E-2</v>
      </c>
      <c r="H113" s="407">
        <f t="shared" si="67"/>
        <v>4.4352386307563434E-2</v>
      </c>
      <c r="I113" s="407">
        <f t="shared" si="68"/>
        <v>4.4458265666931576E-2</v>
      </c>
      <c r="J113" s="407">
        <f t="shared" si="69"/>
        <v>3.5483422534232291E-2</v>
      </c>
      <c r="K113" s="407">
        <f t="shared" si="70"/>
        <v>3.594546205756783E-2</v>
      </c>
      <c r="L113" s="407">
        <f t="shared" si="71"/>
        <v>4.6416710463048898E-2</v>
      </c>
      <c r="M113" s="407">
        <f t="shared" si="72"/>
        <v>7.6946626129549875E-2</v>
      </c>
      <c r="N113" s="407">
        <f t="shared" si="73"/>
        <v>8.2847772430659647E-2</v>
      </c>
      <c r="O113" s="408">
        <f t="shared" si="74"/>
        <v>8.0012621709340065E-2</v>
      </c>
      <c r="P113" s="409">
        <f t="shared" si="75"/>
        <v>7.1901640457833774E-2</v>
      </c>
      <c r="Q113" s="1313">
        <f t="shared" si="76"/>
        <v>6.5863399444933329E-2</v>
      </c>
      <c r="R113" s="1316">
        <f t="shared" si="77"/>
        <v>6.2243637807083314E-2</v>
      </c>
      <c r="S113" s="1483">
        <f t="shared" si="63"/>
        <v>5.4036046240463737E-2</v>
      </c>
      <c r="T113" s="1483">
        <f t="shared" si="62"/>
        <v>5.0803793409906511E-2</v>
      </c>
      <c r="U113" s="216"/>
      <c r="V113" s="410">
        <v>82380</v>
      </c>
      <c r="W113" s="411">
        <v>2135</v>
      </c>
      <c r="X113" s="412">
        <v>83823</v>
      </c>
      <c r="Y113" s="413">
        <v>2970</v>
      </c>
      <c r="Z113" s="412">
        <v>85660</v>
      </c>
      <c r="AA113" s="413">
        <v>3903</v>
      </c>
      <c r="AB113" s="412">
        <v>86716</v>
      </c>
      <c r="AC113" s="413">
        <v>4101</v>
      </c>
      <c r="AD113" s="412">
        <v>87143</v>
      </c>
      <c r="AE113" s="413">
        <v>3865</v>
      </c>
      <c r="AF113" s="412">
        <v>86823</v>
      </c>
      <c r="AG113" s="413">
        <v>3860</v>
      </c>
      <c r="AH113" s="412">
        <v>86322</v>
      </c>
      <c r="AI113" s="413">
        <v>3063</v>
      </c>
      <c r="AJ113" s="412">
        <v>87132</v>
      </c>
      <c r="AK113" s="413">
        <v>3132</v>
      </c>
      <c r="AL113" s="412">
        <v>89429</v>
      </c>
      <c r="AM113" s="413">
        <v>4151</v>
      </c>
      <c r="AN113" s="414">
        <v>94728</v>
      </c>
      <c r="AO113" s="413">
        <v>7289</v>
      </c>
      <c r="AP113" s="412">
        <v>88729</v>
      </c>
      <c r="AQ113" s="413">
        <v>7351</v>
      </c>
      <c r="AR113" s="415">
        <v>88736</v>
      </c>
      <c r="AS113" s="416">
        <v>7100</v>
      </c>
      <c r="AT113" s="417">
        <v>88329</v>
      </c>
      <c r="AU113" s="418">
        <v>6351</v>
      </c>
      <c r="AV113" s="417">
        <v>88638</v>
      </c>
      <c r="AW113" s="1322">
        <v>5838</v>
      </c>
      <c r="AX113" s="1325">
        <v>90692</v>
      </c>
      <c r="AY113" s="1326">
        <v>5645</v>
      </c>
      <c r="AZ113" s="1469">
        <v>90051</v>
      </c>
      <c r="BA113" s="1489">
        <v>4866</v>
      </c>
      <c r="BB113" s="1469">
        <v>88891</v>
      </c>
      <c r="BC113" s="1489">
        <v>4516</v>
      </c>
    </row>
    <row r="114" spans="1:55" ht="15" customHeight="1" x14ac:dyDescent="0.25">
      <c r="A114" s="403" t="s">
        <v>160</v>
      </c>
      <c r="B114" s="419" t="s">
        <v>161</v>
      </c>
      <c r="C114" s="187" t="s">
        <v>264</v>
      </c>
      <c r="D114" s="405">
        <f t="shared" si="64"/>
        <v>3.2619985285844116E-2</v>
      </c>
      <c r="E114" s="406">
        <f t="shared" si="65"/>
        <v>4.2973053131090587E-2</v>
      </c>
      <c r="F114" s="407">
        <f t="shared" si="49"/>
        <v>5.1285173572001179E-2</v>
      </c>
      <c r="G114" s="407">
        <f t="shared" si="66"/>
        <v>5.2688226633497488E-2</v>
      </c>
      <c r="H114" s="407">
        <f t="shared" si="67"/>
        <v>5.0721549047068139E-2</v>
      </c>
      <c r="I114" s="407">
        <f t="shared" si="68"/>
        <v>5.0125650226997734E-2</v>
      </c>
      <c r="J114" s="407">
        <f t="shared" si="69"/>
        <v>4.2270279296956537E-2</v>
      </c>
      <c r="K114" s="407">
        <f t="shared" si="70"/>
        <v>4.1273359190046842E-2</v>
      </c>
      <c r="L114" s="407">
        <f t="shared" si="71"/>
        <v>5.2790570989947008E-2</v>
      </c>
      <c r="M114" s="407">
        <f t="shared" si="72"/>
        <v>8.856825749167592E-2</v>
      </c>
      <c r="N114" s="407">
        <f t="shared" si="73"/>
        <v>9.0795361593610166E-2</v>
      </c>
      <c r="O114" s="408">
        <f t="shared" si="74"/>
        <v>8.3368591099657677E-2</v>
      </c>
      <c r="P114" s="409">
        <f t="shared" si="75"/>
        <v>7.660364360073485E-2</v>
      </c>
      <c r="Q114" s="1313">
        <f t="shared" si="76"/>
        <v>6.9851993930892337E-2</v>
      </c>
      <c r="R114" s="1316">
        <f t="shared" si="77"/>
        <v>6.3573837533526301E-2</v>
      </c>
      <c r="S114" s="1483">
        <f t="shared" si="63"/>
        <v>5.5795109506099644E-2</v>
      </c>
      <c r="T114" s="1483">
        <f t="shared" si="62"/>
        <v>5.2366147283178482E-2</v>
      </c>
      <c r="U114" s="216"/>
      <c r="V114" s="410">
        <v>92428</v>
      </c>
      <c r="W114" s="411">
        <v>3015</v>
      </c>
      <c r="X114" s="412">
        <v>94408</v>
      </c>
      <c r="Y114" s="413">
        <v>4057</v>
      </c>
      <c r="Z114" s="412">
        <v>98547</v>
      </c>
      <c r="AA114" s="413">
        <v>5054</v>
      </c>
      <c r="AB114" s="412">
        <v>98485</v>
      </c>
      <c r="AC114" s="413">
        <v>5189</v>
      </c>
      <c r="AD114" s="412">
        <v>98538</v>
      </c>
      <c r="AE114" s="413">
        <v>4998</v>
      </c>
      <c r="AF114" s="412">
        <v>96697</v>
      </c>
      <c r="AG114" s="413">
        <v>4847</v>
      </c>
      <c r="AH114" s="412">
        <v>95812</v>
      </c>
      <c r="AI114" s="413">
        <v>4050</v>
      </c>
      <c r="AJ114" s="412">
        <v>99265</v>
      </c>
      <c r="AK114" s="413">
        <v>4097</v>
      </c>
      <c r="AL114" s="412">
        <v>100965</v>
      </c>
      <c r="AM114" s="413">
        <v>5330</v>
      </c>
      <c r="AN114" s="414">
        <v>99110</v>
      </c>
      <c r="AO114" s="413">
        <v>8778</v>
      </c>
      <c r="AP114" s="412">
        <v>103915</v>
      </c>
      <c r="AQ114" s="413">
        <v>9435</v>
      </c>
      <c r="AR114" s="415">
        <v>103996</v>
      </c>
      <c r="AS114" s="416">
        <v>8670</v>
      </c>
      <c r="AT114" s="417">
        <v>104512</v>
      </c>
      <c r="AU114" s="418">
        <v>8006</v>
      </c>
      <c r="AV114" s="417">
        <v>104793</v>
      </c>
      <c r="AW114" s="1322">
        <v>7320</v>
      </c>
      <c r="AX114" s="1325">
        <v>112971</v>
      </c>
      <c r="AY114" s="1326">
        <v>7182</v>
      </c>
      <c r="AZ114" s="1469">
        <v>111318</v>
      </c>
      <c r="BA114" s="1489">
        <v>6211</v>
      </c>
      <c r="BB114" s="1469">
        <v>110644</v>
      </c>
      <c r="BC114" s="1489">
        <v>5794</v>
      </c>
    </row>
    <row r="115" spans="1:55" ht="15" customHeight="1" x14ac:dyDescent="0.25">
      <c r="A115" s="403" t="s">
        <v>166</v>
      </c>
      <c r="B115" s="419" t="s">
        <v>167</v>
      </c>
      <c r="C115" s="187" t="s">
        <v>268</v>
      </c>
      <c r="D115" s="405">
        <f t="shared" si="64"/>
        <v>4.1244083840432724E-2</v>
      </c>
      <c r="E115" s="406">
        <f t="shared" si="65"/>
        <v>4.5454545454545456E-2</v>
      </c>
      <c r="F115" s="407">
        <f t="shared" si="49"/>
        <v>4.9087476400251732E-2</v>
      </c>
      <c r="G115" s="407">
        <f t="shared" si="66"/>
        <v>5.3954629061925198E-2</v>
      </c>
      <c r="H115" s="407">
        <f t="shared" si="67"/>
        <v>5.3846153846153849E-2</v>
      </c>
      <c r="I115" s="407">
        <f t="shared" si="68"/>
        <v>5.4794520547945202E-2</v>
      </c>
      <c r="J115" s="407">
        <f t="shared" si="69"/>
        <v>5.1451187335092345E-2</v>
      </c>
      <c r="K115" s="407">
        <f t="shared" si="70"/>
        <v>4.1104688503532431E-2</v>
      </c>
      <c r="L115" s="407">
        <f t="shared" si="71"/>
        <v>5.2372150338878619E-2</v>
      </c>
      <c r="M115" s="407">
        <f t="shared" si="72"/>
        <v>6.5934065934065936E-2</v>
      </c>
      <c r="N115" s="407">
        <f t="shared" si="73"/>
        <v>8.5515766969535015E-2</v>
      </c>
      <c r="O115" s="408">
        <f t="shared" si="74"/>
        <v>7.5695159629248193E-2</v>
      </c>
      <c r="P115" s="409">
        <f t="shared" si="75"/>
        <v>8.0510827318156578E-2</v>
      </c>
      <c r="Q115" s="1313">
        <f t="shared" si="76"/>
        <v>8.7179487179487175E-2</v>
      </c>
      <c r="R115" s="1316">
        <f t="shared" si="77"/>
        <v>7.8366445916114788E-2</v>
      </c>
      <c r="S115" s="1483">
        <f t="shared" si="63"/>
        <v>6.9555302166476624E-2</v>
      </c>
      <c r="T115" s="1483">
        <f t="shared" si="62"/>
        <v>6.7919951485748933E-2</v>
      </c>
      <c r="U115" s="216"/>
      <c r="V115" s="410">
        <v>1479</v>
      </c>
      <c r="W115" s="411">
        <v>61</v>
      </c>
      <c r="X115" s="412">
        <v>1518</v>
      </c>
      <c r="Y115" s="413">
        <v>69</v>
      </c>
      <c r="Z115" s="412">
        <v>1589</v>
      </c>
      <c r="AA115" s="413">
        <v>78</v>
      </c>
      <c r="AB115" s="412">
        <v>1631</v>
      </c>
      <c r="AC115" s="413">
        <v>88</v>
      </c>
      <c r="AD115" s="412">
        <v>1560</v>
      </c>
      <c r="AE115" s="413">
        <v>84</v>
      </c>
      <c r="AF115" s="412">
        <v>1533</v>
      </c>
      <c r="AG115" s="413">
        <v>84</v>
      </c>
      <c r="AH115" s="412">
        <v>1516</v>
      </c>
      <c r="AI115" s="413">
        <v>78</v>
      </c>
      <c r="AJ115" s="412">
        <v>1557</v>
      </c>
      <c r="AK115" s="413">
        <v>64</v>
      </c>
      <c r="AL115" s="412">
        <v>1623</v>
      </c>
      <c r="AM115" s="413">
        <v>85</v>
      </c>
      <c r="AN115" s="414">
        <v>1729</v>
      </c>
      <c r="AO115" s="413">
        <v>114</v>
      </c>
      <c r="AP115" s="412">
        <v>1871</v>
      </c>
      <c r="AQ115" s="413">
        <v>160</v>
      </c>
      <c r="AR115" s="415">
        <v>1942</v>
      </c>
      <c r="AS115" s="416">
        <v>147</v>
      </c>
      <c r="AT115" s="417">
        <v>1801</v>
      </c>
      <c r="AU115" s="418">
        <v>145</v>
      </c>
      <c r="AV115" s="417">
        <v>1755</v>
      </c>
      <c r="AW115" s="1322">
        <v>153</v>
      </c>
      <c r="AX115" s="1325">
        <v>1812</v>
      </c>
      <c r="AY115" s="1326">
        <v>142</v>
      </c>
      <c r="AZ115" s="1469">
        <v>1754</v>
      </c>
      <c r="BA115" s="1489">
        <v>122</v>
      </c>
      <c r="BB115" s="1469">
        <v>1649</v>
      </c>
      <c r="BC115" s="1489">
        <v>112</v>
      </c>
    </row>
    <row r="116" spans="1:55" ht="15" customHeight="1" x14ac:dyDescent="0.25">
      <c r="A116" s="403" t="s">
        <v>176</v>
      </c>
      <c r="B116" s="419" t="s">
        <v>177</v>
      </c>
      <c r="C116" s="187" t="s">
        <v>266</v>
      </c>
      <c r="D116" s="405">
        <f t="shared" si="64"/>
        <v>3.3979178716020825E-2</v>
      </c>
      <c r="E116" s="406">
        <f t="shared" si="65"/>
        <v>5.5018267784225229E-2</v>
      </c>
      <c r="F116" s="407">
        <f t="shared" si="49"/>
        <v>7.4393607241354923E-2</v>
      </c>
      <c r="G116" s="407">
        <f t="shared" si="66"/>
        <v>8.612975391498881E-2</v>
      </c>
      <c r="H116" s="407">
        <f t="shared" si="67"/>
        <v>7.6287349014621739E-2</v>
      </c>
      <c r="I116" s="407">
        <f t="shared" si="68"/>
        <v>7.2913699800626605E-2</v>
      </c>
      <c r="J116" s="407">
        <f t="shared" si="69"/>
        <v>6.2095265505828175E-2</v>
      </c>
      <c r="K116" s="407">
        <f t="shared" si="70"/>
        <v>6.2976963126738464E-2</v>
      </c>
      <c r="L116" s="407">
        <f t="shared" si="71"/>
        <v>7.311617503145533E-2</v>
      </c>
      <c r="M116" s="407">
        <f t="shared" si="72"/>
        <v>0.13796423658872076</v>
      </c>
      <c r="N116" s="407">
        <f t="shared" si="73"/>
        <v>0.12453867863087054</v>
      </c>
      <c r="O116" s="408">
        <f t="shared" si="74"/>
        <v>0.11324848134220422</v>
      </c>
      <c r="P116" s="409">
        <f t="shared" si="75"/>
        <v>0.10411320478040913</v>
      </c>
      <c r="Q116" s="1313">
        <f t="shared" si="76"/>
        <v>0.1001890359168242</v>
      </c>
      <c r="R116" s="1316">
        <f t="shared" si="77"/>
        <v>0.10647782011647135</v>
      </c>
      <c r="S116" s="1483">
        <f t="shared" si="63"/>
        <v>9.0290348273115634E-2</v>
      </c>
      <c r="T116" s="1483">
        <f t="shared" si="62"/>
        <v>7.6467540158412908E-2</v>
      </c>
      <c r="U116" s="216"/>
      <c r="V116" s="410">
        <v>13832</v>
      </c>
      <c r="W116" s="411">
        <v>470</v>
      </c>
      <c r="X116" s="412">
        <v>13959</v>
      </c>
      <c r="Y116" s="413">
        <v>768</v>
      </c>
      <c r="Z116" s="412">
        <v>14141</v>
      </c>
      <c r="AA116" s="413">
        <v>1052</v>
      </c>
      <c r="AB116" s="412">
        <v>14304</v>
      </c>
      <c r="AC116" s="413">
        <v>1232</v>
      </c>
      <c r="AD116" s="412">
        <v>14157</v>
      </c>
      <c r="AE116" s="413">
        <v>1080</v>
      </c>
      <c r="AF116" s="412">
        <v>14044</v>
      </c>
      <c r="AG116" s="413">
        <v>1024</v>
      </c>
      <c r="AH116" s="412">
        <v>13898</v>
      </c>
      <c r="AI116" s="413">
        <v>863</v>
      </c>
      <c r="AJ116" s="412">
        <v>14021</v>
      </c>
      <c r="AK116" s="413">
        <v>883</v>
      </c>
      <c r="AL116" s="412">
        <v>14306</v>
      </c>
      <c r="AM116" s="413">
        <v>1046</v>
      </c>
      <c r="AN116" s="414">
        <v>14540</v>
      </c>
      <c r="AO116" s="413">
        <v>2006</v>
      </c>
      <c r="AP116" s="412">
        <v>13819</v>
      </c>
      <c r="AQ116" s="413">
        <v>1721</v>
      </c>
      <c r="AR116" s="415">
        <v>13828</v>
      </c>
      <c r="AS116" s="416">
        <v>1566</v>
      </c>
      <c r="AT116" s="417">
        <v>13639</v>
      </c>
      <c r="AU116" s="418">
        <v>1420</v>
      </c>
      <c r="AV116" s="417">
        <v>13754</v>
      </c>
      <c r="AW116" s="1322">
        <v>1378</v>
      </c>
      <c r="AX116" s="1325">
        <v>13909</v>
      </c>
      <c r="AY116" s="1326">
        <v>1481</v>
      </c>
      <c r="AZ116" s="1469">
        <v>13811</v>
      </c>
      <c r="BA116" s="1489">
        <v>1247</v>
      </c>
      <c r="BB116" s="1469">
        <v>13509</v>
      </c>
      <c r="BC116" s="1489">
        <v>1033</v>
      </c>
    </row>
    <row r="117" spans="1:55" ht="15" customHeight="1" x14ac:dyDescent="0.25">
      <c r="A117" s="403" t="s">
        <v>180</v>
      </c>
      <c r="B117" s="419" t="s">
        <v>181</v>
      </c>
      <c r="C117" s="187" t="s">
        <v>264</v>
      </c>
      <c r="D117" s="405">
        <f t="shared" si="64"/>
        <v>3.3869721031550837E-2</v>
      </c>
      <c r="E117" s="406">
        <f t="shared" si="65"/>
        <v>4.3849329919498074E-2</v>
      </c>
      <c r="F117" s="407">
        <f t="shared" si="49"/>
        <v>5.2750941171134394E-2</v>
      </c>
      <c r="G117" s="407">
        <f t="shared" si="66"/>
        <v>5.3983002832861192E-2</v>
      </c>
      <c r="H117" s="407">
        <f t="shared" si="67"/>
        <v>5.3727106845982295E-2</v>
      </c>
      <c r="I117" s="407">
        <f t="shared" si="68"/>
        <v>5.3070457519238876E-2</v>
      </c>
      <c r="J117" s="407">
        <f t="shared" si="69"/>
        <v>4.3771411115232715E-2</v>
      </c>
      <c r="K117" s="407">
        <f t="shared" si="70"/>
        <v>4.2223039799164627E-2</v>
      </c>
      <c r="L117" s="407">
        <f t="shared" si="71"/>
        <v>5.1592671349098951E-2</v>
      </c>
      <c r="M117" s="407">
        <f t="shared" si="72"/>
        <v>8.8199607315405146E-2</v>
      </c>
      <c r="N117" s="407">
        <f t="shared" si="73"/>
        <v>9.4393527300985075E-2</v>
      </c>
      <c r="O117" s="408">
        <f t="shared" si="74"/>
        <v>8.8535625753337427E-2</v>
      </c>
      <c r="P117" s="409">
        <f t="shared" si="75"/>
        <v>8.17794777223778E-2</v>
      </c>
      <c r="Q117" s="1313">
        <f t="shared" si="76"/>
        <v>7.4709249500272579E-2</v>
      </c>
      <c r="R117" s="1316">
        <f t="shared" si="77"/>
        <v>7.1334097522264356E-2</v>
      </c>
      <c r="S117" s="1483">
        <f t="shared" si="63"/>
        <v>6.227606592619133E-2</v>
      </c>
      <c r="T117" s="1483">
        <f t="shared" si="62"/>
        <v>6.0581473968897903E-2</v>
      </c>
      <c r="U117" s="216"/>
      <c r="V117" s="410">
        <v>42693</v>
      </c>
      <c r="W117" s="411">
        <v>1446</v>
      </c>
      <c r="X117" s="412">
        <v>43353</v>
      </c>
      <c r="Y117" s="413">
        <v>1901</v>
      </c>
      <c r="Z117" s="412">
        <v>44094</v>
      </c>
      <c r="AA117" s="413">
        <v>2326</v>
      </c>
      <c r="AB117" s="412">
        <v>44125</v>
      </c>
      <c r="AC117" s="413">
        <v>2382</v>
      </c>
      <c r="AD117" s="412">
        <v>44391</v>
      </c>
      <c r="AE117" s="413">
        <v>2385</v>
      </c>
      <c r="AF117" s="412">
        <v>45091</v>
      </c>
      <c r="AG117" s="413">
        <v>2393</v>
      </c>
      <c r="AH117" s="412">
        <v>45829</v>
      </c>
      <c r="AI117" s="413">
        <v>2006</v>
      </c>
      <c r="AJ117" s="412">
        <v>46207</v>
      </c>
      <c r="AK117" s="413">
        <v>1951</v>
      </c>
      <c r="AL117" s="412">
        <v>46557</v>
      </c>
      <c r="AM117" s="413">
        <v>2402</v>
      </c>
      <c r="AN117" s="414">
        <v>45329</v>
      </c>
      <c r="AO117" s="413">
        <v>3998</v>
      </c>
      <c r="AP117" s="412">
        <v>43753</v>
      </c>
      <c r="AQ117" s="413">
        <v>4130</v>
      </c>
      <c r="AR117" s="415">
        <v>43971</v>
      </c>
      <c r="AS117" s="416">
        <v>3893</v>
      </c>
      <c r="AT117" s="417">
        <v>43923</v>
      </c>
      <c r="AU117" s="418">
        <v>3592</v>
      </c>
      <c r="AV117" s="417">
        <v>44024</v>
      </c>
      <c r="AW117" s="1322">
        <v>3289</v>
      </c>
      <c r="AX117" s="1325">
        <v>45364</v>
      </c>
      <c r="AY117" s="1326">
        <v>3236</v>
      </c>
      <c r="AZ117" s="1469">
        <v>44656</v>
      </c>
      <c r="BA117" s="1489">
        <v>2781</v>
      </c>
      <c r="BB117" s="1469">
        <v>44370</v>
      </c>
      <c r="BC117" s="1489">
        <v>2688</v>
      </c>
    </row>
    <row r="118" spans="1:55" ht="15" customHeight="1" x14ac:dyDescent="0.25">
      <c r="A118" s="403" t="s">
        <v>192</v>
      </c>
      <c r="B118" s="419" t="s">
        <v>193</v>
      </c>
      <c r="C118" s="187" t="s">
        <v>268</v>
      </c>
      <c r="D118" s="405">
        <f t="shared" si="64"/>
        <v>3.206250841977637E-2</v>
      </c>
      <c r="E118" s="406">
        <f t="shared" si="65"/>
        <v>4.1301120259144286E-2</v>
      </c>
      <c r="F118" s="407">
        <f t="shared" si="49"/>
        <v>5.2076288380900851E-2</v>
      </c>
      <c r="G118" s="407">
        <f t="shared" si="66"/>
        <v>5.2177430227854926E-2</v>
      </c>
      <c r="H118" s="407">
        <f t="shared" si="67"/>
        <v>5.1564625850340134E-2</v>
      </c>
      <c r="I118" s="407">
        <f t="shared" si="68"/>
        <v>4.4691969196919694E-2</v>
      </c>
      <c r="J118" s="407">
        <f t="shared" si="69"/>
        <v>3.7808748447633503E-2</v>
      </c>
      <c r="K118" s="407">
        <f t="shared" si="70"/>
        <v>4.0678844409897656E-2</v>
      </c>
      <c r="L118" s="407">
        <f t="shared" si="71"/>
        <v>5.3105085592902661E-2</v>
      </c>
      <c r="M118" s="407">
        <f t="shared" si="72"/>
        <v>9.2555331991951706E-2</v>
      </c>
      <c r="N118" s="407">
        <f t="shared" si="73"/>
        <v>9.1884984025559099E-2</v>
      </c>
      <c r="O118" s="408">
        <f t="shared" si="74"/>
        <v>8.0824484697064339E-2</v>
      </c>
      <c r="P118" s="409">
        <f t="shared" si="75"/>
        <v>7.4363992172211346E-2</v>
      </c>
      <c r="Q118" s="1313">
        <f t="shared" si="76"/>
        <v>7.1428571428571425E-2</v>
      </c>
      <c r="R118" s="1316">
        <f t="shared" si="77"/>
        <v>6.6341695398882419E-2</v>
      </c>
      <c r="S118" s="1483">
        <f t="shared" si="63"/>
        <v>5.632143277954519E-2</v>
      </c>
      <c r="T118" s="1483">
        <f t="shared" si="62"/>
        <v>5.3751803751803752E-2</v>
      </c>
      <c r="U118" s="216"/>
      <c r="V118" s="410">
        <v>7423</v>
      </c>
      <c r="W118" s="411">
        <v>238</v>
      </c>
      <c r="X118" s="412">
        <v>7409</v>
      </c>
      <c r="Y118" s="413">
        <v>306</v>
      </c>
      <c r="Z118" s="412">
        <v>7393</v>
      </c>
      <c r="AA118" s="413">
        <v>385</v>
      </c>
      <c r="AB118" s="412">
        <v>7417</v>
      </c>
      <c r="AC118" s="413">
        <v>387</v>
      </c>
      <c r="AD118" s="412">
        <v>7350</v>
      </c>
      <c r="AE118" s="413">
        <v>379</v>
      </c>
      <c r="AF118" s="412">
        <v>7272</v>
      </c>
      <c r="AG118" s="413">
        <v>325</v>
      </c>
      <c r="AH118" s="412">
        <v>7247</v>
      </c>
      <c r="AI118" s="413">
        <v>274</v>
      </c>
      <c r="AJ118" s="412">
        <v>7719</v>
      </c>
      <c r="AK118" s="413">
        <v>314</v>
      </c>
      <c r="AL118" s="412">
        <v>8003</v>
      </c>
      <c r="AM118" s="413">
        <v>425</v>
      </c>
      <c r="AN118" s="414">
        <v>7952</v>
      </c>
      <c r="AO118" s="413">
        <v>736</v>
      </c>
      <c r="AP118" s="412">
        <v>7825</v>
      </c>
      <c r="AQ118" s="413">
        <v>719</v>
      </c>
      <c r="AR118" s="415">
        <v>8005</v>
      </c>
      <c r="AS118" s="416">
        <v>647</v>
      </c>
      <c r="AT118" s="417">
        <v>8176</v>
      </c>
      <c r="AU118" s="418">
        <v>608</v>
      </c>
      <c r="AV118" s="417">
        <v>8316</v>
      </c>
      <c r="AW118" s="1322">
        <v>594</v>
      </c>
      <c r="AX118" s="1325">
        <v>8411</v>
      </c>
      <c r="AY118" s="1326">
        <v>558</v>
      </c>
      <c r="AZ118" s="1469">
        <v>8487</v>
      </c>
      <c r="BA118" s="1489">
        <v>478</v>
      </c>
      <c r="BB118" s="1469">
        <v>8316</v>
      </c>
      <c r="BC118" s="1489">
        <v>447</v>
      </c>
    </row>
    <row r="119" spans="1:55" ht="15" customHeight="1" x14ac:dyDescent="0.25">
      <c r="A119" s="403" t="s">
        <v>196</v>
      </c>
      <c r="B119" s="419" t="s">
        <v>312</v>
      </c>
      <c r="C119" s="187" t="s">
        <v>266</v>
      </c>
      <c r="D119" s="405">
        <f t="shared" si="64"/>
        <v>2.6336598171831014E-2</v>
      </c>
      <c r="E119" s="406">
        <f t="shared" si="65"/>
        <v>4.1526679326391355E-2</v>
      </c>
      <c r="F119" s="407">
        <f t="shared" si="49"/>
        <v>5.7102992093431865E-2</v>
      </c>
      <c r="G119" s="407">
        <f t="shared" si="66"/>
        <v>5.7610005401587235E-2</v>
      </c>
      <c r="H119" s="407">
        <f t="shared" si="67"/>
        <v>5.5918015952867474E-2</v>
      </c>
      <c r="I119" s="407">
        <f t="shared" si="68"/>
        <v>5.2757020045377905E-2</v>
      </c>
      <c r="J119" s="407">
        <f t="shared" si="69"/>
        <v>4.590507090899576E-2</v>
      </c>
      <c r="K119" s="407">
        <f t="shared" si="70"/>
        <v>4.4093736026990772E-2</v>
      </c>
      <c r="L119" s="407">
        <f t="shared" si="71"/>
        <v>5.7819280309366602E-2</v>
      </c>
      <c r="M119" s="407">
        <f t="shared" si="72"/>
        <v>9.9282815147574574E-2</v>
      </c>
      <c r="N119" s="407">
        <f t="shared" si="73"/>
        <v>9.5871499541501662E-2</v>
      </c>
      <c r="O119" s="408">
        <f t="shared" si="74"/>
        <v>8.3600323382339733E-2</v>
      </c>
      <c r="P119" s="409">
        <f t="shared" si="75"/>
        <v>7.4512677707753189E-2</v>
      </c>
      <c r="Q119" s="1313">
        <f t="shared" si="76"/>
        <v>6.9001659533583726E-2</v>
      </c>
      <c r="R119" s="1316">
        <f t="shared" si="77"/>
        <v>6.1236516894063862E-2</v>
      </c>
      <c r="S119" s="1483">
        <f t="shared" si="63"/>
        <v>5.1929725534466946E-2</v>
      </c>
      <c r="T119" s="1483">
        <f t="shared" si="62"/>
        <v>4.5912585108719525E-2</v>
      </c>
      <c r="U119" s="216"/>
      <c r="V119" s="410">
        <v>94849</v>
      </c>
      <c r="W119" s="411">
        <v>2498</v>
      </c>
      <c r="X119" s="412">
        <v>95842</v>
      </c>
      <c r="Y119" s="413">
        <v>3980</v>
      </c>
      <c r="Z119" s="412">
        <v>96755</v>
      </c>
      <c r="AA119" s="413">
        <v>5525</v>
      </c>
      <c r="AB119" s="412">
        <v>96268</v>
      </c>
      <c r="AC119" s="413">
        <v>5546</v>
      </c>
      <c r="AD119" s="412">
        <v>96409</v>
      </c>
      <c r="AE119" s="413">
        <v>5391</v>
      </c>
      <c r="AF119" s="412">
        <v>96082</v>
      </c>
      <c r="AG119" s="413">
        <v>5069</v>
      </c>
      <c r="AH119" s="412">
        <v>95545</v>
      </c>
      <c r="AI119" s="413">
        <v>4386</v>
      </c>
      <c r="AJ119" s="412">
        <v>98404</v>
      </c>
      <c r="AK119" s="413">
        <v>4339</v>
      </c>
      <c r="AL119" s="412">
        <v>101627</v>
      </c>
      <c r="AM119" s="413">
        <v>5876</v>
      </c>
      <c r="AN119" s="414">
        <v>101508</v>
      </c>
      <c r="AO119" s="413">
        <v>10078</v>
      </c>
      <c r="AP119" s="412">
        <v>99237</v>
      </c>
      <c r="AQ119" s="413">
        <v>9514</v>
      </c>
      <c r="AR119" s="415">
        <v>100191</v>
      </c>
      <c r="AS119" s="416">
        <v>8376</v>
      </c>
      <c r="AT119" s="417">
        <v>102345</v>
      </c>
      <c r="AU119" s="418">
        <v>7626</v>
      </c>
      <c r="AV119" s="417">
        <v>103041</v>
      </c>
      <c r="AW119" s="1322">
        <v>7110</v>
      </c>
      <c r="AX119" s="1325">
        <v>111992</v>
      </c>
      <c r="AY119" s="1326">
        <v>6858</v>
      </c>
      <c r="AZ119" s="1469">
        <v>113384</v>
      </c>
      <c r="BA119" s="1489">
        <v>5888</v>
      </c>
      <c r="BB119" s="1469">
        <v>113825</v>
      </c>
      <c r="BC119" s="1489">
        <v>5226</v>
      </c>
    </row>
    <row r="120" spans="1:55" ht="15" customHeight="1" x14ac:dyDescent="0.25">
      <c r="A120" s="403" t="s">
        <v>200</v>
      </c>
      <c r="B120" s="419" t="s">
        <v>313</v>
      </c>
      <c r="C120" s="187" t="s">
        <v>265</v>
      </c>
      <c r="D120" s="405">
        <f t="shared" si="64"/>
        <v>2.4406005643754173E-2</v>
      </c>
      <c r="E120" s="406">
        <f t="shared" si="65"/>
        <v>3.5177806660558669E-2</v>
      </c>
      <c r="F120" s="407">
        <f t="shared" si="49"/>
        <v>4.9447648015546124E-2</v>
      </c>
      <c r="G120" s="407">
        <f t="shared" si="66"/>
        <v>5.1631610837012031E-2</v>
      </c>
      <c r="H120" s="407">
        <f t="shared" si="67"/>
        <v>4.4974011100343582E-2</v>
      </c>
      <c r="I120" s="407">
        <f t="shared" si="68"/>
        <v>4.1597081831765845E-2</v>
      </c>
      <c r="J120" s="407">
        <f t="shared" si="69"/>
        <v>3.7224930820925026E-2</v>
      </c>
      <c r="K120" s="407">
        <f t="shared" si="70"/>
        <v>3.7902963204168021E-2</v>
      </c>
      <c r="L120" s="407">
        <f t="shared" si="71"/>
        <v>4.5452616390103125E-2</v>
      </c>
      <c r="M120" s="407">
        <f t="shared" si="72"/>
        <v>8.9335778578806466E-2</v>
      </c>
      <c r="N120" s="407">
        <f t="shared" si="73"/>
        <v>8.7592627778833365E-2</v>
      </c>
      <c r="O120" s="408">
        <f t="shared" si="74"/>
        <v>8.0580244843199728E-2</v>
      </c>
      <c r="P120" s="409">
        <f t="shared" si="75"/>
        <v>7.0823015906324754E-2</v>
      </c>
      <c r="Q120" s="1313">
        <f t="shared" si="76"/>
        <v>6.7190446260213699E-2</v>
      </c>
      <c r="R120" s="1316">
        <f t="shared" si="77"/>
        <v>5.8694569008470351E-2</v>
      </c>
      <c r="S120" s="1483">
        <f t="shared" si="63"/>
        <v>4.8590197069226883E-2</v>
      </c>
      <c r="T120" s="1483">
        <f t="shared" si="62"/>
        <v>4.255623137527044E-2</v>
      </c>
      <c r="U120" s="216"/>
      <c r="V120" s="410">
        <v>46423</v>
      </c>
      <c r="W120" s="411">
        <v>1133</v>
      </c>
      <c r="X120" s="412">
        <v>46933</v>
      </c>
      <c r="Y120" s="413">
        <v>1651</v>
      </c>
      <c r="Z120" s="412">
        <v>47343</v>
      </c>
      <c r="AA120" s="413">
        <v>2341</v>
      </c>
      <c r="AB120" s="412">
        <v>46212</v>
      </c>
      <c r="AC120" s="413">
        <v>2386</v>
      </c>
      <c r="AD120" s="412">
        <v>45404</v>
      </c>
      <c r="AE120" s="413">
        <v>2042</v>
      </c>
      <c r="AF120" s="412">
        <v>45508</v>
      </c>
      <c r="AG120" s="413">
        <v>1893</v>
      </c>
      <c r="AH120" s="412">
        <v>45534</v>
      </c>
      <c r="AI120" s="413">
        <v>1695</v>
      </c>
      <c r="AJ120" s="412">
        <v>46065</v>
      </c>
      <c r="AK120" s="413">
        <v>1746</v>
      </c>
      <c r="AL120" s="412">
        <v>47126</v>
      </c>
      <c r="AM120" s="413">
        <v>2142</v>
      </c>
      <c r="AN120" s="414">
        <v>47439</v>
      </c>
      <c r="AO120" s="413">
        <v>4238</v>
      </c>
      <c r="AP120" s="412">
        <v>47367</v>
      </c>
      <c r="AQ120" s="413">
        <v>4149</v>
      </c>
      <c r="AR120" s="415">
        <v>47704</v>
      </c>
      <c r="AS120" s="416">
        <v>3844</v>
      </c>
      <c r="AT120" s="417">
        <v>47654</v>
      </c>
      <c r="AU120" s="418">
        <v>3375</v>
      </c>
      <c r="AV120" s="417">
        <v>47730</v>
      </c>
      <c r="AW120" s="1322">
        <v>3207</v>
      </c>
      <c r="AX120" s="1325">
        <v>50175</v>
      </c>
      <c r="AY120" s="1326">
        <v>2945</v>
      </c>
      <c r="AZ120" s="1469">
        <v>49475</v>
      </c>
      <c r="BA120" s="1489">
        <v>2404</v>
      </c>
      <c r="BB120" s="1469">
        <v>48994</v>
      </c>
      <c r="BC120" s="1489">
        <v>2085</v>
      </c>
    </row>
    <row r="121" spans="1:55" ht="15" customHeight="1" x14ac:dyDescent="0.25">
      <c r="A121" s="403" t="s">
        <v>222</v>
      </c>
      <c r="B121" s="419" t="s">
        <v>223</v>
      </c>
      <c r="C121" s="187" t="s">
        <v>264</v>
      </c>
      <c r="D121" s="405">
        <f t="shared" si="64"/>
        <v>2.4975127791690966E-2</v>
      </c>
      <c r="E121" s="406">
        <f t="shared" si="65"/>
        <v>3.1067961165048542E-2</v>
      </c>
      <c r="F121" s="407">
        <f t="shared" si="49"/>
        <v>4.2940715276521317E-2</v>
      </c>
      <c r="G121" s="407">
        <f t="shared" si="66"/>
        <v>4.2953902432053957E-2</v>
      </c>
      <c r="H121" s="407">
        <f t="shared" si="67"/>
        <v>4.0826929913314554E-2</v>
      </c>
      <c r="I121" s="407">
        <f t="shared" si="68"/>
        <v>3.9233216755633855E-2</v>
      </c>
      <c r="J121" s="407">
        <f t="shared" si="69"/>
        <v>3.4628957323110512E-2</v>
      </c>
      <c r="K121" s="407">
        <f t="shared" si="70"/>
        <v>3.3079972727961413E-2</v>
      </c>
      <c r="L121" s="407">
        <f t="shared" si="71"/>
        <v>4.0936530048635039E-2</v>
      </c>
      <c r="M121" s="407">
        <f t="shared" si="72"/>
        <v>6.9641716223521902E-2</v>
      </c>
      <c r="N121" s="407">
        <f t="shared" si="73"/>
        <v>7.8086977472593661E-2</v>
      </c>
      <c r="O121" s="408">
        <f t="shared" si="74"/>
        <v>7.3254036495652999E-2</v>
      </c>
      <c r="P121" s="924">
        <f t="shared" si="75"/>
        <v>6.7942285069502797E-2</v>
      </c>
      <c r="Q121" s="1313">
        <f t="shared" si="76"/>
        <v>6.1285071339653358E-2</v>
      </c>
      <c r="R121" s="1316">
        <f t="shared" si="77"/>
        <v>5.7705105048008368E-2</v>
      </c>
      <c r="S121" s="1483">
        <f t="shared" si="63"/>
        <v>4.9612881774568948E-2</v>
      </c>
      <c r="T121" s="1483">
        <f t="shared" si="62"/>
        <v>4.6834037930138635E-2</v>
      </c>
      <c r="U121" s="216"/>
      <c r="V121" s="410">
        <v>29149</v>
      </c>
      <c r="W121" s="411">
        <v>728</v>
      </c>
      <c r="X121" s="412">
        <v>30900</v>
      </c>
      <c r="Y121" s="413">
        <v>960</v>
      </c>
      <c r="Z121" s="412">
        <v>33162</v>
      </c>
      <c r="AA121" s="413">
        <v>1424</v>
      </c>
      <c r="AB121" s="412">
        <v>34991</v>
      </c>
      <c r="AC121" s="413">
        <v>1503</v>
      </c>
      <c r="AD121" s="412">
        <v>36569</v>
      </c>
      <c r="AE121" s="413">
        <v>1493</v>
      </c>
      <c r="AF121" s="412">
        <v>38029</v>
      </c>
      <c r="AG121" s="413">
        <v>1492</v>
      </c>
      <c r="AH121" s="412">
        <v>39389</v>
      </c>
      <c r="AI121" s="413">
        <v>1364</v>
      </c>
      <c r="AJ121" s="412">
        <v>39601</v>
      </c>
      <c r="AK121" s="413">
        <v>1310</v>
      </c>
      <c r="AL121" s="412">
        <v>40917</v>
      </c>
      <c r="AM121" s="413">
        <v>1675</v>
      </c>
      <c r="AN121" s="414">
        <v>40694</v>
      </c>
      <c r="AO121" s="413">
        <v>2834</v>
      </c>
      <c r="AP121" s="412">
        <v>41505</v>
      </c>
      <c r="AQ121" s="413">
        <v>3241</v>
      </c>
      <c r="AR121" s="415">
        <v>41868</v>
      </c>
      <c r="AS121" s="416">
        <v>3067</v>
      </c>
      <c r="AT121" s="417">
        <v>41653</v>
      </c>
      <c r="AU121" s="418">
        <v>2830</v>
      </c>
      <c r="AV121" s="417">
        <v>41772</v>
      </c>
      <c r="AW121" s="1322">
        <v>2560</v>
      </c>
      <c r="AX121" s="1325">
        <v>42076</v>
      </c>
      <c r="AY121" s="1326">
        <v>2428</v>
      </c>
      <c r="AZ121" s="1469">
        <v>42106</v>
      </c>
      <c r="BA121" s="1489">
        <v>2089</v>
      </c>
      <c r="BB121" s="1469">
        <v>42341</v>
      </c>
      <c r="BC121" s="1489">
        <v>1983</v>
      </c>
    </row>
    <row r="122" spans="1:55" ht="15" customHeight="1" x14ac:dyDescent="0.25">
      <c r="A122" s="403" t="s">
        <v>230</v>
      </c>
      <c r="B122" s="419" t="s">
        <v>231</v>
      </c>
      <c r="C122" s="187" t="s">
        <v>264</v>
      </c>
      <c r="D122" s="405">
        <f t="shared" si="64"/>
        <v>2.2129169069001572E-2</v>
      </c>
      <c r="E122" s="406">
        <f t="shared" si="65"/>
        <v>2.8993111870098648E-2</v>
      </c>
      <c r="F122" s="407">
        <f t="shared" si="49"/>
        <v>3.5467989464769333E-2</v>
      </c>
      <c r="G122" s="407">
        <f t="shared" si="66"/>
        <v>3.6399811124405754E-2</v>
      </c>
      <c r="H122" s="407">
        <f t="shared" si="67"/>
        <v>3.4220118106840849E-2</v>
      </c>
      <c r="I122" s="407">
        <f t="shared" si="68"/>
        <v>3.307046782833347E-2</v>
      </c>
      <c r="J122" s="407">
        <f t="shared" si="69"/>
        <v>2.9016730367058485E-2</v>
      </c>
      <c r="K122" s="407">
        <f t="shared" si="70"/>
        <v>2.7671493404359839E-2</v>
      </c>
      <c r="L122" s="407">
        <f t="shared" si="71"/>
        <v>3.6363153891060908E-2</v>
      </c>
      <c r="M122" s="407">
        <f t="shared" si="72"/>
        <v>6.2157868458081793E-2</v>
      </c>
      <c r="N122" s="407">
        <f t="shared" si="73"/>
        <v>6.483418521621101E-2</v>
      </c>
      <c r="O122" s="408">
        <f t="shared" si="74"/>
        <v>6.1095824069386045E-2</v>
      </c>
      <c r="P122" s="409">
        <f t="shared" si="75"/>
        <v>5.6694924178601516E-2</v>
      </c>
      <c r="Q122" s="1313">
        <f t="shared" si="76"/>
        <v>5.3369953788473277E-2</v>
      </c>
      <c r="R122" s="1316">
        <f t="shared" si="77"/>
        <v>4.9364925965554134E-2</v>
      </c>
      <c r="S122" s="1483">
        <f t="shared" si="63"/>
        <v>4.2827881302238385E-2</v>
      </c>
      <c r="T122" s="1483">
        <f t="shared" si="62"/>
        <v>3.9390349976178719E-2</v>
      </c>
      <c r="U122" s="216"/>
      <c r="V122" s="410">
        <v>204662</v>
      </c>
      <c r="W122" s="411">
        <v>4529</v>
      </c>
      <c r="X122" s="412">
        <v>209636</v>
      </c>
      <c r="Y122" s="413">
        <v>6078</v>
      </c>
      <c r="Z122" s="412">
        <v>214898</v>
      </c>
      <c r="AA122" s="413">
        <v>7622</v>
      </c>
      <c r="AB122" s="412">
        <v>218133</v>
      </c>
      <c r="AC122" s="413">
        <v>7940</v>
      </c>
      <c r="AD122" s="412">
        <v>220309</v>
      </c>
      <c r="AE122" s="413">
        <v>7539</v>
      </c>
      <c r="AF122" s="412">
        <v>221406</v>
      </c>
      <c r="AG122" s="413">
        <v>7322</v>
      </c>
      <c r="AH122" s="412">
        <v>221872</v>
      </c>
      <c r="AI122" s="413">
        <v>6438</v>
      </c>
      <c r="AJ122" s="412">
        <v>221889</v>
      </c>
      <c r="AK122" s="413">
        <v>6140</v>
      </c>
      <c r="AL122" s="412">
        <v>226108</v>
      </c>
      <c r="AM122" s="413">
        <v>8222</v>
      </c>
      <c r="AN122" s="414">
        <v>220310</v>
      </c>
      <c r="AO122" s="413">
        <v>13694</v>
      </c>
      <c r="AP122" s="412">
        <v>223231</v>
      </c>
      <c r="AQ122" s="413">
        <v>14473</v>
      </c>
      <c r="AR122" s="415">
        <v>227135</v>
      </c>
      <c r="AS122" s="416">
        <v>13877</v>
      </c>
      <c r="AT122" s="417">
        <v>227904</v>
      </c>
      <c r="AU122" s="418">
        <v>12921</v>
      </c>
      <c r="AV122" s="417">
        <v>229380</v>
      </c>
      <c r="AW122" s="1322">
        <v>12242</v>
      </c>
      <c r="AX122" s="1325">
        <v>231784</v>
      </c>
      <c r="AY122" s="1326">
        <v>11442</v>
      </c>
      <c r="AZ122" s="1469">
        <v>230434</v>
      </c>
      <c r="BA122" s="1489">
        <v>9869</v>
      </c>
      <c r="BB122" s="1469">
        <v>228787</v>
      </c>
      <c r="BC122" s="1489">
        <v>9012</v>
      </c>
    </row>
    <row r="123" spans="1:55" ht="15" customHeight="1" x14ac:dyDescent="0.25">
      <c r="A123" s="403" t="s">
        <v>238</v>
      </c>
      <c r="B123" s="419" t="s">
        <v>239</v>
      </c>
      <c r="C123" s="187" t="s">
        <v>264</v>
      </c>
      <c r="D123" s="405">
        <f t="shared" si="64"/>
        <v>4.3259777146602577E-2</v>
      </c>
      <c r="E123" s="406">
        <f t="shared" si="65"/>
        <v>5.6737588652482268E-2</v>
      </c>
      <c r="F123" s="407">
        <f t="shared" si="49"/>
        <v>7.2164948453608241E-2</v>
      </c>
      <c r="G123" s="407">
        <f t="shared" si="66"/>
        <v>7.9836453625995271E-2</v>
      </c>
      <c r="H123" s="407">
        <f t="shared" si="67"/>
        <v>7.4962518740629688E-2</v>
      </c>
      <c r="I123" s="407">
        <f t="shared" si="68"/>
        <v>7.1458333333333332E-2</v>
      </c>
      <c r="J123" s="407">
        <f t="shared" si="69"/>
        <v>5.8566978193146414E-2</v>
      </c>
      <c r="K123" s="407">
        <f t="shared" si="70"/>
        <v>5.6418321210929823E-2</v>
      </c>
      <c r="L123" s="407">
        <f t="shared" si="71"/>
        <v>8.598726114649681E-2</v>
      </c>
      <c r="M123" s="407">
        <f t="shared" si="72"/>
        <v>0.15346002151308713</v>
      </c>
      <c r="N123" s="407">
        <f t="shared" si="73"/>
        <v>0.10226882090065315</v>
      </c>
      <c r="O123" s="408">
        <f t="shared" si="74"/>
        <v>9.8084929225645295E-2</v>
      </c>
      <c r="P123" s="409">
        <f t="shared" si="75"/>
        <v>8.8910287273310865E-2</v>
      </c>
      <c r="Q123" s="1313">
        <f t="shared" si="76"/>
        <v>8.2866741321388576E-2</v>
      </c>
      <c r="R123" s="1316">
        <f t="shared" si="77"/>
        <v>7.0817007691191411E-2</v>
      </c>
      <c r="S123" s="1483">
        <f t="shared" si="63"/>
        <v>6.3451004260499086E-2</v>
      </c>
      <c r="T123" s="1483">
        <f t="shared" si="62"/>
        <v>5.5806938159879339E-2</v>
      </c>
      <c r="U123" s="216"/>
      <c r="V123" s="410">
        <v>4577</v>
      </c>
      <c r="W123" s="411">
        <v>198</v>
      </c>
      <c r="X123" s="412">
        <v>4653</v>
      </c>
      <c r="Y123" s="413">
        <v>264</v>
      </c>
      <c r="Z123" s="412">
        <v>4656</v>
      </c>
      <c r="AA123" s="413">
        <v>336</v>
      </c>
      <c r="AB123" s="412">
        <v>4647</v>
      </c>
      <c r="AC123" s="413">
        <v>371</v>
      </c>
      <c r="AD123" s="412">
        <v>4669</v>
      </c>
      <c r="AE123" s="413">
        <v>350</v>
      </c>
      <c r="AF123" s="412">
        <v>4800</v>
      </c>
      <c r="AG123" s="413">
        <v>343</v>
      </c>
      <c r="AH123" s="412">
        <v>4815</v>
      </c>
      <c r="AI123" s="413">
        <v>282</v>
      </c>
      <c r="AJ123" s="412">
        <v>5087</v>
      </c>
      <c r="AK123" s="413">
        <v>287</v>
      </c>
      <c r="AL123" s="412">
        <v>5338</v>
      </c>
      <c r="AM123" s="413">
        <v>459</v>
      </c>
      <c r="AN123" s="414">
        <v>5578</v>
      </c>
      <c r="AO123" s="413">
        <v>856</v>
      </c>
      <c r="AP123" s="412">
        <v>5818</v>
      </c>
      <c r="AQ123" s="413">
        <v>595</v>
      </c>
      <c r="AR123" s="415">
        <v>6005</v>
      </c>
      <c r="AS123" s="416">
        <v>589</v>
      </c>
      <c r="AT123" s="417">
        <v>6231</v>
      </c>
      <c r="AU123" s="418">
        <v>554</v>
      </c>
      <c r="AV123" s="417">
        <v>6251</v>
      </c>
      <c r="AW123" s="1322">
        <v>518</v>
      </c>
      <c r="AX123" s="1325">
        <v>6891</v>
      </c>
      <c r="AY123" s="1326">
        <v>488</v>
      </c>
      <c r="AZ123" s="1469">
        <v>6572</v>
      </c>
      <c r="BA123" s="1489">
        <v>417</v>
      </c>
      <c r="BB123" s="1469">
        <v>6630</v>
      </c>
      <c r="BC123" s="1489">
        <v>370</v>
      </c>
    </row>
    <row r="124" spans="1:55" ht="15" customHeight="1" x14ac:dyDescent="0.25">
      <c r="A124" s="424" t="s">
        <v>240</v>
      </c>
      <c r="B124" s="425" t="s">
        <v>241</v>
      </c>
      <c r="C124" s="426" t="s">
        <v>267</v>
      </c>
      <c r="D124" s="427">
        <f t="shared" si="64"/>
        <v>2.2126996493961822E-2</v>
      </c>
      <c r="E124" s="428">
        <f t="shared" si="65"/>
        <v>3.1923873839306269E-2</v>
      </c>
      <c r="F124" s="429">
        <f t="shared" si="49"/>
        <v>3.9435138586344176E-2</v>
      </c>
      <c r="G124" s="429">
        <f t="shared" si="66"/>
        <v>3.6653091447611995E-2</v>
      </c>
      <c r="H124" s="429">
        <f t="shared" si="67"/>
        <v>3.2050354507307192E-2</v>
      </c>
      <c r="I124" s="429">
        <f t="shared" si="68"/>
        <v>3.0664641643161929E-2</v>
      </c>
      <c r="J124" s="429">
        <f t="shared" si="69"/>
        <v>2.9091420139132879E-2</v>
      </c>
      <c r="K124" s="429">
        <f t="shared" si="70"/>
        <v>3.2332725487445646E-2</v>
      </c>
      <c r="L124" s="429">
        <f t="shared" si="71"/>
        <v>4.564748451743094E-2</v>
      </c>
      <c r="M124" s="429">
        <f t="shared" si="72"/>
        <v>8.4034202410989634E-2</v>
      </c>
      <c r="N124" s="429">
        <f t="shared" si="73"/>
        <v>7.6411960132890366E-2</v>
      </c>
      <c r="O124" s="430">
        <f t="shared" si="74"/>
        <v>7.2586818846127082E-2</v>
      </c>
      <c r="P124" s="431">
        <f t="shared" si="75"/>
        <v>6.2098501070663809E-2</v>
      </c>
      <c r="Q124" s="1317">
        <f t="shared" si="76"/>
        <v>5.3840387105568051E-2</v>
      </c>
      <c r="R124" s="430">
        <f t="shared" si="77"/>
        <v>5.0065512723260465E-2</v>
      </c>
      <c r="S124" s="1484">
        <f t="shared" si="63"/>
        <v>4.3391418141745297E-2</v>
      </c>
      <c r="T124" s="1484">
        <f t="shared" si="62"/>
        <v>3.9400937784309607E-2</v>
      </c>
      <c r="U124" s="216"/>
      <c r="V124" s="1684">
        <v>12835</v>
      </c>
      <c r="W124" s="1685">
        <v>284</v>
      </c>
      <c r="X124" s="1686">
        <v>13031</v>
      </c>
      <c r="Y124" s="1687">
        <v>416</v>
      </c>
      <c r="Z124" s="1686">
        <v>13313</v>
      </c>
      <c r="AA124" s="1687">
        <v>525</v>
      </c>
      <c r="AB124" s="1686">
        <v>13505</v>
      </c>
      <c r="AC124" s="1687">
        <v>495</v>
      </c>
      <c r="AD124" s="1686">
        <v>13822</v>
      </c>
      <c r="AE124" s="1687">
        <v>443</v>
      </c>
      <c r="AF124" s="1686">
        <v>13827</v>
      </c>
      <c r="AG124" s="1687">
        <v>424</v>
      </c>
      <c r="AH124" s="1686">
        <v>14231</v>
      </c>
      <c r="AI124" s="1687">
        <v>414</v>
      </c>
      <c r="AJ124" s="1686">
        <v>14258</v>
      </c>
      <c r="AK124" s="1687">
        <v>461</v>
      </c>
      <c r="AL124" s="1686">
        <v>14371</v>
      </c>
      <c r="AM124" s="1687">
        <v>656</v>
      </c>
      <c r="AN124" s="1688">
        <v>14268</v>
      </c>
      <c r="AO124" s="1687">
        <v>1199</v>
      </c>
      <c r="AP124" s="1686">
        <v>13846</v>
      </c>
      <c r="AQ124" s="1687">
        <v>1058</v>
      </c>
      <c r="AR124" s="1689">
        <v>14369</v>
      </c>
      <c r="AS124" s="1690">
        <v>1043</v>
      </c>
      <c r="AT124" s="1691">
        <v>14477</v>
      </c>
      <c r="AU124" s="1692">
        <v>899</v>
      </c>
      <c r="AV124" s="1691">
        <v>14673</v>
      </c>
      <c r="AW124" s="1693">
        <v>790</v>
      </c>
      <c r="AX124" s="1694">
        <v>14501</v>
      </c>
      <c r="AY124" s="1695">
        <v>726</v>
      </c>
      <c r="AZ124" s="1691">
        <v>14519</v>
      </c>
      <c r="BA124" s="1696">
        <v>630</v>
      </c>
      <c r="BB124" s="1691">
        <v>14289</v>
      </c>
      <c r="BC124" s="1696">
        <v>563</v>
      </c>
    </row>
    <row r="125" spans="1:55" ht="15" customHeight="1" x14ac:dyDescent="0.25">
      <c r="A125" s="403"/>
      <c r="B125" s="432"/>
      <c r="C125" s="187"/>
      <c r="D125" s="187"/>
      <c r="E125" s="433"/>
      <c r="F125" s="433"/>
      <c r="G125" s="433"/>
      <c r="H125" s="433"/>
      <c r="I125" s="433"/>
      <c r="J125" s="433"/>
      <c r="K125" s="433"/>
      <c r="L125" s="433"/>
      <c r="M125" s="433"/>
      <c r="N125" s="433"/>
      <c r="O125" s="184"/>
      <c r="P125" s="184"/>
      <c r="Q125" s="184"/>
      <c r="R125" s="184"/>
      <c r="S125" s="184"/>
      <c r="T125" s="184"/>
      <c r="U125" s="187"/>
      <c r="V125" s="187"/>
      <c r="W125" s="187"/>
      <c r="X125" s="434"/>
      <c r="Y125" s="434"/>
      <c r="Z125" s="434"/>
      <c r="AA125" s="434"/>
      <c r="AB125" s="434"/>
      <c r="AC125" s="434"/>
      <c r="AD125" s="434"/>
      <c r="AE125" s="434"/>
      <c r="AF125" s="434"/>
      <c r="AG125" s="434"/>
      <c r="AH125" s="434"/>
      <c r="AI125" s="434"/>
      <c r="AJ125" s="434"/>
      <c r="AK125" s="434"/>
      <c r="AL125" s="434"/>
      <c r="AM125" s="434"/>
      <c r="AN125" s="434"/>
      <c r="AO125" s="434"/>
      <c r="AP125" s="434"/>
      <c r="AQ125" s="434"/>
      <c r="AR125" s="435"/>
      <c r="AS125" s="435"/>
    </row>
    <row r="126" spans="1:55" ht="15" customHeight="1" x14ac:dyDescent="0.25">
      <c r="A126" s="598" t="s">
        <v>266</v>
      </c>
      <c r="B126" s="432"/>
      <c r="C126" s="187"/>
      <c r="D126" s="437">
        <f t="shared" ref="D126:D130" si="78">W126/V126</f>
        <v>2.1679057609396746E-2</v>
      </c>
      <c r="E126" s="407">
        <f t="shared" ref="E126:E130" si="79">Y126/X126</f>
        <v>3.2030303940112692E-2</v>
      </c>
      <c r="F126" s="407">
        <f t="shared" ref="F126:F130" si="80">AA126/Z126</f>
        <v>4.1583848194965287E-2</v>
      </c>
      <c r="G126" s="407">
        <f t="shared" ref="G126:G130" si="81">AC126/AB126</f>
        <v>4.2394399201353336E-2</v>
      </c>
      <c r="H126" s="407">
        <f t="shared" ref="H126:H130" si="82">AE126/AD126</f>
        <v>3.9432360308648967E-2</v>
      </c>
      <c r="I126" s="407">
        <f t="shared" ref="I126:I130" si="83">AG126/AF126</f>
        <v>3.8119653356368605E-2</v>
      </c>
      <c r="J126" s="407">
        <f t="shared" ref="J126:J130" si="84">AI126/AH126</f>
        <v>3.2701218361270601E-2</v>
      </c>
      <c r="K126" s="407">
        <f t="shared" ref="K126:K130" si="85">AK126/AJ126</f>
        <v>3.2068094393999685E-2</v>
      </c>
      <c r="L126" s="407">
        <f t="shared" ref="L126:L130" si="86">AM126/AL126</f>
        <v>4.2602168327453109E-2</v>
      </c>
      <c r="M126" s="407">
        <f t="shared" ref="M126:M130" si="87">AO126/AN126</f>
        <v>7.8390419471700112E-2</v>
      </c>
      <c r="N126" s="407">
        <f t="shared" ref="N126:N130" si="88">AQ126/AP126</f>
        <v>7.9888358666195355E-2</v>
      </c>
      <c r="O126" s="1318">
        <f t="shared" ref="O126:O130" si="89">AS126/AR126</f>
        <v>7.1869259021356616E-2</v>
      </c>
      <c r="P126" s="1319">
        <f t="shared" ref="P126:P130" si="90">AU126/AT126</f>
        <v>6.4290460055545062E-2</v>
      </c>
      <c r="Q126" s="1319">
        <f t="shared" ref="Q126:Q130" si="91">AW126/AV126</f>
        <v>5.9735844084419898E-2</v>
      </c>
      <c r="R126" s="1316">
        <f>AY126/AX126</f>
        <v>5.4937182616739924E-2</v>
      </c>
      <c r="S126" s="433">
        <f t="shared" ref="S126:S130" si="92">BA126/AZ126</f>
        <v>4.6487171649471526E-2</v>
      </c>
      <c r="T126" s="433">
        <f>BC126/BB126</f>
        <v>4.1234546835379304E-2</v>
      </c>
      <c r="U126" s="187"/>
      <c r="V126" s="438">
        <v>589140</v>
      </c>
      <c r="W126" s="416">
        <v>12772</v>
      </c>
      <c r="X126" s="438">
        <v>599526</v>
      </c>
      <c r="Y126" s="416">
        <v>19203</v>
      </c>
      <c r="Z126" s="438">
        <v>612786</v>
      </c>
      <c r="AA126" s="416">
        <v>25482</v>
      </c>
      <c r="AB126" s="438">
        <v>623054</v>
      </c>
      <c r="AC126" s="416">
        <v>26414</v>
      </c>
      <c r="AD126" s="438">
        <v>635544</v>
      </c>
      <c r="AE126" s="416">
        <v>25061</v>
      </c>
      <c r="AF126" s="438">
        <v>645966</v>
      </c>
      <c r="AG126" s="416">
        <v>24624</v>
      </c>
      <c r="AH126" s="438">
        <v>656948</v>
      </c>
      <c r="AI126" s="416">
        <v>21483</v>
      </c>
      <c r="AJ126" s="438">
        <v>663432</v>
      </c>
      <c r="AK126" s="416">
        <v>21275</v>
      </c>
      <c r="AL126" s="438">
        <v>684214</v>
      </c>
      <c r="AM126" s="416">
        <v>29149</v>
      </c>
      <c r="AN126" s="438">
        <v>679879</v>
      </c>
      <c r="AO126" s="416">
        <v>53296</v>
      </c>
      <c r="AP126" s="438">
        <v>678960</v>
      </c>
      <c r="AQ126" s="416">
        <v>54241</v>
      </c>
      <c r="AR126" s="438">
        <v>689669</v>
      </c>
      <c r="AS126" s="416">
        <v>49566</v>
      </c>
      <c r="AT126" s="438">
        <v>693851</v>
      </c>
      <c r="AU126" s="416">
        <v>44608</v>
      </c>
      <c r="AV126" s="438">
        <v>698224</v>
      </c>
      <c r="AW126" s="1327">
        <v>41709</v>
      </c>
      <c r="AX126" s="1469">
        <v>709119</v>
      </c>
      <c r="AY126" s="1470">
        <v>38957</v>
      </c>
      <c r="AZ126" s="1485">
        <v>713186</v>
      </c>
      <c r="BA126" s="1485">
        <v>33154</v>
      </c>
      <c r="BB126" s="1485">
        <v>714983</v>
      </c>
      <c r="BC126" s="1485">
        <v>29482</v>
      </c>
    </row>
    <row r="127" spans="1:55" ht="15" customHeight="1" x14ac:dyDescent="0.25">
      <c r="A127" s="598" t="s">
        <v>264</v>
      </c>
      <c r="B127" s="432"/>
      <c r="C127" s="187"/>
      <c r="D127" s="437">
        <f t="shared" si="78"/>
        <v>2.5429563703006187E-2</v>
      </c>
      <c r="E127" s="407">
        <f t="shared" si="79"/>
        <v>3.321706618825393E-2</v>
      </c>
      <c r="F127" s="407">
        <f t="shared" si="80"/>
        <v>4.1534323678387962E-2</v>
      </c>
      <c r="G127" s="407">
        <f t="shared" si="81"/>
        <v>4.2791271264473518E-2</v>
      </c>
      <c r="H127" s="407">
        <f t="shared" si="82"/>
        <v>4.0761272067991045E-2</v>
      </c>
      <c r="I127" s="407">
        <f t="shared" si="83"/>
        <v>3.9893832142007021E-2</v>
      </c>
      <c r="J127" s="407">
        <f t="shared" si="84"/>
        <v>3.4054139645035592E-2</v>
      </c>
      <c r="K127" s="407">
        <f t="shared" si="85"/>
        <v>3.3091630916195276E-2</v>
      </c>
      <c r="L127" s="407">
        <f t="shared" si="86"/>
        <v>4.2744274872914149E-2</v>
      </c>
      <c r="M127" s="407">
        <f t="shared" si="87"/>
        <v>7.2502585768335376E-2</v>
      </c>
      <c r="N127" s="407">
        <f t="shared" si="88"/>
        <v>7.6663536748089484E-2</v>
      </c>
      <c r="O127" s="1318">
        <f t="shared" si="89"/>
        <v>7.2411265556543009E-2</v>
      </c>
      <c r="P127" s="1319">
        <f t="shared" si="90"/>
        <v>6.6414075961871114E-2</v>
      </c>
      <c r="Q127" s="1319">
        <f t="shared" si="91"/>
        <v>6.1377424762512969E-2</v>
      </c>
      <c r="R127" s="1316">
        <f t="shared" ref="R127:R130" si="93">AY127/AX127</f>
        <v>5.7334382521145637E-2</v>
      </c>
      <c r="S127" s="433">
        <f t="shared" si="92"/>
        <v>4.9696849219759469E-2</v>
      </c>
      <c r="T127" s="433">
        <f t="shared" ref="T127:T130" si="94">BC127/BB127</f>
        <v>4.6246224883036681E-2</v>
      </c>
      <c r="U127" s="187"/>
      <c r="V127" s="438">
        <v>790104</v>
      </c>
      <c r="W127" s="416">
        <v>20092</v>
      </c>
      <c r="X127" s="438">
        <v>809343</v>
      </c>
      <c r="Y127" s="416">
        <v>26884</v>
      </c>
      <c r="Z127" s="438">
        <v>834322</v>
      </c>
      <c r="AA127" s="416">
        <v>34653</v>
      </c>
      <c r="AB127" s="438">
        <v>848187</v>
      </c>
      <c r="AC127" s="416">
        <v>36295</v>
      </c>
      <c r="AD127" s="438">
        <v>857407</v>
      </c>
      <c r="AE127" s="416">
        <v>34949</v>
      </c>
      <c r="AF127" s="438">
        <v>865422</v>
      </c>
      <c r="AG127" s="416">
        <v>34525</v>
      </c>
      <c r="AH127" s="438">
        <v>871524</v>
      </c>
      <c r="AI127" s="416">
        <v>29679</v>
      </c>
      <c r="AJ127" s="438">
        <v>878077</v>
      </c>
      <c r="AK127" s="416">
        <v>29057</v>
      </c>
      <c r="AL127" s="438">
        <v>898015</v>
      </c>
      <c r="AM127" s="416">
        <v>38385</v>
      </c>
      <c r="AN127" s="438">
        <v>890451</v>
      </c>
      <c r="AO127" s="416">
        <v>64560</v>
      </c>
      <c r="AP127" s="438">
        <v>890332</v>
      </c>
      <c r="AQ127" s="416">
        <v>68256</v>
      </c>
      <c r="AR127" s="438">
        <v>899059</v>
      </c>
      <c r="AS127" s="416">
        <v>65102</v>
      </c>
      <c r="AT127" s="438">
        <v>898951</v>
      </c>
      <c r="AU127" s="416">
        <v>59703</v>
      </c>
      <c r="AV127" s="438">
        <v>901944</v>
      </c>
      <c r="AW127" s="1327">
        <v>55359</v>
      </c>
      <c r="AX127" s="1469">
        <v>911181</v>
      </c>
      <c r="AY127" s="1470">
        <v>52242</v>
      </c>
      <c r="AZ127" s="1485">
        <v>905490</v>
      </c>
      <c r="BA127" s="1485">
        <v>45000</v>
      </c>
      <c r="BB127" s="1485">
        <v>899641</v>
      </c>
      <c r="BC127" s="1485">
        <v>41605</v>
      </c>
    </row>
    <row r="128" spans="1:55" ht="15" customHeight="1" x14ac:dyDescent="0.25">
      <c r="A128" s="598" t="s">
        <v>267</v>
      </c>
      <c r="B128" s="432"/>
      <c r="C128" s="187"/>
      <c r="D128" s="437">
        <f t="shared" si="78"/>
        <v>1.6879580584418224E-2</v>
      </c>
      <c r="E128" s="407">
        <f t="shared" si="79"/>
        <v>2.5097361051548011E-2</v>
      </c>
      <c r="F128" s="407">
        <f t="shared" si="80"/>
        <v>3.4157529216219347E-2</v>
      </c>
      <c r="G128" s="407">
        <f t="shared" si="81"/>
        <v>3.2218112314505103E-2</v>
      </c>
      <c r="H128" s="407">
        <f t="shared" si="82"/>
        <v>2.8120733230688783E-2</v>
      </c>
      <c r="I128" s="407">
        <f t="shared" si="83"/>
        <v>2.6636652355762697E-2</v>
      </c>
      <c r="J128" s="407">
        <f t="shared" si="84"/>
        <v>2.3449638566046073E-2</v>
      </c>
      <c r="K128" s="407">
        <f t="shared" si="85"/>
        <v>2.4120898620760063E-2</v>
      </c>
      <c r="L128" s="407">
        <f t="shared" si="86"/>
        <v>3.1947445790692676E-2</v>
      </c>
      <c r="M128" s="407">
        <f t="shared" si="87"/>
        <v>5.5781156472135565E-2</v>
      </c>
      <c r="N128" s="407">
        <f t="shared" si="88"/>
        <v>5.647942135360267E-2</v>
      </c>
      <c r="O128" s="1318">
        <f t="shared" si="89"/>
        <v>5.1413270937415316E-2</v>
      </c>
      <c r="P128" s="1319">
        <f t="shared" si="90"/>
        <v>4.7615979164822256E-2</v>
      </c>
      <c r="Q128" s="1319">
        <f t="shared" si="91"/>
        <v>4.5670222416519413E-2</v>
      </c>
      <c r="R128" s="1316">
        <f t="shared" si="93"/>
        <v>4.3764253005167571E-2</v>
      </c>
      <c r="S128" s="433">
        <f t="shared" si="92"/>
        <v>3.7894918682763866E-2</v>
      </c>
      <c r="T128" s="433">
        <f t="shared" si="94"/>
        <v>3.3445197274319341E-2</v>
      </c>
      <c r="U128" s="187"/>
      <c r="V128" s="438">
        <v>1402523</v>
      </c>
      <c r="W128" s="416">
        <v>23674</v>
      </c>
      <c r="X128" s="438">
        <v>1438717</v>
      </c>
      <c r="Y128" s="416">
        <v>36108</v>
      </c>
      <c r="Z128" s="438">
        <v>1474609</v>
      </c>
      <c r="AA128" s="416">
        <v>50369</v>
      </c>
      <c r="AB128" s="438">
        <v>1502602</v>
      </c>
      <c r="AC128" s="416">
        <v>48411</v>
      </c>
      <c r="AD128" s="438">
        <v>1549035</v>
      </c>
      <c r="AE128" s="416">
        <v>43560</v>
      </c>
      <c r="AF128" s="438">
        <v>1589464</v>
      </c>
      <c r="AG128" s="416">
        <v>42338</v>
      </c>
      <c r="AH128" s="438">
        <v>1629620</v>
      </c>
      <c r="AI128" s="416">
        <v>38214</v>
      </c>
      <c r="AJ128" s="438">
        <v>1645544</v>
      </c>
      <c r="AK128" s="416">
        <v>39692</v>
      </c>
      <c r="AL128" s="438">
        <v>1702014</v>
      </c>
      <c r="AM128" s="416">
        <v>54375</v>
      </c>
      <c r="AN128" s="438">
        <v>1702367</v>
      </c>
      <c r="AO128" s="416">
        <v>94960</v>
      </c>
      <c r="AP128" s="438">
        <v>1723194</v>
      </c>
      <c r="AQ128" s="416">
        <v>97325</v>
      </c>
      <c r="AR128" s="438">
        <v>1767637</v>
      </c>
      <c r="AS128" s="416">
        <v>90880</v>
      </c>
      <c r="AT128" s="438">
        <v>1784674</v>
      </c>
      <c r="AU128" s="416">
        <v>84979</v>
      </c>
      <c r="AV128" s="438">
        <v>1797933</v>
      </c>
      <c r="AW128" s="1327">
        <v>82112</v>
      </c>
      <c r="AX128" s="1469">
        <v>1801813</v>
      </c>
      <c r="AY128" s="1470">
        <v>78855</v>
      </c>
      <c r="AZ128" s="1485">
        <v>1794515</v>
      </c>
      <c r="BA128" s="1485">
        <v>68003</v>
      </c>
      <c r="BB128" s="1485">
        <v>1807255</v>
      </c>
      <c r="BC128" s="1485">
        <v>60444</v>
      </c>
    </row>
    <row r="129" spans="1:55" ht="15" customHeight="1" x14ac:dyDescent="0.25">
      <c r="A129" s="598" t="s">
        <v>265</v>
      </c>
      <c r="B129" s="432"/>
      <c r="C129" s="187"/>
      <c r="D129" s="437">
        <f t="shared" si="78"/>
        <v>2.6854844076996457E-2</v>
      </c>
      <c r="E129" s="407">
        <f t="shared" si="79"/>
        <v>3.9423327904591389E-2</v>
      </c>
      <c r="F129" s="407">
        <f t="shared" si="80"/>
        <v>5.419779251679803E-2</v>
      </c>
      <c r="G129" s="407">
        <f t="shared" si="81"/>
        <v>5.2694301547261999E-2</v>
      </c>
      <c r="H129" s="407">
        <f t="shared" si="82"/>
        <v>4.7009844629719737E-2</v>
      </c>
      <c r="I129" s="407">
        <f t="shared" si="83"/>
        <v>4.3417369487565104E-2</v>
      </c>
      <c r="J129" s="407">
        <f t="shared" si="84"/>
        <v>3.6775540716354825E-2</v>
      </c>
      <c r="K129" s="407">
        <f t="shared" si="85"/>
        <v>3.7330460247607104E-2</v>
      </c>
      <c r="L129" s="407">
        <f t="shared" si="86"/>
        <v>4.7130381241770838E-2</v>
      </c>
      <c r="M129" s="407">
        <f t="shared" si="87"/>
        <v>8.4040551839464878E-2</v>
      </c>
      <c r="N129" s="407">
        <f t="shared" si="88"/>
        <v>8.5694305483139097E-2</v>
      </c>
      <c r="O129" s="1318">
        <f t="shared" si="89"/>
        <v>7.5830646291882797E-2</v>
      </c>
      <c r="P129" s="1319">
        <f t="shared" si="90"/>
        <v>6.7452757868989105E-2</v>
      </c>
      <c r="Q129" s="1319">
        <f t="shared" si="91"/>
        <v>6.2925050088890142E-2</v>
      </c>
      <c r="R129" s="1316">
        <f t="shared" si="93"/>
        <v>5.6255291663393471E-2</v>
      </c>
      <c r="S129" s="433">
        <f t="shared" si="92"/>
        <v>4.8283481827181444E-2</v>
      </c>
      <c r="T129" s="433">
        <f t="shared" si="94"/>
        <v>4.3164108786953835E-2</v>
      </c>
      <c r="U129" s="187"/>
      <c r="V129" s="438">
        <v>540908</v>
      </c>
      <c r="W129" s="416">
        <v>14526</v>
      </c>
      <c r="X129" s="438">
        <v>544018</v>
      </c>
      <c r="Y129" s="416">
        <v>21447</v>
      </c>
      <c r="Z129" s="438">
        <v>553934</v>
      </c>
      <c r="AA129" s="416">
        <v>30022</v>
      </c>
      <c r="AB129" s="438">
        <v>553817</v>
      </c>
      <c r="AC129" s="416">
        <v>29183</v>
      </c>
      <c r="AD129" s="438">
        <v>546694</v>
      </c>
      <c r="AE129" s="416">
        <v>25700</v>
      </c>
      <c r="AF129" s="438">
        <v>551231</v>
      </c>
      <c r="AG129" s="416">
        <v>23933</v>
      </c>
      <c r="AH129" s="438">
        <v>556484</v>
      </c>
      <c r="AI129" s="416">
        <v>20465</v>
      </c>
      <c r="AJ129" s="438">
        <v>559677</v>
      </c>
      <c r="AK129" s="416">
        <v>20893</v>
      </c>
      <c r="AL129" s="438">
        <v>574937</v>
      </c>
      <c r="AM129" s="416">
        <v>27097</v>
      </c>
      <c r="AN129" s="438">
        <v>574080</v>
      </c>
      <c r="AO129" s="416">
        <v>48246</v>
      </c>
      <c r="AP129" s="438">
        <v>567704</v>
      </c>
      <c r="AQ129" s="416">
        <v>48649</v>
      </c>
      <c r="AR129" s="438">
        <v>570640</v>
      </c>
      <c r="AS129" s="416">
        <v>43272</v>
      </c>
      <c r="AT129" s="438">
        <v>567449</v>
      </c>
      <c r="AU129" s="416">
        <v>38276</v>
      </c>
      <c r="AV129" s="438">
        <v>566992</v>
      </c>
      <c r="AW129" s="1327">
        <v>35678</v>
      </c>
      <c r="AX129" s="1469">
        <v>572835</v>
      </c>
      <c r="AY129" s="1470">
        <v>32225</v>
      </c>
      <c r="AZ129" s="1485">
        <v>565680</v>
      </c>
      <c r="BA129" s="1485">
        <v>27313</v>
      </c>
      <c r="BB129" s="1485">
        <v>561207</v>
      </c>
      <c r="BC129" s="1485">
        <v>24224</v>
      </c>
    </row>
    <row r="130" spans="1:55" ht="15" customHeight="1" x14ac:dyDescent="0.25">
      <c r="A130" s="598" t="s">
        <v>268</v>
      </c>
      <c r="B130" s="432"/>
      <c r="C130" s="187"/>
      <c r="D130" s="437">
        <f t="shared" si="78"/>
        <v>3.9992807186691764E-2</v>
      </c>
      <c r="E130" s="407">
        <f t="shared" si="79"/>
        <v>5.3137166447425783E-2</v>
      </c>
      <c r="F130" s="407">
        <f t="shared" si="80"/>
        <v>5.9624092014185767E-2</v>
      </c>
      <c r="G130" s="407">
        <f t="shared" si="81"/>
        <v>5.6062505678204776E-2</v>
      </c>
      <c r="H130" s="407">
        <f t="shared" si="82"/>
        <v>4.9803733701727221E-2</v>
      </c>
      <c r="I130" s="407">
        <f t="shared" si="83"/>
        <v>4.6585865926137393E-2</v>
      </c>
      <c r="J130" s="407">
        <f t="shared" si="84"/>
        <v>4.2236984855915705E-2</v>
      </c>
      <c r="K130" s="407">
        <f t="shared" si="85"/>
        <v>4.4953707811991601E-2</v>
      </c>
      <c r="L130" s="407">
        <f t="shared" si="86"/>
        <v>5.2288495169289871E-2</v>
      </c>
      <c r="M130" s="407">
        <f t="shared" si="87"/>
        <v>9.1706631941871258E-2</v>
      </c>
      <c r="N130" s="407">
        <f t="shared" si="88"/>
        <v>9.1026399268777897E-2</v>
      </c>
      <c r="O130" s="1318">
        <f t="shared" si="89"/>
        <v>7.946351107255116E-2</v>
      </c>
      <c r="P130" s="1319">
        <f t="shared" si="90"/>
        <v>7.4349172729448798E-2</v>
      </c>
      <c r="Q130" s="1319">
        <f t="shared" si="91"/>
        <v>7.3725547232928512E-2</v>
      </c>
      <c r="R130" s="1316">
        <f t="shared" si="93"/>
        <v>6.6828429126257347E-2</v>
      </c>
      <c r="S130" s="433">
        <f t="shared" si="92"/>
        <v>5.7693851417212977E-2</v>
      </c>
      <c r="T130" s="433">
        <f t="shared" si="94"/>
        <v>5.5943729841060115E-2</v>
      </c>
      <c r="U130" s="187"/>
      <c r="V130" s="438">
        <v>261372</v>
      </c>
      <c r="W130" s="416">
        <v>10453</v>
      </c>
      <c r="X130" s="438">
        <v>263789</v>
      </c>
      <c r="Y130" s="416">
        <v>14017</v>
      </c>
      <c r="Z130" s="438">
        <v>269002</v>
      </c>
      <c r="AA130" s="416">
        <v>16039</v>
      </c>
      <c r="AB130" s="438">
        <v>275175</v>
      </c>
      <c r="AC130" s="416">
        <v>15427</v>
      </c>
      <c r="AD130" s="438">
        <v>269277</v>
      </c>
      <c r="AE130" s="416">
        <v>13411</v>
      </c>
      <c r="AF130" s="438">
        <v>269717</v>
      </c>
      <c r="AG130" s="416">
        <v>12565</v>
      </c>
      <c r="AH130" s="438">
        <v>269148</v>
      </c>
      <c r="AI130" s="416">
        <v>11368</v>
      </c>
      <c r="AJ130" s="438">
        <v>270456</v>
      </c>
      <c r="AK130" s="416">
        <v>12158</v>
      </c>
      <c r="AL130" s="438">
        <v>279048</v>
      </c>
      <c r="AM130" s="416">
        <v>14591</v>
      </c>
      <c r="AN130" s="438">
        <v>283371</v>
      </c>
      <c r="AO130" s="416">
        <v>25987</v>
      </c>
      <c r="AP130" s="438">
        <v>278985</v>
      </c>
      <c r="AQ130" s="416">
        <v>25395</v>
      </c>
      <c r="AR130" s="438">
        <v>281236</v>
      </c>
      <c r="AS130" s="416">
        <v>22348</v>
      </c>
      <c r="AT130" s="438">
        <v>275726</v>
      </c>
      <c r="AU130" s="416">
        <v>20500</v>
      </c>
      <c r="AV130" s="438">
        <v>275020</v>
      </c>
      <c r="AW130" s="1327">
        <v>20276</v>
      </c>
      <c r="AX130" s="1469">
        <v>266234</v>
      </c>
      <c r="AY130" s="1470">
        <v>17792</v>
      </c>
      <c r="AZ130" s="1485">
        <v>261605</v>
      </c>
      <c r="BA130" s="1485">
        <v>15093</v>
      </c>
      <c r="BB130" s="1485">
        <v>257330</v>
      </c>
      <c r="BC130" s="1485">
        <v>14396</v>
      </c>
    </row>
    <row r="131" spans="1:55" ht="15" customHeight="1" x14ac:dyDescent="0.25">
      <c r="A131" s="436"/>
      <c r="B131" s="432"/>
      <c r="C131" s="187"/>
      <c r="D131" s="187"/>
      <c r="E131" s="433"/>
      <c r="F131" s="433"/>
      <c r="G131" s="433"/>
      <c r="H131" s="433"/>
      <c r="I131" s="433"/>
      <c r="J131" s="433"/>
      <c r="K131" s="433"/>
      <c r="L131" s="433"/>
      <c r="M131" s="433"/>
      <c r="N131" s="433"/>
      <c r="O131" s="184"/>
      <c r="P131" s="184"/>
      <c r="Q131" s="184"/>
      <c r="R131" s="184"/>
      <c r="S131" s="184"/>
      <c r="T131" s="184"/>
      <c r="U131" s="187"/>
      <c r="V131" s="187"/>
      <c r="W131" s="187"/>
      <c r="X131" s="434"/>
      <c r="Y131" s="434"/>
      <c r="Z131" s="434"/>
      <c r="AA131" s="434"/>
      <c r="AB131" s="434"/>
      <c r="AC131" s="434"/>
      <c r="AD131" s="434"/>
      <c r="AE131" s="434"/>
      <c r="AF131" s="434"/>
      <c r="AG131" s="434"/>
      <c r="AH131" s="434"/>
      <c r="AI131" s="434"/>
      <c r="AJ131" s="434"/>
      <c r="AK131" s="434"/>
      <c r="AL131" s="434"/>
      <c r="AM131" s="434"/>
      <c r="AN131" s="434"/>
      <c r="AO131" s="434"/>
      <c r="AP131" s="434"/>
      <c r="AQ131" s="434"/>
      <c r="AR131" s="435"/>
      <c r="AS131" s="435"/>
    </row>
    <row r="132" spans="1:55" ht="16.5" customHeight="1" x14ac:dyDescent="0.25">
      <c r="A132" s="2717" t="s">
        <v>831</v>
      </c>
      <c r="B132" s="2718"/>
      <c r="C132" s="2718"/>
      <c r="D132" s="2718"/>
      <c r="E132" s="2718"/>
      <c r="F132" s="2718"/>
      <c r="G132" s="2718"/>
      <c r="H132" s="2718"/>
      <c r="I132" s="2718"/>
      <c r="J132" s="2718"/>
      <c r="K132" s="2718"/>
      <c r="L132" s="2718"/>
      <c r="M132" s="2718"/>
      <c r="N132" s="2718"/>
      <c r="O132" s="2718"/>
      <c r="P132" s="580"/>
      <c r="Q132" s="580"/>
      <c r="R132" s="580"/>
      <c r="S132" s="580"/>
      <c r="T132" s="580"/>
    </row>
    <row r="133" spans="1:55" ht="16.5" customHeight="1" x14ac:dyDescent="0.25">
      <c r="A133" s="2718"/>
      <c r="B133" s="2718"/>
      <c r="C133" s="2718"/>
      <c r="D133" s="2718"/>
      <c r="E133" s="2718"/>
      <c r="F133" s="2718"/>
      <c r="G133" s="2718"/>
      <c r="H133" s="2718"/>
      <c r="I133" s="2718"/>
      <c r="J133" s="2718"/>
      <c r="K133" s="2718"/>
      <c r="L133" s="2718"/>
      <c r="M133" s="2718"/>
      <c r="N133" s="2718"/>
      <c r="O133" s="2718"/>
      <c r="P133" s="483"/>
      <c r="Q133" s="483"/>
      <c r="R133" s="483"/>
      <c r="S133" s="483"/>
      <c r="T133" s="483"/>
    </row>
    <row r="134" spans="1:55" ht="16.5" customHeight="1" x14ac:dyDescent="0.25">
      <c r="A134" s="482"/>
      <c r="B134" s="482"/>
      <c r="C134" s="482"/>
      <c r="D134" s="482"/>
      <c r="E134" s="482"/>
      <c r="F134" s="482"/>
      <c r="G134" s="482"/>
      <c r="H134" s="482"/>
      <c r="I134" s="482"/>
      <c r="J134" s="482"/>
      <c r="K134" s="482"/>
      <c r="L134" s="482"/>
      <c r="M134" s="482"/>
      <c r="N134" s="482"/>
      <c r="O134" s="482"/>
      <c r="P134" s="483"/>
      <c r="Q134" s="483"/>
      <c r="R134" s="483"/>
      <c r="S134" s="483"/>
      <c r="T134" s="483"/>
    </row>
    <row r="135" spans="1:55" x14ac:dyDescent="0.25">
      <c r="A135" s="389" t="s">
        <v>248</v>
      </c>
    </row>
    <row r="136" spans="1:55" x14ac:dyDescent="0.25">
      <c r="A136" s="390" t="s">
        <v>249</v>
      </c>
      <c r="B136" s="391" t="s">
        <v>250</v>
      </c>
    </row>
    <row r="137" spans="1:55" x14ac:dyDescent="0.25">
      <c r="X137" s="439"/>
      <c r="Y137" s="439"/>
      <c r="Z137" s="439"/>
      <c r="AA137" s="439"/>
      <c r="AB137" s="439"/>
      <c r="AC137" s="439"/>
      <c r="AD137" s="439"/>
      <c r="AE137" s="439"/>
      <c r="AF137" s="439"/>
      <c r="AG137" s="439"/>
      <c r="AH137" s="439"/>
      <c r="AI137" s="439"/>
      <c r="AJ137" s="439"/>
      <c r="AK137" s="439"/>
      <c r="AL137" s="439"/>
      <c r="AM137" s="439"/>
      <c r="AN137" s="439"/>
      <c r="AO137" s="439"/>
      <c r="AP137" s="439"/>
      <c r="AQ137" s="439"/>
    </row>
  </sheetData>
  <autoFilter ref="A3:C124"/>
  <sortState ref="A5:BF124">
    <sortCondition ref="A5:A124"/>
  </sortState>
  <mergeCells count="1">
    <mergeCell ref="A132:O133"/>
  </mergeCells>
  <hyperlinks>
    <hyperlink ref="B136"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ySplit="6" topLeftCell="A7" activePane="bottomLeft" state="frozen"/>
      <selection pane="bottomLeft" activeCell="A7" sqref="A7:XFD126"/>
    </sheetView>
  </sheetViews>
  <sheetFormatPr defaultRowHeight="15.75" x14ac:dyDescent="0.25"/>
  <cols>
    <col min="1" max="1" width="7.75" style="134" customWidth="1"/>
    <col min="2" max="2" width="28.625" style="158" customWidth="1"/>
    <col min="3" max="3" width="10" style="158" customWidth="1"/>
    <col min="4" max="4" width="8.375" style="158" customWidth="1"/>
    <col min="5" max="7" width="8.375" style="157" customWidth="1"/>
    <col min="8" max="11" width="6.875" style="134" customWidth="1"/>
    <col min="12" max="15" width="6.875" style="135" customWidth="1"/>
    <col min="16" max="16384" width="9" style="134"/>
  </cols>
  <sheetData>
    <row r="1" spans="1:15" x14ac:dyDescent="0.25">
      <c r="A1" s="307" t="s">
        <v>1221</v>
      </c>
      <c r="B1" s="307"/>
      <c r="C1" s="307"/>
      <c r="D1" s="307"/>
      <c r="E1" s="307"/>
      <c r="F1" s="307"/>
      <c r="G1" s="307"/>
      <c r="H1" s="307"/>
      <c r="I1" s="308"/>
      <c r="J1" s="308"/>
      <c r="K1" s="308"/>
      <c r="L1" s="308"/>
      <c r="M1" s="308"/>
      <c r="N1" s="308"/>
      <c r="O1" s="308"/>
    </row>
    <row r="2" spans="1:15" x14ac:dyDescent="0.25">
      <c r="A2" s="96"/>
      <c r="B2" s="136"/>
      <c r="C2" s="136"/>
      <c r="D2" s="136"/>
      <c r="E2" s="2723"/>
      <c r="F2" s="2723"/>
      <c r="G2" s="2723"/>
    </row>
    <row r="3" spans="1:15" s="142" customFormat="1" ht="15.75" customHeight="1" x14ac:dyDescent="0.2">
      <c r="A3" s="137"/>
      <c r="B3" s="138"/>
      <c r="C3" s="138"/>
      <c r="D3" s="139" t="s">
        <v>629</v>
      </c>
      <c r="E3" s="140"/>
      <c r="F3" s="140"/>
      <c r="G3" s="141"/>
      <c r="H3" s="2720" t="s">
        <v>630</v>
      </c>
      <c r="I3" s="2721"/>
      <c r="J3" s="2721"/>
      <c r="K3" s="2721"/>
      <c r="L3" s="2721"/>
      <c r="M3" s="2721"/>
      <c r="N3" s="2721"/>
      <c r="O3" s="2721"/>
    </row>
    <row r="4" spans="1:15" s="142" customFormat="1" ht="24.75" customHeight="1" x14ac:dyDescent="0.2">
      <c r="A4" s="2724" t="s">
        <v>4</v>
      </c>
      <c r="B4" s="2726" t="s">
        <v>5</v>
      </c>
      <c r="C4" s="2726" t="s">
        <v>251</v>
      </c>
      <c r="D4" s="2720" t="s">
        <v>631</v>
      </c>
      <c r="E4" s="2721"/>
      <c r="F4" s="2721"/>
      <c r="G4" s="2722"/>
      <c r="H4" s="2720" t="s">
        <v>632</v>
      </c>
      <c r="I4" s="2721"/>
      <c r="J4" s="2721"/>
      <c r="K4" s="2722"/>
      <c r="L4" s="2720" t="s">
        <v>633</v>
      </c>
      <c r="M4" s="2721"/>
      <c r="N4" s="2721"/>
      <c r="O4" s="2722"/>
    </row>
    <row r="5" spans="1:15" s="142" customFormat="1" ht="15" customHeight="1" x14ac:dyDescent="0.2">
      <c r="A5" s="2725"/>
      <c r="B5" s="2727"/>
      <c r="C5" s="2727"/>
      <c r="D5" s="143" t="s">
        <v>634</v>
      </c>
      <c r="E5" s="144" t="s">
        <v>563</v>
      </c>
      <c r="F5" s="144" t="s">
        <v>564</v>
      </c>
      <c r="G5" s="291" t="s">
        <v>635</v>
      </c>
      <c r="H5" s="143" t="s">
        <v>634</v>
      </c>
      <c r="I5" s="144" t="s">
        <v>563</v>
      </c>
      <c r="J5" s="144" t="s">
        <v>564</v>
      </c>
      <c r="K5" s="291" t="s">
        <v>635</v>
      </c>
      <c r="L5" s="143" t="s">
        <v>634</v>
      </c>
      <c r="M5" s="144" t="s">
        <v>563</v>
      </c>
      <c r="N5" s="144" t="s">
        <v>564</v>
      </c>
      <c r="O5" s="145" t="s">
        <v>635</v>
      </c>
    </row>
    <row r="6" spans="1:15" s="142" customFormat="1" ht="15.75" customHeight="1" x14ac:dyDescent="0.2">
      <c r="A6" s="146" t="s">
        <v>8</v>
      </c>
      <c r="B6" s="147" t="s">
        <v>9</v>
      </c>
      <c r="C6" s="148"/>
      <c r="D6" s="292">
        <v>103074</v>
      </c>
      <c r="E6" s="293">
        <v>64435</v>
      </c>
      <c r="F6" s="293">
        <v>21325</v>
      </c>
      <c r="G6" s="294">
        <v>17314</v>
      </c>
      <c r="H6" s="292">
        <v>35512</v>
      </c>
      <c r="I6" s="293">
        <v>16276</v>
      </c>
      <c r="J6" s="293">
        <v>13803</v>
      </c>
      <c r="K6" s="294">
        <v>5433</v>
      </c>
      <c r="L6" s="281">
        <f>(H6/D6)</f>
        <v>0.34452917321535986</v>
      </c>
      <c r="M6" s="281">
        <f>(I6/E6)</f>
        <v>0.25259563901606269</v>
      </c>
      <c r="N6" s="281">
        <f>(J6/F6)</f>
        <v>0.64726846424384521</v>
      </c>
      <c r="O6" s="281">
        <f>(K6/G6)</f>
        <v>0.31379230680374265</v>
      </c>
    </row>
    <row r="7" spans="1:15" s="142" customFormat="1" ht="15.75" customHeight="1" x14ac:dyDescent="0.2">
      <c r="A7" s="149" t="s">
        <v>10</v>
      </c>
      <c r="B7" s="185" t="s">
        <v>11</v>
      </c>
      <c r="C7" s="150" t="s">
        <v>264</v>
      </c>
      <c r="D7" s="1057">
        <v>387</v>
      </c>
      <c r="E7" s="1058">
        <v>220</v>
      </c>
      <c r="F7" s="1059">
        <v>153</v>
      </c>
      <c r="G7" s="1056">
        <v>14</v>
      </c>
      <c r="H7" s="1057">
        <v>223</v>
      </c>
      <c r="I7" s="1058">
        <v>100</v>
      </c>
      <c r="J7" s="1059">
        <v>120</v>
      </c>
      <c r="K7" s="1056">
        <v>3</v>
      </c>
      <c r="L7" s="282">
        <f t="shared" ref="L7:L38" si="0">IF(D7=0,"NA",(H7/D7))</f>
        <v>0.57622739018087854</v>
      </c>
      <c r="M7" s="283">
        <f t="shared" ref="M7:M38" si="1">IF(E7=0,"NA",(I7/E7))</f>
        <v>0.45454545454545453</v>
      </c>
      <c r="N7" s="283">
        <f t="shared" ref="N7:N38" si="2">IF(F7=0,"NA",(J7/F7))</f>
        <v>0.78431372549019607</v>
      </c>
      <c r="O7" s="284">
        <f t="shared" ref="O7:O38" si="3">IF(G7=0,"NA",(K7/G7))</f>
        <v>0.21428571428571427</v>
      </c>
    </row>
    <row r="8" spans="1:15" s="142" customFormat="1" ht="15.75" customHeight="1" x14ac:dyDescent="0.2">
      <c r="A8" s="149" t="s">
        <v>12</v>
      </c>
      <c r="B8" s="186" t="s">
        <v>13</v>
      </c>
      <c r="C8" s="150" t="s">
        <v>265</v>
      </c>
      <c r="D8" s="1057">
        <v>1049</v>
      </c>
      <c r="E8" s="1058">
        <v>817</v>
      </c>
      <c r="F8" s="1059">
        <v>102</v>
      </c>
      <c r="G8" s="1056">
        <v>130</v>
      </c>
      <c r="H8" s="1057">
        <v>253</v>
      </c>
      <c r="I8" s="1058">
        <v>153</v>
      </c>
      <c r="J8" s="1059">
        <v>59</v>
      </c>
      <c r="K8" s="1056">
        <v>41</v>
      </c>
      <c r="L8" s="282">
        <f t="shared" si="0"/>
        <v>0.24118207816968543</v>
      </c>
      <c r="M8" s="283">
        <f t="shared" si="1"/>
        <v>0.18727050183598531</v>
      </c>
      <c r="N8" s="283">
        <f t="shared" si="2"/>
        <v>0.57843137254901966</v>
      </c>
      <c r="O8" s="284">
        <f t="shared" si="3"/>
        <v>0.31538461538461537</v>
      </c>
    </row>
    <row r="9" spans="1:15" s="142" customFormat="1" ht="15.75" customHeight="1" x14ac:dyDescent="0.2">
      <c r="A9" s="149" t="s">
        <v>16</v>
      </c>
      <c r="B9" s="186" t="s">
        <v>297</v>
      </c>
      <c r="C9" s="150" t="s">
        <v>265</v>
      </c>
      <c r="D9" s="1057">
        <v>232</v>
      </c>
      <c r="E9" s="1058">
        <v>216</v>
      </c>
      <c r="F9" s="1059">
        <v>14</v>
      </c>
      <c r="G9" s="1056">
        <v>2</v>
      </c>
      <c r="H9" s="1057">
        <v>122</v>
      </c>
      <c r="I9" s="1058">
        <v>111</v>
      </c>
      <c r="J9" s="1059">
        <v>9</v>
      </c>
      <c r="K9" s="1056">
        <v>2</v>
      </c>
      <c r="L9" s="282">
        <f t="shared" si="0"/>
        <v>0.52586206896551724</v>
      </c>
      <c r="M9" s="283">
        <f t="shared" si="1"/>
        <v>0.51388888888888884</v>
      </c>
      <c r="N9" s="283">
        <f t="shared" si="2"/>
        <v>0.6428571428571429</v>
      </c>
      <c r="O9" s="284">
        <f t="shared" si="3"/>
        <v>1</v>
      </c>
    </row>
    <row r="10" spans="1:15" s="142" customFormat="1" ht="15.75" customHeight="1" x14ac:dyDescent="0.2">
      <c r="A10" s="149" t="s">
        <v>18</v>
      </c>
      <c r="B10" s="186" t="s">
        <v>19</v>
      </c>
      <c r="C10" s="150" t="s">
        <v>266</v>
      </c>
      <c r="D10" s="1057">
        <v>141</v>
      </c>
      <c r="E10" s="1058">
        <v>118</v>
      </c>
      <c r="F10" s="1059">
        <v>18</v>
      </c>
      <c r="G10" s="1056">
        <v>5</v>
      </c>
      <c r="H10" s="1057">
        <v>41</v>
      </c>
      <c r="I10" s="1058">
        <v>30</v>
      </c>
      <c r="J10" s="1059">
        <v>11</v>
      </c>
      <c r="K10" s="1056">
        <v>0</v>
      </c>
      <c r="L10" s="282">
        <f t="shared" si="0"/>
        <v>0.29078014184397161</v>
      </c>
      <c r="M10" s="283">
        <f t="shared" si="1"/>
        <v>0.25423728813559321</v>
      </c>
      <c r="N10" s="283">
        <f t="shared" si="2"/>
        <v>0.61111111111111116</v>
      </c>
      <c r="O10" s="284">
        <f t="shared" si="3"/>
        <v>0</v>
      </c>
    </row>
    <row r="11" spans="1:15" s="142" customFormat="1" ht="15.75" customHeight="1" x14ac:dyDescent="0.2">
      <c r="A11" s="149" t="s">
        <v>20</v>
      </c>
      <c r="B11" s="186" t="s">
        <v>21</v>
      </c>
      <c r="C11" s="150" t="s">
        <v>265</v>
      </c>
      <c r="D11" s="1057">
        <v>356</v>
      </c>
      <c r="E11" s="1058">
        <v>289</v>
      </c>
      <c r="F11" s="1059">
        <v>60</v>
      </c>
      <c r="G11" s="1056">
        <v>7</v>
      </c>
      <c r="H11" s="1057">
        <v>162</v>
      </c>
      <c r="I11" s="1058">
        <v>113</v>
      </c>
      <c r="J11" s="1059">
        <v>44</v>
      </c>
      <c r="K11" s="1056">
        <v>5</v>
      </c>
      <c r="L11" s="282">
        <f t="shared" si="0"/>
        <v>0.4550561797752809</v>
      </c>
      <c r="M11" s="283">
        <f t="shared" si="1"/>
        <v>0.39100346020761245</v>
      </c>
      <c r="N11" s="283">
        <f t="shared" si="2"/>
        <v>0.73333333333333328</v>
      </c>
      <c r="O11" s="284">
        <f t="shared" si="3"/>
        <v>0.7142857142857143</v>
      </c>
    </row>
    <row r="12" spans="1:15" s="142" customFormat="1" ht="15.75" customHeight="1" x14ac:dyDescent="0.2">
      <c r="A12" s="149" t="s">
        <v>22</v>
      </c>
      <c r="B12" s="186" t="s">
        <v>23</v>
      </c>
      <c r="C12" s="150" t="s">
        <v>265</v>
      </c>
      <c r="D12" s="1057">
        <v>167</v>
      </c>
      <c r="E12" s="1058">
        <v>128</v>
      </c>
      <c r="F12" s="1059">
        <v>37</v>
      </c>
      <c r="G12" s="1056">
        <v>2</v>
      </c>
      <c r="H12" s="1057">
        <v>76</v>
      </c>
      <c r="I12" s="1058">
        <v>44</v>
      </c>
      <c r="J12" s="1059">
        <v>31</v>
      </c>
      <c r="K12" s="1056">
        <v>1</v>
      </c>
      <c r="L12" s="282">
        <f t="shared" si="0"/>
        <v>0.45508982035928142</v>
      </c>
      <c r="M12" s="283">
        <f t="shared" si="1"/>
        <v>0.34375</v>
      </c>
      <c r="N12" s="283">
        <f t="shared" si="2"/>
        <v>0.83783783783783783</v>
      </c>
      <c r="O12" s="284">
        <f t="shared" si="3"/>
        <v>0.5</v>
      </c>
    </row>
    <row r="13" spans="1:15" s="142" customFormat="1" ht="15.75" customHeight="1" x14ac:dyDescent="0.2">
      <c r="A13" s="149" t="s">
        <v>24</v>
      </c>
      <c r="B13" s="186" t="s">
        <v>25</v>
      </c>
      <c r="C13" s="150" t="s">
        <v>267</v>
      </c>
      <c r="D13" s="1057">
        <v>3160</v>
      </c>
      <c r="E13" s="1058">
        <v>2089</v>
      </c>
      <c r="F13" s="1059">
        <v>236</v>
      </c>
      <c r="G13" s="1056">
        <v>835</v>
      </c>
      <c r="H13" s="1057">
        <v>506</v>
      </c>
      <c r="I13" s="1058">
        <v>194</v>
      </c>
      <c r="J13" s="1059">
        <v>88</v>
      </c>
      <c r="K13" s="1056">
        <v>224</v>
      </c>
      <c r="L13" s="282">
        <f t="shared" si="0"/>
        <v>0.16012658227848101</v>
      </c>
      <c r="M13" s="283">
        <f t="shared" si="1"/>
        <v>9.2867400670177125E-2</v>
      </c>
      <c r="N13" s="283">
        <f t="shared" si="2"/>
        <v>0.3728813559322034</v>
      </c>
      <c r="O13" s="284">
        <f t="shared" si="3"/>
        <v>0.2682634730538922</v>
      </c>
    </row>
    <row r="14" spans="1:15" s="142" customFormat="1" ht="15.75" customHeight="1" x14ac:dyDescent="0.2">
      <c r="A14" s="149" t="s">
        <v>26</v>
      </c>
      <c r="B14" s="186" t="s">
        <v>298</v>
      </c>
      <c r="C14" s="150" t="s">
        <v>265</v>
      </c>
      <c r="D14" s="1057">
        <v>1289</v>
      </c>
      <c r="E14" s="1058">
        <v>1165</v>
      </c>
      <c r="F14" s="1059">
        <v>80</v>
      </c>
      <c r="G14" s="1056">
        <v>44</v>
      </c>
      <c r="H14" s="1057">
        <v>513</v>
      </c>
      <c r="I14" s="1058">
        <v>439</v>
      </c>
      <c r="J14" s="1059">
        <v>55</v>
      </c>
      <c r="K14" s="1056">
        <v>19</v>
      </c>
      <c r="L14" s="282">
        <f t="shared" si="0"/>
        <v>0.39798293250581845</v>
      </c>
      <c r="M14" s="283">
        <f t="shared" si="1"/>
        <v>0.37682403433476397</v>
      </c>
      <c r="N14" s="283">
        <f t="shared" si="2"/>
        <v>0.6875</v>
      </c>
      <c r="O14" s="284">
        <f t="shared" si="3"/>
        <v>0.43181818181818182</v>
      </c>
    </row>
    <row r="15" spans="1:15" s="142" customFormat="1" ht="15.75" customHeight="1" x14ac:dyDescent="0.2">
      <c r="A15" s="149" t="s">
        <v>27</v>
      </c>
      <c r="B15" s="186" t="s">
        <v>28</v>
      </c>
      <c r="C15" s="150" t="s">
        <v>265</v>
      </c>
      <c r="D15" s="1057">
        <v>37</v>
      </c>
      <c r="E15" s="1058">
        <v>34</v>
      </c>
      <c r="F15" s="1059">
        <v>0</v>
      </c>
      <c r="G15" s="1056">
        <v>3</v>
      </c>
      <c r="H15" s="1057">
        <v>20</v>
      </c>
      <c r="I15" s="1058">
        <v>18</v>
      </c>
      <c r="J15" s="1059">
        <v>0</v>
      </c>
      <c r="K15" s="1056">
        <v>2</v>
      </c>
      <c r="L15" s="282">
        <f t="shared" si="0"/>
        <v>0.54054054054054057</v>
      </c>
      <c r="M15" s="283">
        <f t="shared" si="1"/>
        <v>0.52941176470588236</v>
      </c>
      <c r="N15" s="283" t="str">
        <f t="shared" si="2"/>
        <v>NA</v>
      </c>
      <c r="O15" s="284">
        <f t="shared" si="3"/>
        <v>0.66666666666666663</v>
      </c>
    </row>
    <row r="16" spans="1:15" s="142" customFormat="1" ht="15.75" customHeight="1" x14ac:dyDescent="0.2">
      <c r="A16" s="149" t="s">
        <v>29</v>
      </c>
      <c r="B16" s="186" t="s">
        <v>901</v>
      </c>
      <c r="C16" s="150" t="s">
        <v>265</v>
      </c>
      <c r="D16" s="1057">
        <v>635</v>
      </c>
      <c r="E16" s="1058">
        <v>568</v>
      </c>
      <c r="F16" s="1059">
        <v>45</v>
      </c>
      <c r="G16" s="1056">
        <v>22</v>
      </c>
      <c r="H16" s="1057">
        <v>184</v>
      </c>
      <c r="I16" s="1058">
        <v>151</v>
      </c>
      <c r="J16" s="1059">
        <v>31</v>
      </c>
      <c r="K16" s="1056">
        <v>2</v>
      </c>
      <c r="L16" s="282">
        <f t="shared" si="0"/>
        <v>0.28976377952755905</v>
      </c>
      <c r="M16" s="283">
        <f t="shared" si="1"/>
        <v>0.26584507042253519</v>
      </c>
      <c r="N16" s="283">
        <f t="shared" si="2"/>
        <v>0.68888888888888888</v>
      </c>
      <c r="O16" s="284">
        <f t="shared" si="3"/>
        <v>9.0909090909090912E-2</v>
      </c>
    </row>
    <row r="17" spans="1:15" s="142" customFormat="1" ht="15.75" customHeight="1" x14ac:dyDescent="0.2">
      <c r="A17" s="149" t="s">
        <v>30</v>
      </c>
      <c r="B17" s="186" t="s">
        <v>31</v>
      </c>
      <c r="C17" s="150" t="s">
        <v>268</v>
      </c>
      <c r="D17" s="1057">
        <v>51</v>
      </c>
      <c r="E17" s="1058">
        <v>47</v>
      </c>
      <c r="F17" s="1059">
        <v>3</v>
      </c>
      <c r="G17" s="1056">
        <v>1</v>
      </c>
      <c r="H17" s="1057">
        <v>15</v>
      </c>
      <c r="I17" s="1058">
        <v>13</v>
      </c>
      <c r="J17" s="1059">
        <v>1</v>
      </c>
      <c r="K17" s="1056">
        <v>1</v>
      </c>
      <c r="L17" s="282">
        <f t="shared" si="0"/>
        <v>0.29411764705882354</v>
      </c>
      <c r="M17" s="283">
        <f t="shared" si="1"/>
        <v>0.27659574468085107</v>
      </c>
      <c r="N17" s="283">
        <f t="shared" si="2"/>
        <v>0.33333333333333331</v>
      </c>
      <c r="O17" s="284">
        <f t="shared" si="3"/>
        <v>1</v>
      </c>
    </row>
    <row r="18" spans="1:15" s="142" customFormat="1" ht="15.75" customHeight="1" x14ac:dyDescent="0.2">
      <c r="A18" s="149" t="s">
        <v>32</v>
      </c>
      <c r="B18" s="186" t="s">
        <v>33</v>
      </c>
      <c r="C18" s="150" t="s">
        <v>265</v>
      </c>
      <c r="D18" s="1057">
        <v>232</v>
      </c>
      <c r="E18" s="1058">
        <v>223</v>
      </c>
      <c r="F18" s="1059">
        <v>5</v>
      </c>
      <c r="G18" s="1056">
        <v>4</v>
      </c>
      <c r="H18" s="1057">
        <v>81</v>
      </c>
      <c r="I18" s="1058">
        <v>78</v>
      </c>
      <c r="J18" s="1059">
        <v>3</v>
      </c>
      <c r="K18" s="1056">
        <v>0</v>
      </c>
      <c r="L18" s="282">
        <f t="shared" si="0"/>
        <v>0.34913793103448276</v>
      </c>
      <c r="M18" s="283">
        <f t="shared" si="1"/>
        <v>0.34977578475336324</v>
      </c>
      <c r="N18" s="283">
        <f t="shared" si="2"/>
        <v>0.6</v>
      </c>
      <c r="O18" s="284">
        <f t="shared" si="3"/>
        <v>0</v>
      </c>
    </row>
    <row r="19" spans="1:15" s="142" customFormat="1" ht="15.75" customHeight="1" x14ac:dyDescent="0.2">
      <c r="A19" s="149" t="s">
        <v>36</v>
      </c>
      <c r="B19" s="186" t="s">
        <v>37</v>
      </c>
      <c r="C19" s="150" t="s">
        <v>264</v>
      </c>
      <c r="D19" s="1057">
        <v>142</v>
      </c>
      <c r="E19" s="1058">
        <v>55</v>
      </c>
      <c r="F19" s="1059">
        <v>84</v>
      </c>
      <c r="G19" s="1056">
        <v>3</v>
      </c>
      <c r="H19" s="1057">
        <v>103</v>
      </c>
      <c r="I19" s="1058">
        <v>30</v>
      </c>
      <c r="J19" s="1059">
        <v>71</v>
      </c>
      <c r="K19" s="1056">
        <v>2</v>
      </c>
      <c r="L19" s="282">
        <f t="shared" si="0"/>
        <v>0.72535211267605637</v>
      </c>
      <c r="M19" s="283">
        <f t="shared" si="1"/>
        <v>0.54545454545454541</v>
      </c>
      <c r="N19" s="283">
        <f t="shared" si="2"/>
        <v>0.84523809523809523</v>
      </c>
      <c r="O19" s="284">
        <f t="shared" si="3"/>
        <v>0.66666666666666663</v>
      </c>
    </row>
    <row r="20" spans="1:15" s="142" customFormat="1" ht="15.75" customHeight="1" x14ac:dyDescent="0.2">
      <c r="A20" s="149" t="s">
        <v>38</v>
      </c>
      <c r="B20" s="186" t="s">
        <v>39</v>
      </c>
      <c r="C20" s="150" t="s">
        <v>268</v>
      </c>
      <c r="D20" s="1057">
        <v>163</v>
      </c>
      <c r="E20" s="1058">
        <v>161</v>
      </c>
      <c r="F20" s="1059">
        <v>0</v>
      </c>
      <c r="G20" s="1056">
        <v>2</v>
      </c>
      <c r="H20" s="1057">
        <v>55</v>
      </c>
      <c r="I20" s="1058">
        <v>54</v>
      </c>
      <c r="J20" s="1059">
        <v>0</v>
      </c>
      <c r="K20" s="1056">
        <v>1</v>
      </c>
      <c r="L20" s="282">
        <f t="shared" si="0"/>
        <v>0.33742331288343558</v>
      </c>
      <c r="M20" s="283">
        <f t="shared" si="1"/>
        <v>0.33540372670807456</v>
      </c>
      <c r="N20" s="283" t="str">
        <f t="shared" si="2"/>
        <v>NA</v>
      </c>
      <c r="O20" s="284">
        <f t="shared" si="3"/>
        <v>0.5</v>
      </c>
    </row>
    <row r="21" spans="1:15" s="142" customFormat="1" ht="15.75" customHeight="1" x14ac:dyDescent="0.2">
      <c r="A21" s="149" t="s">
        <v>40</v>
      </c>
      <c r="B21" s="186" t="s">
        <v>41</v>
      </c>
      <c r="C21" s="150" t="s">
        <v>266</v>
      </c>
      <c r="D21" s="1057">
        <v>128</v>
      </c>
      <c r="E21" s="1058">
        <v>87</v>
      </c>
      <c r="F21" s="1059">
        <v>39</v>
      </c>
      <c r="G21" s="1056">
        <v>2</v>
      </c>
      <c r="H21" s="1057">
        <v>65</v>
      </c>
      <c r="I21" s="1058">
        <v>33</v>
      </c>
      <c r="J21" s="1059">
        <v>30</v>
      </c>
      <c r="K21" s="1056">
        <v>2</v>
      </c>
      <c r="L21" s="282">
        <f t="shared" si="0"/>
        <v>0.5078125</v>
      </c>
      <c r="M21" s="283">
        <f t="shared" si="1"/>
        <v>0.37931034482758619</v>
      </c>
      <c r="N21" s="283">
        <f t="shared" si="2"/>
        <v>0.76923076923076927</v>
      </c>
      <c r="O21" s="284">
        <f t="shared" si="3"/>
        <v>1</v>
      </c>
    </row>
    <row r="22" spans="1:15" s="142" customFormat="1" ht="15.75" customHeight="1" x14ac:dyDescent="0.2">
      <c r="A22" s="149" t="s">
        <v>42</v>
      </c>
      <c r="B22" s="186" t="s">
        <v>43</v>
      </c>
      <c r="C22" s="150" t="s">
        <v>265</v>
      </c>
      <c r="D22" s="1057">
        <v>530</v>
      </c>
      <c r="E22" s="1058">
        <v>421</v>
      </c>
      <c r="F22" s="1059">
        <v>92</v>
      </c>
      <c r="G22" s="1056">
        <v>17</v>
      </c>
      <c r="H22" s="1057">
        <v>219</v>
      </c>
      <c r="I22" s="1058">
        <v>141</v>
      </c>
      <c r="J22" s="1059">
        <v>74</v>
      </c>
      <c r="K22" s="1056">
        <v>4</v>
      </c>
      <c r="L22" s="282">
        <f t="shared" si="0"/>
        <v>0.41320754716981134</v>
      </c>
      <c r="M22" s="283">
        <f t="shared" si="1"/>
        <v>0.33491686460807601</v>
      </c>
      <c r="N22" s="283">
        <f t="shared" si="2"/>
        <v>0.80434782608695654</v>
      </c>
      <c r="O22" s="284">
        <f t="shared" si="3"/>
        <v>0.23529411764705882</v>
      </c>
    </row>
    <row r="23" spans="1:15" s="142" customFormat="1" ht="15.75" customHeight="1" x14ac:dyDescent="0.2">
      <c r="A23" s="149" t="s">
        <v>44</v>
      </c>
      <c r="B23" s="186" t="s">
        <v>45</v>
      </c>
      <c r="C23" s="150" t="s">
        <v>266</v>
      </c>
      <c r="D23" s="1057">
        <v>384</v>
      </c>
      <c r="E23" s="1058">
        <v>284</v>
      </c>
      <c r="F23" s="1059">
        <v>77</v>
      </c>
      <c r="G23" s="1056">
        <v>23</v>
      </c>
      <c r="H23" s="1057">
        <v>156</v>
      </c>
      <c r="I23" s="1058">
        <v>99</v>
      </c>
      <c r="J23" s="1059">
        <v>46</v>
      </c>
      <c r="K23" s="1056">
        <v>11</v>
      </c>
      <c r="L23" s="282">
        <f t="shared" si="0"/>
        <v>0.40625</v>
      </c>
      <c r="M23" s="283">
        <f t="shared" si="1"/>
        <v>0.34859154929577463</v>
      </c>
      <c r="N23" s="283">
        <f t="shared" si="2"/>
        <v>0.59740259740259738</v>
      </c>
      <c r="O23" s="284">
        <f t="shared" si="3"/>
        <v>0.47826086956521741</v>
      </c>
    </row>
    <row r="24" spans="1:15" s="142" customFormat="1" ht="15.75" customHeight="1" x14ac:dyDescent="0.2">
      <c r="A24" s="149" t="s">
        <v>46</v>
      </c>
      <c r="B24" s="186" t="s">
        <v>47</v>
      </c>
      <c r="C24" s="150" t="s">
        <v>268</v>
      </c>
      <c r="D24" s="1057">
        <v>267</v>
      </c>
      <c r="E24" s="1058">
        <v>253</v>
      </c>
      <c r="F24" s="1059">
        <v>2</v>
      </c>
      <c r="G24" s="1056">
        <v>12</v>
      </c>
      <c r="H24" s="1057">
        <v>88</v>
      </c>
      <c r="I24" s="1058">
        <v>80</v>
      </c>
      <c r="J24" s="1059">
        <v>2</v>
      </c>
      <c r="K24" s="1056">
        <v>6</v>
      </c>
      <c r="L24" s="282">
        <f t="shared" si="0"/>
        <v>0.32958801498127338</v>
      </c>
      <c r="M24" s="283">
        <f t="shared" si="1"/>
        <v>0.31620553359683795</v>
      </c>
      <c r="N24" s="283">
        <f t="shared" si="2"/>
        <v>1</v>
      </c>
      <c r="O24" s="284">
        <f t="shared" si="3"/>
        <v>0.5</v>
      </c>
    </row>
    <row r="25" spans="1:15" s="142" customFormat="1" ht="15.75" customHeight="1" x14ac:dyDescent="0.2">
      <c r="A25" s="149" t="s">
        <v>48</v>
      </c>
      <c r="B25" s="186" t="s">
        <v>269</v>
      </c>
      <c r="C25" s="150" t="s">
        <v>266</v>
      </c>
      <c r="D25" s="1057">
        <v>53</v>
      </c>
      <c r="E25" s="1058">
        <v>27</v>
      </c>
      <c r="F25" s="1059">
        <v>25</v>
      </c>
      <c r="G25" s="1056">
        <v>1</v>
      </c>
      <c r="H25" s="1057">
        <v>28</v>
      </c>
      <c r="I25" s="1058">
        <v>10</v>
      </c>
      <c r="J25" s="1059">
        <v>18</v>
      </c>
      <c r="K25" s="1056">
        <v>0</v>
      </c>
      <c r="L25" s="282">
        <f t="shared" si="0"/>
        <v>0.52830188679245282</v>
      </c>
      <c r="M25" s="283">
        <f t="shared" si="1"/>
        <v>0.37037037037037035</v>
      </c>
      <c r="N25" s="283">
        <f t="shared" si="2"/>
        <v>0.72</v>
      </c>
      <c r="O25" s="284">
        <f t="shared" si="3"/>
        <v>0</v>
      </c>
    </row>
    <row r="26" spans="1:15" s="142" customFormat="1" ht="15.75" customHeight="1" x14ac:dyDescent="0.2">
      <c r="A26" s="149" t="s">
        <v>50</v>
      </c>
      <c r="B26" s="186" t="s">
        <v>51</v>
      </c>
      <c r="C26" s="150" t="s">
        <v>265</v>
      </c>
      <c r="D26" s="1057">
        <v>145</v>
      </c>
      <c r="E26" s="1058">
        <v>106</v>
      </c>
      <c r="F26" s="1059">
        <v>37</v>
      </c>
      <c r="G26" s="1056">
        <v>2</v>
      </c>
      <c r="H26" s="1057">
        <v>62</v>
      </c>
      <c r="I26" s="1058">
        <v>39</v>
      </c>
      <c r="J26" s="1059">
        <v>22</v>
      </c>
      <c r="K26" s="1056">
        <v>1</v>
      </c>
      <c r="L26" s="282">
        <f t="shared" si="0"/>
        <v>0.42758620689655175</v>
      </c>
      <c r="M26" s="283">
        <f t="shared" si="1"/>
        <v>0.36792452830188677</v>
      </c>
      <c r="N26" s="283">
        <f t="shared" si="2"/>
        <v>0.59459459459459463</v>
      </c>
      <c r="O26" s="284">
        <f t="shared" si="3"/>
        <v>0.5</v>
      </c>
    </row>
    <row r="27" spans="1:15" s="142" customFormat="1" ht="15.75" customHeight="1" x14ac:dyDescent="0.2">
      <c r="A27" s="149" t="s">
        <v>56</v>
      </c>
      <c r="B27" s="186" t="s">
        <v>295</v>
      </c>
      <c r="C27" s="150" t="s">
        <v>266</v>
      </c>
      <c r="D27" s="1057">
        <v>4100</v>
      </c>
      <c r="E27" s="1058">
        <v>2702</v>
      </c>
      <c r="F27" s="1059">
        <v>973</v>
      </c>
      <c r="G27" s="1056">
        <v>425</v>
      </c>
      <c r="H27" s="1057">
        <v>1463</v>
      </c>
      <c r="I27" s="1058">
        <v>652</v>
      </c>
      <c r="J27" s="1059">
        <v>616</v>
      </c>
      <c r="K27" s="1056">
        <v>195</v>
      </c>
      <c r="L27" s="282">
        <f t="shared" si="0"/>
        <v>0.35682926829268291</v>
      </c>
      <c r="M27" s="283">
        <f t="shared" si="1"/>
        <v>0.24130273871206515</v>
      </c>
      <c r="N27" s="283">
        <f t="shared" si="2"/>
        <v>0.63309352517985606</v>
      </c>
      <c r="O27" s="284">
        <f t="shared" si="3"/>
        <v>0.45882352941176469</v>
      </c>
    </row>
    <row r="28" spans="1:15" s="142" customFormat="1" ht="15.75" customHeight="1" x14ac:dyDescent="0.2">
      <c r="A28" s="149" t="s">
        <v>58</v>
      </c>
      <c r="B28" s="186" t="s">
        <v>59</v>
      </c>
      <c r="C28" s="150" t="s">
        <v>267</v>
      </c>
      <c r="D28" s="1057">
        <v>132</v>
      </c>
      <c r="E28" s="1058">
        <v>121</v>
      </c>
      <c r="F28" s="1059">
        <v>7</v>
      </c>
      <c r="G28" s="1056">
        <v>4</v>
      </c>
      <c r="H28" s="1057">
        <v>36</v>
      </c>
      <c r="I28" s="1058">
        <v>30</v>
      </c>
      <c r="J28" s="1059">
        <v>5</v>
      </c>
      <c r="K28" s="1056">
        <v>1</v>
      </c>
      <c r="L28" s="282">
        <f t="shared" si="0"/>
        <v>0.27272727272727271</v>
      </c>
      <c r="M28" s="283">
        <f t="shared" si="1"/>
        <v>0.24793388429752067</v>
      </c>
      <c r="N28" s="283">
        <f t="shared" si="2"/>
        <v>0.7142857142857143</v>
      </c>
      <c r="O28" s="284">
        <f t="shared" si="3"/>
        <v>0.25</v>
      </c>
    </row>
    <row r="29" spans="1:15" s="142" customFormat="1" ht="15.75" customHeight="1" x14ac:dyDescent="0.2">
      <c r="A29" s="149" t="s">
        <v>60</v>
      </c>
      <c r="B29" s="186" t="s">
        <v>61</v>
      </c>
      <c r="C29" s="150" t="s">
        <v>265</v>
      </c>
      <c r="D29" s="1057">
        <v>44</v>
      </c>
      <c r="E29" s="1058">
        <v>44</v>
      </c>
      <c r="F29" s="1059">
        <v>0</v>
      </c>
      <c r="G29" s="1056">
        <v>0</v>
      </c>
      <c r="H29" s="1057">
        <v>13</v>
      </c>
      <c r="I29" s="1058">
        <v>13</v>
      </c>
      <c r="J29" s="1059">
        <v>0</v>
      </c>
      <c r="K29" s="1056">
        <v>0</v>
      </c>
      <c r="L29" s="282">
        <f t="shared" si="0"/>
        <v>0.29545454545454547</v>
      </c>
      <c r="M29" s="283">
        <f t="shared" si="1"/>
        <v>0.29545454545454547</v>
      </c>
      <c r="N29" s="283" t="str">
        <f t="shared" si="2"/>
        <v>NA</v>
      </c>
      <c r="O29" s="284" t="str">
        <f t="shared" si="3"/>
        <v>NA</v>
      </c>
    </row>
    <row r="30" spans="1:15" s="142" customFormat="1" ht="15.75" customHeight="1" x14ac:dyDescent="0.2">
      <c r="A30" s="149" t="s">
        <v>62</v>
      </c>
      <c r="B30" s="186" t="s">
        <v>63</v>
      </c>
      <c r="C30" s="150" t="s">
        <v>267</v>
      </c>
      <c r="D30" s="1057">
        <v>673</v>
      </c>
      <c r="E30" s="1058">
        <v>530</v>
      </c>
      <c r="F30" s="1059">
        <v>96</v>
      </c>
      <c r="G30" s="1056">
        <v>47</v>
      </c>
      <c r="H30" s="1057">
        <v>288</v>
      </c>
      <c r="I30" s="1058">
        <v>194</v>
      </c>
      <c r="J30" s="1059">
        <v>69</v>
      </c>
      <c r="K30" s="1056">
        <v>25</v>
      </c>
      <c r="L30" s="282">
        <f t="shared" si="0"/>
        <v>0.42793462109955421</v>
      </c>
      <c r="M30" s="283">
        <f t="shared" si="1"/>
        <v>0.36603773584905658</v>
      </c>
      <c r="N30" s="283">
        <f t="shared" si="2"/>
        <v>0.71875</v>
      </c>
      <c r="O30" s="284">
        <f t="shared" si="3"/>
        <v>0.53191489361702127</v>
      </c>
    </row>
    <row r="31" spans="1:15" s="142" customFormat="1" ht="15.75" customHeight="1" x14ac:dyDescent="0.2">
      <c r="A31" s="149" t="s">
        <v>64</v>
      </c>
      <c r="B31" s="186" t="s">
        <v>65</v>
      </c>
      <c r="C31" s="150" t="s">
        <v>266</v>
      </c>
      <c r="D31" s="1057">
        <v>86</v>
      </c>
      <c r="E31" s="1058">
        <v>62</v>
      </c>
      <c r="F31" s="1059">
        <v>21</v>
      </c>
      <c r="G31" s="1056">
        <v>3</v>
      </c>
      <c r="H31" s="1057">
        <v>42</v>
      </c>
      <c r="I31" s="1058">
        <v>20</v>
      </c>
      <c r="J31" s="1059">
        <v>20</v>
      </c>
      <c r="K31" s="1056">
        <v>2</v>
      </c>
      <c r="L31" s="282">
        <f t="shared" si="0"/>
        <v>0.48837209302325579</v>
      </c>
      <c r="M31" s="283">
        <f t="shared" si="1"/>
        <v>0.32258064516129031</v>
      </c>
      <c r="N31" s="283">
        <f t="shared" si="2"/>
        <v>0.95238095238095233</v>
      </c>
      <c r="O31" s="284">
        <f t="shared" si="3"/>
        <v>0.66666666666666663</v>
      </c>
    </row>
    <row r="32" spans="1:15" s="142" customFormat="1" ht="15.75" customHeight="1" x14ac:dyDescent="0.2">
      <c r="A32" s="149" t="s">
        <v>68</v>
      </c>
      <c r="B32" s="186" t="s">
        <v>69</v>
      </c>
      <c r="C32" s="150" t="s">
        <v>268</v>
      </c>
      <c r="D32" s="1057">
        <v>128</v>
      </c>
      <c r="E32" s="1058">
        <v>127</v>
      </c>
      <c r="F32" s="1059">
        <v>0</v>
      </c>
      <c r="G32" s="1056">
        <v>1</v>
      </c>
      <c r="H32" s="1057">
        <v>53</v>
      </c>
      <c r="I32" s="1058">
        <v>53</v>
      </c>
      <c r="J32" s="1059">
        <v>0</v>
      </c>
      <c r="K32" s="1056">
        <v>0</v>
      </c>
      <c r="L32" s="282">
        <f t="shared" si="0"/>
        <v>0.4140625</v>
      </c>
      <c r="M32" s="283">
        <f t="shared" si="1"/>
        <v>0.41732283464566927</v>
      </c>
      <c r="N32" s="283" t="str">
        <f t="shared" si="2"/>
        <v>NA</v>
      </c>
      <c r="O32" s="284">
        <f t="shared" si="3"/>
        <v>0</v>
      </c>
    </row>
    <row r="33" spans="1:15" s="142" customFormat="1" ht="15.75" customHeight="1" x14ac:dyDescent="0.2">
      <c r="A33" s="149" t="s">
        <v>70</v>
      </c>
      <c r="B33" s="186" t="s">
        <v>71</v>
      </c>
      <c r="C33" s="150" t="s">
        <v>264</v>
      </c>
      <c r="D33" s="1057">
        <v>202</v>
      </c>
      <c r="E33" s="1058">
        <v>155</v>
      </c>
      <c r="F33" s="1059">
        <v>41</v>
      </c>
      <c r="G33" s="1056">
        <v>6</v>
      </c>
      <c r="H33" s="1057">
        <v>83</v>
      </c>
      <c r="I33" s="1058">
        <v>56</v>
      </c>
      <c r="J33" s="1059">
        <v>25</v>
      </c>
      <c r="K33" s="1056">
        <v>2</v>
      </c>
      <c r="L33" s="282">
        <f t="shared" si="0"/>
        <v>0.41089108910891087</v>
      </c>
      <c r="M33" s="283">
        <f t="shared" si="1"/>
        <v>0.36129032258064514</v>
      </c>
      <c r="N33" s="283">
        <f t="shared" si="2"/>
        <v>0.6097560975609756</v>
      </c>
      <c r="O33" s="284">
        <f t="shared" si="3"/>
        <v>0.33333333333333331</v>
      </c>
    </row>
    <row r="34" spans="1:15" s="142" customFormat="1" ht="15.75" customHeight="1" x14ac:dyDescent="0.2">
      <c r="A34" s="149" t="s">
        <v>72</v>
      </c>
      <c r="B34" s="186" t="s">
        <v>73</v>
      </c>
      <c r="C34" s="150" t="s">
        <v>266</v>
      </c>
      <c r="D34" s="1057">
        <v>127</v>
      </c>
      <c r="E34" s="1058">
        <v>80</v>
      </c>
      <c r="F34" s="1059">
        <v>40</v>
      </c>
      <c r="G34" s="1056">
        <v>7</v>
      </c>
      <c r="H34" s="1057">
        <v>71</v>
      </c>
      <c r="I34" s="1058">
        <v>32</v>
      </c>
      <c r="J34" s="1059">
        <v>35</v>
      </c>
      <c r="K34" s="1056">
        <v>4</v>
      </c>
      <c r="L34" s="282">
        <f t="shared" si="0"/>
        <v>0.55905511811023623</v>
      </c>
      <c r="M34" s="283">
        <f t="shared" si="1"/>
        <v>0.4</v>
      </c>
      <c r="N34" s="283">
        <f t="shared" si="2"/>
        <v>0.875</v>
      </c>
      <c r="O34" s="284">
        <f t="shared" si="3"/>
        <v>0.5714285714285714</v>
      </c>
    </row>
    <row r="35" spans="1:15" s="142" customFormat="1" ht="15.75" customHeight="1" x14ac:dyDescent="0.2">
      <c r="A35" s="149" t="s">
        <v>74</v>
      </c>
      <c r="B35" s="186" t="s">
        <v>609</v>
      </c>
      <c r="C35" s="150" t="s">
        <v>267</v>
      </c>
      <c r="D35" s="1057">
        <v>15361</v>
      </c>
      <c r="E35" s="1058">
        <v>7897</v>
      </c>
      <c r="F35" s="1059">
        <v>1553</v>
      </c>
      <c r="G35" s="1056">
        <v>5911</v>
      </c>
      <c r="H35" s="1057">
        <v>3262</v>
      </c>
      <c r="I35" s="1058">
        <v>883</v>
      </c>
      <c r="J35" s="1059">
        <v>575</v>
      </c>
      <c r="K35" s="1056">
        <v>1804</v>
      </c>
      <c r="L35" s="282">
        <f t="shared" si="0"/>
        <v>0.21235596640843696</v>
      </c>
      <c r="M35" s="283">
        <f t="shared" si="1"/>
        <v>0.11181461314423198</v>
      </c>
      <c r="N35" s="283">
        <f t="shared" si="2"/>
        <v>0.37025112685125561</v>
      </c>
      <c r="O35" s="284">
        <f t="shared" si="3"/>
        <v>0.30519370664862122</v>
      </c>
    </row>
    <row r="36" spans="1:15" s="142" customFormat="1" ht="15.75" customHeight="1" x14ac:dyDescent="0.2">
      <c r="A36" s="149" t="s">
        <v>76</v>
      </c>
      <c r="B36" s="186" t="s">
        <v>77</v>
      </c>
      <c r="C36" s="150" t="s">
        <v>267</v>
      </c>
      <c r="D36" s="1057">
        <v>765</v>
      </c>
      <c r="E36" s="1058">
        <v>636</v>
      </c>
      <c r="F36" s="1059">
        <v>43</v>
      </c>
      <c r="G36" s="1056">
        <v>86</v>
      </c>
      <c r="H36" s="1057">
        <v>205</v>
      </c>
      <c r="I36" s="1058">
        <v>152</v>
      </c>
      <c r="J36" s="1059">
        <v>27</v>
      </c>
      <c r="K36" s="1056">
        <v>26</v>
      </c>
      <c r="L36" s="282">
        <f t="shared" si="0"/>
        <v>0.26797385620915032</v>
      </c>
      <c r="M36" s="283">
        <f t="shared" si="1"/>
        <v>0.2389937106918239</v>
      </c>
      <c r="N36" s="283">
        <f t="shared" si="2"/>
        <v>0.62790697674418605</v>
      </c>
      <c r="O36" s="284">
        <f t="shared" si="3"/>
        <v>0.30232558139534882</v>
      </c>
    </row>
    <row r="37" spans="1:15" s="142" customFormat="1" ht="15.75" customHeight="1" x14ac:dyDescent="0.2">
      <c r="A37" s="149" t="s">
        <v>78</v>
      </c>
      <c r="B37" s="186" t="s">
        <v>79</v>
      </c>
      <c r="C37" s="150" t="s">
        <v>268</v>
      </c>
      <c r="D37" s="1057">
        <v>135</v>
      </c>
      <c r="E37" s="1058">
        <v>130</v>
      </c>
      <c r="F37" s="1059">
        <v>1</v>
      </c>
      <c r="G37" s="1056">
        <v>4</v>
      </c>
      <c r="H37" s="1057">
        <v>44</v>
      </c>
      <c r="I37" s="1058">
        <v>40</v>
      </c>
      <c r="J37" s="1059">
        <v>1</v>
      </c>
      <c r="K37" s="1056">
        <v>3</v>
      </c>
      <c r="L37" s="282">
        <f t="shared" si="0"/>
        <v>0.32592592592592595</v>
      </c>
      <c r="M37" s="283">
        <f t="shared" si="1"/>
        <v>0.30769230769230771</v>
      </c>
      <c r="N37" s="283">
        <f t="shared" si="2"/>
        <v>1</v>
      </c>
      <c r="O37" s="284">
        <f t="shared" si="3"/>
        <v>0.75</v>
      </c>
    </row>
    <row r="38" spans="1:15" s="142" customFormat="1" ht="15.75" customHeight="1" x14ac:dyDescent="0.2">
      <c r="A38" s="149" t="s">
        <v>80</v>
      </c>
      <c r="B38" s="186" t="s">
        <v>81</v>
      </c>
      <c r="C38" s="150" t="s">
        <v>266</v>
      </c>
      <c r="D38" s="1057">
        <v>252</v>
      </c>
      <c r="E38" s="1058">
        <v>218</v>
      </c>
      <c r="F38" s="1059">
        <v>26</v>
      </c>
      <c r="G38" s="1056">
        <v>8</v>
      </c>
      <c r="H38" s="1057">
        <v>82</v>
      </c>
      <c r="I38" s="1058">
        <v>58</v>
      </c>
      <c r="J38" s="1059">
        <v>21</v>
      </c>
      <c r="K38" s="1056">
        <v>3</v>
      </c>
      <c r="L38" s="282">
        <f t="shared" si="0"/>
        <v>0.32539682539682541</v>
      </c>
      <c r="M38" s="283">
        <f t="shared" si="1"/>
        <v>0.26605504587155965</v>
      </c>
      <c r="N38" s="283">
        <f t="shared" si="2"/>
        <v>0.80769230769230771</v>
      </c>
      <c r="O38" s="284">
        <f t="shared" si="3"/>
        <v>0.375</v>
      </c>
    </row>
    <row r="39" spans="1:15" s="142" customFormat="1" ht="15.75" customHeight="1" x14ac:dyDescent="0.2">
      <c r="A39" s="149" t="s">
        <v>84</v>
      </c>
      <c r="B39" s="186" t="s">
        <v>85</v>
      </c>
      <c r="C39" s="150" t="s">
        <v>265</v>
      </c>
      <c r="D39" s="1057">
        <v>534</v>
      </c>
      <c r="E39" s="1058">
        <v>501</v>
      </c>
      <c r="F39" s="1059">
        <v>29</v>
      </c>
      <c r="G39" s="1056">
        <v>4</v>
      </c>
      <c r="H39" s="1057">
        <v>216</v>
      </c>
      <c r="I39" s="1058">
        <v>194</v>
      </c>
      <c r="J39" s="1059">
        <v>22</v>
      </c>
      <c r="K39" s="1056">
        <v>0</v>
      </c>
      <c r="L39" s="282">
        <f t="shared" ref="L39:L70" si="4">IF(D39=0,"NA",(H39/D39))</f>
        <v>0.4044943820224719</v>
      </c>
      <c r="M39" s="283">
        <f t="shared" ref="M39:M70" si="5">IF(E39=0,"NA",(I39/E39))</f>
        <v>0.38722554890219563</v>
      </c>
      <c r="N39" s="283">
        <f t="shared" ref="N39:N70" si="6">IF(F39=0,"NA",(J39/F39))</f>
        <v>0.75862068965517238</v>
      </c>
      <c r="O39" s="284">
        <f t="shared" ref="O39:O70" si="7">IF(G39=0,"NA",(K39/G39))</f>
        <v>0</v>
      </c>
    </row>
    <row r="40" spans="1:15" s="142" customFormat="1" ht="15.75" customHeight="1" x14ac:dyDescent="0.2">
      <c r="A40" s="149" t="s">
        <v>86</v>
      </c>
      <c r="B40" s="186" t="s">
        <v>87</v>
      </c>
      <c r="C40" s="150" t="s">
        <v>267</v>
      </c>
      <c r="D40" s="1057">
        <v>989</v>
      </c>
      <c r="E40" s="1058">
        <v>872</v>
      </c>
      <c r="F40" s="1059">
        <v>30</v>
      </c>
      <c r="G40" s="1056">
        <v>87</v>
      </c>
      <c r="H40" s="1057">
        <v>365</v>
      </c>
      <c r="I40" s="1058">
        <v>310</v>
      </c>
      <c r="J40" s="1059">
        <v>16</v>
      </c>
      <c r="K40" s="1056">
        <v>39</v>
      </c>
      <c r="L40" s="282">
        <f t="shared" si="4"/>
        <v>0.36905965621840242</v>
      </c>
      <c r="M40" s="283">
        <f t="shared" si="5"/>
        <v>0.35550458715596328</v>
      </c>
      <c r="N40" s="283">
        <f t="shared" si="6"/>
        <v>0.53333333333333333</v>
      </c>
      <c r="O40" s="284">
        <f t="shared" si="7"/>
        <v>0.44827586206896552</v>
      </c>
    </row>
    <row r="41" spans="1:15" s="142" customFormat="1" ht="15.75" customHeight="1" x14ac:dyDescent="0.2">
      <c r="A41" s="149" t="s">
        <v>92</v>
      </c>
      <c r="B41" s="186" t="s">
        <v>93</v>
      </c>
      <c r="C41" s="150" t="s">
        <v>268</v>
      </c>
      <c r="D41" s="1057">
        <v>183</v>
      </c>
      <c r="E41" s="1058">
        <v>181</v>
      </c>
      <c r="F41" s="1059">
        <v>0</v>
      </c>
      <c r="G41" s="1056">
        <v>2</v>
      </c>
      <c r="H41" s="1057">
        <v>72</v>
      </c>
      <c r="I41" s="1058">
        <v>71</v>
      </c>
      <c r="J41" s="1059">
        <v>0</v>
      </c>
      <c r="K41" s="1056">
        <v>1</v>
      </c>
      <c r="L41" s="282">
        <f t="shared" si="4"/>
        <v>0.39344262295081966</v>
      </c>
      <c r="M41" s="283">
        <f t="shared" si="5"/>
        <v>0.39226519337016574</v>
      </c>
      <c r="N41" s="283" t="str">
        <f t="shared" si="6"/>
        <v>NA</v>
      </c>
      <c r="O41" s="284">
        <f t="shared" si="7"/>
        <v>0.5</v>
      </c>
    </row>
    <row r="42" spans="1:15" s="142" customFormat="1" ht="15.75" customHeight="1" x14ac:dyDescent="0.2">
      <c r="A42" s="149" t="s">
        <v>94</v>
      </c>
      <c r="B42" s="186" t="s">
        <v>95</v>
      </c>
      <c r="C42" s="150" t="s">
        <v>264</v>
      </c>
      <c r="D42" s="1057">
        <v>368</v>
      </c>
      <c r="E42" s="1058">
        <v>327</v>
      </c>
      <c r="F42" s="1059">
        <v>26</v>
      </c>
      <c r="G42" s="1056">
        <v>15</v>
      </c>
      <c r="H42" s="1057">
        <v>125</v>
      </c>
      <c r="I42" s="1058">
        <v>105</v>
      </c>
      <c r="J42" s="1059">
        <v>13</v>
      </c>
      <c r="K42" s="1056">
        <v>7</v>
      </c>
      <c r="L42" s="282">
        <f t="shared" si="4"/>
        <v>0.33967391304347827</v>
      </c>
      <c r="M42" s="283">
        <f t="shared" si="5"/>
        <v>0.32110091743119268</v>
      </c>
      <c r="N42" s="283">
        <f t="shared" si="6"/>
        <v>0.5</v>
      </c>
      <c r="O42" s="284">
        <f t="shared" si="7"/>
        <v>0.46666666666666667</v>
      </c>
    </row>
    <row r="43" spans="1:15" s="142" customFormat="1" ht="15.75" customHeight="1" x14ac:dyDescent="0.2">
      <c r="A43" s="149" t="s">
        <v>96</v>
      </c>
      <c r="B43" s="186" t="s">
        <v>97</v>
      </c>
      <c r="C43" s="150" t="s">
        <v>266</v>
      </c>
      <c r="D43" s="1057">
        <v>140</v>
      </c>
      <c r="E43" s="1058">
        <v>114</v>
      </c>
      <c r="F43" s="1059">
        <v>23</v>
      </c>
      <c r="G43" s="1056">
        <v>3</v>
      </c>
      <c r="H43" s="1057">
        <v>38</v>
      </c>
      <c r="I43" s="1058">
        <v>20</v>
      </c>
      <c r="J43" s="1059">
        <v>17</v>
      </c>
      <c r="K43" s="1056">
        <v>1</v>
      </c>
      <c r="L43" s="282">
        <f t="shared" si="4"/>
        <v>0.27142857142857141</v>
      </c>
      <c r="M43" s="283">
        <f t="shared" si="5"/>
        <v>0.17543859649122806</v>
      </c>
      <c r="N43" s="283">
        <f t="shared" si="6"/>
        <v>0.73913043478260865</v>
      </c>
      <c r="O43" s="284">
        <f t="shared" si="7"/>
        <v>0.33333333333333331</v>
      </c>
    </row>
    <row r="44" spans="1:15" s="142" customFormat="1" ht="15.75" customHeight="1" x14ac:dyDescent="0.2">
      <c r="A44" s="149" t="s">
        <v>98</v>
      </c>
      <c r="B44" s="186" t="s">
        <v>99</v>
      </c>
      <c r="C44" s="150" t="s">
        <v>268</v>
      </c>
      <c r="D44" s="1057">
        <v>139</v>
      </c>
      <c r="E44" s="1058">
        <v>133</v>
      </c>
      <c r="F44" s="1059">
        <v>2</v>
      </c>
      <c r="G44" s="1056">
        <v>4</v>
      </c>
      <c r="H44" s="1057">
        <v>55</v>
      </c>
      <c r="I44" s="1058">
        <v>51</v>
      </c>
      <c r="J44" s="1059">
        <v>2</v>
      </c>
      <c r="K44" s="1056">
        <v>2</v>
      </c>
      <c r="L44" s="282">
        <f t="shared" si="4"/>
        <v>0.39568345323741005</v>
      </c>
      <c r="M44" s="283">
        <f t="shared" si="5"/>
        <v>0.38345864661654133</v>
      </c>
      <c r="N44" s="283">
        <f t="shared" si="6"/>
        <v>1</v>
      </c>
      <c r="O44" s="284">
        <f t="shared" si="7"/>
        <v>0.5</v>
      </c>
    </row>
    <row r="45" spans="1:15" s="142" customFormat="1" ht="15.75" customHeight="1" x14ac:dyDescent="0.2">
      <c r="A45" s="149" t="s">
        <v>100</v>
      </c>
      <c r="B45" s="186" t="s">
        <v>101</v>
      </c>
      <c r="C45" s="150" t="s">
        <v>267</v>
      </c>
      <c r="D45" s="1057">
        <v>202</v>
      </c>
      <c r="E45" s="1058">
        <v>183</v>
      </c>
      <c r="F45" s="1059">
        <v>12</v>
      </c>
      <c r="G45" s="1056">
        <v>7</v>
      </c>
      <c r="H45" s="1057">
        <v>85</v>
      </c>
      <c r="I45" s="1058">
        <v>74</v>
      </c>
      <c r="J45" s="1059">
        <v>8</v>
      </c>
      <c r="K45" s="1056">
        <v>3</v>
      </c>
      <c r="L45" s="282">
        <f t="shared" si="4"/>
        <v>0.42079207920792078</v>
      </c>
      <c r="M45" s="283">
        <f t="shared" si="5"/>
        <v>0.40437158469945356</v>
      </c>
      <c r="N45" s="283">
        <f t="shared" si="6"/>
        <v>0.66666666666666663</v>
      </c>
      <c r="O45" s="284">
        <f t="shared" si="7"/>
        <v>0.42857142857142855</v>
      </c>
    </row>
    <row r="46" spans="1:15" s="142" customFormat="1" ht="15.75" customHeight="1" x14ac:dyDescent="0.2">
      <c r="A46" s="149" t="s">
        <v>102</v>
      </c>
      <c r="B46" s="186" t="s">
        <v>282</v>
      </c>
      <c r="C46" s="150" t="s">
        <v>264</v>
      </c>
      <c r="D46" s="1057">
        <v>177</v>
      </c>
      <c r="E46" s="1058">
        <v>41</v>
      </c>
      <c r="F46" s="1059">
        <v>121</v>
      </c>
      <c r="G46" s="1056">
        <v>15</v>
      </c>
      <c r="H46" s="1057">
        <v>126</v>
      </c>
      <c r="I46" s="1058">
        <v>21</v>
      </c>
      <c r="J46" s="1059">
        <v>95</v>
      </c>
      <c r="K46" s="1056">
        <v>10</v>
      </c>
      <c r="L46" s="282">
        <f t="shared" si="4"/>
        <v>0.71186440677966101</v>
      </c>
      <c r="M46" s="283">
        <f t="shared" si="5"/>
        <v>0.51219512195121952</v>
      </c>
      <c r="N46" s="283">
        <f t="shared" si="6"/>
        <v>0.78512396694214881</v>
      </c>
      <c r="O46" s="284">
        <f t="shared" si="7"/>
        <v>0.66666666666666663</v>
      </c>
    </row>
    <row r="47" spans="1:15" s="142" customFormat="1" ht="15.75" customHeight="1" x14ac:dyDescent="0.2">
      <c r="A47" s="149" t="s">
        <v>104</v>
      </c>
      <c r="B47" s="186" t="s">
        <v>105</v>
      </c>
      <c r="C47" s="150" t="s">
        <v>265</v>
      </c>
      <c r="D47" s="1057">
        <v>397</v>
      </c>
      <c r="E47" s="1058">
        <v>237</v>
      </c>
      <c r="F47" s="1059">
        <v>150</v>
      </c>
      <c r="G47" s="1056">
        <v>10</v>
      </c>
      <c r="H47" s="1057">
        <v>197</v>
      </c>
      <c r="I47" s="1058">
        <v>77</v>
      </c>
      <c r="J47" s="1059">
        <v>117</v>
      </c>
      <c r="K47" s="1056">
        <v>3</v>
      </c>
      <c r="L47" s="282">
        <f t="shared" si="4"/>
        <v>0.49622166246851385</v>
      </c>
      <c r="M47" s="283">
        <f t="shared" si="5"/>
        <v>0.32489451476793246</v>
      </c>
      <c r="N47" s="283">
        <f t="shared" si="6"/>
        <v>0.78</v>
      </c>
      <c r="O47" s="284">
        <f t="shared" si="7"/>
        <v>0.3</v>
      </c>
    </row>
    <row r="48" spans="1:15" s="142" customFormat="1" ht="15.75" customHeight="1" x14ac:dyDescent="0.2">
      <c r="A48" s="149" t="s">
        <v>108</v>
      </c>
      <c r="B48" s="186" t="s">
        <v>109</v>
      </c>
      <c r="C48" s="150" t="s">
        <v>266</v>
      </c>
      <c r="D48" s="1057">
        <v>966</v>
      </c>
      <c r="E48" s="1058">
        <v>811</v>
      </c>
      <c r="F48" s="1059">
        <v>96</v>
      </c>
      <c r="G48" s="1056">
        <v>59</v>
      </c>
      <c r="H48" s="1057">
        <v>266</v>
      </c>
      <c r="I48" s="1058">
        <v>195</v>
      </c>
      <c r="J48" s="1059">
        <v>59</v>
      </c>
      <c r="K48" s="1056">
        <v>12</v>
      </c>
      <c r="L48" s="282">
        <f t="shared" si="4"/>
        <v>0.27536231884057971</v>
      </c>
      <c r="M48" s="283">
        <f t="shared" si="5"/>
        <v>0.24044389642416769</v>
      </c>
      <c r="N48" s="283">
        <f t="shared" si="6"/>
        <v>0.61458333333333337</v>
      </c>
      <c r="O48" s="284">
        <f t="shared" si="7"/>
        <v>0.20338983050847459</v>
      </c>
    </row>
    <row r="49" spans="1:15" s="142" customFormat="1" ht="15.75" customHeight="1" x14ac:dyDescent="0.2">
      <c r="A49" s="149" t="s">
        <v>110</v>
      </c>
      <c r="B49" s="186" t="s">
        <v>111</v>
      </c>
      <c r="C49" s="150" t="s">
        <v>266</v>
      </c>
      <c r="D49" s="1057">
        <v>3993</v>
      </c>
      <c r="E49" s="1058">
        <v>2251</v>
      </c>
      <c r="F49" s="1059">
        <v>1016</v>
      </c>
      <c r="G49" s="1056">
        <v>726</v>
      </c>
      <c r="H49" s="1057">
        <v>1278</v>
      </c>
      <c r="I49" s="1058">
        <v>481</v>
      </c>
      <c r="J49" s="1059">
        <v>681</v>
      </c>
      <c r="K49" s="1056">
        <v>116</v>
      </c>
      <c r="L49" s="282">
        <f t="shared" si="4"/>
        <v>0.32006010518407213</v>
      </c>
      <c r="M49" s="283">
        <f t="shared" si="5"/>
        <v>0.21368280764104841</v>
      </c>
      <c r="N49" s="283">
        <f t="shared" si="6"/>
        <v>0.67027559055118113</v>
      </c>
      <c r="O49" s="284">
        <f t="shared" si="7"/>
        <v>0.15977961432506887</v>
      </c>
    </row>
    <row r="50" spans="1:15" s="142" customFormat="1" ht="15.75" customHeight="1" x14ac:dyDescent="0.2">
      <c r="A50" s="149" t="s">
        <v>112</v>
      </c>
      <c r="B50" s="186" t="s">
        <v>300</v>
      </c>
      <c r="C50" s="150" t="s">
        <v>265</v>
      </c>
      <c r="D50" s="1057">
        <v>695</v>
      </c>
      <c r="E50" s="1058">
        <v>446</v>
      </c>
      <c r="F50" s="1059">
        <v>205</v>
      </c>
      <c r="G50" s="1056">
        <v>44</v>
      </c>
      <c r="H50" s="1057">
        <v>393</v>
      </c>
      <c r="I50" s="1058">
        <v>211</v>
      </c>
      <c r="J50" s="1059">
        <v>158</v>
      </c>
      <c r="K50" s="1056">
        <v>24</v>
      </c>
      <c r="L50" s="282">
        <f t="shared" si="4"/>
        <v>0.56546762589928057</v>
      </c>
      <c r="M50" s="283">
        <f t="shared" si="5"/>
        <v>0.47309417040358742</v>
      </c>
      <c r="N50" s="283">
        <f t="shared" si="6"/>
        <v>0.77073170731707319</v>
      </c>
      <c r="O50" s="284">
        <f t="shared" si="7"/>
        <v>0.54545454545454541</v>
      </c>
    </row>
    <row r="51" spans="1:15" s="142" customFormat="1" ht="15.75" customHeight="1" x14ac:dyDescent="0.2">
      <c r="A51" s="149" t="s">
        <v>114</v>
      </c>
      <c r="B51" s="186" t="s">
        <v>115</v>
      </c>
      <c r="C51" s="150" t="s">
        <v>265</v>
      </c>
      <c r="D51" s="1057">
        <v>18</v>
      </c>
      <c r="E51" s="1058">
        <v>18</v>
      </c>
      <c r="F51" s="1059">
        <v>0</v>
      </c>
      <c r="G51" s="1056">
        <v>0</v>
      </c>
      <c r="H51" s="1057">
        <v>3</v>
      </c>
      <c r="I51" s="1058">
        <v>3</v>
      </c>
      <c r="J51" s="1059">
        <v>0</v>
      </c>
      <c r="K51" s="1056">
        <v>0</v>
      </c>
      <c r="L51" s="282">
        <f t="shared" si="4"/>
        <v>0.16666666666666666</v>
      </c>
      <c r="M51" s="283">
        <f t="shared" si="5"/>
        <v>0.16666666666666666</v>
      </c>
      <c r="N51" s="283" t="str">
        <f t="shared" si="6"/>
        <v>NA</v>
      </c>
      <c r="O51" s="284" t="str">
        <f t="shared" si="7"/>
        <v>NA</v>
      </c>
    </row>
    <row r="52" spans="1:15" s="142" customFormat="1" ht="15.75" customHeight="1" x14ac:dyDescent="0.2">
      <c r="A52" s="149" t="s">
        <v>118</v>
      </c>
      <c r="B52" s="186" t="s">
        <v>270</v>
      </c>
      <c r="C52" s="150" t="s">
        <v>264</v>
      </c>
      <c r="D52" s="1057">
        <v>356</v>
      </c>
      <c r="E52" s="1058">
        <v>265</v>
      </c>
      <c r="F52" s="1059">
        <v>80</v>
      </c>
      <c r="G52" s="1056">
        <v>11</v>
      </c>
      <c r="H52" s="1057">
        <v>142</v>
      </c>
      <c r="I52" s="1058">
        <v>83</v>
      </c>
      <c r="J52" s="1059">
        <v>56</v>
      </c>
      <c r="K52" s="1056">
        <v>3</v>
      </c>
      <c r="L52" s="282">
        <f t="shared" si="4"/>
        <v>0.398876404494382</v>
      </c>
      <c r="M52" s="283">
        <f t="shared" si="5"/>
        <v>0.31320754716981131</v>
      </c>
      <c r="N52" s="283">
        <f t="shared" si="6"/>
        <v>0.7</v>
      </c>
      <c r="O52" s="284">
        <f t="shared" si="7"/>
        <v>0.27272727272727271</v>
      </c>
    </row>
    <row r="53" spans="1:15" s="142" customFormat="1" ht="15.75" customHeight="1" x14ac:dyDescent="0.2">
      <c r="A53" s="149" t="s">
        <v>120</v>
      </c>
      <c r="B53" s="186" t="s">
        <v>121</v>
      </c>
      <c r="C53" s="150" t="s">
        <v>264</v>
      </c>
      <c r="D53" s="1057">
        <v>701</v>
      </c>
      <c r="E53" s="1058">
        <v>486</v>
      </c>
      <c r="F53" s="1059">
        <v>130</v>
      </c>
      <c r="G53" s="1056">
        <v>85</v>
      </c>
      <c r="H53" s="1057">
        <v>245</v>
      </c>
      <c r="I53" s="1058">
        <v>110</v>
      </c>
      <c r="J53" s="1059">
        <v>94</v>
      </c>
      <c r="K53" s="1056">
        <v>41</v>
      </c>
      <c r="L53" s="282">
        <f t="shared" si="4"/>
        <v>0.34950071326676174</v>
      </c>
      <c r="M53" s="283">
        <f t="shared" si="5"/>
        <v>0.22633744855967078</v>
      </c>
      <c r="N53" s="283">
        <f t="shared" si="6"/>
        <v>0.72307692307692306</v>
      </c>
      <c r="O53" s="284">
        <f t="shared" si="7"/>
        <v>0.4823529411764706</v>
      </c>
    </row>
    <row r="54" spans="1:15" s="142" customFormat="1" ht="15.75" customHeight="1" x14ac:dyDescent="0.2">
      <c r="A54" s="149" t="s">
        <v>122</v>
      </c>
      <c r="B54" s="186" t="s">
        <v>271</v>
      </c>
      <c r="C54" s="150" t="s">
        <v>266</v>
      </c>
      <c r="D54" s="1057">
        <v>60</v>
      </c>
      <c r="E54" s="1058">
        <v>39</v>
      </c>
      <c r="F54" s="1059">
        <v>18</v>
      </c>
      <c r="G54" s="1056">
        <v>3</v>
      </c>
      <c r="H54" s="1057">
        <v>25</v>
      </c>
      <c r="I54" s="1058">
        <v>11</v>
      </c>
      <c r="J54" s="1059">
        <v>13</v>
      </c>
      <c r="K54" s="1056">
        <v>1</v>
      </c>
      <c r="L54" s="282">
        <f t="shared" si="4"/>
        <v>0.41666666666666669</v>
      </c>
      <c r="M54" s="283">
        <f t="shared" si="5"/>
        <v>0.28205128205128205</v>
      </c>
      <c r="N54" s="283">
        <f t="shared" si="6"/>
        <v>0.72222222222222221</v>
      </c>
      <c r="O54" s="284">
        <f t="shared" si="7"/>
        <v>0.33333333333333331</v>
      </c>
    </row>
    <row r="55" spans="1:15" s="142" customFormat="1" ht="15.75" customHeight="1" x14ac:dyDescent="0.2">
      <c r="A55" s="149" t="s">
        <v>124</v>
      </c>
      <c r="B55" s="186" t="s">
        <v>125</v>
      </c>
      <c r="C55" s="150" t="s">
        <v>267</v>
      </c>
      <c r="D55" s="1057">
        <v>320</v>
      </c>
      <c r="E55" s="1058">
        <v>261</v>
      </c>
      <c r="F55" s="1059">
        <v>43</v>
      </c>
      <c r="G55" s="1056">
        <v>16</v>
      </c>
      <c r="H55" s="1057">
        <v>100</v>
      </c>
      <c r="I55" s="1058">
        <v>64</v>
      </c>
      <c r="J55" s="1059">
        <v>29</v>
      </c>
      <c r="K55" s="1056">
        <v>7</v>
      </c>
      <c r="L55" s="282">
        <f t="shared" si="4"/>
        <v>0.3125</v>
      </c>
      <c r="M55" s="283">
        <f t="shared" si="5"/>
        <v>0.24521072796934865</v>
      </c>
      <c r="N55" s="283">
        <f t="shared" si="6"/>
        <v>0.67441860465116277</v>
      </c>
      <c r="O55" s="284">
        <f t="shared" si="7"/>
        <v>0.4375</v>
      </c>
    </row>
    <row r="56" spans="1:15" s="142" customFormat="1" ht="15.75" customHeight="1" x14ac:dyDescent="0.2">
      <c r="A56" s="149" t="s">
        <v>126</v>
      </c>
      <c r="B56" s="186" t="s">
        <v>127</v>
      </c>
      <c r="C56" s="150" t="s">
        <v>266</v>
      </c>
      <c r="D56" s="1057">
        <v>191</v>
      </c>
      <c r="E56" s="1058">
        <v>159</v>
      </c>
      <c r="F56" s="1059">
        <v>23</v>
      </c>
      <c r="G56" s="1056">
        <v>9</v>
      </c>
      <c r="H56" s="1057">
        <v>68</v>
      </c>
      <c r="I56" s="1058">
        <v>45</v>
      </c>
      <c r="J56" s="1059">
        <v>19</v>
      </c>
      <c r="K56" s="1056">
        <v>4</v>
      </c>
      <c r="L56" s="282">
        <f t="shared" si="4"/>
        <v>0.35602094240837695</v>
      </c>
      <c r="M56" s="283">
        <f t="shared" si="5"/>
        <v>0.28301886792452829</v>
      </c>
      <c r="N56" s="283">
        <f t="shared" si="6"/>
        <v>0.82608695652173914</v>
      </c>
      <c r="O56" s="284">
        <f t="shared" si="7"/>
        <v>0.44444444444444442</v>
      </c>
    </row>
    <row r="57" spans="1:15" s="142" customFormat="1" ht="15.75" customHeight="1" x14ac:dyDescent="0.2">
      <c r="A57" s="149" t="s">
        <v>128</v>
      </c>
      <c r="B57" s="186" t="s">
        <v>129</v>
      </c>
      <c r="C57" s="150" t="s">
        <v>266</v>
      </c>
      <c r="D57" s="1057">
        <v>97</v>
      </c>
      <c r="E57" s="1058">
        <v>39</v>
      </c>
      <c r="F57" s="1059">
        <v>53</v>
      </c>
      <c r="G57" s="1056">
        <v>5</v>
      </c>
      <c r="H57" s="1057">
        <v>63</v>
      </c>
      <c r="I57" s="1058">
        <v>19</v>
      </c>
      <c r="J57" s="1059">
        <v>42</v>
      </c>
      <c r="K57" s="1056">
        <v>2</v>
      </c>
      <c r="L57" s="282">
        <f t="shared" si="4"/>
        <v>0.64948453608247425</v>
      </c>
      <c r="M57" s="283">
        <f t="shared" si="5"/>
        <v>0.48717948717948717</v>
      </c>
      <c r="N57" s="283">
        <f t="shared" si="6"/>
        <v>0.79245283018867929</v>
      </c>
      <c r="O57" s="284">
        <f t="shared" si="7"/>
        <v>0.4</v>
      </c>
    </row>
    <row r="58" spans="1:15" s="142" customFormat="1" ht="15.75" customHeight="1" x14ac:dyDescent="0.2">
      <c r="A58" s="149" t="s">
        <v>130</v>
      </c>
      <c r="B58" s="186" t="s">
        <v>131</v>
      </c>
      <c r="C58" s="150" t="s">
        <v>268</v>
      </c>
      <c r="D58" s="1057">
        <v>225</v>
      </c>
      <c r="E58" s="1058">
        <v>224</v>
      </c>
      <c r="F58" s="1059">
        <v>1</v>
      </c>
      <c r="G58" s="1056">
        <v>0</v>
      </c>
      <c r="H58" s="1057">
        <v>84</v>
      </c>
      <c r="I58" s="1058">
        <v>83</v>
      </c>
      <c r="J58" s="1059">
        <v>1</v>
      </c>
      <c r="K58" s="1056">
        <v>0</v>
      </c>
      <c r="L58" s="282">
        <f t="shared" si="4"/>
        <v>0.37333333333333335</v>
      </c>
      <c r="M58" s="283">
        <f t="shared" si="5"/>
        <v>0.3705357142857143</v>
      </c>
      <c r="N58" s="283">
        <f t="shared" si="6"/>
        <v>1</v>
      </c>
      <c r="O58" s="284" t="str">
        <f t="shared" si="7"/>
        <v>NA</v>
      </c>
    </row>
    <row r="59" spans="1:15" s="142" customFormat="1" ht="15.75" customHeight="1" x14ac:dyDescent="0.2">
      <c r="A59" s="149" t="s">
        <v>132</v>
      </c>
      <c r="B59" s="186" t="s">
        <v>133</v>
      </c>
      <c r="C59" s="150" t="s">
        <v>267</v>
      </c>
      <c r="D59" s="1057">
        <v>5291</v>
      </c>
      <c r="E59" s="1058">
        <v>3133</v>
      </c>
      <c r="F59" s="1059">
        <v>374</v>
      </c>
      <c r="G59" s="1056">
        <v>1784</v>
      </c>
      <c r="H59" s="1057">
        <v>781</v>
      </c>
      <c r="I59" s="1058">
        <v>322</v>
      </c>
      <c r="J59" s="1059">
        <v>107</v>
      </c>
      <c r="K59" s="1056">
        <v>352</v>
      </c>
      <c r="L59" s="282">
        <f t="shared" si="4"/>
        <v>0.14760914760914762</v>
      </c>
      <c r="M59" s="283">
        <f t="shared" si="5"/>
        <v>0.10277689115863389</v>
      </c>
      <c r="N59" s="283">
        <f t="shared" si="6"/>
        <v>0.28609625668449196</v>
      </c>
      <c r="O59" s="284">
        <f t="shared" si="7"/>
        <v>0.19730941704035873</v>
      </c>
    </row>
    <row r="60" spans="1:15" s="142" customFormat="1" ht="15.75" customHeight="1" x14ac:dyDescent="0.2">
      <c r="A60" s="149" t="s">
        <v>134</v>
      </c>
      <c r="B60" s="186" t="s">
        <v>135</v>
      </c>
      <c r="C60" s="150" t="s">
        <v>267</v>
      </c>
      <c r="D60" s="1057">
        <v>368</v>
      </c>
      <c r="E60" s="1058">
        <v>302</v>
      </c>
      <c r="F60" s="1059">
        <v>52</v>
      </c>
      <c r="G60" s="1056">
        <v>14</v>
      </c>
      <c r="H60" s="1057">
        <v>151</v>
      </c>
      <c r="I60" s="1058">
        <v>108</v>
      </c>
      <c r="J60" s="1059">
        <v>38</v>
      </c>
      <c r="K60" s="1056">
        <v>5</v>
      </c>
      <c r="L60" s="282">
        <f t="shared" si="4"/>
        <v>0.41032608695652173</v>
      </c>
      <c r="M60" s="283">
        <f t="shared" si="5"/>
        <v>0.35761589403973509</v>
      </c>
      <c r="N60" s="283">
        <f t="shared" si="6"/>
        <v>0.73076923076923073</v>
      </c>
      <c r="O60" s="284">
        <f t="shared" si="7"/>
        <v>0.35714285714285715</v>
      </c>
    </row>
    <row r="61" spans="1:15" s="142" customFormat="1" ht="15.75" customHeight="1" x14ac:dyDescent="0.2">
      <c r="A61" s="149" t="s">
        <v>136</v>
      </c>
      <c r="B61" s="186" t="s">
        <v>137</v>
      </c>
      <c r="C61" s="150" t="s">
        <v>266</v>
      </c>
      <c r="D61" s="1057">
        <v>121</v>
      </c>
      <c r="E61" s="1058">
        <v>74</v>
      </c>
      <c r="F61" s="1059">
        <v>38</v>
      </c>
      <c r="G61" s="1056">
        <v>9</v>
      </c>
      <c r="H61" s="1057">
        <v>75</v>
      </c>
      <c r="I61" s="1058">
        <v>35</v>
      </c>
      <c r="J61" s="1059">
        <v>35</v>
      </c>
      <c r="K61" s="1056">
        <v>5</v>
      </c>
      <c r="L61" s="282">
        <f t="shared" si="4"/>
        <v>0.6198347107438017</v>
      </c>
      <c r="M61" s="283">
        <f t="shared" si="5"/>
        <v>0.47297297297297297</v>
      </c>
      <c r="N61" s="283">
        <f t="shared" si="6"/>
        <v>0.92105263157894735</v>
      </c>
      <c r="O61" s="284">
        <f t="shared" si="7"/>
        <v>0.55555555555555558</v>
      </c>
    </row>
    <row r="62" spans="1:15" s="142" customFormat="1" ht="15.75" customHeight="1" x14ac:dyDescent="0.2">
      <c r="A62" s="149" t="s">
        <v>140</v>
      </c>
      <c r="B62" s="186" t="s">
        <v>141</v>
      </c>
      <c r="C62" s="150" t="s">
        <v>267</v>
      </c>
      <c r="D62" s="1057">
        <v>147</v>
      </c>
      <c r="E62" s="1058">
        <v>128</v>
      </c>
      <c r="F62" s="1059">
        <v>14</v>
      </c>
      <c r="G62" s="1056">
        <v>5</v>
      </c>
      <c r="H62" s="1057">
        <v>46</v>
      </c>
      <c r="I62" s="1058">
        <v>35</v>
      </c>
      <c r="J62" s="1059">
        <v>10</v>
      </c>
      <c r="K62" s="1056">
        <v>1</v>
      </c>
      <c r="L62" s="282">
        <f t="shared" si="4"/>
        <v>0.31292517006802723</v>
      </c>
      <c r="M62" s="283">
        <f t="shared" si="5"/>
        <v>0.2734375</v>
      </c>
      <c r="N62" s="283">
        <f t="shared" si="6"/>
        <v>0.7142857142857143</v>
      </c>
      <c r="O62" s="284">
        <f t="shared" si="7"/>
        <v>0.2</v>
      </c>
    </row>
    <row r="63" spans="1:15" s="142" customFormat="1" ht="15.75" customHeight="1" x14ac:dyDescent="0.2">
      <c r="A63" s="149" t="s">
        <v>146</v>
      </c>
      <c r="B63" s="186" t="s">
        <v>147</v>
      </c>
      <c r="C63" s="150" t="s">
        <v>264</v>
      </c>
      <c r="D63" s="1057">
        <v>66</v>
      </c>
      <c r="E63" s="1058">
        <v>62</v>
      </c>
      <c r="F63" s="1059">
        <v>3</v>
      </c>
      <c r="G63" s="1056">
        <v>1</v>
      </c>
      <c r="H63" s="1057">
        <v>20</v>
      </c>
      <c r="I63" s="1058">
        <v>17</v>
      </c>
      <c r="J63" s="1059">
        <v>3</v>
      </c>
      <c r="K63" s="1056">
        <v>0</v>
      </c>
      <c r="L63" s="282">
        <f t="shared" si="4"/>
        <v>0.30303030303030304</v>
      </c>
      <c r="M63" s="283">
        <f t="shared" si="5"/>
        <v>0.27419354838709675</v>
      </c>
      <c r="N63" s="283">
        <f t="shared" si="6"/>
        <v>1</v>
      </c>
      <c r="O63" s="284">
        <f t="shared" si="7"/>
        <v>0</v>
      </c>
    </row>
    <row r="64" spans="1:15" s="142" customFormat="1" ht="15.75" customHeight="1" x14ac:dyDescent="0.2">
      <c r="A64" s="149" t="s">
        <v>148</v>
      </c>
      <c r="B64" s="186" t="s">
        <v>149</v>
      </c>
      <c r="C64" s="150" t="s">
        <v>265</v>
      </c>
      <c r="D64" s="1057">
        <v>274</v>
      </c>
      <c r="E64" s="1058">
        <v>146</v>
      </c>
      <c r="F64" s="1059">
        <v>119</v>
      </c>
      <c r="G64" s="1056">
        <v>9</v>
      </c>
      <c r="H64" s="1057">
        <v>156</v>
      </c>
      <c r="I64" s="1058">
        <v>58</v>
      </c>
      <c r="J64" s="1059">
        <v>96</v>
      </c>
      <c r="K64" s="1056">
        <v>2</v>
      </c>
      <c r="L64" s="282">
        <f t="shared" si="4"/>
        <v>0.56934306569343063</v>
      </c>
      <c r="M64" s="283">
        <f t="shared" si="5"/>
        <v>0.39726027397260272</v>
      </c>
      <c r="N64" s="283">
        <f t="shared" si="6"/>
        <v>0.80672268907563027</v>
      </c>
      <c r="O64" s="284">
        <f t="shared" si="7"/>
        <v>0.22222222222222221</v>
      </c>
    </row>
    <row r="65" spans="1:15" s="142" customFormat="1" ht="15.75" customHeight="1" x14ac:dyDescent="0.2">
      <c r="A65" s="149" t="s">
        <v>150</v>
      </c>
      <c r="B65" s="186" t="s">
        <v>151</v>
      </c>
      <c r="C65" s="150" t="s">
        <v>266</v>
      </c>
      <c r="D65" s="1057">
        <v>92</v>
      </c>
      <c r="E65" s="1058">
        <v>72</v>
      </c>
      <c r="F65" s="1059">
        <v>16</v>
      </c>
      <c r="G65" s="1056">
        <v>4</v>
      </c>
      <c r="H65" s="1057">
        <v>44</v>
      </c>
      <c r="I65" s="1058">
        <v>27</v>
      </c>
      <c r="J65" s="1059">
        <v>13</v>
      </c>
      <c r="K65" s="1056">
        <v>4</v>
      </c>
      <c r="L65" s="282">
        <f t="shared" si="4"/>
        <v>0.47826086956521741</v>
      </c>
      <c r="M65" s="283">
        <f t="shared" si="5"/>
        <v>0.375</v>
      </c>
      <c r="N65" s="283">
        <f t="shared" si="6"/>
        <v>0.8125</v>
      </c>
      <c r="O65" s="284">
        <f t="shared" si="7"/>
        <v>1</v>
      </c>
    </row>
    <row r="66" spans="1:15" s="142" customFormat="1" ht="15.75" customHeight="1" x14ac:dyDescent="0.2">
      <c r="A66" s="149" t="s">
        <v>152</v>
      </c>
      <c r="B66" s="186" t="s">
        <v>153</v>
      </c>
      <c r="C66" s="150" t="s">
        <v>268</v>
      </c>
      <c r="D66" s="1057">
        <v>851</v>
      </c>
      <c r="E66" s="1058">
        <v>754</v>
      </c>
      <c r="F66" s="1059">
        <v>18</v>
      </c>
      <c r="G66" s="1056">
        <v>79</v>
      </c>
      <c r="H66" s="1057">
        <v>231</v>
      </c>
      <c r="I66" s="1058">
        <v>213</v>
      </c>
      <c r="J66" s="1059">
        <v>11</v>
      </c>
      <c r="K66" s="1056">
        <v>7</v>
      </c>
      <c r="L66" s="282">
        <f t="shared" si="4"/>
        <v>0.27144535840188017</v>
      </c>
      <c r="M66" s="283">
        <f t="shared" si="5"/>
        <v>0.28249336870026526</v>
      </c>
      <c r="N66" s="283">
        <f t="shared" si="6"/>
        <v>0.61111111111111116</v>
      </c>
      <c r="O66" s="284">
        <f t="shared" si="7"/>
        <v>8.8607594936708861E-2</v>
      </c>
    </row>
    <row r="67" spans="1:15" s="142" customFormat="1" ht="15.75" customHeight="1" x14ac:dyDescent="0.2">
      <c r="A67" s="149" t="s">
        <v>154</v>
      </c>
      <c r="B67" s="186" t="s">
        <v>155</v>
      </c>
      <c r="C67" s="150" t="s">
        <v>265</v>
      </c>
      <c r="D67" s="1057">
        <v>126</v>
      </c>
      <c r="E67" s="1058">
        <v>109</v>
      </c>
      <c r="F67" s="1059">
        <v>10</v>
      </c>
      <c r="G67" s="1056">
        <v>7</v>
      </c>
      <c r="H67" s="1057">
        <v>44</v>
      </c>
      <c r="I67" s="1058">
        <v>34</v>
      </c>
      <c r="J67" s="1059">
        <v>7</v>
      </c>
      <c r="K67" s="1056">
        <v>3</v>
      </c>
      <c r="L67" s="282">
        <f t="shared" si="4"/>
        <v>0.34920634920634919</v>
      </c>
      <c r="M67" s="283">
        <f t="shared" si="5"/>
        <v>0.31192660550458717</v>
      </c>
      <c r="N67" s="283">
        <f t="shared" si="6"/>
        <v>0.7</v>
      </c>
      <c r="O67" s="284">
        <f t="shared" si="7"/>
        <v>0.42857142857142855</v>
      </c>
    </row>
    <row r="68" spans="1:15" s="142" customFormat="1" ht="15.75" customHeight="1" x14ac:dyDescent="0.2">
      <c r="A68" s="149" t="s">
        <v>156</v>
      </c>
      <c r="B68" s="186" t="s">
        <v>157</v>
      </c>
      <c r="C68" s="150" t="s">
        <v>266</v>
      </c>
      <c r="D68" s="1057">
        <v>198</v>
      </c>
      <c r="E68" s="1058">
        <v>169</v>
      </c>
      <c r="F68" s="1059">
        <v>18</v>
      </c>
      <c r="G68" s="1056">
        <v>11</v>
      </c>
      <c r="H68" s="1057">
        <v>51</v>
      </c>
      <c r="I68" s="1058">
        <v>36</v>
      </c>
      <c r="J68" s="1059">
        <v>11</v>
      </c>
      <c r="K68" s="1056">
        <v>4</v>
      </c>
      <c r="L68" s="282">
        <f t="shared" si="4"/>
        <v>0.25757575757575757</v>
      </c>
      <c r="M68" s="283">
        <f t="shared" si="5"/>
        <v>0.21301775147928995</v>
      </c>
      <c r="N68" s="283">
        <f t="shared" si="6"/>
        <v>0.61111111111111116</v>
      </c>
      <c r="O68" s="284">
        <f t="shared" si="7"/>
        <v>0.36363636363636365</v>
      </c>
    </row>
    <row r="69" spans="1:15" s="142" customFormat="1" ht="15.75" customHeight="1" x14ac:dyDescent="0.2">
      <c r="A69" s="149" t="s">
        <v>162</v>
      </c>
      <c r="B69" s="186" t="s">
        <v>163</v>
      </c>
      <c r="C69" s="150" t="s">
        <v>264</v>
      </c>
      <c r="D69" s="1057">
        <v>116</v>
      </c>
      <c r="E69" s="1058">
        <v>59</v>
      </c>
      <c r="F69" s="1059">
        <v>54</v>
      </c>
      <c r="G69" s="1056">
        <v>3</v>
      </c>
      <c r="H69" s="1057">
        <v>73</v>
      </c>
      <c r="I69" s="1058">
        <v>25</v>
      </c>
      <c r="J69" s="1059">
        <v>48</v>
      </c>
      <c r="K69" s="1056">
        <v>0</v>
      </c>
      <c r="L69" s="282">
        <f t="shared" si="4"/>
        <v>0.62931034482758619</v>
      </c>
      <c r="M69" s="283">
        <f t="shared" si="5"/>
        <v>0.42372881355932202</v>
      </c>
      <c r="N69" s="283">
        <f t="shared" si="6"/>
        <v>0.88888888888888884</v>
      </c>
      <c r="O69" s="284">
        <f t="shared" si="7"/>
        <v>0</v>
      </c>
    </row>
    <row r="70" spans="1:15" s="142" customFormat="1" ht="15.75" customHeight="1" x14ac:dyDescent="0.2">
      <c r="A70" s="149" t="s">
        <v>164</v>
      </c>
      <c r="B70" s="186" t="s">
        <v>165</v>
      </c>
      <c r="C70" s="150" t="s">
        <v>266</v>
      </c>
      <c r="D70" s="1057">
        <v>81</v>
      </c>
      <c r="E70" s="1058">
        <v>50</v>
      </c>
      <c r="F70" s="1059">
        <v>26</v>
      </c>
      <c r="G70" s="1056">
        <v>5</v>
      </c>
      <c r="H70" s="1057">
        <v>42</v>
      </c>
      <c r="I70" s="1058">
        <v>18</v>
      </c>
      <c r="J70" s="1059">
        <v>21</v>
      </c>
      <c r="K70" s="1056">
        <v>3</v>
      </c>
      <c r="L70" s="282">
        <f t="shared" si="4"/>
        <v>0.51851851851851849</v>
      </c>
      <c r="M70" s="283">
        <f t="shared" si="5"/>
        <v>0.36</v>
      </c>
      <c r="N70" s="283">
        <f t="shared" si="6"/>
        <v>0.80769230769230771</v>
      </c>
      <c r="O70" s="284">
        <f t="shared" si="7"/>
        <v>0.6</v>
      </c>
    </row>
    <row r="71" spans="1:15" s="142" customFormat="1" ht="15.75" customHeight="1" x14ac:dyDescent="0.2">
      <c r="A71" s="149" t="s">
        <v>168</v>
      </c>
      <c r="B71" s="186" t="s">
        <v>169</v>
      </c>
      <c r="C71" s="150" t="s">
        <v>266</v>
      </c>
      <c r="D71" s="1057">
        <v>154</v>
      </c>
      <c r="E71" s="1058">
        <v>95</v>
      </c>
      <c r="F71" s="1059">
        <v>53</v>
      </c>
      <c r="G71" s="1056">
        <v>6</v>
      </c>
      <c r="H71" s="1057">
        <v>81</v>
      </c>
      <c r="I71" s="1058">
        <v>39</v>
      </c>
      <c r="J71" s="1059">
        <v>39</v>
      </c>
      <c r="K71" s="1056">
        <v>3</v>
      </c>
      <c r="L71" s="282">
        <f t="shared" ref="L71:L102" si="8">IF(D71=0,"NA",(H71/D71))</f>
        <v>0.52597402597402598</v>
      </c>
      <c r="M71" s="283">
        <f t="shared" ref="M71:M102" si="9">IF(E71=0,"NA",(I71/E71))</f>
        <v>0.41052631578947368</v>
      </c>
      <c r="N71" s="283">
        <f t="shared" ref="N71:N102" si="10">IF(F71=0,"NA",(J71/F71))</f>
        <v>0.73584905660377353</v>
      </c>
      <c r="O71" s="284">
        <f t="shared" ref="O71:O102" si="11">IF(G71=0,"NA",(K71/G71))</f>
        <v>0.5</v>
      </c>
    </row>
    <row r="72" spans="1:15" s="142" customFormat="1" ht="15.75" customHeight="1" x14ac:dyDescent="0.2">
      <c r="A72" s="149" t="s">
        <v>170</v>
      </c>
      <c r="B72" s="186" t="s">
        <v>171</v>
      </c>
      <c r="C72" s="150" t="s">
        <v>267</v>
      </c>
      <c r="D72" s="1057">
        <v>383</v>
      </c>
      <c r="E72" s="1058">
        <v>313</v>
      </c>
      <c r="F72" s="1059">
        <v>50</v>
      </c>
      <c r="G72" s="1056">
        <v>20</v>
      </c>
      <c r="H72" s="1057">
        <v>144</v>
      </c>
      <c r="I72" s="1058">
        <v>105</v>
      </c>
      <c r="J72" s="1059">
        <v>31</v>
      </c>
      <c r="K72" s="1056">
        <v>8</v>
      </c>
      <c r="L72" s="282">
        <f t="shared" si="8"/>
        <v>0.37597911227154046</v>
      </c>
      <c r="M72" s="283">
        <f t="shared" si="9"/>
        <v>0.33546325878594252</v>
      </c>
      <c r="N72" s="283">
        <f t="shared" si="10"/>
        <v>0.62</v>
      </c>
      <c r="O72" s="284">
        <f t="shared" si="11"/>
        <v>0.4</v>
      </c>
    </row>
    <row r="73" spans="1:15" s="142" customFormat="1" ht="15.75" customHeight="1" x14ac:dyDescent="0.2">
      <c r="A73" s="149" t="s">
        <v>172</v>
      </c>
      <c r="B73" s="186" t="s">
        <v>173</v>
      </c>
      <c r="C73" s="150" t="s">
        <v>267</v>
      </c>
      <c r="D73" s="1057">
        <v>234</v>
      </c>
      <c r="E73" s="1058">
        <v>225</v>
      </c>
      <c r="F73" s="1059">
        <v>4</v>
      </c>
      <c r="G73" s="1056">
        <v>5</v>
      </c>
      <c r="H73" s="1057">
        <v>118</v>
      </c>
      <c r="I73" s="1058">
        <v>114</v>
      </c>
      <c r="J73" s="1059">
        <v>4</v>
      </c>
      <c r="K73" s="1056">
        <v>0</v>
      </c>
      <c r="L73" s="282">
        <f t="shared" si="8"/>
        <v>0.50427350427350426</v>
      </c>
      <c r="M73" s="283">
        <f t="shared" si="9"/>
        <v>0.50666666666666671</v>
      </c>
      <c r="N73" s="283">
        <f t="shared" si="10"/>
        <v>1</v>
      </c>
      <c r="O73" s="284">
        <f t="shared" si="11"/>
        <v>0</v>
      </c>
    </row>
    <row r="74" spans="1:15" s="142" customFormat="1" ht="15.75" customHeight="1" x14ac:dyDescent="0.2">
      <c r="A74" s="149" t="s">
        <v>174</v>
      </c>
      <c r="B74" s="186" t="s">
        <v>175</v>
      </c>
      <c r="C74" s="150" t="s">
        <v>268</v>
      </c>
      <c r="D74" s="1057">
        <v>124</v>
      </c>
      <c r="E74" s="1058">
        <v>112</v>
      </c>
      <c r="F74" s="1059">
        <v>7</v>
      </c>
      <c r="G74" s="1056">
        <v>5</v>
      </c>
      <c r="H74" s="1057">
        <v>45</v>
      </c>
      <c r="I74" s="1058">
        <v>40</v>
      </c>
      <c r="J74" s="1059">
        <v>4</v>
      </c>
      <c r="K74" s="1056">
        <v>1</v>
      </c>
      <c r="L74" s="282">
        <f t="shared" si="8"/>
        <v>0.36290322580645162</v>
      </c>
      <c r="M74" s="283">
        <f t="shared" si="9"/>
        <v>0.35714285714285715</v>
      </c>
      <c r="N74" s="283">
        <f t="shared" si="10"/>
        <v>0.5714285714285714</v>
      </c>
      <c r="O74" s="284">
        <f t="shared" si="11"/>
        <v>0.2</v>
      </c>
    </row>
    <row r="75" spans="1:15" s="142" customFormat="1" ht="15.75" customHeight="1" x14ac:dyDescent="0.2">
      <c r="A75" s="149" t="s">
        <v>178</v>
      </c>
      <c r="B75" s="186" t="s">
        <v>179</v>
      </c>
      <c r="C75" s="150" t="s">
        <v>265</v>
      </c>
      <c r="D75" s="1057">
        <v>491</v>
      </c>
      <c r="E75" s="1058">
        <v>382</v>
      </c>
      <c r="F75" s="1059">
        <v>89</v>
      </c>
      <c r="G75" s="1056">
        <v>20</v>
      </c>
      <c r="H75" s="1057">
        <v>225</v>
      </c>
      <c r="I75" s="1058">
        <v>145</v>
      </c>
      <c r="J75" s="1059">
        <v>65</v>
      </c>
      <c r="K75" s="1056">
        <v>15</v>
      </c>
      <c r="L75" s="282">
        <f t="shared" si="8"/>
        <v>0.45824847250509165</v>
      </c>
      <c r="M75" s="283">
        <f t="shared" si="9"/>
        <v>0.37958115183246072</v>
      </c>
      <c r="N75" s="283">
        <f t="shared" si="10"/>
        <v>0.7303370786516854</v>
      </c>
      <c r="O75" s="284">
        <f t="shared" si="11"/>
        <v>0.75</v>
      </c>
    </row>
    <row r="76" spans="1:15" s="142" customFormat="1" ht="15.75" customHeight="1" x14ac:dyDescent="0.2">
      <c r="A76" s="149" t="s">
        <v>182</v>
      </c>
      <c r="B76" s="186" t="s">
        <v>183</v>
      </c>
      <c r="C76" s="150" t="s">
        <v>266</v>
      </c>
      <c r="D76" s="1057">
        <v>219</v>
      </c>
      <c r="E76" s="1058">
        <v>208</v>
      </c>
      <c r="F76" s="1059">
        <v>6</v>
      </c>
      <c r="G76" s="1056">
        <v>5</v>
      </c>
      <c r="H76" s="1057">
        <v>53</v>
      </c>
      <c r="I76" s="1058">
        <v>48</v>
      </c>
      <c r="J76" s="1059">
        <v>3</v>
      </c>
      <c r="K76" s="1056">
        <v>2</v>
      </c>
      <c r="L76" s="282">
        <f t="shared" si="8"/>
        <v>0.24200913242009131</v>
      </c>
      <c r="M76" s="283">
        <f t="shared" si="9"/>
        <v>0.23076923076923078</v>
      </c>
      <c r="N76" s="283">
        <f t="shared" si="10"/>
        <v>0.5</v>
      </c>
      <c r="O76" s="284">
        <f t="shared" si="11"/>
        <v>0.4</v>
      </c>
    </row>
    <row r="77" spans="1:15" s="142" customFormat="1" ht="15.75" customHeight="1" x14ac:dyDescent="0.2">
      <c r="A77" s="149" t="s">
        <v>184</v>
      </c>
      <c r="B77" s="186" t="s">
        <v>185</v>
      </c>
      <c r="C77" s="150" t="s">
        <v>266</v>
      </c>
      <c r="D77" s="1057">
        <v>253</v>
      </c>
      <c r="E77" s="1058">
        <v>150</v>
      </c>
      <c r="F77" s="1059">
        <v>97</v>
      </c>
      <c r="G77" s="1056">
        <v>6</v>
      </c>
      <c r="H77" s="1057">
        <v>121</v>
      </c>
      <c r="I77" s="1058">
        <v>46</v>
      </c>
      <c r="J77" s="1059">
        <v>73</v>
      </c>
      <c r="K77" s="1056">
        <v>2</v>
      </c>
      <c r="L77" s="282">
        <f t="shared" si="8"/>
        <v>0.47826086956521741</v>
      </c>
      <c r="M77" s="283">
        <f t="shared" si="9"/>
        <v>0.30666666666666664</v>
      </c>
      <c r="N77" s="283">
        <f t="shared" si="10"/>
        <v>0.75257731958762886</v>
      </c>
      <c r="O77" s="284">
        <f t="shared" si="11"/>
        <v>0.33333333333333331</v>
      </c>
    </row>
    <row r="78" spans="1:15" s="142" customFormat="1" ht="15.75" customHeight="1" x14ac:dyDescent="0.2">
      <c r="A78" s="149" t="s">
        <v>186</v>
      </c>
      <c r="B78" s="186" t="s">
        <v>187</v>
      </c>
      <c r="C78" s="150" t="s">
        <v>264</v>
      </c>
      <c r="D78" s="1057">
        <v>354</v>
      </c>
      <c r="E78" s="1058">
        <v>218</v>
      </c>
      <c r="F78" s="1059">
        <v>103</v>
      </c>
      <c r="G78" s="1056">
        <v>33</v>
      </c>
      <c r="H78" s="1057">
        <v>110</v>
      </c>
      <c r="I78" s="1058">
        <v>54</v>
      </c>
      <c r="J78" s="1059">
        <v>50</v>
      </c>
      <c r="K78" s="1056">
        <v>6</v>
      </c>
      <c r="L78" s="282">
        <f t="shared" si="8"/>
        <v>0.31073446327683618</v>
      </c>
      <c r="M78" s="283">
        <f t="shared" si="9"/>
        <v>0.24770642201834864</v>
      </c>
      <c r="N78" s="283">
        <f t="shared" si="10"/>
        <v>0.4854368932038835</v>
      </c>
      <c r="O78" s="284">
        <f t="shared" si="11"/>
        <v>0.18181818181818182</v>
      </c>
    </row>
    <row r="79" spans="1:15" s="142" customFormat="1" ht="15.75" customHeight="1" x14ac:dyDescent="0.2">
      <c r="A79" s="149" t="s">
        <v>188</v>
      </c>
      <c r="B79" s="186" t="s">
        <v>189</v>
      </c>
      <c r="C79" s="150" t="s">
        <v>267</v>
      </c>
      <c r="D79" s="1057">
        <v>6593</v>
      </c>
      <c r="E79" s="1058">
        <v>3522</v>
      </c>
      <c r="F79" s="1059">
        <v>1342</v>
      </c>
      <c r="G79" s="1056">
        <v>1729</v>
      </c>
      <c r="H79" s="1057">
        <v>2038</v>
      </c>
      <c r="I79" s="1058">
        <v>816</v>
      </c>
      <c r="J79" s="1059">
        <v>668</v>
      </c>
      <c r="K79" s="1056">
        <v>554</v>
      </c>
      <c r="L79" s="282">
        <f t="shared" si="8"/>
        <v>0.3091157288032762</v>
      </c>
      <c r="M79" s="283">
        <f t="shared" si="9"/>
        <v>0.23168654173764908</v>
      </c>
      <c r="N79" s="283">
        <f t="shared" si="10"/>
        <v>0.49776453055141578</v>
      </c>
      <c r="O79" s="284">
        <f t="shared" si="11"/>
        <v>0.32041642567958356</v>
      </c>
    </row>
    <row r="80" spans="1:15" s="142" customFormat="1" ht="15.75" customHeight="1" x14ac:dyDescent="0.2">
      <c r="A80" s="149" t="s">
        <v>190</v>
      </c>
      <c r="B80" s="186" t="s">
        <v>191</v>
      </c>
      <c r="C80" s="150" t="s">
        <v>268</v>
      </c>
      <c r="D80" s="1057">
        <v>306</v>
      </c>
      <c r="E80" s="1058">
        <v>282</v>
      </c>
      <c r="F80" s="1059">
        <v>15</v>
      </c>
      <c r="G80" s="1056">
        <v>9</v>
      </c>
      <c r="H80" s="1057">
        <v>156</v>
      </c>
      <c r="I80" s="1058">
        <v>139</v>
      </c>
      <c r="J80" s="1059">
        <v>12</v>
      </c>
      <c r="K80" s="1056">
        <v>5</v>
      </c>
      <c r="L80" s="282">
        <f t="shared" si="8"/>
        <v>0.50980392156862742</v>
      </c>
      <c r="M80" s="283">
        <f t="shared" si="9"/>
        <v>0.49290780141843971</v>
      </c>
      <c r="N80" s="283">
        <f t="shared" si="10"/>
        <v>0.8</v>
      </c>
      <c r="O80" s="284">
        <f t="shared" si="11"/>
        <v>0.55555555555555558</v>
      </c>
    </row>
    <row r="81" spans="1:15" s="142" customFormat="1" ht="15.75" customHeight="1" x14ac:dyDescent="0.2">
      <c r="A81" s="149" t="s">
        <v>194</v>
      </c>
      <c r="B81" s="186" t="s">
        <v>195</v>
      </c>
      <c r="C81" s="150" t="s">
        <v>267</v>
      </c>
      <c r="D81" s="1057">
        <v>51</v>
      </c>
      <c r="E81" s="1058">
        <v>49</v>
      </c>
      <c r="F81" s="1059">
        <v>2</v>
      </c>
      <c r="G81" s="1056">
        <v>0</v>
      </c>
      <c r="H81" s="1057">
        <v>18</v>
      </c>
      <c r="I81" s="1058">
        <v>16</v>
      </c>
      <c r="J81" s="1059">
        <v>2</v>
      </c>
      <c r="K81" s="1056">
        <v>0</v>
      </c>
      <c r="L81" s="282">
        <f t="shared" si="8"/>
        <v>0.35294117647058826</v>
      </c>
      <c r="M81" s="283">
        <f t="shared" si="9"/>
        <v>0.32653061224489793</v>
      </c>
      <c r="N81" s="283">
        <f t="shared" si="10"/>
        <v>1</v>
      </c>
      <c r="O81" s="284" t="str">
        <f t="shared" si="11"/>
        <v>NA</v>
      </c>
    </row>
    <row r="82" spans="1:15" s="142" customFormat="1" ht="15.75" customHeight="1" x14ac:dyDescent="0.2">
      <c r="A82" s="149" t="s">
        <v>198</v>
      </c>
      <c r="B82" s="186" t="s">
        <v>272</v>
      </c>
      <c r="C82" s="150" t="s">
        <v>266</v>
      </c>
      <c r="D82" s="1057">
        <v>73</v>
      </c>
      <c r="E82" s="1058">
        <v>54</v>
      </c>
      <c r="F82" s="1059">
        <v>14</v>
      </c>
      <c r="G82" s="1056">
        <v>5</v>
      </c>
      <c r="H82" s="1057">
        <v>34</v>
      </c>
      <c r="I82" s="1058">
        <v>20</v>
      </c>
      <c r="J82" s="1059">
        <v>14</v>
      </c>
      <c r="K82" s="1056">
        <v>0</v>
      </c>
      <c r="L82" s="282">
        <f t="shared" si="8"/>
        <v>0.46575342465753422</v>
      </c>
      <c r="M82" s="283">
        <f t="shared" si="9"/>
        <v>0.37037037037037035</v>
      </c>
      <c r="N82" s="283">
        <f t="shared" si="10"/>
        <v>1</v>
      </c>
      <c r="O82" s="284">
        <f t="shared" si="11"/>
        <v>0</v>
      </c>
    </row>
    <row r="83" spans="1:15" s="142" customFormat="1" ht="15.75" customHeight="1" x14ac:dyDescent="0.2">
      <c r="A83" s="149" t="s">
        <v>202</v>
      </c>
      <c r="B83" s="186" t="s">
        <v>301</v>
      </c>
      <c r="C83" s="150" t="s">
        <v>265</v>
      </c>
      <c r="D83" s="1057">
        <v>1092</v>
      </c>
      <c r="E83" s="1058">
        <v>942</v>
      </c>
      <c r="F83" s="1059">
        <v>87</v>
      </c>
      <c r="G83" s="1056">
        <v>63</v>
      </c>
      <c r="H83" s="1057">
        <v>332</v>
      </c>
      <c r="I83" s="1058">
        <v>267</v>
      </c>
      <c r="J83" s="1059">
        <v>54</v>
      </c>
      <c r="K83" s="1056">
        <v>11</v>
      </c>
      <c r="L83" s="282">
        <f t="shared" si="8"/>
        <v>0.304029304029304</v>
      </c>
      <c r="M83" s="283">
        <f t="shared" si="9"/>
        <v>0.28343949044585987</v>
      </c>
      <c r="N83" s="283">
        <f t="shared" si="10"/>
        <v>0.62068965517241381</v>
      </c>
      <c r="O83" s="284">
        <f t="shared" si="11"/>
        <v>0.17460317460317459</v>
      </c>
    </row>
    <row r="84" spans="1:15" s="142" customFormat="1" ht="15.75" customHeight="1" x14ac:dyDescent="0.2">
      <c r="A84" s="149" t="s">
        <v>204</v>
      </c>
      <c r="B84" s="186" t="s">
        <v>293</v>
      </c>
      <c r="C84" s="150" t="s">
        <v>265</v>
      </c>
      <c r="D84" s="1057">
        <v>319</v>
      </c>
      <c r="E84" s="1058">
        <v>298</v>
      </c>
      <c r="F84" s="1059">
        <v>12</v>
      </c>
      <c r="G84" s="1056">
        <v>9</v>
      </c>
      <c r="H84" s="1057">
        <v>131</v>
      </c>
      <c r="I84" s="1058">
        <v>122</v>
      </c>
      <c r="J84" s="1059">
        <v>7</v>
      </c>
      <c r="K84" s="1056">
        <v>2</v>
      </c>
      <c r="L84" s="282">
        <f t="shared" si="8"/>
        <v>0.41065830721003133</v>
      </c>
      <c r="M84" s="283">
        <f t="shared" si="9"/>
        <v>0.40939597315436244</v>
      </c>
      <c r="N84" s="283">
        <f t="shared" si="10"/>
        <v>0.58333333333333337</v>
      </c>
      <c r="O84" s="284">
        <f t="shared" si="11"/>
        <v>0.22222222222222221</v>
      </c>
    </row>
    <row r="85" spans="1:15" s="142" customFormat="1" ht="15.75" customHeight="1" x14ac:dyDescent="0.2">
      <c r="A85" s="149" t="s">
        <v>206</v>
      </c>
      <c r="B85" s="186" t="s">
        <v>294</v>
      </c>
      <c r="C85" s="150" t="s">
        <v>267</v>
      </c>
      <c r="D85" s="1057">
        <v>1490</v>
      </c>
      <c r="E85" s="1058">
        <v>1136</v>
      </c>
      <c r="F85" s="1059">
        <v>71</v>
      </c>
      <c r="G85" s="1056">
        <v>283</v>
      </c>
      <c r="H85" s="1057">
        <v>504</v>
      </c>
      <c r="I85" s="1058">
        <v>311</v>
      </c>
      <c r="J85" s="1059">
        <v>35</v>
      </c>
      <c r="K85" s="1056">
        <v>158</v>
      </c>
      <c r="L85" s="282">
        <f t="shared" si="8"/>
        <v>0.338255033557047</v>
      </c>
      <c r="M85" s="283">
        <f t="shared" si="9"/>
        <v>0.27376760563380281</v>
      </c>
      <c r="N85" s="283">
        <f t="shared" si="10"/>
        <v>0.49295774647887325</v>
      </c>
      <c r="O85" s="284">
        <f t="shared" si="11"/>
        <v>0.55830388692579502</v>
      </c>
    </row>
    <row r="86" spans="1:15" s="142" customFormat="1" ht="15.75" customHeight="1" x14ac:dyDescent="0.2">
      <c r="A86" s="149" t="s">
        <v>208</v>
      </c>
      <c r="B86" s="186" t="s">
        <v>209</v>
      </c>
      <c r="C86" s="150" t="s">
        <v>268</v>
      </c>
      <c r="D86" s="1057">
        <v>257</v>
      </c>
      <c r="E86" s="1058">
        <v>254</v>
      </c>
      <c r="F86" s="1059">
        <v>3</v>
      </c>
      <c r="G86" s="1056">
        <v>0</v>
      </c>
      <c r="H86" s="1057">
        <v>98</v>
      </c>
      <c r="I86" s="1058">
        <v>97</v>
      </c>
      <c r="J86" s="1059">
        <v>1</v>
      </c>
      <c r="K86" s="1056">
        <v>0</v>
      </c>
      <c r="L86" s="282">
        <f t="shared" si="8"/>
        <v>0.38132295719844356</v>
      </c>
      <c r="M86" s="283">
        <f t="shared" si="9"/>
        <v>0.38188976377952755</v>
      </c>
      <c r="N86" s="283">
        <f t="shared" si="10"/>
        <v>0.33333333333333331</v>
      </c>
      <c r="O86" s="284" t="str">
        <f t="shared" si="11"/>
        <v>NA</v>
      </c>
    </row>
    <row r="87" spans="1:15" s="142" customFormat="1" ht="15.75" customHeight="1" x14ac:dyDescent="0.2">
      <c r="A87" s="149" t="s">
        <v>210</v>
      </c>
      <c r="B87" s="186" t="s">
        <v>211</v>
      </c>
      <c r="C87" s="150" t="s">
        <v>268</v>
      </c>
      <c r="D87" s="1057">
        <v>181</v>
      </c>
      <c r="E87" s="1058">
        <v>178</v>
      </c>
      <c r="F87" s="1059">
        <v>0</v>
      </c>
      <c r="G87" s="1056">
        <v>3</v>
      </c>
      <c r="H87" s="1057">
        <v>63</v>
      </c>
      <c r="I87" s="1058">
        <v>62</v>
      </c>
      <c r="J87" s="1059">
        <v>0</v>
      </c>
      <c r="K87" s="1056">
        <v>1</v>
      </c>
      <c r="L87" s="282">
        <f t="shared" si="8"/>
        <v>0.34806629834254144</v>
      </c>
      <c r="M87" s="283">
        <f t="shared" si="9"/>
        <v>0.34831460674157305</v>
      </c>
      <c r="N87" s="283" t="str">
        <f t="shared" si="10"/>
        <v>NA</v>
      </c>
      <c r="O87" s="284">
        <f t="shared" si="11"/>
        <v>0.33333333333333331</v>
      </c>
    </row>
    <row r="88" spans="1:15" s="142" customFormat="1" ht="15.75" customHeight="1" x14ac:dyDescent="0.2">
      <c r="A88" s="149" t="s">
        <v>212</v>
      </c>
      <c r="B88" s="186" t="s">
        <v>213</v>
      </c>
      <c r="C88" s="150" t="s">
        <v>267</v>
      </c>
      <c r="D88" s="1057">
        <v>450</v>
      </c>
      <c r="E88" s="1058">
        <v>415</v>
      </c>
      <c r="F88" s="1059">
        <v>14</v>
      </c>
      <c r="G88" s="1056">
        <v>21</v>
      </c>
      <c r="H88" s="1057">
        <v>178</v>
      </c>
      <c r="I88" s="1058">
        <v>159</v>
      </c>
      <c r="J88" s="1059">
        <v>10</v>
      </c>
      <c r="K88" s="1056">
        <v>9</v>
      </c>
      <c r="L88" s="282">
        <f t="shared" si="8"/>
        <v>0.39555555555555555</v>
      </c>
      <c r="M88" s="283">
        <f t="shared" si="9"/>
        <v>0.38313253012048193</v>
      </c>
      <c r="N88" s="283">
        <f t="shared" si="10"/>
        <v>0.7142857142857143</v>
      </c>
      <c r="O88" s="284">
        <f t="shared" si="11"/>
        <v>0.42857142857142855</v>
      </c>
    </row>
    <row r="89" spans="1:15" s="142" customFormat="1" ht="15.75" customHeight="1" x14ac:dyDescent="0.2">
      <c r="A89" s="149" t="s">
        <v>214</v>
      </c>
      <c r="B89" s="186" t="s">
        <v>215</v>
      </c>
      <c r="C89" s="150" t="s">
        <v>268</v>
      </c>
      <c r="D89" s="1057">
        <v>299</v>
      </c>
      <c r="E89" s="1058">
        <v>287</v>
      </c>
      <c r="F89" s="1059">
        <v>6</v>
      </c>
      <c r="G89" s="1056">
        <v>6</v>
      </c>
      <c r="H89" s="1057">
        <v>124</v>
      </c>
      <c r="I89" s="1058">
        <v>117</v>
      </c>
      <c r="J89" s="1059">
        <v>4</v>
      </c>
      <c r="K89" s="1056">
        <v>3</v>
      </c>
      <c r="L89" s="282">
        <f t="shared" si="8"/>
        <v>0.41471571906354515</v>
      </c>
      <c r="M89" s="283">
        <f t="shared" si="9"/>
        <v>0.40766550522648082</v>
      </c>
      <c r="N89" s="283">
        <f t="shared" si="10"/>
        <v>0.66666666666666663</v>
      </c>
      <c r="O89" s="284">
        <f t="shared" si="11"/>
        <v>0.5</v>
      </c>
    </row>
    <row r="90" spans="1:15" s="142" customFormat="1" ht="15.75" customHeight="1" x14ac:dyDescent="0.2">
      <c r="A90" s="149" t="s">
        <v>216</v>
      </c>
      <c r="B90" s="186" t="s">
        <v>217</v>
      </c>
      <c r="C90" s="150" t="s">
        <v>264</v>
      </c>
      <c r="D90" s="1057">
        <v>118</v>
      </c>
      <c r="E90" s="1058">
        <v>66</v>
      </c>
      <c r="F90" s="1059">
        <v>49</v>
      </c>
      <c r="G90" s="1056">
        <v>3</v>
      </c>
      <c r="H90" s="1057">
        <v>57</v>
      </c>
      <c r="I90" s="1058">
        <v>17</v>
      </c>
      <c r="J90" s="1059">
        <v>37</v>
      </c>
      <c r="K90" s="1056">
        <v>3</v>
      </c>
      <c r="L90" s="282">
        <f t="shared" si="8"/>
        <v>0.48305084745762711</v>
      </c>
      <c r="M90" s="283">
        <f t="shared" si="9"/>
        <v>0.25757575757575757</v>
      </c>
      <c r="N90" s="283">
        <f t="shared" si="10"/>
        <v>0.75510204081632648</v>
      </c>
      <c r="O90" s="284">
        <f t="shared" si="11"/>
        <v>1</v>
      </c>
    </row>
    <row r="91" spans="1:15" s="142" customFormat="1" ht="15.75" customHeight="1" x14ac:dyDescent="0.2">
      <c r="A91" s="149" t="s">
        <v>218</v>
      </c>
      <c r="B91" s="186" t="s">
        <v>219</v>
      </c>
      <c r="C91" s="150" t="s">
        <v>267</v>
      </c>
      <c r="D91" s="1057">
        <v>1591</v>
      </c>
      <c r="E91" s="1058">
        <v>1161</v>
      </c>
      <c r="F91" s="1059">
        <v>239</v>
      </c>
      <c r="G91" s="1056">
        <v>191</v>
      </c>
      <c r="H91" s="1057">
        <v>576</v>
      </c>
      <c r="I91" s="1058">
        <v>344</v>
      </c>
      <c r="J91" s="1059">
        <v>148</v>
      </c>
      <c r="K91" s="1056">
        <v>84</v>
      </c>
      <c r="L91" s="282">
        <f t="shared" si="8"/>
        <v>0.36203645505971088</v>
      </c>
      <c r="M91" s="283">
        <f t="shared" si="9"/>
        <v>0.29629629629629628</v>
      </c>
      <c r="N91" s="283">
        <f t="shared" si="10"/>
        <v>0.61924686192468614</v>
      </c>
      <c r="O91" s="284">
        <f t="shared" si="11"/>
        <v>0.43979057591623039</v>
      </c>
    </row>
    <row r="92" spans="1:15" s="142" customFormat="1" ht="15.75" customHeight="1" x14ac:dyDescent="0.2">
      <c r="A92" s="149" t="s">
        <v>220</v>
      </c>
      <c r="B92" s="186" t="s">
        <v>221</v>
      </c>
      <c r="C92" s="150" t="s">
        <v>267</v>
      </c>
      <c r="D92" s="1057">
        <v>1665</v>
      </c>
      <c r="E92" s="1058">
        <v>1130</v>
      </c>
      <c r="F92" s="1059">
        <v>324</v>
      </c>
      <c r="G92" s="1056">
        <v>211</v>
      </c>
      <c r="H92" s="1057">
        <v>483</v>
      </c>
      <c r="I92" s="1058">
        <v>260</v>
      </c>
      <c r="J92" s="1059">
        <v>162</v>
      </c>
      <c r="K92" s="1056">
        <v>61</v>
      </c>
      <c r="L92" s="282">
        <f t="shared" si="8"/>
        <v>0.29009009009009007</v>
      </c>
      <c r="M92" s="283">
        <f t="shared" si="9"/>
        <v>0.23008849557522124</v>
      </c>
      <c r="N92" s="283">
        <f t="shared" si="10"/>
        <v>0.5</v>
      </c>
      <c r="O92" s="284">
        <f t="shared" si="11"/>
        <v>0.2890995260663507</v>
      </c>
    </row>
    <row r="93" spans="1:15" s="142" customFormat="1" ht="15.75" customHeight="1" x14ac:dyDescent="0.2">
      <c r="A93" s="149" t="s">
        <v>224</v>
      </c>
      <c r="B93" s="186" t="s">
        <v>225</v>
      </c>
      <c r="C93" s="150" t="s">
        <v>264</v>
      </c>
      <c r="D93" s="1057">
        <v>60</v>
      </c>
      <c r="E93" s="1058">
        <v>36</v>
      </c>
      <c r="F93" s="1059">
        <v>24</v>
      </c>
      <c r="G93" s="1056">
        <v>0</v>
      </c>
      <c r="H93" s="1057">
        <v>26</v>
      </c>
      <c r="I93" s="1058">
        <v>12</v>
      </c>
      <c r="J93" s="1059">
        <v>14</v>
      </c>
      <c r="K93" s="1056">
        <v>0</v>
      </c>
      <c r="L93" s="282">
        <f t="shared" si="8"/>
        <v>0.43333333333333335</v>
      </c>
      <c r="M93" s="283">
        <f t="shared" si="9"/>
        <v>0.33333333333333331</v>
      </c>
      <c r="N93" s="283">
        <f t="shared" si="10"/>
        <v>0.58333333333333337</v>
      </c>
      <c r="O93" s="284" t="str">
        <f t="shared" si="11"/>
        <v>NA</v>
      </c>
    </row>
    <row r="94" spans="1:15" s="142" customFormat="1" ht="15.75" customHeight="1" x14ac:dyDescent="0.2">
      <c r="A94" s="149" t="s">
        <v>226</v>
      </c>
      <c r="B94" s="186" t="s">
        <v>227</v>
      </c>
      <c r="C94" s="150" t="s">
        <v>264</v>
      </c>
      <c r="D94" s="1057">
        <v>90</v>
      </c>
      <c r="E94" s="1058">
        <v>42</v>
      </c>
      <c r="F94" s="1059">
        <v>47</v>
      </c>
      <c r="G94" s="1056">
        <v>1</v>
      </c>
      <c r="H94" s="1057">
        <v>59</v>
      </c>
      <c r="I94" s="1058">
        <v>19</v>
      </c>
      <c r="J94" s="1059">
        <v>39</v>
      </c>
      <c r="K94" s="1056">
        <v>1</v>
      </c>
      <c r="L94" s="282">
        <f t="shared" si="8"/>
        <v>0.65555555555555556</v>
      </c>
      <c r="M94" s="283">
        <f t="shared" si="9"/>
        <v>0.45238095238095238</v>
      </c>
      <c r="N94" s="283">
        <f t="shared" si="10"/>
        <v>0.82978723404255317</v>
      </c>
      <c r="O94" s="284">
        <f t="shared" si="11"/>
        <v>1</v>
      </c>
    </row>
    <row r="95" spans="1:15" s="142" customFormat="1" ht="15.75" customHeight="1" x14ac:dyDescent="0.2">
      <c r="A95" s="149" t="s">
        <v>228</v>
      </c>
      <c r="B95" s="186" t="s">
        <v>229</v>
      </c>
      <c r="C95" s="150" t="s">
        <v>268</v>
      </c>
      <c r="D95" s="1057">
        <v>442</v>
      </c>
      <c r="E95" s="1058">
        <v>436</v>
      </c>
      <c r="F95" s="1059">
        <v>5</v>
      </c>
      <c r="G95" s="1056">
        <v>1</v>
      </c>
      <c r="H95" s="1057">
        <v>162</v>
      </c>
      <c r="I95" s="1058">
        <v>156</v>
      </c>
      <c r="J95" s="1059">
        <v>5</v>
      </c>
      <c r="K95" s="1056">
        <v>1</v>
      </c>
      <c r="L95" s="282">
        <f t="shared" si="8"/>
        <v>0.36651583710407237</v>
      </c>
      <c r="M95" s="283">
        <f t="shared" si="9"/>
        <v>0.3577981651376147</v>
      </c>
      <c r="N95" s="283">
        <f t="shared" si="10"/>
        <v>1</v>
      </c>
      <c r="O95" s="284">
        <f t="shared" si="11"/>
        <v>1</v>
      </c>
    </row>
    <row r="96" spans="1:15" s="142" customFormat="1" ht="15.75" customHeight="1" x14ac:dyDescent="0.2">
      <c r="A96" s="149" t="s">
        <v>232</v>
      </c>
      <c r="B96" s="186" t="s">
        <v>233</v>
      </c>
      <c r="C96" s="150" t="s">
        <v>267</v>
      </c>
      <c r="D96" s="1057">
        <v>453</v>
      </c>
      <c r="E96" s="1058">
        <v>414</v>
      </c>
      <c r="F96" s="1059">
        <v>19</v>
      </c>
      <c r="G96" s="1056">
        <v>20</v>
      </c>
      <c r="H96" s="1057">
        <v>187</v>
      </c>
      <c r="I96" s="1058">
        <v>165</v>
      </c>
      <c r="J96" s="1059">
        <v>15</v>
      </c>
      <c r="K96" s="1056">
        <v>7</v>
      </c>
      <c r="L96" s="282">
        <f t="shared" si="8"/>
        <v>0.41280353200883002</v>
      </c>
      <c r="M96" s="283">
        <f t="shared" si="9"/>
        <v>0.39855072463768115</v>
      </c>
      <c r="N96" s="283">
        <f t="shared" si="10"/>
        <v>0.78947368421052633</v>
      </c>
      <c r="O96" s="284">
        <f t="shared" si="11"/>
        <v>0.35</v>
      </c>
    </row>
    <row r="97" spans="1:15" s="142" customFormat="1" ht="15.75" customHeight="1" x14ac:dyDescent="0.2">
      <c r="A97" s="149" t="s">
        <v>234</v>
      </c>
      <c r="B97" s="186" t="s">
        <v>235</v>
      </c>
      <c r="C97" s="150" t="s">
        <v>268</v>
      </c>
      <c r="D97" s="1057">
        <v>490</v>
      </c>
      <c r="E97" s="1058">
        <v>478</v>
      </c>
      <c r="F97" s="1059">
        <v>4</v>
      </c>
      <c r="G97" s="1056">
        <v>8</v>
      </c>
      <c r="H97" s="1057">
        <v>176</v>
      </c>
      <c r="I97" s="1058">
        <v>168</v>
      </c>
      <c r="J97" s="1059">
        <v>3</v>
      </c>
      <c r="K97" s="1056">
        <v>5</v>
      </c>
      <c r="L97" s="282">
        <f t="shared" si="8"/>
        <v>0.35918367346938773</v>
      </c>
      <c r="M97" s="283">
        <f t="shared" si="9"/>
        <v>0.35146443514644349</v>
      </c>
      <c r="N97" s="283">
        <f t="shared" si="10"/>
        <v>0.75</v>
      </c>
      <c r="O97" s="284">
        <f t="shared" si="11"/>
        <v>0.625</v>
      </c>
    </row>
    <row r="98" spans="1:15" s="142" customFormat="1" ht="15.75" customHeight="1" x14ac:dyDescent="0.2">
      <c r="A98" s="149" t="s">
        <v>236</v>
      </c>
      <c r="B98" s="186" t="s">
        <v>237</v>
      </c>
      <c r="C98" s="150" t="s">
        <v>266</v>
      </c>
      <c r="D98" s="1057">
        <v>197</v>
      </c>
      <c r="E98" s="1058">
        <v>136</v>
      </c>
      <c r="F98" s="1059">
        <v>50</v>
      </c>
      <c r="G98" s="1056">
        <v>11</v>
      </c>
      <c r="H98" s="1057">
        <v>96</v>
      </c>
      <c r="I98" s="1058">
        <v>51</v>
      </c>
      <c r="J98" s="1059">
        <v>41</v>
      </c>
      <c r="K98" s="1056">
        <v>4</v>
      </c>
      <c r="L98" s="282">
        <f t="shared" si="8"/>
        <v>0.48730964467005078</v>
      </c>
      <c r="M98" s="283">
        <f t="shared" si="9"/>
        <v>0.375</v>
      </c>
      <c r="N98" s="283">
        <f t="shared" si="10"/>
        <v>0.82</v>
      </c>
      <c r="O98" s="284">
        <f t="shared" si="11"/>
        <v>0.36363636363636365</v>
      </c>
    </row>
    <row r="99" spans="1:15" s="142" customFormat="1" ht="15.75" customHeight="1" x14ac:dyDescent="0.2">
      <c r="A99" s="149" t="s">
        <v>242</v>
      </c>
      <c r="B99" s="186" t="s">
        <v>243</v>
      </c>
      <c r="C99" s="150" t="s">
        <v>268</v>
      </c>
      <c r="D99" s="1057">
        <v>379</v>
      </c>
      <c r="E99" s="1058">
        <v>367</v>
      </c>
      <c r="F99" s="1059">
        <v>7</v>
      </c>
      <c r="G99" s="1056">
        <v>5</v>
      </c>
      <c r="H99" s="1057">
        <v>181</v>
      </c>
      <c r="I99" s="1058">
        <v>172</v>
      </c>
      <c r="J99" s="1059">
        <v>6</v>
      </c>
      <c r="K99" s="1056">
        <v>3</v>
      </c>
      <c r="L99" s="282">
        <f t="shared" si="8"/>
        <v>0.47757255936675463</v>
      </c>
      <c r="M99" s="283">
        <f t="shared" si="9"/>
        <v>0.46866485013623976</v>
      </c>
      <c r="N99" s="283">
        <f t="shared" si="10"/>
        <v>0.8571428571428571</v>
      </c>
      <c r="O99" s="284">
        <f t="shared" si="11"/>
        <v>0.6</v>
      </c>
    </row>
    <row r="100" spans="1:15" s="142" customFormat="1" ht="15.75" customHeight="1" x14ac:dyDescent="0.2">
      <c r="A100" s="149" t="s">
        <v>244</v>
      </c>
      <c r="B100" s="186" t="s">
        <v>245</v>
      </c>
      <c r="C100" s="150" t="s">
        <v>268</v>
      </c>
      <c r="D100" s="1057">
        <v>278</v>
      </c>
      <c r="E100" s="1058">
        <v>264</v>
      </c>
      <c r="F100" s="1059">
        <v>6</v>
      </c>
      <c r="G100" s="1056">
        <v>8</v>
      </c>
      <c r="H100" s="1057">
        <v>118</v>
      </c>
      <c r="I100" s="1058">
        <v>110</v>
      </c>
      <c r="J100" s="1059">
        <v>5</v>
      </c>
      <c r="K100" s="1056">
        <v>3</v>
      </c>
      <c r="L100" s="282">
        <f t="shared" si="8"/>
        <v>0.42446043165467628</v>
      </c>
      <c r="M100" s="283">
        <f t="shared" si="9"/>
        <v>0.41666666666666669</v>
      </c>
      <c r="N100" s="283">
        <f t="shared" si="10"/>
        <v>0.83333333333333337</v>
      </c>
      <c r="O100" s="284">
        <f t="shared" si="11"/>
        <v>0.375</v>
      </c>
    </row>
    <row r="101" spans="1:15" s="142" customFormat="1" ht="15.75" customHeight="1" x14ac:dyDescent="0.2">
      <c r="A101" s="149" t="s">
        <v>246</v>
      </c>
      <c r="B101" s="186" t="s">
        <v>247</v>
      </c>
      <c r="C101" s="150" t="s">
        <v>264</v>
      </c>
      <c r="D101" s="1057">
        <v>739</v>
      </c>
      <c r="E101" s="1058">
        <v>548</v>
      </c>
      <c r="F101" s="1059">
        <v>106</v>
      </c>
      <c r="G101" s="1056">
        <v>85</v>
      </c>
      <c r="H101" s="1057">
        <v>155</v>
      </c>
      <c r="I101" s="1058">
        <v>94</v>
      </c>
      <c r="J101" s="1059">
        <v>54</v>
      </c>
      <c r="K101" s="1056">
        <v>7</v>
      </c>
      <c r="L101" s="282">
        <f t="shared" si="8"/>
        <v>0.20974289580514208</v>
      </c>
      <c r="M101" s="283">
        <f t="shared" si="9"/>
        <v>0.17153284671532848</v>
      </c>
      <c r="N101" s="283">
        <f t="shared" si="10"/>
        <v>0.50943396226415094</v>
      </c>
      <c r="O101" s="284">
        <f t="shared" si="11"/>
        <v>8.2352941176470587E-2</v>
      </c>
    </row>
    <row r="102" spans="1:15" s="142" customFormat="1" ht="15.75" customHeight="1" x14ac:dyDescent="0.2">
      <c r="A102" s="149" t="s">
        <v>14</v>
      </c>
      <c r="B102" s="186" t="s">
        <v>15</v>
      </c>
      <c r="C102" s="150" t="s">
        <v>267</v>
      </c>
      <c r="D102" s="1057">
        <v>2791</v>
      </c>
      <c r="E102" s="1058">
        <v>1727</v>
      </c>
      <c r="F102" s="1059">
        <v>524</v>
      </c>
      <c r="G102" s="1056">
        <v>540</v>
      </c>
      <c r="H102" s="1057">
        <v>636</v>
      </c>
      <c r="I102" s="1058">
        <v>247</v>
      </c>
      <c r="J102" s="1059">
        <v>228</v>
      </c>
      <c r="K102" s="1056">
        <v>161</v>
      </c>
      <c r="L102" s="282">
        <f t="shared" si="8"/>
        <v>0.22787531350770332</v>
      </c>
      <c r="M102" s="283">
        <f t="shared" si="9"/>
        <v>0.14302258251302838</v>
      </c>
      <c r="N102" s="283">
        <f t="shared" si="10"/>
        <v>0.4351145038167939</v>
      </c>
      <c r="O102" s="284">
        <f t="shared" si="11"/>
        <v>0.29814814814814816</v>
      </c>
    </row>
    <row r="103" spans="1:15" s="142" customFormat="1" ht="15.75" customHeight="1" x14ac:dyDescent="0.2">
      <c r="A103" s="149" t="s">
        <v>34</v>
      </c>
      <c r="B103" s="186" t="s">
        <v>35</v>
      </c>
      <c r="C103" s="150" t="s">
        <v>268</v>
      </c>
      <c r="D103" s="1057">
        <v>205</v>
      </c>
      <c r="E103" s="1058">
        <v>192</v>
      </c>
      <c r="F103" s="1059">
        <v>9</v>
      </c>
      <c r="G103" s="1056">
        <v>4</v>
      </c>
      <c r="H103" s="1057">
        <v>97</v>
      </c>
      <c r="I103" s="1058">
        <v>87</v>
      </c>
      <c r="J103" s="1059">
        <v>7</v>
      </c>
      <c r="K103" s="1056">
        <v>3</v>
      </c>
      <c r="L103" s="282">
        <f t="shared" ref="L103:L126" si="12">IF(D103=0,"NA",(H103/D103))</f>
        <v>0.47317073170731705</v>
      </c>
      <c r="M103" s="283">
        <f t="shared" ref="M103:M126" si="13">IF(E103=0,"NA",(I103/E103))</f>
        <v>0.453125</v>
      </c>
      <c r="N103" s="283">
        <f t="shared" ref="N103:N126" si="14">IF(F103=0,"NA",(J103/F103))</f>
        <v>0.77777777777777779</v>
      </c>
      <c r="O103" s="284">
        <f t="shared" ref="O103:O126" si="15">IF(G103=0,"NA",(K103/G103))</f>
        <v>0.75</v>
      </c>
    </row>
    <row r="104" spans="1:15" s="142" customFormat="1" ht="15.75" customHeight="1" x14ac:dyDescent="0.2">
      <c r="A104" s="149" t="s">
        <v>52</v>
      </c>
      <c r="B104" s="186" t="s">
        <v>53</v>
      </c>
      <c r="C104" s="150" t="s">
        <v>265</v>
      </c>
      <c r="D104" s="1057">
        <v>576</v>
      </c>
      <c r="E104" s="1058">
        <v>389</v>
      </c>
      <c r="F104" s="1059">
        <v>111</v>
      </c>
      <c r="G104" s="1056">
        <v>76</v>
      </c>
      <c r="H104" s="1057">
        <v>177</v>
      </c>
      <c r="I104" s="1058">
        <v>73</v>
      </c>
      <c r="J104" s="1059">
        <v>86</v>
      </c>
      <c r="K104" s="1056">
        <v>18</v>
      </c>
      <c r="L104" s="282">
        <f t="shared" si="12"/>
        <v>0.30729166666666669</v>
      </c>
      <c r="M104" s="283">
        <f t="shared" si="13"/>
        <v>0.18766066838046272</v>
      </c>
      <c r="N104" s="283">
        <f t="shared" si="14"/>
        <v>0.77477477477477474</v>
      </c>
      <c r="O104" s="284">
        <f t="shared" si="15"/>
        <v>0.23684210526315788</v>
      </c>
    </row>
    <row r="105" spans="1:15" s="142" customFormat="1" ht="15.75" customHeight="1" x14ac:dyDescent="0.2">
      <c r="A105" s="149" t="s">
        <v>54</v>
      </c>
      <c r="B105" s="186" t="s">
        <v>55</v>
      </c>
      <c r="C105" s="150" t="s">
        <v>264</v>
      </c>
      <c r="D105" s="1057">
        <v>2984</v>
      </c>
      <c r="E105" s="1058">
        <v>1843</v>
      </c>
      <c r="F105" s="1059">
        <v>845</v>
      </c>
      <c r="G105" s="1056">
        <v>296</v>
      </c>
      <c r="H105" s="1057">
        <v>1020</v>
      </c>
      <c r="I105" s="1058">
        <v>421</v>
      </c>
      <c r="J105" s="1059">
        <v>511</v>
      </c>
      <c r="K105" s="1056">
        <v>88</v>
      </c>
      <c r="L105" s="282">
        <f t="shared" si="12"/>
        <v>0.3418230563002681</v>
      </c>
      <c r="M105" s="283">
        <f t="shared" si="13"/>
        <v>0.22843190450352685</v>
      </c>
      <c r="N105" s="283">
        <f t="shared" si="14"/>
        <v>0.60473372781065093</v>
      </c>
      <c r="O105" s="284">
        <f t="shared" si="15"/>
        <v>0.29729729729729731</v>
      </c>
    </row>
    <row r="106" spans="1:15" s="142" customFormat="1" ht="15.75" customHeight="1" x14ac:dyDescent="0.2">
      <c r="A106" s="149" t="s">
        <v>66</v>
      </c>
      <c r="B106" s="186" t="s">
        <v>67</v>
      </c>
      <c r="C106" s="150" t="s">
        <v>265</v>
      </c>
      <c r="D106" s="1057">
        <v>546</v>
      </c>
      <c r="E106" s="1058">
        <v>189</v>
      </c>
      <c r="F106" s="1059">
        <v>316</v>
      </c>
      <c r="G106" s="1056">
        <v>41</v>
      </c>
      <c r="H106" s="1057">
        <v>373</v>
      </c>
      <c r="I106" s="1058">
        <v>93</v>
      </c>
      <c r="J106" s="1059">
        <v>262</v>
      </c>
      <c r="K106" s="1056">
        <v>18</v>
      </c>
      <c r="L106" s="282">
        <f t="shared" si="12"/>
        <v>0.68315018315018317</v>
      </c>
      <c r="M106" s="283">
        <f t="shared" si="13"/>
        <v>0.49206349206349204</v>
      </c>
      <c r="N106" s="283">
        <f t="shared" si="14"/>
        <v>0.82911392405063289</v>
      </c>
      <c r="O106" s="284">
        <f t="shared" si="15"/>
        <v>0.43902439024390244</v>
      </c>
    </row>
    <row r="107" spans="1:15" s="142" customFormat="1" ht="15.75" customHeight="1" x14ac:dyDescent="0.2">
      <c r="A107" s="149" t="s">
        <v>82</v>
      </c>
      <c r="B107" s="186" t="s">
        <v>83</v>
      </c>
      <c r="C107" s="150" t="s">
        <v>264</v>
      </c>
      <c r="D107" s="1057">
        <v>133</v>
      </c>
      <c r="E107" s="1058">
        <v>53</v>
      </c>
      <c r="F107" s="1059">
        <v>77</v>
      </c>
      <c r="G107" s="1056">
        <v>3</v>
      </c>
      <c r="H107" s="1057">
        <v>77</v>
      </c>
      <c r="I107" s="1058">
        <v>17</v>
      </c>
      <c r="J107" s="1059">
        <v>60</v>
      </c>
      <c r="K107" s="1056">
        <v>0</v>
      </c>
      <c r="L107" s="282">
        <f t="shared" si="12"/>
        <v>0.57894736842105265</v>
      </c>
      <c r="M107" s="283">
        <f t="shared" si="13"/>
        <v>0.32075471698113206</v>
      </c>
      <c r="N107" s="283">
        <f t="shared" si="14"/>
        <v>0.77922077922077926</v>
      </c>
      <c r="O107" s="284">
        <f t="shared" si="15"/>
        <v>0</v>
      </c>
    </row>
    <row r="108" spans="1:15" s="142" customFormat="1" ht="15.75" customHeight="1" x14ac:dyDescent="0.2">
      <c r="A108" s="149" t="s">
        <v>88</v>
      </c>
      <c r="B108" s="186" t="s">
        <v>89</v>
      </c>
      <c r="C108" s="150" t="s">
        <v>267</v>
      </c>
      <c r="D108" s="1057">
        <v>406</v>
      </c>
      <c r="E108" s="1058">
        <v>218</v>
      </c>
      <c r="F108" s="1059">
        <v>114</v>
      </c>
      <c r="G108" s="1056">
        <v>74</v>
      </c>
      <c r="H108" s="1057">
        <v>185</v>
      </c>
      <c r="I108" s="1058">
        <v>75</v>
      </c>
      <c r="J108" s="1059">
        <v>75</v>
      </c>
      <c r="K108" s="1056">
        <v>35</v>
      </c>
      <c r="L108" s="282">
        <f t="shared" si="12"/>
        <v>0.45566502463054187</v>
      </c>
      <c r="M108" s="283">
        <f t="shared" si="13"/>
        <v>0.34403669724770641</v>
      </c>
      <c r="N108" s="283">
        <f t="shared" si="14"/>
        <v>0.65789473684210531</v>
      </c>
      <c r="O108" s="284">
        <f t="shared" si="15"/>
        <v>0.47297297297297297</v>
      </c>
    </row>
    <row r="109" spans="1:15" s="142" customFormat="1" ht="15.75" customHeight="1" x14ac:dyDescent="0.2">
      <c r="A109" s="149" t="s">
        <v>90</v>
      </c>
      <c r="B109" s="186" t="s">
        <v>91</v>
      </c>
      <c r="C109" s="150" t="s">
        <v>268</v>
      </c>
      <c r="D109" s="1057">
        <v>75</v>
      </c>
      <c r="E109" s="1058">
        <v>57</v>
      </c>
      <c r="F109" s="1059">
        <v>4</v>
      </c>
      <c r="G109" s="1056">
        <v>14</v>
      </c>
      <c r="H109" s="1057">
        <v>40</v>
      </c>
      <c r="I109" s="1058">
        <v>23</v>
      </c>
      <c r="J109" s="1059">
        <v>4</v>
      </c>
      <c r="K109" s="1056">
        <v>13</v>
      </c>
      <c r="L109" s="282">
        <f t="shared" si="12"/>
        <v>0.53333333333333333</v>
      </c>
      <c r="M109" s="283">
        <f t="shared" si="13"/>
        <v>0.40350877192982454</v>
      </c>
      <c r="N109" s="283">
        <f t="shared" si="14"/>
        <v>1</v>
      </c>
      <c r="O109" s="284">
        <f t="shared" si="15"/>
        <v>0.9285714285714286</v>
      </c>
    </row>
    <row r="110" spans="1:15" s="142" customFormat="1" ht="15.75" customHeight="1" x14ac:dyDescent="0.2">
      <c r="A110" s="149" t="s">
        <v>106</v>
      </c>
      <c r="B110" s="186" t="s">
        <v>107</v>
      </c>
      <c r="C110" s="150" t="s">
        <v>264</v>
      </c>
      <c r="D110" s="1057">
        <v>1637</v>
      </c>
      <c r="E110" s="1058">
        <v>669</v>
      </c>
      <c r="F110" s="1059">
        <v>802</v>
      </c>
      <c r="G110" s="1056">
        <v>166</v>
      </c>
      <c r="H110" s="1057">
        <v>787</v>
      </c>
      <c r="I110" s="1058">
        <v>190</v>
      </c>
      <c r="J110" s="1059">
        <v>533</v>
      </c>
      <c r="K110" s="1056">
        <v>64</v>
      </c>
      <c r="L110" s="282">
        <f t="shared" si="12"/>
        <v>0.48075748320097739</v>
      </c>
      <c r="M110" s="283">
        <f t="shared" si="13"/>
        <v>0.28400597907324365</v>
      </c>
      <c r="N110" s="283">
        <f t="shared" si="14"/>
        <v>0.6645885286783042</v>
      </c>
      <c r="O110" s="284">
        <f t="shared" si="15"/>
        <v>0.38554216867469882</v>
      </c>
    </row>
    <row r="111" spans="1:15" s="142" customFormat="1" ht="15.75" customHeight="1" x14ac:dyDescent="0.2">
      <c r="A111" s="149" t="s">
        <v>116</v>
      </c>
      <c r="B111" s="186" t="s">
        <v>117</v>
      </c>
      <c r="C111" s="150" t="s">
        <v>266</v>
      </c>
      <c r="D111" s="1057">
        <v>351</v>
      </c>
      <c r="E111" s="1058">
        <v>182</v>
      </c>
      <c r="F111" s="1059">
        <v>159</v>
      </c>
      <c r="G111" s="1056">
        <v>10</v>
      </c>
      <c r="H111" s="1057">
        <v>225</v>
      </c>
      <c r="I111" s="1058">
        <v>99</v>
      </c>
      <c r="J111" s="1059">
        <v>122</v>
      </c>
      <c r="K111" s="1056">
        <v>4</v>
      </c>
      <c r="L111" s="282">
        <f t="shared" si="12"/>
        <v>0.64102564102564108</v>
      </c>
      <c r="M111" s="283">
        <f t="shared" si="13"/>
        <v>0.54395604395604391</v>
      </c>
      <c r="N111" s="283">
        <f t="shared" si="14"/>
        <v>0.76729559748427678</v>
      </c>
      <c r="O111" s="284">
        <f t="shared" si="15"/>
        <v>0.4</v>
      </c>
    </row>
    <row r="112" spans="1:15" s="142" customFormat="1" ht="15.75" customHeight="1" x14ac:dyDescent="0.2">
      <c r="A112" s="149" t="s">
        <v>138</v>
      </c>
      <c r="B112" s="186" t="s">
        <v>139</v>
      </c>
      <c r="C112" s="150" t="s">
        <v>265</v>
      </c>
      <c r="D112" s="1057">
        <v>1163</v>
      </c>
      <c r="E112" s="1058">
        <v>747</v>
      </c>
      <c r="F112" s="1059">
        <v>357</v>
      </c>
      <c r="G112" s="1056">
        <v>59</v>
      </c>
      <c r="H112" s="1057">
        <v>487</v>
      </c>
      <c r="I112" s="1059">
        <v>197</v>
      </c>
      <c r="J112" s="1059">
        <v>276</v>
      </c>
      <c r="K112" s="1056">
        <v>14</v>
      </c>
      <c r="L112" s="282">
        <f t="shared" si="12"/>
        <v>0.41874462596732587</v>
      </c>
      <c r="M112" s="283">
        <f t="shared" si="13"/>
        <v>0.26372155287817939</v>
      </c>
      <c r="N112" s="283">
        <f t="shared" si="14"/>
        <v>0.77310924369747902</v>
      </c>
      <c r="O112" s="284">
        <f t="shared" si="15"/>
        <v>0.23728813559322035</v>
      </c>
    </row>
    <row r="113" spans="1:15" s="142" customFormat="1" ht="15.75" customHeight="1" x14ac:dyDescent="0.2">
      <c r="A113" s="149" t="s">
        <v>142</v>
      </c>
      <c r="B113" s="186" t="s">
        <v>273</v>
      </c>
      <c r="C113" s="150" t="s">
        <v>267</v>
      </c>
      <c r="D113" s="1057">
        <v>772</v>
      </c>
      <c r="E113" s="1058">
        <v>524</v>
      </c>
      <c r="F113" s="1059">
        <v>89</v>
      </c>
      <c r="G113" s="1056">
        <v>159</v>
      </c>
      <c r="H113" s="1057">
        <v>314</v>
      </c>
      <c r="I113" s="1058">
        <v>201</v>
      </c>
      <c r="J113" s="1059">
        <v>44</v>
      </c>
      <c r="K113" s="1056">
        <v>69</v>
      </c>
      <c r="L113" s="282">
        <f t="shared" si="12"/>
        <v>0.40673575129533679</v>
      </c>
      <c r="M113" s="283">
        <f t="shared" si="13"/>
        <v>0.38358778625954199</v>
      </c>
      <c r="N113" s="283">
        <f t="shared" si="14"/>
        <v>0.4943820224719101</v>
      </c>
      <c r="O113" s="284">
        <f t="shared" si="15"/>
        <v>0.43396226415094341</v>
      </c>
    </row>
    <row r="114" spans="1:15" s="142" customFormat="1" ht="15.75" customHeight="1" x14ac:dyDescent="0.2">
      <c r="A114" s="149" t="s">
        <v>144</v>
      </c>
      <c r="B114" s="186" t="s">
        <v>145</v>
      </c>
      <c r="C114" s="150" t="s">
        <v>267</v>
      </c>
      <c r="D114" s="1057">
        <v>266</v>
      </c>
      <c r="E114" s="1058">
        <v>150</v>
      </c>
      <c r="F114" s="1059">
        <v>31</v>
      </c>
      <c r="G114" s="1056">
        <v>85</v>
      </c>
      <c r="H114" s="1057">
        <v>96</v>
      </c>
      <c r="I114" s="1058">
        <v>56</v>
      </c>
      <c r="J114" s="1059">
        <v>8</v>
      </c>
      <c r="K114" s="1056">
        <v>32</v>
      </c>
      <c r="L114" s="282">
        <f t="shared" si="12"/>
        <v>0.36090225563909772</v>
      </c>
      <c r="M114" s="283">
        <f t="shared" si="13"/>
        <v>0.37333333333333335</v>
      </c>
      <c r="N114" s="283">
        <f t="shared" si="14"/>
        <v>0.25806451612903225</v>
      </c>
      <c r="O114" s="284">
        <f t="shared" si="15"/>
        <v>0.37647058823529411</v>
      </c>
    </row>
    <row r="115" spans="1:15" s="142" customFormat="1" ht="15.75" customHeight="1" x14ac:dyDescent="0.2">
      <c r="A115" s="149" t="s">
        <v>158</v>
      </c>
      <c r="B115" s="186" t="s">
        <v>159</v>
      </c>
      <c r="C115" s="150" t="s">
        <v>264</v>
      </c>
      <c r="D115" s="1057">
        <v>2799</v>
      </c>
      <c r="E115" s="1058">
        <v>1077</v>
      </c>
      <c r="F115" s="1059">
        <v>1312</v>
      </c>
      <c r="G115" s="1056">
        <v>410</v>
      </c>
      <c r="H115" s="1057">
        <v>1389</v>
      </c>
      <c r="I115" s="1058">
        <v>309</v>
      </c>
      <c r="J115" s="1059">
        <v>912</v>
      </c>
      <c r="K115" s="1056">
        <v>168</v>
      </c>
      <c r="L115" s="282">
        <f t="shared" si="12"/>
        <v>0.4962486602357985</v>
      </c>
      <c r="M115" s="283">
        <f t="shared" si="13"/>
        <v>0.28690807799442897</v>
      </c>
      <c r="N115" s="283">
        <f t="shared" si="14"/>
        <v>0.69512195121951215</v>
      </c>
      <c r="O115" s="284">
        <f t="shared" si="15"/>
        <v>0.40975609756097559</v>
      </c>
    </row>
    <row r="116" spans="1:15" s="142" customFormat="1" ht="15.75" customHeight="1" x14ac:dyDescent="0.2">
      <c r="A116" s="149" t="s">
        <v>160</v>
      </c>
      <c r="B116" s="186" t="s">
        <v>161</v>
      </c>
      <c r="C116" s="150" t="s">
        <v>264</v>
      </c>
      <c r="D116" s="1057">
        <v>3726</v>
      </c>
      <c r="E116" s="1058">
        <v>1623</v>
      </c>
      <c r="F116" s="1059">
        <v>1695</v>
      </c>
      <c r="G116" s="1056">
        <v>408</v>
      </c>
      <c r="H116" s="1057">
        <v>1750</v>
      </c>
      <c r="I116" s="1058">
        <v>383</v>
      </c>
      <c r="J116" s="1059">
        <v>1213</v>
      </c>
      <c r="K116" s="1056">
        <v>154</v>
      </c>
      <c r="L116" s="282">
        <f t="shared" si="12"/>
        <v>0.46967257112184646</v>
      </c>
      <c r="M116" s="283">
        <f t="shared" si="13"/>
        <v>0.23598274799753544</v>
      </c>
      <c r="N116" s="283">
        <f t="shared" si="14"/>
        <v>0.71563421828908558</v>
      </c>
      <c r="O116" s="284">
        <f t="shared" si="15"/>
        <v>0.37745098039215685</v>
      </c>
    </row>
    <row r="117" spans="1:15" s="142" customFormat="1" ht="15.75" customHeight="1" x14ac:dyDescent="0.2">
      <c r="A117" s="149" t="s">
        <v>166</v>
      </c>
      <c r="B117" s="186" t="s">
        <v>167</v>
      </c>
      <c r="C117" s="150" t="s">
        <v>268</v>
      </c>
      <c r="D117" s="1057">
        <v>51</v>
      </c>
      <c r="E117" s="1058">
        <v>48</v>
      </c>
      <c r="F117" s="1059">
        <v>3</v>
      </c>
      <c r="G117" s="1056">
        <v>0</v>
      </c>
      <c r="H117" s="1057">
        <v>25</v>
      </c>
      <c r="I117" s="1058">
        <v>22</v>
      </c>
      <c r="J117" s="1059">
        <v>3</v>
      </c>
      <c r="K117" s="1056">
        <v>0</v>
      </c>
      <c r="L117" s="282">
        <f t="shared" si="12"/>
        <v>0.49019607843137253</v>
      </c>
      <c r="M117" s="283">
        <f t="shared" si="13"/>
        <v>0.45833333333333331</v>
      </c>
      <c r="N117" s="283">
        <f t="shared" si="14"/>
        <v>1</v>
      </c>
      <c r="O117" s="284" t="str">
        <f t="shared" si="15"/>
        <v>NA</v>
      </c>
    </row>
    <row r="118" spans="1:15" s="142" customFormat="1" ht="15.75" customHeight="1" x14ac:dyDescent="0.2">
      <c r="A118" s="149" t="s">
        <v>176</v>
      </c>
      <c r="B118" s="186" t="s">
        <v>177</v>
      </c>
      <c r="C118" s="150" t="s">
        <v>266</v>
      </c>
      <c r="D118" s="1057">
        <v>687</v>
      </c>
      <c r="E118" s="1058">
        <v>185</v>
      </c>
      <c r="F118" s="1059">
        <v>463</v>
      </c>
      <c r="G118" s="1056">
        <v>39</v>
      </c>
      <c r="H118" s="1057">
        <v>486</v>
      </c>
      <c r="I118" s="1058">
        <v>79</v>
      </c>
      <c r="J118" s="1059">
        <v>383</v>
      </c>
      <c r="K118" s="1056">
        <v>24</v>
      </c>
      <c r="L118" s="282">
        <f t="shared" si="12"/>
        <v>0.70742358078602618</v>
      </c>
      <c r="M118" s="283">
        <f t="shared" si="13"/>
        <v>0.42702702702702705</v>
      </c>
      <c r="N118" s="283">
        <f t="shared" si="14"/>
        <v>0.82721382289416845</v>
      </c>
      <c r="O118" s="284">
        <f t="shared" si="15"/>
        <v>0.61538461538461542</v>
      </c>
    </row>
    <row r="119" spans="1:15" s="142" customFormat="1" ht="15.75" customHeight="1" x14ac:dyDescent="0.2">
      <c r="A119" s="149" t="s">
        <v>180</v>
      </c>
      <c r="B119" s="186" t="s">
        <v>181</v>
      </c>
      <c r="C119" s="150" t="s">
        <v>264</v>
      </c>
      <c r="D119" s="1057">
        <v>1542</v>
      </c>
      <c r="E119" s="1058">
        <v>604</v>
      </c>
      <c r="F119" s="1059">
        <v>850</v>
      </c>
      <c r="G119" s="1056">
        <v>88</v>
      </c>
      <c r="H119" s="1057">
        <v>834</v>
      </c>
      <c r="I119" s="1058">
        <v>187</v>
      </c>
      <c r="J119" s="1059">
        <v>609</v>
      </c>
      <c r="K119" s="1056">
        <v>38</v>
      </c>
      <c r="L119" s="282">
        <f t="shared" si="12"/>
        <v>0.54085603112840464</v>
      </c>
      <c r="M119" s="283">
        <f t="shared" si="13"/>
        <v>0.30960264900662254</v>
      </c>
      <c r="N119" s="283">
        <f t="shared" si="14"/>
        <v>0.71647058823529408</v>
      </c>
      <c r="O119" s="284">
        <f t="shared" si="15"/>
        <v>0.43181818181818182</v>
      </c>
    </row>
    <row r="120" spans="1:15" s="142" customFormat="1" ht="15.75" customHeight="1" x14ac:dyDescent="0.2">
      <c r="A120" s="149" t="s">
        <v>192</v>
      </c>
      <c r="B120" s="186" t="s">
        <v>193</v>
      </c>
      <c r="C120" s="150" t="s">
        <v>268</v>
      </c>
      <c r="D120" s="1057">
        <v>138</v>
      </c>
      <c r="E120" s="1058">
        <v>125</v>
      </c>
      <c r="F120" s="1059">
        <v>11</v>
      </c>
      <c r="G120" s="1056">
        <v>2</v>
      </c>
      <c r="H120" s="1057">
        <v>52</v>
      </c>
      <c r="I120" s="1058">
        <v>42</v>
      </c>
      <c r="J120" s="1059">
        <v>9</v>
      </c>
      <c r="K120" s="1056">
        <v>1</v>
      </c>
      <c r="L120" s="282">
        <f t="shared" si="12"/>
        <v>0.37681159420289856</v>
      </c>
      <c r="M120" s="283">
        <f t="shared" si="13"/>
        <v>0.33600000000000002</v>
      </c>
      <c r="N120" s="283">
        <f t="shared" si="14"/>
        <v>0.81818181818181823</v>
      </c>
      <c r="O120" s="284">
        <f t="shared" si="15"/>
        <v>0.5</v>
      </c>
    </row>
    <row r="121" spans="1:15" s="142" customFormat="1" ht="15.75" customHeight="1" x14ac:dyDescent="0.2">
      <c r="A121" s="149" t="s">
        <v>196</v>
      </c>
      <c r="B121" s="186" t="s">
        <v>197</v>
      </c>
      <c r="C121" s="150" t="s">
        <v>266</v>
      </c>
      <c r="D121" s="1057">
        <v>3107</v>
      </c>
      <c r="E121" s="1058">
        <v>1115</v>
      </c>
      <c r="F121" s="1059">
        <v>1719</v>
      </c>
      <c r="G121" s="1056">
        <v>273</v>
      </c>
      <c r="H121" s="1057">
        <v>1943</v>
      </c>
      <c r="I121" s="1058">
        <v>339</v>
      </c>
      <c r="J121" s="1059">
        <v>1447</v>
      </c>
      <c r="K121" s="1056">
        <v>157</v>
      </c>
      <c r="L121" s="282">
        <f t="shared" si="12"/>
        <v>0.62536208561313167</v>
      </c>
      <c r="M121" s="283">
        <f t="shared" si="13"/>
        <v>0.3040358744394619</v>
      </c>
      <c r="N121" s="283">
        <f t="shared" si="14"/>
        <v>0.84176847004072131</v>
      </c>
      <c r="O121" s="284">
        <f t="shared" si="15"/>
        <v>0.57509157509157505</v>
      </c>
    </row>
    <row r="122" spans="1:15" s="142" customFormat="1" ht="15.75" customHeight="1" x14ac:dyDescent="0.2">
      <c r="A122" s="149" t="s">
        <v>200</v>
      </c>
      <c r="B122" s="186" t="s">
        <v>201</v>
      </c>
      <c r="C122" s="150" t="s">
        <v>265</v>
      </c>
      <c r="D122" s="1057">
        <v>1522</v>
      </c>
      <c r="E122" s="1058">
        <v>1027</v>
      </c>
      <c r="F122" s="1059">
        <v>435</v>
      </c>
      <c r="G122" s="1056">
        <v>60</v>
      </c>
      <c r="H122" s="1057">
        <v>850</v>
      </c>
      <c r="I122" s="1058">
        <v>471</v>
      </c>
      <c r="J122" s="1059">
        <v>363</v>
      </c>
      <c r="K122" s="1056">
        <v>16</v>
      </c>
      <c r="L122" s="282">
        <f t="shared" si="12"/>
        <v>0.55847568988173457</v>
      </c>
      <c r="M122" s="283">
        <f t="shared" si="13"/>
        <v>0.45861733203505356</v>
      </c>
      <c r="N122" s="283">
        <f t="shared" si="14"/>
        <v>0.83448275862068966</v>
      </c>
      <c r="O122" s="284">
        <f t="shared" si="15"/>
        <v>0.26666666666666666</v>
      </c>
    </row>
    <row r="123" spans="1:15" s="142" customFormat="1" ht="15.75" customHeight="1" x14ac:dyDescent="0.2">
      <c r="A123" s="149" t="s">
        <v>222</v>
      </c>
      <c r="B123" s="186" t="s">
        <v>223</v>
      </c>
      <c r="C123" s="150" t="s">
        <v>264</v>
      </c>
      <c r="D123" s="1057">
        <v>1163</v>
      </c>
      <c r="E123" s="1058">
        <v>563</v>
      </c>
      <c r="F123" s="1059">
        <v>519</v>
      </c>
      <c r="G123" s="1056">
        <v>81</v>
      </c>
      <c r="H123" s="1057">
        <v>462</v>
      </c>
      <c r="I123" s="1058">
        <v>114</v>
      </c>
      <c r="J123" s="1059">
        <v>331</v>
      </c>
      <c r="K123" s="1056">
        <v>17</v>
      </c>
      <c r="L123" s="282">
        <f t="shared" si="12"/>
        <v>0.39724849527085127</v>
      </c>
      <c r="M123" s="283">
        <f t="shared" si="13"/>
        <v>0.2024866785079929</v>
      </c>
      <c r="N123" s="283">
        <f t="shared" si="14"/>
        <v>0.63776493256262046</v>
      </c>
      <c r="O123" s="284">
        <f t="shared" si="15"/>
        <v>0.20987654320987653</v>
      </c>
    </row>
    <row r="124" spans="1:15" s="142" customFormat="1" ht="15.75" customHeight="1" x14ac:dyDescent="0.2">
      <c r="A124" s="149" t="s">
        <v>230</v>
      </c>
      <c r="B124" s="186" t="s">
        <v>231</v>
      </c>
      <c r="C124" s="150" t="s">
        <v>264</v>
      </c>
      <c r="D124" s="1057">
        <v>6101</v>
      </c>
      <c r="E124" s="1058">
        <v>3964</v>
      </c>
      <c r="F124" s="1059">
        <v>1233</v>
      </c>
      <c r="G124" s="1056">
        <v>904</v>
      </c>
      <c r="H124" s="1057">
        <v>1844</v>
      </c>
      <c r="I124" s="1058">
        <v>865</v>
      </c>
      <c r="J124" s="1059">
        <v>698</v>
      </c>
      <c r="K124" s="1056">
        <v>281</v>
      </c>
      <c r="L124" s="282">
        <f t="shared" si="12"/>
        <v>0.30224553351909522</v>
      </c>
      <c r="M124" s="283">
        <f t="shared" si="13"/>
        <v>0.21821392532795156</v>
      </c>
      <c r="N124" s="283">
        <f t="shared" si="14"/>
        <v>0.56609894566098951</v>
      </c>
      <c r="O124" s="284">
        <f t="shared" si="15"/>
        <v>0.31084070796460178</v>
      </c>
    </row>
    <row r="125" spans="1:15" s="142" customFormat="1" ht="15.75" customHeight="1" x14ac:dyDescent="0.2">
      <c r="A125" s="149" t="s">
        <v>238</v>
      </c>
      <c r="B125" s="186" t="s">
        <v>239</v>
      </c>
      <c r="C125" s="150" t="s">
        <v>264</v>
      </c>
      <c r="D125" s="1057">
        <v>97</v>
      </c>
      <c r="E125" s="1058">
        <v>40</v>
      </c>
      <c r="F125" s="1059">
        <v>33</v>
      </c>
      <c r="G125" s="1056">
        <v>24</v>
      </c>
      <c r="H125" s="1057">
        <v>50</v>
      </c>
      <c r="I125" s="1058">
        <v>11</v>
      </c>
      <c r="J125" s="1059">
        <v>25</v>
      </c>
      <c r="K125" s="1056">
        <v>14</v>
      </c>
      <c r="L125" s="282">
        <f t="shared" si="12"/>
        <v>0.51546391752577314</v>
      </c>
      <c r="M125" s="283">
        <f t="shared" si="13"/>
        <v>0.27500000000000002</v>
      </c>
      <c r="N125" s="283">
        <f t="shared" si="14"/>
        <v>0.75757575757575757</v>
      </c>
      <c r="O125" s="284">
        <f t="shared" si="15"/>
        <v>0.58333333333333337</v>
      </c>
    </row>
    <row r="126" spans="1:15" s="142" customFormat="1" ht="15.75" customHeight="1" x14ac:dyDescent="0.2">
      <c r="A126" s="155" t="s">
        <v>240</v>
      </c>
      <c r="B126" s="188" t="s">
        <v>241</v>
      </c>
      <c r="C126" s="156" t="s">
        <v>267</v>
      </c>
      <c r="D126" s="1060">
        <v>375</v>
      </c>
      <c r="E126" s="1061">
        <v>269</v>
      </c>
      <c r="F126" s="1062">
        <v>49</v>
      </c>
      <c r="G126" s="1063">
        <v>57</v>
      </c>
      <c r="H126" s="1060">
        <v>190</v>
      </c>
      <c r="I126" s="1061">
        <v>121</v>
      </c>
      <c r="J126" s="1062">
        <v>38</v>
      </c>
      <c r="K126" s="1063">
        <v>31</v>
      </c>
      <c r="L126" s="285">
        <f t="shared" si="12"/>
        <v>0.50666666666666671</v>
      </c>
      <c r="M126" s="286">
        <f t="shared" si="13"/>
        <v>0.44981412639405205</v>
      </c>
      <c r="N126" s="286">
        <f t="shared" si="14"/>
        <v>0.77551020408163263</v>
      </c>
      <c r="O126" s="287">
        <f t="shared" si="15"/>
        <v>0.54385964912280704</v>
      </c>
    </row>
    <row r="127" spans="1:15" s="142" customFormat="1" ht="15.75" customHeight="1" x14ac:dyDescent="0.2">
      <c r="A127" s="277"/>
      <c r="B127" s="233"/>
      <c r="C127" s="278"/>
      <c r="D127" s="152"/>
      <c r="E127" s="151"/>
      <c r="F127" s="152"/>
      <c r="G127" s="279"/>
      <c r="H127" s="152"/>
      <c r="I127" s="151"/>
      <c r="J127" s="152"/>
      <c r="K127" s="151"/>
      <c r="L127" s="280"/>
      <c r="M127" s="280"/>
      <c r="N127" s="280"/>
      <c r="O127" s="280"/>
    </row>
    <row r="128" spans="1:15" s="142" customFormat="1" ht="15.75" customHeight="1" x14ac:dyDescent="0.2">
      <c r="A128" s="277" t="s">
        <v>266</v>
      </c>
      <c r="B128" s="233"/>
      <c r="C128" s="278"/>
      <c r="D128" s="288">
        <v>16251</v>
      </c>
      <c r="E128" s="154">
        <v>9481</v>
      </c>
      <c r="F128" s="153">
        <v>5107</v>
      </c>
      <c r="G128" s="289">
        <v>1663</v>
      </c>
      <c r="H128" s="288">
        <v>6937</v>
      </c>
      <c r="I128" s="154">
        <v>2542</v>
      </c>
      <c r="J128" s="153">
        <v>3830</v>
      </c>
      <c r="K128" s="290">
        <v>565</v>
      </c>
      <c r="L128" s="282">
        <f t="shared" ref="L128:O132" si="16">H128/D128</f>
        <v>0.42686603901298381</v>
      </c>
      <c r="M128" s="283">
        <f t="shared" si="16"/>
        <v>0.26811517772386878</v>
      </c>
      <c r="N128" s="283">
        <f t="shared" si="16"/>
        <v>0.74995104758175057</v>
      </c>
      <c r="O128" s="284">
        <f t="shared" si="16"/>
        <v>0.33974744437763077</v>
      </c>
    </row>
    <row r="129" spans="1:15" s="142" customFormat="1" ht="15.75" customHeight="1" x14ac:dyDescent="0.2">
      <c r="A129" s="277" t="s">
        <v>264</v>
      </c>
      <c r="B129" s="233"/>
      <c r="C129" s="278"/>
      <c r="D129" s="288">
        <v>24058</v>
      </c>
      <c r="E129" s="154">
        <v>13016</v>
      </c>
      <c r="F129" s="153">
        <v>8387</v>
      </c>
      <c r="G129" s="289">
        <v>2655</v>
      </c>
      <c r="H129" s="288">
        <v>9760</v>
      </c>
      <c r="I129" s="154">
        <v>3240</v>
      </c>
      <c r="J129" s="153">
        <v>5611</v>
      </c>
      <c r="K129" s="290">
        <v>909</v>
      </c>
      <c r="L129" s="282">
        <f t="shared" si="16"/>
        <v>0.40568625820932747</v>
      </c>
      <c r="M129" s="283">
        <f t="shared" si="16"/>
        <v>0.24892440073755379</v>
      </c>
      <c r="N129" s="283">
        <f t="shared" si="16"/>
        <v>0.66901156551806362</v>
      </c>
      <c r="O129" s="284">
        <f t="shared" si="16"/>
        <v>0.34237288135593219</v>
      </c>
    </row>
    <row r="130" spans="1:15" s="142" customFormat="1" ht="15.75" customHeight="1" x14ac:dyDescent="0.2">
      <c r="A130" s="277" t="s">
        <v>267</v>
      </c>
      <c r="B130" s="233"/>
      <c r="C130" s="278"/>
      <c r="D130" s="288">
        <v>44928</v>
      </c>
      <c r="E130" s="154">
        <v>27405</v>
      </c>
      <c r="F130" s="153">
        <v>5332</v>
      </c>
      <c r="G130" s="289">
        <v>12191</v>
      </c>
      <c r="H130" s="288">
        <v>11492</v>
      </c>
      <c r="I130" s="154">
        <v>5356</v>
      </c>
      <c r="J130" s="153">
        <v>2440</v>
      </c>
      <c r="K130" s="290">
        <v>3696</v>
      </c>
      <c r="L130" s="282">
        <f t="shared" si="16"/>
        <v>0.25578703703703703</v>
      </c>
      <c r="M130" s="283">
        <f t="shared" si="16"/>
        <v>0.19543878854223681</v>
      </c>
      <c r="N130" s="283">
        <f t="shared" si="16"/>
        <v>0.45761440360090022</v>
      </c>
      <c r="O130" s="284">
        <f t="shared" si="16"/>
        <v>0.30317447297186451</v>
      </c>
    </row>
    <row r="131" spans="1:15" s="142" customFormat="1" ht="15.75" customHeight="1" x14ac:dyDescent="0.2">
      <c r="A131" s="277" t="s">
        <v>265</v>
      </c>
      <c r="B131" s="233"/>
      <c r="C131" s="278"/>
      <c r="D131" s="288">
        <v>12469</v>
      </c>
      <c r="E131" s="154">
        <v>9442</v>
      </c>
      <c r="F131" s="153">
        <v>2392</v>
      </c>
      <c r="G131" s="289">
        <v>635</v>
      </c>
      <c r="H131" s="288">
        <v>5289</v>
      </c>
      <c r="I131" s="154">
        <v>3245</v>
      </c>
      <c r="J131" s="153">
        <v>1841</v>
      </c>
      <c r="K131" s="290">
        <v>203</v>
      </c>
      <c r="L131" s="282">
        <f t="shared" si="16"/>
        <v>0.42417194642713929</v>
      </c>
      <c r="M131" s="283">
        <f t="shared" si="16"/>
        <v>0.34367718703664479</v>
      </c>
      <c r="N131" s="283">
        <f t="shared" si="16"/>
        <v>0.76964882943143809</v>
      </c>
      <c r="O131" s="284">
        <f t="shared" si="16"/>
        <v>0.31968503937007875</v>
      </c>
    </row>
    <row r="132" spans="1:15" s="142" customFormat="1" ht="15.75" customHeight="1" x14ac:dyDescent="0.2">
      <c r="A132" s="277" t="s">
        <v>268</v>
      </c>
      <c r="B132" s="233"/>
      <c r="C132" s="278"/>
      <c r="D132" s="288">
        <v>5367</v>
      </c>
      <c r="E132" s="154">
        <v>5090</v>
      </c>
      <c r="F132" s="153">
        <v>107</v>
      </c>
      <c r="G132" s="289">
        <v>170</v>
      </c>
      <c r="H132" s="288">
        <v>2034</v>
      </c>
      <c r="I132" s="154">
        <v>1893</v>
      </c>
      <c r="J132" s="153">
        <v>81</v>
      </c>
      <c r="K132" s="290">
        <v>60</v>
      </c>
      <c r="L132" s="282">
        <f t="shared" si="16"/>
        <v>0.37898267188373391</v>
      </c>
      <c r="M132" s="283">
        <f t="shared" si="16"/>
        <v>0.37190569744597252</v>
      </c>
      <c r="N132" s="283">
        <f t="shared" si="16"/>
        <v>0.7570093457943925</v>
      </c>
      <c r="O132" s="284">
        <f t="shared" si="16"/>
        <v>0.35294117647058826</v>
      </c>
    </row>
    <row r="133" spans="1:15" s="142" customFormat="1" ht="15.75" customHeight="1" x14ac:dyDescent="0.2">
      <c r="A133" s="277"/>
      <c r="B133" s="233"/>
      <c r="C133" s="278"/>
      <c r="D133" s="152"/>
      <c r="E133" s="151"/>
      <c r="F133" s="152"/>
      <c r="G133" s="279"/>
      <c r="H133" s="152"/>
      <c r="I133" s="151"/>
      <c r="J133" s="152"/>
      <c r="K133" s="151"/>
      <c r="L133" s="280"/>
      <c r="M133" s="280"/>
      <c r="N133" s="280"/>
      <c r="O133" s="280"/>
    </row>
    <row r="134" spans="1:15" ht="28.5" customHeight="1" x14ac:dyDescent="0.25">
      <c r="A134" s="2719" t="s">
        <v>1059</v>
      </c>
      <c r="B134" s="2719"/>
      <c r="C134" s="2719"/>
      <c r="D134" s="2719"/>
      <c r="E134" s="2719"/>
      <c r="F134" s="2719"/>
      <c r="G134" s="2719"/>
      <c r="H134" s="2719"/>
      <c r="I134" s="2719"/>
      <c r="J134" s="2719"/>
      <c r="K134" s="2719"/>
      <c r="L134" s="2719"/>
      <c r="M134" s="2719"/>
      <c r="N134" s="2719"/>
      <c r="O134" s="2719"/>
    </row>
    <row r="135" spans="1:15" s="182" customFormat="1" ht="12.75" x14ac:dyDescent="0.2">
      <c r="A135" s="182" t="s">
        <v>248</v>
      </c>
    </row>
    <row r="136" spans="1:15" s="182" customFormat="1" ht="12.75" x14ac:dyDescent="0.2">
      <c r="A136" s="189" t="s">
        <v>249</v>
      </c>
      <c r="B136" s="167" t="s">
        <v>250</v>
      </c>
    </row>
  </sheetData>
  <autoFilter ref="A4:C126"/>
  <sortState ref="A7:O126">
    <sortCondition ref="A7:A126"/>
  </sortState>
  <mergeCells count="9">
    <mergeCell ref="A134:O134"/>
    <mergeCell ref="H4:K4"/>
    <mergeCell ref="L4:O4"/>
    <mergeCell ref="H3:O3"/>
    <mergeCell ref="E2:G2"/>
    <mergeCell ref="A4:A5"/>
    <mergeCell ref="B4:B5"/>
    <mergeCell ref="C4:C5"/>
    <mergeCell ref="D4:G4"/>
  </mergeCells>
  <hyperlinks>
    <hyperlink ref="B136"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xSplit="2" ySplit="5" topLeftCell="C109" activePane="bottomRight" state="frozen"/>
      <selection pane="topRight" activeCell="C1" sqref="C1"/>
      <selection pane="bottomLeft" activeCell="A6" sqref="A6"/>
      <selection pane="bottomRight" activeCell="G136" sqref="G136"/>
    </sheetView>
  </sheetViews>
  <sheetFormatPr defaultRowHeight="12.75" x14ac:dyDescent="0.2"/>
  <cols>
    <col min="1" max="1" width="9" style="1110"/>
    <col min="2" max="2" width="24.5" style="1110" customWidth="1"/>
    <col min="3" max="3" width="13.625" style="1110" customWidth="1"/>
    <col min="4" max="7" width="9" style="1110"/>
    <col min="8" max="11" width="7.125" style="1110" customWidth="1"/>
    <col min="12" max="15" width="6.875" style="1110" customWidth="1"/>
    <col min="16" max="16384" width="9" style="1110"/>
  </cols>
  <sheetData>
    <row r="1" spans="1:15" ht="15.75" x14ac:dyDescent="0.25">
      <c r="A1" s="1109" t="s">
        <v>1223</v>
      </c>
    </row>
    <row r="3" spans="1:15" x14ac:dyDescent="0.2">
      <c r="B3" s="1111"/>
      <c r="C3" s="1111"/>
      <c r="D3" s="2728" t="s">
        <v>863</v>
      </c>
      <c r="E3" s="2729"/>
      <c r="F3" s="2729"/>
      <c r="G3" s="2730"/>
      <c r="H3" s="2728" t="s">
        <v>1060</v>
      </c>
      <c r="I3" s="2729"/>
      <c r="J3" s="2729"/>
      <c r="K3" s="2730"/>
      <c r="L3" s="2731" t="s">
        <v>870</v>
      </c>
      <c r="M3" s="2731"/>
      <c r="N3" s="2731"/>
      <c r="O3" s="2731"/>
    </row>
    <row r="4" spans="1:15" x14ac:dyDescent="0.2">
      <c r="A4" s="1112" t="s">
        <v>4</v>
      </c>
      <c r="B4" s="1112" t="s">
        <v>606</v>
      </c>
      <c r="C4" s="1112" t="s">
        <v>251</v>
      </c>
      <c r="D4" s="1113" t="s">
        <v>281</v>
      </c>
      <c r="E4" s="1114" t="s">
        <v>2</v>
      </c>
      <c r="F4" s="1114" t="s">
        <v>445</v>
      </c>
      <c r="G4" s="1115" t="s">
        <v>446</v>
      </c>
      <c r="H4" s="1113" t="s">
        <v>281</v>
      </c>
      <c r="I4" s="1114" t="s">
        <v>2</v>
      </c>
      <c r="J4" s="1114" t="s">
        <v>445</v>
      </c>
      <c r="K4" s="1115" t="s">
        <v>446</v>
      </c>
      <c r="L4" s="1113" t="s">
        <v>281</v>
      </c>
      <c r="M4" s="1114" t="s">
        <v>2</v>
      </c>
      <c r="N4" s="1114" t="s">
        <v>445</v>
      </c>
      <c r="O4" s="1115" t="s">
        <v>446</v>
      </c>
    </row>
    <row r="5" spans="1:15" x14ac:dyDescent="0.2">
      <c r="A5" s="1120" t="s">
        <v>8</v>
      </c>
      <c r="B5" s="1121" t="s">
        <v>9</v>
      </c>
      <c r="C5" s="1121"/>
      <c r="D5" s="1122">
        <f>SUM(D6:D125)</f>
        <v>4544</v>
      </c>
      <c r="E5" s="1123">
        <f t="shared" ref="E5:G5" si="0">SUM(E6:E125)</f>
        <v>2396</v>
      </c>
      <c r="F5" s="1123">
        <f t="shared" si="0"/>
        <v>1432</v>
      </c>
      <c r="G5" s="1124">
        <f t="shared" si="0"/>
        <v>716</v>
      </c>
      <c r="H5" s="1122">
        <f t="shared" ref="H5" si="1">SUM(H6:H125)</f>
        <v>520201</v>
      </c>
      <c r="I5" s="1125">
        <f t="shared" ref="I5" si="2">SUM(I6:I125)</f>
        <v>354840</v>
      </c>
      <c r="J5" s="1125">
        <f t="shared" ref="J5" si="3">SUM(J6:J125)</f>
        <v>123387</v>
      </c>
      <c r="K5" s="1124">
        <f t="shared" ref="K5" si="4">SUM(K6:K125)</f>
        <v>41974</v>
      </c>
      <c r="L5" s="1135">
        <f t="shared" ref="L5" si="5">IF(H5=0,"NA",(D5/H5)*1000)</f>
        <v>8.735085092108628</v>
      </c>
      <c r="M5" s="1136">
        <f t="shared" ref="M5:O5" si="6">IF(I5=0,"NA",(E5/I5)*1000)</f>
        <v>6.7523390824033367</v>
      </c>
      <c r="N5" s="1136">
        <f t="shared" si="6"/>
        <v>11.605760736544369</v>
      </c>
      <c r="O5" s="1137">
        <f t="shared" si="6"/>
        <v>17.058178872635441</v>
      </c>
    </row>
    <row r="6" spans="1:15" x14ac:dyDescent="0.2">
      <c r="A6" s="1110" t="s">
        <v>10</v>
      </c>
      <c r="B6" s="1110" t="s">
        <v>11</v>
      </c>
      <c r="C6" s="1110" t="s">
        <v>264</v>
      </c>
      <c r="D6" s="1116">
        <v>25</v>
      </c>
      <c r="E6" s="1117">
        <v>12</v>
      </c>
      <c r="F6" s="1117">
        <v>12</v>
      </c>
      <c r="G6" s="1118">
        <v>1</v>
      </c>
      <c r="H6" s="1116">
        <v>1669</v>
      </c>
      <c r="I6" s="1117">
        <v>1069</v>
      </c>
      <c r="J6" s="1117">
        <v>567</v>
      </c>
      <c r="K6" s="1118">
        <v>33</v>
      </c>
      <c r="L6" s="1138">
        <f t="shared" ref="L6:L37" si="7">IF(H6=0,"NA",(D6/H6)*1000)</f>
        <v>14.979029358897543</v>
      </c>
      <c r="M6" s="1139">
        <f t="shared" ref="M6:M37" si="8">IF(I6=0,"NA",(E6/I6)*1000)</f>
        <v>11.225444340505144</v>
      </c>
      <c r="N6" s="1139">
        <f t="shared" ref="N6:N37" si="9">IF(J6=0,"NA",(F6/J6)*1000)</f>
        <v>21.164021164021165</v>
      </c>
      <c r="O6" s="1140">
        <f t="shared" ref="O6:O37" si="10">IF(K6=0,"NA",(G6/K6)*1000)</f>
        <v>30.303030303030305</v>
      </c>
    </row>
    <row r="7" spans="1:15" x14ac:dyDescent="0.2">
      <c r="A7" s="1110" t="s">
        <v>12</v>
      </c>
      <c r="B7" s="1110" t="s">
        <v>13</v>
      </c>
      <c r="C7" s="1110" t="s">
        <v>265</v>
      </c>
      <c r="D7" s="1116">
        <v>20</v>
      </c>
      <c r="E7" s="1117">
        <v>15</v>
      </c>
      <c r="F7" s="1117">
        <v>4</v>
      </c>
      <c r="G7" s="1118">
        <v>1</v>
      </c>
      <c r="H7" s="1116">
        <v>7883</v>
      </c>
      <c r="I7" s="1117">
        <v>6235</v>
      </c>
      <c r="J7" s="1117">
        <v>951</v>
      </c>
      <c r="K7" s="1118">
        <v>697</v>
      </c>
      <c r="L7" s="1138">
        <f t="shared" si="7"/>
        <v>2.5371051630090067</v>
      </c>
      <c r="M7" s="1139">
        <f t="shared" si="8"/>
        <v>2.4057738572574179</v>
      </c>
      <c r="N7" s="1139">
        <f t="shared" si="9"/>
        <v>4.2060988433228177</v>
      </c>
      <c r="O7" s="1140">
        <f t="shared" si="10"/>
        <v>1.4347202295552368</v>
      </c>
    </row>
    <row r="8" spans="1:15" x14ac:dyDescent="0.2">
      <c r="A8" s="1110" t="s">
        <v>16</v>
      </c>
      <c r="B8" s="1110" t="s">
        <v>297</v>
      </c>
      <c r="C8" s="1110" t="s">
        <v>265</v>
      </c>
      <c r="D8" s="1116">
        <v>21</v>
      </c>
      <c r="E8" s="1117">
        <v>16</v>
      </c>
      <c r="F8" s="1117">
        <v>4</v>
      </c>
      <c r="G8" s="1118">
        <v>1</v>
      </c>
      <c r="H8" s="1116">
        <v>1197</v>
      </c>
      <c r="I8" s="1117">
        <v>1077</v>
      </c>
      <c r="J8" s="1117">
        <v>110</v>
      </c>
      <c r="K8" s="1118">
        <v>10</v>
      </c>
      <c r="L8" s="1138">
        <f t="shared" si="7"/>
        <v>17.543859649122805</v>
      </c>
      <c r="M8" s="1139">
        <f t="shared" si="8"/>
        <v>14.856081708449397</v>
      </c>
      <c r="N8" s="1139">
        <f t="shared" si="9"/>
        <v>36.36363636363636</v>
      </c>
      <c r="O8" s="1140">
        <f t="shared" si="10"/>
        <v>100</v>
      </c>
    </row>
    <row r="9" spans="1:15" x14ac:dyDescent="0.2">
      <c r="A9" s="1110" t="s">
        <v>18</v>
      </c>
      <c r="B9" s="1110" t="s">
        <v>19</v>
      </c>
      <c r="C9" s="1110" t="s">
        <v>266</v>
      </c>
      <c r="D9" s="1116">
        <v>6</v>
      </c>
      <c r="E9" s="1117">
        <v>5</v>
      </c>
      <c r="F9" s="1117">
        <v>1</v>
      </c>
      <c r="G9" s="1118">
        <v>0</v>
      </c>
      <c r="H9" s="1116">
        <v>761</v>
      </c>
      <c r="I9" s="1117">
        <v>547</v>
      </c>
      <c r="J9" s="1117">
        <v>182</v>
      </c>
      <c r="K9" s="1118">
        <v>32</v>
      </c>
      <c r="L9" s="1138">
        <f t="shared" si="7"/>
        <v>7.8843626806833109</v>
      </c>
      <c r="M9" s="1139">
        <f t="shared" si="8"/>
        <v>9.1407678244972583</v>
      </c>
      <c r="N9" s="1139">
        <f t="shared" si="9"/>
        <v>5.4945054945054945</v>
      </c>
      <c r="O9" s="1140">
        <f t="shared" si="10"/>
        <v>0</v>
      </c>
    </row>
    <row r="10" spans="1:15" x14ac:dyDescent="0.2">
      <c r="A10" s="1110" t="s">
        <v>20</v>
      </c>
      <c r="B10" s="1110" t="s">
        <v>21</v>
      </c>
      <c r="C10" s="1110" t="s">
        <v>265</v>
      </c>
      <c r="D10" s="1116">
        <v>20</v>
      </c>
      <c r="E10" s="1117">
        <v>14</v>
      </c>
      <c r="F10" s="1117">
        <v>6</v>
      </c>
      <c r="G10" s="1118">
        <v>0</v>
      </c>
      <c r="H10" s="1116">
        <v>1920</v>
      </c>
      <c r="I10" s="1117">
        <v>1487</v>
      </c>
      <c r="J10" s="1117">
        <v>404</v>
      </c>
      <c r="K10" s="1118">
        <v>29</v>
      </c>
      <c r="L10" s="1138">
        <f t="shared" si="7"/>
        <v>10.416666666666666</v>
      </c>
      <c r="M10" s="1139">
        <f t="shared" si="8"/>
        <v>9.4149293880295897</v>
      </c>
      <c r="N10" s="1139">
        <f t="shared" si="9"/>
        <v>14.85148514851485</v>
      </c>
      <c r="O10" s="1140">
        <f t="shared" si="10"/>
        <v>0</v>
      </c>
    </row>
    <row r="11" spans="1:15" x14ac:dyDescent="0.2">
      <c r="A11" s="1110" t="s">
        <v>22</v>
      </c>
      <c r="B11" s="1110" t="s">
        <v>23</v>
      </c>
      <c r="C11" s="1110" t="s">
        <v>265</v>
      </c>
      <c r="D11" s="1116">
        <v>9</v>
      </c>
      <c r="E11" s="1117">
        <v>7</v>
      </c>
      <c r="F11" s="1117">
        <v>2</v>
      </c>
      <c r="G11" s="1118">
        <v>0</v>
      </c>
      <c r="H11" s="1116">
        <v>907</v>
      </c>
      <c r="I11" s="1117">
        <v>673</v>
      </c>
      <c r="J11" s="1117">
        <v>224</v>
      </c>
      <c r="K11" s="1118">
        <v>10</v>
      </c>
      <c r="L11" s="1138">
        <f t="shared" si="7"/>
        <v>9.9228224917309813</v>
      </c>
      <c r="M11" s="1139">
        <f t="shared" si="8"/>
        <v>10.401188707280832</v>
      </c>
      <c r="N11" s="1139">
        <f t="shared" si="9"/>
        <v>8.9285714285714288</v>
      </c>
      <c r="O11" s="1140">
        <f t="shared" si="10"/>
        <v>0</v>
      </c>
    </row>
    <row r="12" spans="1:15" x14ac:dyDescent="0.2">
      <c r="A12" s="1110" t="s">
        <v>24</v>
      </c>
      <c r="B12" s="1110" t="s">
        <v>25</v>
      </c>
      <c r="C12" s="1110" t="s">
        <v>267</v>
      </c>
      <c r="D12" s="1116">
        <v>55</v>
      </c>
      <c r="E12" s="1117">
        <v>22</v>
      </c>
      <c r="F12" s="1117">
        <v>5</v>
      </c>
      <c r="G12" s="1118">
        <v>28</v>
      </c>
      <c r="H12" s="1116">
        <v>8853</v>
      </c>
      <c r="I12" s="1117">
        <v>6648</v>
      </c>
      <c r="J12" s="1117">
        <v>1110</v>
      </c>
      <c r="K12" s="1118">
        <v>1095</v>
      </c>
      <c r="L12" s="1138">
        <f t="shared" si="7"/>
        <v>6.2125833050943182</v>
      </c>
      <c r="M12" s="1139">
        <f t="shared" si="8"/>
        <v>3.3092659446450061</v>
      </c>
      <c r="N12" s="1139">
        <f t="shared" si="9"/>
        <v>4.5045045045045047</v>
      </c>
      <c r="O12" s="1140">
        <f t="shared" si="10"/>
        <v>25.570776255707763</v>
      </c>
    </row>
    <row r="13" spans="1:15" x14ac:dyDescent="0.2">
      <c r="A13" s="1110" t="s">
        <v>26</v>
      </c>
      <c r="B13" s="1110" t="s">
        <v>298</v>
      </c>
      <c r="C13" s="1110" t="s">
        <v>265</v>
      </c>
      <c r="D13" s="1116">
        <v>87</v>
      </c>
      <c r="E13" s="1117">
        <v>79</v>
      </c>
      <c r="F13" s="1117">
        <v>4</v>
      </c>
      <c r="G13" s="1118">
        <v>4</v>
      </c>
      <c r="H13" s="1116">
        <v>6924</v>
      </c>
      <c r="I13" s="1117">
        <v>6084</v>
      </c>
      <c r="J13" s="1117">
        <v>718</v>
      </c>
      <c r="K13" s="1118">
        <v>122</v>
      </c>
      <c r="L13" s="1138">
        <f t="shared" si="7"/>
        <v>12.564991334488735</v>
      </c>
      <c r="M13" s="1139">
        <f t="shared" si="8"/>
        <v>12.984878369493753</v>
      </c>
      <c r="N13" s="1139">
        <f t="shared" si="9"/>
        <v>5.5710306406685239</v>
      </c>
      <c r="O13" s="1140">
        <f t="shared" si="10"/>
        <v>32.786885245901644</v>
      </c>
    </row>
    <row r="14" spans="1:15" x14ac:dyDescent="0.2">
      <c r="A14" s="1110" t="s">
        <v>27</v>
      </c>
      <c r="B14" s="1110" t="s">
        <v>28</v>
      </c>
      <c r="C14" s="1110" t="s">
        <v>265</v>
      </c>
      <c r="D14" s="1116">
        <v>1</v>
      </c>
      <c r="E14" s="1117">
        <v>0</v>
      </c>
      <c r="F14" s="1117">
        <v>0</v>
      </c>
      <c r="G14" s="1118">
        <v>1</v>
      </c>
      <c r="H14" s="1116">
        <v>217</v>
      </c>
      <c r="I14" s="1117">
        <v>207</v>
      </c>
      <c r="J14" s="1117">
        <v>10</v>
      </c>
      <c r="K14" s="1118">
        <v>0</v>
      </c>
      <c r="L14" s="1138">
        <f t="shared" si="7"/>
        <v>4.6082949308755756</v>
      </c>
      <c r="M14" s="1139">
        <f t="shared" si="8"/>
        <v>0</v>
      </c>
      <c r="N14" s="1139">
        <f t="shared" si="9"/>
        <v>0</v>
      </c>
      <c r="O14" s="1140" t="str">
        <f t="shared" si="10"/>
        <v>NA</v>
      </c>
    </row>
    <row r="15" spans="1:15" x14ac:dyDescent="0.2">
      <c r="A15" s="1110" t="s">
        <v>29</v>
      </c>
      <c r="B15" s="1110" t="s">
        <v>901</v>
      </c>
      <c r="C15" s="1110" t="s">
        <v>265</v>
      </c>
      <c r="D15" s="1116">
        <v>26</v>
      </c>
      <c r="E15" s="1117">
        <v>21</v>
      </c>
      <c r="F15" s="1117">
        <v>4</v>
      </c>
      <c r="G15" s="1118">
        <v>1</v>
      </c>
      <c r="H15" s="1116">
        <v>4780</v>
      </c>
      <c r="I15" s="1117">
        <v>4272</v>
      </c>
      <c r="J15" s="1117">
        <v>370</v>
      </c>
      <c r="K15" s="1118">
        <v>138</v>
      </c>
      <c r="L15" s="1138">
        <f t="shared" si="7"/>
        <v>5.4393305439330542</v>
      </c>
      <c r="M15" s="1139">
        <f t="shared" si="8"/>
        <v>4.9157303370786511</v>
      </c>
      <c r="N15" s="1139">
        <f t="shared" si="9"/>
        <v>10.810810810810811</v>
      </c>
      <c r="O15" s="1140">
        <f t="shared" si="10"/>
        <v>7.2463768115942031</v>
      </c>
    </row>
    <row r="16" spans="1:15" x14ac:dyDescent="0.2">
      <c r="A16" s="1110" t="s">
        <v>30</v>
      </c>
      <c r="B16" s="1110" t="s">
        <v>31</v>
      </c>
      <c r="C16" s="1110" t="s">
        <v>268</v>
      </c>
      <c r="D16" s="1116">
        <v>1</v>
      </c>
      <c r="E16" s="1117">
        <v>1</v>
      </c>
      <c r="F16" s="1117">
        <v>0</v>
      </c>
      <c r="G16" s="1118">
        <v>0</v>
      </c>
      <c r="H16" s="1116">
        <v>296</v>
      </c>
      <c r="I16" s="1117">
        <v>290</v>
      </c>
      <c r="J16" s="1117">
        <v>4</v>
      </c>
      <c r="K16" s="1118">
        <v>2</v>
      </c>
      <c r="L16" s="1138">
        <f t="shared" si="7"/>
        <v>3.3783783783783785</v>
      </c>
      <c r="M16" s="1139">
        <f t="shared" si="8"/>
        <v>3.4482758620689653</v>
      </c>
      <c r="N16" s="1139">
        <f t="shared" si="9"/>
        <v>0</v>
      </c>
      <c r="O16" s="1140">
        <f t="shared" si="10"/>
        <v>0</v>
      </c>
    </row>
    <row r="17" spans="1:15" x14ac:dyDescent="0.2">
      <c r="A17" s="1110" t="s">
        <v>32</v>
      </c>
      <c r="B17" s="1110" t="s">
        <v>33</v>
      </c>
      <c r="C17" s="1110" t="s">
        <v>265</v>
      </c>
      <c r="D17" s="1116">
        <v>14</v>
      </c>
      <c r="E17" s="1117">
        <v>14</v>
      </c>
      <c r="F17" s="1117">
        <v>0</v>
      </c>
      <c r="G17" s="1118">
        <v>0</v>
      </c>
      <c r="H17" s="1116">
        <v>2060</v>
      </c>
      <c r="I17" s="1117">
        <v>1952</v>
      </c>
      <c r="J17" s="1117">
        <v>77</v>
      </c>
      <c r="K17" s="1118">
        <v>31</v>
      </c>
      <c r="L17" s="1138">
        <f t="shared" si="7"/>
        <v>6.7961165048543686</v>
      </c>
      <c r="M17" s="1139">
        <f t="shared" si="8"/>
        <v>7.1721311475409841</v>
      </c>
      <c r="N17" s="1139">
        <f t="shared" si="9"/>
        <v>0</v>
      </c>
      <c r="O17" s="1140">
        <f t="shared" si="10"/>
        <v>0</v>
      </c>
    </row>
    <row r="18" spans="1:15" x14ac:dyDescent="0.2">
      <c r="A18" s="1110" t="s">
        <v>36</v>
      </c>
      <c r="B18" s="1110" t="s">
        <v>37</v>
      </c>
      <c r="C18" s="1110" t="s">
        <v>264</v>
      </c>
      <c r="D18" s="1116">
        <v>15</v>
      </c>
      <c r="E18" s="1117">
        <v>7</v>
      </c>
      <c r="F18" s="1117">
        <v>8</v>
      </c>
      <c r="G18" s="1118">
        <v>0</v>
      </c>
      <c r="H18" s="1116">
        <v>830</v>
      </c>
      <c r="I18" s="1117">
        <v>324</v>
      </c>
      <c r="J18" s="1117">
        <v>500</v>
      </c>
      <c r="K18" s="1118">
        <v>6</v>
      </c>
      <c r="L18" s="1138">
        <f t="shared" si="7"/>
        <v>18.072289156626507</v>
      </c>
      <c r="M18" s="1139">
        <f t="shared" si="8"/>
        <v>21.604938271604937</v>
      </c>
      <c r="N18" s="1139">
        <f t="shared" si="9"/>
        <v>16</v>
      </c>
      <c r="O18" s="1140">
        <f t="shared" si="10"/>
        <v>0</v>
      </c>
    </row>
    <row r="19" spans="1:15" x14ac:dyDescent="0.2">
      <c r="A19" s="1110" t="s">
        <v>38</v>
      </c>
      <c r="B19" s="1110" t="s">
        <v>39</v>
      </c>
      <c r="C19" s="1110" t="s">
        <v>268</v>
      </c>
      <c r="D19" s="1116">
        <v>20</v>
      </c>
      <c r="E19" s="1117">
        <v>20</v>
      </c>
      <c r="F19" s="1117">
        <v>0</v>
      </c>
      <c r="G19" s="1118">
        <v>0</v>
      </c>
      <c r="H19" s="1116">
        <v>1137</v>
      </c>
      <c r="I19" s="1117">
        <v>1091</v>
      </c>
      <c r="J19" s="1117">
        <v>42</v>
      </c>
      <c r="K19" s="1118">
        <v>4</v>
      </c>
      <c r="L19" s="1138">
        <f t="shared" si="7"/>
        <v>17.590149516270891</v>
      </c>
      <c r="M19" s="1139">
        <f t="shared" si="8"/>
        <v>18.331805682859763</v>
      </c>
      <c r="N19" s="1139">
        <f t="shared" si="9"/>
        <v>0</v>
      </c>
      <c r="O19" s="1140">
        <f t="shared" si="10"/>
        <v>0</v>
      </c>
    </row>
    <row r="20" spans="1:15" x14ac:dyDescent="0.2">
      <c r="A20" s="1110" t="s">
        <v>40</v>
      </c>
      <c r="B20" s="1110" t="s">
        <v>41</v>
      </c>
      <c r="C20" s="1110" t="s">
        <v>266</v>
      </c>
      <c r="D20" s="1116">
        <v>9</v>
      </c>
      <c r="E20" s="1117">
        <v>8</v>
      </c>
      <c r="F20" s="1117">
        <v>1</v>
      </c>
      <c r="G20" s="1118">
        <v>0</v>
      </c>
      <c r="H20" s="1116">
        <v>790</v>
      </c>
      <c r="I20" s="1117">
        <v>508</v>
      </c>
      <c r="J20" s="1117">
        <v>276</v>
      </c>
      <c r="K20" s="1118">
        <v>6</v>
      </c>
      <c r="L20" s="1138">
        <f t="shared" si="7"/>
        <v>11.39240506329114</v>
      </c>
      <c r="M20" s="1139">
        <f t="shared" si="8"/>
        <v>15.748031496062993</v>
      </c>
      <c r="N20" s="1139">
        <f t="shared" si="9"/>
        <v>3.6231884057971016</v>
      </c>
      <c r="O20" s="1140">
        <f t="shared" si="10"/>
        <v>0</v>
      </c>
    </row>
    <row r="21" spans="1:15" x14ac:dyDescent="0.2">
      <c r="A21" s="1110" t="s">
        <v>42</v>
      </c>
      <c r="B21" s="1110" t="s">
        <v>43</v>
      </c>
      <c r="C21" s="1110" t="s">
        <v>265</v>
      </c>
      <c r="D21" s="1116">
        <v>40</v>
      </c>
      <c r="E21" s="1117">
        <v>27</v>
      </c>
      <c r="F21" s="1117">
        <v>13</v>
      </c>
      <c r="G21" s="1118">
        <v>0</v>
      </c>
      <c r="H21" s="1116">
        <v>3159</v>
      </c>
      <c r="I21" s="1117">
        <v>2536</v>
      </c>
      <c r="J21" s="1117">
        <v>534</v>
      </c>
      <c r="K21" s="1118">
        <v>89</v>
      </c>
      <c r="L21" s="1138">
        <f t="shared" si="7"/>
        <v>12.662234884457106</v>
      </c>
      <c r="M21" s="1139">
        <f t="shared" si="8"/>
        <v>10.646687697160884</v>
      </c>
      <c r="N21" s="1139">
        <f t="shared" si="9"/>
        <v>24.344569288389515</v>
      </c>
      <c r="O21" s="1140">
        <f t="shared" si="10"/>
        <v>0</v>
      </c>
    </row>
    <row r="22" spans="1:15" x14ac:dyDescent="0.2">
      <c r="A22" s="1110" t="s">
        <v>44</v>
      </c>
      <c r="B22" s="1110" t="s">
        <v>45</v>
      </c>
      <c r="C22" s="1110" t="s">
        <v>266</v>
      </c>
      <c r="D22" s="1116">
        <v>22</v>
      </c>
      <c r="E22" s="1117">
        <v>15</v>
      </c>
      <c r="F22" s="1117">
        <v>4</v>
      </c>
      <c r="G22" s="1118">
        <v>3</v>
      </c>
      <c r="H22" s="1116">
        <v>1733</v>
      </c>
      <c r="I22" s="1117">
        <v>1139</v>
      </c>
      <c r="J22" s="1117">
        <v>558</v>
      </c>
      <c r="K22" s="1118">
        <v>36</v>
      </c>
      <c r="L22" s="1138">
        <f t="shared" si="7"/>
        <v>12.694748990190421</v>
      </c>
      <c r="M22" s="1139">
        <f t="shared" si="8"/>
        <v>13.169446883230904</v>
      </c>
      <c r="N22" s="1139">
        <f t="shared" si="9"/>
        <v>7.1684587813620073</v>
      </c>
      <c r="O22" s="1140">
        <f t="shared" si="10"/>
        <v>83.333333333333329</v>
      </c>
    </row>
    <row r="23" spans="1:15" x14ac:dyDescent="0.2">
      <c r="A23" s="1110" t="s">
        <v>46</v>
      </c>
      <c r="B23" s="1110" t="s">
        <v>47</v>
      </c>
      <c r="C23" s="1110" t="s">
        <v>268</v>
      </c>
      <c r="D23" s="1116">
        <v>23</v>
      </c>
      <c r="E23" s="1117">
        <v>22</v>
      </c>
      <c r="F23" s="1117">
        <v>0</v>
      </c>
      <c r="G23" s="1118">
        <v>1</v>
      </c>
      <c r="H23" s="1116">
        <v>1668</v>
      </c>
      <c r="I23" s="1117">
        <v>1629</v>
      </c>
      <c r="J23" s="1117">
        <v>26</v>
      </c>
      <c r="K23" s="1118">
        <v>13</v>
      </c>
      <c r="L23" s="1138">
        <f t="shared" si="7"/>
        <v>13.788968824940047</v>
      </c>
      <c r="M23" s="1139">
        <f t="shared" si="8"/>
        <v>13.505217925107429</v>
      </c>
      <c r="N23" s="1139">
        <f t="shared" si="9"/>
        <v>0</v>
      </c>
      <c r="O23" s="1140">
        <f t="shared" si="10"/>
        <v>76.923076923076934</v>
      </c>
    </row>
    <row r="24" spans="1:15" x14ac:dyDescent="0.2">
      <c r="A24" s="1110" t="s">
        <v>48</v>
      </c>
      <c r="B24" s="1110" t="s">
        <v>269</v>
      </c>
      <c r="C24" s="1110" t="s">
        <v>266</v>
      </c>
      <c r="D24" s="1116">
        <v>3</v>
      </c>
      <c r="E24" s="1117">
        <v>1</v>
      </c>
      <c r="F24" s="1117">
        <v>2</v>
      </c>
      <c r="G24" s="1118">
        <v>0</v>
      </c>
      <c r="H24" s="1116">
        <v>305</v>
      </c>
      <c r="I24" s="1117">
        <v>125</v>
      </c>
      <c r="J24" s="1117">
        <v>143</v>
      </c>
      <c r="K24" s="1118">
        <v>37</v>
      </c>
      <c r="L24" s="1138">
        <f t="shared" si="7"/>
        <v>9.8360655737704921</v>
      </c>
      <c r="M24" s="1139">
        <f t="shared" si="8"/>
        <v>8</v>
      </c>
      <c r="N24" s="1139">
        <f t="shared" si="9"/>
        <v>13.986013986013987</v>
      </c>
      <c r="O24" s="1140">
        <f t="shared" si="10"/>
        <v>0</v>
      </c>
    </row>
    <row r="25" spans="1:15" x14ac:dyDescent="0.2">
      <c r="A25" s="1110" t="s">
        <v>50</v>
      </c>
      <c r="B25" s="1110" t="s">
        <v>51</v>
      </c>
      <c r="C25" s="1110" t="s">
        <v>265</v>
      </c>
      <c r="D25" s="1116">
        <v>15</v>
      </c>
      <c r="E25" s="1117">
        <v>10</v>
      </c>
      <c r="F25" s="1117">
        <v>5</v>
      </c>
      <c r="G25" s="1118">
        <v>0</v>
      </c>
      <c r="H25" s="1116">
        <v>744</v>
      </c>
      <c r="I25" s="1117">
        <v>472</v>
      </c>
      <c r="J25" s="1117">
        <v>262</v>
      </c>
      <c r="K25" s="1118">
        <v>10</v>
      </c>
      <c r="L25" s="1138">
        <f t="shared" si="7"/>
        <v>20.161290322580644</v>
      </c>
      <c r="M25" s="1139">
        <f t="shared" si="8"/>
        <v>21.1864406779661</v>
      </c>
      <c r="N25" s="1139">
        <f t="shared" si="9"/>
        <v>19.083969465648856</v>
      </c>
      <c r="O25" s="1140">
        <f t="shared" si="10"/>
        <v>0</v>
      </c>
    </row>
    <row r="26" spans="1:15" x14ac:dyDescent="0.2">
      <c r="A26" s="1110" t="s">
        <v>56</v>
      </c>
      <c r="B26" s="1110" t="s">
        <v>295</v>
      </c>
      <c r="C26" s="1110" t="s">
        <v>266</v>
      </c>
      <c r="D26" s="1116">
        <v>173</v>
      </c>
      <c r="E26" s="1117">
        <v>97</v>
      </c>
      <c r="F26" s="1117">
        <v>55</v>
      </c>
      <c r="G26" s="1118">
        <v>21</v>
      </c>
      <c r="H26" s="1116">
        <v>25004</v>
      </c>
      <c r="I26" s="1117">
        <v>16175</v>
      </c>
      <c r="J26" s="1117">
        <v>7696</v>
      </c>
      <c r="K26" s="1118">
        <v>1133</v>
      </c>
      <c r="L26" s="1138">
        <f t="shared" si="7"/>
        <v>6.9188929771236598</v>
      </c>
      <c r="M26" s="1139">
        <f t="shared" si="8"/>
        <v>5.9969088098918082</v>
      </c>
      <c r="N26" s="1139">
        <f t="shared" si="9"/>
        <v>7.1465696465696471</v>
      </c>
      <c r="O26" s="1140">
        <f t="shared" si="10"/>
        <v>18.534863195057369</v>
      </c>
    </row>
    <row r="27" spans="1:15" x14ac:dyDescent="0.2">
      <c r="A27" s="1110" t="s">
        <v>58</v>
      </c>
      <c r="B27" s="1110" t="s">
        <v>59</v>
      </c>
      <c r="C27" s="1110" t="s">
        <v>267</v>
      </c>
      <c r="D27" s="1116">
        <v>2</v>
      </c>
      <c r="E27" s="1117">
        <v>2</v>
      </c>
      <c r="F27" s="1117">
        <v>0</v>
      </c>
      <c r="G27" s="1118">
        <v>0</v>
      </c>
      <c r="H27" s="1116">
        <v>897</v>
      </c>
      <c r="I27" s="1117">
        <v>826</v>
      </c>
      <c r="J27" s="1117">
        <v>52</v>
      </c>
      <c r="K27" s="1118">
        <v>19</v>
      </c>
      <c r="L27" s="1138">
        <f t="shared" si="7"/>
        <v>2.229654403567447</v>
      </c>
      <c r="M27" s="1139">
        <f t="shared" si="8"/>
        <v>2.4213075060532687</v>
      </c>
      <c r="N27" s="1139">
        <f t="shared" si="9"/>
        <v>0</v>
      </c>
      <c r="O27" s="1140">
        <f t="shared" si="10"/>
        <v>0</v>
      </c>
    </row>
    <row r="28" spans="1:15" x14ac:dyDescent="0.2">
      <c r="A28" s="1110" t="s">
        <v>60</v>
      </c>
      <c r="B28" s="1110" t="s">
        <v>61</v>
      </c>
      <c r="C28" s="1110" t="s">
        <v>265</v>
      </c>
      <c r="D28" s="1116">
        <v>3</v>
      </c>
      <c r="E28" s="1117">
        <v>3</v>
      </c>
      <c r="F28" s="1117">
        <v>0</v>
      </c>
      <c r="G28" s="1118">
        <v>0</v>
      </c>
      <c r="H28" s="1116">
        <v>282</v>
      </c>
      <c r="I28" s="1117">
        <v>281</v>
      </c>
      <c r="J28" s="1117">
        <v>0</v>
      </c>
      <c r="K28" s="1118">
        <v>1</v>
      </c>
      <c r="L28" s="1138">
        <f t="shared" si="7"/>
        <v>10.638297872340425</v>
      </c>
      <c r="M28" s="1139">
        <f t="shared" si="8"/>
        <v>10.676156583629894</v>
      </c>
      <c r="N28" s="1139" t="str">
        <f t="shared" si="9"/>
        <v>NA</v>
      </c>
      <c r="O28" s="1140">
        <f t="shared" si="10"/>
        <v>0</v>
      </c>
    </row>
    <row r="29" spans="1:15" x14ac:dyDescent="0.2">
      <c r="A29" s="1110" t="s">
        <v>62</v>
      </c>
      <c r="B29" s="1110" t="s">
        <v>63</v>
      </c>
      <c r="C29" s="1110" t="s">
        <v>267</v>
      </c>
      <c r="D29" s="1116">
        <v>37</v>
      </c>
      <c r="E29" s="1117">
        <v>28</v>
      </c>
      <c r="F29" s="1117">
        <v>7</v>
      </c>
      <c r="G29" s="1118">
        <v>2</v>
      </c>
      <c r="H29" s="1116">
        <v>3281</v>
      </c>
      <c r="I29" s="1117">
        <v>2608</v>
      </c>
      <c r="J29" s="1117">
        <v>565</v>
      </c>
      <c r="K29" s="1118">
        <v>108</v>
      </c>
      <c r="L29" s="1138">
        <f t="shared" si="7"/>
        <v>11.277049679975617</v>
      </c>
      <c r="M29" s="1139">
        <f t="shared" si="8"/>
        <v>10.736196319018406</v>
      </c>
      <c r="N29" s="1139">
        <f t="shared" si="9"/>
        <v>12.389380530973451</v>
      </c>
      <c r="O29" s="1140">
        <f t="shared" si="10"/>
        <v>18.518518518518519</v>
      </c>
    </row>
    <row r="30" spans="1:15" x14ac:dyDescent="0.2">
      <c r="A30" s="1110" t="s">
        <v>64</v>
      </c>
      <c r="B30" s="1110" t="s">
        <v>65</v>
      </c>
      <c r="C30" s="1110" t="s">
        <v>266</v>
      </c>
      <c r="D30" s="1116">
        <v>7</v>
      </c>
      <c r="E30" s="1117">
        <v>5</v>
      </c>
      <c r="F30" s="1117">
        <v>2</v>
      </c>
      <c r="G30" s="1118">
        <v>0</v>
      </c>
      <c r="H30" s="1116">
        <v>576</v>
      </c>
      <c r="I30" s="1117">
        <v>355</v>
      </c>
      <c r="J30" s="1117">
        <v>214</v>
      </c>
      <c r="K30" s="1118">
        <v>7</v>
      </c>
      <c r="L30" s="1138">
        <f t="shared" si="7"/>
        <v>12.152777777777779</v>
      </c>
      <c r="M30" s="1139">
        <f t="shared" si="8"/>
        <v>14.084507042253522</v>
      </c>
      <c r="N30" s="1139">
        <f t="shared" si="9"/>
        <v>9.3457943925233646</v>
      </c>
      <c r="O30" s="1140">
        <f t="shared" si="10"/>
        <v>0</v>
      </c>
    </row>
    <row r="31" spans="1:15" x14ac:dyDescent="0.2">
      <c r="A31" s="1110" t="s">
        <v>68</v>
      </c>
      <c r="B31" s="1110" t="s">
        <v>69</v>
      </c>
      <c r="C31" s="1110" t="s">
        <v>268</v>
      </c>
      <c r="D31" s="1116">
        <v>19</v>
      </c>
      <c r="E31" s="1117">
        <v>19</v>
      </c>
      <c r="F31" s="1117">
        <v>0</v>
      </c>
      <c r="G31" s="1118">
        <v>0</v>
      </c>
      <c r="H31" s="1116">
        <v>867</v>
      </c>
      <c r="I31" s="1117">
        <v>858</v>
      </c>
      <c r="J31" s="1117">
        <v>6</v>
      </c>
      <c r="K31" s="1118">
        <v>3</v>
      </c>
      <c r="L31" s="1138">
        <f t="shared" si="7"/>
        <v>21.914648212226069</v>
      </c>
      <c r="M31" s="1139">
        <f t="shared" si="8"/>
        <v>22.144522144522146</v>
      </c>
      <c r="N31" s="1139">
        <f t="shared" si="9"/>
        <v>0</v>
      </c>
      <c r="O31" s="1140">
        <f t="shared" si="10"/>
        <v>0</v>
      </c>
    </row>
    <row r="32" spans="1:15" x14ac:dyDescent="0.2">
      <c r="A32" s="1110" t="s">
        <v>70</v>
      </c>
      <c r="B32" s="1110" t="s">
        <v>71</v>
      </c>
      <c r="C32" s="1110" t="s">
        <v>264</v>
      </c>
      <c r="D32" s="1116">
        <v>16</v>
      </c>
      <c r="E32" s="1117">
        <v>12</v>
      </c>
      <c r="F32" s="1117">
        <v>3</v>
      </c>
      <c r="G32" s="1118">
        <v>1</v>
      </c>
      <c r="H32" s="1116">
        <v>1764</v>
      </c>
      <c r="I32" s="1117">
        <v>1034</v>
      </c>
      <c r="J32" s="1117">
        <v>713</v>
      </c>
      <c r="K32" s="1118">
        <v>17</v>
      </c>
      <c r="L32" s="1138">
        <f t="shared" si="7"/>
        <v>9.0702947845804989</v>
      </c>
      <c r="M32" s="1139">
        <f t="shared" si="8"/>
        <v>11.605415860735009</v>
      </c>
      <c r="N32" s="1139">
        <f t="shared" si="9"/>
        <v>4.2075736325385691</v>
      </c>
      <c r="O32" s="1140">
        <f t="shared" si="10"/>
        <v>58.823529411764703</v>
      </c>
    </row>
    <row r="33" spans="1:15" x14ac:dyDescent="0.2">
      <c r="A33" s="1110" t="s">
        <v>72</v>
      </c>
      <c r="B33" s="1110" t="s">
        <v>73</v>
      </c>
      <c r="C33" s="1110" t="s">
        <v>266</v>
      </c>
      <c r="D33" s="1116">
        <v>6</v>
      </c>
      <c r="E33" s="1117">
        <v>3</v>
      </c>
      <c r="F33" s="1117">
        <v>2</v>
      </c>
      <c r="G33" s="1118">
        <v>1</v>
      </c>
      <c r="H33" s="1116">
        <v>695</v>
      </c>
      <c r="I33" s="1117">
        <v>352</v>
      </c>
      <c r="J33" s="1117">
        <v>304</v>
      </c>
      <c r="K33" s="1118">
        <v>39</v>
      </c>
      <c r="L33" s="1138">
        <f t="shared" si="7"/>
        <v>8.6330935251798557</v>
      </c>
      <c r="M33" s="1139">
        <f t="shared" si="8"/>
        <v>8.5227272727272716</v>
      </c>
      <c r="N33" s="1139">
        <f t="shared" si="9"/>
        <v>6.5789473684210522</v>
      </c>
      <c r="O33" s="1140">
        <f t="shared" si="10"/>
        <v>25.641025641025639</v>
      </c>
    </row>
    <row r="34" spans="1:15" x14ac:dyDescent="0.2">
      <c r="A34" s="1110" t="s">
        <v>74</v>
      </c>
      <c r="B34" s="1110" t="s">
        <v>296</v>
      </c>
      <c r="C34" s="1110" t="s">
        <v>267</v>
      </c>
      <c r="D34" s="1116">
        <v>330</v>
      </c>
      <c r="E34" s="1117">
        <v>82</v>
      </c>
      <c r="F34" s="1117">
        <v>30</v>
      </c>
      <c r="G34" s="1118">
        <v>218</v>
      </c>
      <c r="H34" s="1116">
        <v>73883</v>
      </c>
      <c r="I34" s="1117">
        <v>49131</v>
      </c>
      <c r="J34" s="1117">
        <v>8910</v>
      </c>
      <c r="K34" s="1118">
        <v>15842</v>
      </c>
      <c r="L34" s="1138">
        <f t="shared" si="7"/>
        <v>4.4665213919304847</v>
      </c>
      <c r="M34" s="1139">
        <f t="shared" si="8"/>
        <v>1.6690073477030796</v>
      </c>
      <c r="N34" s="1139">
        <f t="shared" si="9"/>
        <v>3.3670033670033668</v>
      </c>
      <c r="O34" s="1140">
        <f t="shared" si="10"/>
        <v>13.760888776669614</v>
      </c>
    </row>
    <row r="35" spans="1:15" x14ac:dyDescent="0.2">
      <c r="A35" s="1110" t="s">
        <v>76</v>
      </c>
      <c r="B35" s="1110" t="s">
        <v>77</v>
      </c>
      <c r="C35" s="1110" t="s">
        <v>267</v>
      </c>
      <c r="D35" s="1116">
        <v>27</v>
      </c>
      <c r="E35" s="1117">
        <v>24</v>
      </c>
      <c r="F35" s="1117">
        <v>0</v>
      </c>
      <c r="G35" s="1118">
        <v>3</v>
      </c>
      <c r="H35" s="1116">
        <v>4723</v>
      </c>
      <c r="I35" s="1117">
        <v>4138</v>
      </c>
      <c r="J35" s="1117">
        <v>468</v>
      </c>
      <c r="K35" s="1118">
        <v>117</v>
      </c>
      <c r="L35" s="1138">
        <f t="shared" si="7"/>
        <v>5.7167054838026683</v>
      </c>
      <c r="M35" s="1139">
        <f t="shared" si="8"/>
        <v>5.7999033349444176</v>
      </c>
      <c r="N35" s="1139">
        <f t="shared" si="9"/>
        <v>0</v>
      </c>
      <c r="O35" s="1140">
        <f t="shared" si="10"/>
        <v>25.641025641025639</v>
      </c>
    </row>
    <row r="36" spans="1:15" x14ac:dyDescent="0.2">
      <c r="A36" s="1110" t="s">
        <v>78</v>
      </c>
      <c r="B36" s="1110" t="s">
        <v>79</v>
      </c>
      <c r="C36" s="1110" t="s">
        <v>268</v>
      </c>
      <c r="D36" s="1116">
        <v>6</v>
      </c>
      <c r="E36" s="1117">
        <v>6</v>
      </c>
      <c r="F36" s="1117">
        <v>0</v>
      </c>
      <c r="G36" s="1118">
        <v>0</v>
      </c>
      <c r="H36" s="1116">
        <v>863</v>
      </c>
      <c r="I36" s="1117">
        <v>828</v>
      </c>
      <c r="J36" s="1117">
        <v>30</v>
      </c>
      <c r="K36" s="1118">
        <v>5</v>
      </c>
      <c r="L36" s="1138">
        <f t="shared" si="7"/>
        <v>6.9524913093858629</v>
      </c>
      <c r="M36" s="1139">
        <f t="shared" si="8"/>
        <v>7.2463768115942031</v>
      </c>
      <c r="N36" s="1139">
        <f t="shared" si="9"/>
        <v>0</v>
      </c>
      <c r="O36" s="1140">
        <f t="shared" si="10"/>
        <v>0</v>
      </c>
    </row>
    <row r="37" spans="1:15" x14ac:dyDescent="0.2">
      <c r="A37" s="1110" t="s">
        <v>80</v>
      </c>
      <c r="B37" s="1110" t="s">
        <v>81</v>
      </c>
      <c r="C37" s="1110" t="s">
        <v>266</v>
      </c>
      <c r="D37" s="1116">
        <v>17</v>
      </c>
      <c r="E37" s="1117">
        <v>13</v>
      </c>
      <c r="F37" s="1117">
        <v>4</v>
      </c>
      <c r="G37" s="1118">
        <v>0</v>
      </c>
      <c r="H37" s="1116">
        <v>1636</v>
      </c>
      <c r="I37" s="1117">
        <v>1320</v>
      </c>
      <c r="J37" s="1117">
        <v>284</v>
      </c>
      <c r="K37" s="1118">
        <v>32</v>
      </c>
      <c r="L37" s="1138">
        <f t="shared" si="7"/>
        <v>10.39119804400978</v>
      </c>
      <c r="M37" s="1139">
        <f t="shared" si="8"/>
        <v>9.8484848484848477</v>
      </c>
      <c r="N37" s="1139">
        <f t="shared" si="9"/>
        <v>14.084507042253522</v>
      </c>
      <c r="O37" s="1140">
        <f t="shared" si="10"/>
        <v>0</v>
      </c>
    </row>
    <row r="38" spans="1:15" x14ac:dyDescent="0.2">
      <c r="A38" s="1110" t="s">
        <v>84</v>
      </c>
      <c r="B38" s="1110" t="s">
        <v>85</v>
      </c>
      <c r="C38" s="1110" t="s">
        <v>265</v>
      </c>
      <c r="D38" s="1116">
        <v>38</v>
      </c>
      <c r="E38" s="1117">
        <v>35</v>
      </c>
      <c r="F38" s="1117">
        <v>3</v>
      </c>
      <c r="G38" s="1118">
        <v>0</v>
      </c>
      <c r="H38" s="1116">
        <v>3402</v>
      </c>
      <c r="I38" s="1117">
        <v>2939</v>
      </c>
      <c r="J38" s="1117">
        <v>411</v>
      </c>
      <c r="K38" s="1118">
        <v>52</v>
      </c>
      <c r="L38" s="1138">
        <f t="shared" ref="L38:L69" si="11">IF(H38=0,"NA",(D38/H38)*1000)</f>
        <v>11.169900058788947</v>
      </c>
      <c r="M38" s="1139">
        <f t="shared" ref="M38:M69" si="12">IF(I38=0,"NA",(E38/I38)*1000)</f>
        <v>11.908812521265737</v>
      </c>
      <c r="N38" s="1139">
        <f t="shared" ref="N38:N69" si="13">IF(J38=0,"NA",(F38/J38)*1000)</f>
        <v>7.2992700729927007</v>
      </c>
      <c r="O38" s="1140">
        <f t="shared" ref="O38:O69" si="14">IF(K38=0,"NA",(G38/K38)*1000)</f>
        <v>0</v>
      </c>
    </row>
    <row r="39" spans="1:15" x14ac:dyDescent="0.2">
      <c r="A39" s="1110" t="s">
        <v>86</v>
      </c>
      <c r="B39" s="1110" t="s">
        <v>87</v>
      </c>
      <c r="C39" s="1110" t="s">
        <v>267</v>
      </c>
      <c r="D39" s="1116">
        <v>47</v>
      </c>
      <c r="E39" s="1117">
        <v>39</v>
      </c>
      <c r="F39" s="1117">
        <v>2</v>
      </c>
      <c r="G39" s="1118">
        <v>6</v>
      </c>
      <c r="H39" s="1116">
        <v>5298</v>
      </c>
      <c r="I39" s="1117">
        <v>4824</v>
      </c>
      <c r="J39" s="1117">
        <v>354</v>
      </c>
      <c r="K39" s="1118">
        <v>120</v>
      </c>
      <c r="L39" s="1138">
        <f t="shared" si="11"/>
        <v>8.8712721781804458</v>
      </c>
      <c r="M39" s="1139">
        <f t="shared" si="12"/>
        <v>8.0845771144278604</v>
      </c>
      <c r="N39" s="1139">
        <f t="shared" si="13"/>
        <v>5.6497175141242941</v>
      </c>
      <c r="O39" s="1140">
        <f t="shared" si="14"/>
        <v>50</v>
      </c>
    </row>
    <row r="40" spans="1:15" x14ac:dyDescent="0.2">
      <c r="A40" s="1110" t="s">
        <v>92</v>
      </c>
      <c r="B40" s="1110" t="s">
        <v>93</v>
      </c>
      <c r="C40" s="1110" t="s">
        <v>268</v>
      </c>
      <c r="D40" s="1116">
        <v>23</v>
      </c>
      <c r="E40" s="1117">
        <v>23</v>
      </c>
      <c r="F40" s="1117">
        <v>0</v>
      </c>
      <c r="G40" s="1118">
        <v>0</v>
      </c>
      <c r="H40" s="1116">
        <v>1007</v>
      </c>
      <c r="I40" s="1117">
        <v>960</v>
      </c>
      <c r="J40" s="1117">
        <v>33</v>
      </c>
      <c r="K40" s="1118">
        <v>14</v>
      </c>
      <c r="L40" s="1138">
        <f t="shared" si="11"/>
        <v>22.840119165839127</v>
      </c>
      <c r="M40" s="1139">
        <f t="shared" si="12"/>
        <v>23.958333333333336</v>
      </c>
      <c r="N40" s="1139">
        <f t="shared" si="13"/>
        <v>0</v>
      </c>
      <c r="O40" s="1140">
        <f t="shared" si="14"/>
        <v>0</v>
      </c>
    </row>
    <row r="41" spans="1:15" x14ac:dyDescent="0.2">
      <c r="A41" s="1110" t="s">
        <v>94</v>
      </c>
      <c r="B41" s="1110" t="s">
        <v>95</v>
      </c>
      <c r="C41" s="1110" t="s">
        <v>264</v>
      </c>
      <c r="D41" s="1116">
        <v>23</v>
      </c>
      <c r="E41" s="1117">
        <v>22</v>
      </c>
      <c r="F41" s="1117">
        <v>1</v>
      </c>
      <c r="G41" s="1118">
        <v>0</v>
      </c>
      <c r="H41" s="1116">
        <v>2131</v>
      </c>
      <c r="I41" s="1117">
        <v>1855</v>
      </c>
      <c r="J41" s="1117">
        <v>214</v>
      </c>
      <c r="K41" s="1118">
        <v>62</v>
      </c>
      <c r="L41" s="1138">
        <f t="shared" si="11"/>
        <v>10.793054903801032</v>
      </c>
      <c r="M41" s="1139">
        <f t="shared" si="12"/>
        <v>11.859838274932613</v>
      </c>
      <c r="N41" s="1139">
        <f t="shared" si="13"/>
        <v>4.6728971962616823</v>
      </c>
      <c r="O41" s="1140">
        <f t="shared" si="14"/>
        <v>0</v>
      </c>
    </row>
    <row r="42" spans="1:15" x14ac:dyDescent="0.2">
      <c r="A42" s="1110" t="s">
        <v>96</v>
      </c>
      <c r="B42" s="1110" t="s">
        <v>97</v>
      </c>
      <c r="C42" s="1110" t="s">
        <v>266</v>
      </c>
      <c r="D42" s="1116">
        <v>1</v>
      </c>
      <c r="E42" s="1117">
        <v>1</v>
      </c>
      <c r="F42" s="1117">
        <v>0</v>
      </c>
      <c r="G42" s="1118">
        <v>0</v>
      </c>
      <c r="H42" s="1116">
        <v>1269</v>
      </c>
      <c r="I42" s="1117">
        <v>1042</v>
      </c>
      <c r="J42" s="1117">
        <v>210</v>
      </c>
      <c r="K42" s="1118">
        <v>17</v>
      </c>
      <c r="L42" s="1138">
        <f t="shared" si="11"/>
        <v>0.78802206461780933</v>
      </c>
      <c r="M42" s="1139">
        <f t="shared" si="12"/>
        <v>0.95969289827255277</v>
      </c>
      <c r="N42" s="1139">
        <f t="shared" si="13"/>
        <v>0</v>
      </c>
      <c r="O42" s="1140">
        <f t="shared" si="14"/>
        <v>0</v>
      </c>
    </row>
    <row r="43" spans="1:15" x14ac:dyDescent="0.2">
      <c r="A43" s="1110" t="s">
        <v>98</v>
      </c>
      <c r="B43" s="1110" t="s">
        <v>99</v>
      </c>
      <c r="C43" s="1110" t="s">
        <v>268</v>
      </c>
      <c r="D43" s="1116">
        <v>15</v>
      </c>
      <c r="E43" s="1117">
        <v>13</v>
      </c>
      <c r="F43" s="1117">
        <v>0</v>
      </c>
      <c r="G43" s="1118">
        <v>2</v>
      </c>
      <c r="H43" s="1116">
        <v>808</v>
      </c>
      <c r="I43" s="1117">
        <v>774</v>
      </c>
      <c r="J43" s="1117">
        <v>32</v>
      </c>
      <c r="K43" s="1118">
        <v>2</v>
      </c>
      <c r="L43" s="1138">
        <f t="shared" si="11"/>
        <v>18.564356435643564</v>
      </c>
      <c r="M43" s="1139">
        <f t="shared" si="12"/>
        <v>16.795865633074936</v>
      </c>
      <c r="N43" s="1139">
        <f t="shared" si="13"/>
        <v>0</v>
      </c>
      <c r="O43" s="1140">
        <f t="shared" si="14"/>
        <v>1000</v>
      </c>
    </row>
    <row r="44" spans="1:15" x14ac:dyDescent="0.2">
      <c r="A44" s="1110" t="s">
        <v>100</v>
      </c>
      <c r="B44" s="1110" t="s">
        <v>101</v>
      </c>
      <c r="C44" s="1110" t="s">
        <v>267</v>
      </c>
      <c r="D44" s="1116">
        <v>14</v>
      </c>
      <c r="E44" s="1117">
        <v>12</v>
      </c>
      <c r="F44" s="1117">
        <v>1</v>
      </c>
      <c r="G44" s="1118">
        <v>1</v>
      </c>
      <c r="H44" s="1116">
        <v>1137</v>
      </c>
      <c r="I44" s="1117">
        <v>999</v>
      </c>
      <c r="J44" s="1117">
        <v>104</v>
      </c>
      <c r="K44" s="1118">
        <v>34</v>
      </c>
      <c r="L44" s="1138">
        <f t="shared" si="11"/>
        <v>12.313104661389621</v>
      </c>
      <c r="M44" s="1139">
        <f t="shared" si="12"/>
        <v>12.012012012012011</v>
      </c>
      <c r="N44" s="1139">
        <f t="shared" si="13"/>
        <v>9.6153846153846168</v>
      </c>
      <c r="O44" s="1140">
        <f t="shared" si="14"/>
        <v>29.411764705882351</v>
      </c>
    </row>
    <row r="45" spans="1:15" x14ac:dyDescent="0.2">
      <c r="A45" s="1110" t="s">
        <v>102</v>
      </c>
      <c r="B45" s="1110" t="s">
        <v>282</v>
      </c>
      <c r="C45" s="1110" t="s">
        <v>264</v>
      </c>
      <c r="D45" s="1116">
        <v>17</v>
      </c>
      <c r="E45" s="1117">
        <v>3</v>
      </c>
      <c r="F45" s="1117">
        <v>14</v>
      </c>
      <c r="G45" s="1118">
        <v>0</v>
      </c>
      <c r="H45" s="1116">
        <v>916</v>
      </c>
      <c r="I45" s="1117">
        <v>289</v>
      </c>
      <c r="J45" s="1117">
        <v>616</v>
      </c>
      <c r="K45" s="1118">
        <v>11</v>
      </c>
      <c r="L45" s="1138">
        <f t="shared" si="11"/>
        <v>18.558951965065503</v>
      </c>
      <c r="M45" s="1139">
        <f t="shared" si="12"/>
        <v>10.380622837370241</v>
      </c>
      <c r="N45" s="1139">
        <f t="shared" si="13"/>
        <v>22.727272727272727</v>
      </c>
      <c r="O45" s="1140">
        <f t="shared" si="14"/>
        <v>0</v>
      </c>
    </row>
    <row r="46" spans="1:15" x14ac:dyDescent="0.2">
      <c r="A46" s="1110" t="s">
        <v>104</v>
      </c>
      <c r="B46" s="1110" t="s">
        <v>105</v>
      </c>
      <c r="C46" s="1110" t="s">
        <v>265</v>
      </c>
      <c r="D46" s="1116">
        <v>43</v>
      </c>
      <c r="E46" s="1117">
        <v>20</v>
      </c>
      <c r="F46" s="1117">
        <v>20</v>
      </c>
      <c r="G46" s="1118">
        <v>3</v>
      </c>
      <c r="H46" s="1116">
        <v>2124</v>
      </c>
      <c r="I46" s="1117">
        <v>1179</v>
      </c>
      <c r="J46" s="1117">
        <v>928</v>
      </c>
      <c r="K46" s="1118">
        <v>17</v>
      </c>
      <c r="L46" s="1138">
        <f t="shared" si="11"/>
        <v>20.24482109227872</v>
      </c>
      <c r="M46" s="1139">
        <f t="shared" si="12"/>
        <v>16.963528413910094</v>
      </c>
      <c r="N46" s="1139">
        <f t="shared" si="13"/>
        <v>21.551724137931036</v>
      </c>
      <c r="O46" s="1140">
        <f t="shared" si="14"/>
        <v>176.47058823529412</v>
      </c>
    </row>
    <row r="47" spans="1:15" x14ac:dyDescent="0.2">
      <c r="A47" s="1110" t="s">
        <v>108</v>
      </c>
      <c r="B47" s="1110" t="s">
        <v>109</v>
      </c>
      <c r="C47" s="1110" t="s">
        <v>266</v>
      </c>
      <c r="D47" s="1116">
        <v>32</v>
      </c>
      <c r="E47" s="1117">
        <v>30</v>
      </c>
      <c r="F47" s="1117">
        <v>2</v>
      </c>
      <c r="G47" s="1118">
        <v>0</v>
      </c>
      <c r="H47" s="1116">
        <v>7304</v>
      </c>
      <c r="I47" s="1117">
        <v>6380</v>
      </c>
      <c r="J47" s="1117">
        <v>703</v>
      </c>
      <c r="K47" s="1118">
        <v>221</v>
      </c>
      <c r="L47" s="1138">
        <f t="shared" si="11"/>
        <v>4.381161007667032</v>
      </c>
      <c r="M47" s="1139">
        <f t="shared" si="12"/>
        <v>4.7021943573667713</v>
      </c>
      <c r="N47" s="1139">
        <f t="shared" si="13"/>
        <v>2.8449502133712663</v>
      </c>
      <c r="O47" s="1140">
        <f t="shared" si="14"/>
        <v>0</v>
      </c>
    </row>
    <row r="48" spans="1:15" x14ac:dyDescent="0.2">
      <c r="A48" s="1110" t="s">
        <v>110</v>
      </c>
      <c r="B48" s="1110" t="s">
        <v>111</v>
      </c>
      <c r="C48" s="1110" t="s">
        <v>266</v>
      </c>
      <c r="D48" s="1116">
        <v>139</v>
      </c>
      <c r="E48" s="1117">
        <v>60</v>
      </c>
      <c r="F48" s="1117">
        <v>62</v>
      </c>
      <c r="G48" s="1118">
        <v>17</v>
      </c>
      <c r="H48" s="1116">
        <v>19860</v>
      </c>
      <c r="I48" s="1117">
        <v>10766</v>
      </c>
      <c r="J48" s="1117">
        <v>7378</v>
      </c>
      <c r="K48" s="1118">
        <v>1716</v>
      </c>
      <c r="L48" s="1138">
        <f t="shared" si="11"/>
        <v>6.998992950654582</v>
      </c>
      <c r="M48" s="1139">
        <f t="shared" si="12"/>
        <v>5.5731005015790451</v>
      </c>
      <c r="N48" s="1139">
        <f t="shared" si="13"/>
        <v>8.4033613445378155</v>
      </c>
      <c r="O48" s="1140">
        <f t="shared" si="14"/>
        <v>9.9067599067599055</v>
      </c>
    </row>
    <row r="49" spans="1:15" x14ac:dyDescent="0.2">
      <c r="A49" s="1110" t="s">
        <v>112</v>
      </c>
      <c r="B49" s="1110" t="s">
        <v>300</v>
      </c>
      <c r="C49" s="1110" t="s">
        <v>265</v>
      </c>
      <c r="D49" s="1116">
        <v>56</v>
      </c>
      <c r="E49" s="1117">
        <v>32</v>
      </c>
      <c r="F49" s="1117">
        <v>17</v>
      </c>
      <c r="G49" s="1118">
        <v>7</v>
      </c>
      <c r="H49" s="1116">
        <v>3570</v>
      </c>
      <c r="I49" s="1117">
        <v>2412</v>
      </c>
      <c r="J49" s="1117">
        <v>1116</v>
      </c>
      <c r="K49" s="1118">
        <v>42</v>
      </c>
      <c r="L49" s="1138">
        <f t="shared" si="11"/>
        <v>15.686274509803921</v>
      </c>
      <c r="M49" s="1139">
        <f t="shared" si="12"/>
        <v>13.266998341625207</v>
      </c>
      <c r="N49" s="1139">
        <f t="shared" si="13"/>
        <v>15.232974910394265</v>
      </c>
      <c r="O49" s="1140">
        <f t="shared" si="14"/>
        <v>166.66666666666666</v>
      </c>
    </row>
    <row r="50" spans="1:15" x14ac:dyDescent="0.2">
      <c r="A50" s="1110" t="s">
        <v>114</v>
      </c>
      <c r="B50" s="1110" t="s">
        <v>115</v>
      </c>
      <c r="C50" s="1110" t="s">
        <v>265</v>
      </c>
      <c r="D50" s="1116">
        <v>1</v>
      </c>
      <c r="E50" s="1117">
        <v>1</v>
      </c>
      <c r="F50" s="1117">
        <v>0</v>
      </c>
      <c r="G50" s="1118">
        <v>0</v>
      </c>
      <c r="H50" s="1116">
        <v>86</v>
      </c>
      <c r="I50" s="1117">
        <v>85</v>
      </c>
      <c r="J50" s="1117">
        <v>1</v>
      </c>
      <c r="K50" s="1118">
        <v>0</v>
      </c>
      <c r="L50" s="1138">
        <f t="shared" si="11"/>
        <v>11.627906976744185</v>
      </c>
      <c r="M50" s="1139">
        <f t="shared" si="12"/>
        <v>11.76470588235294</v>
      </c>
      <c r="N50" s="1139">
        <f t="shared" si="13"/>
        <v>0</v>
      </c>
      <c r="O50" s="1140" t="str">
        <f t="shared" si="14"/>
        <v>NA</v>
      </c>
    </row>
    <row r="51" spans="1:15" x14ac:dyDescent="0.2">
      <c r="A51" s="1110" t="s">
        <v>118</v>
      </c>
      <c r="B51" s="1110" t="s">
        <v>270</v>
      </c>
      <c r="C51" s="1110" t="s">
        <v>264</v>
      </c>
      <c r="D51" s="1116">
        <v>16</v>
      </c>
      <c r="E51" s="1117">
        <v>11</v>
      </c>
      <c r="F51" s="1117">
        <v>5</v>
      </c>
      <c r="G51" s="1118">
        <v>0</v>
      </c>
      <c r="H51" s="1116">
        <v>2257</v>
      </c>
      <c r="I51" s="1117">
        <v>1615</v>
      </c>
      <c r="J51" s="1117">
        <v>599</v>
      </c>
      <c r="K51" s="1118">
        <v>43</v>
      </c>
      <c r="L51" s="1138">
        <f t="shared" si="11"/>
        <v>7.0890562693841384</v>
      </c>
      <c r="M51" s="1139">
        <f t="shared" si="12"/>
        <v>6.8111455108359138</v>
      </c>
      <c r="N51" s="1139">
        <f t="shared" si="13"/>
        <v>8.3472454090150254</v>
      </c>
      <c r="O51" s="1140">
        <f t="shared" si="14"/>
        <v>0</v>
      </c>
    </row>
    <row r="52" spans="1:15" x14ac:dyDescent="0.2">
      <c r="A52" s="1110" t="s">
        <v>120</v>
      </c>
      <c r="B52" s="1110" t="s">
        <v>121</v>
      </c>
      <c r="C52" s="1110" t="s">
        <v>264</v>
      </c>
      <c r="D52" s="1116">
        <v>28</v>
      </c>
      <c r="E52" s="1117">
        <v>15</v>
      </c>
      <c r="F52" s="1117">
        <v>10</v>
      </c>
      <c r="G52" s="1118">
        <v>3</v>
      </c>
      <c r="H52" s="1116">
        <v>4298</v>
      </c>
      <c r="I52" s="1117">
        <v>3361</v>
      </c>
      <c r="J52" s="1117">
        <v>723</v>
      </c>
      <c r="K52" s="1118">
        <v>214</v>
      </c>
      <c r="L52" s="1138">
        <f t="shared" si="11"/>
        <v>6.5146579804560263</v>
      </c>
      <c r="M52" s="1139">
        <f t="shared" si="12"/>
        <v>4.4629574531389462</v>
      </c>
      <c r="N52" s="1139">
        <f t="shared" si="13"/>
        <v>13.831258644536652</v>
      </c>
      <c r="O52" s="1140">
        <f t="shared" si="14"/>
        <v>14.018691588785046</v>
      </c>
    </row>
    <row r="53" spans="1:15" x14ac:dyDescent="0.2">
      <c r="A53" s="1110" t="s">
        <v>122</v>
      </c>
      <c r="B53" s="1110" t="s">
        <v>287</v>
      </c>
      <c r="C53" s="1110" t="s">
        <v>266</v>
      </c>
      <c r="D53" s="1116">
        <v>2</v>
      </c>
      <c r="E53" s="1117">
        <v>0</v>
      </c>
      <c r="F53" s="1117">
        <v>2</v>
      </c>
      <c r="G53" s="1118">
        <v>0</v>
      </c>
      <c r="H53" s="1116">
        <v>382</v>
      </c>
      <c r="I53" s="1117">
        <v>275</v>
      </c>
      <c r="J53" s="1117">
        <v>92</v>
      </c>
      <c r="K53" s="1118">
        <v>15</v>
      </c>
      <c r="L53" s="1138">
        <f t="shared" si="11"/>
        <v>5.2356020942408383</v>
      </c>
      <c r="M53" s="1139">
        <f t="shared" si="12"/>
        <v>0</v>
      </c>
      <c r="N53" s="1139">
        <f t="shared" si="13"/>
        <v>21.739130434782609</v>
      </c>
      <c r="O53" s="1140">
        <f t="shared" si="14"/>
        <v>0</v>
      </c>
    </row>
    <row r="54" spans="1:15" x14ac:dyDescent="0.2">
      <c r="A54" s="1110" t="s">
        <v>124</v>
      </c>
      <c r="B54" s="1110" t="s">
        <v>125</v>
      </c>
      <c r="C54" s="1110" t="s">
        <v>267</v>
      </c>
      <c r="D54" s="1116">
        <v>14</v>
      </c>
      <c r="E54" s="1117">
        <v>9</v>
      </c>
      <c r="F54" s="1117">
        <v>2</v>
      </c>
      <c r="G54" s="1118">
        <v>3</v>
      </c>
      <c r="H54" s="1116">
        <v>1780</v>
      </c>
      <c r="I54" s="1117">
        <v>1376</v>
      </c>
      <c r="J54" s="1117">
        <v>351</v>
      </c>
      <c r="K54" s="1118">
        <v>53</v>
      </c>
      <c r="L54" s="1138">
        <f t="shared" si="11"/>
        <v>7.8651685393258433</v>
      </c>
      <c r="M54" s="1139">
        <f t="shared" si="12"/>
        <v>6.5406976744186052</v>
      </c>
      <c r="N54" s="1139">
        <f t="shared" si="13"/>
        <v>5.6980056980056979</v>
      </c>
      <c r="O54" s="1140">
        <f t="shared" si="14"/>
        <v>56.60377358490566</v>
      </c>
    </row>
    <row r="55" spans="1:15" x14ac:dyDescent="0.2">
      <c r="A55" s="1110" t="s">
        <v>126</v>
      </c>
      <c r="B55" s="1110" t="s">
        <v>127</v>
      </c>
      <c r="C55" s="1110" t="s">
        <v>266</v>
      </c>
      <c r="D55" s="1116">
        <v>8</v>
      </c>
      <c r="E55" s="1117">
        <v>6</v>
      </c>
      <c r="F55" s="1117">
        <v>2</v>
      </c>
      <c r="G55" s="1118">
        <v>0</v>
      </c>
      <c r="H55" s="1116">
        <v>1006</v>
      </c>
      <c r="I55" s="1117">
        <v>781</v>
      </c>
      <c r="J55" s="1117">
        <v>190</v>
      </c>
      <c r="K55" s="1118">
        <v>35</v>
      </c>
      <c r="L55" s="1138">
        <f t="shared" si="11"/>
        <v>7.9522862823061624</v>
      </c>
      <c r="M55" s="1139">
        <f t="shared" si="12"/>
        <v>7.6824583866837388</v>
      </c>
      <c r="N55" s="1139">
        <f t="shared" si="13"/>
        <v>10.526315789473683</v>
      </c>
      <c r="O55" s="1140">
        <f t="shared" si="14"/>
        <v>0</v>
      </c>
    </row>
    <row r="56" spans="1:15" x14ac:dyDescent="0.2">
      <c r="A56" s="1110" t="s">
        <v>128</v>
      </c>
      <c r="B56" s="1110" t="s">
        <v>129</v>
      </c>
      <c r="C56" s="1110" t="s">
        <v>266</v>
      </c>
      <c r="D56" s="1116">
        <v>2</v>
      </c>
      <c r="E56" s="1117">
        <v>0</v>
      </c>
      <c r="F56" s="1117">
        <v>2</v>
      </c>
      <c r="G56" s="1118">
        <v>0</v>
      </c>
      <c r="H56" s="1116">
        <v>468</v>
      </c>
      <c r="I56" s="1117">
        <v>258</v>
      </c>
      <c r="J56" s="1117">
        <v>202</v>
      </c>
      <c r="K56" s="1118">
        <v>8</v>
      </c>
      <c r="L56" s="1138">
        <f t="shared" si="11"/>
        <v>4.2735042735042743</v>
      </c>
      <c r="M56" s="1139">
        <f t="shared" si="12"/>
        <v>0</v>
      </c>
      <c r="N56" s="1139">
        <f t="shared" si="13"/>
        <v>9.9009900990099009</v>
      </c>
      <c r="O56" s="1140">
        <f t="shared" si="14"/>
        <v>0</v>
      </c>
    </row>
    <row r="57" spans="1:15" x14ac:dyDescent="0.2">
      <c r="A57" s="1110" t="s">
        <v>130</v>
      </c>
      <c r="B57" s="1110" t="s">
        <v>131</v>
      </c>
      <c r="C57" s="1110" t="s">
        <v>268</v>
      </c>
      <c r="D57" s="1116">
        <v>38</v>
      </c>
      <c r="E57" s="1117">
        <v>38</v>
      </c>
      <c r="F57" s="1117">
        <v>0</v>
      </c>
      <c r="G57" s="1118">
        <v>0</v>
      </c>
      <c r="H57" s="1116">
        <v>1255</v>
      </c>
      <c r="I57" s="1117">
        <v>1226</v>
      </c>
      <c r="J57" s="1117">
        <v>19</v>
      </c>
      <c r="K57" s="1118">
        <v>10</v>
      </c>
      <c r="L57" s="1138">
        <f t="shared" si="11"/>
        <v>30.278884462151396</v>
      </c>
      <c r="M57" s="1139">
        <f t="shared" si="12"/>
        <v>30.995106035889069</v>
      </c>
      <c r="N57" s="1139">
        <f t="shared" si="13"/>
        <v>0</v>
      </c>
      <c r="O57" s="1140">
        <f t="shared" si="14"/>
        <v>0</v>
      </c>
    </row>
    <row r="58" spans="1:15" x14ac:dyDescent="0.2">
      <c r="A58" s="1110" t="s">
        <v>132</v>
      </c>
      <c r="B58" s="1110" t="s">
        <v>133</v>
      </c>
      <c r="C58" s="1110" t="s">
        <v>267</v>
      </c>
      <c r="D58" s="1116">
        <v>61</v>
      </c>
      <c r="E58" s="1117">
        <v>24</v>
      </c>
      <c r="F58" s="1117">
        <v>11</v>
      </c>
      <c r="G58" s="1118">
        <v>26</v>
      </c>
      <c r="H58" s="1116">
        <v>28290</v>
      </c>
      <c r="I58" s="1117">
        <v>20442</v>
      </c>
      <c r="J58" s="1117">
        <v>2518</v>
      </c>
      <c r="K58" s="1118">
        <v>5330</v>
      </c>
      <c r="L58" s="1138">
        <f t="shared" si="11"/>
        <v>2.1562389536938849</v>
      </c>
      <c r="M58" s="1139">
        <f t="shared" si="12"/>
        <v>1.1740534194305841</v>
      </c>
      <c r="N58" s="1139">
        <f t="shared" si="13"/>
        <v>4.3685464654487687</v>
      </c>
      <c r="O58" s="1140">
        <f t="shared" si="14"/>
        <v>4.8780487804878048</v>
      </c>
    </row>
    <row r="59" spans="1:15" x14ac:dyDescent="0.2">
      <c r="A59" s="1110" t="s">
        <v>134</v>
      </c>
      <c r="B59" s="1110" t="s">
        <v>135</v>
      </c>
      <c r="C59" s="1110" t="s">
        <v>267</v>
      </c>
      <c r="D59" s="1116">
        <v>18</v>
      </c>
      <c r="E59" s="1117">
        <v>12</v>
      </c>
      <c r="F59" s="1117">
        <v>5</v>
      </c>
      <c r="G59" s="1118">
        <v>1</v>
      </c>
      <c r="H59" s="1116">
        <v>1887</v>
      </c>
      <c r="I59" s="1117">
        <v>1465</v>
      </c>
      <c r="J59" s="1117">
        <v>393</v>
      </c>
      <c r="K59" s="1118">
        <v>29</v>
      </c>
      <c r="L59" s="1138">
        <f t="shared" si="11"/>
        <v>9.5389507154213025</v>
      </c>
      <c r="M59" s="1139">
        <f t="shared" si="12"/>
        <v>8.1911262798634805</v>
      </c>
      <c r="N59" s="1139">
        <f t="shared" si="13"/>
        <v>12.72264631043257</v>
      </c>
      <c r="O59" s="1140">
        <f t="shared" si="14"/>
        <v>34.482758620689651</v>
      </c>
    </row>
    <row r="60" spans="1:15" x14ac:dyDescent="0.2">
      <c r="A60" s="1110" t="s">
        <v>136</v>
      </c>
      <c r="B60" s="1110" t="s">
        <v>137</v>
      </c>
      <c r="C60" s="1110" t="s">
        <v>266</v>
      </c>
      <c r="D60" s="1116">
        <v>10</v>
      </c>
      <c r="E60" s="1117">
        <v>7</v>
      </c>
      <c r="F60" s="1117">
        <v>3</v>
      </c>
      <c r="G60" s="1118">
        <v>0</v>
      </c>
      <c r="H60" s="1116">
        <v>627</v>
      </c>
      <c r="I60" s="1117">
        <v>404</v>
      </c>
      <c r="J60" s="1117">
        <v>212</v>
      </c>
      <c r="K60" s="1118">
        <v>11</v>
      </c>
      <c r="L60" s="1138">
        <f t="shared" si="11"/>
        <v>15.948963317384369</v>
      </c>
      <c r="M60" s="1139">
        <f t="shared" si="12"/>
        <v>17.32673267326733</v>
      </c>
      <c r="N60" s="1139">
        <f t="shared" si="13"/>
        <v>14.150943396226415</v>
      </c>
      <c r="O60" s="1140">
        <f t="shared" si="14"/>
        <v>0</v>
      </c>
    </row>
    <row r="61" spans="1:15" x14ac:dyDescent="0.2">
      <c r="A61" s="1110" t="s">
        <v>140</v>
      </c>
      <c r="B61" s="1110" t="s">
        <v>141</v>
      </c>
      <c r="C61" s="1110" t="s">
        <v>267</v>
      </c>
      <c r="D61" s="1116">
        <v>5</v>
      </c>
      <c r="E61" s="1117">
        <v>5</v>
      </c>
      <c r="F61" s="1117">
        <v>0</v>
      </c>
      <c r="G61" s="1118">
        <v>0</v>
      </c>
      <c r="H61" s="1116">
        <v>820</v>
      </c>
      <c r="I61" s="1117">
        <v>728</v>
      </c>
      <c r="J61" s="1117">
        <v>84</v>
      </c>
      <c r="K61" s="1118">
        <v>8</v>
      </c>
      <c r="L61" s="1138">
        <f t="shared" si="11"/>
        <v>6.0975609756097562</v>
      </c>
      <c r="M61" s="1139">
        <f t="shared" si="12"/>
        <v>6.8681318681318677</v>
      </c>
      <c r="N61" s="1139">
        <f t="shared" si="13"/>
        <v>0</v>
      </c>
      <c r="O61" s="1140">
        <f t="shared" si="14"/>
        <v>0</v>
      </c>
    </row>
    <row r="62" spans="1:15" x14ac:dyDescent="0.2">
      <c r="A62" s="1110" t="s">
        <v>146</v>
      </c>
      <c r="B62" s="1110" t="s">
        <v>147</v>
      </c>
      <c r="C62" s="1110" t="s">
        <v>264</v>
      </c>
      <c r="D62" s="1116">
        <v>0</v>
      </c>
      <c r="E62" s="1117">
        <v>0</v>
      </c>
      <c r="F62" s="1117">
        <v>0</v>
      </c>
      <c r="G62" s="1118">
        <v>0</v>
      </c>
      <c r="H62" s="1116">
        <v>471</v>
      </c>
      <c r="I62" s="1117">
        <v>417</v>
      </c>
      <c r="J62" s="1117">
        <v>46</v>
      </c>
      <c r="K62" s="1118">
        <v>8</v>
      </c>
      <c r="L62" s="1138">
        <f t="shared" si="11"/>
        <v>0</v>
      </c>
      <c r="M62" s="1139">
        <f t="shared" si="12"/>
        <v>0</v>
      </c>
      <c r="N62" s="1139">
        <f t="shared" si="13"/>
        <v>0</v>
      </c>
      <c r="O62" s="1140">
        <f t="shared" si="14"/>
        <v>0</v>
      </c>
    </row>
    <row r="63" spans="1:15" x14ac:dyDescent="0.2">
      <c r="A63" s="1110" t="s">
        <v>148</v>
      </c>
      <c r="B63" s="1110" t="s">
        <v>149</v>
      </c>
      <c r="C63" s="1110" t="s">
        <v>265</v>
      </c>
      <c r="D63" s="1116">
        <v>23</v>
      </c>
      <c r="E63" s="1117">
        <v>9</v>
      </c>
      <c r="F63" s="1117">
        <v>12</v>
      </c>
      <c r="G63" s="1118">
        <v>2</v>
      </c>
      <c r="H63" s="1116">
        <v>1734</v>
      </c>
      <c r="I63" s="1117">
        <v>974</v>
      </c>
      <c r="J63" s="1117">
        <v>724</v>
      </c>
      <c r="K63" s="1118">
        <v>36</v>
      </c>
      <c r="L63" s="1138">
        <f t="shared" si="11"/>
        <v>13.264129181084199</v>
      </c>
      <c r="M63" s="1139">
        <f t="shared" si="12"/>
        <v>9.2402464065708418</v>
      </c>
      <c r="N63" s="1139">
        <f t="shared" si="13"/>
        <v>16.574585635359114</v>
      </c>
      <c r="O63" s="1140">
        <f t="shared" si="14"/>
        <v>55.55555555555555</v>
      </c>
    </row>
    <row r="64" spans="1:15" x14ac:dyDescent="0.2">
      <c r="A64" s="1110" t="s">
        <v>150</v>
      </c>
      <c r="B64" s="1110" t="s">
        <v>151</v>
      </c>
      <c r="C64" s="1110" t="s">
        <v>266</v>
      </c>
      <c r="D64" s="1116">
        <v>11</v>
      </c>
      <c r="E64" s="1117">
        <v>8</v>
      </c>
      <c r="F64" s="1117">
        <v>2</v>
      </c>
      <c r="G64" s="1118">
        <v>1</v>
      </c>
      <c r="H64" s="1116">
        <v>466</v>
      </c>
      <c r="I64" s="1117">
        <v>378</v>
      </c>
      <c r="J64" s="1117">
        <v>85</v>
      </c>
      <c r="K64" s="1118">
        <v>3</v>
      </c>
      <c r="L64" s="1138">
        <f t="shared" si="11"/>
        <v>23.605150214592275</v>
      </c>
      <c r="M64" s="1139">
        <f t="shared" si="12"/>
        <v>21.164021164021165</v>
      </c>
      <c r="N64" s="1139">
        <f t="shared" si="13"/>
        <v>23.52941176470588</v>
      </c>
      <c r="O64" s="1140">
        <f t="shared" si="14"/>
        <v>333.33333333333331</v>
      </c>
    </row>
    <row r="65" spans="1:15" x14ac:dyDescent="0.2">
      <c r="A65" s="1110" t="s">
        <v>152</v>
      </c>
      <c r="B65" s="1110" t="s">
        <v>153</v>
      </c>
      <c r="C65" s="1110" t="s">
        <v>268</v>
      </c>
      <c r="D65" s="1116">
        <v>33</v>
      </c>
      <c r="E65" s="1117">
        <v>32</v>
      </c>
      <c r="F65" s="1117">
        <v>1</v>
      </c>
      <c r="G65" s="1118">
        <v>0</v>
      </c>
      <c r="H65" s="1116">
        <v>6920</v>
      </c>
      <c r="I65" s="1117">
        <v>6042</v>
      </c>
      <c r="J65" s="1117">
        <v>361</v>
      </c>
      <c r="K65" s="1118">
        <v>517</v>
      </c>
      <c r="L65" s="1138">
        <f t="shared" si="11"/>
        <v>4.7687861271676306</v>
      </c>
      <c r="M65" s="1139">
        <f t="shared" si="12"/>
        <v>5.2962595167163196</v>
      </c>
      <c r="N65" s="1139">
        <f t="shared" si="13"/>
        <v>2.770083102493075</v>
      </c>
      <c r="O65" s="1140">
        <f t="shared" si="14"/>
        <v>0</v>
      </c>
    </row>
    <row r="66" spans="1:15" x14ac:dyDescent="0.2">
      <c r="A66" s="1110" t="s">
        <v>154</v>
      </c>
      <c r="B66" s="1110" t="s">
        <v>155</v>
      </c>
      <c r="C66" s="1110" t="s">
        <v>265</v>
      </c>
      <c r="D66" s="1116">
        <v>6</v>
      </c>
      <c r="E66" s="1117">
        <v>6</v>
      </c>
      <c r="F66" s="1117">
        <v>0</v>
      </c>
      <c r="G66" s="1118">
        <v>0</v>
      </c>
      <c r="H66" s="1116">
        <v>736</v>
      </c>
      <c r="I66" s="1117">
        <v>591</v>
      </c>
      <c r="J66" s="1117">
        <v>135</v>
      </c>
      <c r="K66" s="1118">
        <v>10</v>
      </c>
      <c r="L66" s="1138">
        <f t="shared" si="11"/>
        <v>8.1521739130434785</v>
      </c>
      <c r="M66" s="1139">
        <f t="shared" si="12"/>
        <v>10.152284263959389</v>
      </c>
      <c r="N66" s="1139">
        <f t="shared" si="13"/>
        <v>0</v>
      </c>
      <c r="O66" s="1140">
        <f t="shared" si="14"/>
        <v>0</v>
      </c>
    </row>
    <row r="67" spans="1:15" x14ac:dyDescent="0.2">
      <c r="A67" s="1110" t="s">
        <v>156</v>
      </c>
      <c r="B67" s="1110" t="s">
        <v>157</v>
      </c>
      <c r="C67" s="1110" t="s">
        <v>266</v>
      </c>
      <c r="D67" s="1116">
        <v>3</v>
      </c>
      <c r="E67" s="1117">
        <v>2</v>
      </c>
      <c r="F67" s="1117">
        <v>1</v>
      </c>
      <c r="G67" s="1118">
        <v>0</v>
      </c>
      <c r="H67" s="1116">
        <v>1197</v>
      </c>
      <c r="I67" s="1117">
        <v>987</v>
      </c>
      <c r="J67" s="1117">
        <v>170</v>
      </c>
      <c r="K67" s="1118">
        <v>40</v>
      </c>
      <c r="L67" s="1138">
        <f t="shared" si="11"/>
        <v>2.5062656641604009</v>
      </c>
      <c r="M67" s="1139">
        <f t="shared" si="12"/>
        <v>2.0263424518743669</v>
      </c>
      <c r="N67" s="1139">
        <f t="shared" si="13"/>
        <v>5.8823529411764701</v>
      </c>
      <c r="O67" s="1140">
        <f t="shared" si="14"/>
        <v>0</v>
      </c>
    </row>
    <row r="68" spans="1:15" x14ac:dyDescent="0.2">
      <c r="A68" s="1110" t="s">
        <v>162</v>
      </c>
      <c r="B68" s="1110" t="s">
        <v>163</v>
      </c>
      <c r="C68" s="1110" t="s">
        <v>264</v>
      </c>
      <c r="D68" s="1116">
        <v>11</v>
      </c>
      <c r="E68" s="1117">
        <v>6</v>
      </c>
      <c r="F68" s="1117">
        <v>5</v>
      </c>
      <c r="G68" s="1118">
        <v>0</v>
      </c>
      <c r="H68" s="1116">
        <v>614</v>
      </c>
      <c r="I68" s="1117">
        <v>332</v>
      </c>
      <c r="J68" s="1117">
        <v>270</v>
      </c>
      <c r="K68" s="1118">
        <v>12</v>
      </c>
      <c r="L68" s="1138">
        <f t="shared" si="11"/>
        <v>17.915309446254074</v>
      </c>
      <c r="M68" s="1139">
        <f t="shared" si="12"/>
        <v>18.072289156626507</v>
      </c>
      <c r="N68" s="1139">
        <f t="shared" si="13"/>
        <v>18.518518518518519</v>
      </c>
      <c r="O68" s="1140">
        <f t="shared" si="14"/>
        <v>0</v>
      </c>
    </row>
    <row r="69" spans="1:15" x14ac:dyDescent="0.2">
      <c r="A69" s="1110" t="s">
        <v>164</v>
      </c>
      <c r="B69" s="1110" t="s">
        <v>165</v>
      </c>
      <c r="C69" s="1110" t="s">
        <v>266</v>
      </c>
      <c r="D69" s="1116">
        <v>5</v>
      </c>
      <c r="E69" s="1117">
        <v>2</v>
      </c>
      <c r="F69" s="1117">
        <v>2</v>
      </c>
      <c r="G69" s="1118">
        <v>1</v>
      </c>
      <c r="H69" s="1116">
        <v>510</v>
      </c>
      <c r="I69" s="1117">
        <v>322</v>
      </c>
      <c r="J69" s="1117">
        <v>181</v>
      </c>
      <c r="K69" s="1118">
        <v>7</v>
      </c>
      <c r="L69" s="1138">
        <f t="shared" si="11"/>
        <v>9.8039215686274517</v>
      </c>
      <c r="M69" s="1139">
        <f t="shared" si="12"/>
        <v>6.2111801242236018</v>
      </c>
      <c r="N69" s="1139">
        <f t="shared" si="13"/>
        <v>11.049723756906078</v>
      </c>
      <c r="O69" s="1140">
        <f t="shared" si="14"/>
        <v>142.85714285714286</v>
      </c>
    </row>
    <row r="70" spans="1:15" x14ac:dyDescent="0.2">
      <c r="A70" s="1110" t="s">
        <v>168</v>
      </c>
      <c r="B70" s="1110" t="s">
        <v>169</v>
      </c>
      <c r="C70" s="1110" t="s">
        <v>266</v>
      </c>
      <c r="D70" s="1116">
        <v>9</v>
      </c>
      <c r="E70" s="1117">
        <v>7</v>
      </c>
      <c r="F70" s="1117">
        <v>2</v>
      </c>
      <c r="G70" s="1118">
        <v>0</v>
      </c>
      <c r="H70" s="1116">
        <v>782</v>
      </c>
      <c r="I70" s="1117">
        <v>443</v>
      </c>
      <c r="J70" s="1117">
        <v>318</v>
      </c>
      <c r="K70" s="1118">
        <v>21</v>
      </c>
      <c r="L70" s="1138">
        <f t="shared" ref="L70:L101" si="15">IF(H70=0,"NA",(D70/H70)*1000)</f>
        <v>11.508951406649617</v>
      </c>
      <c r="M70" s="1139">
        <f t="shared" ref="M70:M101" si="16">IF(I70=0,"NA",(E70/I70)*1000)</f>
        <v>15.80135440180587</v>
      </c>
      <c r="N70" s="1139">
        <f t="shared" ref="N70:N101" si="17">IF(J70=0,"NA",(F70/J70)*1000)</f>
        <v>6.2893081761006293</v>
      </c>
      <c r="O70" s="1140">
        <f t="shared" ref="O70:O101" si="18">IF(K70=0,"NA",(G70/K70)*1000)</f>
        <v>0</v>
      </c>
    </row>
    <row r="71" spans="1:15" x14ac:dyDescent="0.2">
      <c r="A71" s="1110" t="s">
        <v>170</v>
      </c>
      <c r="B71" s="1110" t="s">
        <v>171</v>
      </c>
      <c r="C71" s="1110" t="s">
        <v>267</v>
      </c>
      <c r="D71" s="1116">
        <v>13</v>
      </c>
      <c r="E71" s="1117">
        <v>9</v>
      </c>
      <c r="F71" s="1117">
        <v>3</v>
      </c>
      <c r="G71" s="1118">
        <v>1</v>
      </c>
      <c r="H71" s="1116">
        <v>2046</v>
      </c>
      <c r="I71" s="1117">
        <v>1652</v>
      </c>
      <c r="J71" s="1117">
        <v>356</v>
      </c>
      <c r="K71" s="1118">
        <v>38</v>
      </c>
      <c r="L71" s="1138">
        <f t="shared" si="15"/>
        <v>6.3538611925708706</v>
      </c>
      <c r="M71" s="1139">
        <f t="shared" si="16"/>
        <v>5.4479418886198543</v>
      </c>
      <c r="N71" s="1139">
        <f t="shared" si="17"/>
        <v>8.4269662921348321</v>
      </c>
      <c r="O71" s="1140">
        <f t="shared" si="18"/>
        <v>26.315789473684209</v>
      </c>
    </row>
    <row r="72" spans="1:15" x14ac:dyDescent="0.2">
      <c r="A72" s="1110" t="s">
        <v>172</v>
      </c>
      <c r="B72" s="1110" t="s">
        <v>173</v>
      </c>
      <c r="C72" s="1110" t="s">
        <v>267</v>
      </c>
      <c r="D72" s="1116">
        <v>12</v>
      </c>
      <c r="E72" s="1117">
        <v>12</v>
      </c>
      <c r="F72" s="1117">
        <v>0</v>
      </c>
      <c r="G72" s="1118">
        <v>0</v>
      </c>
      <c r="H72" s="1116">
        <v>1350</v>
      </c>
      <c r="I72" s="1117">
        <v>1295</v>
      </c>
      <c r="J72" s="1117">
        <v>40</v>
      </c>
      <c r="K72" s="1118">
        <v>15</v>
      </c>
      <c r="L72" s="1138">
        <f t="shared" si="15"/>
        <v>8.8888888888888893</v>
      </c>
      <c r="M72" s="1139">
        <f t="shared" si="16"/>
        <v>9.2664092664092657</v>
      </c>
      <c r="N72" s="1139">
        <f t="shared" si="17"/>
        <v>0</v>
      </c>
      <c r="O72" s="1140">
        <f t="shared" si="18"/>
        <v>0</v>
      </c>
    </row>
    <row r="73" spans="1:15" x14ac:dyDescent="0.2">
      <c r="A73" s="1110" t="s">
        <v>174</v>
      </c>
      <c r="B73" s="1110" t="s">
        <v>175</v>
      </c>
      <c r="C73" s="1110" t="s">
        <v>268</v>
      </c>
      <c r="D73" s="1116">
        <v>13</v>
      </c>
      <c r="E73" s="1117">
        <v>13</v>
      </c>
      <c r="F73" s="1117">
        <v>0</v>
      </c>
      <c r="G73" s="1118">
        <v>0</v>
      </c>
      <c r="H73" s="1116">
        <v>952</v>
      </c>
      <c r="I73" s="1117">
        <v>870</v>
      </c>
      <c r="J73" s="1117">
        <v>68</v>
      </c>
      <c r="K73" s="1118">
        <v>14</v>
      </c>
      <c r="L73" s="1138">
        <f t="shared" si="15"/>
        <v>13.655462184873949</v>
      </c>
      <c r="M73" s="1139">
        <f t="shared" si="16"/>
        <v>14.942528735632184</v>
      </c>
      <c r="N73" s="1139">
        <f t="shared" si="17"/>
        <v>0</v>
      </c>
      <c r="O73" s="1140">
        <f t="shared" si="18"/>
        <v>0</v>
      </c>
    </row>
    <row r="74" spans="1:15" x14ac:dyDescent="0.2">
      <c r="A74" s="1110" t="s">
        <v>178</v>
      </c>
      <c r="B74" s="1110" t="s">
        <v>179</v>
      </c>
      <c r="C74" s="1110" t="s">
        <v>265</v>
      </c>
      <c r="D74" s="1116">
        <v>36</v>
      </c>
      <c r="E74" s="1117">
        <v>25</v>
      </c>
      <c r="F74" s="1117">
        <v>8</v>
      </c>
      <c r="G74" s="1118">
        <v>3</v>
      </c>
      <c r="H74" s="1116">
        <v>3589</v>
      </c>
      <c r="I74" s="1117">
        <v>2746</v>
      </c>
      <c r="J74" s="1117">
        <v>808</v>
      </c>
      <c r="K74" s="1118">
        <v>35</v>
      </c>
      <c r="L74" s="1138">
        <f t="shared" si="15"/>
        <v>10.030649205906938</v>
      </c>
      <c r="M74" s="1139">
        <f t="shared" si="16"/>
        <v>9.1041514930808454</v>
      </c>
      <c r="N74" s="1139">
        <f t="shared" si="17"/>
        <v>9.9009900990099009</v>
      </c>
      <c r="O74" s="1140">
        <f t="shared" si="18"/>
        <v>85.714285714285708</v>
      </c>
    </row>
    <row r="75" spans="1:15" x14ac:dyDescent="0.2">
      <c r="A75" s="1110" t="s">
        <v>182</v>
      </c>
      <c r="B75" s="1110" t="s">
        <v>183</v>
      </c>
      <c r="C75" s="1110" t="s">
        <v>266</v>
      </c>
      <c r="D75" s="1116">
        <v>9</v>
      </c>
      <c r="E75" s="1117">
        <v>8</v>
      </c>
      <c r="F75" s="1117">
        <v>1</v>
      </c>
      <c r="G75" s="1118">
        <v>0</v>
      </c>
      <c r="H75" s="1116">
        <v>1542</v>
      </c>
      <c r="I75" s="1117">
        <v>1370</v>
      </c>
      <c r="J75" s="1117">
        <v>147</v>
      </c>
      <c r="K75" s="1118">
        <v>25</v>
      </c>
      <c r="L75" s="1138">
        <f t="shared" si="15"/>
        <v>5.836575875486381</v>
      </c>
      <c r="M75" s="1139">
        <f t="shared" si="16"/>
        <v>5.8394160583941606</v>
      </c>
      <c r="N75" s="1139">
        <f t="shared" si="17"/>
        <v>6.8027210884353737</v>
      </c>
      <c r="O75" s="1140">
        <f t="shared" si="18"/>
        <v>0</v>
      </c>
    </row>
    <row r="76" spans="1:15" x14ac:dyDescent="0.2">
      <c r="A76" s="1110" t="s">
        <v>184</v>
      </c>
      <c r="B76" s="1110" t="s">
        <v>185</v>
      </c>
      <c r="C76" s="1110" t="s">
        <v>266</v>
      </c>
      <c r="D76" s="1116">
        <v>6</v>
      </c>
      <c r="E76" s="1117">
        <v>3</v>
      </c>
      <c r="F76" s="1117">
        <v>3</v>
      </c>
      <c r="G76" s="1118">
        <v>0</v>
      </c>
      <c r="H76" s="1116">
        <v>2041</v>
      </c>
      <c r="I76" s="1117">
        <v>1436</v>
      </c>
      <c r="J76" s="1117">
        <v>555</v>
      </c>
      <c r="K76" s="1118">
        <v>50</v>
      </c>
      <c r="L76" s="1138">
        <f t="shared" si="15"/>
        <v>2.9397354238118569</v>
      </c>
      <c r="M76" s="1139">
        <f t="shared" si="16"/>
        <v>2.0891364902506964</v>
      </c>
      <c r="N76" s="1139">
        <f t="shared" si="17"/>
        <v>5.4054054054054053</v>
      </c>
      <c r="O76" s="1140">
        <f t="shared" si="18"/>
        <v>0</v>
      </c>
    </row>
    <row r="77" spans="1:15" x14ac:dyDescent="0.2">
      <c r="A77" s="1110" t="s">
        <v>186</v>
      </c>
      <c r="B77" s="1110" t="s">
        <v>187</v>
      </c>
      <c r="C77" s="1110" t="s">
        <v>264</v>
      </c>
      <c r="D77" s="1116">
        <v>11</v>
      </c>
      <c r="E77" s="1117">
        <v>5</v>
      </c>
      <c r="F77" s="1117">
        <v>6</v>
      </c>
      <c r="G77" s="1118">
        <v>0</v>
      </c>
      <c r="H77" s="1116">
        <v>2290</v>
      </c>
      <c r="I77" s="1117">
        <v>1390</v>
      </c>
      <c r="J77" s="1117">
        <v>821</v>
      </c>
      <c r="K77" s="1118">
        <v>79</v>
      </c>
      <c r="L77" s="1138">
        <f t="shared" si="15"/>
        <v>4.8034934497816595</v>
      </c>
      <c r="M77" s="1139">
        <f t="shared" si="16"/>
        <v>3.5971223021582737</v>
      </c>
      <c r="N77" s="1139">
        <f t="shared" si="17"/>
        <v>7.3081607795371495</v>
      </c>
      <c r="O77" s="1140">
        <f t="shared" si="18"/>
        <v>0</v>
      </c>
    </row>
    <row r="78" spans="1:15" x14ac:dyDescent="0.2">
      <c r="A78" s="1110" t="s">
        <v>188</v>
      </c>
      <c r="B78" s="1110" t="s">
        <v>189</v>
      </c>
      <c r="C78" s="1110" t="s">
        <v>267</v>
      </c>
      <c r="D78" s="1116">
        <v>232</v>
      </c>
      <c r="E78" s="1117">
        <v>98</v>
      </c>
      <c r="F78" s="1117">
        <v>47</v>
      </c>
      <c r="G78" s="1118">
        <v>87</v>
      </c>
      <c r="H78" s="1116">
        <v>31928</v>
      </c>
      <c r="I78" s="1117">
        <v>20346</v>
      </c>
      <c r="J78" s="1117">
        <v>8188</v>
      </c>
      <c r="K78" s="1118">
        <v>3394</v>
      </c>
      <c r="L78" s="1138">
        <f t="shared" si="15"/>
        <v>7.2663492858932592</v>
      </c>
      <c r="M78" s="1139">
        <f t="shared" si="16"/>
        <v>4.8166715816376682</v>
      </c>
      <c r="N78" s="1139">
        <f t="shared" si="17"/>
        <v>5.740107474352711</v>
      </c>
      <c r="O78" s="1140">
        <f t="shared" si="18"/>
        <v>25.633470830878021</v>
      </c>
    </row>
    <row r="79" spans="1:15" x14ac:dyDescent="0.2">
      <c r="A79" s="1110" t="s">
        <v>190</v>
      </c>
      <c r="B79" s="1110" t="s">
        <v>191</v>
      </c>
      <c r="C79" s="1110" t="s">
        <v>268</v>
      </c>
      <c r="D79" s="1116">
        <v>38</v>
      </c>
      <c r="E79" s="1117">
        <v>37</v>
      </c>
      <c r="F79" s="1117">
        <v>1</v>
      </c>
      <c r="G79" s="1118">
        <v>0</v>
      </c>
      <c r="H79" s="1116">
        <v>1703</v>
      </c>
      <c r="I79" s="1117">
        <v>1572</v>
      </c>
      <c r="J79" s="1117">
        <v>115</v>
      </c>
      <c r="K79" s="1118">
        <v>16</v>
      </c>
      <c r="L79" s="1138">
        <f t="shared" si="15"/>
        <v>22.313564298297123</v>
      </c>
      <c r="M79" s="1139">
        <f t="shared" si="16"/>
        <v>23.536895674300254</v>
      </c>
      <c r="N79" s="1139">
        <f t="shared" si="17"/>
        <v>8.695652173913043</v>
      </c>
      <c r="O79" s="1140">
        <f t="shared" si="18"/>
        <v>0</v>
      </c>
    </row>
    <row r="80" spans="1:15" x14ac:dyDescent="0.2">
      <c r="A80" s="1110" t="s">
        <v>194</v>
      </c>
      <c r="B80" s="1110" t="s">
        <v>195</v>
      </c>
      <c r="C80" s="1110" t="s">
        <v>267</v>
      </c>
      <c r="D80" s="1116">
        <v>3</v>
      </c>
      <c r="E80" s="1117">
        <v>3</v>
      </c>
      <c r="F80" s="1117">
        <v>0</v>
      </c>
      <c r="G80" s="1118">
        <v>0</v>
      </c>
      <c r="H80" s="1116">
        <v>396</v>
      </c>
      <c r="I80" s="1117">
        <v>370</v>
      </c>
      <c r="J80" s="1117">
        <v>19</v>
      </c>
      <c r="K80" s="1118">
        <v>7</v>
      </c>
      <c r="L80" s="1138">
        <f t="shared" si="15"/>
        <v>7.5757575757575761</v>
      </c>
      <c r="M80" s="1139">
        <f t="shared" si="16"/>
        <v>8.1081081081081088</v>
      </c>
      <c r="N80" s="1139">
        <f t="shared" si="17"/>
        <v>0</v>
      </c>
      <c r="O80" s="1140">
        <f t="shared" si="18"/>
        <v>0</v>
      </c>
    </row>
    <row r="81" spans="1:15" x14ac:dyDescent="0.2">
      <c r="A81" s="1110" t="s">
        <v>198</v>
      </c>
      <c r="B81" s="1110" t="s">
        <v>272</v>
      </c>
      <c r="C81" s="1110" t="s">
        <v>266</v>
      </c>
      <c r="D81" s="1116">
        <v>1</v>
      </c>
      <c r="E81" s="1117">
        <v>0</v>
      </c>
      <c r="F81" s="1117">
        <v>1</v>
      </c>
      <c r="G81" s="1118">
        <v>0</v>
      </c>
      <c r="H81" s="1116">
        <v>432</v>
      </c>
      <c r="I81" s="1117">
        <v>293</v>
      </c>
      <c r="J81" s="1117">
        <v>132</v>
      </c>
      <c r="K81" s="1118">
        <v>7</v>
      </c>
      <c r="L81" s="1138">
        <f t="shared" si="15"/>
        <v>2.3148148148148149</v>
      </c>
      <c r="M81" s="1139">
        <f t="shared" si="16"/>
        <v>0</v>
      </c>
      <c r="N81" s="1139">
        <f t="shared" si="17"/>
        <v>7.5757575757575761</v>
      </c>
      <c r="O81" s="1140">
        <f t="shared" si="18"/>
        <v>0</v>
      </c>
    </row>
    <row r="82" spans="1:15" x14ac:dyDescent="0.2">
      <c r="A82" s="1110" t="s">
        <v>202</v>
      </c>
      <c r="B82" s="1110" t="s">
        <v>301</v>
      </c>
      <c r="C82" s="1110" t="s">
        <v>265</v>
      </c>
      <c r="D82" s="1116">
        <v>33</v>
      </c>
      <c r="E82" s="1117">
        <v>27</v>
      </c>
      <c r="F82" s="1117">
        <v>3</v>
      </c>
      <c r="G82" s="1118">
        <v>3</v>
      </c>
      <c r="H82" s="1116">
        <v>7582</v>
      </c>
      <c r="I82" s="1117">
        <v>6578</v>
      </c>
      <c r="J82" s="1117">
        <v>698</v>
      </c>
      <c r="K82" s="1118">
        <v>306</v>
      </c>
      <c r="L82" s="1138">
        <f t="shared" si="15"/>
        <v>4.3524136111843834</v>
      </c>
      <c r="M82" s="1139">
        <f t="shared" si="16"/>
        <v>4.1045910611128003</v>
      </c>
      <c r="N82" s="1139">
        <f t="shared" si="17"/>
        <v>4.2979942693409745</v>
      </c>
      <c r="O82" s="1140">
        <f t="shared" si="18"/>
        <v>9.8039215686274517</v>
      </c>
    </row>
    <row r="83" spans="1:15" x14ac:dyDescent="0.2">
      <c r="A83" s="1110" t="s">
        <v>204</v>
      </c>
      <c r="B83" s="1110" t="s">
        <v>293</v>
      </c>
      <c r="C83" s="1110" t="s">
        <v>265</v>
      </c>
      <c r="D83" s="1116">
        <v>19</v>
      </c>
      <c r="E83" s="1117">
        <v>18</v>
      </c>
      <c r="F83" s="1117">
        <v>1</v>
      </c>
      <c r="G83" s="1118">
        <v>0</v>
      </c>
      <c r="H83" s="1116">
        <v>2287</v>
      </c>
      <c r="I83" s="1117">
        <v>2069</v>
      </c>
      <c r="J83" s="1117">
        <v>154</v>
      </c>
      <c r="K83" s="1118">
        <v>64</v>
      </c>
      <c r="L83" s="1138">
        <f t="shared" si="15"/>
        <v>8.3078268473983385</v>
      </c>
      <c r="M83" s="1139">
        <f t="shared" si="16"/>
        <v>8.6998550024166263</v>
      </c>
      <c r="N83" s="1139">
        <f t="shared" si="17"/>
        <v>6.4935064935064943</v>
      </c>
      <c r="O83" s="1140">
        <f t="shared" si="18"/>
        <v>0</v>
      </c>
    </row>
    <row r="84" spans="1:15" x14ac:dyDescent="0.2">
      <c r="A84" s="1110" t="s">
        <v>206</v>
      </c>
      <c r="B84" s="1110" t="s">
        <v>294</v>
      </c>
      <c r="C84" s="1110" t="s">
        <v>267</v>
      </c>
      <c r="D84" s="1116">
        <v>104</v>
      </c>
      <c r="E84" s="1117">
        <v>72</v>
      </c>
      <c r="F84" s="1117">
        <v>3</v>
      </c>
      <c r="G84" s="1118">
        <v>29</v>
      </c>
      <c r="H84" s="1116">
        <v>10736</v>
      </c>
      <c r="I84" s="1117">
        <v>9591</v>
      </c>
      <c r="J84" s="1117">
        <v>661</v>
      </c>
      <c r="K84" s="1118">
        <v>484</v>
      </c>
      <c r="L84" s="1138">
        <f t="shared" si="15"/>
        <v>9.6870342771982116</v>
      </c>
      <c r="M84" s="1139">
        <f t="shared" si="16"/>
        <v>7.5070378479824837</v>
      </c>
      <c r="N84" s="1139">
        <f t="shared" si="17"/>
        <v>4.5385779122541603</v>
      </c>
      <c r="O84" s="1140">
        <f t="shared" si="18"/>
        <v>59.917355371900825</v>
      </c>
    </row>
    <row r="85" spans="1:15" x14ac:dyDescent="0.2">
      <c r="A85" s="1110" t="s">
        <v>208</v>
      </c>
      <c r="B85" s="1110" t="s">
        <v>209</v>
      </c>
      <c r="C85" s="1110" t="s">
        <v>268</v>
      </c>
      <c r="D85" s="1116">
        <v>26</v>
      </c>
      <c r="E85" s="1117">
        <v>26</v>
      </c>
      <c r="F85" s="1117">
        <v>0</v>
      </c>
      <c r="G85" s="1118">
        <v>0</v>
      </c>
      <c r="H85" s="1116">
        <v>1556</v>
      </c>
      <c r="I85" s="1117">
        <v>1523</v>
      </c>
      <c r="J85" s="1117">
        <v>26</v>
      </c>
      <c r="K85" s="1118">
        <v>7</v>
      </c>
      <c r="L85" s="1138">
        <f t="shared" si="15"/>
        <v>16.709511568123393</v>
      </c>
      <c r="M85" s="1139">
        <f t="shared" si="16"/>
        <v>17.071569271175314</v>
      </c>
      <c r="N85" s="1139">
        <f t="shared" si="17"/>
        <v>0</v>
      </c>
      <c r="O85" s="1140">
        <f t="shared" si="18"/>
        <v>0</v>
      </c>
    </row>
    <row r="86" spans="1:15" x14ac:dyDescent="0.2">
      <c r="A86" s="1110" t="s">
        <v>210</v>
      </c>
      <c r="B86" s="1110" t="s">
        <v>211</v>
      </c>
      <c r="C86" s="1110" t="s">
        <v>268</v>
      </c>
      <c r="D86" s="1116">
        <v>13</v>
      </c>
      <c r="E86" s="1117">
        <v>13</v>
      </c>
      <c r="F86" s="1117">
        <v>0</v>
      </c>
      <c r="G86" s="1118">
        <v>0</v>
      </c>
      <c r="H86" s="1116">
        <v>1177</v>
      </c>
      <c r="I86" s="1117">
        <v>1148</v>
      </c>
      <c r="J86" s="1117">
        <v>17</v>
      </c>
      <c r="K86" s="1118">
        <v>12</v>
      </c>
      <c r="L86" s="1138">
        <f t="shared" si="15"/>
        <v>11.04502973661852</v>
      </c>
      <c r="M86" s="1139">
        <f t="shared" si="16"/>
        <v>11.324041811846691</v>
      </c>
      <c r="N86" s="1139">
        <f t="shared" si="17"/>
        <v>0</v>
      </c>
      <c r="O86" s="1140">
        <f t="shared" si="18"/>
        <v>0</v>
      </c>
    </row>
    <row r="87" spans="1:15" x14ac:dyDescent="0.2">
      <c r="A87" s="1110" t="s">
        <v>212</v>
      </c>
      <c r="B87" s="1110" t="s">
        <v>213</v>
      </c>
      <c r="C87" s="1110" t="s">
        <v>267</v>
      </c>
      <c r="D87" s="1116">
        <v>24</v>
      </c>
      <c r="E87" s="1117">
        <v>21</v>
      </c>
      <c r="F87" s="1117">
        <v>3</v>
      </c>
      <c r="G87" s="1118">
        <v>0</v>
      </c>
      <c r="H87" s="1116">
        <v>2595</v>
      </c>
      <c r="I87" s="1117">
        <v>2457</v>
      </c>
      <c r="J87" s="1117">
        <v>96</v>
      </c>
      <c r="K87" s="1118">
        <v>42</v>
      </c>
      <c r="L87" s="1138">
        <f t="shared" si="15"/>
        <v>9.2485549132947984</v>
      </c>
      <c r="M87" s="1139">
        <f t="shared" si="16"/>
        <v>8.5470085470085486</v>
      </c>
      <c r="N87" s="1139">
        <f t="shared" si="17"/>
        <v>31.25</v>
      </c>
      <c r="O87" s="1140">
        <f t="shared" si="18"/>
        <v>0</v>
      </c>
    </row>
    <row r="88" spans="1:15" x14ac:dyDescent="0.2">
      <c r="A88" s="1110" t="s">
        <v>214</v>
      </c>
      <c r="B88" s="1110" t="s">
        <v>215</v>
      </c>
      <c r="C88" s="1110" t="s">
        <v>268</v>
      </c>
      <c r="D88" s="1116">
        <v>31</v>
      </c>
      <c r="E88" s="1117">
        <v>28</v>
      </c>
      <c r="F88" s="1117">
        <v>2</v>
      </c>
      <c r="G88" s="1118">
        <v>1</v>
      </c>
      <c r="H88" s="1116">
        <v>1716</v>
      </c>
      <c r="I88" s="1117">
        <v>1613</v>
      </c>
      <c r="J88" s="1117">
        <v>92</v>
      </c>
      <c r="K88" s="1118">
        <v>11</v>
      </c>
      <c r="L88" s="1138">
        <f t="shared" si="15"/>
        <v>18.065268065268064</v>
      </c>
      <c r="M88" s="1139">
        <f t="shared" si="16"/>
        <v>17.35895846249225</v>
      </c>
      <c r="N88" s="1139">
        <f t="shared" si="17"/>
        <v>21.739130434782609</v>
      </c>
      <c r="O88" s="1140">
        <f t="shared" si="18"/>
        <v>90.909090909090907</v>
      </c>
    </row>
    <row r="89" spans="1:15" x14ac:dyDescent="0.2">
      <c r="A89" s="1110" t="s">
        <v>216</v>
      </c>
      <c r="B89" s="1110" t="s">
        <v>217</v>
      </c>
      <c r="C89" s="1110" t="s">
        <v>264</v>
      </c>
      <c r="D89" s="1116">
        <v>5</v>
      </c>
      <c r="E89" s="1117">
        <v>4</v>
      </c>
      <c r="F89" s="1117">
        <v>1</v>
      </c>
      <c r="G89" s="1118">
        <v>0</v>
      </c>
      <c r="H89" s="1116">
        <v>1014</v>
      </c>
      <c r="I89" s="1117">
        <v>636</v>
      </c>
      <c r="J89" s="1117">
        <v>364</v>
      </c>
      <c r="K89" s="1118">
        <v>14</v>
      </c>
      <c r="L89" s="1138">
        <f t="shared" si="15"/>
        <v>4.9309664694280082</v>
      </c>
      <c r="M89" s="1139">
        <f t="shared" si="16"/>
        <v>6.2893081761006293</v>
      </c>
      <c r="N89" s="1139">
        <f t="shared" si="17"/>
        <v>2.7472527472527473</v>
      </c>
      <c r="O89" s="1140">
        <f t="shared" si="18"/>
        <v>0</v>
      </c>
    </row>
    <row r="90" spans="1:15" x14ac:dyDescent="0.2">
      <c r="A90" s="1110" t="s">
        <v>218</v>
      </c>
      <c r="B90" s="1110" t="s">
        <v>219</v>
      </c>
      <c r="C90" s="1110" t="s">
        <v>267</v>
      </c>
      <c r="D90" s="1116">
        <v>64</v>
      </c>
      <c r="E90" s="1117">
        <v>45</v>
      </c>
      <c r="F90" s="1117">
        <v>11</v>
      </c>
      <c r="G90" s="1118">
        <v>8</v>
      </c>
      <c r="H90" s="1116">
        <v>9362</v>
      </c>
      <c r="I90" s="1117">
        <v>7112</v>
      </c>
      <c r="J90" s="1117">
        <v>1859</v>
      </c>
      <c r="K90" s="1118">
        <v>391</v>
      </c>
      <c r="L90" s="1138">
        <f t="shared" si="15"/>
        <v>6.8361461226233713</v>
      </c>
      <c r="M90" s="1139">
        <f t="shared" si="16"/>
        <v>6.3273340832395952</v>
      </c>
      <c r="N90" s="1139">
        <f t="shared" si="17"/>
        <v>5.9171597633136095</v>
      </c>
      <c r="O90" s="1140">
        <f t="shared" si="18"/>
        <v>20.460358056265985</v>
      </c>
    </row>
    <row r="91" spans="1:15" x14ac:dyDescent="0.2">
      <c r="A91" s="1110" t="s">
        <v>220</v>
      </c>
      <c r="B91" s="1110" t="s">
        <v>221</v>
      </c>
      <c r="C91" s="1110" t="s">
        <v>267</v>
      </c>
      <c r="D91" s="1116">
        <v>59</v>
      </c>
      <c r="E91" s="1117">
        <v>29</v>
      </c>
      <c r="F91" s="1117">
        <v>15</v>
      </c>
      <c r="G91" s="1118">
        <v>15</v>
      </c>
      <c r="H91" s="1116">
        <v>11073</v>
      </c>
      <c r="I91" s="1117">
        <v>8056</v>
      </c>
      <c r="J91" s="1117">
        <v>2435</v>
      </c>
      <c r="K91" s="1118">
        <v>582</v>
      </c>
      <c r="L91" s="1138">
        <f t="shared" si="15"/>
        <v>5.3282759866341554</v>
      </c>
      <c r="M91" s="1139">
        <f t="shared" si="16"/>
        <v>3.599801390268123</v>
      </c>
      <c r="N91" s="1139">
        <f t="shared" si="17"/>
        <v>6.1601642710472282</v>
      </c>
      <c r="O91" s="1140">
        <f t="shared" si="18"/>
        <v>25.773195876288657</v>
      </c>
    </row>
    <row r="92" spans="1:15" x14ac:dyDescent="0.2">
      <c r="A92" s="1110" t="s">
        <v>224</v>
      </c>
      <c r="B92" s="1110" t="s">
        <v>225</v>
      </c>
      <c r="C92" s="1110" t="s">
        <v>264</v>
      </c>
      <c r="D92" s="1116">
        <v>5</v>
      </c>
      <c r="E92" s="1117">
        <v>2</v>
      </c>
      <c r="F92" s="1117">
        <v>3</v>
      </c>
      <c r="G92" s="1118">
        <v>0</v>
      </c>
      <c r="H92" s="1116">
        <v>363</v>
      </c>
      <c r="I92" s="1117">
        <v>197</v>
      </c>
      <c r="J92" s="1117">
        <v>165</v>
      </c>
      <c r="K92" s="1118">
        <v>1</v>
      </c>
      <c r="L92" s="1138">
        <f t="shared" si="15"/>
        <v>13.774104683195592</v>
      </c>
      <c r="M92" s="1139">
        <f t="shared" si="16"/>
        <v>10.152284263959389</v>
      </c>
      <c r="N92" s="1139">
        <f t="shared" si="17"/>
        <v>18.18181818181818</v>
      </c>
      <c r="O92" s="1140">
        <f t="shared" si="18"/>
        <v>0</v>
      </c>
    </row>
    <row r="93" spans="1:15" x14ac:dyDescent="0.2">
      <c r="A93" s="1110" t="s">
        <v>226</v>
      </c>
      <c r="B93" s="1110" t="s">
        <v>227</v>
      </c>
      <c r="C93" s="1110" t="s">
        <v>264</v>
      </c>
      <c r="D93" s="1116">
        <v>9</v>
      </c>
      <c r="E93" s="1117">
        <v>2</v>
      </c>
      <c r="F93" s="1117">
        <v>7</v>
      </c>
      <c r="G93" s="1118">
        <v>0</v>
      </c>
      <c r="H93" s="1116">
        <v>488</v>
      </c>
      <c r="I93" s="1117">
        <v>189</v>
      </c>
      <c r="J93" s="1117">
        <v>295</v>
      </c>
      <c r="K93" s="1118">
        <v>4</v>
      </c>
      <c r="L93" s="1138">
        <f t="shared" si="15"/>
        <v>18.442622950819672</v>
      </c>
      <c r="M93" s="1139">
        <f t="shared" si="16"/>
        <v>10.582010582010582</v>
      </c>
      <c r="N93" s="1139">
        <f t="shared" si="17"/>
        <v>23.728813559322035</v>
      </c>
      <c r="O93" s="1140">
        <f t="shared" si="18"/>
        <v>0</v>
      </c>
    </row>
    <row r="94" spans="1:15" x14ac:dyDescent="0.2">
      <c r="A94" s="1110" t="s">
        <v>228</v>
      </c>
      <c r="B94" s="1110" t="s">
        <v>229</v>
      </c>
      <c r="C94" s="1110" t="s">
        <v>268</v>
      </c>
      <c r="D94" s="1116">
        <v>55</v>
      </c>
      <c r="E94" s="1117">
        <v>53</v>
      </c>
      <c r="F94" s="1117">
        <v>2</v>
      </c>
      <c r="G94" s="1118">
        <v>0</v>
      </c>
      <c r="H94" s="1116">
        <v>2381</v>
      </c>
      <c r="I94" s="1117">
        <v>2272</v>
      </c>
      <c r="J94" s="1117">
        <v>81</v>
      </c>
      <c r="K94" s="1118">
        <v>28</v>
      </c>
      <c r="L94" s="1138">
        <f t="shared" si="15"/>
        <v>23.099538009239815</v>
      </c>
      <c r="M94" s="1139">
        <f t="shared" si="16"/>
        <v>23.327464788732396</v>
      </c>
      <c r="N94" s="1139">
        <f t="shared" si="17"/>
        <v>24.691358024691358</v>
      </c>
      <c r="O94" s="1140">
        <f t="shared" si="18"/>
        <v>0</v>
      </c>
    </row>
    <row r="95" spans="1:15" x14ac:dyDescent="0.2">
      <c r="A95" s="1110" t="s">
        <v>232</v>
      </c>
      <c r="B95" s="1110" t="s">
        <v>233</v>
      </c>
      <c r="C95" s="1110" t="s">
        <v>267</v>
      </c>
      <c r="D95" s="1116">
        <v>30</v>
      </c>
      <c r="E95" s="1117">
        <v>26</v>
      </c>
      <c r="F95" s="1117">
        <v>2</v>
      </c>
      <c r="G95" s="1118">
        <v>2</v>
      </c>
      <c r="H95" s="1116">
        <v>2443</v>
      </c>
      <c r="I95" s="1117">
        <v>2227</v>
      </c>
      <c r="J95" s="1117">
        <v>158</v>
      </c>
      <c r="K95" s="1118">
        <v>58</v>
      </c>
      <c r="L95" s="1138">
        <f t="shared" si="15"/>
        <v>12.279983626688498</v>
      </c>
      <c r="M95" s="1139">
        <f t="shared" si="16"/>
        <v>11.674898967220475</v>
      </c>
      <c r="N95" s="1139">
        <f t="shared" si="17"/>
        <v>12.658227848101266</v>
      </c>
      <c r="O95" s="1140">
        <f t="shared" si="18"/>
        <v>34.482758620689651</v>
      </c>
    </row>
    <row r="96" spans="1:15" x14ac:dyDescent="0.2">
      <c r="A96" s="1110" t="s">
        <v>234</v>
      </c>
      <c r="B96" s="1110" t="s">
        <v>235</v>
      </c>
      <c r="C96" s="1110" t="s">
        <v>268</v>
      </c>
      <c r="D96" s="1116">
        <v>48</v>
      </c>
      <c r="E96" s="1117">
        <v>47</v>
      </c>
      <c r="F96" s="1117">
        <v>0</v>
      </c>
      <c r="G96" s="1118">
        <v>1</v>
      </c>
      <c r="H96" s="1116">
        <v>3045</v>
      </c>
      <c r="I96" s="1117">
        <v>2932</v>
      </c>
      <c r="J96" s="1117">
        <v>73</v>
      </c>
      <c r="K96" s="1118">
        <v>40</v>
      </c>
      <c r="L96" s="1138">
        <f t="shared" si="15"/>
        <v>15.763546798029555</v>
      </c>
      <c r="M96" s="1139">
        <f t="shared" si="16"/>
        <v>16.030013642564803</v>
      </c>
      <c r="N96" s="1139">
        <f t="shared" si="17"/>
        <v>0</v>
      </c>
      <c r="O96" s="1140">
        <f t="shared" si="18"/>
        <v>25</v>
      </c>
    </row>
    <row r="97" spans="1:15" x14ac:dyDescent="0.2">
      <c r="A97" s="1110" t="s">
        <v>236</v>
      </c>
      <c r="B97" s="1110" t="s">
        <v>237</v>
      </c>
      <c r="C97" s="1110" t="s">
        <v>266</v>
      </c>
      <c r="D97" s="1116">
        <v>16</v>
      </c>
      <c r="E97" s="1117">
        <v>11</v>
      </c>
      <c r="F97" s="1117">
        <v>3</v>
      </c>
      <c r="G97" s="1118">
        <v>2</v>
      </c>
      <c r="H97" s="1116">
        <v>877</v>
      </c>
      <c r="I97" s="1117">
        <v>545</v>
      </c>
      <c r="J97" s="1117">
        <v>311</v>
      </c>
      <c r="K97" s="1118">
        <v>21</v>
      </c>
      <c r="L97" s="1138">
        <f t="shared" si="15"/>
        <v>18.244013683010262</v>
      </c>
      <c r="M97" s="1139">
        <f t="shared" si="16"/>
        <v>20.183486238532112</v>
      </c>
      <c r="N97" s="1139">
        <f t="shared" si="17"/>
        <v>9.6463022508038598</v>
      </c>
      <c r="O97" s="1140">
        <f t="shared" si="18"/>
        <v>95.238095238095227</v>
      </c>
    </row>
    <row r="98" spans="1:15" x14ac:dyDescent="0.2">
      <c r="A98" s="1110" t="s">
        <v>242</v>
      </c>
      <c r="B98" s="1110" t="s">
        <v>243</v>
      </c>
      <c r="C98" s="1110" t="s">
        <v>268</v>
      </c>
      <c r="D98" s="1116">
        <v>46</v>
      </c>
      <c r="E98" s="1117">
        <v>43</v>
      </c>
      <c r="F98" s="1117">
        <v>3</v>
      </c>
      <c r="G98" s="1118">
        <v>0</v>
      </c>
      <c r="H98" s="1116">
        <v>2172</v>
      </c>
      <c r="I98" s="1117">
        <v>2068</v>
      </c>
      <c r="J98" s="1117">
        <v>88</v>
      </c>
      <c r="K98" s="1118">
        <v>16</v>
      </c>
      <c r="L98" s="1138">
        <f t="shared" si="15"/>
        <v>21.178637200736649</v>
      </c>
      <c r="M98" s="1139">
        <f t="shared" si="16"/>
        <v>20.793036750483559</v>
      </c>
      <c r="N98" s="1139">
        <f t="shared" si="17"/>
        <v>34.090909090909086</v>
      </c>
      <c r="O98" s="1140">
        <f t="shared" si="18"/>
        <v>0</v>
      </c>
    </row>
    <row r="99" spans="1:15" x14ac:dyDescent="0.2">
      <c r="A99" s="1110" t="s">
        <v>244</v>
      </c>
      <c r="B99" s="1110" t="s">
        <v>245</v>
      </c>
      <c r="C99" s="1110" t="s">
        <v>268</v>
      </c>
      <c r="D99" s="1116">
        <v>23</v>
      </c>
      <c r="E99" s="1117">
        <v>22</v>
      </c>
      <c r="F99" s="1117">
        <v>1</v>
      </c>
      <c r="G99" s="1118">
        <v>0</v>
      </c>
      <c r="H99" s="1116">
        <v>1562</v>
      </c>
      <c r="I99" s="1117">
        <v>1468</v>
      </c>
      <c r="J99" s="1117">
        <v>81</v>
      </c>
      <c r="K99" s="1118">
        <v>13</v>
      </c>
      <c r="L99" s="1138">
        <f t="shared" si="15"/>
        <v>14.7247119078105</v>
      </c>
      <c r="M99" s="1139">
        <f t="shared" si="16"/>
        <v>14.986376021798364</v>
      </c>
      <c r="N99" s="1139">
        <f t="shared" si="17"/>
        <v>12.345679012345679</v>
      </c>
      <c r="O99" s="1140">
        <f t="shared" si="18"/>
        <v>0</v>
      </c>
    </row>
    <row r="100" spans="1:15" x14ac:dyDescent="0.2">
      <c r="A100" s="1536" t="s">
        <v>246</v>
      </c>
      <c r="B100" s="1536" t="s">
        <v>247</v>
      </c>
      <c r="C100" s="1536" t="s">
        <v>264</v>
      </c>
      <c r="D100" s="1116">
        <v>19</v>
      </c>
      <c r="E100" s="1117">
        <v>13</v>
      </c>
      <c r="F100" s="1117">
        <v>5</v>
      </c>
      <c r="G100" s="1118">
        <v>1</v>
      </c>
      <c r="H100" s="1116">
        <v>5742</v>
      </c>
      <c r="I100" s="1117">
        <v>4568</v>
      </c>
      <c r="J100" s="1117">
        <v>737</v>
      </c>
      <c r="K100" s="1118">
        <v>437</v>
      </c>
      <c r="L100" s="1138">
        <f t="shared" si="15"/>
        <v>3.3089515848136539</v>
      </c>
      <c r="M100" s="1139">
        <f t="shared" si="16"/>
        <v>2.8458844133099825</v>
      </c>
      <c r="N100" s="1139">
        <f t="shared" si="17"/>
        <v>6.7842605156037994</v>
      </c>
      <c r="O100" s="1140">
        <f t="shared" si="18"/>
        <v>2.2883295194508011</v>
      </c>
    </row>
    <row r="101" spans="1:15" x14ac:dyDescent="0.2">
      <c r="A101" s="1110" t="s">
        <v>14</v>
      </c>
      <c r="B101" s="1110" t="s">
        <v>15</v>
      </c>
      <c r="C101" s="1110" t="s">
        <v>267</v>
      </c>
      <c r="D101" s="1116">
        <v>56</v>
      </c>
      <c r="E101" s="1117">
        <v>26</v>
      </c>
      <c r="F101" s="1117">
        <v>9</v>
      </c>
      <c r="G101" s="1118">
        <v>21</v>
      </c>
      <c r="H101" s="1116">
        <v>5159</v>
      </c>
      <c r="I101" s="1117">
        <v>3093</v>
      </c>
      <c r="J101" s="1117">
        <v>1682</v>
      </c>
      <c r="K101" s="1118">
        <v>384</v>
      </c>
      <c r="L101" s="1138">
        <f t="shared" si="15"/>
        <v>10.854816824966077</v>
      </c>
      <c r="M101" s="1139">
        <f t="shared" si="16"/>
        <v>8.4060782411897819</v>
      </c>
      <c r="N101" s="1139">
        <f t="shared" si="17"/>
        <v>5.3507728894173603</v>
      </c>
      <c r="O101" s="1140">
        <f t="shared" si="18"/>
        <v>54.6875</v>
      </c>
    </row>
    <row r="102" spans="1:15" x14ac:dyDescent="0.2">
      <c r="A102" s="1110" t="s">
        <v>34</v>
      </c>
      <c r="B102" s="1110" t="s">
        <v>35</v>
      </c>
      <c r="C102" s="1110" t="s">
        <v>268</v>
      </c>
      <c r="D102" s="1116">
        <v>25</v>
      </c>
      <c r="E102" s="1117">
        <v>23</v>
      </c>
      <c r="F102" s="1117">
        <v>2</v>
      </c>
      <c r="G102" s="1118">
        <v>0</v>
      </c>
      <c r="H102" s="1116">
        <v>958</v>
      </c>
      <c r="I102" s="1117">
        <v>797</v>
      </c>
      <c r="J102" s="1117">
        <v>94</v>
      </c>
      <c r="K102" s="1118">
        <v>67</v>
      </c>
      <c r="L102" s="1138">
        <f t="shared" ref="L102:L125" si="19">IF(H102=0,"NA",(D102/H102)*1000)</f>
        <v>26.096033402922757</v>
      </c>
      <c r="M102" s="1139">
        <f t="shared" ref="M102:M125" si="20">IF(I102=0,"NA",(E102/I102)*1000)</f>
        <v>28.858218318695105</v>
      </c>
      <c r="N102" s="1139">
        <f t="shared" ref="N102:N125" si="21">IF(J102=0,"NA",(F102/J102)*1000)</f>
        <v>21.276595744680851</v>
      </c>
      <c r="O102" s="1140">
        <f t="shared" ref="O102:O125" si="22">IF(K102=0,"NA",(G102/K102)*1000)</f>
        <v>0</v>
      </c>
    </row>
    <row r="103" spans="1:15" x14ac:dyDescent="0.2">
      <c r="A103" s="1110" t="s">
        <v>52</v>
      </c>
      <c r="B103" s="1110" t="s">
        <v>53</v>
      </c>
      <c r="C103" s="1110" t="s">
        <v>265</v>
      </c>
      <c r="D103" s="1116">
        <v>10</v>
      </c>
      <c r="E103" s="1117">
        <v>5</v>
      </c>
      <c r="F103" s="1117">
        <v>5</v>
      </c>
      <c r="G103" s="1118">
        <v>0</v>
      </c>
      <c r="H103" s="1116">
        <v>1972</v>
      </c>
      <c r="I103" s="1117">
        <v>1190</v>
      </c>
      <c r="J103" s="1117">
        <v>584</v>
      </c>
      <c r="K103" s="1118">
        <v>198</v>
      </c>
      <c r="L103" s="1138">
        <f t="shared" si="19"/>
        <v>5.0709939148073024</v>
      </c>
      <c r="M103" s="1139">
        <f t="shared" si="20"/>
        <v>4.2016806722689077</v>
      </c>
      <c r="N103" s="1139">
        <f t="shared" si="21"/>
        <v>8.5616438356164384</v>
      </c>
      <c r="O103" s="1140">
        <f t="shared" si="22"/>
        <v>0</v>
      </c>
    </row>
    <row r="104" spans="1:15" x14ac:dyDescent="0.2">
      <c r="A104" s="1110" t="s">
        <v>54</v>
      </c>
      <c r="B104" s="1110" t="s">
        <v>55</v>
      </c>
      <c r="C104" s="1110" t="s">
        <v>264</v>
      </c>
      <c r="D104" s="1116">
        <v>122</v>
      </c>
      <c r="E104" s="1117">
        <v>46</v>
      </c>
      <c r="F104" s="1117">
        <v>64</v>
      </c>
      <c r="G104" s="1118">
        <v>12</v>
      </c>
      <c r="H104" s="1116">
        <v>15802</v>
      </c>
      <c r="I104" s="1117">
        <v>9654</v>
      </c>
      <c r="J104" s="1117">
        <v>5455</v>
      </c>
      <c r="K104" s="1118">
        <v>693</v>
      </c>
      <c r="L104" s="1138">
        <f t="shared" si="19"/>
        <v>7.7205417035818247</v>
      </c>
      <c r="M104" s="1139">
        <f t="shared" si="20"/>
        <v>4.764864304951316</v>
      </c>
      <c r="N104" s="1139">
        <f t="shared" si="21"/>
        <v>11.732355637030247</v>
      </c>
      <c r="O104" s="1140">
        <f t="shared" si="22"/>
        <v>17.316017316017316</v>
      </c>
    </row>
    <row r="105" spans="1:15" x14ac:dyDescent="0.2">
      <c r="A105" s="1110" t="s">
        <v>66</v>
      </c>
      <c r="B105" s="1110" t="s">
        <v>67</v>
      </c>
      <c r="C105" s="1110" t="s">
        <v>265</v>
      </c>
      <c r="D105" s="1116">
        <v>47</v>
      </c>
      <c r="E105" s="1117">
        <v>9</v>
      </c>
      <c r="F105" s="1117">
        <v>33</v>
      </c>
      <c r="G105" s="1118">
        <v>5</v>
      </c>
      <c r="H105" s="1116">
        <v>2336</v>
      </c>
      <c r="I105" s="1117">
        <v>866</v>
      </c>
      <c r="J105" s="1117">
        <v>1436</v>
      </c>
      <c r="K105" s="1118">
        <v>34</v>
      </c>
      <c r="L105" s="1138">
        <f t="shared" si="19"/>
        <v>20.11986301369863</v>
      </c>
      <c r="M105" s="1139">
        <f t="shared" si="20"/>
        <v>10.392609699769052</v>
      </c>
      <c r="N105" s="1139">
        <f t="shared" si="21"/>
        <v>22.98050139275766</v>
      </c>
      <c r="O105" s="1140">
        <f t="shared" si="22"/>
        <v>147.05882352941177</v>
      </c>
    </row>
    <row r="106" spans="1:15" x14ac:dyDescent="0.2">
      <c r="A106" s="1110" t="s">
        <v>82</v>
      </c>
      <c r="B106" s="1110" t="s">
        <v>83</v>
      </c>
      <c r="C106" s="1110" t="s">
        <v>264</v>
      </c>
      <c r="D106" s="1116">
        <v>9</v>
      </c>
      <c r="E106" s="1117">
        <v>1</v>
      </c>
      <c r="F106" s="1117">
        <v>7</v>
      </c>
      <c r="G106" s="1118">
        <v>1</v>
      </c>
      <c r="H106" s="1116">
        <v>505</v>
      </c>
      <c r="I106" s="1117">
        <v>146</v>
      </c>
      <c r="J106" s="1117">
        <v>351</v>
      </c>
      <c r="K106" s="1118">
        <v>8</v>
      </c>
      <c r="L106" s="1138">
        <f t="shared" si="19"/>
        <v>17.82178217821782</v>
      </c>
      <c r="M106" s="1139">
        <f t="shared" si="20"/>
        <v>6.8493150684931505</v>
      </c>
      <c r="N106" s="1139">
        <f t="shared" si="21"/>
        <v>19.943019943019944</v>
      </c>
      <c r="O106" s="1140">
        <f t="shared" si="22"/>
        <v>125</v>
      </c>
    </row>
    <row r="107" spans="1:15" x14ac:dyDescent="0.2">
      <c r="A107" s="1110" t="s">
        <v>88</v>
      </c>
      <c r="B107" s="1110" t="s">
        <v>89</v>
      </c>
      <c r="C107" s="1110" t="s">
        <v>267</v>
      </c>
      <c r="D107" s="1116">
        <v>17</v>
      </c>
      <c r="E107" s="1117">
        <v>6</v>
      </c>
      <c r="F107" s="1117">
        <v>4</v>
      </c>
      <c r="G107" s="1118">
        <v>7</v>
      </c>
      <c r="H107" s="1116">
        <v>2137</v>
      </c>
      <c r="I107" s="1117">
        <v>1432</v>
      </c>
      <c r="J107" s="1117">
        <v>599</v>
      </c>
      <c r="K107" s="1118">
        <v>106</v>
      </c>
      <c r="L107" s="1138">
        <f t="shared" si="19"/>
        <v>7.9550772110435188</v>
      </c>
      <c r="M107" s="1139">
        <f t="shared" si="20"/>
        <v>4.1899441340782122</v>
      </c>
      <c r="N107" s="1139">
        <f t="shared" si="21"/>
        <v>6.67779632721202</v>
      </c>
      <c r="O107" s="1140">
        <f t="shared" si="22"/>
        <v>66.037735849056602</v>
      </c>
    </row>
    <row r="108" spans="1:15" x14ac:dyDescent="0.2">
      <c r="A108" s="1110" t="s">
        <v>90</v>
      </c>
      <c r="B108" s="1110" t="s">
        <v>91</v>
      </c>
      <c r="C108" s="1110" t="s">
        <v>268</v>
      </c>
      <c r="D108" s="1116">
        <v>9</v>
      </c>
      <c r="E108" s="1117">
        <v>4</v>
      </c>
      <c r="F108" s="1117">
        <v>0</v>
      </c>
      <c r="G108" s="1118">
        <v>5</v>
      </c>
      <c r="H108" s="1116">
        <v>447</v>
      </c>
      <c r="I108" s="1117">
        <v>395</v>
      </c>
      <c r="J108" s="1117">
        <v>47</v>
      </c>
      <c r="K108" s="1118">
        <v>5</v>
      </c>
      <c r="L108" s="1138">
        <f t="shared" si="19"/>
        <v>20.134228187919462</v>
      </c>
      <c r="M108" s="1139">
        <f t="shared" si="20"/>
        <v>10.126582278481013</v>
      </c>
      <c r="N108" s="1139">
        <f t="shared" si="21"/>
        <v>0</v>
      </c>
      <c r="O108" s="1140">
        <f t="shared" si="22"/>
        <v>1000</v>
      </c>
    </row>
    <row r="109" spans="1:15" x14ac:dyDescent="0.2">
      <c r="A109" s="1110" t="s">
        <v>106</v>
      </c>
      <c r="B109" s="1110" t="s">
        <v>107</v>
      </c>
      <c r="C109" s="1110" t="s">
        <v>264</v>
      </c>
      <c r="D109" s="1116">
        <v>93</v>
      </c>
      <c r="E109" s="1117">
        <v>26</v>
      </c>
      <c r="F109" s="1117">
        <v>62</v>
      </c>
      <c r="G109" s="1118">
        <v>5</v>
      </c>
      <c r="H109" s="1116">
        <v>8273</v>
      </c>
      <c r="I109" s="1117">
        <v>2621</v>
      </c>
      <c r="J109" s="1117">
        <v>5371</v>
      </c>
      <c r="K109" s="1118">
        <v>281</v>
      </c>
      <c r="L109" s="1138">
        <f t="shared" si="19"/>
        <v>11.241387646561101</v>
      </c>
      <c r="M109" s="1139">
        <f t="shared" si="20"/>
        <v>9.9198779091949625</v>
      </c>
      <c r="N109" s="1139">
        <f t="shared" si="21"/>
        <v>11.543474213368089</v>
      </c>
      <c r="O109" s="1140">
        <f t="shared" si="22"/>
        <v>17.793594306049823</v>
      </c>
    </row>
    <row r="110" spans="1:15" x14ac:dyDescent="0.2">
      <c r="A110" s="1110" t="s">
        <v>116</v>
      </c>
      <c r="B110" s="1110" t="s">
        <v>117</v>
      </c>
      <c r="C110" s="1110" t="s">
        <v>266</v>
      </c>
      <c r="D110" s="1116">
        <v>30</v>
      </c>
      <c r="E110" s="1117">
        <v>14</v>
      </c>
      <c r="F110" s="1117">
        <v>16</v>
      </c>
      <c r="G110" s="1118">
        <v>0</v>
      </c>
      <c r="H110" s="1116">
        <v>1392</v>
      </c>
      <c r="I110" s="1117">
        <v>622</v>
      </c>
      <c r="J110" s="1117">
        <v>735</v>
      </c>
      <c r="K110" s="1118">
        <v>35</v>
      </c>
      <c r="L110" s="1138">
        <f t="shared" si="19"/>
        <v>21.551724137931036</v>
      </c>
      <c r="M110" s="1139">
        <f t="shared" si="20"/>
        <v>22.508038585209004</v>
      </c>
      <c r="N110" s="1139">
        <f t="shared" si="21"/>
        <v>21.768707482993197</v>
      </c>
      <c r="O110" s="1140">
        <f t="shared" si="22"/>
        <v>0</v>
      </c>
    </row>
    <row r="111" spans="1:15" x14ac:dyDescent="0.2">
      <c r="A111" s="1110" t="s">
        <v>138</v>
      </c>
      <c r="B111" s="1110" t="s">
        <v>139</v>
      </c>
      <c r="C111" s="1110" t="s">
        <v>265</v>
      </c>
      <c r="D111" s="1116">
        <v>65</v>
      </c>
      <c r="E111" s="1117">
        <v>24</v>
      </c>
      <c r="F111" s="1117">
        <v>41</v>
      </c>
      <c r="G111" s="1118">
        <v>0</v>
      </c>
      <c r="H111" s="1116">
        <v>6505</v>
      </c>
      <c r="I111" s="1117">
        <v>4242</v>
      </c>
      <c r="J111" s="1117">
        <v>1935</v>
      </c>
      <c r="K111" s="1118">
        <v>328</v>
      </c>
      <c r="L111" s="1138">
        <f t="shared" si="19"/>
        <v>9.9923136049192927</v>
      </c>
      <c r="M111" s="1139">
        <f t="shared" si="20"/>
        <v>5.6577086280056577</v>
      </c>
      <c r="N111" s="1139">
        <f t="shared" si="21"/>
        <v>21.188630490956072</v>
      </c>
      <c r="O111" s="1140">
        <f t="shared" si="22"/>
        <v>0</v>
      </c>
    </row>
    <row r="112" spans="1:15" x14ac:dyDescent="0.2">
      <c r="A112" s="1110" t="s">
        <v>142</v>
      </c>
      <c r="B112" s="1110" t="s">
        <v>143</v>
      </c>
      <c r="C112" s="1110" t="s">
        <v>267</v>
      </c>
      <c r="D112" s="1116">
        <v>51</v>
      </c>
      <c r="E112" s="1117">
        <v>30</v>
      </c>
      <c r="F112" s="1117">
        <v>7</v>
      </c>
      <c r="G112" s="1118">
        <v>14</v>
      </c>
      <c r="H112" s="1116">
        <v>2769</v>
      </c>
      <c r="I112" s="1117">
        <v>2081</v>
      </c>
      <c r="J112" s="1117">
        <v>486</v>
      </c>
      <c r="K112" s="1118">
        <v>202</v>
      </c>
      <c r="L112" s="1138">
        <f t="shared" si="19"/>
        <v>18.418201516793065</v>
      </c>
      <c r="M112" s="1139">
        <f t="shared" si="20"/>
        <v>14.416146083613647</v>
      </c>
      <c r="N112" s="1139">
        <f t="shared" si="21"/>
        <v>14.403292181069959</v>
      </c>
      <c r="O112" s="1140">
        <f t="shared" si="22"/>
        <v>69.306930693069319</v>
      </c>
    </row>
    <row r="113" spans="1:15" x14ac:dyDescent="0.2">
      <c r="A113" s="1110" t="s">
        <v>144</v>
      </c>
      <c r="B113" s="1110" t="s">
        <v>145</v>
      </c>
      <c r="C113" s="1110" t="s">
        <v>267</v>
      </c>
      <c r="D113" s="1116">
        <v>10</v>
      </c>
      <c r="E113" s="1117">
        <v>6</v>
      </c>
      <c r="F113" s="1117">
        <v>2</v>
      </c>
      <c r="G113" s="1118">
        <v>2</v>
      </c>
      <c r="H113" s="1116">
        <v>1113</v>
      </c>
      <c r="I113" s="1117">
        <v>859</v>
      </c>
      <c r="J113" s="1117">
        <v>144</v>
      </c>
      <c r="K113" s="1118">
        <v>110</v>
      </c>
      <c r="L113" s="1138">
        <f t="shared" si="19"/>
        <v>8.9847259658580416</v>
      </c>
      <c r="M113" s="1139">
        <f t="shared" si="20"/>
        <v>6.9848661233993017</v>
      </c>
      <c r="N113" s="1139">
        <f t="shared" si="21"/>
        <v>13.888888888888888</v>
      </c>
      <c r="O113" s="1140">
        <f t="shared" si="22"/>
        <v>18.18181818181818</v>
      </c>
    </row>
    <row r="114" spans="1:15" x14ac:dyDescent="0.2">
      <c r="A114" s="1110" t="s">
        <v>158</v>
      </c>
      <c r="B114" s="1110" t="s">
        <v>159</v>
      </c>
      <c r="C114" s="1110" t="s">
        <v>264</v>
      </c>
      <c r="D114" s="1116">
        <v>150</v>
      </c>
      <c r="E114" s="1117">
        <v>41</v>
      </c>
      <c r="F114" s="1117">
        <v>81</v>
      </c>
      <c r="G114" s="1118">
        <v>28</v>
      </c>
      <c r="H114" s="1116">
        <v>11526</v>
      </c>
      <c r="I114" s="1117">
        <v>5333</v>
      </c>
      <c r="J114" s="1117">
        <v>5769</v>
      </c>
      <c r="K114" s="1118">
        <v>424</v>
      </c>
      <c r="L114" s="1138">
        <f t="shared" si="19"/>
        <v>13.014055179593962</v>
      </c>
      <c r="M114" s="1139">
        <f t="shared" si="20"/>
        <v>7.6879804987811742</v>
      </c>
      <c r="N114" s="1139">
        <f t="shared" si="21"/>
        <v>14.040561622464899</v>
      </c>
      <c r="O114" s="1140">
        <f t="shared" si="22"/>
        <v>66.037735849056602</v>
      </c>
    </row>
    <row r="115" spans="1:15" x14ac:dyDescent="0.2">
      <c r="A115" s="1110" t="s">
        <v>160</v>
      </c>
      <c r="B115" s="1110" t="s">
        <v>161</v>
      </c>
      <c r="C115" s="1110" t="s">
        <v>264</v>
      </c>
      <c r="D115" s="1116">
        <v>243</v>
      </c>
      <c r="E115" s="1117">
        <v>55</v>
      </c>
      <c r="F115" s="1117">
        <v>159</v>
      </c>
      <c r="G115" s="1118">
        <v>29</v>
      </c>
      <c r="H115" s="1116">
        <v>13140</v>
      </c>
      <c r="I115" s="1117">
        <v>4806</v>
      </c>
      <c r="J115" s="1117">
        <v>7697</v>
      </c>
      <c r="K115" s="1118">
        <v>637</v>
      </c>
      <c r="L115" s="1138">
        <f t="shared" si="19"/>
        <v>18.493150684931507</v>
      </c>
      <c r="M115" s="1139">
        <f t="shared" si="20"/>
        <v>11.444028297960882</v>
      </c>
      <c r="N115" s="1139">
        <f t="shared" si="21"/>
        <v>20.657398986618162</v>
      </c>
      <c r="O115" s="1140">
        <f t="shared" si="22"/>
        <v>45.525902668759812</v>
      </c>
    </row>
    <row r="116" spans="1:15" x14ac:dyDescent="0.2">
      <c r="A116" s="1110" t="s">
        <v>166</v>
      </c>
      <c r="B116" s="1110" t="s">
        <v>167</v>
      </c>
      <c r="C116" s="1110" t="s">
        <v>268</v>
      </c>
      <c r="D116" s="1116">
        <v>9</v>
      </c>
      <c r="E116" s="1117">
        <v>7</v>
      </c>
      <c r="F116" s="1117">
        <v>2</v>
      </c>
      <c r="G116" s="1118">
        <v>0</v>
      </c>
      <c r="H116" s="1116">
        <v>235</v>
      </c>
      <c r="I116" s="1117">
        <v>205</v>
      </c>
      <c r="J116" s="1117">
        <v>30</v>
      </c>
      <c r="K116" s="1118">
        <v>0</v>
      </c>
      <c r="L116" s="1138">
        <f t="shared" si="19"/>
        <v>38.297872340425535</v>
      </c>
      <c r="M116" s="1139">
        <f t="shared" si="20"/>
        <v>34.146341463414636</v>
      </c>
      <c r="N116" s="1139">
        <f t="shared" si="21"/>
        <v>66.666666666666671</v>
      </c>
      <c r="O116" s="1140" t="str">
        <f t="shared" si="22"/>
        <v>NA</v>
      </c>
    </row>
    <row r="117" spans="1:15" x14ac:dyDescent="0.2">
      <c r="A117" s="1110" t="s">
        <v>176</v>
      </c>
      <c r="B117" s="1110" t="s">
        <v>177</v>
      </c>
      <c r="C117" s="1110" t="s">
        <v>266</v>
      </c>
      <c r="D117" s="1116">
        <v>53</v>
      </c>
      <c r="E117" s="1117">
        <v>11</v>
      </c>
      <c r="F117" s="1117">
        <v>40</v>
      </c>
      <c r="G117" s="1118">
        <v>2</v>
      </c>
      <c r="H117" s="1116">
        <v>1564</v>
      </c>
      <c r="I117" s="1117">
        <v>256</v>
      </c>
      <c r="J117" s="1117">
        <v>1275</v>
      </c>
      <c r="K117" s="1118">
        <v>33</v>
      </c>
      <c r="L117" s="1138">
        <f t="shared" si="19"/>
        <v>33.887468030690535</v>
      </c>
      <c r="M117" s="1139">
        <f t="shared" si="20"/>
        <v>42.96875</v>
      </c>
      <c r="N117" s="1139">
        <f t="shared" si="21"/>
        <v>31.372549019607842</v>
      </c>
      <c r="O117" s="1140">
        <f t="shared" si="22"/>
        <v>60.606060606060609</v>
      </c>
    </row>
    <row r="118" spans="1:15" x14ac:dyDescent="0.2">
      <c r="A118" s="1110" t="s">
        <v>180</v>
      </c>
      <c r="B118" s="1110" t="s">
        <v>181</v>
      </c>
      <c r="C118" s="1110" t="s">
        <v>264</v>
      </c>
      <c r="D118" s="1116">
        <v>111</v>
      </c>
      <c r="E118" s="1117">
        <v>26</v>
      </c>
      <c r="F118" s="1117">
        <v>80</v>
      </c>
      <c r="G118" s="1118">
        <v>5</v>
      </c>
      <c r="H118" s="1116">
        <v>5355</v>
      </c>
      <c r="I118" s="1117">
        <v>1662</v>
      </c>
      <c r="J118" s="1117">
        <v>3579</v>
      </c>
      <c r="K118" s="1118">
        <v>114</v>
      </c>
      <c r="L118" s="1138">
        <f t="shared" si="19"/>
        <v>20.728291316526612</v>
      </c>
      <c r="M118" s="1139">
        <f t="shared" si="20"/>
        <v>15.643802647412757</v>
      </c>
      <c r="N118" s="1139">
        <f t="shared" si="21"/>
        <v>22.352612461581447</v>
      </c>
      <c r="O118" s="1140">
        <f t="shared" si="22"/>
        <v>43.859649122807014</v>
      </c>
    </row>
    <row r="119" spans="1:15" x14ac:dyDescent="0.2">
      <c r="A119" s="1110" t="s">
        <v>192</v>
      </c>
      <c r="B119" s="1110" t="s">
        <v>193</v>
      </c>
      <c r="C119" s="1110" t="s">
        <v>268</v>
      </c>
      <c r="D119" s="1116">
        <v>6</v>
      </c>
      <c r="E119" s="1117">
        <v>6</v>
      </c>
      <c r="F119" s="1117">
        <v>0</v>
      </c>
      <c r="G119" s="1118">
        <v>0</v>
      </c>
      <c r="H119" s="1116">
        <v>1883</v>
      </c>
      <c r="I119" s="1117">
        <v>1649</v>
      </c>
      <c r="J119" s="1117">
        <v>194</v>
      </c>
      <c r="K119" s="1118">
        <v>40</v>
      </c>
      <c r="L119" s="1138">
        <f t="shared" si="19"/>
        <v>3.186404673393521</v>
      </c>
      <c r="M119" s="1139">
        <f t="shared" si="20"/>
        <v>3.6385688295936931</v>
      </c>
      <c r="N119" s="1139">
        <f t="shared" si="21"/>
        <v>0</v>
      </c>
      <c r="O119" s="1140">
        <f t="shared" si="22"/>
        <v>0</v>
      </c>
    </row>
    <row r="120" spans="1:15" x14ac:dyDescent="0.2">
      <c r="A120" s="1110" t="s">
        <v>196</v>
      </c>
      <c r="B120" s="1110" t="s">
        <v>197</v>
      </c>
      <c r="C120" s="1110" t="s">
        <v>266</v>
      </c>
      <c r="D120" s="1116">
        <v>231</v>
      </c>
      <c r="E120" s="1117">
        <v>35</v>
      </c>
      <c r="F120" s="1117">
        <v>173</v>
      </c>
      <c r="G120" s="1118">
        <v>23</v>
      </c>
      <c r="H120" s="1116">
        <v>12138</v>
      </c>
      <c r="I120" s="1117">
        <v>4202</v>
      </c>
      <c r="J120" s="1117">
        <v>7285</v>
      </c>
      <c r="K120" s="1118">
        <v>651</v>
      </c>
      <c r="L120" s="1138">
        <f t="shared" si="19"/>
        <v>19.031141868512112</v>
      </c>
      <c r="M120" s="1139">
        <f t="shared" si="20"/>
        <v>8.3293669681104223</v>
      </c>
      <c r="N120" s="1139">
        <f t="shared" si="21"/>
        <v>23.747426218256692</v>
      </c>
      <c r="O120" s="1140">
        <f t="shared" si="22"/>
        <v>35.33026113671275</v>
      </c>
    </row>
    <row r="121" spans="1:15" x14ac:dyDescent="0.2">
      <c r="A121" s="1110" t="s">
        <v>200</v>
      </c>
      <c r="B121" s="1110" t="s">
        <v>201</v>
      </c>
      <c r="C121" s="1110" t="s">
        <v>265</v>
      </c>
      <c r="D121" s="1116">
        <v>108</v>
      </c>
      <c r="E121" s="1117">
        <v>60</v>
      </c>
      <c r="F121" s="1117">
        <v>43</v>
      </c>
      <c r="G121" s="1118">
        <v>5</v>
      </c>
      <c r="H121" s="1116">
        <v>5056</v>
      </c>
      <c r="I121" s="1117">
        <v>2624</v>
      </c>
      <c r="J121" s="1117">
        <v>2230</v>
      </c>
      <c r="K121" s="1118">
        <v>202</v>
      </c>
      <c r="L121" s="1138">
        <f t="shared" si="19"/>
        <v>21.360759493670887</v>
      </c>
      <c r="M121" s="1139">
        <f t="shared" si="20"/>
        <v>22.865853658536587</v>
      </c>
      <c r="N121" s="1139">
        <f t="shared" si="21"/>
        <v>19.282511210762333</v>
      </c>
      <c r="O121" s="1140">
        <f t="shared" si="22"/>
        <v>24.752475247524753</v>
      </c>
    </row>
    <row r="122" spans="1:15" x14ac:dyDescent="0.2">
      <c r="A122" s="1110" t="s">
        <v>222</v>
      </c>
      <c r="B122" s="1110" t="s">
        <v>223</v>
      </c>
      <c r="C122" s="1110" t="s">
        <v>264</v>
      </c>
      <c r="D122" s="1116">
        <v>44</v>
      </c>
      <c r="E122" s="1117">
        <v>13</v>
      </c>
      <c r="F122" s="1117">
        <v>30</v>
      </c>
      <c r="G122" s="1118">
        <v>1</v>
      </c>
      <c r="H122" s="1116">
        <v>5824</v>
      </c>
      <c r="I122" s="1117">
        <v>2610</v>
      </c>
      <c r="J122" s="1117">
        <v>3044</v>
      </c>
      <c r="K122" s="1118">
        <v>170</v>
      </c>
      <c r="L122" s="1138">
        <f t="shared" si="19"/>
        <v>7.5549450549450547</v>
      </c>
      <c r="M122" s="1139">
        <f t="shared" si="20"/>
        <v>4.9808429118773949</v>
      </c>
      <c r="N122" s="1139">
        <f t="shared" si="21"/>
        <v>9.8554533508541393</v>
      </c>
      <c r="O122" s="1140">
        <f t="shared" si="22"/>
        <v>5.8823529411764701</v>
      </c>
    </row>
    <row r="123" spans="1:15" x14ac:dyDescent="0.2">
      <c r="A123" s="1110" t="s">
        <v>230</v>
      </c>
      <c r="B123" s="1110" t="s">
        <v>231</v>
      </c>
      <c r="C123" s="1110" t="s">
        <v>264</v>
      </c>
      <c r="D123" s="1116">
        <v>179</v>
      </c>
      <c r="E123" s="1117">
        <v>88</v>
      </c>
      <c r="F123" s="1117">
        <v>58</v>
      </c>
      <c r="G123" s="1118">
        <v>33</v>
      </c>
      <c r="H123" s="1116">
        <v>26675</v>
      </c>
      <c r="I123" s="1117">
        <v>17232</v>
      </c>
      <c r="J123" s="1117">
        <v>7122</v>
      </c>
      <c r="K123" s="1118">
        <v>2321</v>
      </c>
      <c r="L123" s="1138">
        <f t="shared" si="19"/>
        <v>6.7104029990627936</v>
      </c>
      <c r="M123" s="1139">
        <f t="shared" si="20"/>
        <v>5.1067780872794799</v>
      </c>
      <c r="N123" s="1139">
        <f t="shared" si="21"/>
        <v>8.1437798371244039</v>
      </c>
      <c r="O123" s="1140">
        <f t="shared" si="22"/>
        <v>14.218009478672984</v>
      </c>
    </row>
    <row r="124" spans="1:15" x14ac:dyDescent="0.2">
      <c r="A124" s="1110" t="s">
        <v>238</v>
      </c>
      <c r="B124" s="1110" t="s">
        <v>239</v>
      </c>
      <c r="C124" s="1110" t="s">
        <v>264</v>
      </c>
      <c r="D124" s="1116">
        <v>11</v>
      </c>
      <c r="E124" s="1117">
        <v>3</v>
      </c>
      <c r="F124" s="1117">
        <v>6</v>
      </c>
      <c r="G124" s="1118">
        <v>2</v>
      </c>
      <c r="H124" s="1116">
        <v>1596</v>
      </c>
      <c r="I124" s="1117">
        <v>1157</v>
      </c>
      <c r="J124" s="1117">
        <v>230</v>
      </c>
      <c r="K124" s="1118">
        <v>209</v>
      </c>
      <c r="L124" s="1138">
        <f t="shared" si="19"/>
        <v>6.8922305764411025</v>
      </c>
      <c r="M124" s="1139">
        <f t="shared" si="20"/>
        <v>2.5929127052722558</v>
      </c>
      <c r="N124" s="1139">
        <f t="shared" si="21"/>
        <v>26.086956521739129</v>
      </c>
      <c r="O124" s="1140">
        <f t="shared" si="22"/>
        <v>9.5693779904306222</v>
      </c>
    </row>
    <row r="125" spans="1:15" x14ac:dyDescent="0.2">
      <c r="A125" s="1126" t="s">
        <v>240</v>
      </c>
      <c r="B125" s="1126" t="s">
        <v>241</v>
      </c>
      <c r="C125" s="1126" t="s">
        <v>267</v>
      </c>
      <c r="D125" s="1127">
        <v>25</v>
      </c>
      <c r="E125" s="1128">
        <v>16</v>
      </c>
      <c r="F125" s="1128">
        <v>6</v>
      </c>
      <c r="G125" s="1129">
        <v>3</v>
      </c>
      <c r="H125" s="1127">
        <v>1685</v>
      </c>
      <c r="I125" s="1130">
        <v>1325</v>
      </c>
      <c r="J125" s="1130">
        <v>290</v>
      </c>
      <c r="K125" s="1129">
        <v>70</v>
      </c>
      <c r="L125" s="1141">
        <f t="shared" si="19"/>
        <v>14.836795252225519</v>
      </c>
      <c r="M125" s="1142">
        <f t="shared" si="20"/>
        <v>12.075471698113207</v>
      </c>
      <c r="N125" s="1142">
        <f t="shared" si="21"/>
        <v>20.689655172413794</v>
      </c>
      <c r="O125" s="1143">
        <f t="shared" si="22"/>
        <v>42.857142857142854</v>
      </c>
    </row>
    <row r="127" spans="1:15" x14ac:dyDescent="0.2">
      <c r="A127" s="1110" t="s">
        <v>266</v>
      </c>
      <c r="D127" s="1131">
        <v>811</v>
      </c>
      <c r="E127" s="1117">
        <v>352</v>
      </c>
      <c r="F127" s="1117">
        <v>388</v>
      </c>
      <c r="G127" s="1118">
        <v>71</v>
      </c>
      <c r="H127" s="1618">
        <v>85357</v>
      </c>
      <c r="I127" s="1117">
        <v>51281</v>
      </c>
      <c r="J127" s="1117">
        <v>29838</v>
      </c>
      <c r="K127" s="1118">
        <v>4238</v>
      </c>
      <c r="L127" s="1132">
        <f t="shared" ref="L127:L131" si="23">IF(H127=0,"NA",(D127/H127)*1000)</f>
        <v>9.50127113183453</v>
      </c>
      <c r="M127" s="1133">
        <f t="shared" ref="M127:M131" si="24">IF(I127=0,"NA",(E127/I127)*1000)</f>
        <v>6.8641407148846554</v>
      </c>
      <c r="N127" s="1133">
        <f t="shared" ref="N127:N131" si="25">IF(J127=0,"NA",(F127/J127)*1000)</f>
        <v>13.003552516924726</v>
      </c>
      <c r="O127" s="1134">
        <f t="shared" ref="O127:O131" si="26">IF(K127=0,"NA",(G127/K127)*1000)</f>
        <v>16.753185464841906</v>
      </c>
    </row>
    <row r="128" spans="1:15" x14ac:dyDescent="0.2">
      <c r="A128" s="1110" t="s">
        <v>264</v>
      </c>
      <c r="D128" s="1116">
        <v>1162</v>
      </c>
      <c r="E128" s="1117">
        <v>413</v>
      </c>
      <c r="F128" s="1117">
        <v>627</v>
      </c>
      <c r="G128" s="1118">
        <v>122</v>
      </c>
      <c r="H128" s="1618">
        <v>113543</v>
      </c>
      <c r="I128" s="1117">
        <v>62497</v>
      </c>
      <c r="J128" s="1117">
        <v>45248</v>
      </c>
      <c r="K128" s="1118">
        <v>5798</v>
      </c>
      <c r="L128" s="1132">
        <f t="shared" si="23"/>
        <v>10.234008261187393</v>
      </c>
      <c r="M128" s="1133">
        <f t="shared" si="24"/>
        <v>6.6083171992255627</v>
      </c>
      <c r="N128" s="1133">
        <f t="shared" si="25"/>
        <v>13.856966053748232</v>
      </c>
      <c r="O128" s="1134">
        <f t="shared" si="26"/>
        <v>21.04173853052777</v>
      </c>
    </row>
    <row r="129" spans="1:15" x14ac:dyDescent="0.2">
      <c r="A129" s="1110" t="s">
        <v>267</v>
      </c>
      <c r="D129" s="1116">
        <v>1310</v>
      </c>
      <c r="E129" s="1117">
        <v>658</v>
      </c>
      <c r="F129" s="1117">
        <v>175</v>
      </c>
      <c r="G129" s="1118">
        <v>477</v>
      </c>
      <c r="H129" s="1618">
        <v>215641</v>
      </c>
      <c r="I129" s="1117">
        <v>155081</v>
      </c>
      <c r="J129" s="1117">
        <v>31922</v>
      </c>
      <c r="K129" s="1118">
        <v>28638</v>
      </c>
      <c r="L129" s="1132">
        <f t="shared" si="23"/>
        <v>6.0749115427956646</v>
      </c>
      <c r="M129" s="1133">
        <f t="shared" si="24"/>
        <v>4.2429440099045017</v>
      </c>
      <c r="N129" s="1133">
        <f t="shared" si="25"/>
        <v>5.4821126495833594</v>
      </c>
      <c r="O129" s="1134">
        <f t="shared" si="26"/>
        <v>16.656191074795725</v>
      </c>
    </row>
    <row r="130" spans="1:15" x14ac:dyDescent="0.2">
      <c r="A130" s="1110" t="s">
        <v>265</v>
      </c>
      <c r="D130" s="1116">
        <v>741</v>
      </c>
      <c r="E130" s="1117">
        <v>477</v>
      </c>
      <c r="F130" s="1117">
        <v>228</v>
      </c>
      <c r="G130" s="1118">
        <v>36</v>
      </c>
      <c r="H130" s="1618">
        <v>71052</v>
      </c>
      <c r="I130" s="1117">
        <v>53771</v>
      </c>
      <c r="J130" s="1117">
        <v>14820</v>
      </c>
      <c r="K130" s="1118">
        <v>2461</v>
      </c>
      <c r="L130" s="1132">
        <f t="shared" si="23"/>
        <v>10.428981590947476</v>
      </c>
      <c r="M130" s="1133">
        <f t="shared" si="24"/>
        <v>8.8709527440441871</v>
      </c>
      <c r="N130" s="1133">
        <f t="shared" si="25"/>
        <v>15.384615384615385</v>
      </c>
      <c r="O130" s="1134">
        <f t="shared" si="26"/>
        <v>14.628199918732221</v>
      </c>
    </row>
    <row r="131" spans="1:15" x14ac:dyDescent="0.2">
      <c r="A131" s="1110" t="s">
        <v>268</v>
      </c>
      <c r="D131" s="1116">
        <v>520</v>
      </c>
      <c r="E131" s="1117">
        <v>496</v>
      </c>
      <c r="F131" s="1117">
        <v>14</v>
      </c>
      <c r="G131" s="1118">
        <v>10</v>
      </c>
      <c r="H131" s="1618">
        <v>34608</v>
      </c>
      <c r="I131" s="1117">
        <v>32210</v>
      </c>
      <c r="J131" s="1117">
        <v>1559</v>
      </c>
      <c r="K131" s="1118">
        <v>839</v>
      </c>
      <c r="L131" s="1132">
        <f t="shared" si="23"/>
        <v>15.02542764678687</v>
      </c>
      <c r="M131" s="1133">
        <f t="shared" si="24"/>
        <v>15.398944427196522</v>
      </c>
      <c r="N131" s="1133">
        <f t="shared" si="25"/>
        <v>8.980115458627326</v>
      </c>
      <c r="O131" s="1134">
        <f t="shared" si="26"/>
        <v>11.918951132300357</v>
      </c>
    </row>
    <row r="133" spans="1:15" x14ac:dyDescent="0.2">
      <c r="B133" s="1110" t="s">
        <v>875</v>
      </c>
    </row>
    <row r="135" spans="1:15" x14ac:dyDescent="0.2">
      <c r="B135" s="1110" t="s">
        <v>873</v>
      </c>
    </row>
    <row r="136" spans="1:15" x14ac:dyDescent="0.2">
      <c r="B136" s="1110" t="s">
        <v>249</v>
      </c>
      <c r="D136" s="1119" t="s">
        <v>874</v>
      </c>
    </row>
  </sheetData>
  <autoFilter ref="A4:C125"/>
  <sortState ref="A6:O125">
    <sortCondition ref="A6:A125"/>
  </sortState>
  <mergeCells count="3">
    <mergeCell ref="D3:G3"/>
    <mergeCell ref="H3:K3"/>
    <mergeCell ref="L3:O3"/>
  </mergeCells>
  <hyperlinks>
    <hyperlink ref="D136"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135"/>
  <sheetViews>
    <sheetView workbookViewId="0">
      <pane xSplit="3" ySplit="5" topLeftCell="P6" activePane="bottomRight" state="frozen"/>
      <selection pane="topRight" activeCell="D1" sqref="D1"/>
      <selection pane="bottomLeft" activeCell="A6" sqref="A6"/>
      <selection pane="bottomRight" activeCell="AP2" sqref="AP2"/>
    </sheetView>
  </sheetViews>
  <sheetFormatPr defaultRowHeight="15.75" x14ac:dyDescent="0.25"/>
  <cols>
    <col min="1" max="1" width="7.75" style="134" customWidth="1"/>
    <col min="2" max="2" width="28.625" style="158" customWidth="1"/>
    <col min="3" max="3" width="10" style="158" customWidth="1"/>
    <col min="4" max="4" width="8.25" style="158" customWidth="1"/>
    <col min="5" max="7" width="8.25" style="157" customWidth="1"/>
    <col min="8" max="11" width="8.25" style="134" customWidth="1"/>
    <col min="12" max="15" width="8.25" style="135" customWidth="1"/>
    <col min="16" max="21" width="8.25" style="134" customWidth="1"/>
    <col min="22" max="22" width="3.5" style="134" customWidth="1"/>
    <col min="23" max="40" width="9" style="134"/>
    <col min="41" max="41" width="5.25" style="134" customWidth="1"/>
    <col min="42" max="16384" width="9" style="134"/>
  </cols>
  <sheetData>
    <row r="1" spans="1:59" x14ac:dyDescent="0.25">
      <c r="A1" s="307" t="s">
        <v>1215</v>
      </c>
      <c r="B1" s="307"/>
      <c r="C1" s="307"/>
      <c r="D1" s="307"/>
      <c r="E1" s="307"/>
      <c r="F1" s="307"/>
      <c r="G1" s="307"/>
      <c r="H1" s="307"/>
      <c r="I1" s="308"/>
      <c r="J1" s="308"/>
      <c r="K1" s="308"/>
      <c r="L1" s="308"/>
      <c r="M1" s="308"/>
      <c r="N1" s="308"/>
      <c r="O1" s="308"/>
    </row>
    <row r="2" spans="1:59" x14ac:dyDescent="0.25">
      <c r="A2" s="96"/>
      <c r="B2" s="136"/>
      <c r="C2" s="136"/>
      <c r="D2" s="136"/>
      <c r="E2" s="2732"/>
      <c r="F2" s="2732"/>
      <c r="G2" s="2732"/>
    </row>
    <row r="3" spans="1:59" ht="15.75" customHeight="1" x14ac:dyDescent="0.25">
      <c r="A3" s="96"/>
      <c r="B3" s="136"/>
      <c r="C3" s="136"/>
      <c r="D3" s="2733" t="s">
        <v>631</v>
      </c>
      <c r="E3" s="2733"/>
      <c r="F3" s="2733"/>
      <c r="G3" s="2733"/>
      <c r="H3" s="2733"/>
      <c r="I3" s="2733"/>
      <c r="J3" s="2733"/>
      <c r="K3" s="2733"/>
      <c r="L3" s="2733"/>
      <c r="M3" s="2733"/>
      <c r="N3" s="2733"/>
      <c r="O3" s="2733"/>
      <c r="P3" s="2733"/>
      <c r="Q3" s="2733"/>
      <c r="R3" s="2733"/>
      <c r="S3" s="2733"/>
      <c r="T3" s="2733"/>
      <c r="U3" s="1647"/>
      <c r="V3" s="1518"/>
      <c r="W3" s="2734" t="s">
        <v>867</v>
      </c>
      <c r="X3" s="2734"/>
      <c r="Y3" s="2734"/>
      <c r="Z3" s="2734"/>
      <c r="AA3" s="2734"/>
      <c r="AB3" s="2734"/>
      <c r="AC3" s="2734"/>
      <c r="AD3" s="2734"/>
      <c r="AE3" s="2734"/>
      <c r="AF3" s="2734"/>
      <c r="AG3" s="2734"/>
      <c r="AH3" s="2734"/>
      <c r="AI3" s="2734"/>
      <c r="AJ3" s="2734"/>
      <c r="AK3" s="2734"/>
      <c r="AL3" s="2734"/>
      <c r="AM3" s="2734"/>
      <c r="AN3" s="1648"/>
      <c r="AO3" s="1519"/>
      <c r="AP3" s="2735" t="s">
        <v>868</v>
      </c>
      <c r="AQ3" s="2735"/>
      <c r="AR3" s="2735"/>
      <c r="AS3" s="2735"/>
      <c r="AT3" s="2735"/>
      <c r="AU3" s="2735"/>
      <c r="AV3" s="2735"/>
      <c r="AW3" s="2735"/>
      <c r="AX3" s="2735"/>
      <c r="AY3" s="2735"/>
      <c r="AZ3" s="2735"/>
      <c r="BA3" s="2735"/>
      <c r="BB3" s="2735"/>
      <c r="BC3" s="2735"/>
      <c r="BD3" s="2735"/>
      <c r="BE3" s="2735"/>
      <c r="BF3" s="2735"/>
      <c r="BG3" s="1649"/>
    </row>
    <row r="4" spans="1:59" s="142" customFormat="1" ht="15" customHeight="1" x14ac:dyDescent="0.2">
      <c r="A4" s="1065" t="s">
        <v>4</v>
      </c>
      <c r="B4" s="1064" t="s">
        <v>5</v>
      </c>
      <c r="C4" s="1064" t="s">
        <v>251</v>
      </c>
      <c r="D4" s="1075">
        <v>1998</v>
      </c>
      <c r="E4" s="1076">
        <v>1999</v>
      </c>
      <c r="F4" s="1076">
        <v>2000</v>
      </c>
      <c r="G4" s="1076">
        <v>2001</v>
      </c>
      <c r="H4" s="1076">
        <v>2002</v>
      </c>
      <c r="I4" s="1076">
        <v>2003</v>
      </c>
      <c r="J4" s="1076">
        <v>2004</v>
      </c>
      <c r="K4" s="1076">
        <v>2005</v>
      </c>
      <c r="L4" s="1076">
        <v>2006</v>
      </c>
      <c r="M4" s="1076">
        <v>2007</v>
      </c>
      <c r="N4" s="1076">
        <v>2008</v>
      </c>
      <c r="O4" s="1077">
        <v>2009</v>
      </c>
      <c r="P4" s="1078">
        <v>2010</v>
      </c>
      <c r="Q4" s="1078">
        <v>2011</v>
      </c>
      <c r="R4" s="1293">
        <v>2012</v>
      </c>
      <c r="S4" s="1079">
        <v>2013</v>
      </c>
      <c r="T4" s="1529">
        <v>2014</v>
      </c>
      <c r="U4" s="1529">
        <v>2015</v>
      </c>
      <c r="V4" s="1529"/>
      <c r="W4" s="1085">
        <v>1998</v>
      </c>
      <c r="X4" s="1078">
        <v>1999</v>
      </c>
      <c r="Y4" s="1078">
        <v>2000</v>
      </c>
      <c r="Z4" s="1078">
        <v>2001</v>
      </c>
      <c r="AA4" s="1078">
        <v>2002</v>
      </c>
      <c r="AB4" s="1078">
        <v>2003</v>
      </c>
      <c r="AC4" s="1078">
        <v>2004</v>
      </c>
      <c r="AD4" s="1078">
        <v>2005</v>
      </c>
      <c r="AE4" s="1078">
        <v>2006</v>
      </c>
      <c r="AF4" s="1078">
        <v>2007</v>
      </c>
      <c r="AG4" s="1078">
        <v>2008</v>
      </c>
      <c r="AH4" s="1078">
        <v>2009</v>
      </c>
      <c r="AI4" s="1078">
        <v>2010</v>
      </c>
      <c r="AJ4" s="1078">
        <v>2011</v>
      </c>
      <c r="AK4" s="1293">
        <v>2012</v>
      </c>
      <c r="AL4" s="1668">
        <v>2013</v>
      </c>
      <c r="AM4" s="1670">
        <v>2014</v>
      </c>
      <c r="AN4" s="1657">
        <v>2015</v>
      </c>
      <c r="AO4" s="1529"/>
      <c r="AP4" s="1085">
        <v>1998</v>
      </c>
      <c r="AQ4" s="1078">
        <v>1999</v>
      </c>
      <c r="AR4" s="1078">
        <v>2000</v>
      </c>
      <c r="AS4" s="1078">
        <v>2001</v>
      </c>
      <c r="AT4" s="1078">
        <v>2002</v>
      </c>
      <c r="AU4" s="1078">
        <v>2003</v>
      </c>
      <c r="AV4" s="1078">
        <v>2004</v>
      </c>
      <c r="AW4" s="1078">
        <v>2005</v>
      </c>
      <c r="AX4" s="1078">
        <v>2006</v>
      </c>
      <c r="AY4" s="1078">
        <v>2007</v>
      </c>
      <c r="AZ4" s="1078">
        <v>2008</v>
      </c>
      <c r="BA4" s="1078">
        <v>2009</v>
      </c>
      <c r="BB4" s="1078">
        <v>2010</v>
      </c>
      <c r="BC4" s="1078">
        <v>2011</v>
      </c>
      <c r="BD4" s="1293">
        <v>2012</v>
      </c>
      <c r="BE4" s="1079">
        <v>2013</v>
      </c>
      <c r="BF4" s="1651">
        <v>2014</v>
      </c>
      <c r="BG4" s="1657">
        <v>2015</v>
      </c>
    </row>
    <row r="5" spans="1:59" s="142" customFormat="1" ht="15.75" customHeight="1" x14ac:dyDescent="0.2">
      <c r="A5" s="146" t="s">
        <v>8</v>
      </c>
      <c r="B5" s="147" t="s">
        <v>9</v>
      </c>
      <c r="C5" s="148"/>
      <c r="D5" s="1067">
        <v>94114</v>
      </c>
      <c r="E5" s="1068">
        <v>95207</v>
      </c>
      <c r="F5" s="1068">
        <v>98864</v>
      </c>
      <c r="G5" s="1068">
        <v>98531</v>
      </c>
      <c r="H5" s="1068">
        <v>99235</v>
      </c>
      <c r="I5" s="1068">
        <v>100561</v>
      </c>
      <c r="J5" s="1068">
        <v>103830</v>
      </c>
      <c r="K5" s="1068">
        <v>104488</v>
      </c>
      <c r="L5" s="1069">
        <v>106474</v>
      </c>
      <c r="M5" s="1069">
        <v>108417</v>
      </c>
      <c r="N5" s="1069">
        <v>106578</v>
      </c>
      <c r="O5" s="1069">
        <v>104979</v>
      </c>
      <c r="P5" s="1070">
        <v>102934</v>
      </c>
      <c r="Q5" s="1070">
        <v>102525</v>
      </c>
      <c r="R5" s="1299">
        <v>102811</v>
      </c>
      <c r="S5" s="1659">
        <f>'Non-marital births'!D6</f>
        <v>103074</v>
      </c>
      <c r="T5" s="1661">
        <v>102795</v>
      </c>
      <c r="U5" s="1662">
        <v>103074</v>
      </c>
      <c r="V5" s="1530"/>
      <c r="W5" s="1082">
        <v>28057</v>
      </c>
      <c r="X5" s="1083">
        <v>28305</v>
      </c>
      <c r="Y5" s="1083">
        <v>29635</v>
      </c>
      <c r="Z5" s="1083">
        <v>29922</v>
      </c>
      <c r="AA5" s="1083">
        <v>30223</v>
      </c>
      <c r="AB5" s="1083">
        <v>30769</v>
      </c>
      <c r="AC5" s="1083">
        <v>32190</v>
      </c>
      <c r="AD5" s="1083">
        <v>33681</v>
      </c>
      <c r="AE5" s="1083">
        <v>36290</v>
      </c>
      <c r="AF5" s="1083">
        <v>38281</v>
      </c>
      <c r="AG5" s="1083">
        <v>38201</v>
      </c>
      <c r="AH5" s="1083">
        <v>37608</v>
      </c>
      <c r="AI5" s="1083">
        <v>36532</v>
      </c>
      <c r="AJ5" s="1083">
        <v>36390</v>
      </c>
      <c r="AK5" s="1302">
        <v>36271</v>
      </c>
      <c r="AL5" s="1669">
        <f>'Non-marital births'!H6</f>
        <v>35512</v>
      </c>
      <c r="AM5" s="1671">
        <v>34955</v>
      </c>
      <c r="AN5" s="1672">
        <v>35512</v>
      </c>
      <c r="AO5" s="1533"/>
      <c r="AP5" s="1090">
        <f t="shared" ref="AP5" si="0">W5/D5</f>
        <v>0.2981171770406103</v>
      </c>
      <c r="AQ5" s="1091">
        <f t="shared" ref="AQ5:AQ36" si="1">X5/E5</f>
        <v>0.29729956830905291</v>
      </c>
      <c r="AR5" s="1091">
        <f t="shared" ref="AR5:AR36" si="2">Y5/F5</f>
        <v>0.29975521929114746</v>
      </c>
      <c r="AS5" s="1091">
        <f t="shared" ref="AS5:AS36" si="3">Z5/G5</f>
        <v>0.303681074991627</v>
      </c>
      <c r="AT5" s="1091">
        <f t="shared" ref="AT5:AT36" si="4">AA5/H5</f>
        <v>0.30455988310575904</v>
      </c>
      <c r="AU5" s="1091">
        <f t="shared" ref="AU5:AU36" si="5">AB5/I5</f>
        <v>0.3059734887282346</v>
      </c>
      <c r="AV5" s="1091">
        <f t="shared" ref="AV5:AV36" si="6">AC5/J5</f>
        <v>0.31002600404507369</v>
      </c>
      <c r="AW5" s="1091">
        <f t="shared" ref="AW5:AW36" si="7">AD5/K5</f>
        <v>0.32234323558686168</v>
      </c>
      <c r="AX5" s="1091">
        <f t="shared" ref="AX5:AX36" si="8">AE5/L5</f>
        <v>0.34083438210267297</v>
      </c>
      <c r="AY5" s="1091">
        <f t="shared" ref="AY5:AY36" si="9">AF5/M5</f>
        <v>0.35309038250458874</v>
      </c>
      <c r="AZ5" s="1091">
        <f t="shared" ref="AZ5:AZ36" si="10">AG5/N5</f>
        <v>0.35843232186755242</v>
      </c>
      <c r="BA5" s="1091">
        <f t="shared" ref="BA5:BA36" si="11">AH5/O5</f>
        <v>0.35824307718686593</v>
      </c>
      <c r="BB5" s="1091">
        <f t="shared" ref="BB5:BB36" si="12">AI5/P5</f>
        <v>0.35490702780422406</v>
      </c>
      <c r="BC5" s="1091">
        <f t="shared" ref="BC5:BC36" si="13">AJ5/Q5</f>
        <v>0.35493782004389174</v>
      </c>
      <c r="BD5" s="1294">
        <f t="shared" ref="BD5:BD36" si="14">AK5/R5</f>
        <v>0.35279298907704426</v>
      </c>
      <c r="BE5" s="1092">
        <f>'Non-marital births'!L6</f>
        <v>0.34452917321535986</v>
      </c>
      <c r="BF5" s="1652">
        <v>0.340045722068194</v>
      </c>
      <c r="BG5" s="1658">
        <f>AN5/U5</f>
        <v>0.34452917321535986</v>
      </c>
    </row>
    <row r="6" spans="1:59" s="142" customFormat="1" ht="15.75" customHeight="1" x14ac:dyDescent="0.2">
      <c r="A6" s="149" t="s">
        <v>10</v>
      </c>
      <c r="B6" s="185" t="s">
        <v>11</v>
      </c>
      <c r="C6" s="150" t="s">
        <v>264</v>
      </c>
      <c r="D6" s="1057">
        <v>419</v>
      </c>
      <c r="E6" s="1058">
        <v>427</v>
      </c>
      <c r="F6" s="1059">
        <v>465</v>
      </c>
      <c r="G6" s="1058">
        <v>445</v>
      </c>
      <c r="H6" s="1059">
        <v>477</v>
      </c>
      <c r="I6" s="1058">
        <v>456</v>
      </c>
      <c r="J6" s="1059">
        <v>485</v>
      </c>
      <c r="K6" s="1058">
        <v>471</v>
      </c>
      <c r="L6" s="1072">
        <v>454</v>
      </c>
      <c r="M6" s="1072">
        <v>508</v>
      </c>
      <c r="N6" s="1072">
        <v>474</v>
      </c>
      <c r="O6" s="1072">
        <v>428</v>
      </c>
      <c r="P6" s="1073">
        <v>433</v>
      </c>
      <c r="Q6" s="1073">
        <v>478</v>
      </c>
      <c r="R6" s="1300">
        <v>396</v>
      </c>
      <c r="S6" s="1660">
        <f>'Non-marital births'!D7</f>
        <v>387</v>
      </c>
      <c r="T6" s="1663">
        <v>376</v>
      </c>
      <c r="U6" s="1664">
        <v>387</v>
      </c>
      <c r="V6" s="1531"/>
      <c r="W6" s="1080">
        <v>222</v>
      </c>
      <c r="X6" s="1081">
        <v>221</v>
      </c>
      <c r="Y6" s="1081">
        <v>230</v>
      </c>
      <c r="Z6" s="1081">
        <v>218</v>
      </c>
      <c r="AA6" s="1081">
        <v>261</v>
      </c>
      <c r="AB6" s="1081">
        <v>261</v>
      </c>
      <c r="AC6" s="1081">
        <v>269</v>
      </c>
      <c r="AD6" s="1081">
        <v>278</v>
      </c>
      <c r="AE6" s="1081">
        <v>298</v>
      </c>
      <c r="AF6" s="1081">
        <v>316</v>
      </c>
      <c r="AG6" s="1081">
        <v>293</v>
      </c>
      <c r="AH6" s="1081">
        <v>267</v>
      </c>
      <c r="AI6" s="1081">
        <v>255</v>
      </c>
      <c r="AJ6" s="1081">
        <v>276</v>
      </c>
      <c r="AK6" s="1303">
        <v>222</v>
      </c>
      <c r="AL6" s="1665">
        <f>'Non-marital births'!H7</f>
        <v>223</v>
      </c>
      <c r="AM6" s="1666">
        <v>209</v>
      </c>
      <c r="AN6" s="1667">
        <v>223</v>
      </c>
      <c r="AO6" s="1532"/>
      <c r="AP6" s="1086">
        <f t="shared" ref="AP6:AP37" si="15">W6/D6</f>
        <v>0.5298329355608592</v>
      </c>
      <c r="AQ6" s="1087">
        <f t="shared" si="1"/>
        <v>0.51756440281030447</v>
      </c>
      <c r="AR6" s="1087">
        <f t="shared" si="2"/>
        <v>0.4946236559139785</v>
      </c>
      <c r="AS6" s="1087">
        <f t="shared" si="3"/>
        <v>0.48988764044943822</v>
      </c>
      <c r="AT6" s="1087">
        <f t="shared" si="4"/>
        <v>0.54716981132075471</v>
      </c>
      <c r="AU6" s="1087">
        <f t="shared" si="5"/>
        <v>0.57236842105263153</v>
      </c>
      <c r="AV6" s="1087">
        <f t="shared" si="6"/>
        <v>0.55463917525773199</v>
      </c>
      <c r="AW6" s="1087">
        <f t="shared" si="7"/>
        <v>0.59023354564755837</v>
      </c>
      <c r="AX6" s="1087">
        <f t="shared" si="8"/>
        <v>0.65638766519823788</v>
      </c>
      <c r="AY6" s="1087">
        <f t="shared" si="9"/>
        <v>0.62204724409448819</v>
      </c>
      <c r="AZ6" s="1087">
        <f t="shared" si="10"/>
        <v>0.61814345991561181</v>
      </c>
      <c r="BA6" s="1087">
        <f t="shared" si="11"/>
        <v>0.62383177570093462</v>
      </c>
      <c r="BB6" s="1087">
        <f t="shared" si="12"/>
        <v>0.5889145496535797</v>
      </c>
      <c r="BC6" s="1087">
        <f t="shared" si="13"/>
        <v>0.57740585774058573</v>
      </c>
      <c r="BD6" s="1295">
        <f t="shared" si="14"/>
        <v>0.56060606060606055</v>
      </c>
      <c r="BE6" s="1297">
        <f>'Non-marital births'!L7</f>
        <v>0.57622739018087854</v>
      </c>
      <c r="BF6" s="1653">
        <v>0.55585106382978722</v>
      </c>
      <c r="BG6" s="1655">
        <f t="shared" ref="BG6:BG69" si="16">AN6/U6</f>
        <v>0.57622739018087854</v>
      </c>
    </row>
    <row r="7" spans="1:59" s="142" customFormat="1" ht="15.75" customHeight="1" x14ac:dyDescent="0.2">
      <c r="A7" s="149" t="s">
        <v>12</v>
      </c>
      <c r="B7" s="186" t="s">
        <v>13</v>
      </c>
      <c r="C7" s="150" t="s">
        <v>265</v>
      </c>
      <c r="D7" s="1057">
        <v>943</v>
      </c>
      <c r="E7" s="1058">
        <v>1022</v>
      </c>
      <c r="F7" s="1059">
        <v>1054</v>
      </c>
      <c r="G7" s="1058">
        <v>968</v>
      </c>
      <c r="H7" s="1059">
        <v>973</v>
      </c>
      <c r="I7" s="1058">
        <v>1018</v>
      </c>
      <c r="J7" s="1059">
        <v>960</v>
      </c>
      <c r="K7" s="1058">
        <v>1056</v>
      </c>
      <c r="L7" s="1072">
        <v>1088</v>
      </c>
      <c r="M7" s="1072">
        <v>1132</v>
      </c>
      <c r="N7" s="1072">
        <v>1129</v>
      </c>
      <c r="O7" s="1072">
        <v>1082</v>
      </c>
      <c r="P7" s="1073">
        <v>1094</v>
      </c>
      <c r="Q7" s="1073">
        <v>1059</v>
      </c>
      <c r="R7" s="1300">
        <v>1053</v>
      </c>
      <c r="S7" s="1660">
        <f>'Non-marital births'!D8</f>
        <v>1049</v>
      </c>
      <c r="T7" s="1663">
        <v>1032</v>
      </c>
      <c r="U7" s="1664">
        <v>1049</v>
      </c>
      <c r="V7" s="1531"/>
      <c r="W7" s="1080">
        <v>197</v>
      </c>
      <c r="X7" s="1081">
        <v>223</v>
      </c>
      <c r="Y7" s="1081">
        <v>249</v>
      </c>
      <c r="Z7" s="1081">
        <v>254</v>
      </c>
      <c r="AA7" s="1081">
        <v>231</v>
      </c>
      <c r="AB7" s="1081">
        <v>212</v>
      </c>
      <c r="AC7" s="1081">
        <v>225</v>
      </c>
      <c r="AD7" s="1081">
        <v>280</v>
      </c>
      <c r="AE7" s="1081">
        <v>289</v>
      </c>
      <c r="AF7" s="1081">
        <v>315</v>
      </c>
      <c r="AG7" s="1081">
        <v>364</v>
      </c>
      <c r="AH7" s="1081">
        <v>289</v>
      </c>
      <c r="AI7" s="1081">
        <v>314</v>
      </c>
      <c r="AJ7" s="1081">
        <v>295</v>
      </c>
      <c r="AK7" s="1303">
        <v>271</v>
      </c>
      <c r="AL7" s="1665">
        <f>'Non-marital births'!H8</f>
        <v>253</v>
      </c>
      <c r="AM7" s="1666">
        <v>259</v>
      </c>
      <c r="AN7" s="1667">
        <v>253</v>
      </c>
      <c r="AO7" s="1532"/>
      <c r="AP7" s="1086">
        <f t="shared" si="15"/>
        <v>0.20890774125132555</v>
      </c>
      <c r="AQ7" s="1087">
        <f t="shared" si="1"/>
        <v>0.2181996086105675</v>
      </c>
      <c r="AR7" s="1087">
        <f t="shared" si="2"/>
        <v>0.23624288425047438</v>
      </c>
      <c r="AS7" s="1087">
        <f t="shared" si="3"/>
        <v>0.26239669421487605</v>
      </c>
      <c r="AT7" s="1087">
        <f t="shared" si="4"/>
        <v>0.23741007194244604</v>
      </c>
      <c r="AU7" s="1087">
        <f t="shared" si="5"/>
        <v>0.20825147347740669</v>
      </c>
      <c r="AV7" s="1087">
        <f t="shared" si="6"/>
        <v>0.234375</v>
      </c>
      <c r="AW7" s="1087">
        <f t="shared" si="7"/>
        <v>0.26515151515151514</v>
      </c>
      <c r="AX7" s="1087">
        <f t="shared" si="8"/>
        <v>0.265625</v>
      </c>
      <c r="AY7" s="1087">
        <f t="shared" si="9"/>
        <v>0.2782685512367491</v>
      </c>
      <c r="AZ7" s="1087">
        <f t="shared" si="10"/>
        <v>0.32240921169176262</v>
      </c>
      <c r="BA7" s="1087">
        <f t="shared" si="11"/>
        <v>0.26709796672828096</v>
      </c>
      <c r="BB7" s="1087">
        <f t="shared" si="12"/>
        <v>0.28702010968921388</v>
      </c>
      <c r="BC7" s="1087">
        <f t="shared" si="13"/>
        <v>0.2785646836638338</v>
      </c>
      <c r="BD7" s="1295">
        <f t="shared" si="14"/>
        <v>0.25735992402659069</v>
      </c>
      <c r="BE7" s="1297">
        <f>'Non-marital births'!L8</f>
        <v>0.24118207816968543</v>
      </c>
      <c r="BF7" s="1653">
        <v>0.25096899224806202</v>
      </c>
      <c r="BG7" s="1655">
        <f t="shared" si="16"/>
        <v>0.24118207816968543</v>
      </c>
    </row>
    <row r="8" spans="1:59" s="142" customFormat="1" ht="15.75" customHeight="1" x14ac:dyDescent="0.2">
      <c r="A8" s="149" t="s">
        <v>14</v>
      </c>
      <c r="B8" s="186" t="s">
        <v>15</v>
      </c>
      <c r="C8" s="150" t="s">
        <v>267</v>
      </c>
      <c r="D8" s="1057">
        <v>2110</v>
      </c>
      <c r="E8" s="1058">
        <v>2125</v>
      </c>
      <c r="F8" s="1059">
        <v>2432</v>
      </c>
      <c r="G8" s="1058">
        <v>2424</v>
      </c>
      <c r="H8" s="1059">
        <v>2208</v>
      </c>
      <c r="I8" s="1058">
        <v>2333</v>
      </c>
      <c r="J8" s="1059">
        <v>2375</v>
      </c>
      <c r="K8" s="1058">
        <v>2451</v>
      </c>
      <c r="L8" s="1072">
        <v>2436</v>
      </c>
      <c r="M8" s="1072">
        <v>2525</v>
      </c>
      <c r="N8" s="1072">
        <v>2595</v>
      </c>
      <c r="O8" s="1072">
        <v>2558</v>
      </c>
      <c r="P8" s="1073">
        <v>2667</v>
      </c>
      <c r="Q8" s="1073">
        <v>2632</v>
      </c>
      <c r="R8" s="1300">
        <v>2763</v>
      </c>
      <c r="S8" s="1660">
        <f>'Non-marital births'!D102</f>
        <v>2791</v>
      </c>
      <c r="T8" s="1663">
        <v>2748</v>
      </c>
      <c r="U8" s="1664">
        <v>2791</v>
      </c>
      <c r="V8" s="1531"/>
      <c r="W8" s="1080">
        <v>566</v>
      </c>
      <c r="X8" s="1081">
        <v>654</v>
      </c>
      <c r="Y8" s="1081">
        <v>699</v>
      </c>
      <c r="Z8" s="1081">
        <v>693</v>
      </c>
      <c r="AA8" s="1081">
        <v>586</v>
      </c>
      <c r="AB8" s="1081">
        <v>632</v>
      </c>
      <c r="AC8" s="1081">
        <v>644</v>
      </c>
      <c r="AD8" s="1081">
        <v>739</v>
      </c>
      <c r="AE8" s="1081">
        <v>739</v>
      </c>
      <c r="AF8" s="1081">
        <v>789</v>
      </c>
      <c r="AG8" s="1081">
        <v>760</v>
      </c>
      <c r="AH8" s="1081">
        <v>751</v>
      </c>
      <c r="AI8" s="1081">
        <v>729</v>
      </c>
      <c r="AJ8" s="1081">
        <v>746</v>
      </c>
      <c r="AK8" s="1303">
        <v>677</v>
      </c>
      <c r="AL8" s="1665">
        <f>'Non-marital births'!H102</f>
        <v>636</v>
      </c>
      <c r="AM8" s="1666">
        <v>636</v>
      </c>
      <c r="AN8" s="1667">
        <v>636</v>
      </c>
      <c r="AO8" s="1532"/>
      <c r="AP8" s="1088">
        <f t="shared" si="15"/>
        <v>0.26824644549763033</v>
      </c>
      <c r="AQ8" s="1089">
        <f t="shared" si="1"/>
        <v>0.30776470588235294</v>
      </c>
      <c r="AR8" s="1089">
        <f t="shared" si="2"/>
        <v>0.28741776315789475</v>
      </c>
      <c r="AS8" s="1089">
        <f t="shared" si="3"/>
        <v>0.28589108910891087</v>
      </c>
      <c r="AT8" s="1089">
        <f t="shared" si="4"/>
        <v>0.26539855072463769</v>
      </c>
      <c r="AU8" s="1089">
        <f t="shared" si="5"/>
        <v>0.27089584226318048</v>
      </c>
      <c r="AV8" s="1089">
        <f t="shared" si="6"/>
        <v>0.2711578947368421</v>
      </c>
      <c r="AW8" s="1089">
        <f t="shared" si="7"/>
        <v>0.30150958792329663</v>
      </c>
      <c r="AX8" s="1089">
        <f t="shared" si="8"/>
        <v>0.30336617405582922</v>
      </c>
      <c r="AY8" s="1089">
        <f t="shared" si="9"/>
        <v>0.31247524752475248</v>
      </c>
      <c r="AZ8" s="1089">
        <f t="shared" si="10"/>
        <v>0.2928709055876686</v>
      </c>
      <c r="BA8" s="1089">
        <f t="shared" si="11"/>
        <v>0.2935887412040657</v>
      </c>
      <c r="BB8" s="1089">
        <f t="shared" si="12"/>
        <v>0.27334083239595053</v>
      </c>
      <c r="BC8" s="1089">
        <f t="shared" si="13"/>
        <v>0.28343465045592703</v>
      </c>
      <c r="BD8" s="1296">
        <f t="shared" si="14"/>
        <v>0.24502352515381831</v>
      </c>
      <c r="BE8" s="1298">
        <f>'Non-marital births'!L102</f>
        <v>0.22787531350770332</v>
      </c>
      <c r="BF8" s="1654">
        <v>0.23144104803493451</v>
      </c>
      <c r="BG8" s="1656">
        <f t="shared" si="16"/>
        <v>0.22787531350770332</v>
      </c>
    </row>
    <row r="9" spans="1:59" s="142" customFormat="1" ht="15.75" customHeight="1" x14ac:dyDescent="0.2">
      <c r="A9" s="149" t="s">
        <v>16</v>
      </c>
      <c r="B9" s="186" t="s">
        <v>297</v>
      </c>
      <c r="C9" s="150" t="s">
        <v>265</v>
      </c>
      <c r="D9" s="1057">
        <v>284</v>
      </c>
      <c r="E9" s="1058">
        <v>248</v>
      </c>
      <c r="F9" s="1059">
        <v>279</v>
      </c>
      <c r="G9" s="1058">
        <v>273</v>
      </c>
      <c r="H9" s="1059">
        <v>216</v>
      </c>
      <c r="I9" s="1058">
        <v>234</v>
      </c>
      <c r="J9" s="1059">
        <v>239</v>
      </c>
      <c r="K9" s="1058">
        <v>231</v>
      </c>
      <c r="L9" s="1072">
        <v>222</v>
      </c>
      <c r="M9" s="1072">
        <v>218</v>
      </c>
      <c r="N9" s="1072">
        <v>233</v>
      </c>
      <c r="O9" s="1072">
        <v>213</v>
      </c>
      <c r="P9" s="1073">
        <v>224</v>
      </c>
      <c r="Q9" s="1073">
        <v>221</v>
      </c>
      <c r="R9" s="1300">
        <v>210</v>
      </c>
      <c r="S9" s="1660">
        <f>'Non-marital births'!D9</f>
        <v>232</v>
      </c>
      <c r="T9" s="1663">
        <v>196</v>
      </c>
      <c r="U9" s="1664">
        <v>232</v>
      </c>
      <c r="V9" s="1531"/>
      <c r="W9" s="1080">
        <v>102</v>
      </c>
      <c r="X9" s="1081">
        <v>85</v>
      </c>
      <c r="Y9" s="1081">
        <v>96</v>
      </c>
      <c r="Z9" s="1081">
        <v>91</v>
      </c>
      <c r="AA9" s="1081">
        <v>82</v>
      </c>
      <c r="AB9" s="1081">
        <v>89</v>
      </c>
      <c r="AC9" s="1081">
        <v>86</v>
      </c>
      <c r="AD9" s="1081">
        <v>93</v>
      </c>
      <c r="AE9" s="1081">
        <v>90</v>
      </c>
      <c r="AF9" s="1081">
        <v>91</v>
      </c>
      <c r="AG9" s="1081">
        <v>108</v>
      </c>
      <c r="AH9" s="1081">
        <v>96</v>
      </c>
      <c r="AI9" s="1081">
        <v>108</v>
      </c>
      <c r="AJ9" s="1081">
        <v>107</v>
      </c>
      <c r="AK9" s="1303">
        <v>88</v>
      </c>
      <c r="AL9" s="1665">
        <f>'Non-marital births'!H9</f>
        <v>122</v>
      </c>
      <c r="AM9" s="1666">
        <v>95</v>
      </c>
      <c r="AN9" s="1667">
        <v>122</v>
      </c>
      <c r="AO9" s="1532"/>
      <c r="AP9" s="1088">
        <f t="shared" si="15"/>
        <v>0.35915492957746481</v>
      </c>
      <c r="AQ9" s="1089">
        <f t="shared" si="1"/>
        <v>0.34274193548387094</v>
      </c>
      <c r="AR9" s="1089">
        <f t="shared" si="2"/>
        <v>0.34408602150537637</v>
      </c>
      <c r="AS9" s="1089">
        <f t="shared" si="3"/>
        <v>0.33333333333333331</v>
      </c>
      <c r="AT9" s="1089">
        <f t="shared" si="4"/>
        <v>0.37962962962962965</v>
      </c>
      <c r="AU9" s="1089">
        <f t="shared" si="5"/>
        <v>0.38034188034188032</v>
      </c>
      <c r="AV9" s="1089">
        <f t="shared" si="6"/>
        <v>0.35983263598326359</v>
      </c>
      <c r="AW9" s="1089">
        <f t="shared" si="7"/>
        <v>0.40259740259740262</v>
      </c>
      <c r="AX9" s="1089">
        <f t="shared" si="8"/>
        <v>0.40540540540540543</v>
      </c>
      <c r="AY9" s="1089">
        <f t="shared" si="9"/>
        <v>0.41743119266055045</v>
      </c>
      <c r="AZ9" s="1089">
        <f t="shared" si="10"/>
        <v>0.46351931330472101</v>
      </c>
      <c r="BA9" s="1089">
        <f t="shared" si="11"/>
        <v>0.45070422535211269</v>
      </c>
      <c r="BB9" s="1089">
        <f t="shared" si="12"/>
        <v>0.48214285714285715</v>
      </c>
      <c r="BC9" s="1089">
        <f t="shared" si="13"/>
        <v>0.48416289592760181</v>
      </c>
      <c r="BD9" s="1296">
        <f t="shared" si="14"/>
        <v>0.41904761904761906</v>
      </c>
      <c r="BE9" s="1298">
        <f>'Non-marital births'!L9</f>
        <v>0.52586206896551724</v>
      </c>
      <c r="BF9" s="1654">
        <v>0.48469387755102039</v>
      </c>
      <c r="BG9" s="1656">
        <f t="shared" si="16"/>
        <v>0.52586206896551724</v>
      </c>
    </row>
    <row r="10" spans="1:59" s="142" customFormat="1" ht="15.75" customHeight="1" x14ac:dyDescent="0.2">
      <c r="A10" s="149" t="s">
        <v>18</v>
      </c>
      <c r="B10" s="186" t="s">
        <v>19</v>
      </c>
      <c r="C10" s="150" t="s">
        <v>266</v>
      </c>
      <c r="D10" s="1057">
        <v>137</v>
      </c>
      <c r="E10" s="1058">
        <v>126</v>
      </c>
      <c r="F10" s="1059">
        <v>152</v>
      </c>
      <c r="G10" s="1058">
        <v>148</v>
      </c>
      <c r="H10" s="1059">
        <v>151</v>
      </c>
      <c r="I10" s="1058">
        <v>139</v>
      </c>
      <c r="J10" s="1059">
        <v>140</v>
      </c>
      <c r="K10" s="1058">
        <v>140</v>
      </c>
      <c r="L10" s="1072">
        <v>148</v>
      </c>
      <c r="M10" s="1072">
        <v>147</v>
      </c>
      <c r="N10" s="1072">
        <v>152</v>
      </c>
      <c r="O10" s="1072">
        <v>159</v>
      </c>
      <c r="P10" s="1073">
        <v>154</v>
      </c>
      <c r="Q10" s="1073">
        <v>125</v>
      </c>
      <c r="R10" s="1300">
        <v>146</v>
      </c>
      <c r="S10" s="1660">
        <f>'Non-marital births'!D10</f>
        <v>141</v>
      </c>
      <c r="T10" s="1663">
        <v>133</v>
      </c>
      <c r="U10" s="1664">
        <v>141</v>
      </c>
      <c r="V10" s="1531"/>
      <c r="W10" s="1080">
        <v>40</v>
      </c>
      <c r="X10" s="1081">
        <v>36</v>
      </c>
      <c r="Y10" s="1081">
        <v>49</v>
      </c>
      <c r="Z10" s="1081">
        <v>51</v>
      </c>
      <c r="AA10" s="1081">
        <v>44</v>
      </c>
      <c r="AB10" s="1081">
        <v>62</v>
      </c>
      <c r="AC10" s="1081">
        <v>49</v>
      </c>
      <c r="AD10" s="1081">
        <v>49</v>
      </c>
      <c r="AE10" s="1081">
        <v>52</v>
      </c>
      <c r="AF10" s="1081">
        <v>53</v>
      </c>
      <c r="AG10" s="1081">
        <v>72</v>
      </c>
      <c r="AH10" s="1081">
        <v>69</v>
      </c>
      <c r="AI10" s="1081">
        <v>63</v>
      </c>
      <c r="AJ10" s="1081">
        <v>46</v>
      </c>
      <c r="AK10" s="1303">
        <v>67</v>
      </c>
      <c r="AL10" s="1665">
        <f>'Non-marital births'!H10</f>
        <v>41</v>
      </c>
      <c r="AM10" s="1666">
        <v>66</v>
      </c>
      <c r="AN10" s="1667">
        <v>41</v>
      </c>
      <c r="AO10" s="1532"/>
      <c r="AP10" s="1088">
        <f t="shared" si="15"/>
        <v>0.29197080291970801</v>
      </c>
      <c r="AQ10" s="1089">
        <f t="shared" si="1"/>
        <v>0.2857142857142857</v>
      </c>
      <c r="AR10" s="1089">
        <f t="shared" si="2"/>
        <v>0.32236842105263158</v>
      </c>
      <c r="AS10" s="1089">
        <f t="shared" si="3"/>
        <v>0.34459459459459457</v>
      </c>
      <c r="AT10" s="1089">
        <f t="shared" si="4"/>
        <v>0.29139072847682118</v>
      </c>
      <c r="AU10" s="1089">
        <f t="shared" si="5"/>
        <v>0.4460431654676259</v>
      </c>
      <c r="AV10" s="1089">
        <f t="shared" si="6"/>
        <v>0.35</v>
      </c>
      <c r="AW10" s="1089">
        <f t="shared" si="7"/>
        <v>0.35</v>
      </c>
      <c r="AX10" s="1089">
        <f t="shared" si="8"/>
        <v>0.35135135135135137</v>
      </c>
      <c r="AY10" s="1089">
        <f t="shared" si="9"/>
        <v>0.36054421768707484</v>
      </c>
      <c r="AZ10" s="1089">
        <f t="shared" si="10"/>
        <v>0.47368421052631576</v>
      </c>
      <c r="BA10" s="1089">
        <f t="shared" si="11"/>
        <v>0.43396226415094341</v>
      </c>
      <c r="BB10" s="1089">
        <f t="shared" si="12"/>
        <v>0.40909090909090912</v>
      </c>
      <c r="BC10" s="1089">
        <f t="shared" si="13"/>
        <v>0.36799999999999999</v>
      </c>
      <c r="BD10" s="1296">
        <f t="shared" si="14"/>
        <v>0.4589041095890411</v>
      </c>
      <c r="BE10" s="1298">
        <f>'Non-marital births'!L10</f>
        <v>0.29078014184397161</v>
      </c>
      <c r="BF10" s="1654">
        <v>0.49624060150375937</v>
      </c>
      <c r="BG10" s="1656">
        <f t="shared" si="16"/>
        <v>0.29078014184397161</v>
      </c>
    </row>
    <row r="11" spans="1:59" s="142" customFormat="1" ht="15.75" customHeight="1" x14ac:dyDescent="0.2">
      <c r="A11" s="149" t="s">
        <v>20</v>
      </c>
      <c r="B11" s="186" t="s">
        <v>21</v>
      </c>
      <c r="C11" s="150" t="s">
        <v>265</v>
      </c>
      <c r="D11" s="1057">
        <v>356</v>
      </c>
      <c r="E11" s="1058">
        <v>359</v>
      </c>
      <c r="F11" s="1059">
        <v>338</v>
      </c>
      <c r="G11" s="1058">
        <v>326</v>
      </c>
      <c r="H11" s="1059">
        <v>325</v>
      </c>
      <c r="I11" s="1058">
        <v>304</v>
      </c>
      <c r="J11" s="1059">
        <v>295</v>
      </c>
      <c r="K11" s="1058">
        <v>331</v>
      </c>
      <c r="L11" s="1072">
        <v>321</v>
      </c>
      <c r="M11" s="1072">
        <v>330</v>
      </c>
      <c r="N11" s="1072">
        <v>376</v>
      </c>
      <c r="O11" s="1072">
        <v>320</v>
      </c>
      <c r="P11" s="1073">
        <v>334</v>
      </c>
      <c r="Q11" s="1073">
        <v>343</v>
      </c>
      <c r="R11" s="1300">
        <v>320</v>
      </c>
      <c r="S11" s="1660">
        <f>'Non-marital births'!D11</f>
        <v>356</v>
      </c>
      <c r="T11" s="1663">
        <v>319</v>
      </c>
      <c r="U11" s="1664">
        <v>356</v>
      </c>
      <c r="V11" s="1531"/>
      <c r="W11" s="1080">
        <v>113</v>
      </c>
      <c r="X11" s="1081">
        <v>121</v>
      </c>
      <c r="Y11" s="1081">
        <v>125</v>
      </c>
      <c r="Z11" s="1081">
        <v>112</v>
      </c>
      <c r="AA11" s="1081">
        <v>120</v>
      </c>
      <c r="AB11" s="1081">
        <v>104</v>
      </c>
      <c r="AC11" s="1081">
        <v>109</v>
      </c>
      <c r="AD11" s="1081">
        <v>122</v>
      </c>
      <c r="AE11" s="1081">
        <v>132</v>
      </c>
      <c r="AF11" s="1081">
        <v>130</v>
      </c>
      <c r="AG11" s="1081">
        <v>153</v>
      </c>
      <c r="AH11" s="1081">
        <v>147</v>
      </c>
      <c r="AI11" s="1081">
        <v>152</v>
      </c>
      <c r="AJ11" s="1081">
        <v>141</v>
      </c>
      <c r="AK11" s="1303">
        <v>149</v>
      </c>
      <c r="AL11" s="1665">
        <f>'Non-marital births'!H11</f>
        <v>162</v>
      </c>
      <c r="AM11" s="1666">
        <v>142</v>
      </c>
      <c r="AN11" s="1667">
        <v>162</v>
      </c>
      <c r="AO11" s="1532"/>
      <c r="AP11" s="1088">
        <f t="shared" si="15"/>
        <v>0.31741573033707865</v>
      </c>
      <c r="AQ11" s="1089">
        <f t="shared" si="1"/>
        <v>0.3370473537604457</v>
      </c>
      <c r="AR11" s="1089">
        <f t="shared" si="2"/>
        <v>0.36982248520710059</v>
      </c>
      <c r="AS11" s="1089">
        <f t="shared" si="3"/>
        <v>0.34355828220858897</v>
      </c>
      <c r="AT11" s="1089">
        <f t="shared" si="4"/>
        <v>0.36923076923076925</v>
      </c>
      <c r="AU11" s="1089">
        <f t="shared" si="5"/>
        <v>0.34210526315789475</v>
      </c>
      <c r="AV11" s="1089">
        <f t="shared" si="6"/>
        <v>0.36949152542372882</v>
      </c>
      <c r="AW11" s="1089">
        <f t="shared" si="7"/>
        <v>0.36858006042296071</v>
      </c>
      <c r="AX11" s="1089">
        <f t="shared" si="8"/>
        <v>0.41121495327102803</v>
      </c>
      <c r="AY11" s="1089">
        <f t="shared" si="9"/>
        <v>0.39393939393939392</v>
      </c>
      <c r="AZ11" s="1089">
        <f t="shared" si="10"/>
        <v>0.40691489361702127</v>
      </c>
      <c r="BA11" s="1089">
        <f t="shared" si="11"/>
        <v>0.45937499999999998</v>
      </c>
      <c r="BB11" s="1089">
        <f t="shared" si="12"/>
        <v>0.45508982035928142</v>
      </c>
      <c r="BC11" s="1089">
        <f t="shared" si="13"/>
        <v>0.41107871720116618</v>
      </c>
      <c r="BD11" s="1296">
        <f t="shared" si="14"/>
        <v>0.46562500000000001</v>
      </c>
      <c r="BE11" s="1298">
        <f>'Non-marital births'!L11</f>
        <v>0.4550561797752809</v>
      </c>
      <c r="BF11" s="1654">
        <v>0.44514106583072099</v>
      </c>
      <c r="BG11" s="1656">
        <f t="shared" si="16"/>
        <v>0.4550561797752809</v>
      </c>
    </row>
    <row r="12" spans="1:59" s="142" customFormat="1" ht="15.75" customHeight="1" x14ac:dyDescent="0.2">
      <c r="A12" s="149" t="s">
        <v>22</v>
      </c>
      <c r="B12" s="186" t="s">
        <v>23</v>
      </c>
      <c r="C12" s="150" t="s">
        <v>265</v>
      </c>
      <c r="D12" s="1057">
        <v>158</v>
      </c>
      <c r="E12" s="1058">
        <v>154</v>
      </c>
      <c r="F12" s="1059">
        <v>162</v>
      </c>
      <c r="G12" s="1058">
        <v>140</v>
      </c>
      <c r="H12" s="1059">
        <v>145</v>
      </c>
      <c r="I12" s="1058">
        <v>152</v>
      </c>
      <c r="J12" s="1059">
        <v>145</v>
      </c>
      <c r="K12" s="1058">
        <v>140</v>
      </c>
      <c r="L12" s="1072">
        <v>163</v>
      </c>
      <c r="M12" s="1072">
        <v>164</v>
      </c>
      <c r="N12" s="1072">
        <v>165</v>
      </c>
      <c r="O12" s="1072">
        <v>168</v>
      </c>
      <c r="P12" s="1073">
        <v>165</v>
      </c>
      <c r="Q12" s="1073">
        <v>180</v>
      </c>
      <c r="R12" s="1300">
        <v>180</v>
      </c>
      <c r="S12" s="1660">
        <f>'Non-marital births'!D12</f>
        <v>167</v>
      </c>
      <c r="T12" s="1663">
        <v>187</v>
      </c>
      <c r="U12" s="1664">
        <v>167</v>
      </c>
      <c r="V12" s="1531"/>
      <c r="W12" s="1080">
        <v>46</v>
      </c>
      <c r="X12" s="1081">
        <v>58</v>
      </c>
      <c r="Y12" s="1081">
        <v>60</v>
      </c>
      <c r="Z12" s="1081">
        <v>50</v>
      </c>
      <c r="AA12" s="1081">
        <v>56</v>
      </c>
      <c r="AB12" s="1081">
        <v>52</v>
      </c>
      <c r="AC12" s="1081">
        <v>53</v>
      </c>
      <c r="AD12" s="1081">
        <v>58</v>
      </c>
      <c r="AE12" s="1081">
        <v>71</v>
      </c>
      <c r="AF12" s="1081">
        <v>80</v>
      </c>
      <c r="AG12" s="1081">
        <v>69</v>
      </c>
      <c r="AH12" s="1081">
        <v>59</v>
      </c>
      <c r="AI12" s="1081">
        <v>69</v>
      </c>
      <c r="AJ12" s="1081">
        <v>65</v>
      </c>
      <c r="AK12" s="1303">
        <v>76</v>
      </c>
      <c r="AL12" s="1665">
        <f>'Non-marital births'!H12</f>
        <v>76</v>
      </c>
      <c r="AM12" s="1666">
        <v>78</v>
      </c>
      <c r="AN12" s="1667">
        <v>76</v>
      </c>
      <c r="AO12" s="1532"/>
      <c r="AP12" s="1088">
        <f t="shared" si="15"/>
        <v>0.29113924050632911</v>
      </c>
      <c r="AQ12" s="1089">
        <f t="shared" si="1"/>
        <v>0.37662337662337664</v>
      </c>
      <c r="AR12" s="1089">
        <f t="shared" si="2"/>
        <v>0.37037037037037035</v>
      </c>
      <c r="AS12" s="1089">
        <f t="shared" si="3"/>
        <v>0.35714285714285715</v>
      </c>
      <c r="AT12" s="1089">
        <f t="shared" si="4"/>
        <v>0.38620689655172413</v>
      </c>
      <c r="AU12" s="1089">
        <f t="shared" si="5"/>
        <v>0.34210526315789475</v>
      </c>
      <c r="AV12" s="1089">
        <f t="shared" si="6"/>
        <v>0.36551724137931035</v>
      </c>
      <c r="AW12" s="1089">
        <f t="shared" si="7"/>
        <v>0.41428571428571431</v>
      </c>
      <c r="AX12" s="1089">
        <f t="shared" si="8"/>
        <v>0.43558282208588955</v>
      </c>
      <c r="AY12" s="1089">
        <f t="shared" si="9"/>
        <v>0.48780487804878048</v>
      </c>
      <c r="AZ12" s="1089">
        <f t="shared" si="10"/>
        <v>0.41818181818181815</v>
      </c>
      <c r="BA12" s="1089">
        <f t="shared" si="11"/>
        <v>0.35119047619047616</v>
      </c>
      <c r="BB12" s="1089">
        <f t="shared" si="12"/>
        <v>0.41818181818181815</v>
      </c>
      <c r="BC12" s="1089">
        <f t="shared" si="13"/>
        <v>0.3611111111111111</v>
      </c>
      <c r="BD12" s="1296">
        <f t="shared" si="14"/>
        <v>0.42222222222222222</v>
      </c>
      <c r="BE12" s="1298">
        <f>'Non-marital births'!L12</f>
        <v>0.45508982035928142</v>
      </c>
      <c r="BF12" s="1654">
        <v>0.41711229946524064</v>
      </c>
      <c r="BG12" s="1656">
        <f t="shared" si="16"/>
        <v>0.45508982035928142</v>
      </c>
    </row>
    <row r="13" spans="1:59" s="142" customFormat="1" ht="15.75" customHeight="1" x14ac:dyDescent="0.2">
      <c r="A13" s="149" t="s">
        <v>24</v>
      </c>
      <c r="B13" s="186" t="s">
        <v>25</v>
      </c>
      <c r="C13" s="150" t="s">
        <v>267</v>
      </c>
      <c r="D13" s="1057">
        <v>2672</v>
      </c>
      <c r="E13" s="1058">
        <v>2606</v>
      </c>
      <c r="F13" s="1059">
        <v>2715</v>
      </c>
      <c r="G13" s="1058">
        <v>2814</v>
      </c>
      <c r="H13" s="1059">
        <v>2686</v>
      </c>
      <c r="I13" s="1058">
        <v>2659</v>
      </c>
      <c r="J13" s="1059">
        <v>2810</v>
      </c>
      <c r="K13" s="1058">
        <v>2809</v>
      </c>
      <c r="L13" s="1072">
        <v>2561</v>
      </c>
      <c r="M13" s="1072">
        <v>2778</v>
      </c>
      <c r="N13" s="1072">
        <v>2924</v>
      </c>
      <c r="O13" s="1072">
        <v>2935</v>
      </c>
      <c r="P13" s="1073">
        <v>3097</v>
      </c>
      <c r="Q13" s="1073">
        <v>3049</v>
      </c>
      <c r="R13" s="1300">
        <v>3193</v>
      </c>
      <c r="S13" s="1660">
        <f>'Non-marital births'!D13</f>
        <v>3160</v>
      </c>
      <c r="T13" s="1663">
        <v>3181</v>
      </c>
      <c r="U13" s="1664">
        <v>3160</v>
      </c>
      <c r="V13" s="1531"/>
      <c r="W13" s="1080">
        <v>571</v>
      </c>
      <c r="X13" s="1081">
        <v>566</v>
      </c>
      <c r="Y13" s="1081">
        <v>598</v>
      </c>
      <c r="Z13" s="1081">
        <v>603</v>
      </c>
      <c r="AA13" s="1081">
        <v>608</v>
      </c>
      <c r="AB13" s="1081">
        <v>575</v>
      </c>
      <c r="AC13" s="1081">
        <v>578</v>
      </c>
      <c r="AD13" s="1081">
        <v>622</v>
      </c>
      <c r="AE13" s="1081">
        <v>579</v>
      </c>
      <c r="AF13" s="1081">
        <v>626</v>
      </c>
      <c r="AG13" s="1081">
        <v>599</v>
      </c>
      <c r="AH13" s="1081">
        <v>574</v>
      </c>
      <c r="AI13" s="1081">
        <v>573</v>
      </c>
      <c r="AJ13" s="1081">
        <v>529</v>
      </c>
      <c r="AK13" s="1303">
        <v>527</v>
      </c>
      <c r="AL13" s="1665">
        <f>'Non-marital births'!H13</f>
        <v>506</v>
      </c>
      <c r="AM13" s="1666">
        <v>492</v>
      </c>
      <c r="AN13" s="1667">
        <v>506</v>
      </c>
      <c r="AO13" s="1532"/>
      <c r="AP13" s="1088">
        <f t="shared" si="15"/>
        <v>0.21369760479041916</v>
      </c>
      <c r="AQ13" s="1089">
        <f t="shared" si="1"/>
        <v>0.21719109746738297</v>
      </c>
      <c r="AR13" s="1089">
        <f t="shared" si="2"/>
        <v>0.22025782688766113</v>
      </c>
      <c r="AS13" s="1089">
        <f t="shared" si="3"/>
        <v>0.21428571428571427</v>
      </c>
      <c r="AT13" s="1089">
        <f t="shared" si="4"/>
        <v>0.22635889798957556</v>
      </c>
      <c r="AU13" s="1089">
        <f t="shared" si="5"/>
        <v>0.21624670928920647</v>
      </c>
      <c r="AV13" s="1089">
        <f t="shared" si="6"/>
        <v>0.20569395017793593</v>
      </c>
      <c r="AW13" s="1089">
        <f t="shared" si="7"/>
        <v>0.22143111427554291</v>
      </c>
      <c r="AX13" s="1089">
        <f t="shared" si="8"/>
        <v>0.22608356110894182</v>
      </c>
      <c r="AY13" s="1089">
        <f t="shared" si="9"/>
        <v>0.22534197264218864</v>
      </c>
      <c r="AZ13" s="1089">
        <f t="shared" si="10"/>
        <v>0.20485636114911079</v>
      </c>
      <c r="BA13" s="1089">
        <f t="shared" si="11"/>
        <v>0.19557069846678024</v>
      </c>
      <c r="BB13" s="1089">
        <f t="shared" si="12"/>
        <v>0.18501775912173071</v>
      </c>
      <c r="BC13" s="1089">
        <f t="shared" si="13"/>
        <v>0.17349950803542144</v>
      </c>
      <c r="BD13" s="1296">
        <f t="shared" si="14"/>
        <v>0.1650485436893204</v>
      </c>
      <c r="BE13" s="1298">
        <f>'Non-marital births'!L13</f>
        <v>0.16012658227848101</v>
      </c>
      <c r="BF13" s="1654">
        <v>0.15466834328827414</v>
      </c>
      <c r="BG13" s="1656">
        <f t="shared" si="16"/>
        <v>0.16012658227848101</v>
      </c>
    </row>
    <row r="14" spans="1:59" s="142" customFormat="1" ht="15.75" customHeight="1" x14ac:dyDescent="0.2">
      <c r="A14" s="149" t="s">
        <v>26</v>
      </c>
      <c r="B14" s="186" t="s">
        <v>298</v>
      </c>
      <c r="C14" s="150" t="s">
        <v>265</v>
      </c>
      <c r="D14" s="1057">
        <v>1263</v>
      </c>
      <c r="E14" s="1058">
        <v>1209</v>
      </c>
      <c r="F14" s="1059">
        <v>1240</v>
      </c>
      <c r="G14" s="1058">
        <v>1174</v>
      </c>
      <c r="H14" s="1059">
        <v>1225</v>
      </c>
      <c r="I14" s="1058">
        <v>1317</v>
      </c>
      <c r="J14" s="1059">
        <v>1317</v>
      </c>
      <c r="K14" s="1058">
        <v>1292</v>
      </c>
      <c r="L14" s="1072">
        <v>1366</v>
      </c>
      <c r="M14" s="1072">
        <v>1443</v>
      </c>
      <c r="N14" s="1072">
        <v>1339</v>
      </c>
      <c r="O14" s="1072">
        <v>1313</v>
      </c>
      <c r="P14" s="1073">
        <v>1196</v>
      </c>
      <c r="Q14" s="1073">
        <v>1309</v>
      </c>
      <c r="R14" s="1300">
        <v>1205</v>
      </c>
      <c r="S14" s="1660">
        <f>'Non-marital births'!D14</f>
        <v>1289</v>
      </c>
      <c r="T14" s="1663">
        <v>1231</v>
      </c>
      <c r="U14" s="1664">
        <v>1289</v>
      </c>
      <c r="V14" s="1531"/>
      <c r="W14" s="1080">
        <v>383</v>
      </c>
      <c r="X14" s="1081">
        <v>349</v>
      </c>
      <c r="Y14" s="1081">
        <v>394</v>
      </c>
      <c r="Z14" s="1081">
        <v>361</v>
      </c>
      <c r="AA14" s="1081">
        <v>414</v>
      </c>
      <c r="AB14" s="1081">
        <v>471</v>
      </c>
      <c r="AC14" s="1081">
        <v>428</v>
      </c>
      <c r="AD14" s="1081">
        <v>450</v>
      </c>
      <c r="AE14" s="1081">
        <v>495</v>
      </c>
      <c r="AF14" s="1081">
        <v>571</v>
      </c>
      <c r="AG14" s="1081">
        <v>523</v>
      </c>
      <c r="AH14" s="1081">
        <v>492</v>
      </c>
      <c r="AI14" s="1081">
        <v>441</v>
      </c>
      <c r="AJ14" s="1081">
        <v>472</v>
      </c>
      <c r="AK14" s="1303">
        <v>480</v>
      </c>
      <c r="AL14" s="1665">
        <f>'Non-marital births'!H14</f>
        <v>513</v>
      </c>
      <c r="AM14" s="1666">
        <v>470</v>
      </c>
      <c r="AN14" s="1667">
        <v>513</v>
      </c>
      <c r="AO14" s="1532"/>
      <c r="AP14" s="1088">
        <f t="shared" si="15"/>
        <v>0.30324623911322246</v>
      </c>
      <c r="AQ14" s="1089">
        <f t="shared" si="1"/>
        <v>0.28866832092638545</v>
      </c>
      <c r="AR14" s="1089">
        <f t="shared" si="2"/>
        <v>0.31774193548387097</v>
      </c>
      <c r="AS14" s="1089">
        <f t="shared" si="3"/>
        <v>0.30749574105621807</v>
      </c>
      <c r="AT14" s="1089">
        <f t="shared" si="4"/>
        <v>0.33795918367346939</v>
      </c>
      <c r="AU14" s="1089">
        <f t="shared" si="5"/>
        <v>0.35763097949886102</v>
      </c>
      <c r="AV14" s="1089">
        <f t="shared" si="6"/>
        <v>0.32498101746393321</v>
      </c>
      <c r="AW14" s="1089">
        <f t="shared" si="7"/>
        <v>0.34829721362229105</v>
      </c>
      <c r="AX14" s="1089">
        <f t="shared" si="8"/>
        <v>0.3623718887262079</v>
      </c>
      <c r="AY14" s="1089">
        <f t="shared" si="9"/>
        <v>0.39570339570339569</v>
      </c>
      <c r="AZ14" s="1089">
        <f t="shared" si="10"/>
        <v>0.39058999253174009</v>
      </c>
      <c r="BA14" s="1089">
        <f t="shared" si="11"/>
        <v>0.37471439451637473</v>
      </c>
      <c r="BB14" s="1089">
        <f t="shared" si="12"/>
        <v>0.36872909698996653</v>
      </c>
      <c r="BC14" s="1089">
        <f t="shared" si="13"/>
        <v>0.36058059587471353</v>
      </c>
      <c r="BD14" s="1296">
        <f t="shared" si="14"/>
        <v>0.39834024896265557</v>
      </c>
      <c r="BE14" s="1298">
        <f>'Non-marital births'!L14</f>
        <v>0.39798293250581845</v>
      </c>
      <c r="BF14" s="1654">
        <v>0.38180341186027622</v>
      </c>
      <c r="BG14" s="1656">
        <f t="shared" si="16"/>
        <v>0.39798293250581845</v>
      </c>
    </row>
    <row r="15" spans="1:59" s="142" customFormat="1" ht="15.75" customHeight="1" x14ac:dyDescent="0.2">
      <c r="A15" s="149" t="s">
        <v>27</v>
      </c>
      <c r="B15" s="186" t="s">
        <v>28</v>
      </c>
      <c r="C15" s="150" t="s">
        <v>265</v>
      </c>
      <c r="D15" s="1057">
        <v>53</v>
      </c>
      <c r="E15" s="1058">
        <v>50</v>
      </c>
      <c r="F15" s="1059">
        <v>44</v>
      </c>
      <c r="G15" s="1058">
        <v>41</v>
      </c>
      <c r="H15" s="1059">
        <v>35</v>
      </c>
      <c r="I15" s="1058">
        <v>33</v>
      </c>
      <c r="J15" s="1059">
        <v>26</v>
      </c>
      <c r="K15" s="1058">
        <v>28</v>
      </c>
      <c r="L15" s="1072">
        <v>27</v>
      </c>
      <c r="M15" s="1072">
        <v>37</v>
      </c>
      <c r="N15" s="1072">
        <v>32</v>
      </c>
      <c r="O15" s="1072">
        <v>26</v>
      </c>
      <c r="P15" s="1073">
        <v>40</v>
      </c>
      <c r="Q15" s="1073">
        <v>39</v>
      </c>
      <c r="R15" s="1300">
        <v>40</v>
      </c>
      <c r="S15" s="1660">
        <f>'Non-marital births'!D15</f>
        <v>37</v>
      </c>
      <c r="T15" s="1663">
        <v>49</v>
      </c>
      <c r="U15" s="1664">
        <v>37</v>
      </c>
      <c r="V15" s="1531"/>
      <c r="W15" s="1080">
        <v>6</v>
      </c>
      <c r="X15" s="1081">
        <v>13</v>
      </c>
      <c r="Y15" s="1081">
        <v>10</v>
      </c>
      <c r="Z15" s="1081">
        <v>6</v>
      </c>
      <c r="AA15" s="1081">
        <v>8</v>
      </c>
      <c r="AB15" s="1081">
        <v>10</v>
      </c>
      <c r="AC15" s="1081">
        <v>6</v>
      </c>
      <c r="AD15" s="1081">
        <v>10</v>
      </c>
      <c r="AE15" s="1081">
        <v>6</v>
      </c>
      <c r="AF15" s="1081">
        <v>14</v>
      </c>
      <c r="AG15" s="1081">
        <v>9</v>
      </c>
      <c r="AH15" s="1081">
        <v>7</v>
      </c>
      <c r="AI15" s="1081">
        <v>17</v>
      </c>
      <c r="AJ15" s="1081">
        <v>13</v>
      </c>
      <c r="AK15" s="1303">
        <v>23</v>
      </c>
      <c r="AL15" s="1665">
        <f>'Non-marital births'!H15</f>
        <v>20</v>
      </c>
      <c r="AM15" s="1666">
        <v>23</v>
      </c>
      <c r="AN15" s="1667">
        <v>20</v>
      </c>
      <c r="AO15" s="1532"/>
      <c r="AP15" s="1088">
        <f t="shared" si="15"/>
        <v>0.11320754716981132</v>
      </c>
      <c r="AQ15" s="1089">
        <f t="shared" si="1"/>
        <v>0.26</v>
      </c>
      <c r="AR15" s="1089">
        <f t="shared" si="2"/>
        <v>0.22727272727272727</v>
      </c>
      <c r="AS15" s="1089">
        <f t="shared" si="3"/>
        <v>0.14634146341463414</v>
      </c>
      <c r="AT15" s="1089">
        <f t="shared" si="4"/>
        <v>0.22857142857142856</v>
      </c>
      <c r="AU15" s="1089">
        <f t="shared" si="5"/>
        <v>0.30303030303030304</v>
      </c>
      <c r="AV15" s="1089">
        <f t="shared" si="6"/>
        <v>0.23076923076923078</v>
      </c>
      <c r="AW15" s="1089">
        <f t="shared" si="7"/>
        <v>0.35714285714285715</v>
      </c>
      <c r="AX15" s="1089">
        <f t="shared" si="8"/>
        <v>0.22222222222222221</v>
      </c>
      <c r="AY15" s="1089">
        <f t="shared" si="9"/>
        <v>0.3783783783783784</v>
      </c>
      <c r="AZ15" s="1089">
        <f t="shared" si="10"/>
        <v>0.28125</v>
      </c>
      <c r="BA15" s="1089">
        <f t="shared" si="11"/>
        <v>0.26923076923076922</v>
      </c>
      <c r="BB15" s="1089">
        <f t="shared" si="12"/>
        <v>0.42499999999999999</v>
      </c>
      <c r="BC15" s="1089">
        <f t="shared" si="13"/>
        <v>0.33333333333333331</v>
      </c>
      <c r="BD15" s="1296">
        <f t="shared" si="14"/>
        <v>0.57499999999999996</v>
      </c>
      <c r="BE15" s="1298">
        <f>'Non-marital births'!L15</f>
        <v>0.54054054054054057</v>
      </c>
      <c r="BF15" s="1654">
        <v>0.46938775510204084</v>
      </c>
      <c r="BG15" s="1656">
        <f t="shared" si="16"/>
        <v>0.54054054054054057</v>
      </c>
    </row>
    <row r="16" spans="1:59" s="142" customFormat="1" ht="15.75" customHeight="1" x14ac:dyDescent="0.2">
      <c r="A16" s="149" t="s">
        <v>29</v>
      </c>
      <c r="B16" s="186" t="s">
        <v>1213</v>
      </c>
      <c r="C16" s="150" t="s">
        <v>265</v>
      </c>
      <c r="D16" s="1057">
        <v>716</v>
      </c>
      <c r="E16" s="1058">
        <v>655</v>
      </c>
      <c r="F16" s="1059">
        <v>720</v>
      </c>
      <c r="G16" s="1058">
        <v>702</v>
      </c>
      <c r="H16" s="1059">
        <v>626</v>
      </c>
      <c r="I16" s="1058">
        <v>710</v>
      </c>
      <c r="J16" s="1059">
        <v>671</v>
      </c>
      <c r="K16" s="1058">
        <v>711</v>
      </c>
      <c r="L16" s="1072">
        <v>734</v>
      </c>
      <c r="M16" s="1072">
        <v>703</v>
      </c>
      <c r="N16" s="1072">
        <v>685</v>
      </c>
      <c r="O16" s="1072">
        <v>682</v>
      </c>
      <c r="P16" s="1073">
        <v>679</v>
      </c>
      <c r="Q16" s="1073">
        <v>644</v>
      </c>
      <c r="R16" s="1300">
        <v>620</v>
      </c>
      <c r="S16" s="1660">
        <f>'Non-marital births'!D16</f>
        <v>635</v>
      </c>
      <c r="T16" s="1663">
        <v>642</v>
      </c>
      <c r="U16" s="1664">
        <v>635</v>
      </c>
      <c r="V16" s="1531"/>
      <c r="W16" s="1080">
        <v>168</v>
      </c>
      <c r="X16" s="1081">
        <v>147</v>
      </c>
      <c r="Y16" s="1081">
        <v>154</v>
      </c>
      <c r="Z16" s="1081">
        <v>158</v>
      </c>
      <c r="AA16" s="1081">
        <v>151</v>
      </c>
      <c r="AB16" s="1081">
        <v>173</v>
      </c>
      <c r="AC16" s="1081">
        <v>178</v>
      </c>
      <c r="AD16" s="1081">
        <v>202</v>
      </c>
      <c r="AE16" s="1081">
        <v>215</v>
      </c>
      <c r="AF16" s="1081">
        <v>207</v>
      </c>
      <c r="AG16" s="1081">
        <v>211</v>
      </c>
      <c r="AH16" s="1081">
        <v>225</v>
      </c>
      <c r="AI16" s="1081">
        <v>207</v>
      </c>
      <c r="AJ16" s="1081">
        <v>207</v>
      </c>
      <c r="AK16" s="1303">
        <v>215</v>
      </c>
      <c r="AL16" s="1665">
        <f>'Non-marital births'!H16</f>
        <v>184</v>
      </c>
      <c r="AM16" s="1666">
        <v>202</v>
      </c>
      <c r="AN16" s="1667">
        <v>184</v>
      </c>
      <c r="AO16" s="1532"/>
      <c r="AP16" s="1088">
        <f t="shared" si="15"/>
        <v>0.23463687150837989</v>
      </c>
      <c r="AQ16" s="1089">
        <f t="shared" si="1"/>
        <v>0.22442748091603054</v>
      </c>
      <c r="AR16" s="1089">
        <f t="shared" si="2"/>
        <v>0.21388888888888888</v>
      </c>
      <c r="AS16" s="1089">
        <f t="shared" si="3"/>
        <v>0.22507122507122507</v>
      </c>
      <c r="AT16" s="1089">
        <f t="shared" si="4"/>
        <v>0.24121405750798722</v>
      </c>
      <c r="AU16" s="1089">
        <f t="shared" si="5"/>
        <v>0.24366197183098592</v>
      </c>
      <c r="AV16" s="1089">
        <f t="shared" si="6"/>
        <v>0.26527570789865873</v>
      </c>
      <c r="AW16" s="1089">
        <f t="shared" si="7"/>
        <v>0.2841068917018284</v>
      </c>
      <c r="AX16" s="1089">
        <f t="shared" si="8"/>
        <v>0.29291553133514986</v>
      </c>
      <c r="AY16" s="1089">
        <f t="shared" si="9"/>
        <v>0.29445234708392604</v>
      </c>
      <c r="AZ16" s="1089">
        <f t="shared" si="10"/>
        <v>0.30802919708029197</v>
      </c>
      <c r="BA16" s="1089">
        <f t="shared" si="11"/>
        <v>0.32991202346041054</v>
      </c>
      <c r="BB16" s="1089">
        <f t="shared" si="12"/>
        <v>0.30486008836524303</v>
      </c>
      <c r="BC16" s="1089">
        <f t="shared" si="13"/>
        <v>0.32142857142857145</v>
      </c>
      <c r="BD16" s="1296">
        <f t="shared" si="14"/>
        <v>0.34677419354838712</v>
      </c>
      <c r="BE16" s="1298">
        <f>'Non-marital births'!L16</f>
        <v>0.28976377952755905</v>
      </c>
      <c r="BF16" s="1654">
        <v>0.31464174454828658</v>
      </c>
      <c r="BG16" s="1656">
        <f t="shared" si="16"/>
        <v>0.28976377952755905</v>
      </c>
    </row>
    <row r="17" spans="1:59" s="142" customFormat="1" ht="15.75" customHeight="1" x14ac:dyDescent="0.2">
      <c r="A17" s="149" t="s">
        <v>30</v>
      </c>
      <c r="B17" s="186" t="s">
        <v>31</v>
      </c>
      <c r="C17" s="150" t="s">
        <v>268</v>
      </c>
      <c r="D17" s="1057">
        <v>50</v>
      </c>
      <c r="E17" s="1058">
        <v>64</v>
      </c>
      <c r="F17" s="1059">
        <v>63</v>
      </c>
      <c r="G17" s="1058">
        <v>59</v>
      </c>
      <c r="H17" s="1059">
        <v>55</v>
      </c>
      <c r="I17" s="1058">
        <v>60</v>
      </c>
      <c r="J17" s="1059">
        <v>54</v>
      </c>
      <c r="K17" s="1058">
        <v>63</v>
      </c>
      <c r="L17" s="1072">
        <v>48</v>
      </c>
      <c r="M17" s="1072">
        <v>51</v>
      </c>
      <c r="N17" s="1072">
        <v>53</v>
      </c>
      <c r="O17" s="1072">
        <v>49</v>
      </c>
      <c r="P17" s="1073">
        <v>41</v>
      </c>
      <c r="Q17" s="1073">
        <v>53</v>
      </c>
      <c r="R17" s="1300">
        <v>55</v>
      </c>
      <c r="S17" s="1660">
        <f>'Non-marital births'!D17</f>
        <v>51</v>
      </c>
      <c r="T17" s="1663">
        <v>47</v>
      </c>
      <c r="U17" s="1664">
        <v>51</v>
      </c>
      <c r="V17" s="1531"/>
      <c r="W17" s="1080">
        <v>8</v>
      </c>
      <c r="X17" s="1081">
        <v>12</v>
      </c>
      <c r="Y17" s="1081">
        <v>9</v>
      </c>
      <c r="Z17" s="1081">
        <v>9</v>
      </c>
      <c r="AA17" s="1081">
        <v>14</v>
      </c>
      <c r="AB17" s="1081">
        <v>8</v>
      </c>
      <c r="AC17" s="1081">
        <v>12</v>
      </c>
      <c r="AD17" s="1081">
        <v>19</v>
      </c>
      <c r="AE17" s="1081">
        <v>13</v>
      </c>
      <c r="AF17" s="1081">
        <v>13</v>
      </c>
      <c r="AG17" s="1081">
        <v>19</v>
      </c>
      <c r="AH17" s="1081">
        <v>14</v>
      </c>
      <c r="AI17" s="1081">
        <v>13</v>
      </c>
      <c r="AJ17" s="1081">
        <v>29</v>
      </c>
      <c r="AK17" s="1303">
        <v>20</v>
      </c>
      <c r="AL17" s="1665">
        <f>'Non-marital births'!H17</f>
        <v>15</v>
      </c>
      <c r="AM17" s="1666">
        <v>14</v>
      </c>
      <c r="AN17" s="1667">
        <v>15</v>
      </c>
      <c r="AO17" s="1532"/>
      <c r="AP17" s="1088">
        <f t="shared" si="15"/>
        <v>0.16</v>
      </c>
      <c r="AQ17" s="1089">
        <f t="shared" si="1"/>
        <v>0.1875</v>
      </c>
      <c r="AR17" s="1089">
        <f t="shared" si="2"/>
        <v>0.14285714285714285</v>
      </c>
      <c r="AS17" s="1089">
        <f t="shared" si="3"/>
        <v>0.15254237288135594</v>
      </c>
      <c r="AT17" s="1089">
        <f t="shared" si="4"/>
        <v>0.25454545454545452</v>
      </c>
      <c r="AU17" s="1089">
        <f t="shared" si="5"/>
        <v>0.13333333333333333</v>
      </c>
      <c r="AV17" s="1089">
        <f t="shared" si="6"/>
        <v>0.22222222222222221</v>
      </c>
      <c r="AW17" s="1089">
        <f t="shared" si="7"/>
        <v>0.30158730158730157</v>
      </c>
      <c r="AX17" s="1089">
        <f t="shared" si="8"/>
        <v>0.27083333333333331</v>
      </c>
      <c r="AY17" s="1089">
        <f t="shared" si="9"/>
        <v>0.25490196078431371</v>
      </c>
      <c r="AZ17" s="1089">
        <f t="shared" si="10"/>
        <v>0.35849056603773582</v>
      </c>
      <c r="BA17" s="1089">
        <f t="shared" si="11"/>
        <v>0.2857142857142857</v>
      </c>
      <c r="BB17" s="1089">
        <f t="shared" si="12"/>
        <v>0.31707317073170732</v>
      </c>
      <c r="BC17" s="1089">
        <f t="shared" si="13"/>
        <v>0.54716981132075471</v>
      </c>
      <c r="BD17" s="1296">
        <f t="shared" si="14"/>
        <v>0.36363636363636365</v>
      </c>
      <c r="BE17" s="1298">
        <f>'Non-marital births'!L17</f>
        <v>0.29411764705882354</v>
      </c>
      <c r="BF17" s="1654">
        <v>0.2978723404255319</v>
      </c>
      <c r="BG17" s="1656">
        <f t="shared" si="16"/>
        <v>0.29411764705882354</v>
      </c>
    </row>
    <row r="18" spans="1:59" s="142" customFormat="1" ht="15.75" customHeight="1" x14ac:dyDescent="0.2">
      <c r="A18" s="149" t="s">
        <v>32</v>
      </c>
      <c r="B18" s="186" t="s">
        <v>33</v>
      </c>
      <c r="C18" s="150" t="s">
        <v>265</v>
      </c>
      <c r="D18" s="1057">
        <v>309</v>
      </c>
      <c r="E18" s="1058">
        <v>328</v>
      </c>
      <c r="F18" s="1059">
        <v>312</v>
      </c>
      <c r="G18" s="1058">
        <v>253</v>
      </c>
      <c r="H18" s="1059">
        <v>297</v>
      </c>
      <c r="I18" s="1058">
        <v>308</v>
      </c>
      <c r="J18" s="1059">
        <v>258</v>
      </c>
      <c r="K18" s="1058">
        <v>265</v>
      </c>
      <c r="L18" s="1072">
        <v>278</v>
      </c>
      <c r="M18" s="1072">
        <v>308</v>
      </c>
      <c r="N18" s="1072">
        <v>265</v>
      </c>
      <c r="O18" s="1072">
        <v>262</v>
      </c>
      <c r="P18" s="1073">
        <v>243</v>
      </c>
      <c r="Q18" s="1073">
        <v>221</v>
      </c>
      <c r="R18" s="1300">
        <v>224</v>
      </c>
      <c r="S18" s="1660">
        <f>'Non-marital births'!D18</f>
        <v>232</v>
      </c>
      <c r="T18" s="1663">
        <v>236</v>
      </c>
      <c r="U18" s="1664">
        <v>232</v>
      </c>
      <c r="V18" s="1531"/>
      <c r="W18" s="1080">
        <v>69</v>
      </c>
      <c r="X18" s="1081">
        <v>59</v>
      </c>
      <c r="Y18" s="1081">
        <v>47</v>
      </c>
      <c r="Z18" s="1081">
        <v>46</v>
      </c>
      <c r="AA18" s="1081">
        <v>62</v>
      </c>
      <c r="AB18" s="1081">
        <v>55</v>
      </c>
      <c r="AC18" s="1081">
        <v>50</v>
      </c>
      <c r="AD18" s="1081">
        <v>57</v>
      </c>
      <c r="AE18" s="1081">
        <v>59</v>
      </c>
      <c r="AF18" s="1081">
        <v>84</v>
      </c>
      <c r="AG18" s="1081">
        <v>64</v>
      </c>
      <c r="AH18" s="1081">
        <v>71</v>
      </c>
      <c r="AI18" s="1081">
        <v>64</v>
      </c>
      <c r="AJ18" s="1081">
        <v>60</v>
      </c>
      <c r="AK18" s="1303">
        <v>54</v>
      </c>
      <c r="AL18" s="1665">
        <f>'Non-marital births'!H18</f>
        <v>81</v>
      </c>
      <c r="AM18" s="1666">
        <v>74</v>
      </c>
      <c r="AN18" s="1667">
        <v>81</v>
      </c>
      <c r="AO18" s="1532"/>
      <c r="AP18" s="1088">
        <f t="shared" si="15"/>
        <v>0.22330097087378642</v>
      </c>
      <c r="AQ18" s="1089">
        <f t="shared" si="1"/>
        <v>0.1798780487804878</v>
      </c>
      <c r="AR18" s="1089">
        <f t="shared" si="2"/>
        <v>0.15064102564102563</v>
      </c>
      <c r="AS18" s="1089">
        <f t="shared" si="3"/>
        <v>0.18181818181818182</v>
      </c>
      <c r="AT18" s="1089">
        <f t="shared" si="4"/>
        <v>0.20875420875420875</v>
      </c>
      <c r="AU18" s="1089">
        <f t="shared" si="5"/>
        <v>0.17857142857142858</v>
      </c>
      <c r="AV18" s="1089">
        <f t="shared" si="6"/>
        <v>0.19379844961240311</v>
      </c>
      <c r="AW18" s="1089">
        <f t="shared" si="7"/>
        <v>0.21509433962264152</v>
      </c>
      <c r="AX18" s="1089">
        <f t="shared" si="8"/>
        <v>0.21223021582733814</v>
      </c>
      <c r="AY18" s="1089">
        <f t="shared" si="9"/>
        <v>0.27272727272727271</v>
      </c>
      <c r="AZ18" s="1089">
        <f t="shared" si="10"/>
        <v>0.24150943396226415</v>
      </c>
      <c r="BA18" s="1089">
        <f t="shared" si="11"/>
        <v>0.27099236641221375</v>
      </c>
      <c r="BB18" s="1089">
        <f t="shared" si="12"/>
        <v>0.26337448559670784</v>
      </c>
      <c r="BC18" s="1089">
        <f t="shared" si="13"/>
        <v>0.27149321266968324</v>
      </c>
      <c r="BD18" s="1296">
        <f t="shared" si="14"/>
        <v>0.24107142857142858</v>
      </c>
      <c r="BE18" s="1298">
        <f>'Non-marital births'!L18</f>
        <v>0.34913793103448276</v>
      </c>
      <c r="BF18" s="1654">
        <v>0.3135593220338983</v>
      </c>
      <c r="BG18" s="1656">
        <f t="shared" si="16"/>
        <v>0.34913793103448276</v>
      </c>
    </row>
    <row r="19" spans="1:59" s="142" customFormat="1" ht="15.75" customHeight="1" x14ac:dyDescent="0.2">
      <c r="A19" s="149" t="s">
        <v>34</v>
      </c>
      <c r="B19" s="186" t="s">
        <v>35</v>
      </c>
      <c r="C19" s="150" t="s">
        <v>268</v>
      </c>
      <c r="D19" s="1057">
        <v>188</v>
      </c>
      <c r="E19" s="1058">
        <v>221</v>
      </c>
      <c r="F19" s="1059">
        <v>211</v>
      </c>
      <c r="G19" s="1058">
        <v>194</v>
      </c>
      <c r="H19" s="1059">
        <v>190</v>
      </c>
      <c r="I19" s="1058">
        <v>162</v>
      </c>
      <c r="J19" s="1059">
        <v>209</v>
      </c>
      <c r="K19" s="1058">
        <v>185</v>
      </c>
      <c r="L19" s="1072">
        <v>205</v>
      </c>
      <c r="M19" s="1072">
        <v>219</v>
      </c>
      <c r="N19" s="1072">
        <v>217</v>
      </c>
      <c r="O19" s="1072">
        <v>218</v>
      </c>
      <c r="P19" s="1073">
        <v>208</v>
      </c>
      <c r="Q19" s="1073">
        <v>143</v>
      </c>
      <c r="R19" s="1300">
        <v>173</v>
      </c>
      <c r="S19" s="1660">
        <f>'Non-marital births'!D103</f>
        <v>205</v>
      </c>
      <c r="T19" s="1663">
        <v>158</v>
      </c>
      <c r="U19" s="1664">
        <v>205</v>
      </c>
      <c r="V19" s="1531"/>
      <c r="W19" s="1080">
        <v>58</v>
      </c>
      <c r="X19" s="1081">
        <v>69</v>
      </c>
      <c r="Y19" s="1081">
        <v>67</v>
      </c>
      <c r="Z19" s="1081">
        <v>71</v>
      </c>
      <c r="AA19" s="1081">
        <v>73</v>
      </c>
      <c r="AB19" s="1081">
        <v>60</v>
      </c>
      <c r="AC19" s="1081">
        <v>80</v>
      </c>
      <c r="AD19" s="1081">
        <v>85</v>
      </c>
      <c r="AE19" s="1081">
        <v>82</v>
      </c>
      <c r="AF19" s="1081">
        <v>104</v>
      </c>
      <c r="AG19" s="1081">
        <v>103</v>
      </c>
      <c r="AH19" s="1081">
        <v>127</v>
      </c>
      <c r="AI19" s="1081">
        <v>112</v>
      </c>
      <c r="AJ19" s="1081">
        <v>66</v>
      </c>
      <c r="AK19" s="1303">
        <v>96</v>
      </c>
      <c r="AL19" s="1665">
        <f>'Non-marital births'!H103</f>
        <v>97</v>
      </c>
      <c r="AM19" s="1666">
        <v>76</v>
      </c>
      <c r="AN19" s="1667">
        <v>97</v>
      </c>
      <c r="AO19" s="1532"/>
      <c r="AP19" s="1088">
        <f t="shared" si="15"/>
        <v>0.30851063829787234</v>
      </c>
      <c r="AQ19" s="1089">
        <f t="shared" si="1"/>
        <v>0.31221719457013575</v>
      </c>
      <c r="AR19" s="1089">
        <f t="shared" si="2"/>
        <v>0.31753554502369669</v>
      </c>
      <c r="AS19" s="1089">
        <f t="shared" si="3"/>
        <v>0.36597938144329895</v>
      </c>
      <c r="AT19" s="1089">
        <f t="shared" si="4"/>
        <v>0.38421052631578945</v>
      </c>
      <c r="AU19" s="1089">
        <f t="shared" si="5"/>
        <v>0.37037037037037035</v>
      </c>
      <c r="AV19" s="1089">
        <f t="shared" si="6"/>
        <v>0.38277511961722488</v>
      </c>
      <c r="AW19" s="1089">
        <f t="shared" si="7"/>
        <v>0.45945945945945948</v>
      </c>
      <c r="AX19" s="1089">
        <f t="shared" si="8"/>
        <v>0.4</v>
      </c>
      <c r="AY19" s="1089">
        <f t="shared" si="9"/>
        <v>0.47488584474885842</v>
      </c>
      <c r="AZ19" s="1089">
        <f t="shared" si="10"/>
        <v>0.47465437788018433</v>
      </c>
      <c r="BA19" s="1089">
        <f t="shared" si="11"/>
        <v>0.58256880733944949</v>
      </c>
      <c r="BB19" s="1089">
        <f t="shared" si="12"/>
        <v>0.53846153846153844</v>
      </c>
      <c r="BC19" s="1089">
        <f t="shared" si="13"/>
        <v>0.46153846153846156</v>
      </c>
      <c r="BD19" s="1296">
        <f t="shared" si="14"/>
        <v>0.55491329479768781</v>
      </c>
      <c r="BE19" s="1298">
        <f>'Non-marital births'!L103</f>
        <v>0.47317073170731705</v>
      </c>
      <c r="BF19" s="1654">
        <v>0.48101265822784811</v>
      </c>
      <c r="BG19" s="1656">
        <f t="shared" si="16"/>
        <v>0.47317073170731705</v>
      </c>
    </row>
    <row r="20" spans="1:59" s="142" customFormat="1" ht="15.75" customHeight="1" x14ac:dyDescent="0.2">
      <c r="A20" s="149" t="s">
        <v>36</v>
      </c>
      <c r="B20" s="186" t="s">
        <v>37</v>
      </c>
      <c r="C20" s="150" t="s">
        <v>264</v>
      </c>
      <c r="D20" s="1057">
        <v>179</v>
      </c>
      <c r="E20" s="1058">
        <v>176</v>
      </c>
      <c r="F20" s="1059">
        <v>185</v>
      </c>
      <c r="G20" s="1058">
        <v>191</v>
      </c>
      <c r="H20" s="1059">
        <v>179</v>
      </c>
      <c r="I20" s="1058">
        <v>170</v>
      </c>
      <c r="J20" s="1059">
        <v>173</v>
      </c>
      <c r="K20" s="1058">
        <v>165</v>
      </c>
      <c r="L20" s="1072">
        <v>174</v>
      </c>
      <c r="M20" s="1072">
        <v>175</v>
      </c>
      <c r="N20" s="1072">
        <v>191</v>
      </c>
      <c r="O20" s="1072">
        <v>163</v>
      </c>
      <c r="P20" s="1073">
        <v>162</v>
      </c>
      <c r="Q20" s="1073">
        <v>141</v>
      </c>
      <c r="R20" s="1300">
        <v>159</v>
      </c>
      <c r="S20" s="1660">
        <f>'Non-marital births'!D19</f>
        <v>142</v>
      </c>
      <c r="T20" s="1663">
        <v>146</v>
      </c>
      <c r="U20" s="1664">
        <v>142</v>
      </c>
      <c r="V20" s="1531"/>
      <c r="W20" s="1080">
        <v>109</v>
      </c>
      <c r="X20" s="1081">
        <v>100</v>
      </c>
      <c r="Y20" s="1081">
        <v>109</v>
      </c>
      <c r="Z20" s="1081">
        <v>116</v>
      </c>
      <c r="AA20" s="1081">
        <v>99</v>
      </c>
      <c r="AB20" s="1081">
        <v>100</v>
      </c>
      <c r="AC20" s="1081">
        <v>110</v>
      </c>
      <c r="AD20" s="1081">
        <v>103</v>
      </c>
      <c r="AE20" s="1081">
        <v>103</v>
      </c>
      <c r="AF20" s="1081">
        <v>115</v>
      </c>
      <c r="AG20" s="1081">
        <v>128</v>
      </c>
      <c r="AH20" s="1081">
        <v>102</v>
      </c>
      <c r="AI20" s="1081">
        <v>104</v>
      </c>
      <c r="AJ20" s="1081">
        <v>90</v>
      </c>
      <c r="AK20" s="1303">
        <v>100</v>
      </c>
      <c r="AL20" s="1665">
        <f>'Non-marital births'!H19</f>
        <v>103</v>
      </c>
      <c r="AM20" s="1666">
        <v>97</v>
      </c>
      <c r="AN20" s="1667">
        <v>103</v>
      </c>
      <c r="AO20" s="1532"/>
      <c r="AP20" s="1088">
        <f t="shared" si="15"/>
        <v>0.60893854748603349</v>
      </c>
      <c r="AQ20" s="1089">
        <f t="shared" si="1"/>
        <v>0.56818181818181823</v>
      </c>
      <c r="AR20" s="1089">
        <f t="shared" si="2"/>
        <v>0.58918918918918917</v>
      </c>
      <c r="AS20" s="1089">
        <f t="shared" si="3"/>
        <v>0.60732984293193715</v>
      </c>
      <c r="AT20" s="1089">
        <f t="shared" si="4"/>
        <v>0.55307262569832405</v>
      </c>
      <c r="AU20" s="1089">
        <f t="shared" si="5"/>
        <v>0.58823529411764708</v>
      </c>
      <c r="AV20" s="1089">
        <f t="shared" si="6"/>
        <v>0.63583815028901736</v>
      </c>
      <c r="AW20" s="1089">
        <f t="shared" si="7"/>
        <v>0.62424242424242427</v>
      </c>
      <c r="AX20" s="1089">
        <f t="shared" si="8"/>
        <v>0.59195402298850575</v>
      </c>
      <c r="AY20" s="1089">
        <f t="shared" si="9"/>
        <v>0.65714285714285714</v>
      </c>
      <c r="AZ20" s="1089">
        <f t="shared" si="10"/>
        <v>0.67015706806282727</v>
      </c>
      <c r="BA20" s="1089">
        <f t="shared" si="11"/>
        <v>0.62576687116564422</v>
      </c>
      <c r="BB20" s="1089">
        <f t="shared" si="12"/>
        <v>0.64197530864197527</v>
      </c>
      <c r="BC20" s="1089">
        <f t="shared" si="13"/>
        <v>0.63829787234042556</v>
      </c>
      <c r="BD20" s="1296">
        <f t="shared" si="14"/>
        <v>0.62893081761006286</v>
      </c>
      <c r="BE20" s="1298">
        <f>'Non-marital births'!L19</f>
        <v>0.72535211267605637</v>
      </c>
      <c r="BF20" s="1654">
        <v>0.66438356164383561</v>
      </c>
      <c r="BG20" s="1656">
        <f t="shared" si="16"/>
        <v>0.72535211267605637</v>
      </c>
    </row>
    <row r="21" spans="1:59" s="142" customFormat="1" ht="15.75" customHeight="1" x14ac:dyDescent="0.2">
      <c r="A21" s="149" t="s">
        <v>38</v>
      </c>
      <c r="B21" s="186" t="s">
        <v>39</v>
      </c>
      <c r="C21" s="150" t="s">
        <v>268</v>
      </c>
      <c r="D21" s="1057">
        <v>281</v>
      </c>
      <c r="E21" s="1058">
        <v>270</v>
      </c>
      <c r="F21" s="1059">
        <v>259</v>
      </c>
      <c r="G21" s="1058">
        <v>248</v>
      </c>
      <c r="H21" s="1059">
        <v>234</v>
      </c>
      <c r="I21" s="1058">
        <v>240</v>
      </c>
      <c r="J21" s="1059">
        <v>238</v>
      </c>
      <c r="K21" s="1058">
        <v>234</v>
      </c>
      <c r="L21" s="1072">
        <v>208</v>
      </c>
      <c r="M21" s="1072">
        <v>202</v>
      </c>
      <c r="N21" s="1072">
        <v>251</v>
      </c>
      <c r="O21" s="1072">
        <v>207</v>
      </c>
      <c r="P21" s="1073">
        <v>218</v>
      </c>
      <c r="Q21" s="1073">
        <v>216</v>
      </c>
      <c r="R21" s="1300">
        <v>209</v>
      </c>
      <c r="S21" s="1660">
        <f>'Non-marital births'!D20</f>
        <v>163</v>
      </c>
      <c r="T21" s="1663">
        <v>183</v>
      </c>
      <c r="U21" s="1664">
        <v>163</v>
      </c>
      <c r="V21" s="1531"/>
      <c r="W21" s="1080">
        <v>89</v>
      </c>
      <c r="X21" s="1081">
        <v>73</v>
      </c>
      <c r="Y21" s="1081">
        <v>84</v>
      </c>
      <c r="Z21" s="1081">
        <v>75</v>
      </c>
      <c r="AA21" s="1081">
        <v>63</v>
      </c>
      <c r="AB21" s="1081">
        <v>71</v>
      </c>
      <c r="AC21" s="1081">
        <v>68</v>
      </c>
      <c r="AD21" s="1081">
        <v>67</v>
      </c>
      <c r="AE21" s="1081">
        <v>56</v>
      </c>
      <c r="AF21" s="1081">
        <v>79</v>
      </c>
      <c r="AG21" s="1081">
        <v>74</v>
      </c>
      <c r="AH21" s="1081">
        <v>74</v>
      </c>
      <c r="AI21" s="1081">
        <v>76</v>
      </c>
      <c r="AJ21" s="1081">
        <v>72</v>
      </c>
      <c r="AK21" s="1303">
        <v>67</v>
      </c>
      <c r="AL21" s="1665">
        <f>'Non-marital births'!H20</f>
        <v>55</v>
      </c>
      <c r="AM21" s="1666">
        <v>70</v>
      </c>
      <c r="AN21" s="1667">
        <v>55</v>
      </c>
      <c r="AO21" s="1532"/>
      <c r="AP21" s="1088">
        <f t="shared" si="15"/>
        <v>0.31672597864768681</v>
      </c>
      <c r="AQ21" s="1089">
        <f t="shared" si="1"/>
        <v>0.27037037037037037</v>
      </c>
      <c r="AR21" s="1089">
        <f t="shared" si="2"/>
        <v>0.32432432432432434</v>
      </c>
      <c r="AS21" s="1089">
        <f t="shared" si="3"/>
        <v>0.30241935483870969</v>
      </c>
      <c r="AT21" s="1089">
        <f t="shared" si="4"/>
        <v>0.26923076923076922</v>
      </c>
      <c r="AU21" s="1089">
        <f t="shared" si="5"/>
        <v>0.29583333333333334</v>
      </c>
      <c r="AV21" s="1089">
        <f t="shared" si="6"/>
        <v>0.2857142857142857</v>
      </c>
      <c r="AW21" s="1089">
        <f t="shared" si="7"/>
        <v>0.28632478632478631</v>
      </c>
      <c r="AX21" s="1089">
        <f t="shared" si="8"/>
        <v>0.26923076923076922</v>
      </c>
      <c r="AY21" s="1089">
        <f t="shared" si="9"/>
        <v>0.3910891089108911</v>
      </c>
      <c r="AZ21" s="1089">
        <f t="shared" si="10"/>
        <v>0.29482071713147412</v>
      </c>
      <c r="BA21" s="1089">
        <f t="shared" si="11"/>
        <v>0.35748792270531399</v>
      </c>
      <c r="BB21" s="1089">
        <f t="shared" si="12"/>
        <v>0.34862385321100919</v>
      </c>
      <c r="BC21" s="1089">
        <f t="shared" si="13"/>
        <v>0.33333333333333331</v>
      </c>
      <c r="BD21" s="1296">
        <f t="shared" si="14"/>
        <v>0.32057416267942584</v>
      </c>
      <c r="BE21" s="1298">
        <f>'Non-marital births'!L20</f>
        <v>0.33742331288343558</v>
      </c>
      <c r="BF21" s="1654">
        <v>0.38251366120218577</v>
      </c>
      <c r="BG21" s="1656">
        <f t="shared" si="16"/>
        <v>0.33742331288343558</v>
      </c>
    </row>
    <row r="22" spans="1:59" s="142" customFormat="1" ht="15.75" customHeight="1" x14ac:dyDescent="0.2">
      <c r="A22" s="149" t="s">
        <v>40</v>
      </c>
      <c r="B22" s="186" t="s">
        <v>41</v>
      </c>
      <c r="C22" s="150" t="s">
        <v>266</v>
      </c>
      <c r="D22" s="1057">
        <v>143</v>
      </c>
      <c r="E22" s="1058">
        <v>111</v>
      </c>
      <c r="F22" s="1059">
        <v>96</v>
      </c>
      <c r="G22" s="1058">
        <v>126</v>
      </c>
      <c r="H22" s="1059">
        <v>160</v>
      </c>
      <c r="I22" s="1058">
        <v>153</v>
      </c>
      <c r="J22" s="1059">
        <v>161</v>
      </c>
      <c r="K22" s="1058">
        <v>139</v>
      </c>
      <c r="L22" s="1072">
        <v>163</v>
      </c>
      <c r="M22" s="1072">
        <v>206</v>
      </c>
      <c r="N22" s="1072">
        <v>184</v>
      </c>
      <c r="O22" s="1072">
        <v>191</v>
      </c>
      <c r="P22" s="1073">
        <v>164</v>
      </c>
      <c r="Q22" s="1073">
        <v>160</v>
      </c>
      <c r="R22" s="1300">
        <v>177</v>
      </c>
      <c r="S22" s="1660">
        <f>'Non-marital births'!D21</f>
        <v>128</v>
      </c>
      <c r="T22" s="1663">
        <v>150</v>
      </c>
      <c r="U22" s="1664">
        <v>128</v>
      </c>
      <c r="V22" s="1531"/>
      <c r="W22" s="1080">
        <v>55</v>
      </c>
      <c r="X22" s="1081">
        <v>56</v>
      </c>
      <c r="Y22" s="1081">
        <v>45</v>
      </c>
      <c r="Z22" s="1081">
        <v>56</v>
      </c>
      <c r="AA22" s="1081">
        <v>74</v>
      </c>
      <c r="AB22" s="1081">
        <v>65</v>
      </c>
      <c r="AC22" s="1081">
        <v>76</v>
      </c>
      <c r="AD22" s="1081">
        <v>60</v>
      </c>
      <c r="AE22" s="1081">
        <v>86</v>
      </c>
      <c r="AF22" s="1081">
        <v>105</v>
      </c>
      <c r="AG22" s="1081">
        <v>93</v>
      </c>
      <c r="AH22" s="1081">
        <v>101</v>
      </c>
      <c r="AI22" s="1081">
        <v>90</v>
      </c>
      <c r="AJ22" s="1081">
        <v>88</v>
      </c>
      <c r="AK22" s="1303">
        <v>93</v>
      </c>
      <c r="AL22" s="1665">
        <f>'Non-marital births'!H21</f>
        <v>65</v>
      </c>
      <c r="AM22" s="1666">
        <v>78</v>
      </c>
      <c r="AN22" s="1667">
        <v>65</v>
      </c>
      <c r="AO22" s="1532"/>
      <c r="AP22" s="1088">
        <f t="shared" si="15"/>
        <v>0.38461538461538464</v>
      </c>
      <c r="AQ22" s="1089">
        <f t="shared" si="1"/>
        <v>0.50450450450450446</v>
      </c>
      <c r="AR22" s="1089">
        <f t="shared" si="2"/>
        <v>0.46875</v>
      </c>
      <c r="AS22" s="1089">
        <f t="shared" si="3"/>
        <v>0.44444444444444442</v>
      </c>
      <c r="AT22" s="1089">
        <f t="shared" si="4"/>
        <v>0.46250000000000002</v>
      </c>
      <c r="AU22" s="1089">
        <f t="shared" si="5"/>
        <v>0.42483660130718953</v>
      </c>
      <c r="AV22" s="1089">
        <f t="shared" si="6"/>
        <v>0.47204968944099379</v>
      </c>
      <c r="AW22" s="1089">
        <f t="shared" si="7"/>
        <v>0.43165467625899279</v>
      </c>
      <c r="AX22" s="1089">
        <f t="shared" si="8"/>
        <v>0.52760736196319014</v>
      </c>
      <c r="AY22" s="1089">
        <f t="shared" si="9"/>
        <v>0.50970873786407767</v>
      </c>
      <c r="AZ22" s="1089">
        <f t="shared" si="10"/>
        <v>0.50543478260869568</v>
      </c>
      <c r="BA22" s="1089">
        <f t="shared" si="11"/>
        <v>0.52879581151832455</v>
      </c>
      <c r="BB22" s="1089">
        <f t="shared" si="12"/>
        <v>0.54878048780487809</v>
      </c>
      <c r="BC22" s="1089">
        <f t="shared" si="13"/>
        <v>0.55000000000000004</v>
      </c>
      <c r="BD22" s="1296">
        <f t="shared" si="14"/>
        <v>0.52542372881355937</v>
      </c>
      <c r="BE22" s="1298">
        <f>'Non-marital births'!L21</f>
        <v>0.5078125</v>
      </c>
      <c r="BF22" s="1654">
        <v>0.52</v>
      </c>
      <c r="BG22" s="1656">
        <f t="shared" si="16"/>
        <v>0.5078125</v>
      </c>
    </row>
    <row r="23" spans="1:59" s="142" customFormat="1" ht="15.75" customHeight="1" x14ac:dyDescent="0.2">
      <c r="A23" s="149" t="s">
        <v>42</v>
      </c>
      <c r="B23" s="186" t="s">
        <v>43</v>
      </c>
      <c r="C23" s="150" t="s">
        <v>265</v>
      </c>
      <c r="D23" s="1057">
        <v>668</v>
      </c>
      <c r="E23" s="1058">
        <v>661</v>
      </c>
      <c r="F23" s="1059">
        <v>664</v>
      </c>
      <c r="G23" s="1058">
        <v>585</v>
      </c>
      <c r="H23" s="1059">
        <v>616</v>
      </c>
      <c r="I23" s="1058">
        <v>582</v>
      </c>
      <c r="J23" s="1059">
        <v>574</v>
      </c>
      <c r="K23" s="1058">
        <v>565</v>
      </c>
      <c r="L23" s="1072">
        <v>515</v>
      </c>
      <c r="M23" s="1072">
        <v>549</v>
      </c>
      <c r="N23" s="1072">
        <v>593</v>
      </c>
      <c r="O23" s="1072">
        <v>514</v>
      </c>
      <c r="P23" s="1073">
        <v>485</v>
      </c>
      <c r="Q23" s="1073">
        <v>539</v>
      </c>
      <c r="R23" s="1300">
        <v>480</v>
      </c>
      <c r="S23" s="1660">
        <f>'Non-marital births'!D22</f>
        <v>530</v>
      </c>
      <c r="T23" s="1663">
        <v>436</v>
      </c>
      <c r="U23" s="1664">
        <v>530</v>
      </c>
      <c r="V23" s="1531"/>
      <c r="W23" s="1080">
        <v>222</v>
      </c>
      <c r="X23" s="1081">
        <v>217</v>
      </c>
      <c r="Y23" s="1081">
        <v>212</v>
      </c>
      <c r="Z23" s="1081">
        <v>201</v>
      </c>
      <c r="AA23" s="1081">
        <v>200</v>
      </c>
      <c r="AB23" s="1081">
        <v>193</v>
      </c>
      <c r="AC23" s="1081">
        <v>185</v>
      </c>
      <c r="AD23" s="1081">
        <v>205</v>
      </c>
      <c r="AE23" s="1081">
        <v>180</v>
      </c>
      <c r="AF23" s="1081">
        <v>221</v>
      </c>
      <c r="AG23" s="1081">
        <v>227</v>
      </c>
      <c r="AH23" s="1081">
        <v>182</v>
      </c>
      <c r="AI23" s="1081">
        <v>183</v>
      </c>
      <c r="AJ23" s="1081">
        <v>206</v>
      </c>
      <c r="AK23" s="1303">
        <v>164</v>
      </c>
      <c r="AL23" s="1665">
        <f>'Non-marital births'!H22</f>
        <v>219</v>
      </c>
      <c r="AM23" s="1666">
        <v>160</v>
      </c>
      <c r="AN23" s="1667">
        <v>219</v>
      </c>
      <c r="AO23" s="1532"/>
      <c r="AP23" s="1088">
        <f t="shared" si="15"/>
        <v>0.33233532934131738</v>
      </c>
      <c r="AQ23" s="1089">
        <f t="shared" si="1"/>
        <v>0.32829046898638425</v>
      </c>
      <c r="AR23" s="1089">
        <f t="shared" si="2"/>
        <v>0.31927710843373491</v>
      </c>
      <c r="AS23" s="1089">
        <f t="shared" si="3"/>
        <v>0.34358974358974359</v>
      </c>
      <c r="AT23" s="1089">
        <f t="shared" si="4"/>
        <v>0.32467532467532467</v>
      </c>
      <c r="AU23" s="1089">
        <f t="shared" si="5"/>
        <v>0.33161512027491408</v>
      </c>
      <c r="AV23" s="1089">
        <f t="shared" si="6"/>
        <v>0.32229965156794427</v>
      </c>
      <c r="AW23" s="1089">
        <f t="shared" si="7"/>
        <v>0.36283185840707965</v>
      </c>
      <c r="AX23" s="1089">
        <f t="shared" si="8"/>
        <v>0.34951456310679613</v>
      </c>
      <c r="AY23" s="1089">
        <f t="shared" si="9"/>
        <v>0.40255009107468126</v>
      </c>
      <c r="AZ23" s="1089">
        <f t="shared" si="10"/>
        <v>0.38279932546374368</v>
      </c>
      <c r="BA23" s="1089">
        <f t="shared" si="11"/>
        <v>0.35408560311284049</v>
      </c>
      <c r="BB23" s="1089">
        <f t="shared" si="12"/>
        <v>0.37731958762886597</v>
      </c>
      <c r="BC23" s="1089">
        <f t="shared" si="13"/>
        <v>0.38218923933209648</v>
      </c>
      <c r="BD23" s="1296">
        <f t="shared" si="14"/>
        <v>0.34166666666666667</v>
      </c>
      <c r="BE23" s="1298">
        <f>'Non-marital births'!L22</f>
        <v>0.41320754716981134</v>
      </c>
      <c r="BF23" s="1654">
        <v>0.3669724770642202</v>
      </c>
      <c r="BG23" s="1656">
        <f t="shared" si="16"/>
        <v>0.41320754716981134</v>
      </c>
    </row>
    <row r="24" spans="1:59" s="142" customFormat="1" ht="15.75" customHeight="1" x14ac:dyDescent="0.2">
      <c r="A24" s="149" t="s">
        <v>44</v>
      </c>
      <c r="B24" s="186" t="s">
        <v>45</v>
      </c>
      <c r="C24" s="150" t="s">
        <v>266</v>
      </c>
      <c r="D24" s="1057">
        <v>304</v>
      </c>
      <c r="E24" s="1058">
        <v>280</v>
      </c>
      <c r="F24" s="1059">
        <v>267</v>
      </c>
      <c r="G24" s="1058">
        <v>275</v>
      </c>
      <c r="H24" s="1059">
        <v>283</v>
      </c>
      <c r="I24" s="1058">
        <v>311</v>
      </c>
      <c r="J24" s="1059">
        <v>318</v>
      </c>
      <c r="K24" s="1058">
        <v>351</v>
      </c>
      <c r="L24" s="1072">
        <v>409</v>
      </c>
      <c r="M24" s="1072">
        <v>416</v>
      </c>
      <c r="N24" s="1072">
        <v>389</v>
      </c>
      <c r="O24" s="1072">
        <v>397</v>
      </c>
      <c r="P24" s="1073">
        <v>363</v>
      </c>
      <c r="Q24" s="1073">
        <v>394</v>
      </c>
      <c r="R24" s="1300">
        <v>389</v>
      </c>
      <c r="S24" s="1660">
        <f>'Non-marital births'!D23</f>
        <v>384</v>
      </c>
      <c r="T24" s="1663">
        <v>396</v>
      </c>
      <c r="U24" s="1664">
        <v>384</v>
      </c>
      <c r="V24" s="1531"/>
      <c r="W24" s="1080">
        <v>118</v>
      </c>
      <c r="X24" s="1081">
        <v>112</v>
      </c>
      <c r="Y24" s="1081">
        <v>116</v>
      </c>
      <c r="Z24" s="1081">
        <v>114</v>
      </c>
      <c r="AA24" s="1081">
        <v>123</v>
      </c>
      <c r="AB24" s="1081">
        <v>125</v>
      </c>
      <c r="AC24" s="1081">
        <v>132</v>
      </c>
      <c r="AD24" s="1081">
        <v>137</v>
      </c>
      <c r="AE24" s="1081">
        <v>160</v>
      </c>
      <c r="AF24" s="1081">
        <v>160</v>
      </c>
      <c r="AG24" s="1081">
        <v>160</v>
      </c>
      <c r="AH24" s="1081">
        <v>167</v>
      </c>
      <c r="AI24" s="1081">
        <v>144</v>
      </c>
      <c r="AJ24" s="1081">
        <v>178</v>
      </c>
      <c r="AK24" s="1303">
        <v>178</v>
      </c>
      <c r="AL24" s="1665">
        <f>'Non-marital births'!H23</f>
        <v>156</v>
      </c>
      <c r="AM24" s="1666">
        <v>148</v>
      </c>
      <c r="AN24" s="1667">
        <v>156</v>
      </c>
      <c r="AO24" s="1532"/>
      <c r="AP24" s="1088">
        <f t="shared" si="15"/>
        <v>0.38815789473684209</v>
      </c>
      <c r="AQ24" s="1089">
        <f t="shared" si="1"/>
        <v>0.4</v>
      </c>
      <c r="AR24" s="1089">
        <f t="shared" si="2"/>
        <v>0.43445692883895132</v>
      </c>
      <c r="AS24" s="1089">
        <f t="shared" si="3"/>
        <v>0.41454545454545455</v>
      </c>
      <c r="AT24" s="1089">
        <f t="shared" si="4"/>
        <v>0.43462897526501765</v>
      </c>
      <c r="AU24" s="1089">
        <f t="shared" si="5"/>
        <v>0.40192926045016075</v>
      </c>
      <c r="AV24" s="1089">
        <f t="shared" si="6"/>
        <v>0.41509433962264153</v>
      </c>
      <c r="AW24" s="1089">
        <f t="shared" si="7"/>
        <v>0.3903133903133903</v>
      </c>
      <c r="AX24" s="1089">
        <f t="shared" si="8"/>
        <v>0.39119804400977998</v>
      </c>
      <c r="AY24" s="1089">
        <f t="shared" si="9"/>
        <v>0.38461538461538464</v>
      </c>
      <c r="AZ24" s="1089">
        <f t="shared" si="10"/>
        <v>0.41131105398457585</v>
      </c>
      <c r="BA24" s="1089">
        <f t="shared" si="11"/>
        <v>0.42065491183879095</v>
      </c>
      <c r="BB24" s="1089">
        <f t="shared" si="12"/>
        <v>0.39669421487603307</v>
      </c>
      <c r="BC24" s="1089">
        <f t="shared" si="13"/>
        <v>0.45177664974619292</v>
      </c>
      <c r="BD24" s="1296">
        <f t="shared" si="14"/>
        <v>0.45758354755784064</v>
      </c>
      <c r="BE24" s="1298">
        <f>'Non-marital births'!L23</f>
        <v>0.40625</v>
      </c>
      <c r="BF24" s="1654">
        <v>0.37373737373737376</v>
      </c>
      <c r="BG24" s="1656">
        <f t="shared" si="16"/>
        <v>0.40625</v>
      </c>
    </row>
    <row r="25" spans="1:59" s="142" customFormat="1" ht="15.75" customHeight="1" x14ac:dyDescent="0.2">
      <c r="A25" s="149" t="s">
        <v>46</v>
      </c>
      <c r="B25" s="186" t="s">
        <v>47</v>
      </c>
      <c r="C25" s="150" t="s">
        <v>268</v>
      </c>
      <c r="D25" s="1057">
        <v>254</v>
      </c>
      <c r="E25" s="1058">
        <v>288</v>
      </c>
      <c r="F25" s="1059">
        <v>259</v>
      </c>
      <c r="G25" s="1058">
        <v>274</v>
      </c>
      <c r="H25" s="1059">
        <v>296</v>
      </c>
      <c r="I25" s="1058">
        <v>284</v>
      </c>
      <c r="J25" s="1059">
        <v>286</v>
      </c>
      <c r="K25" s="1058">
        <v>280</v>
      </c>
      <c r="L25" s="1072">
        <v>311</v>
      </c>
      <c r="M25" s="1072">
        <v>302</v>
      </c>
      <c r="N25" s="1072">
        <v>289</v>
      </c>
      <c r="O25" s="1072">
        <v>288</v>
      </c>
      <c r="P25" s="1073">
        <v>222</v>
      </c>
      <c r="Q25" s="1073">
        <v>237</v>
      </c>
      <c r="R25" s="1300">
        <v>279</v>
      </c>
      <c r="S25" s="1660">
        <f>'Non-marital births'!D24</f>
        <v>267</v>
      </c>
      <c r="T25" s="1663">
        <v>269</v>
      </c>
      <c r="U25" s="1664">
        <v>267</v>
      </c>
      <c r="V25" s="1531"/>
      <c r="W25" s="1080">
        <v>52</v>
      </c>
      <c r="X25" s="1081">
        <v>77</v>
      </c>
      <c r="Y25" s="1081">
        <v>74</v>
      </c>
      <c r="Z25" s="1081">
        <v>61</v>
      </c>
      <c r="AA25" s="1081">
        <v>80</v>
      </c>
      <c r="AB25" s="1081">
        <v>84</v>
      </c>
      <c r="AC25" s="1081">
        <v>81</v>
      </c>
      <c r="AD25" s="1081">
        <v>74</v>
      </c>
      <c r="AE25" s="1081">
        <v>103</v>
      </c>
      <c r="AF25" s="1081">
        <v>107</v>
      </c>
      <c r="AG25" s="1081">
        <v>97</v>
      </c>
      <c r="AH25" s="1081">
        <v>116</v>
      </c>
      <c r="AI25" s="1081">
        <v>93</v>
      </c>
      <c r="AJ25" s="1081">
        <v>86</v>
      </c>
      <c r="AK25" s="1303">
        <v>111</v>
      </c>
      <c r="AL25" s="1665">
        <f>'Non-marital births'!H24</f>
        <v>88</v>
      </c>
      <c r="AM25" s="1666">
        <v>120</v>
      </c>
      <c r="AN25" s="1667">
        <v>88</v>
      </c>
      <c r="AO25" s="1532"/>
      <c r="AP25" s="1088">
        <f t="shared" si="15"/>
        <v>0.20472440944881889</v>
      </c>
      <c r="AQ25" s="1089">
        <f t="shared" si="1"/>
        <v>0.2673611111111111</v>
      </c>
      <c r="AR25" s="1089">
        <f t="shared" si="2"/>
        <v>0.2857142857142857</v>
      </c>
      <c r="AS25" s="1089">
        <f t="shared" si="3"/>
        <v>0.22262773722627738</v>
      </c>
      <c r="AT25" s="1089">
        <f t="shared" si="4"/>
        <v>0.27027027027027029</v>
      </c>
      <c r="AU25" s="1089">
        <f t="shared" si="5"/>
        <v>0.29577464788732394</v>
      </c>
      <c r="AV25" s="1089">
        <f t="shared" si="6"/>
        <v>0.28321678321678323</v>
      </c>
      <c r="AW25" s="1089">
        <f t="shared" si="7"/>
        <v>0.26428571428571429</v>
      </c>
      <c r="AX25" s="1089">
        <f t="shared" si="8"/>
        <v>0.3311897106109325</v>
      </c>
      <c r="AY25" s="1089">
        <f t="shared" si="9"/>
        <v>0.35430463576158938</v>
      </c>
      <c r="AZ25" s="1089">
        <f t="shared" si="10"/>
        <v>0.33564013840830448</v>
      </c>
      <c r="BA25" s="1089">
        <f t="shared" si="11"/>
        <v>0.40277777777777779</v>
      </c>
      <c r="BB25" s="1089">
        <f t="shared" si="12"/>
        <v>0.41891891891891891</v>
      </c>
      <c r="BC25" s="1089">
        <f t="shared" si="13"/>
        <v>0.3628691983122363</v>
      </c>
      <c r="BD25" s="1296">
        <f t="shared" si="14"/>
        <v>0.39784946236559138</v>
      </c>
      <c r="BE25" s="1298">
        <f>'Non-marital births'!L24</f>
        <v>0.32958801498127338</v>
      </c>
      <c r="BF25" s="1654">
        <v>0.44609665427509293</v>
      </c>
      <c r="BG25" s="1656">
        <f t="shared" si="16"/>
        <v>0.32958801498127338</v>
      </c>
    </row>
    <row r="26" spans="1:59" s="142" customFormat="1" ht="15.75" customHeight="1" x14ac:dyDescent="0.2">
      <c r="A26" s="149" t="s">
        <v>48</v>
      </c>
      <c r="B26" s="186" t="s">
        <v>269</v>
      </c>
      <c r="C26" s="150" t="s">
        <v>266</v>
      </c>
      <c r="D26" s="1057">
        <v>87</v>
      </c>
      <c r="E26" s="1058">
        <v>77</v>
      </c>
      <c r="F26" s="1059">
        <v>73</v>
      </c>
      <c r="G26" s="1058">
        <v>66</v>
      </c>
      <c r="H26" s="1059">
        <v>78</v>
      </c>
      <c r="I26" s="1058">
        <v>67</v>
      </c>
      <c r="J26" s="1059">
        <v>68</v>
      </c>
      <c r="K26" s="1058">
        <v>79</v>
      </c>
      <c r="L26" s="1072">
        <v>62</v>
      </c>
      <c r="M26" s="1072">
        <v>56</v>
      </c>
      <c r="N26" s="1072">
        <v>76</v>
      </c>
      <c r="O26" s="1072">
        <v>46</v>
      </c>
      <c r="P26" s="1073">
        <v>55</v>
      </c>
      <c r="Q26" s="1073">
        <v>48</v>
      </c>
      <c r="R26" s="1300">
        <v>53</v>
      </c>
      <c r="S26" s="1660">
        <f>'Non-marital births'!D25</f>
        <v>53</v>
      </c>
      <c r="T26" s="1663">
        <v>63</v>
      </c>
      <c r="U26" s="1664">
        <v>53</v>
      </c>
      <c r="V26" s="1531"/>
      <c r="W26" s="1080">
        <v>36</v>
      </c>
      <c r="X26" s="1081">
        <v>41</v>
      </c>
      <c r="Y26" s="1081">
        <v>37</v>
      </c>
      <c r="Z26" s="1081">
        <v>39</v>
      </c>
      <c r="AA26" s="1081">
        <v>32</v>
      </c>
      <c r="AB26" s="1081">
        <v>31</v>
      </c>
      <c r="AC26" s="1081">
        <v>38</v>
      </c>
      <c r="AD26" s="1081">
        <v>40</v>
      </c>
      <c r="AE26" s="1081">
        <v>39</v>
      </c>
      <c r="AF26" s="1081">
        <v>23</v>
      </c>
      <c r="AG26" s="1081">
        <v>44</v>
      </c>
      <c r="AH26" s="1081">
        <v>31</v>
      </c>
      <c r="AI26" s="1081">
        <v>28</v>
      </c>
      <c r="AJ26" s="1081">
        <v>28</v>
      </c>
      <c r="AK26" s="1303">
        <v>30</v>
      </c>
      <c r="AL26" s="1665">
        <f>'Non-marital births'!H25</f>
        <v>28</v>
      </c>
      <c r="AM26" s="1666">
        <v>36</v>
      </c>
      <c r="AN26" s="1667">
        <v>28</v>
      </c>
      <c r="AO26" s="1532"/>
      <c r="AP26" s="1088">
        <f t="shared" si="15"/>
        <v>0.41379310344827586</v>
      </c>
      <c r="AQ26" s="1089">
        <f t="shared" si="1"/>
        <v>0.53246753246753242</v>
      </c>
      <c r="AR26" s="1089">
        <f t="shared" si="2"/>
        <v>0.50684931506849318</v>
      </c>
      <c r="AS26" s="1089">
        <f t="shared" si="3"/>
        <v>0.59090909090909094</v>
      </c>
      <c r="AT26" s="1089">
        <f t="shared" si="4"/>
        <v>0.41025641025641024</v>
      </c>
      <c r="AU26" s="1089">
        <f t="shared" si="5"/>
        <v>0.46268656716417911</v>
      </c>
      <c r="AV26" s="1089">
        <f t="shared" si="6"/>
        <v>0.55882352941176472</v>
      </c>
      <c r="AW26" s="1089">
        <f t="shared" si="7"/>
        <v>0.50632911392405067</v>
      </c>
      <c r="AX26" s="1089">
        <f t="shared" si="8"/>
        <v>0.62903225806451613</v>
      </c>
      <c r="AY26" s="1089">
        <f t="shared" si="9"/>
        <v>0.4107142857142857</v>
      </c>
      <c r="AZ26" s="1089">
        <f t="shared" si="10"/>
        <v>0.57894736842105265</v>
      </c>
      <c r="BA26" s="1089">
        <f t="shared" si="11"/>
        <v>0.67391304347826086</v>
      </c>
      <c r="BB26" s="1089">
        <f t="shared" si="12"/>
        <v>0.50909090909090904</v>
      </c>
      <c r="BC26" s="1089">
        <f t="shared" si="13"/>
        <v>0.58333333333333337</v>
      </c>
      <c r="BD26" s="1296">
        <f t="shared" si="14"/>
        <v>0.56603773584905659</v>
      </c>
      <c r="BE26" s="1298">
        <f>'Non-marital births'!L25</f>
        <v>0.52830188679245282</v>
      </c>
      <c r="BF26" s="1654">
        <v>0.5714285714285714</v>
      </c>
      <c r="BG26" s="1656">
        <f t="shared" si="16"/>
        <v>0.52830188679245282</v>
      </c>
    </row>
    <row r="27" spans="1:59" s="142" customFormat="1" ht="15.75" customHeight="1" x14ac:dyDescent="0.2">
      <c r="A27" s="149" t="s">
        <v>50</v>
      </c>
      <c r="B27" s="186" t="s">
        <v>51</v>
      </c>
      <c r="C27" s="150" t="s">
        <v>265</v>
      </c>
      <c r="D27" s="1057">
        <v>150</v>
      </c>
      <c r="E27" s="1058">
        <v>161</v>
      </c>
      <c r="F27" s="1059">
        <v>158</v>
      </c>
      <c r="G27" s="1058">
        <v>158</v>
      </c>
      <c r="H27" s="1059">
        <v>145</v>
      </c>
      <c r="I27" s="1058">
        <v>130</v>
      </c>
      <c r="J27" s="1059">
        <v>150</v>
      </c>
      <c r="K27" s="1058">
        <v>138</v>
      </c>
      <c r="L27" s="1072">
        <v>122</v>
      </c>
      <c r="M27" s="1072">
        <v>129</v>
      </c>
      <c r="N27" s="1072">
        <v>170</v>
      </c>
      <c r="O27" s="1072">
        <v>129</v>
      </c>
      <c r="P27" s="1073">
        <v>112</v>
      </c>
      <c r="Q27" s="1073">
        <v>153</v>
      </c>
      <c r="R27" s="1300">
        <v>143</v>
      </c>
      <c r="S27" s="1660">
        <f>'Non-marital births'!D26</f>
        <v>145</v>
      </c>
      <c r="T27" s="1663">
        <v>149</v>
      </c>
      <c r="U27" s="1664">
        <v>145</v>
      </c>
      <c r="V27" s="1531"/>
      <c r="W27" s="1080">
        <v>62</v>
      </c>
      <c r="X27" s="1081">
        <v>62</v>
      </c>
      <c r="Y27" s="1081">
        <v>55</v>
      </c>
      <c r="Z27" s="1081">
        <v>60</v>
      </c>
      <c r="AA27" s="1081">
        <v>51</v>
      </c>
      <c r="AB27" s="1081">
        <v>51</v>
      </c>
      <c r="AC27" s="1081">
        <v>68</v>
      </c>
      <c r="AD27" s="1081">
        <v>64</v>
      </c>
      <c r="AE27" s="1081">
        <v>49</v>
      </c>
      <c r="AF27" s="1081">
        <v>58</v>
      </c>
      <c r="AG27" s="1081">
        <v>83</v>
      </c>
      <c r="AH27" s="1081">
        <v>52</v>
      </c>
      <c r="AI27" s="1081">
        <v>52</v>
      </c>
      <c r="AJ27" s="1081">
        <v>69</v>
      </c>
      <c r="AK27" s="1303">
        <v>54</v>
      </c>
      <c r="AL27" s="1665">
        <f>'Non-marital births'!H26</f>
        <v>62</v>
      </c>
      <c r="AM27" s="1666">
        <v>66</v>
      </c>
      <c r="AN27" s="1667">
        <v>62</v>
      </c>
      <c r="AO27" s="1532"/>
      <c r="AP27" s="1088">
        <f t="shared" si="15"/>
        <v>0.41333333333333333</v>
      </c>
      <c r="AQ27" s="1089">
        <f t="shared" si="1"/>
        <v>0.38509316770186336</v>
      </c>
      <c r="AR27" s="1089">
        <f t="shared" si="2"/>
        <v>0.34810126582278483</v>
      </c>
      <c r="AS27" s="1089">
        <f t="shared" si="3"/>
        <v>0.379746835443038</v>
      </c>
      <c r="AT27" s="1089">
        <f t="shared" si="4"/>
        <v>0.35172413793103446</v>
      </c>
      <c r="AU27" s="1089">
        <f t="shared" si="5"/>
        <v>0.3923076923076923</v>
      </c>
      <c r="AV27" s="1089">
        <f t="shared" si="6"/>
        <v>0.45333333333333331</v>
      </c>
      <c r="AW27" s="1089">
        <f t="shared" si="7"/>
        <v>0.46376811594202899</v>
      </c>
      <c r="AX27" s="1089">
        <f t="shared" si="8"/>
        <v>0.40163934426229508</v>
      </c>
      <c r="AY27" s="1089">
        <f t="shared" si="9"/>
        <v>0.44961240310077522</v>
      </c>
      <c r="AZ27" s="1089">
        <f t="shared" si="10"/>
        <v>0.48823529411764705</v>
      </c>
      <c r="BA27" s="1089">
        <f t="shared" si="11"/>
        <v>0.40310077519379844</v>
      </c>
      <c r="BB27" s="1089">
        <f t="shared" si="12"/>
        <v>0.4642857142857143</v>
      </c>
      <c r="BC27" s="1089">
        <f t="shared" si="13"/>
        <v>0.45098039215686275</v>
      </c>
      <c r="BD27" s="1296">
        <f t="shared" si="14"/>
        <v>0.3776223776223776</v>
      </c>
      <c r="BE27" s="1298">
        <f>'Non-marital births'!L26</f>
        <v>0.42758620689655175</v>
      </c>
      <c r="BF27" s="1654">
        <v>0.44295302013422821</v>
      </c>
      <c r="BG27" s="1656">
        <f t="shared" si="16"/>
        <v>0.42758620689655175</v>
      </c>
    </row>
    <row r="28" spans="1:59" s="142" customFormat="1" ht="15.75" customHeight="1" x14ac:dyDescent="0.2">
      <c r="A28" s="149" t="s">
        <v>52</v>
      </c>
      <c r="B28" s="186" t="s">
        <v>53</v>
      </c>
      <c r="C28" s="150" t="s">
        <v>265</v>
      </c>
      <c r="D28" s="1057">
        <v>471</v>
      </c>
      <c r="E28" s="1058">
        <v>489</v>
      </c>
      <c r="F28" s="1059">
        <v>550</v>
      </c>
      <c r="G28" s="1058">
        <v>494</v>
      </c>
      <c r="H28" s="1059">
        <v>491</v>
      </c>
      <c r="I28" s="1058">
        <v>531</v>
      </c>
      <c r="J28" s="1059">
        <v>472</v>
      </c>
      <c r="K28" s="1058">
        <v>525</v>
      </c>
      <c r="L28" s="1072">
        <v>498</v>
      </c>
      <c r="M28" s="1072">
        <v>546</v>
      </c>
      <c r="N28" s="1072">
        <v>597</v>
      </c>
      <c r="O28" s="1072">
        <v>571</v>
      </c>
      <c r="P28" s="1073">
        <v>548</v>
      </c>
      <c r="Q28" s="1073">
        <v>499</v>
      </c>
      <c r="R28" s="1300">
        <v>575</v>
      </c>
      <c r="S28" s="1660">
        <f>'Non-marital births'!D104</f>
        <v>576</v>
      </c>
      <c r="T28" s="1663">
        <v>625</v>
      </c>
      <c r="U28" s="1664">
        <v>576</v>
      </c>
      <c r="V28" s="1531"/>
      <c r="W28" s="1080">
        <v>192</v>
      </c>
      <c r="X28" s="1081">
        <v>196</v>
      </c>
      <c r="Y28" s="1081">
        <v>235</v>
      </c>
      <c r="Z28" s="1081">
        <v>186</v>
      </c>
      <c r="AA28" s="1081">
        <v>189</v>
      </c>
      <c r="AB28" s="1081">
        <v>190</v>
      </c>
      <c r="AC28" s="1081">
        <v>201</v>
      </c>
      <c r="AD28" s="1081">
        <v>218</v>
      </c>
      <c r="AE28" s="1081">
        <v>221</v>
      </c>
      <c r="AF28" s="1081">
        <v>260</v>
      </c>
      <c r="AG28" s="1081">
        <v>261</v>
      </c>
      <c r="AH28" s="1081">
        <v>240</v>
      </c>
      <c r="AI28" s="1081">
        <v>193</v>
      </c>
      <c r="AJ28" s="1081">
        <v>175</v>
      </c>
      <c r="AK28" s="1303">
        <v>192</v>
      </c>
      <c r="AL28" s="1665">
        <f>'Non-marital births'!H104</f>
        <v>177</v>
      </c>
      <c r="AM28" s="1666">
        <v>177</v>
      </c>
      <c r="AN28" s="1667">
        <v>177</v>
      </c>
      <c r="AO28" s="1532"/>
      <c r="AP28" s="1088">
        <f t="shared" si="15"/>
        <v>0.40764331210191085</v>
      </c>
      <c r="AQ28" s="1089">
        <f t="shared" si="1"/>
        <v>0.40081799591002043</v>
      </c>
      <c r="AR28" s="1089">
        <f t="shared" si="2"/>
        <v>0.42727272727272725</v>
      </c>
      <c r="AS28" s="1089">
        <f t="shared" si="3"/>
        <v>0.37651821862348178</v>
      </c>
      <c r="AT28" s="1089">
        <f t="shared" si="4"/>
        <v>0.38492871690427699</v>
      </c>
      <c r="AU28" s="1089">
        <f t="shared" si="5"/>
        <v>0.35781544256120529</v>
      </c>
      <c r="AV28" s="1089">
        <f t="shared" si="6"/>
        <v>0.42584745762711862</v>
      </c>
      <c r="AW28" s="1089">
        <f t="shared" si="7"/>
        <v>0.41523809523809524</v>
      </c>
      <c r="AX28" s="1089">
        <f t="shared" si="8"/>
        <v>0.44377510040160645</v>
      </c>
      <c r="AY28" s="1089">
        <f t="shared" si="9"/>
        <v>0.47619047619047616</v>
      </c>
      <c r="AZ28" s="1089">
        <f t="shared" si="10"/>
        <v>0.43718592964824121</v>
      </c>
      <c r="BA28" s="1089">
        <f t="shared" si="11"/>
        <v>0.42031523642732049</v>
      </c>
      <c r="BB28" s="1089">
        <f t="shared" si="12"/>
        <v>0.3521897810218978</v>
      </c>
      <c r="BC28" s="1089">
        <f t="shared" si="13"/>
        <v>0.35070140280561124</v>
      </c>
      <c r="BD28" s="1296">
        <f t="shared" si="14"/>
        <v>0.3339130434782609</v>
      </c>
      <c r="BE28" s="1298">
        <f>'Non-marital births'!L104</f>
        <v>0.30729166666666669</v>
      </c>
      <c r="BF28" s="1654">
        <v>0.28320000000000001</v>
      </c>
      <c r="BG28" s="1656">
        <f t="shared" si="16"/>
        <v>0.30729166666666669</v>
      </c>
    </row>
    <row r="29" spans="1:59" s="142" customFormat="1" ht="15.75" customHeight="1" x14ac:dyDescent="0.2">
      <c r="A29" s="149" t="s">
        <v>54</v>
      </c>
      <c r="B29" s="186" t="s">
        <v>55</v>
      </c>
      <c r="C29" s="150" t="s">
        <v>264</v>
      </c>
      <c r="D29" s="1057">
        <v>2818</v>
      </c>
      <c r="E29" s="1058">
        <v>2805</v>
      </c>
      <c r="F29" s="1059">
        <v>2834</v>
      </c>
      <c r="G29" s="1058">
        <v>2741</v>
      </c>
      <c r="H29" s="1059">
        <v>2744</v>
      </c>
      <c r="I29" s="1058">
        <v>2860</v>
      </c>
      <c r="J29" s="1059">
        <v>2975</v>
      </c>
      <c r="K29" s="1058">
        <v>2896</v>
      </c>
      <c r="L29" s="1072">
        <v>2920</v>
      </c>
      <c r="M29" s="1072">
        <v>2996</v>
      </c>
      <c r="N29" s="1072">
        <v>2892</v>
      </c>
      <c r="O29" s="1072">
        <v>2785</v>
      </c>
      <c r="P29" s="1073">
        <v>2830</v>
      </c>
      <c r="Q29" s="1073">
        <v>2748</v>
      </c>
      <c r="R29" s="1300">
        <v>2805</v>
      </c>
      <c r="S29" s="1660">
        <f>'Non-marital births'!D105</f>
        <v>2984</v>
      </c>
      <c r="T29" s="1663">
        <v>3016</v>
      </c>
      <c r="U29" s="1664">
        <v>2984</v>
      </c>
      <c r="V29" s="1531"/>
      <c r="W29" s="1080">
        <v>848</v>
      </c>
      <c r="X29" s="1081">
        <v>905</v>
      </c>
      <c r="Y29" s="1081">
        <v>877</v>
      </c>
      <c r="Z29" s="1081">
        <v>894</v>
      </c>
      <c r="AA29" s="1081">
        <v>926</v>
      </c>
      <c r="AB29" s="1081">
        <v>940</v>
      </c>
      <c r="AC29" s="1081">
        <v>982</v>
      </c>
      <c r="AD29" s="1081">
        <v>939</v>
      </c>
      <c r="AE29" s="1081">
        <v>994</v>
      </c>
      <c r="AF29" s="1081">
        <v>1084</v>
      </c>
      <c r="AG29" s="1081">
        <v>1080</v>
      </c>
      <c r="AH29" s="1081">
        <v>1123</v>
      </c>
      <c r="AI29" s="1081">
        <v>1104</v>
      </c>
      <c r="AJ29" s="1081">
        <v>1077</v>
      </c>
      <c r="AK29" s="1303">
        <v>1053</v>
      </c>
      <c r="AL29" s="1665">
        <f>'Non-marital births'!H105</f>
        <v>1020</v>
      </c>
      <c r="AM29" s="1666">
        <v>1057</v>
      </c>
      <c r="AN29" s="1667">
        <v>1020</v>
      </c>
      <c r="AO29" s="1532"/>
      <c r="AP29" s="1088">
        <f t="shared" si="15"/>
        <v>0.30092264017033354</v>
      </c>
      <c r="AQ29" s="1089">
        <f t="shared" si="1"/>
        <v>0.32263814616755793</v>
      </c>
      <c r="AR29" s="1089">
        <f t="shared" si="2"/>
        <v>0.30945659844742412</v>
      </c>
      <c r="AS29" s="1089">
        <f t="shared" si="3"/>
        <v>0.32615833637358627</v>
      </c>
      <c r="AT29" s="1089">
        <f t="shared" si="4"/>
        <v>0.33746355685131196</v>
      </c>
      <c r="AU29" s="1089">
        <f t="shared" si="5"/>
        <v>0.32867132867132864</v>
      </c>
      <c r="AV29" s="1089">
        <f t="shared" si="6"/>
        <v>0.3300840336134454</v>
      </c>
      <c r="AW29" s="1089">
        <f t="shared" si="7"/>
        <v>0.32424033149171272</v>
      </c>
      <c r="AX29" s="1089">
        <f t="shared" si="8"/>
        <v>0.34041095890410961</v>
      </c>
      <c r="AY29" s="1089">
        <f t="shared" si="9"/>
        <v>0.36181575433911883</v>
      </c>
      <c r="AZ29" s="1089">
        <f t="shared" si="10"/>
        <v>0.37344398340248963</v>
      </c>
      <c r="BA29" s="1089">
        <f t="shared" si="11"/>
        <v>0.40323159784560142</v>
      </c>
      <c r="BB29" s="1089">
        <f t="shared" si="12"/>
        <v>0.39010600706713783</v>
      </c>
      <c r="BC29" s="1089">
        <f t="shared" si="13"/>
        <v>0.39192139737991266</v>
      </c>
      <c r="BD29" s="1296">
        <f t="shared" si="14"/>
        <v>0.3754010695187166</v>
      </c>
      <c r="BE29" s="1298">
        <f>'Non-marital births'!L105</f>
        <v>0.3418230563002681</v>
      </c>
      <c r="BF29" s="1654">
        <v>0.35046419098143233</v>
      </c>
      <c r="BG29" s="1656">
        <f t="shared" si="16"/>
        <v>0.3418230563002681</v>
      </c>
    </row>
    <row r="30" spans="1:59" s="142" customFormat="1" ht="15.75" customHeight="1" x14ac:dyDescent="0.2">
      <c r="A30" s="149" t="s">
        <v>56</v>
      </c>
      <c r="B30" s="186" t="s">
        <v>295</v>
      </c>
      <c r="C30" s="150" t="s">
        <v>266</v>
      </c>
      <c r="D30" s="1057">
        <v>3603</v>
      </c>
      <c r="E30" s="1058">
        <v>3414</v>
      </c>
      <c r="F30" s="1059">
        <v>3603</v>
      </c>
      <c r="G30" s="1058">
        <v>3548</v>
      </c>
      <c r="H30" s="1059">
        <v>3541</v>
      </c>
      <c r="I30" s="1058">
        <v>3740</v>
      </c>
      <c r="J30" s="1059">
        <v>3871</v>
      </c>
      <c r="K30" s="1058">
        <v>3890</v>
      </c>
      <c r="L30" s="1072">
        <v>4207</v>
      </c>
      <c r="M30" s="1072">
        <v>4138</v>
      </c>
      <c r="N30" s="1072">
        <v>3967</v>
      </c>
      <c r="O30" s="1072">
        <v>3998</v>
      </c>
      <c r="P30" s="1073">
        <v>3921</v>
      </c>
      <c r="Q30" s="1073">
        <v>3903</v>
      </c>
      <c r="R30" s="1300">
        <v>3919</v>
      </c>
      <c r="S30" s="1660">
        <f>'Non-marital births'!D27</f>
        <v>4100</v>
      </c>
      <c r="T30" s="1663">
        <v>4026</v>
      </c>
      <c r="U30" s="1664">
        <v>4100</v>
      </c>
      <c r="V30" s="1531"/>
      <c r="W30" s="1080">
        <v>832</v>
      </c>
      <c r="X30" s="1081">
        <v>808</v>
      </c>
      <c r="Y30" s="1081">
        <v>883</v>
      </c>
      <c r="Z30" s="1081">
        <v>901</v>
      </c>
      <c r="AA30" s="1081">
        <v>929</v>
      </c>
      <c r="AB30" s="1081">
        <v>996</v>
      </c>
      <c r="AC30" s="1081">
        <v>1064</v>
      </c>
      <c r="AD30" s="1081">
        <v>1126</v>
      </c>
      <c r="AE30" s="1081">
        <v>1240</v>
      </c>
      <c r="AF30" s="1081">
        <v>1289</v>
      </c>
      <c r="AG30" s="1081">
        <v>1293</v>
      </c>
      <c r="AH30" s="1081">
        <v>1361</v>
      </c>
      <c r="AI30" s="1081">
        <v>1374</v>
      </c>
      <c r="AJ30" s="1081">
        <v>1396</v>
      </c>
      <c r="AK30" s="1303">
        <v>1437</v>
      </c>
      <c r="AL30" s="1665">
        <f>'Non-marital births'!H27</f>
        <v>1463</v>
      </c>
      <c r="AM30" s="1666">
        <v>1432</v>
      </c>
      <c r="AN30" s="1667">
        <v>1463</v>
      </c>
      <c r="AO30" s="1532"/>
      <c r="AP30" s="1088">
        <f t="shared" si="15"/>
        <v>0.23091867887871217</v>
      </c>
      <c r="AQ30" s="1089">
        <f t="shared" si="1"/>
        <v>0.23667252489748097</v>
      </c>
      <c r="AR30" s="1089">
        <f t="shared" si="2"/>
        <v>0.24507354981959478</v>
      </c>
      <c r="AS30" s="1089">
        <f t="shared" si="3"/>
        <v>0.25394588500563697</v>
      </c>
      <c r="AT30" s="1089">
        <f t="shared" si="4"/>
        <v>0.26235526687376448</v>
      </c>
      <c r="AU30" s="1089">
        <f t="shared" si="5"/>
        <v>0.26631016042780747</v>
      </c>
      <c r="AV30" s="1089">
        <f t="shared" si="6"/>
        <v>0.27486437613019893</v>
      </c>
      <c r="AW30" s="1089">
        <f t="shared" si="7"/>
        <v>0.28946015424164523</v>
      </c>
      <c r="AX30" s="1089">
        <f t="shared" si="8"/>
        <v>0.29474685048728311</v>
      </c>
      <c r="AY30" s="1089">
        <f t="shared" si="9"/>
        <v>0.31150314161430642</v>
      </c>
      <c r="AZ30" s="1089">
        <f t="shared" si="10"/>
        <v>0.32593899672296445</v>
      </c>
      <c r="BA30" s="1089">
        <f t="shared" si="11"/>
        <v>0.34042021010505252</v>
      </c>
      <c r="BB30" s="1089">
        <f t="shared" si="12"/>
        <v>0.35042081101759753</v>
      </c>
      <c r="BC30" s="1089">
        <f t="shared" si="13"/>
        <v>0.35767358442223929</v>
      </c>
      <c r="BD30" s="1296">
        <f t="shared" si="14"/>
        <v>0.36667517223781576</v>
      </c>
      <c r="BE30" s="1298">
        <f>'Non-marital births'!L27</f>
        <v>0.35682926829268291</v>
      </c>
      <c r="BF30" s="1654">
        <v>0.35568802781917536</v>
      </c>
      <c r="BG30" s="1656">
        <f t="shared" si="16"/>
        <v>0.35682926829268291</v>
      </c>
    </row>
    <row r="31" spans="1:59" s="142" customFormat="1" ht="15.75" customHeight="1" x14ac:dyDescent="0.2">
      <c r="A31" s="149" t="s">
        <v>58</v>
      </c>
      <c r="B31" s="186" t="s">
        <v>59</v>
      </c>
      <c r="C31" s="150" t="s">
        <v>267</v>
      </c>
      <c r="D31" s="1057">
        <v>114</v>
      </c>
      <c r="E31" s="1058">
        <v>118</v>
      </c>
      <c r="F31" s="1059">
        <v>112</v>
      </c>
      <c r="G31" s="1058">
        <v>121</v>
      </c>
      <c r="H31" s="1059">
        <v>115</v>
      </c>
      <c r="I31" s="1058">
        <v>132</v>
      </c>
      <c r="J31" s="1059">
        <v>131</v>
      </c>
      <c r="K31" s="1058">
        <v>121</v>
      </c>
      <c r="L31" s="1072">
        <v>148</v>
      </c>
      <c r="M31" s="1072">
        <v>135</v>
      </c>
      <c r="N31" s="1072">
        <v>138</v>
      </c>
      <c r="O31" s="1072">
        <v>123</v>
      </c>
      <c r="P31" s="1073">
        <v>142</v>
      </c>
      <c r="Q31" s="1073">
        <v>126</v>
      </c>
      <c r="R31" s="1300">
        <v>140</v>
      </c>
      <c r="S31" s="1660">
        <f>'Non-marital births'!D28</f>
        <v>132</v>
      </c>
      <c r="T31" s="1663">
        <v>132</v>
      </c>
      <c r="U31" s="1664">
        <v>132</v>
      </c>
      <c r="V31" s="1531"/>
      <c r="W31" s="1080">
        <v>24</v>
      </c>
      <c r="X31" s="1081">
        <v>33</v>
      </c>
      <c r="Y31" s="1081">
        <v>27</v>
      </c>
      <c r="Z31" s="1081">
        <v>24</v>
      </c>
      <c r="AA31" s="1081">
        <v>26</v>
      </c>
      <c r="AB31" s="1081">
        <v>22</v>
      </c>
      <c r="AC31" s="1081">
        <v>25</v>
      </c>
      <c r="AD31" s="1081">
        <v>25</v>
      </c>
      <c r="AE31" s="1081">
        <v>32</v>
      </c>
      <c r="AF31" s="1081">
        <v>41</v>
      </c>
      <c r="AG31" s="1081">
        <v>38</v>
      </c>
      <c r="AH31" s="1081">
        <v>35</v>
      </c>
      <c r="AI31" s="1081">
        <v>41</v>
      </c>
      <c r="AJ31" s="1081">
        <v>47</v>
      </c>
      <c r="AK31" s="1303">
        <v>46</v>
      </c>
      <c r="AL31" s="1665">
        <f>'Non-marital births'!H28</f>
        <v>36</v>
      </c>
      <c r="AM31" s="1666">
        <v>34</v>
      </c>
      <c r="AN31" s="1667">
        <v>36</v>
      </c>
      <c r="AO31" s="1532"/>
      <c r="AP31" s="1088">
        <f t="shared" si="15"/>
        <v>0.21052631578947367</v>
      </c>
      <c r="AQ31" s="1089">
        <f t="shared" si="1"/>
        <v>0.27966101694915252</v>
      </c>
      <c r="AR31" s="1089">
        <f t="shared" si="2"/>
        <v>0.24107142857142858</v>
      </c>
      <c r="AS31" s="1089">
        <f t="shared" si="3"/>
        <v>0.19834710743801653</v>
      </c>
      <c r="AT31" s="1089">
        <f t="shared" si="4"/>
        <v>0.22608695652173913</v>
      </c>
      <c r="AU31" s="1089">
        <f t="shared" si="5"/>
        <v>0.16666666666666666</v>
      </c>
      <c r="AV31" s="1089">
        <f t="shared" si="6"/>
        <v>0.19083969465648856</v>
      </c>
      <c r="AW31" s="1089">
        <f t="shared" si="7"/>
        <v>0.20661157024793389</v>
      </c>
      <c r="AX31" s="1089">
        <f t="shared" si="8"/>
        <v>0.21621621621621623</v>
      </c>
      <c r="AY31" s="1089">
        <f t="shared" si="9"/>
        <v>0.3037037037037037</v>
      </c>
      <c r="AZ31" s="1089">
        <f t="shared" si="10"/>
        <v>0.27536231884057971</v>
      </c>
      <c r="BA31" s="1089">
        <f t="shared" si="11"/>
        <v>0.28455284552845528</v>
      </c>
      <c r="BB31" s="1089">
        <f t="shared" si="12"/>
        <v>0.28873239436619719</v>
      </c>
      <c r="BC31" s="1089">
        <f t="shared" si="13"/>
        <v>0.37301587301587302</v>
      </c>
      <c r="BD31" s="1296">
        <f t="shared" si="14"/>
        <v>0.32857142857142857</v>
      </c>
      <c r="BE31" s="1298">
        <f>'Non-marital births'!L28</f>
        <v>0.27272727272727271</v>
      </c>
      <c r="BF31" s="1654">
        <v>0.25757575757575757</v>
      </c>
      <c r="BG31" s="1656">
        <f t="shared" si="16"/>
        <v>0.27272727272727271</v>
      </c>
    </row>
    <row r="32" spans="1:59" s="142" customFormat="1" ht="15.75" customHeight="1" x14ac:dyDescent="0.2">
      <c r="A32" s="149" t="s">
        <v>60</v>
      </c>
      <c r="B32" s="186" t="s">
        <v>61</v>
      </c>
      <c r="C32" s="150" t="s">
        <v>265</v>
      </c>
      <c r="D32" s="1057">
        <v>45</v>
      </c>
      <c r="E32" s="1058">
        <v>54</v>
      </c>
      <c r="F32" s="1059">
        <v>58</v>
      </c>
      <c r="G32" s="1058">
        <v>61</v>
      </c>
      <c r="H32" s="1059">
        <v>49</v>
      </c>
      <c r="I32" s="1058">
        <v>55</v>
      </c>
      <c r="J32" s="1059">
        <v>43</v>
      </c>
      <c r="K32" s="1058">
        <v>46</v>
      </c>
      <c r="L32" s="1072">
        <v>48</v>
      </c>
      <c r="M32" s="1072">
        <v>40</v>
      </c>
      <c r="N32" s="1072">
        <v>38</v>
      </c>
      <c r="O32" s="1072">
        <v>50</v>
      </c>
      <c r="P32" s="1073">
        <v>33</v>
      </c>
      <c r="Q32" s="1073">
        <v>41</v>
      </c>
      <c r="R32" s="1300">
        <v>36</v>
      </c>
      <c r="S32" s="1660">
        <f>'Non-marital births'!D29</f>
        <v>44</v>
      </c>
      <c r="T32" s="1663">
        <v>37</v>
      </c>
      <c r="U32" s="1664">
        <v>44</v>
      </c>
      <c r="V32" s="1531"/>
      <c r="W32" s="1080">
        <v>8</v>
      </c>
      <c r="X32" s="1081">
        <v>9</v>
      </c>
      <c r="Y32" s="1081">
        <v>10</v>
      </c>
      <c r="Z32" s="1081">
        <v>16</v>
      </c>
      <c r="AA32" s="1081">
        <v>7</v>
      </c>
      <c r="AB32" s="1081">
        <v>12</v>
      </c>
      <c r="AC32" s="1081">
        <v>13</v>
      </c>
      <c r="AD32" s="1081">
        <v>4</v>
      </c>
      <c r="AE32" s="1081">
        <v>13</v>
      </c>
      <c r="AF32" s="1081">
        <v>9</v>
      </c>
      <c r="AG32" s="1081">
        <v>13</v>
      </c>
      <c r="AH32" s="1081">
        <v>17</v>
      </c>
      <c r="AI32" s="1081">
        <v>13</v>
      </c>
      <c r="AJ32" s="1081">
        <v>17</v>
      </c>
      <c r="AK32" s="1303">
        <v>14</v>
      </c>
      <c r="AL32" s="1665">
        <f>'Non-marital births'!H29</f>
        <v>13</v>
      </c>
      <c r="AM32" s="1666">
        <v>18</v>
      </c>
      <c r="AN32" s="1667">
        <v>13</v>
      </c>
      <c r="AO32" s="1532"/>
      <c r="AP32" s="1088">
        <f t="shared" si="15"/>
        <v>0.17777777777777778</v>
      </c>
      <c r="AQ32" s="1089">
        <f t="shared" si="1"/>
        <v>0.16666666666666666</v>
      </c>
      <c r="AR32" s="1089">
        <f t="shared" si="2"/>
        <v>0.17241379310344829</v>
      </c>
      <c r="AS32" s="1089">
        <f t="shared" si="3"/>
        <v>0.26229508196721313</v>
      </c>
      <c r="AT32" s="1089">
        <f t="shared" si="4"/>
        <v>0.14285714285714285</v>
      </c>
      <c r="AU32" s="1089">
        <f t="shared" si="5"/>
        <v>0.21818181818181817</v>
      </c>
      <c r="AV32" s="1089">
        <f t="shared" si="6"/>
        <v>0.30232558139534882</v>
      </c>
      <c r="AW32" s="1089">
        <f t="shared" si="7"/>
        <v>8.6956521739130432E-2</v>
      </c>
      <c r="AX32" s="1089">
        <f t="shared" si="8"/>
        <v>0.27083333333333331</v>
      </c>
      <c r="AY32" s="1089">
        <f t="shared" si="9"/>
        <v>0.22500000000000001</v>
      </c>
      <c r="AZ32" s="1089">
        <f t="shared" si="10"/>
        <v>0.34210526315789475</v>
      </c>
      <c r="BA32" s="1089">
        <f t="shared" si="11"/>
        <v>0.34</v>
      </c>
      <c r="BB32" s="1089">
        <f t="shared" si="12"/>
        <v>0.39393939393939392</v>
      </c>
      <c r="BC32" s="1089">
        <f t="shared" si="13"/>
        <v>0.41463414634146339</v>
      </c>
      <c r="BD32" s="1296">
        <f t="shared" si="14"/>
        <v>0.3888888888888889</v>
      </c>
      <c r="BE32" s="1298">
        <f>'Non-marital births'!L29</f>
        <v>0.29545454545454547</v>
      </c>
      <c r="BF32" s="1654">
        <v>0.48648648648648651</v>
      </c>
      <c r="BG32" s="1656">
        <f t="shared" si="16"/>
        <v>0.29545454545454547</v>
      </c>
    </row>
    <row r="33" spans="1:59" s="142" customFormat="1" ht="15.75" customHeight="1" x14ac:dyDescent="0.2">
      <c r="A33" s="149" t="s">
        <v>62</v>
      </c>
      <c r="B33" s="186" t="s">
        <v>63</v>
      </c>
      <c r="C33" s="150" t="s">
        <v>267</v>
      </c>
      <c r="D33" s="1057">
        <v>458</v>
      </c>
      <c r="E33" s="1058">
        <v>416</v>
      </c>
      <c r="F33" s="1059">
        <v>481</v>
      </c>
      <c r="G33" s="1058">
        <v>472</v>
      </c>
      <c r="H33" s="1059">
        <v>501</v>
      </c>
      <c r="I33" s="1058">
        <v>519</v>
      </c>
      <c r="J33" s="1059">
        <v>538</v>
      </c>
      <c r="K33" s="1058">
        <v>608</v>
      </c>
      <c r="L33" s="1072">
        <v>686</v>
      </c>
      <c r="M33" s="1072">
        <v>734</v>
      </c>
      <c r="N33" s="1072">
        <v>664</v>
      </c>
      <c r="O33" s="1072">
        <v>641</v>
      </c>
      <c r="P33" s="1073">
        <v>629</v>
      </c>
      <c r="Q33" s="1073">
        <v>627</v>
      </c>
      <c r="R33" s="1300">
        <v>654</v>
      </c>
      <c r="S33" s="1660">
        <f>'Non-marital births'!D30</f>
        <v>673</v>
      </c>
      <c r="T33" s="1663">
        <v>650</v>
      </c>
      <c r="U33" s="1664">
        <v>673</v>
      </c>
      <c r="V33" s="1531"/>
      <c r="W33" s="1080">
        <v>170</v>
      </c>
      <c r="X33" s="1081">
        <v>130</v>
      </c>
      <c r="Y33" s="1081">
        <v>174</v>
      </c>
      <c r="Z33" s="1081">
        <v>163</v>
      </c>
      <c r="AA33" s="1081">
        <v>173</v>
      </c>
      <c r="AB33" s="1081">
        <v>178</v>
      </c>
      <c r="AC33" s="1081">
        <v>179</v>
      </c>
      <c r="AD33" s="1081">
        <v>217</v>
      </c>
      <c r="AE33" s="1081">
        <v>253</v>
      </c>
      <c r="AF33" s="1081">
        <v>297</v>
      </c>
      <c r="AG33" s="1081">
        <v>281</v>
      </c>
      <c r="AH33" s="1081">
        <v>263</v>
      </c>
      <c r="AI33" s="1081">
        <v>252</v>
      </c>
      <c r="AJ33" s="1081">
        <v>276</v>
      </c>
      <c r="AK33" s="1303">
        <v>270</v>
      </c>
      <c r="AL33" s="1665">
        <f>'Non-marital births'!H30</f>
        <v>288</v>
      </c>
      <c r="AM33" s="1666">
        <v>267</v>
      </c>
      <c r="AN33" s="1667">
        <v>288</v>
      </c>
      <c r="AO33" s="1532"/>
      <c r="AP33" s="1088">
        <f t="shared" si="15"/>
        <v>0.37117903930131002</v>
      </c>
      <c r="AQ33" s="1089">
        <f t="shared" si="1"/>
        <v>0.3125</v>
      </c>
      <c r="AR33" s="1089">
        <f t="shared" si="2"/>
        <v>0.36174636174636177</v>
      </c>
      <c r="AS33" s="1089">
        <f t="shared" si="3"/>
        <v>0.34533898305084748</v>
      </c>
      <c r="AT33" s="1089">
        <f t="shared" si="4"/>
        <v>0.34530938123752497</v>
      </c>
      <c r="AU33" s="1089">
        <f t="shared" si="5"/>
        <v>0.34296724470134876</v>
      </c>
      <c r="AV33" s="1089">
        <f t="shared" si="6"/>
        <v>0.33271375464684017</v>
      </c>
      <c r="AW33" s="1089">
        <f t="shared" si="7"/>
        <v>0.35690789473684209</v>
      </c>
      <c r="AX33" s="1089">
        <f t="shared" si="8"/>
        <v>0.36880466472303208</v>
      </c>
      <c r="AY33" s="1089">
        <f t="shared" si="9"/>
        <v>0.40463215258855584</v>
      </c>
      <c r="AZ33" s="1089">
        <f t="shared" si="10"/>
        <v>0.42319277108433734</v>
      </c>
      <c r="BA33" s="1089">
        <f t="shared" si="11"/>
        <v>0.41029641185647425</v>
      </c>
      <c r="BB33" s="1089">
        <f t="shared" si="12"/>
        <v>0.40063593004769477</v>
      </c>
      <c r="BC33" s="1089">
        <f t="shared" si="13"/>
        <v>0.44019138755980863</v>
      </c>
      <c r="BD33" s="1296">
        <f t="shared" si="14"/>
        <v>0.41284403669724773</v>
      </c>
      <c r="BE33" s="1298">
        <f>'Non-marital births'!L30</f>
        <v>0.42793462109955421</v>
      </c>
      <c r="BF33" s="1654">
        <v>0.41076923076923078</v>
      </c>
      <c r="BG33" s="1656">
        <f t="shared" si="16"/>
        <v>0.42793462109955421</v>
      </c>
    </row>
    <row r="34" spans="1:59" s="142" customFormat="1" ht="15.75" customHeight="1" x14ac:dyDescent="0.2">
      <c r="A34" s="149" t="s">
        <v>64</v>
      </c>
      <c r="B34" s="186" t="s">
        <v>65</v>
      </c>
      <c r="C34" s="150" t="s">
        <v>266</v>
      </c>
      <c r="D34" s="1057">
        <v>106</v>
      </c>
      <c r="E34" s="1058">
        <v>83</v>
      </c>
      <c r="F34" s="1059">
        <v>90</v>
      </c>
      <c r="G34" s="1058">
        <v>107</v>
      </c>
      <c r="H34" s="1059">
        <v>101</v>
      </c>
      <c r="I34" s="1058">
        <v>100</v>
      </c>
      <c r="J34" s="1059">
        <v>99</v>
      </c>
      <c r="K34" s="1058">
        <v>121</v>
      </c>
      <c r="L34" s="1072">
        <v>110</v>
      </c>
      <c r="M34" s="1072">
        <v>119</v>
      </c>
      <c r="N34" s="1072">
        <v>103</v>
      </c>
      <c r="O34" s="1072">
        <v>118</v>
      </c>
      <c r="P34" s="1073">
        <v>103</v>
      </c>
      <c r="Q34" s="1073">
        <v>116</v>
      </c>
      <c r="R34" s="1300">
        <v>94</v>
      </c>
      <c r="S34" s="1660">
        <f>'Non-marital births'!D31</f>
        <v>86</v>
      </c>
      <c r="T34" s="1663">
        <v>89</v>
      </c>
      <c r="U34" s="1664">
        <v>86</v>
      </c>
      <c r="V34" s="1531"/>
      <c r="W34" s="1080">
        <v>42</v>
      </c>
      <c r="X34" s="1081">
        <v>29</v>
      </c>
      <c r="Y34" s="1081">
        <v>37</v>
      </c>
      <c r="Z34" s="1081">
        <v>49</v>
      </c>
      <c r="AA34" s="1081">
        <v>43</v>
      </c>
      <c r="AB34" s="1081">
        <v>41</v>
      </c>
      <c r="AC34" s="1081">
        <v>38</v>
      </c>
      <c r="AD34" s="1081">
        <v>59</v>
      </c>
      <c r="AE34" s="1081">
        <v>48</v>
      </c>
      <c r="AF34" s="1081">
        <v>46</v>
      </c>
      <c r="AG34" s="1081">
        <v>47</v>
      </c>
      <c r="AH34" s="1081">
        <v>54</v>
      </c>
      <c r="AI34" s="1081">
        <v>40</v>
      </c>
      <c r="AJ34" s="1081">
        <v>62</v>
      </c>
      <c r="AK34" s="1303">
        <v>47</v>
      </c>
      <c r="AL34" s="1665">
        <f>'Non-marital births'!H31</f>
        <v>42</v>
      </c>
      <c r="AM34" s="1666">
        <v>43</v>
      </c>
      <c r="AN34" s="1667">
        <v>42</v>
      </c>
      <c r="AO34" s="1532"/>
      <c r="AP34" s="1088">
        <f t="shared" si="15"/>
        <v>0.39622641509433965</v>
      </c>
      <c r="AQ34" s="1089">
        <f t="shared" si="1"/>
        <v>0.3493975903614458</v>
      </c>
      <c r="AR34" s="1089">
        <f t="shared" si="2"/>
        <v>0.41111111111111109</v>
      </c>
      <c r="AS34" s="1089">
        <f t="shared" si="3"/>
        <v>0.45794392523364486</v>
      </c>
      <c r="AT34" s="1089">
        <f t="shared" si="4"/>
        <v>0.42574257425742573</v>
      </c>
      <c r="AU34" s="1089">
        <f t="shared" si="5"/>
        <v>0.41</v>
      </c>
      <c r="AV34" s="1089">
        <f t="shared" si="6"/>
        <v>0.38383838383838381</v>
      </c>
      <c r="AW34" s="1089">
        <f t="shared" si="7"/>
        <v>0.48760330578512395</v>
      </c>
      <c r="AX34" s="1089">
        <f t="shared" si="8"/>
        <v>0.43636363636363634</v>
      </c>
      <c r="AY34" s="1089">
        <f t="shared" si="9"/>
        <v>0.38655462184873951</v>
      </c>
      <c r="AZ34" s="1089">
        <f t="shared" si="10"/>
        <v>0.4563106796116505</v>
      </c>
      <c r="BA34" s="1089">
        <f t="shared" si="11"/>
        <v>0.4576271186440678</v>
      </c>
      <c r="BB34" s="1089">
        <f t="shared" si="12"/>
        <v>0.38834951456310679</v>
      </c>
      <c r="BC34" s="1089">
        <f t="shared" si="13"/>
        <v>0.53448275862068961</v>
      </c>
      <c r="BD34" s="1296">
        <f t="shared" si="14"/>
        <v>0.5</v>
      </c>
      <c r="BE34" s="1298">
        <f>'Non-marital births'!L31</f>
        <v>0.48837209302325579</v>
      </c>
      <c r="BF34" s="1654">
        <v>0.48314606741573035</v>
      </c>
      <c r="BG34" s="1656">
        <f t="shared" si="16"/>
        <v>0.48837209302325579</v>
      </c>
    </row>
    <row r="35" spans="1:59" s="142" customFormat="1" ht="15.75" customHeight="1" x14ac:dyDescent="0.2">
      <c r="A35" s="149" t="s">
        <v>66</v>
      </c>
      <c r="B35" s="186" t="s">
        <v>67</v>
      </c>
      <c r="C35" s="150" t="s">
        <v>265</v>
      </c>
      <c r="D35" s="1057">
        <v>686</v>
      </c>
      <c r="E35" s="1058">
        <v>588</v>
      </c>
      <c r="F35" s="1059">
        <v>585</v>
      </c>
      <c r="G35" s="1058">
        <v>589</v>
      </c>
      <c r="H35" s="1059">
        <v>588</v>
      </c>
      <c r="I35" s="1058">
        <v>583</v>
      </c>
      <c r="J35" s="1059">
        <v>568</v>
      </c>
      <c r="K35" s="1058">
        <v>583</v>
      </c>
      <c r="L35" s="1072">
        <v>650</v>
      </c>
      <c r="M35" s="1072">
        <v>566</v>
      </c>
      <c r="N35" s="1072">
        <v>636</v>
      </c>
      <c r="O35" s="1072">
        <v>640</v>
      </c>
      <c r="P35" s="1073">
        <v>557</v>
      </c>
      <c r="Q35" s="1073">
        <v>585</v>
      </c>
      <c r="R35" s="1300">
        <v>601</v>
      </c>
      <c r="S35" s="1660">
        <f>'Non-marital births'!D106</f>
        <v>546</v>
      </c>
      <c r="T35" s="1663">
        <v>583</v>
      </c>
      <c r="U35" s="1664">
        <v>546</v>
      </c>
      <c r="V35" s="1531"/>
      <c r="W35" s="1080">
        <v>379</v>
      </c>
      <c r="X35" s="1081">
        <v>345</v>
      </c>
      <c r="Y35" s="1081">
        <v>325</v>
      </c>
      <c r="Z35" s="1081">
        <v>334</v>
      </c>
      <c r="AA35" s="1081">
        <v>345</v>
      </c>
      <c r="AB35" s="1081">
        <v>322</v>
      </c>
      <c r="AC35" s="1081">
        <v>350</v>
      </c>
      <c r="AD35" s="1081">
        <v>336</v>
      </c>
      <c r="AE35" s="1081">
        <v>404</v>
      </c>
      <c r="AF35" s="1081">
        <v>378</v>
      </c>
      <c r="AG35" s="1081">
        <v>412</v>
      </c>
      <c r="AH35" s="1081">
        <v>417</v>
      </c>
      <c r="AI35" s="1081">
        <v>369</v>
      </c>
      <c r="AJ35" s="1081">
        <v>370</v>
      </c>
      <c r="AK35" s="1303">
        <v>385</v>
      </c>
      <c r="AL35" s="1665">
        <f>'Non-marital births'!H106</f>
        <v>373</v>
      </c>
      <c r="AM35" s="1666">
        <v>380</v>
      </c>
      <c r="AN35" s="1667">
        <v>373</v>
      </c>
      <c r="AO35" s="1532"/>
      <c r="AP35" s="1088">
        <f t="shared" si="15"/>
        <v>0.55247813411078717</v>
      </c>
      <c r="AQ35" s="1089">
        <f t="shared" si="1"/>
        <v>0.58673469387755106</v>
      </c>
      <c r="AR35" s="1089">
        <f t="shared" si="2"/>
        <v>0.55555555555555558</v>
      </c>
      <c r="AS35" s="1089">
        <f t="shared" si="3"/>
        <v>0.56706281833616301</v>
      </c>
      <c r="AT35" s="1089">
        <f t="shared" si="4"/>
        <v>0.58673469387755106</v>
      </c>
      <c r="AU35" s="1089">
        <f t="shared" si="5"/>
        <v>0.55231560891938247</v>
      </c>
      <c r="AV35" s="1089">
        <f t="shared" si="6"/>
        <v>0.61619718309859151</v>
      </c>
      <c r="AW35" s="1089">
        <f t="shared" si="7"/>
        <v>0.57632933104631223</v>
      </c>
      <c r="AX35" s="1089">
        <f t="shared" si="8"/>
        <v>0.62153846153846148</v>
      </c>
      <c r="AY35" s="1089">
        <f t="shared" si="9"/>
        <v>0.66784452296819785</v>
      </c>
      <c r="AZ35" s="1089">
        <f t="shared" si="10"/>
        <v>0.64779874213836475</v>
      </c>
      <c r="BA35" s="1089">
        <f t="shared" si="11"/>
        <v>0.65156250000000004</v>
      </c>
      <c r="BB35" s="1089">
        <f t="shared" si="12"/>
        <v>0.66247755834829447</v>
      </c>
      <c r="BC35" s="1089">
        <f t="shared" si="13"/>
        <v>0.63247863247863245</v>
      </c>
      <c r="BD35" s="1296">
        <f t="shared" si="14"/>
        <v>0.6405990016638935</v>
      </c>
      <c r="BE35" s="1298">
        <f>'Non-marital births'!L106</f>
        <v>0.68315018315018317</v>
      </c>
      <c r="BF35" s="1654">
        <v>0.65180102915951976</v>
      </c>
      <c r="BG35" s="1656">
        <f t="shared" si="16"/>
        <v>0.68315018315018317</v>
      </c>
    </row>
    <row r="36" spans="1:59" s="142" customFormat="1" ht="15.75" customHeight="1" x14ac:dyDescent="0.2">
      <c r="A36" s="149" t="s">
        <v>68</v>
      </c>
      <c r="B36" s="186" t="s">
        <v>69</v>
      </c>
      <c r="C36" s="150" t="s">
        <v>268</v>
      </c>
      <c r="D36" s="1057">
        <v>176</v>
      </c>
      <c r="E36" s="1058">
        <v>162</v>
      </c>
      <c r="F36" s="1059">
        <v>143</v>
      </c>
      <c r="G36" s="1058">
        <v>136</v>
      </c>
      <c r="H36" s="1059">
        <v>166</v>
      </c>
      <c r="I36" s="1058">
        <v>178</v>
      </c>
      <c r="J36" s="1059">
        <v>163</v>
      </c>
      <c r="K36" s="1058">
        <v>173</v>
      </c>
      <c r="L36" s="1072">
        <v>186</v>
      </c>
      <c r="M36" s="1072">
        <v>203</v>
      </c>
      <c r="N36" s="1072">
        <v>164</v>
      </c>
      <c r="O36" s="1072">
        <v>158</v>
      </c>
      <c r="P36" s="1073">
        <v>170</v>
      </c>
      <c r="Q36" s="1073">
        <v>183</v>
      </c>
      <c r="R36" s="1300">
        <v>162</v>
      </c>
      <c r="S36" s="1660">
        <f>'Non-marital births'!D32</f>
        <v>128</v>
      </c>
      <c r="T36" s="1663">
        <v>145</v>
      </c>
      <c r="U36" s="1664">
        <v>128</v>
      </c>
      <c r="V36" s="1531"/>
      <c r="W36" s="1080">
        <v>49</v>
      </c>
      <c r="X36" s="1081">
        <v>33</v>
      </c>
      <c r="Y36" s="1081">
        <v>29</v>
      </c>
      <c r="Z36" s="1081">
        <v>31</v>
      </c>
      <c r="AA36" s="1081">
        <v>43</v>
      </c>
      <c r="AB36" s="1081">
        <v>37</v>
      </c>
      <c r="AC36" s="1081">
        <v>44</v>
      </c>
      <c r="AD36" s="1081">
        <v>52</v>
      </c>
      <c r="AE36" s="1081">
        <v>59</v>
      </c>
      <c r="AF36" s="1081">
        <v>63</v>
      </c>
      <c r="AG36" s="1081">
        <v>46</v>
      </c>
      <c r="AH36" s="1081">
        <v>53</v>
      </c>
      <c r="AI36" s="1081">
        <v>67</v>
      </c>
      <c r="AJ36" s="1081">
        <v>66</v>
      </c>
      <c r="AK36" s="1303">
        <v>50</v>
      </c>
      <c r="AL36" s="1665">
        <f>'Non-marital births'!H32</f>
        <v>53</v>
      </c>
      <c r="AM36" s="1666">
        <v>52</v>
      </c>
      <c r="AN36" s="1667">
        <v>53</v>
      </c>
      <c r="AO36" s="1532"/>
      <c r="AP36" s="1088">
        <f t="shared" si="15"/>
        <v>0.27840909090909088</v>
      </c>
      <c r="AQ36" s="1089">
        <f t="shared" si="1"/>
        <v>0.20370370370370369</v>
      </c>
      <c r="AR36" s="1089">
        <f t="shared" si="2"/>
        <v>0.20279720279720279</v>
      </c>
      <c r="AS36" s="1089">
        <f t="shared" si="3"/>
        <v>0.22794117647058823</v>
      </c>
      <c r="AT36" s="1089">
        <f t="shared" si="4"/>
        <v>0.25903614457831325</v>
      </c>
      <c r="AU36" s="1089">
        <f t="shared" si="5"/>
        <v>0.20786516853932585</v>
      </c>
      <c r="AV36" s="1089">
        <f t="shared" si="6"/>
        <v>0.26993865030674846</v>
      </c>
      <c r="AW36" s="1089">
        <f t="shared" si="7"/>
        <v>0.30057803468208094</v>
      </c>
      <c r="AX36" s="1089">
        <f t="shared" si="8"/>
        <v>0.31720430107526881</v>
      </c>
      <c r="AY36" s="1089">
        <f t="shared" si="9"/>
        <v>0.31034482758620691</v>
      </c>
      <c r="AZ36" s="1089">
        <f t="shared" si="10"/>
        <v>0.28048780487804881</v>
      </c>
      <c r="BA36" s="1089">
        <f t="shared" si="11"/>
        <v>0.33544303797468356</v>
      </c>
      <c r="BB36" s="1089">
        <f t="shared" si="12"/>
        <v>0.39411764705882352</v>
      </c>
      <c r="BC36" s="1089">
        <f t="shared" si="13"/>
        <v>0.36065573770491804</v>
      </c>
      <c r="BD36" s="1296">
        <f t="shared" si="14"/>
        <v>0.30864197530864196</v>
      </c>
      <c r="BE36" s="1298">
        <f>'Non-marital births'!L32</f>
        <v>0.4140625</v>
      </c>
      <c r="BF36" s="1654">
        <v>0.35862068965517241</v>
      </c>
      <c r="BG36" s="1656">
        <f t="shared" si="16"/>
        <v>0.4140625</v>
      </c>
    </row>
    <row r="37" spans="1:59" s="142" customFormat="1" ht="15.75" customHeight="1" x14ac:dyDescent="0.2">
      <c r="A37" s="149" t="s">
        <v>70</v>
      </c>
      <c r="B37" s="186" t="s">
        <v>71</v>
      </c>
      <c r="C37" s="150" t="s">
        <v>264</v>
      </c>
      <c r="D37" s="1057">
        <v>249</v>
      </c>
      <c r="E37" s="1058">
        <v>239</v>
      </c>
      <c r="F37" s="1059">
        <v>246</v>
      </c>
      <c r="G37" s="1058">
        <v>227</v>
      </c>
      <c r="H37" s="1059">
        <v>256</v>
      </c>
      <c r="I37" s="1058">
        <v>231</v>
      </c>
      <c r="J37" s="1059">
        <v>283</v>
      </c>
      <c r="K37" s="1058">
        <v>267</v>
      </c>
      <c r="L37" s="1072">
        <v>280</v>
      </c>
      <c r="M37" s="1072">
        <v>260</v>
      </c>
      <c r="N37" s="1072">
        <v>268</v>
      </c>
      <c r="O37" s="1072">
        <v>230</v>
      </c>
      <c r="P37" s="1073">
        <v>233</v>
      </c>
      <c r="Q37" s="1073">
        <v>248</v>
      </c>
      <c r="R37" s="1300">
        <v>258</v>
      </c>
      <c r="S37" s="1660">
        <f>'Non-marital births'!D33</f>
        <v>202</v>
      </c>
      <c r="T37" s="1663">
        <v>180</v>
      </c>
      <c r="U37" s="1664">
        <v>202</v>
      </c>
      <c r="V37" s="1531"/>
      <c r="W37" s="1080">
        <v>88</v>
      </c>
      <c r="X37" s="1081">
        <v>88</v>
      </c>
      <c r="Y37" s="1081">
        <v>97</v>
      </c>
      <c r="Z37" s="1081">
        <v>90</v>
      </c>
      <c r="AA37" s="1081">
        <v>90</v>
      </c>
      <c r="AB37" s="1081">
        <v>96</v>
      </c>
      <c r="AC37" s="1081">
        <v>103</v>
      </c>
      <c r="AD37" s="1081">
        <v>91</v>
      </c>
      <c r="AE37" s="1081">
        <v>122</v>
      </c>
      <c r="AF37" s="1081">
        <v>107</v>
      </c>
      <c r="AG37" s="1081">
        <v>112</v>
      </c>
      <c r="AH37" s="1081">
        <v>106</v>
      </c>
      <c r="AI37" s="1081">
        <v>114</v>
      </c>
      <c r="AJ37" s="1081">
        <v>117</v>
      </c>
      <c r="AK37" s="1303">
        <v>113</v>
      </c>
      <c r="AL37" s="1665">
        <f>'Non-marital births'!H33</f>
        <v>83</v>
      </c>
      <c r="AM37" s="1666">
        <v>86</v>
      </c>
      <c r="AN37" s="1667">
        <v>83</v>
      </c>
      <c r="AO37" s="1532"/>
      <c r="AP37" s="1088">
        <f t="shared" si="15"/>
        <v>0.3534136546184739</v>
      </c>
      <c r="AQ37" s="1089">
        <f t="shared" ref="AQ37:AQ68" si="17">X37/E37</f>
        <v>0.3682008368200837</v>
      </c>
      <c r="AR37" s="1089">
        <f t="shared" ref="AR37:AR68" si="18">Y37/F37</f>
        <v>0.39430894308943087</v>
      </c>
      <c r="AS37" s="1089">
        <f t="shared" ref="AS37:AS68" si="19">Z37/G37</f>
        <v>0.3964757709251101</v>
      </c>
      <c r="AT37" s="1089">
        <f t="shared" ref="AT37:AT68" si="20">AA37/H37</f>
        <v>0.3515625</v>
      </c>
      <c r="AU37" s="1089">
        <f t="shared" ref="AU37:AU68" si="21">AB37/I37</f>
        <v>0.41558441558441561</v>
      </c>
      <c r="AV37" s="1089">
        <f t="shared" ref="AV37:AV68" si="22">AC37/J37</f>
        <v>0.36395759717314485</v>
      </c>
      <c r="AW37" s="1089">
        <f t="shared" ref="AW37:AW68" si="23">AD37/K37</f>
        <v>0.34082397003745318</v>
      </c>
      <c r="AX37" s="1089">
        <f t="shared" ref="AX37:AX68" si="24">AE37/L37</f>
        <v>0.43571428571428572</v>
      </c>
      <c r="AY37" s="1089">
        <f t="shared" ref="AY37:AY68" si="25">AF37/M37</f>
        <v>0.41153846153846152</v>
      </c>
      <c r="AZ37" s="1089">
        <f t="shared" ref="AZ37:AZ68" si="26">AG37/N37</f>
        <v>0.41791044776119401</v>
      </c>
      <c r="BA37" s="1089">
        <f t="shared" ref="BA37:BA68" si="27">AH37/O37</f>
        <v>0.46086956521739131</v>
      </c>
      <c r="BB37" s="1089">
        <f t="shared" ref="BB37:BB68" si="28">AI37/P37</f>
        <v>0.48927038626609443</v>
      </c>
      <c r="BC37" s="1089">
        <f t="shared" ref="BC37:BC68" si="29">AJ37/Q37</f>
        <v>0.47177419354838712</v>
      </c>
      <c r="BD37" s="1296">
        <f t="shared" ref="BD37:BD68" si="30">AK37/R37</f>
        <v>0.43798449612403101</v>
      </c>
      <c r="BE37" s="1298">
        <f>'Non-marital births'!L33</f>
        <v>0.41089108910891087</v>
      </c>
      <c r="BF37" s="1654">
        <v>0.4777777777777778</v>
      </c>
      <c r="BG37" s="1656">
        <f t="shared" si="16"/>
        <v>0.41089108910891087</v>
      </c>
    </row>
    <row r="38" spans="1:59" s="142" customFormat="1" ht="15.75" customHeight="1" x14ac:dyDescent="0.2">
      <c r="A38" s="149" t="s">
        <v>72</v>
      </c>
      <c r="B38" s="186" t="s">
        <v>73</v>
      </c>
      <c r="C38" s="150" t="s">
        <v>266</v>
      </c>
      <c r="D38" s="1057">
        <v>110</v>
      </c>
      <c r="E38" s="1058">
        <v>106</v>
      </c>
      <c r="F38" s="1059">
        <v>120</v>
      </c>
      <c r="G38" s="1058">
        <v>110</v>
      </c>
      <c r="H38" s="1059">
        <v>120</v>
      </c>
      <c r="I38" s="1058">
        <v>111</v>
      </c>
      <c r="J38" s="1059">
        <v>136</v>
      </c>
      <c r="K38" s="1058">
        <v>126</v>
      </c>
      <c r="L38" s="1072">
        <v>113</v>
      </c>
      <c r="M38" s="1072">
        <v>137</v>
      </c>
      <c r="N38" s="1072">
        <v>150</v>
      </c>
      <c r="O38" s="1072">
        <v>150</v>
      </c>
      <c r="P38" s="1073">
        <v>142</v>
      </c>
      <c r="Q38" s="1073">
        <v>130</v>
      </c>
      <c r="R38" s="1300">
        <v>127</v>
      </c>
      <c r="S38" s="1660">
        <f>'Non-marital births'!D34</f>
        <v>127</v>
      </c>
      <c r="T38" s="1663">
        <v>124</v>
      </c>
      <c r="U38" s="1664">
        <v>127</v>
      </c>
      <c r="V38" s="1531"/>
      <c r="W38" s="1080">
        <v>51</v>
      </c>
      <c r="X38" s="1081">
        <v>48</v>
      </c>
      <c r="Y38" s="1081">
        <v>63</v>
      </c>
      <c r="Z38" s="1081">
        <v>54</v>
      </c>
      <c r="AA38" s="1081">
        <v>57</v>
      </c>
      <c r="AB38" s="1081">
        <v>64</v>
      </c>
      <c r="AC38" s="1081">
        <v>66</v>
      </c>
      <c r="AD38" s="1081">
        <v>59</v>
      </c>
      <c r="AE38" s="1081">
        <v>60</v>
      </c>
      <c r="AF38" s="1081">
        <v>71</v>
      </c>
      <c r="AG38" s="1081">
        <v>91</v>
      </c>
      <c r="AH38" s="1081">
        <v>81</v>
      </c>
      <c r="AI38" s="1081">
        <v>82</v>
      </c>
      <c r="AJ38" s="1081">
        <v>73</v>
      </c>
      <c r="AK38" s="1303">
        <v>78</v>
      </c>
      <c r="AL38" s="1665">
        <f>'Non-marital births'!H34</f>
        <v>71</v>
      </c>
      <c r="AM38" s="1666">
        <v>73</v>
      </c>
      <c r="AN38" s="1667">
        <v>71</v>
      </c>
      <c r="AO38" s="1532"/>
      <c r="AP38" s="1088">
        <f t="shared" ref="AP38:AP69" si="31">W38/D38</f>
        <v>0.46363636363636362</v>
      </c>
      <c r="AQ38" s="1089">
        <f t="shared" si="17"/>
        <v>0.45283018867924529</v>
      </c>
      <c r="AR38" s="1089">
        <f t="shared" si="18"/>
        <v>0.52500000000000002</v>
      </c>
      <c r="AS38" s="1089">
        <f t="shared" si="19"/>
        <v>0.49090909090909091</v>
      </c>
      <c r="AT38" s="1089">
        <f t="shared" si="20"/>
        <v>0.47499999999999998</v>
      </c>
      <c r="AU38" s="1089">
        <f t="shared" si="21"/>
        <v>0.57657657657657657</v>
      </c>
      <c r="AV38" s="1089">
        <f t="shared" si="22"/>
        <v>0.48529411764705882</v>
      </c>
      <c r="AW38" s="1089">
        <f t="shared" si="23"/>
        <v>0.46825396825396826</v>
      </c>
      <c r="AX38" s="1089">
        <f t="shared" si="24"/>
        <v>0.53097345132743368</v>
      </c>
      <c r="AY38" s="1089">
        <f t="shared" si="25"/>
        <v>0.51824817518248179</v>
      </c>
      <c r="AZ38" s="1089">
        <f t="shared" si="26"/>
        <v>0.60666666666666669</v>
      </c>
      <c r="BA38" s="1089">
        <f t="shared" si="27"/>
        <v>0.54</v>
      </c>
      <c r="BB38" s="1089">
        <f t="shared" si="28"/>
        <v>0.57746478873239437</v>
      </c>
      <c r="BC38" s="1089">
        <f t="shared" si="29"/>
        <v>0.56153846153846154</v>
      </c>
      <c r="BD38" s="1296">
        <f t="shared" si="30"/>
        <v>0.61417322834645671</v>
      </c>
      <c r="BE38" s="1298">
        <f>'Non-marital births'!L34</f>
        <v>0.55905511811023623</v>
      </c>
      <c r="BF38" s="1654">
        <v>0.58870967741935487</v>
      </c>
      <c r="BG38" s="1656">
        <f t="shared" si="16"/>
        <v>0.55905511811023623</v>
      </c>
    </row>
    <row r="39" spans="1:59" s="142" customFormat="1" ht="15.75" customHeight="1" x14ac:dyDescent="0.2">
      <c r="A39" s="149" t="s">
        <v>74</v>
      </c>
      <c r="B39" s="186" t="s">
        <v>609</v>
      </c>
      <c r="C39" s="150" t="s">
        <v>267</v>
      </c>
      <c r="D39" s="1057">
        <v>14018</v>
      </c>
      <c r="E39" s="1058">
        <v>14564</v>
      </c>
      <c r="F39" s="1059">
        <v>15063</v>
      </c>
      <c r="G39" s="1058">
        <v>15157</v>
      </c>
      <c r="H39" s="1059">
        <v>15166</v>
      </c>
      <c r="I39" s="1058">
        <v>15038</v>
      </c>
      <c r="J39" s="1059">
        <v>15564</v>
      </c>
      <c r="K39" s="1058">
        <v>15371</v>
      </c>
      <c r="L39" s="1072">
        <v>15120</v>
      </c>
      <c r="M39" s="1072">
        <v>15789</v>
      </c>
      <c r="N39" s="1072">
        <v>15865</v>
      </c>
      <c r="O39" s="1072">
        <v>16019</v>
      </c>
      <c r="P39" s="1073">
        <v>15702</v>
      </c>
      <c r="Q39" s="1073">
        <v>15792</v>
      </c>
      <c r="R39" s="1300">
        <v>15736</v>
      </c>
      <c r="S39" s="1660">
        <f>'Non-marital births'!D35</f>
        <v>15361</v>
      </c>
      <c r="T39" s="1663">
        <v>15783</v>
      </c>
      <c r="U39" s="1664">
        <v>15361</v>
      </c>
      <c r="V39" s="1531"/>
      <c r="W39" s="1080">
        <v>2089</v>
      </c>
      <c r="X39" s="1081">
        <v>2234</v>
      </c>
      <c r="Y39" s="1081">
        <v>2470</v>
      </c>
      <c r="Z39" s="1081">
        <v>2523</v>
      </c>
      <c r="AA39" s="1081">
        <v>2586</v>
      </c>
      <c r="AB39" s="1081">
        <v>2559</v>
      </c>
      <c r="AC39" s="1081">
        <v>2902</v>
      </c>
      <c r="AD39" s="1081">
        <v>3024</v>
      </c>
      <c r="AE39" s="1081">
        <v>3428</v>
      </c>
      <c r="AF39" s="1081">
        <v>3767</v>
      </c>
      <c r="AG39" s="1081">
        <v>3841</v>
      </c>
      <c r="AH39" s="1081">
        <v>3722</v>
      </c>
      <c r="AI39" s="1081">
        <v>3483</v>
      </c>
      <c r="AJ39" s="1081">
        <v>3532</v>
      </c>
      <c r="AK39" s="1303">
        <v>3375</v>
      </c>
      <c r="AL39" s="1665">
        <f>'Non-marital births'!H35</f>
        <v>3262</v>
      </c>
      <c r="AM39" s="1666">
        <v>3155</v>
      </c>
      <c r="AN39" s="1667">
        <v>3262</v>
      </c>
      <c r="AO39" s="1532"/>
      <c r="AP39" s="1088">
        <f t="shared" si="31"/>
        <v>0.14902268511913255</v>
      </c>
      <c r="AQ39" s="1089">
        <f t="shared" si="17"/>
        <v>0.15339192529524856</v>
      </c>
      <c r="AR39" s="1089">
        <f t="shared" si="18"/>
        <v>0.16397795923786762</v>
      </c>
      <c r="AS39" s="1089">
        <f t="shared" si="19"/>
        <v>0.16645774229728838</v>
      </c>
      <c r="AT39" s="1089">
        <f t="shared" si="20"/>
        <v>0.17051298958195965</v>
      </c>
      <c r="AU39" s="1089">
        <f t="shared" si="21"/>
        <v>0.17016890543955313</v>
      </c>
      <c r="AV39" s="1089">
        <f t="shared" si="22"/>
        <v>0.18645592392701105</v>
      </c>
      <c r="AW39" s="1089">
        <f t="shared" si="23"/>
        <v>0.19673410968707306</v>
      </c>
      <c r="AX39" s="1089">
        <f t="shared" si="24"/>
        <v>0.22671957671957671</v>
      </c>
      <c r="AY39" s="1089">
        <f t="shared" si="25"/>
        <v>0.2385838241813921</v>
      </c>
      <c r="AZ39" s="1089">
        <f t="shared" si="26"/>
        <v>0.24210526315789474</v>
      </c>
      <c r="BA39" s="1089">
        <f t="shared" si="27"/>
        <v>0.23234908546101504</v>
      </c>
      <c r="BB39" s="1089">
        <f t="shared" si="28"/>
        <v>0.22181887657623234</v>
      </c>
      <c r="BC39" s="1089">
        <f t="shared" si="29"/>
        <v>0.22365754812563324</v>
      </c>
      <c r="BD39" s="1296">
        <f t="shared" si="30"/>
        <v>0.21447635993899339</v>
      </c>
      <c r="BE39" s="1298">
        <f>'Non-marital births'!L35</f>
        <v>0.21235596640843696</v>
      </c>
      <c r="BF39" s="1654">
        <v>0.19989862510295889</v>
      </c>
      <c r="BG39" s="1656">
        <f t="shared" si="16"/>
        <v>0.21235596640843696</v>
      </c>
    </row>
    <row r="40" spans="1:59" s="142" customFormat="1" ht="15.75" customHeight="1" x14ac:dyDescent="0.2">
      <c r="A40" s="149" t="s">
        <v>76</v>
      </c>
      <c r="B40" s="186" t="s">
        <v>77</v>
      </c>
      <c r="C40" s="150" t="s">
        <v>267</v>
      </c>
      <c r="D40" s="1057">
        <v>643</v>
      </c>
      <c r="E40" s="1058">
        <v>642</v>
      </c>
      <c r="F40" s="1059">
        <v>704</v>
      </c>
      <c r="G40" s="1058">
        <v>706</v>
      </c>
      <c r="H40" s="1059">
        <v>729</v>
      </c>
      <c r="I40" s="1058">
        <v>719</v>
      </c>
      <c r="J40" s="1059">
        <v>744</v>
      </c>
      <c r="K40" s="1058">
        <v>815</v>
      </c>
      <c r="L40" s="1072">
        <v>795</v>
      </c>
      <c r="M40" s="1072">
        <v>805</v>
      </c>
      <c r="N40" s="1072">
        <v>842</v>
      </c>
      <c r="O40" s="1072">
        <v>750</v>
      </c>
      <c r="P40" s="1073">
        <v>750</v>
      </c>
      <c r="Q40" s="1073">
        <v>769</v>
      </c>
      <c r="R40" s="1300">
        <v>675</v>
      </c>
      <c r="S40" s="1660">
        <f>'Non-marital births'!D36</f>
        <v>765</v>
      </c>
      <c r="T40" s="1663">
        <v>743</v>
      </c>
      <c r="U40" s="1664">
        <v>765</v>
      </c>
      <c r="V40" s="1531"/>
      <c r="W40" s="1080">
        <v>165</v>
      </c>
      <c r="X40" s="1081">
        <v>158</v>
      </c>
      <c r="Y40" s="1081">
        <v>163</v>
      </c>
      <c r="Z40" s="1081">
        <v>163</v>
      </c>
      <c r="AA40" s="1081">
        <v>177</v>
      </c>
      <c r="AB40" s="1081">
        <v>168</v>
      </c>
      <c r="AC40" s="1081">
        <v>175</v>
      </c>
      <c r="AD40" s="1081">
        <v>204</v>
      </c>
      <c r="AE40" s="1081">
        <v>220</v>
      </c>
      <c r="AF40" s="1081">
        <v>259</v>
      </c>
      <c r="AG40" s="1081">
        <v>269</v>
      </c>
      <c r="AH40" s="1081">
        <v>235</v>
      </c>
      <c r="AI40" s="1081">
        <v>250</v>
      </c>
      <c r="AJ40" s="1081">
        <v>242</v>
      </c>
      <c r="AK40" s="1303">
        <v>208</v>
      </c>
      <c r="AL40" s="1665">
        <f>'Non-marital births'!H36</f>
        <v>205</v>
      </c>
      <c r="AM40" s="1666">
        <v>234</v>
      </c>
      <c r="AN40" s="1667">
        <v>205</v>
      </c>
      <c r="AO40" s="1532"/>
      <c r="AP40" s="1088">
        <f t="shared" si="31"/>
        <v>0.25660964230171074</v>
      </c>
      <c r="AQ40" s="1089">
        <f t="shared" si="17"/>
        <v>0.24610591900311526</v>
      </c>
      <c r="AR40" s="1089">
        <f t="shared" si="18"/>
        <v>0.23153409090909091</v>
      </c>
      <c r="AS40" s="1089">
        <f t="shared" si="19"/>
        <v>0.23087818696883852</v>
      </c>
      <c r="AT40" s="1089">
        <f t="shared" si="20"/>
        <v>0.24279835390946503</v>
      </c>
      <c r="AU40" s="1089">
        <f t="shared" si="21"/>
        <v>0.23365785813630041</v>
      </c>
      <c r="AV40" s="1089">
        <f t="shared" si="22"/>
        <v>0.23521505376344087</v>
      </c>
      <c r="AW40" s="1089">
        <f t="shared" si="23"/>
        <v>0.25030674846625767</v>
      </c>
      <c r="AX40" s="1089">
        <f t="shared" si="24"/>
        <v>0.27672955974842767</v>
      </c>
      <c r="AY40" s="1089">
        <f t="shared" si="25"/>
        <v>0.32173913043478258</v>
      </c>
      <c r="AZ40" s="1089">
        <f t="shared" si="26"/>
        <v>0.31947743467933493</v>
      </c>
      <c r="BA40" s="1089">
        <f t="shared" si="27"/>
        <v>0.31333333333333335</v>
      </c>
      <c r="BB40" s="1089">
        <f t="shared" si="28"/>
        <v>0.33333333333333331</v>
      </c>
      <c r="BC40" s="1089">
        <f t="shared" si="29"/>
        <v>0.31469440832249673</v>
      </c>
      <c r="BD40" s="1296">
        <f t="shared" si="30"/>
        <v>0.30814814814814817</v>
      </c>
      <c r="BE40" s="1298">
        <f>'Non-marital births'!L36</f>
        <v>0.26797385620915032</v>
      </c>
      <c r="BF40" s="1654">
        <v>0.31493943472409153</v>
      </c>
      <c r="BG40" s="1656">
        <f t="shared" si="16"/>
        <v>0.26797385620915032</v>
      </c>
    </row>
    <row r="41" spans="1:59" s="142" customFormat="1" ht="15.75" customHeight="1" x14ac:dyDescent="0.2">
      <c r="A41" s="149" t="s">
        <v>78</v>
      </c>
      <c r="B41" s="186" t="s">
        <v>79</v>
      </c>
      <c r="C41" s="150" t="s">
        <v>268</v>
      </c>
      <c r="D41" s="1057">
        <v>146</v>
      </c>
      <c r="E41" s="1058">
        <v>152</v>
      </c>
      <c r="F41" s="1059">
        <v>158</v>
      </c>
      <c r="G41" s="1058">
        <v>138</v>
      </c>
      <c r="H41" s="1059">
        <v>158</v>
      </c>
      <c r="I41" s="1058">
        <v>146</v>
      </c>
      <c r="J41" s="1059">
        <v>169</v>
      </c>
      <c r="K41" s="1058">
        <v>159</v>
      </c>
      <c r="L41" s="1072">
        <v>163</v>
      </c>
      <c r="M41" s="1072">
        <v>159</v>
      </c>
      <c r="N41" s="1072">
        <v>164</v>
      </c>
      <c r="O41" s="1072">
        <v>148</v>
      </c>
      <c r="P41" s="1073">
        <v>174</v>
      </c>
      <c r="Q41" s="1073">
        <v>144</v>
      </c>
      <c r="R41" s="1300">
        <v>141</v>
      </c>
      <c r="S41" s="1660">
        <f>'Non-marital births'!D37</f>
        <v>135</v>
      </c>
      <c r="T41" s="1663">
        <v>126</v>
      </c>
      <c r="U41" s="1664">
        <v>135</v>
      </c>
      <c r="V41" s="1531"/>
      <c r="W41" s="1080">
        <v>37</v>
      </c>
      <c r="X41" s="1081">
        <v>30</v>
      </c>
      <c r="Y41" s="1081">
        <v>38</v>
      </c>
      <c r="Z41" s="1081">
        <v>24</v>
      </c>
      <c r="AA41" s="1081">
        <v>29</v>
      </c>
      <c r="AB41" s="1081">
        <v>30</v>
      </c>
      <c r="AC41" s="1081">
        <v>27</v>
      </c>
      <c r="AD41" s="1081">
        <v>45</v>
      </c>
      <c r="AE41" s="1081">
        <v>44</v>
      </c>
      <c r="AF41" s="1081">
        <v>49</v>
      </c>
      <c r="AG41" s="1081">
        <v>54</v>
      </c>
      <c r="AH41" s="1081">
        <v>47</v>
      </c>
      <c r="AI41" s="1081">
        <v>58</v>
      </c>
      <c r="AJ41" s="1081">
        <v>39</v>
      </c>
      <c r="AK41" s="1303">
        <v>49</v>
      </c>
      <c r="AL41" s="1665">
        <f>'Non-marital births'!H37</f>
        <v>44</v>
      </c>
      <c r="AM41" s="1666">
        <v>40</v>
      </c>
      <c r="AN41" s="1667">
        <v>44</v>
      </c>
      <c r="AO41" s="1532"/>
      <c r="AP41" s="1088">
        <f t="shared" si="31"/>
        <v>0.25342465753424659</v>
      </c>
      <c r="AQ41" s="1089">
        <f t="shared" si="17"/>
        <v>0.19736842105263158</v>
      </c>
      <c r="AR41" s="1089">
        <f t="shared" si="18"/>
        <v>0.24050632911392406</v>
      </c>
      <c r="AS41" s="1089">
        <f t="shared" si="19"/>
        <v>0.17391304347826086</v>
      </c>
      <c r="AT41" s="1089">
        <f t="shared" si="20"/>
        <v>0.18354430379746836</v>
      </c>
      <c r="AU41" s="1089">
        <f t="shared" si="21"/>
        <v>0.20547945205479451</v>
      </c>
      <c r="AV41" s="1089">
        <f t="shared" si="22"/>
        <v>0.15976331360946747</v>
      </c>
      <c r="AW41" s="1089">
        <f t="shared" si="23"/>
        <v>0.28301886792452829</v>
      </c>
      <c r="AX41" s="1089">
        <f t="shared" si="24"/>
        <v>0.26993865030674846</v>
      </c>
      <c r="AY41" s="1089">
        <f t="shared" si="25"/>
        <v>0.3081761006289308</v>
      </c>
      <c r="AZ41" s="1089">
        <f t="shared" si="26"/>
        <v>0.32926829268292684</v>
      </c>
      <c r="BA41" s="1089">
        <f t="shared" si="27"/>
        <v>0.31756756756756754</v>
      </c>
      <c r="BB41" s="1089">
        <f t="shared" si="28"/>
        <v>0.33333333333333331</v>
      </c>
      <c r="BC41" s="1089">
        <f t="shared" si="29"/>
        <v>0.27083333333333331</v>
      </c>
      <c r="BD41" s="1296">
        <f t="shared" si="30"/>
        <v>0.3475177304964539</v>
      </c>
      <c r="BE41" s="1298">
        <f>'Non-marital births'!L37</f>
        <v>0.32592592592592595</v>
      </c>
      <c r="BF41" s="1654">
        <v>0.31746031746031744</v>
      </c>
      <c r="BG41" s="1656">
        <f t="shared" si="16"/>
        <v>0.32592592592592595</v>
      </c>
    </row>
    <row r="42" spans="1:59" s="142" customFormat="1" ht="15.75" customHeight="1" x14ac:dyDescent="0.2">
      <c r="A42" s="149" t="s">
        <v>80</v>
      </c>
      <c r="B42" s="186" t="s">
        <v>81</v>
      </c>
      <c r="C42" s="150" t="s">
        <v>266</v>
      </c>
      <c r="D42" s="1057">
        <v>202</v>
      </c>
      <c r="E42" s="1058">
        <v>219</v>
      </c>
      <c r="F42" s="1059">
        <v>219</v>
      </c>
      <c r="G42" s="1058">
        <v>227</v>
      </c>
      <c r="H42" s="1059">
        <v>301</v>
      </c>
      <c r="I42" s="1058">
        <v>304</v>
      </c>
      <c r="J42" s="1059">
        <v>349</v>
      </c>
      <c r="K42" s="1058">
        <v>355</v>
      </c>
      <c r="L42" s="1072">
        <v>340</v>
      </c>
      <c r="M42" s="1072">
        <v>352</v>
      </c>
      <c r="N42" s="1072">
        <v>323</v>
      </c>
      <c r="O42" s="1072">
        <v>294</v>
      </c>
      <c r="P42" s="1073">
        <v>300</v>
      </c>
      <c r="Q42" s="1073">
        <v>278</v>
      </c>
      <c r="R42" s="1300">
        <v>258</v>
      </c>
      <c r="S42" s="1660">
        <f>'Non-marital births'!D38</f>
        <v>252</v>
      </c>
      <c r="T42" s="1663">
        <v>266</v>
      </c>
      <c r="U42" s="1664">
        <v>252</v>
      </c>
      <c r="V42" s="1531"/>
      <c r="W42" s="1080">
        <v>39</v>
      </c>
      <c r="X42" s="1081">
        <v>56</v>
      </c>
      <c r="Y42" s="1081">
        <v>56</v>
      </c>
      <c r="Z42" s="1081">
        <v>54</v>
      </c>
      <c r="AA42" s="1081">
        <v>69</v>
      </c>
      <c r="AB42" s="1081">
        <v>82</v>
      </c>
      <c r="AC42" s="1081">
        <v>96</v>
      </c>
      <c r="AD42" s="1081">
        <v>92</v>
      </c>
      <c r="AE42" s="1081">
        <v>96</v>
      </c>
      <c r="AF42" s="1081">
        <v>96</v>
      </c>
      <c r="AG42" s="1081">
        <v>89</v>
      </c>
      <c r="AH42" s="1081">
        <v>65</v>
      </c>
      <c r="AI42" s="1081">
        <v>94</v>
      </c>
      <c r="AJ42" s="1081">
        <v>82</v>
      </c>
      <c r="AK42" s="1303">
        <v>87</v>
      </c>
      <c r="AL42" s="1665">
        <f>'Non-marital births'!H38</f>
        <v>82</v>
      </c>
      <c r="AM42" s="1666">
        <v>89</v>
      </c>
      <c r="AN42" s="1667">
        <v>82</v>
      </c>
      <c r="AO42" s="1532"/>
      <c r="AP42" s="1088">
        <f t="shared" si="31"/>
        <v>0.19306930693069307</v>
      </c>
      <c r="AQ42" s="1089">
        <f t="shared" si="17"/>
        <v>0.25570776255707761</v>
      </c>
      <c r="AR42" s="1089">
        <f t="shared" si="18"/>
        <v>0.25570776255707761</v>
      </c>
      <c r="AS42" s="1089">
        <f t="shared" si="19"/>
        <v>0.23788546255506607</v>
      </c>
      <c r="AT42" s="1089">
        <f t="shared" si="20"/>
        <v>0.2292358803986711</v>
      </c>
      <c r="AU42" s="1089">
        <f t="shared" si="21"/>
        <v>0.26973684210526316</v>
      </c>
      <c r="AV42" s="1089">
        <f t="shared" si="22"/>
        <v>0.27507163323782235</v>
      </c>
      <c r="AW42" s="1089">
        <f t="shared" si="23"/>
        <v>0.25915492957746478</v>
      </c>
      <c r="AX42" s="1089">
        <f t="shared" si="24"/>
        <v>0.28235294117647058</v>
      </c>
      <c r="AY42" s="1089">
        <f t="shared" si="25"/>
        <v>0.27272727272727271</v>
      </c>
      <c r="AZ42" s="1089">
        <f t="shared" si="26"/>
        <v>0.27554179566563469</v>
      </c>
      <c r="BA42" s="1089">
        <f t="shared" si="27"/>
        <v>0.22108843537414966</v>
      </c>
      <c r="BB42" s="1089">
        <f t="shared" si="28"/>
        <v>0.31333333333333335</v>
      </c>
      <c r="BC42" s="1089">
        <f t="shared" si="29"/>
        <v>0.29496402877697842</v>
      </c>
      <c r="BD42" s="1296">
        <f t="shared" si="30"/>
        <v>0.33720930232558138</v>
      </c>
      <c r="BE42" s="1298">
        <f>'Non-marital births'!L38</f>
        <v>0.32539682539682541</v>
      </c>
      <c r="BF42" s="1654">
        <v>0.33458646616541354</v>
      </c>
      <c r="BG42" s="1656">
        <f t="shared" si="16"/>
        <v>0.32539682539682541</v>
      </c>
    </row>
    <row r="43" spans="1:59" s="142" customFormat="1" ht="15.75" customHeight="1" x14ac:dyDescent="0.2">
      <c r="A43" s="149" t="s">
        <v>82</v>
      </c>
      <c r="B43" s="186" t="s">
        <v>83</v>
      </c>
      <c r="C43" s="150" t="s">
        <v>264</v>
      </c>
      <c r="D43" s="1057">
        <v>92</v>
      </c>
      <c r="E43" s="1058">
        <v>102</v>
      </c>
      <c r="F43" s="1059">
        <v>114</v>
      </c>
      <c r="G43" s="1058">
        <v>128</v>
      </c>
      <c r="H43" s="1059">
        <v>137</v>
      </c>
      <c r="I43" s="1058">
        <v>145</v>
      </c>
      <c r="J43" s="1059">
        <v>154</v>
      </c>
      <c r="K43" s="1058">
        <v>150</v>
      </c>
      <c r="L43" s="1072">
        <v>168</v>
      </c>
      <c r="M43" s="1072">
        <v>156</v>
      </c>
      <c r="N43" s="1072">
        <v>133</v>
      </c>
      <c r="O43" s="1072">
        <v>133</v>
      </c>
      <c r="P43" s="1073">
        <v>147</v>
      </c>
      <c r="Q43" s="1073">
        <v>167</v>
      </c>
      <c r="R43" s="1300">
        <v>154</v>
      </c>
      <c r="S43" s="1660">
        <f>'Non-marital births'!D107</f>
        <v>133</v>
      </c>
      <c r="T43" s="1663">
        <v>158</v>
      </c>
      <c r="U43" s="1664">
        <v>133</v>
      </c>
      <c r="V43" s="1531"/>
      <c r="W43" s="1080">
        <v>51</v>
      </c>
      <c r="X43" s="1081">
        <v>60</v>
      </c>
      <c r="Y43" s="1081">
        <v>67</v>
      </c>
      <c r="Z43" s="1081">
        <v>62</v>
      </c>
      <c r="AA43" s="1081">
        <v>67</v>
      </c>
      <c r="AB43" s="1081">
        <v>78</v>
      </c>
      <c r="AC43" s="1081">
        <v>88</v>
      </c>
      <c r="AD43" s="1081">
        <v>81</v>
      </c>
      <c r="AE43" s="1081">
        <v>93</v>
      </c>
      <c r="AF43" s="1081">
        <v>95</v>
      </c>
      <c r="AG43" s="1081">
        <v>74</v>
      </c>
      <c r="AH43" s="1081">
        <v>92</v>
      </c>
      <c r="AI43" s="1081">
        <v>98</v>
      </c>
      <c r="AJ43" s="1081">
        <v>111</v>
      </c>
      <c r="AK43" s="1303">
        <v>93</v>
      </c>
      <c r="AL43" s="1665">
        <f>'Non-marital births'!H107</f>
        <v>77</v>
      </c>
      <c r="AM43" s="1666">
        <v>100</v>
      </c>
      <c r="AN43" s="1667">
        <v>77</v>
      </c>
      <c r="AO43" s="1532"/>
      <c r="AP43" s="1088">
        <f t="shared" si="31"/>
        <v>0.55434782608695654</v>
      </c>
      <c r="AQ43" s="1089">
        <f t="shared" si="17"/>
        <v>0.58823529411764708</v>
      </c>
      <c r="AR43" s="1089">
        <f t="shared" si="18"/>
        <v>0.58771929824561409</v>
      </c>
      <c r="AS43" s="1089">
        <f t="shared" si="19"/>
        <v>0.484375</v>
      </c>
      <c r="AT43" s="1089">
        <f t="shared" si="20"/>
        <v>0.48905109489051096</v>
      </c>
      <c r="AU43" s="1089">
        <f t="shared" si="21"/>
        <v>0.53793103448275859</v>
      </c>
      <c r="AV43" s="1089">
        <f t="shared" si="22"/>
        <v>0.5714285714285714</v>
      </c>
      <c r="AW43" s="1089">
        <f t="shared" si="23"/>
        <v>0.54</v>
      </c>
      <c r="AX43" s="1089">
        <f t="shared" si="24"/>
        <v>0.5535714285714286</v>
      </c>
      <c r="AY43" s="1089">
        <f t="shared" si="25"/>
        <v>0.60897435897435892</v>
      </c>
      <c r="AZ43" s="1089">
        <f t="shared" si="26"/>
        <v>0.55639097744360899</v>
      </c>
      <c r="BA43" s="1089">
        <f t="shared" si="27"/>
        <v>0.69172932330827064</v>
      </c>
      <c r="BB43" s="1089">
        <f t="shared" si="28"/>
        <v>0.66666666666666663</v>
      </c>
      <c r="BC43" s="1089">
        <f t="shared" si="29"/>
        <v>0.66467065868263475</v>
      </c>
      <c r="BD43" s="1296">
        <f t="shared" si="30"/>
        <v>0.60389610389610393</v>
      </c>
      <c r="BE43" s="1298">
        <f>'Non-marital births'!L107</f>
        <v>0.57894736842105265</v>
      </c>
      <c r="BF43" s="1654">
        <v>0.63291139240506333</v>
      </c>
      <c r="BG43" s="1656">
        <f t="shared" si="16"/>
        <v>0.57894736842105265</v>
      </c>
    </row>
    <row r="44" spans="1:59" s="142" customFormat="1" ht="15.75" customHeight="1" x14ac:dyDescent="0.2">
      <c r="A44" s="149" t="s">
        <v>84</v>
      </c>
      <c r="B44" s="186" t="s">
        <v>85</v>
      </c>
      <c r="C44" s="150" t="s">
        <v>265</v>
      </c>
      <c r="D44" s="1057">
        <v>460</v>
      </c>
      <c r="E44" s="1058">
        <v>515</v>
      </c>
      <c r="F44" s="1059">
        <v>534</v>
      </c>
      <c r="G44" s="1058">
        <v>552</v>
      </c>
      <c r="H44" s="1059">
        <v>518</v>
      </c>
      <c r="I44" s="1058">
        <v>511</v>
      </c>
      <c r="J44" s="1059">
        <v>530</v>
      </c>
      <c r="K44" s="1058">
        <v>542</v>
      </c>
      <c r="L44" s="1072">
        <v>574</v>
      </c>
      <c r="M44" s="1072">
        <v>599</v>
      </c>
      <c r="N44" s="1072">
        <v>595</v>
      </c>
      <c r="O44" s="1072">
        <v>593</v>
      </c>
      <c r="P44" s="1073">
        <v>512</v>
      </c>
      <c r="Q44" s="1073">
        <v>523</v>
      </c>
      <c r="R44" s="1300">
        <v>533</v>
      </c>
      <c r="S44" s="1660">
        <f>'Non-marital births'!D39</f>
        <v>534</v>
      </c>
      <c r="T44" s="1663">
        <v>490</v>
      </c>
      <c r="U44" s="1664">
        <v>534</v>
      </c>
      <c r="V44" s="1531"/>
      <c r="W44" s="1080">
        <v>123</v>
      </c>
      <c r="X44" s="1081">
        <v>150</v>
      </c>
      <c r="Y44" s="1081">
        <v>163</v>
      </c>
      <c r="Z44" s="1081">
        <v>168</v>
      </c>
      <c r="AA44" s="1081">
        <v>151</v>
      </c>
      <c r="AB44" s="1081">
        <v>162</v>
      </c>
      <c r="AC44" s="1081">
        <v>165</v>
      </c>
      <c r="AD44" s="1081">
        <v>194</v>
      </c>
      <c r="AE44" s="1081">
        <v>218</v>
      </c>
      <c r="AF44" s="1081">
        <v>219</v>
      </c>
      <c r="AG44" s="1081">
        <v>228</v>
      </c>
      <c r="AH44" s="1081">
        <v>233</v>
      </c>
      <c r="AI44" s="1081">
        <v>191</v>
      </c>
      <c r="AJ44" s="1081">
        <v>224</v>
      </c>
      <c r="AK44" s="1303">
        <v>239</v>
      </c>
      <c r="AL44" s="1665">
        <f>'Non-marital births'!H39</f>
        <v>216</v>
      </c>
      <c r="AM44" s="1666">
        <v>207</v>
      </c>
      <c r="AN44" s="1667">
        <v>216</v>
      </c>
      <c r="AO44" s="1532"/>
      <c r="AP44" s="1088">
        <f t="shared" si="31"/>
        <v>0.2673913043478261</v>
      </c>
      <c r="AQ44" s="1089">
        <f t="shared" si="17"/>
        <v>0.29126213592233008</v>
      </c>
      <c r="AR44" s="1089">
        <f t="shared" si="18"/>
        <v>0.30524344569288392</v>
      </c>
      <c r="AS44" s="1089">
        <f t="shared" si="19"/>
        <v>0.30434782608695654</v>
      </c>
      <c r="AT44" s="1089">
        <f t="shared" si="20"/>
        <v>0.29150579150579148</v>
      </c>
      <c r="AU44" s="1089">
        <f t="shared" si="21"/>
        <v>0.31702544031311153</v>
      </c>
      <c r="AV44" s="1089">
        <f t="shared" si="22"/>
        <v>0.31132075471698112</v>
      </c>
      <c r="AW44" s="1089">
        <f t="shared" si="23"/>
        <v>0.35793357933579334</v>
      </c>
      <c r="AX44" s="1089">
        <f t="shared" si="24"/>
        <v>0.37979094076655051</v>
      </c>
      <c r="AY44" s="1089">
        <f t="shared" si="25"/>
        <v>0.36560934891485808</v>
      </c>
      <c r="AZ44" s="1089">
        <f t="shared" si="26"/>
        <v>0.3831932773109244</v>
      </c>
      <c r="BA44" s="1089">
        <f t="shared" si="27"/>
        <v>0.39291736930860033</v>
      </c>
      <c r="BB44" s="1089">
        <f t="shared" si="28"/>
        <v>0.373046875</v>
      </c>
      <c r="BC44" s="1089">
        <f t="shared" si="29"/>
        <v>0.42829827915869984</v>
      </c>
      <c r="BD44" s="1296">
        <f t="shared" si="30"/>
        <v>0.44840525328330205</v>
      </c>
      <c r="BE44" s="1298">
        <f>'Non-marital births'!L39</f>
        <v>0.4044943820224719</v>
      </c>
      <c r="BF44" s="1654">
        <v>0.42244897959183675</v>
      </c>
      <c r="BG44" s="1656">
        <f t="shared" si="16"/>
        <v>0.4044943820224719</v>
      </c>
    </row>
    <row r="45" spans="1:59" s="142" customFormat="1" ht="15.75" customHeight="1" x14ac:dyDescent="0.2">
      <c r="A45" s="149" t="s">
        <v>86</v>
      </c>
      <c r="B45" s="186" t="s">
        <v>87</v>
      </c>
      <c r="C45" s="150" t="s">
        <v>267</v>
      </c>
      <c r="D45" s="1057">
        <v>759</v>
      </c>
      <c r="E45" s="1058">
        <v>724</v>
      </c>
      <c r="F45" s="1059">
        <v>837</v>
      </c>
      <c r="G45" s="1058">
        <v>695</v>
      </c>
      <c r="H45" s="1059">
        <v>822</v>
      </c>
      <c r="I45" s="1058">
        <v>858</v>
      </c>
      <c r="J45" s="1059">
        <v>922</v>
      </c>
      <c r="K45" s="1058">
        <v>920</v>
      </c>
      <c r="L45" s="1072">
        <v>964</v>
      </c>
      <c r="M45" s="1072">
        <v>962</v>
      </c>
      <c r="N45" s="1072">
        <v>984</v>
      </c>
      <c r="O45" s="1072">
        <v>918</v>
      </c>
      <c r="P45" s="1073">
        <v>915</v>
      </c>
      <c r="Q45" s="1073">
        <v>887</v>
      </c>
      <c r="R45" s="1300">
        <v>921</v>
      </c>
      <c r="S45" s="1660">
        <f>'Non-marital births'!D40</f>
        <v>989</v>
      </c>
      <c r="T45" s="1663">
        <v>889</v>
      </c>
      <c r="U45" s="1664">
        <v>989</v>
      </c>
      <c r="V45" s="1531"/>
      <c r="W45" s="1080">
        <v>201</v>
      </c>
      <c r="X45" s="1081">
        <v>186</v>
      </c>
      <c r="Y45" s="1081">
        <v>220</v>
      </c>
      <c r="Z45" s="1081">
        <v>179</v>
      </c>
      <c r="AA45" s="1081">
        <v>228</v>
      </c>
      <c r="AB45" s="1081">
        <v>254</v>
      </c>
      <c r="AC45" s="1081">
        <v>257</v>
      </c>
      <c r="AD45" s="1081">
        <v>270</v>
      </c>
      <c r="AE45" s="1081">
        <v>315</v>
      </c>
      <c r="AF45" s="1081">
        <v>324</v>
      </c>
      <c r="AG45" s="1081">
        <v>369</v>
      </c>
      <c r="AH45" s="1081">
        <v>341</v>
      </c>
      <c r="AI45" s="1081">
        <v>335</v>
      </c>
      <c r="AJ45" s="1081">
        <v>307</v>
      </c>
      <c r="AK45" s="1303">
        <v>341</v>
      </c>
      <c r="AL45" s="1665">
        <f>'Non-marital births'!H40</f>
        <v>365</v>
      </c>
      <c r="AM45" s="1666">
        <v>291</v>
      </c>
      <c r="AN45" s="1667">
        <v>365</v>
      </c>
      <c r="AO45" s="1532"/>
      <c r="AP45" s="1088">
        <f t="shared" si="31"/>
        <v>0.2648221343873518</v>
      </c>
      <c r="AQ45" s="1089">
        <f t="shared" si="17"/>
        <v>0.25690607734806631</v>
      </c>
      <c r="AR45" s="1089">
        <f t="shared" si="18"/>
        <v>0.26284348864994028</v>
      </c>
      <c r="AS45" s="1089">
        <f t="shared" si="19"/>
        <v>0.25755395683453236</v>
      </c>
      <c r="AT45" s="1089">
        <f t="shared" si="20"/>
        <v>0.27737226277372262</v>
      </c>
      <c r="AU45" s="1089">
        <f t="shared" si="21"/>
        <v>0.29603729603729606</v>
      </c>
      <c r="AV45" s="1089">
        <f t="shared" si="22"/>
        <v>0.27874186550976138</v>
      </c>
      <c r="AW45" s="1089">
        <f t="shared" si="23"/>
        <v>0.29347826086956524</v>
      </c>
      <c r="AX45" s="1089">
        <f t="shared" si="24"/>
        <v>0.32676348547717843</v>
      </c>
      <c r="AY45" s="1089">
        <f t="shared" si="25"/>
        <v>0.33679833679833682</v>
      </c>
      <c r="AZ45" s="1089">
        <f t="shared" si="26"/>
        <v>0.375</v>
      </c>
      <c r="BA45" s="1089">
        <f t="shared" si="27"/>
        <v>0.37145969498910675</v>
      </c>
      <c r="BB45" s="1089">
        <f t="shared" si="28"/>
        <v>0.36612021857923499</v>
      </c>
      <c r="BC45" s="1089">
        <f t="shared" si="29"/>
        <v>0.34611048478015782</v>
      </c>
      <c r="BD45" s="1296">
        <f t="shared" si="30"/>
        <v>0.37024972855591748</v>
      </c>
      <c r="BE45" s="1298">
        <f>'Non-marital births'!L40</f>
        <v>0.36905965621840242</v>
      </c>
      <c r="BF45" s="1654">
        <v>0.32733408323959506</v>
      </c>
      <c r="BG45" s="1656">
        <f t="shared" si="16"/>
        <v>0.36905965621840242</v>
      </c>
    </row>
    <row r="46" spans="1:59" s="142" customFormat="1" ht="15.75" customHeight="1" x14ac:dyDescent="0.2">
      <c r="A46" s="149" t="s">
        <v>88</v>
      </c>
      <c r="B46" s="186" t="s">
        <v>89</v>
      </c>
      <c r="C46" s="150" t="s">
        <v>267</v>
      </c>
      <c r="D46" s="1057">
        <v>302</v>
      </c>
      <c r="E46" s="1058">
        <v>384</v>
      </c>
      <c r="F46" s="1059">
        <v>395</v>
      </c>
      <c r="G46" s="1058">
        <v>352</v>
      </c>
      <c r="H46" s="1059">
        <v>356</v>
      </c>
      <c r="I46" s="1058">
        <v>380</v>
      </c>
      <c r="J46" s="1059">
        <v>397</v>
      </c>
      <c r="K46" s="1058">
        <v>369</v>
      </c>
      <c r="L46" s="1072">
        <v>406</v>
      </c>
      <c r="M46" s="1072">
        <v>413</v>
      </c>
      <c r="N46" s="1072">
        <v>371</v>
      </c>
      <c r="O46" s="1072">
        <v>393</v>
      </c>
      <c r="P46" s="1073">
        <v>385</v>
      </c>
      <c r="Q46" s="1073">
        <v>411</v>
      </c>
      <c r="R46" s="1300">
        <v>425</v>
      </c>
      <c r="S46" s="1660">
        <f>'Non-marital births'!D108</f>
        <v>406</v>
      </c>
      <c r="T46" s="1663">
        <v>429</v>
      </c>
      <c r="U46" s="1664">
        <v>406</v>
      </c>
      <c r="V46" s="1531"/>
      <c r="W46" s="1080">
        <v>146</v>
      </c>
      <c r="X46" s="1081">
        <v>178</v>
      </c>
      <c r="Y46" s="1081">
        <v>155</v>
      </c>
      <c r="Z46" s="1081">
        <v>164</v>
      </c>
      <c r="AA46" s="1081">
        <v>173</v>
      </c>
      <c r="AB46" s="1081">
        <v>190</v>
      </c>
      <c r="AC46" s="1081">
        <v>222</v>
      </c>
      <c r="AD46" s="1081">
        <v>206</v>
      </c>
      <c r="AE46" s="1081">
        <v>229</v>
      </c>
      <c r="AF46" s="1081">
        <v>223</v>
      </c>
      <c r="AG46" s="1081">
        <v>216</v>
      </c>
      <c r="AH46" s="1081">
        <v>197</v>
      </c>
      <c r="AI46" s="1081">
        <v>209</v>
      </c>
      <c r="AJ46" s="1081">
        <v>220</v>
      </c>
      <c r="AK46" s="1303">
        <v>203</v>
      </c>
      <c r="AL46" s="1665">
        <f>'Non-marital births'!H108</f>
        <v>185</v>
      </c>
      <c r="AM46" s="1666">
        <v>199</v>
      </c>
      <c r="AN46" s="1667">
        <v>185</v>
      </c>
      <c r="AO46" s="1532"/>
      <c r="AP46" s="1088">
        <f t="shared" si="31"/>
        <v>0.48344370860927155</v>
      </c>
      <c r="AQ46" s="1089">
        <f t="shared" si="17"/>
        <v>0.46354166666666669</v>
      </c>
      <c r="AR46" s="1089">
        <f t="shared" si="18"/>
        <v>0.39240506329113922</v>
      </c>
      <c r="AS46" s="1089">
        <f t="shared" si="19"/>
        <v>0.46590909090909088</v>
      </c>
      <c r="AT46" s="1089">
        <f t="shared" si="20"/>
        <v>0.4859550561797753</v>
      </c>
      <c r="AU46" s="1089">
        <f t="shared" si="21"/>
        <v>0.5</v>
      </c>
      <c r="AV46" s="1089">
        <f t="shared" si="22"/>
        <v>0.55919395465994959</v>
      </c>
      <c r="AW46" s="1089">
        <f t="shared" si="23"/>
        <v>0.5582655826558266</v>
      </c>
      <c r="AX46" s="1089">
        <f t="shared" si="24"/>
        <v>0.56403940886699511</v>
      </c>
      <c r="AY46" s="1089">
        <f t="shared" si="25"/>
        <v>0.53995157384987891</v>
      </c>
      <c r="AZ46" s="1089">
        <f t="shared" si="26"/>
        <v>0.58221024258760112</v>
      </c>
      <c r="BA46" s="1089">
        <f t="shared" si="27"/>
        <v>0.50127226463104324</v>
      </c>
      <c r="BB46" s="1089">
        <f t="shared" si="28"/>
        <v>0.54285714285714282</v>
      </c>
      <c r="BC46" s="1089">
        <f t="shared" si="29"/>
        <v>0.53527980535279807</v>
      </c>
      <c r="BD46" s="1296">
        <f t="shared" si="30"/>
        <v>0.47764705882352942</v>
      </c>
      <c r="BE46" s="1298">
        <f>'Non-marital births'!L108</f>
        <v>0.45566502463054187</v>
      </c>
      <c r="BF46" s="1654">
        <v>0.46386946386946387</v>
      </c>
      <c r="BG46" s="1656">
        <f t="shared" si="16"/>
        <v>0.45566502463054187</v>
      </c>
    </row>
    <row r="47" spans="1:59" s="142" customFormat="1" ht="15.75" customHeight="1" x14ac:dyDescent="0.2">
      <c r="A47" s="149" t="s">
        <v>90</v>
      </c>
      <c r="B47" s="186" t="s">
        <v>91</v>
      </c>
      <c r="C47" s="150" t="s">
        <v>268</v>
      </c>
      <c r="D47" s="1057">
        <v>116</v>
      </c>
      <c r="E47" s="1058">
        <v>117</v>
      </c>
      <c r="F47" s="1059">
        <v>127</v>
      </c>
      <c r="G47" s="1058">
        <v>110</v>
      </c>
      <c r="H47" s="1059">
        <v>111</v>
      </c>
      <c r="I47" s="1058">
        <v>88</v>
      </c>
      <c r="J47" s="1059">
        <v>85</v>
      </c>
      <c r="K47" s="1058">
        <v>78</v>
      </c>
      <c r="L47" s="1072">
        <v>77</v>
      </c>
      <c r="M47" s="1072">
        <v>91</v>
      </c>
      <c r="N47" s="1072">
        <v>83</v>
      </c>
      <c r="O47" s="1072">
        <v>127</v>
      </c>
      <c r="P47" s="1073">
        <v>132</v>
      </c>
      <c r="Q47" s="1073">
        <v>111</v>
      </c>
      <c r="R47" s="1300">
        <v>122</v>
      </c>
      <c r="S47" s="1660">
        <f>'Non-marital births'!D109</f>
        <v>75</v>
      </c>
      <c r="T47" s="1663">
        <v>100</v>
      </c>
      <c r="U47" s="1664">
        <v>75</v>
      </c>
      <c r="V47" s="1531"/>
      <c r="W47" s="1080">
        <v>50</v>
      </c>
      <c r="X47" s="1081">
        <v>38</v>
      </c>
      <c r="Y47" s="1081">
        <v>51</v>
      </c>
      <c r="Z47" s="1081">
        <v>54</v>
      </c>
      <c r="AA47" s="1081">
        <v>57</v>
      </c>
      <c r="AB47" s="1081">
        <v>48</v>
      </c>
      <c r="AC47" s="1081">
        <v>45</v>
      </c>
      <c r="AD47" s="1081">
        <v>39</v>
      </c>
      <c r="AE47" s="1081">
        <v>39</v>
      </c>
      <c r="AF47" s="1081">
        <v>55</v>
      </c>
      <c r="AG47" s="1081">
        <v>48</v>
      </c>
      <c r="AH47" s="1081">
        <v>81</v>
      </c>
      <c r="AI47" s="1081">
        <v>70</v>
      </c>
      <c r="AJ47" s="1081">
        <v>51</v>
      </c>
      <c r="AK47" s="1303">
        <v>64</v>
      </c>
      <c r="AL47" s="1665">
        <f>'Non-marital births'!H109</f>
        <v>40</v>
      </c>
      <c r="AM47" s="1666">
        <v>45</v>
      </c>
      <c r="AN47" s="1667">
        <v>40</v>
      </c>
      <c r="AO47" s="1532"/>
      <c r="AP47" s="1088">
        <f t="shared" si="31"/>
        <v>0.43103448275862066</v>
      </c>
      <c r="AQ47" s="1089">
        <f t="shared" si="17"/>
        <v>0.3247863247863248</v>
      </c>
      <c r="AR47" s="1089">
        <f t="shared" si="18"/>
        <v>0.40157480314960631</v>
      </c>
      <c r="AS47" s="1089">
        <f t="shared" si="19"/>
        <v>0.49090909090909091</v>
      </c>
      <c r="AT47" s="1089">
        <f t="shared" si="20"/>
        <v>0.51351351351351349</v>
      </c>
      <c r="AU47" s="1089">
        <f t="shared" si="21"/>
        <v>0.54545454545454541</v>
      </c>
      <c r="AV47" s="1089">
        <f t="shared" si="22"/>
        <v>0.52941176470588236</v>
      </c>
      <c r="AW47" s="1089">
        <f t="shared" si="23"/>
        <v>0.5</v>
      </c>
      <c r="AX47" s="1089">
        <f t="shared" si="24"/>
        <v>0.50649350649350644</v>
      </c>
      <c r="AY47" s="1089">
        <f t="shared" si="25"/>
        <v>0.60439560439560436</v>
      </c>
      <c r="AZ47" s="1089">
        <f t="shared" si="26"/>
        <v>0.57831325301204817</v>
      </c>
      <c r="BA47" s="1089">
        <f t="shared" si="27"/>
        <v>0.63779527559055116</v>
      </c>
      <c r="BB47" s="1089">
        <f t="shared" si="28"/>
        <v>0.53030303030303028</v>
      </c>
      <c r="BC47" s="1089">
        <f t="shared" si="29"/>
        <v>0.45945945945945948</v>
      </c>
      <c r="BD47" s="1296">
        <f t="shared" si="30"/>
        <v>0.52459016393442626</v>
      </c>
      <c r="BE47" s="1298">
        <f>'Non-marital births'!L109</f>
        <v>0.53333333333333333</v>
      </c>
      <c r="BF47" s="1654">
        <v>0.45</v>
      </c>
      <c r="BG47" s="1656">
        <f t="shared" si="16"/>
        <v>0.53333333333333333</v>
      </c>
    </row>
    <row r="48" spans="1:59" s="142" customFormat="1" ht="15.75" customHeight="1" x14ac:dyDescent="0.2">
      <c r="A48" s="149" t="s">
        <v>92</v>
      </c>
      <c r="B48" s="186" t="s">
        <v>93</v>
      </c>
      <c r="C48" s="150" t="s">
        <v>268</v>
      </c>
      <c r="D48" s="1057">
        <v>208</v>
      </c>
      <c r="E48" s="1058">
        <v>203</v>
      </c>
      <c r="F48" s="1059">
        <v>254</v>
      </c>
      <c r="G48" s="1058">
        <v>204</v>
      </c>
      <c r="H48" s="1059">
        <v>212</v>
      </c>
      <c r="I48" s="1058">
        <v>178</v>
      </c>
      <c r="J48" s="1059">
        <v>189</v>
      </c>
      <c r="K48" s="1058">
        <v>161</v>
      </c>
      <c r="L48" s="1072">
        <v>181</v>
      </c>
      <c r="M48" s="1072">
        <v>190</v>
      </c>
      <c r="N48" s="1072">
        <v>164</v>
      </c>
      <c r="O48" s="1072">
        <v>173</v>
      </c>
      <c r="P48" s="1073">
        <v>196</v>
      </c>
      <c r="Q48" s="1073">
        <v>179</v>
      </c>
      <c r="R48" s="1300">
        <v>189</v>
      </c>
      <c r="S48" s="1660">
        <f>'Non-marital births'!D41</f>
        <v>183</v>
      </c>
      <c r="T48" s="1663">
        <v>185</v>
      </c>
      <c r="U48" s="1664">
        <v>183</v>
      </c>
      <c r="V48" s="1531"/>
      <c r="W48" s="1080">
        <v>50</v>
      </c>
      <c r="X48" s="1081">
        <v>48</v>
      </c>
      <c r="Y48" s="1081">
        <v>66</v>
      </c>
      <c r="Z48" s="1081">
        <v>53</v>
      </c>
      <c r="AA48" s="1081">
        <v>53</v>
      </c>
      <c r="AB48" s="1081">
        <v>45</v>
      </c>
      <c r="AC48" s="1081">
        <v>46</v>
      </c>
      <c r="AD48" s="1081">
        <v>41</v>
      </c>
      <c r="AE48" s="1081">
        <v>60</v>
      </c>
      <c r="AF48" s="1081">
        <v>70</v>
      </c>
      <c r="AG48" s="1081">
        <v>70</v>
      </c>
      <c r="AH48" s="1081">
        <v>61</v>
      </c>
      <c r="AI48" s="1081">
        <v>89</v>
      </c>
      <c r="AJ48" s="1081">
        <v>74</v>
      </c>
      <c r="AK48" s="1303">
        <v>75</v>
      </c>
      <c r="AL48" s="1665">
        <f>'Non-marital births'!H41</f>
        <v>72</v>
      </c>
      <c r="AM48" s="1666">
        <v>82</v>
      </c>
      <c r="AN48" s="1667">
        <v>72</v>
      </c>
      <c r="AO48" s="1532"/>
      <c r="AP48" s="1088">
        <f t="shared" si="31"/>
        <v>0.24038461538461539</v>
      </c>
      <c r="AQ48" s="1089">
        <f t="shared" si="17"/>
        <v>0.23645320197044334</v>
      </c>
      <c r="AR48" s="1089">
        <f t="shared" si="18"/>
        <v>0.25984251968503935</v>
      </c>
      <c r="AS48" s="1089">
        <f t="shared" si="19"/>
        <v>0.25980392156862747</v>
      </c>
      <c r="AT48" s="1089">
        <f t="shared" si="20"/>
        <v>0.25</v>
      </c>
      <c r="AU48" s="1089">
        <f t="shared" si="21"/>
        <v>0.25280898876404495</v>
      </c>
      <c r="AV48" s="1089">
        <f t="shared" si="22"/>
        <v>0.24338624338624337</v>
      </c>
      <c r="AW48" s="1089">
        <f t="shared" si="23"/>
        <v>0.25465838509316768</v>
      </c>
      <c r="AX48" s="1089">
        <f t="shared" si="24"/>
        <v>0.33149171270718231</v>
      </c>
      <c r="AY48" s="1089">
        <f t="shared" si="25"/>
        <v>0.36842105263157893</v>
      </c>
      <c r="AZ48" s="1089">
        <f t="shared" si="26"/>
        <v>0.42682926829268292</v>
      </c>
      <c r="BA48" s="1089">
        <f t="shared" si="27"/>
        <v>0.35260115606936415</v>
      </c>
      <c r="BB48" s="1089">
        <f t="shared" si="28"/>
        <v>0.45408163265306123</v>
      </c>
      <c r="BC48" s="1089">
        <f t="shared" si="29"/>
        <v>0.41340782122905029</v>
      </c>
      <c r="BD48" s="1296">
        <f t="shared" si="30"/>
        <v>0.3968253968253968</v>
      </c>
      <c r="BE48" s="1298">
        <f>'Non-marital births'!L41</f>
        <v>0.39344262295081966</v>
      </c>
      <c r="BF48" s="1654">
        <v>0.44324324324324327</v>
      </c>
      <c r="BG48" s="1656">
        <f t="shared" si="16"/>
        <v>0.39344262295081966</v>
      </c>
    </row>
    <row r="49" spans="1:59" s="142" customFormat="1" ht="15.75" customHeight="1" x14ac:dyDescent="0.2">
      <c r="A49" s="149" t="s">
        <v>94</v>
      </c>
      <c r="B49" s="186" t="s">
        <v>95</v>
      </c>
      <c r="C49" s="150" t="s">
        <v>264</v>
      </c>
      <c r="D49" s="1057">
        <v>386</v>
      </c>
      <c r="E49" s="1058">
        <v>381</v>
      </c>
      <c r="F49" s="1059">
        <v>405</v>
      </c>
      <c r="G49" s="1058">
        <v>399</v>
      </c>
      <c r="H49" s="1059">
        <v>413</v>
      </c>
      <c r="I49" s="1058">
        <v>381</v>
      </c>
      <c r="J49" s="1059">
        <v>417</v>
      </c>
      <c r="K49" s="1058">
        <v>405</v>
      </c>
      <c r="L49" s="1072">
        <v>359</v>
      </c>
      <c r="M49" s="1072">
        <v>393</v>
      </c>
      <c r="N49" s="1072">
        <v>374</v>
      </c>
      <c r="O49" s="1072">
        <v>365</v>
      </c>
      <c r="P49" s="1073">
        <v>359</v>
      </c>
      <c r="Q49" s="1073">
        <v>341</v>
      </c>
      <c r="R49" s="1300">
        <v>355</v>
      </c>
      <c r="S49" s="1660">
        <f>'Non-marital births'!D42</f>
        <v>368</v>
      </c>
      <c r="T49" s="1663">
        <v>368</v>
      </c>
      <c r="U49" s="1664">
        <v>368</v>
      </c>
      <c r="V49" s="1531"/>
      <c r="W49" s="1080">
        <v>102</v>
      </c>
      <c r="X49" s="1081">
        <v>101</v>
      </c>
      <c r="Y49" s="1081">
        <v>113</v>
      </c>
      <c r="Z49" s="1081">
        <v>130</v>
      </c>
      <c r="AA49" s="1081">
        <v>127</v>
      </c>
      <c r="AB49" s="1081">
        <v>108</v>
      </c>
      <c r="AC49" s="1081">
        <v>142</v>
      </c>
      <c r="AD49" s="1081">
        <v>126</v>
      </c>
      <c r="AE49" s="1081">
        <v>114</v>
      </c>
      <c r="AF49" s="1081">
        <v>115</v>
      </c>
      <c r="AG49" s="1081">
        <v>127</v>
      </c>
      <c r="AH49" s="1081">
        <v>133</v>
      </c>
      <c r="AI49" s="1081">
        <v>133</v>
      </c>
      <c r="AJ49" s="1081">
        <v>122</v>
      </c>
      <c r="AK49" s="1303">
        <v>152</v>
      </c>
      <c r="AL49" s="1665">
        <f>'Non-marital births'!H42</f>
        <v>125</v>
      </c>
      <c r="AM49" s="1666">
        <v>141</v>
      </c>
      <c r="AN49" s="1667">
        <v>125</v>
      </c>
      <c r="AO49" s="1532"/>
      <c r="AP49" s="1088">
        <f t="shared" si="31"/>
        <v>0.26424870466321243</v>
      </c>
      <c r="AQ49" s="1089">
        <f t="shared" si="17"/>
        <v>0.26509186351706038</v>
      </c>
      <c r="AR49" s="1089">
        <f t="shared" si="18"/>
        <v>0.27901234567901234</v>
      </c>
      <c r="AS49" s="1089">
        <f t="shared" si="19"/>
        <v>0.32581453634085211</v>
      </c>
      <c r="AT49" s="1089">
        <f t="shared" si="20"/>
        <v>0.30750605326876512</v>
      </c>
      <c r="AU49" s="1089">
        <f t="shared" si="21"/>
        <v>0.28346456692913385</v>
      </c>
      <c r="AV49" s="1089">
        <f t="shared" si="22"/>
        <v>0.34052757793764987</v>
      </c>
      <c r="AW49" s="1089">
        <f t="shared" si="23"/>
        <v>0.31111111111111112</v>
      </c>
      <c r="AX49" s="1089">
        <f t="shared" si="24"/>
        <v>0.31754874651810583</v>
      </c>
      <c r="AY49" s="1089">
        <f t="shared" si="25"/>
        <v>0.29262086513994912</v>
      </c>
      <c r="AZ49" s="1089">
        <f t="shared" si="26"/>
        <v>0.33957219251336901</v>
      </c>
      <c r="BA49" s="1089">
        <f t="shared" si="27"/>
        <v>0.36438356164383562</v>
      </c>
      <c r="BB49" s="1089">
        <f t="shared" si="28"/>
        <v>0.37047353760445684</v>
      </c>
      <c r="BC49" s="1089">
        <f t="shared" si="29"/>
        <v>0.35777126099706746</v>
      </c>
      <c r="BD49" s="1296">
        <f t="shared" si="30"/>
        <v>0.42816901408450703</v>
      </c>
      <c r="BE49" s="1298">
        <f>'Non-marital births'!L42</f>
        <v>0.33967391304347827</v>
      </c>
      <c r="BF49" s="1654">
        <v>0.38315217391304346</v>
      </c>
      <c r="BG49" s="1656">
        <f t="shared" si="16"/>
        <v>0.33967391304347827</v>
      </c>
    </row>
    <row r="50" spans="1:59" s="142" customFormat="1" ht="15.75" customHeight="1" x14ac:dyDescent="0.2">
      <c r="A50" s="149" t="s">
        <v>96</v>
      </c>
      <c r="B50" s="186" t="s">
        <v>97</v>
      </c>
      <c r="C50" s="150" t="s">
        <v>266</v>
      </c>
      <c r="D50" s="1057">
        <v>185</v>
      </c>
      <c r="E50" s="1058">
        <v>167</v>
      </c>
      <c r="F50" s="1059">
        <v>203</v>
      </c>
      <c r="G50" s="1058">
        <v>200</v>
      </c>
      <c r="H50" s="1059">
        <v>190</v>
      </c>
      <c r="I50" s="1058">
        <v>174</v>
      </c>
      <c r="J50" s="1059">
        <v>181</v>
      </c>
      <c r="K50" s="1058">
        <v>198</v>
      </c>
      <c r="L50" s="1072">
        <v>213</v>
      </c>
      <c r="M50" s="1072">
        <v>194</v>
      </c>
      <c r="N50" s="1072">
        <v>209</v>
      </c>
      <c r="O50" s="1072">
        <v>179</v>
      </c>
      <c r="P50" s="1073">
        <v>173</v>
      </c>
      <c r="Q50" s="1073">
        <v>151</v>
      </c>
      <c r="R50" s="1300">
        <v>165</v>
      </c>
      <c r="S50" s="1660">
        <f>'Non-marital births'!D43</f>
        <v>140</v>
      </c>
      <c r="T50" s="1663">
        <v>185</v>
      </c>
      <c r="U50" s="1664">
        <v>140</v>
      </c>
      <c r="V50" s="1531"/>
      <c r="W50" s="1080">
        <v>43</v>
      </c>
      <c r="X50" s="1081">
        <v>27</v>
      </c>
      <c r="Y50" s="1081">
        <v>38</v>
      </c>
      <c r="Z50" s="1081">
        <v>37</v>
      </c>
      <c r="AA50" s="1081">
        <v>34</v>
      </c>
      <c r="AB50" s="1081">
        <v>25</v>
      </c>
      <c r="AC50" s="1081">
        <v>37</v>
      </c>
      <c r="AD50" s="1081">
        <v>35</v>
      </c>
      <c r="AE50" s="1081">
        <v>47</v>
      </c>
      <c r="AF50" s="1081">
        <v>37</v>
      </c>
      <c r="AG50" s="1081">
        <v>47</v>
      </c>
      <c r="AH50" s="1081">
        <v>37</v>
      </c>
      <c r="AI50" s="1081">
        <v>43</v>
      </c>
      <c r="AJ50" s="1081">
        <v>36</v>
      </c>
      <c r="AK50" s="1303">
        <v>36</v>
      </c>
      <c r="AL50" s="1665">
        <f>'Non-marital births'!H43</f>
        <v>38</v>
      </c>
      <c r="AM50" s="1666">
        <v>58</v>
      </c>
      <c r="AN50" s="1667">
        <v>38</v>
      </c>
      <c r="AO50" s="1532"/>
      <c r="AP50" s="1088">
        <f t="shared" si="31"/>
        <v>0.23243243243243245</v>
      </c>
      <c r="AQ50" s="1089">
        <f t="shared" si="17"/>
        <v>0.16167664670658682</v>
      </c>
      <c r="AR50" s="1089">
        <f t="shared" si="18"/>
        <v>0.18719211822660098</v>
      </c>
      <c r="AS50" s="1089">
        <f t="shared" si="19"/>
        <v>0.185</v>
      </c>
      <c r="AT50" s="1089">
        <f t="shared" si="20"/>
        <v>0.17894736842105263</v>
      </c>
      <c r="AU50" s="1089">
        <f t="shared" si="21"/>
        <v>0.14367816091954022</v>
      </c>
      <c r="AV50" s="1089">
        <f t="shared" si="22"/>
        <v>0.20441988950276244</v>
      </c>
      <c r="AW50" s="1089">
        <f t="shared" si="23"/>
        <v>0.17676767676767677</v>
      </c>
      <c r="AX50" s="1089">
        <f t="shared" si="24"/>
        <v>0.22065727699530516</v>
      </c>
      <c r="AY50" s="1089">
        <f t="shared" si="25"/>
        <v>0.19072164948453607</v>
      </c>
      <c r="AZ50" s="1089">
        <f t="shared" si="26"/>
        <v>0.22488038277511962</v>
      </c>
      <c r="BA50" s="1089">
        <f t="shared" si="27"/>
        <v>0.20670391061452514</v>
      </c>
      <c r="BB50" s="1089">
        <f t="shared" si="28"/>
        <v>0.24855491329479767</v>
      </c>
      <c r="BC50" s="1089">
        <f t="shared" si="29"/>
        <v>0.23841059602649006</v>
      </c>
      <c r="BD50" s="1296">
        <f t="shared" si="30"/>
        <v>0.21818181818181817</v>
      </c>
      <c r="BE50" s="1298">
        <f>'Non-marital births'!L43</f>
        <v>0.27142857142857141</v>
      </c>
      <c r="BF50" s="1654">
        <v>0.31351351351351353</v>
      </c>
      <c r="BG50" s="1656">
        <f t="shared" si="16"/>
        <v>0.27142857142857141</v>
      </c>
    </row>
    <row r="51" spans="1:59" s="142" customFormat="1" ht="15.75" customHeight="1" x14ac:dyDescent="0.2">
      <c r="A51" s="149" t="s">
        <v>98</v>
      </c>
      <c r="B51" s="186" t="s">
        <v>99</v>
      </c>
      <c r="C51" s="150" t="s">
        <v>268</v>
      </c>
      <c r="D51" s="1057">
        <v>151</v>
      </c>
      <c r="E51" s="1058">
        <v>184</v>
      </c>
      <c r="F51" s="1059">
        <v>172</v>
      </c>
      <c r="G51" s="1058">
        <v>154</v>
      </c>
      <c r="H51" s="1059">
        <v>170</v>
      </c>
      <c r="I51" s="1058">
        <v>152</v>
      </c>
      <c r="J51" s="1059">
        <v>130</v>
      </c>
      <c r="K51" s="1058">
        <v>146</v>
      </c>
      <c r="L51" s="1072">
        <v>161</v>
      </c>
      <c r="M51" s="1072">
        <v>157</v>
      </c>
      <c r="N51" s="1072">
        <v>156</v>
      </c>
      <c r="O51" s="1072">
        <v>122</v>
      </c>
      <c r="P51" s="1073">
        <v>139</v>
      </c>
      <c r="Q51" s="1073">
        <v>117</v>
      </c>
      <c r="R51" s="1300">
        <v>142</v>
      </c>
      <c r="S51" s="1660">
        <f>'Non-marital births'!D44</f>
        <v>139</v>
      </c>
      <c r="T51" s="1663">
        <v>141</v>
      </c>
      <c r="U51" s="1664">
        <v>139</v>
      </c>
      <c r="V51" s="1531"/>
      <c r="W51" s="1080">
        <v>42</v>
      </c>
      <c r="X51" s="1081">
        <v>47</v>
      </c>
      <c r="Y51" s="1081">
        <v>38</v>
      </c>
      <c r="Z51" s="1081">
        <v>35</v>
      </c>
      <c r="AA51" s="1081">
        <v>44</v>
      </c>
      <c r="AB51" s="1081">
        <v>43</v>
      </c>
      <c r="AC51" s="1081">
        <v>39</v>
      </c>
      <c r="AD51" s="1081">
        <v>45</v>
      </c>
      <c r="AE51" s="1081">
        <v>60</v>
      </c>
      <c r="AF51" s="1081">
        <v>55</v>
      </c>
      <c r="AG51" s="1081">
        <v>55</v>
      </c>
      <c r="AH51" s="1081">
        <v>48</v>
      </c>
      <c r="AI51" s="1081">
        <v>50</v>
      </c>
      <c r="AJ51" s="1081">
        <v>53</v>
      </c>
      <c r="AK51" s="1303">
        <v>58</v>
      </c>
      <c r="AL51" s="1665">
        <f>'Non-marital births'!H44</f>
        <v>55</v>
      </c>
      <c r="AM51" s="1666">
        <v>57</v>
      </c>
      <c r="AN51" s="1667">
        <v>55</v>
      </c>
      <c r="AO51" s="1532"/>
      <c r="AP51" s="1088">
        <f t="shared" si="31"/>
        <v>0.27814569536423839</v>
      </c>
      <c r="AQ51" s="1089">
        <f t="shared" si="17"/>
        <v>0.25543478260869568</v>
      </c>
      <c r="AR51" s="1089">
        <f t="shared" si="18"/>
        <v>0.22093023255813954</v>
      </c>
      <c r="AS51" s="1089">
        <f t="shared" si="19"/>
        <v>0.22727272727272727</v>
      </c>
      <c r="AT51" s="1089">
        <f t="shared" si="20"/>
        <v>0.25882352941176473</v>
      </c>
      <c r="AU51" s="1089">
        <f t="shared" si="21"/>
        <v>0.28289473684210525</v>
      </c>
      <c r="AV51" s="1089">
        <f t="shared" si="22"/>
        <v>0.3</v>
      </c>
      <c r="AW51" s="1089">
        <f t="shared" si="23"/>
        <v>0.30821917808219179</v>
      </c>
      <c r="AX51" s="1089">
        <f t="shared" si="24"/>
        <v>0.37267080745341613</v>
      </c>
      <c r="AY51" s="1089">
        <f t="shared" si="25"/>
        <v>0.3503184713375796</v>
      </c>
      <c r="AZ51" s="1089">
        <f t="shared" si="26"/>
        <v>0.35256410256410259</v>
      </c>
      <c r="BA51" s="1089">
        <f t="shared" si="27"/>
        <v>0.39344262295081966</v>
      </c>
      <c r="BB51" s="1089">
        <f t="shared" si="28"/>
        <v>0.35971223021582732</v>
      </c>
      <c r="BC51" s="1089">
        <f t="shared" si="29"/>
        <v>0.45299145299145299</v>
      </c>
      <c r="BD51" s="1296">
        <f t="shared" si="30"/>
        <v>0.40845070422535212</v>
      </c>
      <c r="BE51" s="1298">
        <f>'Non-marital births'!L44</f>
        <v>0.39568345323741005</v>
      </c>
      <c r="BF51" s="1654">
        <v>0.40425531914893614</v>
      </c>
      <c r="BG51" s="1656">
        <f t="shared" si="16"/>
        <v>0.39568345323741005</v>
      </c>
    </row>
    <row r="52" spans="1:59" s="142" customFormat="1" ht="15.75" customHeight="1" x14ac:dyDescent="0.2">
      <c r="A52" s="149" t="s">
        <v>100</v>
      </c>
      <c r="B52" s="186" t="s">
        <v>101</v>
      </c>
      <c r="C52" s="150" t="s">
        <v>267</v>
      </c>
      <c r="D52" s="1057">
        <v>209</v>
      </c>
      <c r="E52" s="1058">
        <v>243</v>
      </c>
      <c r="F52" s="1059">
        <v>225</v>
      </c>
      <c r="G52" s="1058">
        <v>246</v>
      </c>
      <c r="H52" s="1059">
        <v>245</v>
      </c>
      <c r="I52" s="1058">
        <v>252</v>
      </c>
      <c r="J52" s="1059">
        <v>263</v>
      </c>
      <c r="K52" s="1058">
        <v>270</v>
      </c>
      <c r="L52" s="1072">
        <v>279</v>
      </c>
      <c r="M52" s="1072">
        <v>276</v>
      </c>
      <c r="N52" s="1072">
        <v>245</v>
      </c>
      <c r="O52" s="1072">
        <v>254</v>
      </c>
      <c r="P52" s="1073">
        <v>226</v>
      </c>
      <c r="Q52" s="1073">
        <v>227</v>
      </c>
      <c r="R52" s="1300">
        <v>236</v>
      </c>
      <c r="S52" s="1660">
        <f>'Non-marital births'!D45</f>
        <v>202</v>
      </c>
      <c r="T52" s="1663">
        <v>220</v>
      </c>
      <c r="U52" s="1664">
        <v>202</v>
      </c>
      <c r="V52" s="1531"/>
      <c r="W52" s="1080">
        <v>66</v>
      </c>
      <c r="X52" s="1081">
        <v>62</v>
      </c>
      <c r="Y52" s="1081">
        <v>62</v>
      </c>
      <c r="Z52" s="1081">
        <v>70</v>
      </c>
      <c r="AA52" s="1081">
        <v>73</v>
      </c>
      <c r="AB52" s="1081">
        <v>79</v>
      </c>
      <c r="AC52" s="1081">
        <v>76</v>
      </c>
      <c r="AD52" s="1081">
        <v>86</v>
      </c>
      <c r="AE52" s="1081">
        <v>92</v>
      </c>
      <c r="AF52" s="1081">
        <v>76</v>
      </c>
      <c r="AG52" s="1081">
        <v>86</v>
      </c>
      <c r="AH52" s="1081">
        <v>90</v>
      </c>
      <c r="AI52" s="1081">
        <v>64</v>
      </c>
      <c r="AJ52" s="1081">
        <v>81</v>
      </c>
      <c r="AK52" s="1303">
        <v>87</v>
      </c>
      <c r="AL52" s="1665">
        <f>'Non-marital births'!H45</f>
        <v>85</v>
      </c>
      <c r="AM52" s="1666">
        <v>84</v>
      </c>
      <c r="AN52" s="1667">
        <v>85</v>
      </c>
      <c r="AO52" s="1532"/>
      <c r="AP52" s="1088">
        <f t="shared" si="31"/>
        <v>0.31578947368421051</v>
      </c>
      <c r="AQ52" s="1089">
        <f t="shared" si="17"/>
        <v>0.2551440329218107</v>
      </c>
      <c r="AR52" s="1089">
        <f t="shared" si="18"/>
        <v>0.27555555555555555</v>
      </c>
      <c r="AS52" s="1089">
        <f t="shared" si="19"/>
        <v>0.28455284552845528</v>
      </c>
      <c r="AT52" s="1089">
        <f t="shared" si="20"/>
        <v>0.29795918367346941</v>
      </c>
      <c r="AU52" s="1089">
        <f t="shared" si="21"/>
        <v>0.31349206349206349</v>
      </c>
      <c r="AV52" s="1089">
        <f t="shared" si="22"/>
        <v>0.28897338403041822</v>
      </c>
      <c r="AW52" s="1089">
        <f t="shared" si="23"/>
        <v>0.31851851851851853</v>
      </c>
      <c r="AX52" s="1089">
        <f t="shared" si="24"/>
        <v>0.32974910394265233</v>
      </c>
      <c r="AY52" s="1089">
        <f t="shared" si="25"/>
        <v>0.27536231884057971</v>
      </c>
      <c r="AZ52" s="1089">
        <f t="shared" si="26"/>
        <v>0.3510204081632653</v>
      </c>
      <c r="BA52" s="1089">
        <f t="shared" si="27"/>
        <v>0.3543307086614173</v>
      </c>
      <c r="BB52" s="1089">
        <f t="shared" si="28"/>
        <v>0.2831858407079646</v>
      </c>
      <c r="BC52" s="1089">
        <f t="shared" si="29"/>
        <v>0.35682819383259912</v>
      </c>
      <c r="BD52" s="1296">
        <f t="shared" si="30"/>
        <v>0.36864406779661019</v>
      </c>
      <c r="BE52" s="1298">
        <f>'Non-marital births'!L45</f>
        <v>0.42079207920792078</v>
      </c>
      <c r="BF52" s="1654">
        <v>0.38181818181818183</v>
      </c>
      <c r="BG52" s="1656">
        <f t="shared" si="16"/>
        <v>0.42079207920792078</v>
      </c>
    </row>
    <row r="53" spans="1:59" s="142" customFormat="1" ht="15.75" customHeight="1" x14ac:dyDescent="0.2">
      <c r="A53" s="149" t="s">
        <v>102</v>
      </c>
      <c r="B53" s="186" t="s">
        <v>282</v>
      </c>
      <c r="C53" s="150" t="s">
        <v>264</v>
      </c>
      <c r="D53" s="1057">
        <v>168</v>
      </c>
      <c r="E53" s="1058">
        <v>172</v>
      </c>
      <c r="F53" s="1059">
        <v>191</v>
      </c>
      <c r="G53" s="1058">
        <v>193</v>
      </c>
      <c r="H53" s="1059">
        <v>204</v>
      </c>
      <c r="I53" s="1058">
        <v>188</v>
      </c>
      <c r="J53" s="1059">
        <v>187</v>
      </c>
      <c r="K53" s="1058">
        <v>193</v>
      </c>
      <c r="L53" s="1072">
        <v>208</v>
      </c>
      <c r="M53" s="1072">
        <v>200</v>
      </c>
      <c r="N53" s="1072">
        <v>215</v>
      </c>
      <c r="O53" s="1072">
        <v>165</v>
      </c>
      <c r="P53" s="1073">
        <v>179</v>
      </c>
      <c r="Q53" s="1073">
        <v>180</v>
      </c>
      <c r="R53" s="1300">
        <v>162</v>
      </c>
      <c r="S53" s="1660">
        <f>'Non-marital births'!D46</f>
        <v>177</v>
      </c>
      <c r="T53" s="1663">
        <v>177</v>
      </c>
      <c r="U53" s="1664">
        <v>177</v>
      </c>
      <c r="V53" s="1531"/>
      <c r="W53" s="1080">
        <v>92</v>
      </c>
      <c r="X53" s="1081">
        <v>100</v>
      </c>
      <c r="Y53" s="1081">
        <v>110</v>
      </c>
      <c r="Z53" s="1081">
        <v>117</v>
      </c>
      <c r="AA53" s="1081">
        <v>124</v>
      </c>
      <c r="AB53" s="1081">
        <v>101</v>
      </c>
      <c r="AC53" s="1081">
        <v>111</v>
      </c>
      <c r="AD53" s="1081">
        <v>125</v>
      </c>
      <c r="AE53" s="1081">
        <v>134</v>
      </c>
      <c r="AF53" s="1081">
        <v>135</v>
      </c>
      <c r="AG53" s="1081">
        <v>154</v>
      </c>
      <c r="AH53" s="1081">
        <v>114</v>
      </c>
      <c r="AI53" s="1081">
        <v>121</v>
      </c>
      <c r="AJ53" s="1081">
        <v>130</v>
      </c>
      <c r="AK53" s="1303">
        <v>116</v>
      </c>
      <c r="AL53" s="1665">
        <f>'Non-marital births'!H46</f>
        <v>126</v>
      </c>
      <c r="AM53" s="1666">
        <v>128</v>
      </c>
      <c r="AN53" s="1667">
        <v>126</v>
      </c>
      <c r="AO53" s="1532"/>
      <c r="AP53" s="1088">
        <f t="shared" si="31"/>
        <v>0.54761904761904767</v>
      </c>
      <c r="AQ53" s="1089">
        <f t="shared" si="17"/>
        <v>0.58139534883720934</v>
      </c>
      <c r="AR53" s="1089">
        <f t="shared" si="18"/>
        <v>0.5759162303664922</v>
      </c>
      <c r="AS53" s="1089">
        <f t="shared" si="19"/>
        <v>0.60621761658031093</v>
      </c>
      <c r="AT53" s="1089">
        <f t="shared" si="20"/>
        <v>0.60784313725490191</v>
      </c>
      <c r="AU53" s="1089">
        <f t="shared" si="21"/>
        <v>0.53723404255319152</v>
      </c>
      <c r="AV53" s="1089">
        <f t="shared" si="22"/>
        <v>0.5935828877005348</v>
      </c>
      <c r="AW53" s="1089">
        <f t="shared" si="23"/>
        <v>0.64766839378238339</v>
      </c>
      <c r="AX53" s="1089">
        <f t="shared" si="24"/>
        <v>0.64423076923076927</v>
      </c>
      <c r="AY53" s="1089">
        <f t="shared" si="25"/>
        <v>0.67500000000000004</v>
      </c>
      <c r="AZ53" s="1089">
        <f t="shared" si="26"/>
        <v>0.71627906976744182</v>
      </c>
      <c r="BA53" s="1089">
        <f t="shared" si="27"/>
        <v>0.69090909090909092</v>
      </c>
      <c r="BB53" s="1089">
        <f t="shared" si="28"/>
        <v>0.67597765363128492</v>
      </c>
      <c r="BC53" s="1089">
        <f t="shared" si="29"/>
        <v>0.72222222222222221</v>
      </c>
      <c r="BD53" s="1296">
        <f t="shared" si="30"/>
        <v>0.71604938271604934</v>
      </c>
      <c r="BE53" s="1298">
        <f>'Non-marital births'!L46</f>
        <v>0.71186440677966101</v>
      </c>
      <c r="BF53" s="1654">
        <v>0.7231638418079096</v>
      </c>
      <c r="BG53" s="1656">
        <f t="shared" si="16"/>
        <v>0.71186440677966101</v>
      </c>
    </row>
    <row r="54" spans="1:59" s="142" customFormat="1" ht="15.75" customHeight="1" x14ac:dyDescent="0.2">
      <c r="A54" s="149" t="s">
        <v>104</v>
      </c>
      <c r="B54" s="186" t="s">
        <v>105</v>
      </c>
      <c r="C54" s="150" t="s">
        <v>265</v>
      </c>
      <c r="D54" s="1057">
        <v>440</v>
      </c>
      <c r="E54" s="1058">
        <v>445</v>
      </c>
      <c r="F54" s="1059">
        <v>473</v>
      </c>
      <c r="G54" s="1058">
        <v>422</v>
      </c>
      <c r="H54" s="1059">
        <v>421</v>
      </c>
      <c r="I54" s="1058">
        <v>439</v>
      </c>
      <c r="J54" s="1059">
        <v>394</v>
      </c>
      <c r="K54" s="1058">
        <v>401</v>
      </c>
      <c r="L54" s="1072">
        <v>399</v>
      </c>
      <c r="M54" s="1072">
        <v>419</v>
      </c>
      <c r="N54" s="1072">
        <v>387</v>
      </c>
      <c r="O54" s="1072">
        <v>388</v>
      </c>
      <c r="P54" s="1073">
        <v>365</v>
      </c>
      <c r="Q54" s="1073">
        <v>316</v>
      </c>
      <c r="R54" s="1300">
        <v>341</v>
      </c>
      <c r="S54" s="1660">
        <f>'Non-marital births'!D47</f>
        <v>397</v>
      </c>
      <c r="T54" s="1663">
        <v>360</v>
      </c>
      <c r="U54" s="1664">
        <v>397</v>
      </c>
      <c r="V54" s="1531"/>
      <c r="W54" s="1080">
        <v>187</v>
      </c>
      <c r="X54" s="1081">
        <v>203</v>
      </c>
      <c r="Y54" s="1081">
        <v>204</v>
      </c>
      <c r="Z54" s="1081">
        <v>179</v>
      </c>
      <c r="AA54" s="1081">
        <v>183</v>
      </c>
      <c r="AB54" s="1081">
        <v>185</v>
      </c>
      <c r="AC54" s="1081">
        <v>196</v>
      </c>
      <c r="AD54" s="1081">
        <v>177</v>
      </c>
      <c r="AE54" s="1081">
        <v>186</v>
      </c>
      <c r="AF54" s="1081">
        <v>217</v>
      </c>
      <c r="AG54" s="1081">
        <v>194</v>
      </c>
      <c r="AH54" s="1081">
        <v>188</v>
      </c>
      <c r="AI54" s="1081">
        <v>185</v>
      </c>
      <c r="AJ54" s="1081">
        <v>157</v>
      </c>
      <c r="AK54" s="1303">
        <v>173</v>
      </c>
      <c r="AL54" s="1665">
        <f>'Non-marital births'!H47</f>
        <v>197</v>
      </c>
      <c r="AM54" s="1666">
        <v>190</v>
      </c>
      <c r="AN54" s="1667">
        <v>197</v>
      </c>
      <c r="AO54" s="1532"/>
      <c r="AP54" s="1088">
        <f t="shared" si="31"/>
        <v>0.42499999999999999</v>
      </c>
      <c r="AQ54" s="1089">
        <f t="shared" si="17"/>
        <v>0.45617977528089887</v>
      </c>
      <c r="AR54" s="1089">
        <f t="shared" si="18"/>
        <v>0.43128964059196617</v>
      </c>
      <c r="AS54" s="1089">
        <f t="shared" si="19"/>
        <v>0.42417061611374407</v>
      </c>
      <c r="AT54" s="1089">
        <f t="shared" si="20"/>
        <v>0.43467933491686461</v>
      </c>
      <c r="AU54" s="1089">
        <f t="shared" si="21"/>
        <v>0.42141230068337132</v>
      </c>
      <c r="AV54" s="1089">
        <f t="shared" si="22"/>
        <v>0.49746192893401014</v>
      </c>
      <c r="AW54" s="1089">
        <f t="shared" si="23"/>
        <v>0.44139650872817954</v>
      </c>
      <c r="AX54" s="1089">
        <f t="shared" si="24"/>
        <v>0.46616541353383456</v>
      </c>
      <c r="AY54" s="1089">
        <f t="shared" si="25"/>
        <v>0.5178997613365155</v>
      </c>
      <c r="AZ54" s="1089">
        <f t="shared" si="26"/>
        <v>0.50129198966408273</v>
      </c>
      <c r="BA54" s="1089">
        <f t="shared" si="27"/>
        <v>0.4845360824742268</v>
      </c>
      <c r="BB54" s="1089">
        <f t="shared" si="28"/>
        <v>0.50684931506849318</v>
      </c>
      <c r="BC54" s="1089">
        <f t="shared" si="29"/>
        <v>0.49683544303797467</v>
      </c>
      <c r="BD54" s="1296">
        <f t="shared" si="30"/>
        <v>0.50733137829912023</v>
      </c>
      <c r="BE54" s="1298">
        <f>'Non-marital births'!L47</f>
        <v>0.49622166246851385</v>
      </c>
      <c r="BF54" s="1654">
        <v>0.52777777777777779</v>
      </c>
      <c r="BG54" s="1656">
        <f t="shared" si="16"/>
        <v>0.49622166246851385</v>
      </c>
    </row>
    <row r="55" spans="1:59" s="142" customFormat="1" ht="15.75" customHeight="1" x14ac:dyDescent="0.2">
      <c r="A55" s="149" t="s">
        <v>106</v>
      </c>
      <c r="B55" s="186" t="s">
        <v>107</v>
      </c>
      <c r="C55" s="150" t="s">
        <v>264</v>
      </c>
      <c r="D55" s="1057">
        <v>2038</v>
      </c>
      <c r="E55" s="1058">
        <v>2026</v>
      </c>
      <c r="F55" s="1059">
        <v>2023</v>
      </c>
      <c r="G55" s="1058">
        <v>1927</v>
      </c>
      <c r="H55" s="1059">
        <v>1867</v>
      </c>
      <c r="I55" s="1058">
        <v>1810</v>
      </c>
      <c r="J55" s="1059">
        <v>1977</v>
      </c>
      <c r="K55" s="1058">
        <v>2026</v>
      </c>
      <c r="L55" s="1072">
        <v>2122</v>
      </c>
      <c r="M55" s="1072">
        <v>2135</v>
      </c>
      <c r="N55" s="1072">
        <v>1978</v>
      </c>
      <c r="O55" s="1072">
        <v>1936</v>
      </c>
      <c r="P55" s="1073">
        <v>1794</v>
      </c>
      <c r="Q55" s="1073">
        <v>1729</v>
      </c>
      <c r="R55" s="1300">
        <v>1825</v>
      </c>
      <c r="S55" s="1660">
        <f>'Non-marital births'!D110</f>
        <v>1637</v>
      </c>
      <c r="T55" s="1663">
        <v>1765</v>
      </c>
      <c r="U55" s="1664">
        <v>1637</v>
      </c>
      <c r="V55" s="1531"/>
      <c r="W55" s="1080">
        <v>818</v>
      </c>
      <c r="X55" s="1081">
        <v>857</v>
      </c>
      <c r="Y55" s="1081">
        <v>845</v>
      </c>
      <c r="Z55" s="1081">
        <v>834</v>
      </c>
      <c r="AA55" s="1081">
        <v>814</v>
      </c>
      <c r="AB55" s="1081">
        <v>777</v>
      </c>
      <c r="AC55" s="1081">
        <v>877</v>
      </c>
      <c r="AD55" s="1081">
        <v>865</v>
      </c>
      <c r="AE55" s="1081">
        <v>883</v>
      </c>
      <c r="AF55" s="1081">
        <v>927</v>
      </c>
      <c r="AG55" s="1081">
        <v>881</v>
      </c>
      <c r="AH55" s="1081">
        <v>866</v>
      </c>
      <c r="AI55" s="1081">
        <v>821</v>
      </c>
      <c r="AJ55" s="1081">
        <v>808</v>
      </c>
      <c r="AK55" s="1303">
        <v>861</v>
      </c>
      <c r="AL55" s="1665">
        <f>'Non-marital births'!H110</f>
        <v>787</v>
      </c>
      <c r="AM55" s="1666">
        <v>817</v>
      </c>
      <c r="AN55" s="1667">
        <v>787</v>
      </c>
      <c r="AO55" s="1532"/>
      <c r="AP55" s="1088">
        <f t="shared" si="31"/>
        <v>0.40137389597644751</v>
      </c>
      <c r="AQ55" s="1089">
        <f t="shared" si="17"/>
        <v>0.42300098716683121</v>
      </c>
      <c r="AR55" s="1089">
        <f t="shared" si="18"/>
        <v>0.41769649036085021</v>
      </c>
      <c r="AS55" s="1089">
        <f t="shared" si="19"/>
        <v>0.43279709392838611</v>
      </c>
      <c r="AT55" s="1089">
        <f t="shared" si="20"/>
        <v>0.43599357257632565</v>
      </c>
      <c r="AU55" s="1089">
        <f t="shared" si="21"/>
        <v>0.42928176795580109</v>
      </c>
      <c r="AV55" s="1089">
        <f t="shared" si="22"/>
        <v>0.44360141628730398</v>
      </c>
      <c r="AW55" s="1089">
        <f t="shared" si="23"/>
        <v>0.4269496544916091</v>
      </c>
      <c r="AX55" s="1089">
        <f t="shared" si="24"/>
        <v>0.4161168708765316</v>
      </c>
      <c r="AY55" s="1089">
        <f t="shared" si="25"/>
        <v>0.43419203747072599</v>
      </c>
      <c r="AZ55" s="1089">
        <f t="shared" si="26"/>
        <v>0.44539939332659251</v>
      </c>
      <c r="BA55" s="1089">
        <f t="shared" si="27"/>
        <v>0.44731404958677684</v>
      </c>
      <c r="BB55" s="1089">
        <f t="shared" si="28"/>
        <v>0.4576365663322185</v>
      </c>
      <c r="BC55" s="1089">
        <f t="shared" si="29"/>
        <v>0.46732215153267787</v>
      </c>
      <c r="BD55" s="1296">
        <f t="shared" si="30"/>
        <v>0.47178082191780824</v>
      </c>
      <c r="BE55" s="1298">
        <f>'Non-marital births'!L110</f>
        <v>0.48075748320097739</v>
      </c>
      <c r="BF55" s="1654">
        <v>0.46288951841359771</v>
      </c>
      <c r="BG55" s="1656">
        <f t="shared" si="16"/>
        <v>0.48075748320097739</v>
      </c>
    </row>
    <row r="56" spans="1:59" s="142" customFormat="1" ht="15.75" customHeight="1" x14ac:dyDescent="0.2">
      <c r="A56" s="149" t="s">
        <v>108</v>
      </c>
      <c r="B56" s="186" t="s">
        <v>109</v>
      </c>
      <c r="C56" s="150" t="s">
        <v>266</v>
      </c>
      <c r="D56" s="1057">
        <v>1004</v>
      </c>
      <c r="E56" s="1058">
        <v>1123</v>
      </c>
      <c r="F56" s="1059">
        <v>1060</v>
      </c>
      <c r="G56" s="1058">
        <v>1091</v>
      </c>
      <c r="H56" s="1059">
        <v>1069</v>
      </c>
      <c r="I56" s="1058">
        <v>1063</v>
      </c>
      <c r="J56" s="1059">
        <v>1131</v>
      </c>
      <c r="K56" s="1058">
        <v>1049</v>
      </c>
      <c r="L56" s="1072">
        <v>1100</v>
      </c>
      <c r="M56" s="1072">
        <v>1004</v>
      </c>
      <c r="N56" s="1072">
        <v>1032</v>
      </c>
      <c r="O56" s="1072">
        <v>970</v>
      </c>
      <c r="P56" s="1073">
        <v>918</v>
      </c>
      <c r="Q56" s="1073">
        <v>877</v>
      </c>
      <c r="R56" s="1300">
        <v>861</v>
      </c>
      <c r="S56" s="1660">
        <f>'Non-marital births'!D48</f>
        <v>966</v>
      </c>
      <c r="T56" s="1663">
        <v>936</v>
      </c>
      <c r="U56" s="1664">
        <v>966</v>
      </c>
      <c r="V56" s="1531"/>
      <c r="W56" s="1080">
        <v>155</v>
      </c>
      <c r="X56" s="1081">
        <v>161</v>
      </c>
      <c r="Y56" s="1081">
        <v>166</v>
      </c>
      <c r="Z56" s="1081">
        <v>164</v>
      </c>
      <c r="AA56" s="1081">
        <v>179</v>
      </c>
      <c r="AB56" s="1081">
        <v>172</v>
      </c>
      <c r="AC56" s="1081">
        <v>191</v>
      </c>
      <c r="AD56" s="1081">
        <v>207</v>
      </c>
      <c r="AE56" s="1081">
        <v>222</v>
      </c>
      <c r="AF56" s="1081">
        <v>227</v>
      </c>
      <c r="AG56" s="1081">
        <v>248</v>
      </c>
      <c r="AH56" s="1081">
        <v>270</v>
      </c>
      <c r="AI56" s="1081">
        <v>262</v>
      </c>
      <c r="AJ56" s="1081">
        <v>237</v>
      </c>
      <c r="AK56" s="1303">
        <v>228</v>
      </c>
      <c r="AL56" s="1665">
        <f>'Non-marital births'!H48</f>
        <v>266</v>
      </c>
      <c r="AM56" s="1666">
        <v>249</v>
      </c>
      <c r="AN56" s="1667">
        <v>266</v>
      </c>
      <c r="AO56" s="1532"/>
      <c r="AP56" s="1088">
        <f t="shared" si="31"/>
        <v>0.15438247011952191</v>
      </c>
      <c r="AQ56" s="1089">
        <f t="shared" si="17"/>
        <v>0.14336598397150491</v>
      </c>
      <c r="AR56" s="1089">
        <f t="shared" si="18"/>
        <v>0.15660377358490565</v>
      </c>
      <c r="AS56" s="1089">
        <f t="shared" si="19"/>
        <v>0.15032080659945005</v>
      </c>
      <c r="AT56" s="1089">
        <f t="shared" si="20"/>
        <v>0.16744621141253507</v>
      </c>
      <c r="AU56" s="1089">
        <f t="shared" si="21"/>
        <v>0.16180620884289745</v>
      </c>
      <c r="AV56" s="1089">
        <f t="shared" si="22"/>
        <v>0.16887709991158267</v>
      </c>
      <c r="AW56" s="1089">
        <f t="shared" si="23"/>
        <v>0.19733079122974262</v>
      </c>
      <c r="AX56" s="1089">
        <f t="shared" si="24"/>
        <v>0.20181818181818181</v>
      </c>
      <c r="AY56" s="1089">
        <f t="shared" si="25"/>
        <v>0.22609561752988047</v>
      </c>
      <c r="AZ56" s="1089">
        <f t="shared" si="26"/>
        <v>0.24031007751937986</v>
      </c>
      <c r="BA56" s="1089">
        <f t="shared" si="27"/>
        <v>0.27835051546391754</v>
      </c>
      <c r="BB56" s="1089">
        <f t="shared" si="28"/>
        <v>0.28540305010893247</v>
      </c>
      <c r="BC56" s="1089">
        <f t="shared" si="29"/>
        <v>0.27023945267958949</v>
      </c>
      <c r="BD56" s="1296">
        <f t="shared" si="30"/>
        <v>0.26480836236933797</v>
      </c>
      <c r="BE56" s="1298">
        <f>'Non-marital births'!L48</f>
        <v>0.27536231884057971</v>
      </c>
      <c r="BF56" s="1654">
        <v>0.26602564102564102</v>
      </c>
      <c r="BG56" s="1656">
        <f t="shared" si="16"/>
        <v>0.27536231884057971</v>
      </c>
    </row>
    <row r="57" spans="1:59" s="142" customFormat="1" ht="15.75" customHeight="1" x14ac:dyDescent="0.2">
      <c r="A57" s="149" t="s">
        <v>110</v>
      </c>
      <c r="B57" s="186" t="s">
        <v>111</v>
      </c>
      <c r="C57" s="150" t="s">
        <v>266</v>
      </c>
      <c r="D57" s="1057">
        <v>3545</v>
      </c>
      <c r="E57" s="1058">
        <v>3634</v>
      </c>
      <c r="F57" s="1059">
        <v>3700</v>
      </c>
      <c r="G57" s="1058">
        <v>3574</v>
      </c>
      <c r="H57" s="1059">
        <v>3703</v>
      </c>
      <c r="I57" s="1058">
        <v>3728</v>
      </c>
      <c r="J57" s="1059">
        <v>3951</v>
      </c>
      <c r="K57" s="1058">
        <v>4098</v>
      </c>
      <c r="L57" s="1072">
        <v>4136</v>
      </c>
      <c r="M57" s="1072">
        <v>4098</v>
      </c>
      <c r="N57" s="1072">
        <v>3991</v>
      </c>
      <c r="O57" s="1072">
        <v>4086</v>
      </c>
      <c r="P57" s="1073">
        <v>3890</v>
      </c>
      <c r="Q57" s="1073">
        <v>3939</v>
      </c>
      <c r="R57" s="1300">
        <v>3969</v>
      </c>
      <c r="S57" s="1660">
        <f>'Non-marital births'!D49</f>
        <v>3993</v>
      </c>
      <c r="T57" s="1663">
        <v>4061</v>
      </c>
      <c r="U57" s="1664">
        <v>3993</v>
      </c>
      <c r="V57" s="1531"/>
      <c r="W57" s="1080">
        <v>1027</v>
      </c>
      <c r="X57" s="1081">
        <v>953</v>
      </c>
      <c r="Y57" s="1081">
        <v>1023</v>
      </c>
      <c r="Z57" s="1081">
        <v>956</v>
      </c>
      <c r="AA57" s="1081">
        <v>1035</v>
      </c>
      <c r="AB57" s="1081">
        <v>1120</v>
      </c>
      <c r="AC57" s="1081">
        <v>1194</v>
      </c>
      <c r="AD57" s="1081">
        <v>1321</v>
      </c>
      <c r="AE57" s="1081">
        <v>1374</v>
      </c>
      <c r="AF57" s="1081">
        <v>1378</v>
      </c>
      <c r="AG57" s="1081">
        <v>1482</v>
      </c>
      <c r="AH57" s="1081">
        <v>1456</v>
      </c>
      <c r="AI57" s="1081">
        <v>1358</v>
      </c>
      <c r="AJ57" s="1081">
        <v>1354</v>
      </c>
      <c r="AK57" s="1303">
        <v>1389</v>
      </c>
      <c r="AL57" s="1665">
        <f>'Non-marital births'!H49</f>
        <v>1278</v>
      </c>
      <c r="AM57" s="1666">
        <v>1394</v>
      </c>
      <c r="AN57" s="1667">
        <v>1278</v>
      </c>
      <c r="AO57" s="1532"/>
      <c r="AP57" s="1088">
        <f t="shared" si="31"/>
        <v>0.28970380818053598</v>
      </c>
      <c r="AQ57" s="1089">
        <f t="shared" si="17"/>
        <v>0.26224545954870665</v>
      </c>
      <c r="AR57" s="1089">
        <f t="shared" si="18"/>
        <v>0.27648648648648649</v>
      </c>
      <c r="AS57" s="1089">
        <f t="shared" si="19"/>
        <v>0.26748740906547286</v>
      </c>
      <c r="AT57" s="1089">
        <f t="shared" si="20"/>
        <v>0.27950310559006208</v>
      </c>
      <c r="AU57" s="1089">
        <f t="shared" si="21"/>
        <v>0.30042918454935624</v>
      </c>
      <c r="AV57" s="1089">
        <f t="shared" si="22"/>
        <v>0.30220197418375094</v>
      </c>
      <c r="AW57" s="1089">
        <f t="shared" si="23"/>
        <v>0.32235236700829673</v>
      </c>
      <c r="AX57" s="1089">
        <f t="shared" si="24"/>
        <v>0.33220502901353965</v>
      </c>
      <c r="AY57" s="1089">
        <f t="shared" si="25"/>
        <v>0.33626159102000974</v>
      </c>
      <c r="AZ57" s="1089">
        <f t="shared" si="26"/>
        <v>0.37133550488599348</v>
      </c>
      <c r="BA57" s="1089">
        <f t="shared" si="27"/>
        <v>0.35633871757219776</v>
      </c>
      <c r="BB57" s="1089">
        <f t="shared" si="28"/>
        <v>0.34910025706940873</v>
      </c>
      <c r="BC57" s="1089">
        <f t="shared" si="29"/>
        <v>0.34374206651434375</v>
      </c>
      <c r="BD57" s="1296">
        <f t="shared" si="30"/>
        <v>0.34996220710506426</v>
      </c>
      <c r="BE57" s="1298">
        <f>'Non-marital births'!L49</f>
        <v>0.32006010518407213</v>
      </c>
      <c r="BF57" s="1654">
        <v>0.34326520561438068</v>
      </c>
      <c r="BG57" s="1656">
        <f t="shared" si="16"/>
        <v>0.32006010518407213</v>
      </c>
    </row>
    <row r="58" spans="1:59" s="142" customFormat="1" ht="15.75" customHeight="1" x14ac:dyDescent="0.2">
      <c r="A58" s="149" t="s">
        <v>112</v>
      </c>
      <c r="B58" s="186" t="s">
        <v>300</v>
      </c>
      <c r="C58" s="150" t="s">
        <v>265</v>
      </c>
      <c r="D58" s="1057">
        <v>784</v>
      </c>
      <c r="E58" s="1058">
        <v>827</v>
      </c>
      <c r="F58" s="1059">
        <v>871</v>
      </c>
      <c r="G58" s="1058">
        <v>816</v>
      </c>
      <c r="H58" s="1059">
        <v>791</v>
      </c>
      <c r="I58" s="1058">
        <v>759</v>
      </c>
      <c r="J58" s="1059">
        <v>760</v>
      </c>
      <c r="K58" s="1058">
        <v>777</v>
      </c>
      <c r="L58" s="1072">
        <v>842</v>
      </c>
      <c r="M58" s="1072">
        <v>840</v>
      </c>
      <c r="N58" s="1072">
        <v>816</v>
      </c>
      <c r="O58" s="1072">
        <v>762</v>
      </c>
      <c r="P58" s="1073">
        <v>732</v>
      </c>
      <c r="Q58" s="1073">
        <v>750</v>
      </c>
      <c r="R58" s="1300">
        <v>683</v>
      </c>
      <c r="S58" s="1660">
        <f>'Non-marital births'!D50</f>
        <v>695</v>
      </c>
      <c r="T58" s="1663">
        <v>616</v>
      </c>
      <c r="U58" s="1664">
        <v>695</v>
      </c>
      <c r="V58" s="1531"/>
      <c r="W58" s="1080">
        <v>315</v>
      </c>
      <c r="X58" s="1081">
        <v>340</v>
      </c>
      <c r="Y58" s="1081">
        <v>356</v>
      </c>
      <c r="Z58" s="1081">
        <v>346</v>
      </c>
      <c r="AA58" s="1081">
        <v>349</v>
      </c>
      <c r="AB58" s="1081">
        <v>369</v>
      </c>
      <c r="AC58" s="1081">
        <v>400</v>
      </c>
      <c r="AD58" s="1081">
        <v>408</v>
      </c>
      <c r="AE58" s="1081">
        <v>460</v>
      </c>
      <c r="AF58" s="1081">
        <v>456</v>
      </c>
      <c r="AG58" s="1081">
        <v>439</v>
      </c>
      <c r="AH58" s="1081">
        <v>433</v>
      </c>
      <c r="AI58" s="1081">
        <v>423</v>
      </c>
      <c r="AJ58" s="1081">
        <v>429</v>
      </c>
      <c r="AK58" s="1303">
        <v>374</v>
      </c>
      <c r="AL58" s="1665">
        <f>'Non-marital births'!H50</f>
        <v>393</v>
      </c>
      <c r="AM58" s="1666">
        <v>351</v>
      </c>
      <c r="AN58" s="1667">
        <v>393</v>
      </c>
      <c r="AO58" s="1532"/>
      <c r="AP58" s="1088">
        <f t="shared" si="31"/>
        <v>0.4017857142857143</v>
      </c>
      <c r="AQ58" s="1089">
        <f t="shared" si="17"/>
        <v>0.41112454655380892</v>
      </c>
      <c r="AR58" s="1089">
        <f t="shared" si="18"/>
        <v>0.4087256027554535</v>
      </c>
      <c r="AS58" s="1089">
        <f t="shared" si="19"/>
        <v>0.42401960784313725</v>
      </c>
      <c r="AT58" s="1089">
        <f t="shared" si="20"/>
        <v>0.44121365360303416</v>
      </c>
      <c r="AU58" s="1089">
        <f t="shared" si="21"/>
        <v>0.48616600790513836</v>
      </c>
      <c r="AV58" s="1089">
        <f t="shared" si="22"/>
        <v>0.52631578947368418</v>
      </c>
      <c r="AW58" s="1089">
        <f t="shared" si="23"/>
        <v>0.52509652509652505</v>
      </c>
      <c r="AX58" s="1089">
        <f t="shared" si="24"/>
        <v>0.54631828978622332</v>
      </c>
      <c r="AY58" s="1089">
        <f t="shared" si="25"/>
        <v>0.54285714285714282</v>
      </c>
      <c r="AZ58" s="1089">
        <f t="shared" si="26"/>
        <v>0.53799019607843135</v>
      </c>
      <c r="BA58" s="1089">
        <f t="shared" si="27"/>
        <v>0.56824146981627299</v>
      </c>
      <c r="BB58" s="1089">
        <f t="shared" si="28"/>
        <v>0.57786885245901642</v>
      </c>
      <c r="BC58" s="1089">
        <f t="shared" si="29"/>
        <v>0.57199999999999995</v>
      </c>
      <c r="BD58" s="1296">
        <f t="shared" si="30"/>
        <v>0.54758418740849191</v>
      </c>
      <c r="BE58" s="1298">
        <f>'Non-marital births'!L50</f>
        <v>0.56546762589928057</v>
      </c>
      <c r="BF58" s="1654">
        <v>0.56980519480519476</v>
      </c>
      <c r="BG58" s="1656">
        <f t="shared" si="16"/>
        <v>0.56546762589928057</v>
      </c>
    </row>
    <row r="59" spans="1:59" s="142" customFormat="1" ht="15.75" customHeight="1" x14ac:dyDescent="0.2">
      <c r="A59" s="149" t="s">
        <v>114</v>
      </c>
      <c r="B59" s="186" t="s">
        <v>115</v>
      </c>
      <c r="C59" s="150" t="s">
        <v>265</v>
      </c>
      <c r="D59" s="1057">
        <v>11</v>
      </c>
      <c r="E59" s="1058">
        <v>19</v>
      </c>
      <c r="F59" s="1059">
        <v>14</v>
      </c>
      <c r="G59" s="1058">
        <v>20</v>
      </c>
      <c r="H59" s="1059">
        <v>16</v>
      </c>
      <c r="I59" s="1058">
        <v>12</v>
      </c>
      <c r="J59" s="1059">
        <v>14</v>
      </c>
      <c r="K59" s="1058">
        <v>14</v>
      </c>
      <c r="L59" s="1072">
        <v>9</v>
      </c>
      <c r="M59" s="1072">
        <v>20</v>
      </c>
      <c r="N59" s="1072">
        <v>14</v>
      </c>
      <c r="O59" s="1072">
        <v>14</v>
      </c>
      <c r="P59" s="1073">
        <v>16</v>
      </c>
      <c r="Q59" s="1073">
        <v>14</v>
      </c>
      <c r="R59" s="1300">
        <v>12</v>
      </c>
      <c r="S59" s="1660">
        <f>'Non-marital births'!D51</f>
        <v>18</v>
      </c>
      <c r="T59" s="1663">
        <v>15</v>
      </c>
      <c r="U59" s="1664">
        <v>18</v>
      </c>
      <c r="V59" s="1531"/>
      <c r="W59" s="1080">
        <v>2</v>
      </c>
      <c r="X59" s="1081">
        <v>2</v>
      </c>
      <c r="Y59" s="1081">
        <v>3</v>
      </c>
      <c r="Z59" s="1081">
        <v>6</v>
      </c>
      <c r="AA59" s="1081">
        <v>3</v>
      </c>
      <c r="AB59" s="1081">
        <v>3</v>
      </c>
      <c r="AC59" s="1081">
        <v>5</v>
      </c>
      <c r="AD59" s="1081">
        <v>2</v>
      </c>
      <c r="AE59" s="1081">
        <v>3</v>
      </c>
      <c r="AF59" s="1081">
        <v>5</v>
      </c>
      <c r="AG59" s="1081">
        <v>2</v>
      </c>
      <c r="AH59" s="1081">
        <v>2</v>
      </c>
      <c r="AI59" s="1081">
        <v>2</v>
      </c>
      <c r="AJ59" s="1081">
        <v>2</v>
      </c>
      <c r="AK59" s="1303">
        <v>0</v>
      </c>
      <c r="AL59" s="1665">
        <f>'Non-marital births'!H51</f>
        <v>3</v>
      </c>
      <c r="AM59" s="1666">
        <v>0</v>
      </c>
      <c r="AN59" s="1667">
        <v>3</v>
      </c>
      <c r="AO59" s="1532"/>
      <c r="AP59" s="1088">
        <f t="shared" si="31"/>
        <v>0.18181818181818182</v>
      </c>
      <c r="AQ59" s="1089">
        <f t="shared" si="17"/>
        <v>0.10526315789473684</v>
      </c>
      <c r="AR59" s="1089">
        <f t="shared" si="18"/>
        <v>0.21428571428571427</v>
      </c>
      <c r="AS59" s="1089">
        <f t="shared" si="19"/>
        <v>0.3</v>
      </c>
      <c r="AT59" s="1089">
        <f t="shared" si="20"/>
        <v>0.1875</v>
      </c>
      <c r="AU59" s="1089">
        <f t="shared" si="21"/>
        <v>0.25</v>
      </c>
      <c r="AV59" s="1089">
        <f t="shared" si="22"/>
        <v>0.35714285714285715</v>
      </c>
      <c r="AW59" s="1089">
        <f t="shared" si="23"/>
        <v>0.14285714285714285</v>
      </c>
      <c r="AX59" s="1089">
        <f t="shared" si="24"/>
        <v>0.33333333333333331</v>
      </c>
      <c r="AY59" s="1089">
        <f t="shared" si="25"/>
        <v>0.25</v>
      </c>
      <c r="AZ59" s="1089">
        <f t="shared" si="26"/>
        <v>0.14285714285714285</v>
      </c>
      <c r="BA59" s="1089">
        <f t="shared" si="27"/>
        <v>0.14285714285714285</v>
      </c>
      <c r="BB59" s="1089">
        <f t="shared" si="28"/>
        <v>0.125</v>
      </c>
      <c r="BC59" s="1089">
        <f t="shared" si="29"/>
        <v>0.14285714285714285</v>
      </c>
      <c r="BD59" s="1296">
        <f t="shared" si="30"/>
        <v>0</v>
      </c>
      <c r="BE59" s="1298">
        <f>'Non-marital births'!L51</f>
        <v>0.16666666666666666</v>
      </c>
      <c r="BF59" s="1654">
        <v>0</v>
      </c>
      <c r="BG59" s="1656">
        <f t="shared" si="16"/>
        <v>0.16666666666666666</v>
      </c>
    </row>
    <row r="60" spans="1:59" s="142" customFormat="1" ht="15.75" customHeight="1" x14ac:dyDescent="0.2">
      <c r="A60" s="149" t="s">
        <v>116</v>
      </c>
      <c r="B60" s="186" t="s">
        <v>117</v>
      </c>
      <c r="C60" s="150" t="s">
        <v>266</v>
      </c>
      <c r="D60" s="1057">
        <v>365</v>
      </c>
      <c r="E60" s="1058">
        <v>332</v>
      </c>
      <c r="F60" s="1059">
        <v>371</v>
      </c>
      <c r="G60" s="1058">
        <v>355</v>
      </c>
      <c r="H60" s="1059">
        <v>334</v>
      </c>
      <c r="I60" s="1058">
        <v>339</v>
      </c>
      <c r="J60" s="1059">
        <v>336</v>
      </c>
      <c r="K60" s="1058">
        <v>334</v>
      </c>
      <c r="L60" s="1072">
        <v>404</v>
      </c>
      <c r="M60" s="1072">
        <v>396</v>
      </c>
      <c r="N60" s="1072">
        <v>382</v>
      </c>
      <c r="O60" s="1072">
        <v>413</v>
      </c>
      <c r="P60" s="1073">
        <v>385</v>
      </c>
      <c r="Q60" s="1073">
        <v>339</v>
      </c>
      <c r="R60" s="1300">
        <v>367</v>
      </c>
      <c r="S60" s="1660">
        <f>'Non-marital births'!D111</f>
        <v>351</v>
      </c>
      <c r="T60" s="1663">
        <v>368</v>
      </c>
      <c r="U60" s="1664">
        <v>351</v>
      </c>
      <c r="V60" s="1531"/>
      <c r="W60" s="1080">
        <v>193</v>
      </c>
      <c r="X60" s="1081">
        <v>190</v>
      </c>
      <c r="Y60" s="1081">
        <v>209</v>
      </c>
      <c r="Z60" s="1081">
        <v>177</v>
      </c>
      <c r="AA60" s="1081">
        <v>189</v>
      </c>
      <c r="AB60" s="1081">
        <v>216</v>
      </c>
      <c r="AC60" s="1081">
        <v>198</v>
      </c>
      <c r="AD60" s="1081">
        <v>203</v>
      </c>
      <c r="AE60" s="1081">
        <v>247</v>
      </c>
      <c r="AF60" s="1081">
        <v>248</v>
      </c>
      <c r="AG60" s="1081">
        <v>229</v>
      </c>
      <c r="AH60" s="1081">
        <v>285</v>
      </c>
      <c r="AI60" s="1081">
        <v>252</v>
      </c>
      <c r="AJ60" s="1081">
        <v>232</v>
      </c>
      <c r="AK60" s="1303">
        <v>232</v>
      </c>
      <c r="AL60" s="1665">
        <f>'Non-marital births'!H111</f>
        <v>225</v>
      </c>
      <c r="AM60" s="1666">
        <v>238</v>
      </c>
      <c r="AN60" s="1667">
        <v>225</v>
      </c>
      <c r="AO60" s="1532"/>
      <c r="AP60" s="1088">
        <f t="shared" si="31"/>
        <v>0.52876712328767128</v>
      </c>
      <c r="AQ60" s="1089">
        <f t="shared" si="17"/>
        <v>0.57228915662650603</v>
      </c>
      <c r="AR60" s="1089">
        <f t="shared" si="18"/>
        <v>0.56334231805929924</v>
      </c>
      <c r="AS60" s="1089">
        <f t="shared" si="19"/>
        <v>0.49859154929577465</v>
      </c>
      <c r="AT60" s="1089">
        <f t="shared" si="20"/>
        <v>0.56586826347305386</v>
      </c>
      <c r="AU60" s="1089">
        <f t="shared" si="21"/>
        <v>0.63716814159292035</v>
      </c>
      <c r="AV60" s="1089">
        <f t="shared" si="22"/>
        <v>0.5892857142857143</v>
      </c>
      <c r="AW60" s="1089">
        <f t="shared" si="23"/>
        <v>0.60778443113772451</v>
      </c>
      <c r="AX60" s="1089">
        <f t="shared" si="24"/>
        <v>0.61138613861386137</v>
      </c>
      <c r="AY60" s="1089">
        <f t="shared" si="25"/>
        <v>0.6262626262626263</v>
      </c>
      <c r="AZ60" s="1089">
        <f t="shared" si="26"/>
        <v>0.59947643979057597</v>
      </c>
      <c r="BA60" s="1089">
        <f t="shared" si="27"/>
        <v>0.69007263922518158</v>
      </c>
      <c r="BB60" s="1089">
        <f t="shared" si="28"/>
        <v>0.65454545454545454</v>
      </c>
      <c r="BC60" s="1089">
        <f t="shared" si="29"/>
        <v>0.68436578171091444</v>
      </c>
      <c r="BD60" s="1296">
        <f t="shared" si="30"/>
        <v>0.63215258855585832</v>
      </c>
      <c r="BE60" s="1298">
        <f>'Non-marital births'!L111</f>
        <v>0.64102564102564108</v>
      </c>
      <c r="BF60" s="1654">
        <v>0.64673913043478259</v>
      </c>
      <c r="BG60" s="1656">
        <f t="shared" si="16"/>
        <v>0.64102564102564108</v>
      </c>
    </row>
    <row r="61" spans="1:59" s="142" customFormat="1" ht="15.75" customHeight="1" x14ac:dyDescent="0.2">
      <c r="A61" s="149" t="s">
        <v>118</v>
      </c>
      <c r="B61" s="186" t="s">
        <v>270</v>
      </c>
      <c r="C61" s="150" t="s">
        <v>264</v>
      </c>
      <c r="D61" s="1057">
        <v>358</v>
      </c>
      <c r="E61" s="1058">
        <v>336</v>
      </c>
      <c r="F61" s="1059">
        <v>364</v>
      </c>
      <c r="G61" s="1058">
        <v>338</v>
      </c>
      <c r="H61" s="1059">
        <v>358</v>
      </c>
      <c r="I61" s="1058">
        <v>322</v>
      </c>
      <c r="J61" s="1059">
        <v>355</v>
      </c>
      <c r="K61" s="1058">
        <v>347</v>
      </c>
      <c r="L61" s="1072">
        <v>390</v>
      </c>
      <c r="M61" s="1072">
        <v>355</v>
      </c>
      <c r="N61" s="1072">
        <v>384</v>
      </c>
      <c r="O61" s="1072">
        <v>370</v>
      </c>
      <c r="P61" s="1073">
        <v>340</v>
      </c>
      <c r="Q61" s="1073">
        <v>319</v>
      </c>
      <c r="R61" s="1300">
        <v>300</v>
      </c>
      <c r="S61" s="1660">
        <f>'Non-marital births'!D52</f>
        <v>356</v>
      </c>
      <c r="T61" s="1663">
        <v>372</v>
      </c>
      <c r="U61" s="1664">
        <v>356</v>
      </c>
      <c r="V61" s="1531"/>
      <c r="W61" s="1080">
        <v>107</v>
      </c>
      <c r="X61" s="1081">
        <v>124</v>
      </c>
      <c r="Y61" s="1081">
        <v>114</v>
      </c>
      <c r="Z61" s="1081">
        <v>137</v>
      </c>
      <c r="AA61" s="1081">
        <v>128</v>
      </c>
      <c r="AB61" s="1081">
        <v>119</v>
      </c>
      <c r="AC61" s="1081">
        <v>113</v>
      </c>
      <c r="AD61" s="1081">
        <v>127</v>
      </c>
      <c r="AE61" s="1081">
        <v>133</v>
      </c>
      <c r="AF61" s="1081">
        <v>122</v>
      </c>
      <c r="AG61" s="1081">
        <v>138</v>
      </c>
      <c r="AH61" s="1081">
        <v>133</v>
      </c>
      <c r="AI61" s="1081">
        <v>120</v>
      </c>
      <c r="AJ61" s="1081">
        <v>129</v>
      </c>
      <c r="AK61" s="1303">
        <v>107</v>
      </c>
      <c r="AL61" s="1665">
        <f>'Non-marital births'!H52</f>
        <v>142</v>
      </c>
      <c r="AM61" s="1666">
        <v>139</v>
      </c>
      <c r="AN61" s="1667">
        <v>142</v>
      </c>
      <c r="AO61" s="1532"/>
      <c r="AP61" s="1088">
        <f t="shared" si="31"/>
        <v>0.2988826815642458</v>
      </c>
      <c r="AQ61" s="1089">
        <f t="shared" si="17"/>
        <v>0.36904761904761907</v>
      </c>
      <c r="AR61" s="1089">
        <f t="shared" si="18"/>
        <v>0.31318681318681318</v>
      </c>
      <c r="AS61" s="1089">
        <f t="shared" si="19"/>
        <v>0.40532544378698226</v>
      </c>
      <c r="AT61" s="1089">
        <f t="shared" si="20"/>
        <v>0.35754189944134079</v>
      </c>
      <c r="AU61" s="1089">
        <f t="shared" si="21"/>
        <v>0.36956521739130432</v>
      </c>
      <c r="AV61" s="1089">
        <f t="shared" si="22"/>
        <v>0.3183098591549296</v>
      </c>
      <c r="AW61" s="1089">
        <f t="shared" si="23"/>
        <v>0.36599423631123917</v>
      </c>
      <c r="AX61" s="1089">
        <f t="shared" si="24"/>
        <v>0.34102564102564104</v>
      </c>
      <c r="AY61" s="1089">
        <f t="shared" si="25"/>
        <v>0.3436619718309859</v>
      </c>
      <c r="AZ61" s="1089">
        <f t="shared" si="26"/>
        <v>0.359375</v>
      </c>
      <c r="BA61" s="1089">
        <f t="shared" si="27"/>
        <v>0.35945945945945945</v>
      </c>
      <c r="BB61" s="1089">
        <f t="shared" si="28"/>
        <v>0.35294117647058826</v>
      </c>
      <c r="BC61" s="1089">
        <f t="shared" si="29"/>
        <v>0.40438871473354232</v>
      </c>
      <c r="BD61" s="1296">
        <f t="shared" si="30"/>
        <v>0.35666666666666669</v>
      </c>
      <c r="BE61" s="1298">
        <f>'Non-marital births'!L52</f>
        <v>0.398876404494382</v>
      </c>
      <c r="BF61" s="1654">
        <v>0.37365591397849462</v>
      </c>
      <c r="BG61" s="1656">
        <f t="shared" si="16"/>
        <v>0.398876404494382</v>
      </c>
    </row>
    <row r="62" spans="1:59" s="142" customFormat="1" ht="15.75" customHeight="1" x14ac:dyDescent="0.2">
      <c r="A62" s="149" t="s">
        <v>120</v>
      </c>
      <c r="B62" s="186" t="s">
        <v>121</v>
      </c>
      <c r="C62" s="150" t="s">
        <v>264</v>
      </c>
      <c r="D62" s="1057">
        <v>423</v>
      </c>
      <c r="E62" s="1058">
        <v>487</v>
      </c>
      <c r="F62" s="1059">
        <v>487</v>
      </c>
      <c r="G62" s="1058">
        <v>502</v>
      </c>
      <c r="H62" s="1059">
        <v>466</v>
      </c>
      <c r="I62" s="1058">
        <v>532</v>
      </c>
      <c r="J62" s="1059">
        <v>504</v>
      </c>
      <c r="K62" s="1058">
        <v>502</v>
      </c>
      <c r="L62" s="1072">
        <v>576</v>
      </c>
      <c r="M62" s="1072">
        <v>569</v>
      </c>
      <c r="N62" s="1072">
        <v>602</v>
      </c>
      <c r="O62" s="1072">
        <v>644</v>
      </c>
      <c r="P62" s="1073">
        <v>721</v>
      </c>
      <c r="Q62" s="1073">
        <v>735</v>
      </c>
      <c r="R62" s="1300">
        <v>691</v>
      </c>
      <c r="S62" s="1660">
        <f>'Non-marital births'!D53</f>
        <v>701</v>
      </c>
      <c r="T62" s="1663">
        <v>729</v>
      </c>
      <c r="U62" s="1664">
        <v>701</v>
      </c>
      <c r="V62" s="1531"/>
      <c r="W62" s="1080">
        <v>119</v>
      </c>
      <c r="X62" s="1081">
        <v>151</v>
      </c>
      <c r="Y62" s="1081">
        <v>140</v>
      </c>
      <c r="Z62" s="1081">
        <v>118</v>
      </c>
      <c r="AA62" s="1081">
        <v>110</v>
      </c>
      <c r="AB62" s="1081">
        <v>135</v>
      </c>
      <c r="AC62" s="1081">
        <v>134</v>
      </c>
      <c r="AD62" s="1081">
        <v>151</v>
      </c>
      <c r="AE62" s="1081">
        <v>189</v>
      </c>
      <c r="AF62" s="1081">
        <v>186</v>
      </c>
      <c r="AG62" s="1081">
        <v>192</v>
      </c>
      <c r="AH62" s="1081">
        <v>217</v>
      </c>
      <c r="AI62" s="1081">
        <v>252</v>
      </c>
      <c r="AJ62" s="1081">
        <v>247</v>
      </c>
      <c r="AK62" s="1303">
        <v>239</v>
      </c>
      <c r="AL62" s="1665">
        <f>'Non-marital births'!H53</f>
        <v>245</v>
      </c>
      <c r="AM62" s="1666">
        <v>200</v>
      </c>
      <c r="AN62" s="1667">
        <v>245</v>
      </c>
      <c r="AO62" s="1532"/>
      <c r="AP62" s="1088">
        <f t="shared" si="31"/>
        <v>0.28132387706855794</v>
      </c>
      <c r="AQ62" s="1089">
        <f t="shared" si="17"/>
        <v>0.31006160164271046</v>
      </c>
      <c r="AR62" s="1089">
        <f t="shared" si="18"/>
        <v>0.28747433264887062</v>
      </c>
      <c r="AS62" s="1089">
        <f t="shared" si="19"/>
        <v>0.23505976095617531</v>
      </c>
      <c r="AT62" s="1089">
        <f t="shared" si="20"/>
        <v>0.23605150214592274</v>
      </c>
      <c r="AU62" s="1089">
        <f t="shared" si="21"/>
        <v>0.25375939849624063</v>
      </c>
      <c r="AV62" s="1089">
        <f t="shared" si="22"/>
        <v>0.26587301587301587</v>
      </c>
      <c r="AW62" s="1089">
        <f t="shared" si="23"/>
        <v>0.30079681274900399</v>
      </c>
      <c r="AX62" s="1089">
        <f t="shared" si="24"/>
        <v>0.328125</v>
      </c>
      <c r="AY62" s="1089">
        <f t="shared" si="25"/>
        <v>0.32688927943760981</v>
      </c>
      <c r="AZ62" s="1089">
        <f t="shared" si="26"/>
        <v>0.31893687707641194</v>
      </c>
      <c r="BA62" s="1089">
        <f t="shared" si="27"/>
        <v>0.33695652173913043</v>
      </c>
      <c r="BB62" s="1089">
        <f t="shared" si="28"/>
        <v>0.34951456310679613</v>
      </c>
      <c r="BC62" s="1089">
        <f t="shared" si="29"/>
        <v>0.33605442176870748</v>
      </c>
      <c r="BD62" s="1296">
        <f t="shared" si="30"/>
        <v>0.34587554269175108</v>
      </c>
      <c r="BE62" s="1298">
        <f>'Non-marital births'!L53</f>
        <v>0.34950071326676174</v>
      </c>
      <c r="BF62" s="1654">
        <v>0.27434842249657065</v>
      </c>
      <c r="BG62" s="1656">
        <f t="shared" si="16"/>
        <v>0.34950071326676174</v>
      </c>
    </row>
    <row r="63" spans="1:59" s="142" customFormat="1" ht="15.75" customHeight="1" x14ac:dyDescent="0.2">
      <c r="A63" s="149" t="s">
        <v>122</v>
      </c>
      <c r="B63" s="186" t="s">
        <v>271</v>
      </c>
      <c r="C63" s="150" t="s">
        <v>266</v>
      </c>
      <c r="D63" s="1057">
        <v>70</v>
      </c>
      <c r="E63" s="1058">
        <v>62</v>
      </c>
      <c r="F63" s="1059">
        <v>63</v>
      </c>
      <c r="G63" s="1058">
        <v>69</v>
      </c>
      <c r="H63" s="1059">
        <v>63</v>
      </c>
      <c r="I63" s="1058">
        <v>74</v>
      </c>
      <c r="J63" s="1059">
        <v>68</v>
      </c>
      <c r="K63" s="1058">
        <v>82</v>
      </c>
      <c r="L63" s="1072">
        <v>75</v>
      </c>
      <c r="M63" s="1072">
        <v>77</v>
      </c>
      <c r="N63" s="1072">
        <v>66</v>
      </c>
      <c r="O63" s="1072">
        <v>52</v>
      </c>
      <c r="P63" s="1073">
        <v>66</v>
      </c>
      <c r="Q63" s="1073">
        <v>70</v>
      </c>
      <c r="R63" s="1300">
        <v>62</v>
      </c>
      <c r="S63" s="1660">
        <f>'Non-marital births'!D54</f>
        <v>60</v>
      </c>
      <c r="T63" s="1663">
        <v>73</v>
      </c>
      <c r="U63" s="1664">
        <v>60</v>
      </c>
      <c r="V63" s="1531"/>
      <c r="W63" s="1080">
        <v>20</v>
      </c>
      <c r="X63" s="1081">
        <v>28</v>
      </c>
      <c r="Y63" s="1081">
        <v>31</v>
      </c>
      <c r="Z63" s="1081">
        <v>27</v>
      </c>
      <c r="AA63" s="1081">
        <v>24</v>
      </c>
      <c r="AB63" s="1081">
        <v>38</v>
      </c>
      <c r="AC63" s="1081">
        <v>28</v>
      </c>
      <c r="AD63" s="1081">
        <v>40</v>
      </c>
      <c r="AE63" s="1081">
        <v>39</v>
      </c>
      <c r="AF63" s="1081">
        <v>35</v>
      </c>
      <c r="AG63" s="1081">
        <v>30</v>
      </c>
      <c r="AH63" s="1081">
        <v>25</v>
      </c>
      <c r="AI63" s="1081">
        <v>36</v>
      </c>
      <c r="AJ63" s="1081">
        <v>37</v>
      </c>
      <c r="AK63" s="1303">
        <v>31</v>
      </c>
      <c r="AL63" s="1665">
        <f>'Non-marital births'!H54</f>
        <v>25</v>
      </c>
      <c r="AM63" s="1666">
        <v>35</v>
      </c>
      <c r="AN63" s="1667">
        <v>25</v>
      </c>
      <c r="AO63" s="1532"/>
      <c r="AP63" s="1088">
        <f t="shared" si="31"/>
        <v>0.2857142857142857</v>
      </c>
      <c r="AQ63" s="1089">
        <f t="shared" si="17"/>
        <v>0.45161290322580644</v>
      </c>
      <c r="AR63" s="1089">
        <f t="shared" si="18"/>
        <v>0.49206349206349204</v>
      </c>
      <c r="AS63" s="1089">
        <f t="shared" si="19"/>
        <v>0.39130434782608697</v>
      </c>
      <c r="AT63" s="1089">
        <f t="shared" si="20"/>
        <v>0.38095238095238093</v>
      </c>
      <c r="AU63" s="1089">
        <f t="shared" si="21"/>
        <v>0.51351351351351349</v>
      </c>
      <c r="AV63" s="1089">
        <f t="shared" si="22"/>
        <v>0.41176470588235292</v>
      </c>
      <c r="AW63" s="1089">
        <f t="shared" si="23"/>
        <v>0.48780487804878048</v>
      </c>
      <c r="AX63" s="1089">
        <f t="shared" si="24"/>
        <v>0.52</v>
      </c>
      <c r="AY63" s="1089">
        <f t="shared" si="25"/>
        <v>0.45454545454545453</v>
      </c>
      <c r="AZ63" s="1089">
        <f t="shared" si="26"/>
        <v>0.45454545454545453</v>
      </c>
      <c r="BA63" s="1089">
        <f t="shared" si="27"/>
        <v>0.48076923076923078</v>
      </c>
      <c r="BB63" s="1089">
        <f t="shared" si="28"/>
        <v>0.54545454545454541</v>
      </c>
      <c r="BC63" s="1089">
        <f t="shared" si="29"/>
        <v>0.52857142857142858</v>
      </c>
      <c r="BD63" s="1296">
        <f t="shared" si="30"/>
        <v>0.5</v>
      </c>
      <c r="BE63" s="1298">
        <f>'Non-marital births'!L54</f>
        <v>0.41666666666666669</v>
      </c>
      <c r="BF63" s="1654">
        <v>0.47945205479452052</v>
      </c>
      <c r="BG63" s="1656">
        <f t="shared" si="16"/>
        <v>0.41666666666666669</v>
      </c>
    </row>
    <row r="64" spans="1:59" s="142" customFormat="1" ht="15.75" customHeight="1" x14ac:dyDescent="0.2">
      <c r="A64" s="149" t="s">
        <v>124</v>
      </c>
      <c r="B64" s="186" t="s">
        <v>125</v>
      </c>
      <c r="C64" s="150" t="s">
        <v>267</v>
      </c>
      <c r="D64" s="1057">
        <v>257</v>
      </c>
      <c r="E64" s="1058">
        <v>233</v>
      </c>
      <c r="F64" s="1059">
        <v>243</v>
      </c>
      <c r="G64" s="1058">
        <v>218</v>
      </c>
      <c r="H64" s="1059">
        <v>254</v>
      </c>
      <c r="I64" s="1058">
        <v>275</v>
      </c>
      <c r="J64" s="1059">
        <v>326</v>
      </c>
      <c r="K64" s="1058">
        <v>334</v>
      </c>
      <c r="L64" s="1072">
        <v>288</v>
      </c>
      <c r="M64" s="1072">
        <v>387</v>
      </c>
      <c r="N64" s="1072">
        <v>373</v>
      </c>
      <c r="O64" s="1072">
        <v>288</v>
      </c>
      <c r="P64" s="1073">
        <v>305</v>
      </c>
      <c r="Q64" s="1073">
        <v>312</v>
      </c>
      <c r="R64" s="1300">
        <v>325</v>
      </c>
      <c r="S64" s="1660">
        <f>'Non-marital births'!D55</f>
        <v>320</v>
      </c>
      <c r="T64" s="1663">
        <v>292</v>
      </c>
      <c r="U64" s="1664">
        <v>320</v>
      </c>
      <c r="V64" s="1531"/>
      <c r="W64" s="1080">
        <v>75</v>
      </c>
      <c r="X64" s="1081">
        <v>68</v>
      </c>
      <c r="Y64" s="1081">
        <v>73</v>
      </c>
      <c r="Z64" s="1081">
        <v>77</v>
      </c>
      <c r="AA64" s="1081">
        <v>95</v>
      </c>
      <c r="AB64" s="1081">
        <v>87</v>
      </c>
      <c r="AC64" s="1081">
        <v>89</v>
      </c>
      <c r="AD64" s="1081">
        <v>75</v>
      </c>
      <c r="AE64" s="1081">
        <v>84</v>
      </c>
      <c r="AF64" s="1081">
        <v>108</v>
      </c>
      <c r="AG64" s="1081">
        <v>106</v>
      </c>
      <c r="AH64" s="1081">
        <v>94</v>
      </c>
      <c r="AI64" s="1081">
        <v>101</v>
      </c>
      <c r="AJ64" s="1081">
        <v>94</v>
      </c>
      <c r="AK64" s="1303">
        <v>108</v>
      </c>
      <c r="AL64" s="1665">
        <f>'Non-marital births'!H55</f>
        <v>100</v>
      </c>
      <c r="AM64" s="1666">
        <v>97</v>
      </c>
      <c r="AN64" s="1667">
        <v>100</v>
      </c>
      <c r="AO64" s="1532"/>
      <c r="AP64" s="1088">
        <f t="shared" si="31"/>
        <v>0.29182879377431908</v>
      </c>
      <c r="AQ64" s="1089">
        <f t="shared" si="17"/>
        <v>0.29184549356223177</v>
      </c>
      <c r="AR64" s="1089">
        <f t="shared" si="18"/>
        <v>0.30041152263374488</v>
      </c>
      <c r="AS64" s="1089">
        <f t="shared" si="19"/>
        <v>0.35321100917431192</v>
      </c>
      <c r="AT64" s="1089">
        <f t="shared" si="20"/>
        <v>0.37401574803149606</v>
      </c>
      <c r="AU64" s="1089">
        <f t="shared" si="21"/>
        <v>0.31636363636363635</v>
      </c>
      <c r="AV64" s="1089">
        <f t="shared" si="22"/>
        <v>0.27300613496932513</v>
      </c>
      <c r="AW64" s="1089">
        <f t="shared" si="23"/>
        <v>0.22455089820359281</v>
      </c>
      <c r="AX64" s="1089">
        <f t="shared" si="24"/>
        <v>0.29166666666666669</v>
      </c>
      <c r="AY64" s="1089">
        <f t="shared" si="25"/>
        <v>0.27906976744186046</v>
      </c>
      <c r="AZ64" s="1089">
        <f t="shared" si="26"/>
        <v>0.28418230563002683</v>
      </c>
      <c r="BA64" s="1089">
        <f t="shared" si="27"/>
        <v>0.3263888888888889</v>
      </c>
      <c r="BB64" s="1089">
        <f t="shared" si="28"/>
        <v>0.33114754098360655</v>
      </c>
      <c r="BC64" s="1089">
        <f t="shared" si="29"/>
        <v>0.30128205128205127</v>
      </c>
      <c r="BD64" s="1296">
        <f t="shared" si="30"/>
        <v>0.3323076923076923</v>
      </c>
      <c r="BE64" s="1298">
        <f>'Non-marital births'!L55</f>
        <v>0.3125</v>
      </c>
      <c r="BF64" s="1654">
        <v>0.3321917808219178</v>
      </c>
      <c r="BG64" s="1656">
        <f t="shared" si="16"/>
        <v>0.3125</v>
      </c>
    </row>
    <row r="65" spans="1:59" s="142" customFormat="1" ht="15.75" customHeight="1" x14ac:dyDescent="0.2">
      <c r="A65" s="149" t="s">
        <v>126</v>
      </c>
      <c r="B65" s="186" t="s">
        <v>127</v>
      </c>
      <c r="C65" s="150" t="s">
        <v>266</v>
      </c>
      <c r="D65" s="1057">
        <v>149</v>
      </c>
      <c r="E65" s="1058">
        <v>187</v>
      </c>
      <c r="F65" s="1059">
        <v>197</v>
      </c>
      <c r="G65" s="1058">
        <v>179</v>
      </c>
      <c r="H65" s="1059">
        <v>194</v>
      </c>
      <c r="I65" s="1058">
        <v>180</v>
      </c>
      <c r="J65" s="1059">
        <v>184</v>
      </c>
      <c r="K65" s="1058">
        <v>189</v>
      </c>
      <c r="L65" s="1072">
        <v>209</v>
      </c>
      <c r="M65" s="1072">
        <v>212</v>
      </c>
      <c r="N65" s="1072">
        <v>207</v>
      </c>
      <c r="O65" s="1072">
        <v>211</v>
      </c>
      <c r="P65" s="1073">
        <v>203</v>
      </c>
      <c r="Q65" s="1073">
        <v>183</v>
      </c>
      <c r="R65" s="1300">
        <v>189</v>
      </c>
      <c r="S65" s="1660">
        <f>'Non-marital births'!D56</f>
        <v>191</v>
      </c>
      <c r="T65" s="1663">
        <v>174</v>
      </c>
      <c r="U65" s="1664">
        <v>191</v>
      </c>
      <c r="V65" s="1531"/>
      <c r="W65" s="1080">
        <v>45</v>
      </c>
      <c r="X65" s="1081">
        <v>46</v>
      </c>
      <c r="Y65" s="1081">
        <v>65</v>
      </c>
      <c r="Z65" s="1081">
        <v>54</v>
      </c>
      <c r="AA65" s="1081">
        <v>57</v>
      </c>
      <c r="AB65" s="1081">
        <v>59</v>
      </c>
      <c r="AC65" s="1081">
        <v>61</v>
      </c>
      <c r="AD65" s="1081">
        <v>58</v>
      </c>
      <c r="AE65" s="1081">
        <v>56</v>
      </c>
      <c r="AF65" s="1081">
        <v>60</v>
      </c>
      <c r="AG65" s="1081">
        <v>69</v>
      </c>
      <c r="AH65" s="1081">
        <v>66</v>
      </c>
      <c r="AI65" s="1081">
        <v>63</v>
      </c>
      <c r="AJ65" s="1081">
        <v>59</v>
      </c>
      <c r="AK65" s="1303">
        <v>64</v>
      </c>
      <c r="AL65" s="1665">
        <f>'Non-marital births'!H56</f>
        <v>68</v>
      </c>
      <c r="AM65" s="1666">
        <v>62</v>
      </c>
      <c r="AN65" s="1667">
        <v>68</v>
      </c>
      <c r="AO65" s="1532"/>
      <c r="AP65" s="1088">
        <f t="shared" si="31"/>
        <v>0.30201342281879195</v>
      </c>
      <c r="AQ65" s="1089">
        <f t="shared" si="17"/>
        <v>0.24598930481283424</v>
      </c>
      <c r="AR65" s="1089">
        <f t="shared" si="18"/>
        <v>0.32994923857868019</v>
      </c>
      <c r="AS65" s="1089">
        <f t="shared" si="19"/>
        <v>0.3016759776536313</v>
      </c>
      <c r="AT65" s="1089">
        <f t="shared" si="20"/>
        <v>0.29381443298969073</v>
      </c>
      <c r="AU65" s="1089">
        <f t="shared" si="21"/>
        <v>0.32777777777777778</v>
      </c>
      <c r="AV65" s="1089">
        <f t="shared" si="22"/>
        <v>0.33152173913043476</v>
      </c>
      <c r="AW65" s="1089">
        <f t="shared" si="23"/>
        <v>0.30687830687830686</v>
      </c>
      <c r="AX65" s="1089">
        <f t="shared" si="24"/>
        <v>0.26794258373205743</v>
      </c>
      <c r="AY65" s="1089">
        <f t="shared" si="25"/>
        <v>0.28301886792452829</v>
      </c>
      <c r="AZ65" s="1089">
        <f t="shared" si="26"/>
        <v>0.33333333333333331</v>
      </c>
      <c r="BA65" s="1089">
        <f t="shared" si="27"/>
        <v>0.3127962085308057</v>
      </c>
      <c r="BB65" s="1089">
        <f t="shared" si="28"/>
        <v>0.31034482758620691</v>
      </c>
      <c r="BC65" s="1089">
        <f t="shared" si="29"/>
        <v>0.32240437158469948</v>
      </c>
      <c r="BD65" s="1296">
        <f t="shared" si="30"/>
        <v>0.33862433862433861</v>
      </c>
      <c r="BE65" s="1298">
        <f>'Non-marital births'!L56</f>
        <v>0.35602094240837695</v>
      </c>
      <c r="BF65" s="1654">
        <v>0.35632183908045978</v>
      </c>
      <c r="BG65" s="1656">
        <f t="shared" si="16"/>
        <v>0.35602094240837695</v>
      </c>
    </row>
    <row r="66" spans="1:59" s="142" customFormat="1" ht="15.75" customHeight="1" x14ac:dyDescent="0.2">
      <c r="A66" s="149" t="s">
        <v>128</v>
      </c>
      <c r="B66" s="186" t="s">
        <v>129</v>
      </c>
      <c r="C66" s="150" t="s">
        <v>266</v>
      </c>
      <c r="D66" s="1057">
        <v>117</v>
      </c>
      <c r="E66" s="1058">
        <v>101</v>
      </c>
      <c r="F66" s="1059">
        <v>111</v>
      </c>
      <c r="G66" s="1058">
        <v>110</v>
      </c>
      <c r="H66" s="1059">
        <v>108</v>
      </c>
      <c r="I66" s="1058">
        <v>105</v>
      </c>
      <c r="J66" s="1059">
        <v>96</v>
      </c>
      <c r="K66" s="1058">
        <v>96</v>
      </c>
      <c r="L66" s="1072">
        <v>103</v>
      </c>
      <c r="M66" s="1072">
        <v>125</v>
      </c>
      <c r="N66" s="1072">
        <v>95</v>
      </c>
      <c r="O66" s="1072">
        <v>80</v>
      </c>
      <c r="P66" s="1073">
        <v>100</v>
      </c>
      <c r="Q66" s="1073">
        <v>83</v>
      </c>
      <c r="R66" s="1300">
        <v>84</v>
      </c>
      <c r="S66" s="1660">
        <f>'Non-marital births'!D57</f>
        <v>97</v>
      </c>
      <c r="T66" s="1663">
        <v>87</v>
      </c>
      <c r="U66" s="1664">
        <v>97</v>
      </c>
      <c r="V66" s="1531"/>
      <c r="W66" s="1080">
        <v>61</v>
      </c>
      <c r="X66" s="1081">
        <v>55</v>
      </c>
      <c r="Y66" s="1081">
        <v>55</v>
      </c>
      <c r="Z66" s="1081">
        <v>52</v>
      </c>
      <c r="AA66" s="1081">
        <v>53</v>
      </c>
      <c r="AB66" s="1081">
        <v>50</v>
      </c>
      <c r="AC66" s="1081">
        <v>49</v>
      </c>
      <c r="AD66" s="1081">
        <v>52</v>
      </c>
      <c r="AE66" s="1081">
        <v>62</v>
      </c>
      <c r="AF66" s="1081">
        <v>78</v>
      </c>
      <c r="AG66" s="1081">
        <v>59</v>
      </c>
      <c r="AH66" s="1081">
        <v>50</v>
      </c>
      <c r="AI66" s="1081">
        <v>58</v>
      </c>
      <c r="AJ66" s="1081">
        <v>56</v>
      </c>
      <c r="AK66" s="1303">
        <v>52</v>
      </c>
      <c r="AL66" s="1665">
        <f>'Non-marital births'!H57</f>
        <v>63</v>
      </c>
      <c r="AM66" s="1666">
        <v>44</v>
      </c>
      <c r="AN66" s="1667">
        <v>63</v>
      </c>
      <c r="AO66" s="1532"/>
      <c r="AP66" s="1088">
        <f t="shared" si="31"/>
        <v>0.5213675213675214</v>
      </c>
      <c r="AQ66" s="1089">
        <f t="shared" si="17"/>
        <v>0.54455445544554459</v>
      </c>
      <c r="AR66" s="1089">
        <f t="shared" si="18"/>
        <v>0.49549549549549549</v>
      </c>
      <c r="AS66" s="1089">
        <f t="shared" si="19"/>
        <v>0.47272727272727272</v>
      </c>
      <c r="AT66" s="1089">
        <f t="shared" si="20"/>
        <v>0.49074074074074076</v>
      </c>
      <c r="AU66" s="1089">
        <f t="shared" si="21"/>
        <v>0.47619047619047616</v>
      </c>
      <c r="AV66" s="1089">
        <f t="shared" si="22"/>
        <v>0.51041666666666663</v>
      </c>
      <c r="AW66" s="1089">
        <f t="shared" si="23"/>
        <v>0.54166666666666663</v>
      </c>
      <c r="AX66" s="1089">
        <f t="shared" si="24"/>
        <v>0.60194174757281549</v>
      </c>
      <c r="AY66" s="1089">
        <f t="shared" si="25"/>
        <v>0.624</v>
      </c>
      <c r="AZ66" s="1089">
        <f t="shared" si="26"/>
        <v>0.62105263157894741</v>
      </c>
      <c r="BA66" s="1089">
        <f t="shared" si="27"/>
        <v>0.625</v>
      </c>
      <c r="BB66" s="1089">
        <f t="shared" si="28"/>
        <v>0.57999999999999996</v>
      </c>
      <c r="BC66" s="1089">
        <f t="shared" si="29"/>
        <v>0.67469879518072284</v>
      </c>
      <c r="BD66" s="1296">
        <f t="shared" si="30"/>
        <v>0.61904761904761907</v>
      </c>
      <c r="BE66" s="1298">
        <f>'Non-marital births'!L57</f>
        <v>0.64948453608247425</v>
      </c>
      <c r="BF66" s="1654">
        <v>0.50574712643678166</v>
      </c>
      <c r="BG66" s="1656">
        <f t="shared" si="16"/>
        <v>0.64948453608247425</v>
      </c>
    </row>
    <row r="67" spans="1:59" s="142" customFormat="1" ht="15.75" customHeight="1" x14ac:dyDescent="0.2">
      <c r="A67" s="149" t="s">
        <v>130</v>
      </c>
      <c r="B67" s="186" t="s">
        <v>131</v>
      </c>
      <c r="C67" s="150" t="s">
        <v>268</v>
      </c>
      <c r="D67" s="1057">
        <v>252</v>
      </c>
      <c r="E67" s="1058">
        <v>236</v>
      </c>
      <c r="F67" s="1059">
        <v>237</v>
      </c>
      <c r="G67" s="1058">
        <v>240</v>
      </c>
      <c r="H67" s="1059">
        <v>243</v>
      </c>
      <c r="I67" s="1058">
        <v>251</v>
      </c>
      <c r="J67" s="1059">
        <v>234</v>
      </c>
      <c r="K67" s="1058">
        <v>251</v>
      </c>
      <c r="L67" s="1072">
        <v>240</v>
      </c>
      <c r="M67" s="1072">
        <v>265</v>
      </c>
      <c r="N67" s="1072">
        <v>250</v>
      </c>
      <c r="O67" s="1072">
        <v>265</v>
      </c>
      <c r="P67" s="1073">
        <v>250</v>
      </c>
      <c r="Q67" s="1073">
        <v>267</v>
      </c>
      <c r="R67" s="1300">
        <v>267</v>
      </c>
      <c r="S67" s="1660">
        <f>'Non-marital births'!D58</f>
        <v>225</v>
      </c>
      <c r="T67" s="1663">
        <v>209</v>
      </c>
      <c r="U67" s="1664">
        <v>225</v>
      </c>
      <c r="V67" s="1531"/>
      <c r="W67" s="1080">
        <v>64</v>
      </c>
      <c r="X67" s="1081">
        <v>76</v>
      </c>
      <c r="Y67" s="1081">
        <v>55</v>
      </c>
      <c r="Z67" s="1081">
        <v>60</v>
      </c>
      <c r="AA67" s="1081">
        <v>70</v>
      </c>
      <c r="AB67" s="1081">
        <v>85</v>
      </c>
      <c r="AC67" s="1081">
        <v>66</v>
      </c>
      <c r="AD67" s="1081">
        <v>80</v>
      </c>
      <c r="AE67" s="1081">
        <v>69</v>
      </c>
      <c r="AF67" s="1081">
        <v>86</v>
      </c>
      <c r="AG67" s="1081">
        <v>80</v>
      </c>
      <c r="AH67" s="1081">
        <v>96</v>
      </c>
      <c r="AI67" s="1081">
        <v>95</v>
      </c>
      <c r="AJ67" s="1081">
        <v>99</v>
      </c>
      <c r="AK67" s="1303">
        <v>104</v>
      </c>
      <c r="AL67" s="1665">
        <f>'Non-marital births'!H58</f>
        <v>84</v>
      </c>
      <c r="AM67" s="1666">
        <v>93</v>
      </c>
      <c r="AN67" s="1667">
        <v>84</v>
      </c>
      <c r="AO67" s="1532"/>
      <c r="AP67" s="1088">
        <f t="shared" si="31"/>
        <v>0.25396825396825395</v>
      </c>
      <c r="AQ67" s="1089">
        <f t="shared" si="17"/>
        <v>0.32203389830508472</v>
      </c>
      <c r="AR67" s="1089">
        <f t="shared" si="18"/>
        <v>0.2320675105485232</v>
      </c>
      <c r="AS67" s="1089">
        <f t="shared" si="19"/>
        <v>0.25</v>
      </c>
      <c r="AT67" s="1089">
        <f t="shared" si="20"/>
        <v>0.2880658436213992</v>
      </c>
      <c r="AU67" s="1089">
        <f t="shared" si="21"/>
        <v>0.3386454183266932</v>
      </c>
      <c r="AV67" s="1089">
        <f t="shared" si="22"/>
        <v>0.28205128205128205</v>
      </c>
      <c r="AW67" s="1089">
        <f t="shared" si="23"/>
        <v>0.31872509960159362</v>
      </c>
      <c r="AX67" s="1089">
        <f t="shared" si="24"/>
        <v>0.28749999999999998</v>
      </c>
      <c r="AY67" s="1089">
        <f t="shared" si="25"/>
        <v>0.32452830188679244</v>
      </c>
      <c r="AZ67" s="1089">
        <f t="shared" si="26"/>
        <v>0.32</v>
      </c>
      <c r="BA67" s="1089">
        <f t="shared" si="27"/>
        <v>0.3622641509433962</v>
      </c>
      <c r="BB67" s="1089">
        <f t="shared" si="28"/>
        <v>0.38</v>
      </c>
      <c r="BC67" s="1089">
        <f t="shared" si="29"/>
        <v>0.3707865168539326</v>
      </c>
      <c r="BD67" s="1296">
        <f t="shared" si="30"/>
        <v>0.38951310861423222</v>
      </c>
      <c r="BE67" s="1298">
        <f>'Non-marital births'!L58</f>
        <v>0.37333333333333335</v>
      </c>
      <c r="BF67" s="1654">
        <v>0.44497607655502391</v>
      </c>
      <c r="BG67" s="1656">
        <f t="shared" si="16"/>
        <v>0.37333333333333335</v>
      </c>
    </row>
    <row r="68" spans="1:59" s="142" customFormat="1" ht="15.75" customHeight="1" x14ac:dyDescent="0.2">
      <c r="A68" s="149" t="s">
        <v>132</v>
      </c>
      <c r="B68" s="186" t="s">
        <v>133</v>
      </c>
      <c r="C68" s="150" t="s">
        <v>267</v>
      </c>
      <c r="D68" s="1057">
        <v>2838</v>
      </c>
      <c r="E68" s="1058">
        <v>3057</v>
      </c>
      <c r="F68" s="1059">
        <v>3646</v>
      </c>
      <c r="G68" s="1058">
        <v>3857</v>
      </c>
      <c r="H68" s="1059">
        <v>4192</v>
      </c>
      <c r="I68" s="1058">
        <v>4444</v>
      </c>
      <c r="J68" s="1059">
        <v>4816</v>
      </c>
      <c r="K68" s="1058">
        <v>5153</v>
      </c>
      <c r="L68" s="1072">
        <v>5076</v>
      </c>
      <c r="M68" s="1072">
        <v>5160</v>
      </c>
      <c r="N68" s="1072">
        <v>5284</v>
      </c>
      <c r="O68" s="1072">
        <v>5030</v>
      </c>
      <c r="P68" s="1073">
        <v>5068</v>
      </c>
      <c r="Q68" s="1073">
        <v>4970</v>
      </c>
      <c r="R68" s="1300">
        <v>4902</v>
      </c>
      <c r="S68" s="1660">
        <f>'Non-marital births'!D59</f>
        <v>5291</v>
      </c>
      <c r="T68" s="1663">
        <v>5056</v>
      </c>
      <c r="U68" s="1664">
        <v>5291</v>
      </c>
      <c r="V68" s="1531"/>
      <c r="W68" s="1080">
        <v>302</v>
      </c>
      <c r="X68" s="1081">
        <v>344</v>
      </c>
      <c r="Y68" s="1081">
        <v>391</v>
      </c>
      <c r="Z68" s="1081">
        <v>392</v>
      </c>
      <c r="AA68" s="1081">
        <v>471</v>
      </c>
      <c r="AB68" s="1081">
        <v>448</v>
      </c>
      <c r="AC68" s="1081">
        <v>555</v>
      </c>
      <c r="AD68" s="1081">
        <v>659</v>
      </c>
      <c r="AE68" s="1081">
        <v>743</v>
      </c>
      <c r="AF68" s="1081">
        <v>837</v>
      </c>
      <c r="AG68" s="1081">
        <v>804</v>
      </c>
      <c r="AH68" s="1081">
        <v>777</v>
      </c>
      <c r="AI68" s="1081">
        <v>824</v>
      </c>
      <c r="AJ68" s="1081">
        <v>780</v>
      </c>
      <c r="AK68" s="1303">
        <v>757</v>
      </c>
      <c r="AL68" s="1665">
        <f>'Non-marital births'!H59</f>
        <v>781</v>
      </c>
      <c r="AM68" s="1666">
        <v>789</v>
      </c>
      <c r="AN68" s="1667">
        <v>781</v>
      </c>
      <c r="AO68" s="1532"/>
      <c r="AP68" s="1088">
        <f t="shared" si="31"/>
        <v>0.10641296687808316</v>
      </c>
      <c r="AQ68" s="1089">
        <f t="shared" si="17"/>
        <v>0.11252862283284265</v>
      </c>
      <c r="AR68" s="1089">
        <f t="shared" si="18"/>
        <v>0.10724081184860121</v>
      </c>
      <c r="AS68" s="1089">
        <f t="shared" si="19"/>
        <v>0.10163339382940109</v>
      </c>
      <c r="AT68" s="1089">
        <f t="shared" si="20"/>
        <v>0.11235687022900763</v>
      </c>
      <c r="AU68" s="1089">
        <f t="shared" si="21"/>
        <v>0.10081008100810081</v>
      </c>
      <c r="AV68" s="1089">
        <f t="shared" si="22"/>
        <v>0.11524086378737541</v>
      </c>
      <c r="AW68" s="1089">
        <f t="shared" si="23"/>
        <v>0.1278866679604114</v>
      </c>
      <c r="AX68" s="1089">
        <f t="shared" si="24"/>
        <v>0.14637509850275807</v>
      </c>
      <c r="AY68" s="1089">
        <f t="shared" si="25"/>
        <v>0.16220930232558139</v>
      </c>
      <c r="AZ68" s="1089">
        <f t="shared" si="26"/>
        <v>0.15215745647236942</v>
      </c>
      <c r="BA68" s="1089">
        <f t="shared" si="27"/>
        <v>0.15447316103379721</v>
      </c>
      <c r="BB68" s="1089">
        <f t="shared" si="28"/>
        <v>0.16258879242304658</v>
      </c>
      <c r="BC68" s="1089">
        <f t="shared" si="29"/>
        <v>0.15694164989939638</v>
      </c>
      <c r="BD68" s="1296">
        <f t="shared" si="30"/>
        <v>0.15442676458588331</v>
      </c>
      <c r="BE68" s="1298">
        <f>'Non-marital births'!L59</f>
        <v>0.14760914760914762</v>
      </c>
      <c r="BF68" s="1654">
        <v>0.15605221518987342</v>
      </c>
      <c r="BG68" s="1656">
        <f t="shared" si="16"/>
        <v>0.14760914760914762</v>
      </c>
    </row>
    <row r="69" spans="1:59" s="142" customFormat="1" ht="15.75" customHeight="1" x14ac:dyDescent="0.2">
      <c r="A69" s="149" t="s">
        <v>134</v>
      </c>
      <c r="B69" s="186" t="s">
        <v>135</v>
      </c>
      <c r="C69" s="150" t="s">
        <v>267</v>
      </c>
      <c r="D69" s="1057">
        <v>305</v>
      </c>
      <c r="E69" s="1058">
        <v>311</v>
      </c>
      <c r="F69" s="1059">
        <v>328</v>
      </c>
      <c r="G69" s="1058">
        <v>321</v>
      </c>
      <c r="H69" s="1059">
        <v>333</v>
      </c>
      <c r="I69" s="1058">
        <v>295</v>
      </c>
      <c r="J69" s="1059">
        <v>357</v>
      </c>
      <c r="K69" s="1058">
        <v>385</v>
      </c>
      <c r="L69" s="1072">
        <v>372</v>
      </c>
      <c r="M69" s="1072">
        <v>452</v>
      </c>
      <c r="N69" s="1072">
        <v>396</v>
      </c>
      <c r="O69" s="1072">
        <v>399</v>
      </c>
      <c r="P69" s="1073">
        <v>368</v>
      </c>
      <c r="Q69" s="1073">
        <v>374</v>
      </c>
      <c r="R69" s="1300">
        <v>382</v>
      </c>
      <c r="S69" s="1660">
        <f>'Non-marital births'!D60</f>
        <v>368</v>
      </c>
      <c r="T69" s="1663">
        <v>359</v>
      </c>
      <c r="U69" s="1664">
        <v>368</v>
      </c>
      <c r="V69" s="1531"/>
      <c r="W69" s="1080">
        <v>120</v>
      </c>
      <c r="X69" s="1081">
        <v>116</v>
      </c>
      <c r="Y69" s="1081">
        <v>122</v>
      </c>
      <c r="Z69" s="1081">
        <v>133</v>
      </c>
      <c r="AA69" s="1081">
        <v>115</v>
      </c>
      <c r="AB69" s="1081">
        <v>98</v>
      </c>
      <c r="AC69" s="1081">
        <v>115</v>
      </c>
      <c r="AD69" s="1081">
        <v>129</v>
      </c>
      <c r="AE69" s="1081">
        <v>138</v>
      </c>
      <c r="AF69" s="1081">
        <v>152</v>
      </c>
      <c r="AG69" s="1081">
        <v>165</v>
      </c>
      <c r="AH69" s="1081">
        <v>155</v>
      </c>
      <c r="AI69" s="1081">
        <v>146</v>
      </c>
      <c r="AJ69" s="1081">
        <v>138</v>
      </c>
      <c r="AK69" s="1303">
        <v>162</v>
      </c>
      <c r="AL69" s="1665">
        <f>'Non-marital births'!H60</f>
        <v>151</v>
      </c>
      <c r="AM69" s="1666">
        <v>151</v>
      </c>
      <c r="AN69" s="1667">
        <v>151</v>
      </c>
      <c r="AO69" s="1532"/>
      <c r="AP69" s="1088">
        <f t="shared" si="31"/>
        <v>0.39344262295081966</v>
      </c>
      <c r="AQ69" s="1089">
        <f t="shared" ref="AQ69:AQ100" si="32">X69/E69</f>
        <v>0.37299035369774919</v>
      </c>
      <c r="AR69" s="1089">
        <f t="shared" ref="AR69:AR100" si="33">Y69/F69</f>
        <v>0.37195121951219512</v>
      </c>
      <c r="AS69" s="1089">
        <f t="shared" ref="AS69:AS100" si="34">Z69/G69</f>
        <v>0.41433021806853582</v>
      </c>
      <c r="AT69" s="1089">
        <f t="shared" ref="AT69:AT100" si="35">AA69/H69</f>
        <v>0.34534534534534533</v>
      </c>
      <c r="AU69" s="1089">
        <f t="shared" ref="AU69:AU100" si="36">AB69/I69</f>
        <v>0.33220338983050846</v>
      </c>
      <c r="AV69" s="1089">
        <f t="shared" ref="AV69:AV100" si="37">AC69/J69</f>
        <v>0.32212885154061627</v>
      </c>
      <c r="AW69" s="1089">
        <f t="shared" ref="AW69:AW100" si="38">AD69/K69</f>
        <v>0.33506493506493507</v>
      </c>
      <c r="AX69" s="1089">
        <f t="shared" ref="AX69:AX100" si="39">AE69/L69</f>
        <v>0.37096774193548387</v>
      </c>
      <c r="AY69" s="1089">
        <f t="shared" ref="AY69:AY100" si="40">AF69/M69</f>
        <v>0.33628318584070799</v>
      </c>
      <c r="AZ69" s="1089">
        <f t="shared" ref="AZ69:AZ100" si="41">AG69/N69</f>
        <v>0.41666666666666669</v>
      </c>
      <c r="BA69" s="1089">
        <f t="shared" ref="BA69:BA100" si="42">AH69/O69</f>
        <v>0.38847117794486213</v>
      </c>
      <c r="BB69" s="1089">
        <f t="shared" ref="BB69:BB100" si="43">AI69/P69</f>
        <v>0.39673913043478259</v>
      </c>
      <c r="BC69" s="1089">
        <f t="shared" ref="BC69:BC100" si="44">AJ69/Q69</f>
        <v>0.36898395721925131</v>
      </c>
      <c r="BD69" s="1296">
        <f t="shared" ref="BD69:BD100" si="45">AK69/R69</f>
        <v>0.42408376963350786</v>
      </c>
      <c r="BE69" s="1298">
        <f>'Non-marital births'!L60</f>
        <v>0.41032608695652173</v>
      </c>
      <c r="BF69" s="1654">
        <v>0.42061281337047352</v>
      </c>
      <c r="BG69" s="1656">
        <f t="shared" si="16"/>
        <v>0.41032608695652173</v>
      </c>
    </row>
    <row r="70" spans="1:59" s="142" customFormat="1" ht="15.75" customHeight="1" x14ac:dyDescent="0.2">
      <c r="A70" s="149" t="s">
        <v>136</v>
      </c>
      <c r="B70" s="186" t="s">
        <v>137</v>
      </c>
      <c r="C70" s="150" t="s">
        <v>266</v>
      </c>
      <c r="D70" s="1057">
        <v>116</v>
      </c>
      <c r="E70" s="1058">
        <v>106</v>
      </c>
      <c r="F70" s="1059">
        <v>95</v>
      </c>
      <c r="G70" s="1058">
        <v>116</v>
      </c>
      <c r="H70" s="1059">
        <v>109</v>
      </c>
      <c r="I70" s="1058">
        <v>140</v>
      </c>
      <c r="J70" s="1059">
        <v>131</v>
      </c>
      <c r="K70" s="1058">
        <v>156</v>
      </c>
      <c r="L70" s="1072">
        <v>138</v>
      </c>
      <c r="M70" s="1072">
        <v>127</v>
      </c>
      <c r="N70" s="1072">
        <v>128</v>
      </c>
      <c r="O70" s="1072">
        <v>133</v>
      </c>
      <c r="P70" s="1073">
        <v>108</v>
      </c>
      <c r="Q70" s="1073">
        <v>117</v>
      </c>
      <c r="R70" s="1300">
        <v>118</v>
      </c>
      <c r="S70" s="1660">
        <f>'Non-marital births'!D61</f>
        <v>121</v>
      </c>
      <c r="T70" s="1663">
        <v>117</v>
      </c>
      <c r="U70" s="1664">
        <v>121</v>
      </c>
      <c r="V70" s="1531"/>
      <c r="W70" s="1080">
        <v>52</v>
      </c>
      <c r="X70" s="1081">
        <v>44</v>
      </c>
      <c r="Y70" s="1081">
        <v>35</v>
      </c>
      <c r="Z70" s="1081">
        <v>53</v>
      </c>
      <c r="AA70" s="1081">
        <v>54</v>
      </c>
      <c r="AB70" s="1081">
        <v>73</v>
      </c>
      <c r="AC70" s="1081">
        <v>64</v>
      </c>
      <c r="AD70" s="1081">
        <v>70</v>
      </c>
      <c r="AE70" s="1081">
        <v>69</v>
      </c>
      <c r="AF70" s="1081">
        <v>59</v>
      </c>
      <c r="AG70" s="1081">
        <v>72</v>
      </c>
      <c r="AH70" s="1081">
        <v>68</v>
      </c>
      <c r="AI70" s="1081">
        <v>49</v>
      </c>
      <c r="AJ70" s="1081">
        <v>65</v>
      </c>
      <c r="AK70" s="1303">
        <v>80</v>
      </c>
      <c r="AL70" s="1665">
        <f>'Non-marital births'!H61</f>
        <v>75</v>
      </c>
      <c r="AM70" s="1666">
        <v>72</v>
      </c>
      <c r="AN70" s="1667">
        <v>75</v>
      </c>
      <c r="AO70" s="1532"/>
      <c r="AP70" s="1088">
        <f t="shared" ref="AP70:AP101" si="46">W70/D70</f>
        <v>0.44827586206896552</v>
      </c>
      <c r="AQ70" s="1089">
        <f t="shared" si="32"/>
        <v>0.41509433962264153</v>
      </c>
      <c r="AR70" s="1089">
        <f t="shared" si="33"/>
        <v>0.36842105263157893</v>
      </c>
      <c r="AS70" s="1089">
        <f t="shared" si="34"/>
        <v>0.45689655172413796</v>
      </c>
      <c r="AT70" s="1089">
        <f t="shared" si="35"/>
        <v>0.49541284403669728</v>
      </c>
      <c r="AU70" s="1089">
        <f t="shared" si="36"/>
        <v>0.52142857142857146</v>
      </c>
      <c r="AV70" s="1089">
        <f t="shared" si="37"/>
        <v>0.48854961832061067</v>
      </c>
      <c r="AW70" s="1089">
        <f t="shared" si="38"/>
        <v>0.44871794871794873</v>
      </c>
      <c r="AX70" s="1089">
        <f t="shared" si="39"/>
        <v>0.5</v>
      </c>
      <c r="AY70" s="1089">
        <f t="shared" si="40"/>
        <v>0.46456692913385828</v>
      </c>
      <c r="AZ70" s="1089">
        <f t="shared" si="41"/>
        <v>0.5625</v>
      </c>
      <c r="BA70" s="1089">
        <f t="shared" si="42"/>
        <v>0.51127819548872178</v>
      </c>
      <c r="BB70" s="1089">
        <f t="shared" si="43"/>
        <v>0.45370370370370372</v>
      </c>
      <c r="BC70" s="1089">
        <f t="shared" si="44"/>
        <v>0.55555555555555558</v>
      </c>
      <c r="BD70" s="1296">
        <f t="shared" si="45"/>
        <v>0.67796610169491522</v>
      </c>
      <c r="BE70" s="1298">
        <f>'Non-marital births'!L61</f>
        <v>0.6198347107438017</v>
      </c>
      <c r="BF70" s="1654">
        <v>0.61538461538461542</v>
      </c>
      <c r="BG70" s="1656">
        <f t="shared" ref="BG70:BG131" si="47">AN70/U70</f>
        <v>0.6198347107438017</v>
      </c>
    </row>
    <row r="71" spans="1:59" s="142" customFormat="1" ht="15.75" customHeight="1" x14ac:dyDescent="0.2">
      <c r="A71" s="149" t="s">
        <v>138</v>
      </c>
      <c r="B71" s="186" t="s">
        <v>139</v>
      </c>
      <c r="C71" s="150" t="s">
        <v>265</v>
      </c>
      <c r="D71" s="1057">
        <v>738</v>
      </c>
      <c r="E71" s="1058">
        <v>792</v>
      </c>
      <c r="F71" s="1059">
        <v>845</v>
      </c>
      <c r="G71" s="1058">
        <v>834</v>
      </c>
      <c r="H71" s="1059">
        <v>887</v>
      </c>
      <c r="I71" s="1059">
        <v>861</v>
      </c>
      <c r="J71" s="1059">
        <v>831</v>
      </c>
      <c r="K71" s="1058">
        <v>945</v>
      </c>
      <c r="L71" s="1072">
        <v>964</v>
      </c>
      <c r="M71" s="1072">
        <v>1115</v>
      </c>
      <c r="N71" s="1072">
        <v>1038</v>
      </c>
      <c r="O71" s="1072">
        <v>1023</v>
      </c>
      <c r="P71" s="1073">
        <v>1124</v>
      </c>
      <c r="Q71" s="1073">
        <v>1074</v>
      </c>
      <c r="R71" s="1300">
        <v>1062</v>
      </c>
      <c r="S71" s="1660">
        <f>'Non-marital births'!D112</f>
        <v>1163</v>
      </c>
      <c r="T71" s="1663">
        <v>1164</v>
      </c>
      <c r="U71" s="1664">
        <v>1163</v>
      </c>
      <c r="V71" s="1531"/>
      <c r="W71" s="1080">
        <v>329</v>
      </c>
      <c r="X71" s="1081">
        <v>331</v>
      </c>
      <c r="Y71" s="1081">
        <v>375</v>
      </c>
      <c r="Z71" s="1081">
        <v>379</v>
      </c>
      <c r="AA71" s="1081">
        <v>413</v>
      </c>
      <c r="AB71" s="1081">
        <v>384</v>
      </c>
      <c r="AC71" s="1081">
        <v>362</v>
      </c>
      <c r="AD71" s="1081">
        <v>445</v>
      </c>
      <c r="AE71" s="1081">
        <v>441</v>
      </c>
      <c r="AF71" s="1081">
        <v>519</v>
      </c>
      <c r="AG71" s="1081">
        <v>473</v>
      </c>
      <c r="AH71" s="1081">
        <v>456</v>
      </c>
      <c r="AI71" s="1081">
        <v>495</v>
      </c>
      <c r="AJ71" s="1081">
        <v>458</v>
      </c>
      <c r="AK71" s="1303">
        <v>444</v>
      </c>
      <c r="AL71" s="1665">
        <f>'Non-marital births'!H112</f>
        <v>487</v>
      </c>
      <c r="AM71" s="1666">
        <v>475</v>
      </c>
      <c r="AN71" s="1667">
        <v>487</v>
      </c>
      <c r="AO71" s="1532"/>
      <c r="AP71" s="1088">
        <f t="shared" si="46"/>
        <v>0.44579945799457993</v>
      </c>
      <c r="AQ71" s="1089">
        <f t="shared" si="32"/>
        <v>0.41792929292929293</v>
      </c>
      <c r="AR71" s="1089">
        <f t="shared" si="33"/>
        <v>0.4437869822485207</v>
      </c>
      <c r="AS71" s="1089">
        <f t="shared" si="34"/>
        <v>0.45443645083932854</v>
      </c>
      <c r="AT71" s="1089">
        <f t="shared" si="35"/>
        <v>0.46561443066516345</v>
      </c>
      <c r="AU71" s="1089">
        <f t="shared" si="36"/>
        <v>0.44599303135888502</v>
      </c>
      <c r="AV71" s="1089">
        <f t="shared" si="37"/>
        <v>0.43561973525872444</v>
      </c>
      <c r="AW71" s="1089">
        <f t="shared" si="38"/>
        <v>0.47089947089947087</v>
      </c>
      <c r="AX71" s="1089">
        <f t="shared" si="39"/>
        <v>0.45746887966804978</v>
      </c>
      <c r="AY71" s="1089">
        <f t="shared" si="40"/>
        <v>0.4654708520179372</v>
      </c>
      <c r="AZ71" s="1089">
        <f t="shared" si="41"/>
        <v>0.45568400770712908</v>
      </c>
      <c r="BA71" s="1089">
        <f t="shared" si="42"/>
        <v>0.44574780058651026</v>
      </c>
      <c r="BB71" s="1089">
        <f t="shared" si="43"/>
        <v>0.44039145907473309</v>
      </c>
      <c r="BC71" s="1089">
        <f t="shared" si="44"/>
        <v>0.42644320297951582</v>
      </c>
      <c r="BD71" s="1296">
        <f t="shared" si="45"/>
        <v>0.41807909604519772</v>
      </c>
      <c r="BE71" s="1298">
        <f>'Non-marital births'!L112</f>
        <v>0.41874462596732587</v>
      </c>
      <c r="BF71" s="1654">
        <v>0.40807560137457044</v>
      </c>
      <c r="BG71" s="1656">
        <f t="shared" si="47"/>
        <v>0.41874462596732587</v>
      </c>
    </row>
    <row r="72" spans="1:59" s="142" customFormat="1" ht="15.75" customHeight="1" x14ac:dyDescent="0.2">
      <c r="A72" s="149" t="s">
        <v>140</v>
      </c>
      <c r="B72" s="186" t="s">
        <v>141</v>
      </c>
      <c r="C72" s="150" t="s">
        <v>267</v>
      </c>
      <c r="D72" s="1057">
        <v>132</v>
      </c>
      <c r="E72" s="1058">
        <v>105</v>
      </c>
      <c r="F72" s="1059">
        <v>111</v>
      </c>
      <c r="G72" s="1058">
        <v>133</v>
      </c>
      <c r="H72" s="1059">
        <v>157</v>
      </c>
      <c r="I72" s="1058">
        <v>135</v>
      </c>
      <c r="J72" s="1059">
        <v>135</v>
      </c>
      <c r="K72" s="1058">
        <v>162</v>
      </c>
      <c r="L72" s="1072">
        <v>157</v>
      </c>
      <c r="M72" s="1072">
        <v>154</v>
      </c>
      <c r="N72" s="1072">
        <v>143</v>
      </c>
      <c r="O72" s="1072">
        <v>139</v>
      </c>
      <c r="P72" s="1073">
        <v>146</v>
      </c>
      <c r="Q72" s="1073">
        <v>130</v>
      </c>
      <c r="R72" s="1300">
        <v>121</v>
      </c>
      <c r="S72" s="1660">
        <f>'Non-marital births'!D62</f>
        <v>147</v>
      </c>
      <c r="T72" s="1663">
        <v>106</v>
      </c>
      <c r="U72" s="1664">
        <v>147</v>
      </c>
      <c r="V72" s="1531"/>
      <c r="W72" s="1080">
        <v>39</v>
      </c>
      <c r="X72" s="1081">
        <v>29</v>
      </c>
      <c r="Y72" s="1081">
        <v>34</v>
      </c>
      <c r="Z72" s="1081">
        <v>43</v>
      </c>
      <c r="AA72" s="1081">
        <v>44</v>
      </c>
      <c r="AB72" s="1081">
        <v>37</v>
      </c>
      <c r="AC72" s="1081">
        <v>39</v>
      </c>
      <c r="AD72" s="1081">
        <v>48</v>
      </c>
      <c r="AE72" s="1081">
        <v>41</v>
      </c>
      <c r="AF72" s="1081">
        <v>47</v>
      </c>
      <c r="AG72" s="1081">
        <v>44</v>
      </c>
      <c r="AH72" s="1081">
        <v>47</v>
      </c>
      <c r="AI72" s="1081">
        <v>51</v>
      </c>
      <c r="AJ72" s="1081">
        <v>37</v>
      </c>
      <c r="AK72" s="1303">
        <v>44</v>
      </c>
      <c r="AL72" s="1665">
        <f>'Non-marital births'!H62</f>
        <v>46</v>
      </c>
      <c r="AM72" s="1666">
        <v>41</v>
      </c>
      <c r="AN72" s="1667">
        <v>46</v>
      </c>
      <c r="AO72" s="1532"/>
      <c r="AP72" s="1088">
        <f t="shared" si="46"/>
        <v>0.29545454545454547</v>
      </c>
      <c r="AQ72" s="1089">
        <f t="shared" si="32"/>
        <v>0.27619047619047621</v>
      </c>
      <c r="AR72" s="1089">
        <f t="shared" si="33"/>
        <v>0.30630630630630629</v>
      </c>
      <c r="AS72" s="1089">
        <f t="shared" si="34"/>
        <v>0.32330827067669171</v>
      </c>
      <c r="AT72" s="1089">
        <f t="shared" si="35"/>
        <v>0.28025477707006369</v>
      </c>
      <c r="AU72" s="1089">
        <f t="shared" si="36"/>
        <v>0.27407407407407408</v>
      </c>
      <c r="AV72" s="1089">
        <f t="shared" si="37"/>
        <v>0.28888888888888886</v>
      </c>
      <c r="AW72" s="1089">
        <f t="shared" si="38"/>
        <v>0.29629629629629628</v>
      </c>
      <c r="AX72" s="1089">
        <f t="shared" si="39"/>
        <v>0.26114649681528662</v>
      </c>
      <c r="AY72" s="1089">
        <f t="shared" si="40"/>
        <v>0.30519480519480519</v>
      </c>
      <c r="AZ72" s="1089">
        <f t="shared" si="41"/>
        <v>0.30769230769230771</v>
      </c>
      <c r="BA72" s="1089">
        <f t="shared" si="42"/>
        <v>0.33812949640287771</v>
      </c>
      <c r="BB72" s="1089">
        <f t="shared" si="43"/>
        <v>0.34931506849315069</v>
      </c>
      <c r="BC72" s="1089">
        <f t="shared" si="44"/>
        <v>0.2846153846153846</v>
      </c>
      <c r="BD72" s="1296">
        <f t="shared" si="45"/>
        <v>0.36363636363636365</v>
      </c>
      <c r="BE72" s="1298">
        <f>'Non-marital births'!L62</f>
        <v>0.31292517006802723</v>
      </c>
      <c r="BF72" s="1654">
        <v>0.3867924528301887</v>
      </c>
      <c r="BG72" s="1656">
        <f t="shared" si="47"/>
        <v>0.31292517006802723</v>
      </c>
    </row>
    <row r="73" spans="1:59" s="142" customFormat="1" ht="15.75" customHeight="1" x14ac:dyDescent="0.2">
      <c r="A73" s="149" t="s">
        <v>142</v>
      </c>
      <c r="B73" s="186" t="s">
        <v>273</v>
      </c>
      <c r="C73" s="150" t="s">
        <v>267</v>
      </c>
      <c r="D73" s="1057">
        <v>647</v>
      </c>
      <c r="E73" s="1058">
        <v>684</v>
      </c>
      <c r="F73" s="1059">
        <v>772</v>
      </c>
      <c r="G73" s="1058">
        <v>678</v>
      </c>
      <c r="H73" s="1059">
        <v>683</v>
      </c>
      <c r="I73" s="1058">
        <v>686</v>
      </c>
      <c r="J73" s="1059">
        <v>638</v>
      </c>
      <c r="K73" s="1058">
        <v>686</v>
      </c>
      <c r="L73" s="1072">
        <v>767</v>
      </c>
      <c r="M73" s="1072">
        <v>657</v>
      </c>
      <c r="N73" s="1072">
        <v>548</v>
      </c>
      <c r="O73" s="1072">
        <v>580</v>
      </c>
      <c r="P73" s="1073">
        <v>670</v>
      </c>
      <c r="Q73" s="1073">
        <v>721</v>
      </c>
      <c r="R73" s="1300">
        <v>755</v>
      </c>
      <c r="S73" s="1660">
        <f>'Non-marital births'!D113</f>
        <v>772</v>
      </c>
      <c r="T73" s="1663">
        <v>759</v>
      </c>
      <c r="U73" s="1664">
        <v>772</v>
      </c>
      <c r="V73" s="1531"/>
      <c r="W73" s="1080">
        <v>164</v>
      </c>
      <c r="X73" s="1081">
        <v>195</v>
      </c>
      <c r="Y73" s="1081">
        <v>221</v>
      </c>
      <c r="Z73" s="1081">
        <v>202</v>
      </c>
      <c r="AA73" s="1081">
        <v>205</v>
      </c>
      <c r="AB73" s="1081">
        <v>235</v>
      </c>
      <c r="AC73" s="1081">
        <v>232</v>
      </c>
      <c r="AD73" s="1081">
        <v>248</v>
      </c>
      <c r="AE73" s="1081">
        <v>365</v>
      </c>
      <c r="AF73" s="1081">
        <v>293</v>
      </c>
      <c r="AG73" s="1081">
        <v>231</v>
      </c>
      <c r="AH73" s="1081">
        <v>237</v>
      </c>
      <c r="AI73" s="1081">
        <v>292</v>
      </c>
      <c r="AJ73" s="1081">
        <v>292</v>
      </c>
      <c r="AK73" s="1303">
        <v>313</v>
      </c>
      <c r="AL73" s="1665">
        <f>'Non-marital births'!H113</f>
        <v>314</v>
      </c>
      <c r="AM73" s="1666">
        <v>315</v>
      </c>
      <c r="AN73" s="1667">
        <v>314</v>
      </c>
      <c r="AO73" s="1532"/>
      <c r="AP73" s="1088">
        <f t="shared" si="46"/>
        <v>0.25347758887171562</v>
      </c>
      <c r="AQ73" s="1089">
        <f t="shared" si="32"/>
        <v>0.28508771929824561</v>
      </c>
      <c r="AR73" s="1089">
        <f t="shared" si="33"/>
        <v>0.28626943005181349</v>
      </c>
      <c r="AS73" s="1089">
        <f t="shared" si="34"/>
        <v>0.29793510324483774</v>
      </c>
      <c r="AT73" s="1089">
        <f t="shared" si="35"/>
        <v>0.3001464128843338</v>
      </c>
      <c r="AU73" s="1089">
        <f t="shared" si="36"/>
        <v>0.3425655976676385</v>
      </c>
      <c r="AV73" s="1089">
        <f t="shared" si="37"/>
        <v>0.36363636363636365</v>
      </c>
      <c r="AW73" s="1089">
        <f t="shared" si="38"/>
        <v>0.36151603498542273</v>
      </c>
      <c r="AX73" s="1089">
        <f t="shared" si="39"/>
        <v>0.47588005215123858</v>
      </c>
      <c r="AY73" s="1089">
        <f t="shared" si="40"/>
        <v>0.44596651445966512</v>
      </c>
      <c r="AZ73" s="1089">
        <f t="shared" si="41"/>
        <v>0.42153284671532848</v>
      </c>
      <c r="BA73" s="1089">
        <f t="shared" si="42"/>
        <v>0.4086206896551724</v>
      </c>
      <c r="BB73" s="1089">
        <f t="shared" si="43"/>
        <v>0.43582089552238806</v>
      </c>
      <c r="BC73" s="1089">
        <f t="shared" si="44"/>
        <v>0.40499306518723993</v>
      </c>
      <c r="BD73" s="1296">
        <f t="shared" si="45"/>
        <v>0.41456953642384103</v>
      </c>
      <c r="BE73" s="1298">
        <f>'Non-marital births'!L113</f>
        <v>0.40673575129533679</v>
      </c>
      <c r="BF73" s="1654">
        <v>0.41501976284584979</v>
      </c>
      <c r="BG73" s="1656">
        <f t="shared" si="47"/>
        <v>0.40673575129533679</v>
      </c>
    </row>
    <row r="74" spans="1:59" s="142" customFormat="1" ht="15.75" customHeight="1" x14ac:dyDescent="0.2">
      <c r="A74" s="149" t="s">
        <v>144</v>
      </c>
      <c r="B74" s="186" t="s">
        <v>145</v>
      </c>
      <c r="C74" s="150" t="s">
        <v>267</v>
      </c>
      <c r="D74" s="1057">
        <v>183</v>
      </c>
      <c r="E74" s="1058">
        <v>207</v>
      </c>
      <c r="F74" s="1059">
        <v>208</v>
      </c>
      <c r="G74" s="1058">
        <v>208</v>
      </c>
      <c r="H74" s="1059">
        <v>241</v>
      </c>
      <c r="I74" s="1058">
        <v>215</v>
      </c>
      <c r="J74" s="1059">
        <v>294</v>
      </c>
      <c r="K74" s="1058">
        <v>277</v>
      </c>
      <c r="L74" s="1072">
        <v>322</v>
      </c>
      <c r="M74" s="1072">
        <v>235</v>
      </c>
      <c r="N74" s="1072">
        <v>226</v>
      </c>
      <c r="O74" s="1072">
        <v>228</v>
      </c>
      <c r="P74" s="1073">
        <v>21</v>
      </c>
      <c r="Q74" s="1073">
        <v>66</v>
      </c>
      <c r="R74" s="1300">
        <v>20</v>
      </c>
      <c r="S74" s="1660">
        <f>'Non-marital births'!D114</f>
        <v>266</v>
      </c>
      <c r="T74" s="1663">
        <v>22</v>
      </c>
      <c r="U74" s="1664">
        <v>266</v>
      </c>
      <c r="V74" s="1531"/>
      <c r="W74" s="1080">
        <v>52</v>
      </c>
      <c r="X74" s="1081">
        <v>48</v>
      </c>
      <c r="Y74" s="1081">
        <v>49</v>
      </c>
      <c r="Z74" s="1081">
        <v>48</v>
      </c>
      <c r="AA74" s="1081">
        <v>56</v>
      </c>
      <c r="AB74" s="1081">
        <v>58</v>
      </c>
      <c r="AC74" s="1081">
        <v>106</v>
      </c>
      <c r="AD74" s="1081">
        <v>114</v>
      </c>
      <c r="AE74" s="1081">
        <v>134</v>
      </c>
      <c r="AF74" s="1081">
        <v>93</v>
      </c>
      <c r="AG74" s="1081">
        <v>86</v>
      </c>
      <c r="AH74" s="1081">
        <v>83</v>
      </c>
      <c r="AI74" s="1081">
        <v>7</v>
      </c>
      <c r="AJ74" s="1081">
        <v>23</v>
      </c>
      <c r="AK74" s="1303">
        <v>6</v>
      </c>
      <c r="AL74" s="1665">
        <f>'Non-marital births'!H114</f>
        <v>96</v>
      </c>
      <c r="AM74" s="1666">
        <v>7</v>
      </c>
      <c r="AN74" s="1667">
        <v>96</v>
      </c>
      <c r="AO74" s="1532"/>
      <c r="AP74" s="1088">
        <f t="shared" si="46"/>
        <v>0.28415300546448086</v>
      </c>
      <c r="AQ74" s="1089">
        <f t="shared" si="32"/>
        <v>0.2318840579710145</v>
      </c>
      <c r="AR74" s="1089">
        <f t="shared" si="33"/>
        <v>0.23557692307692307</v>
      </c>
      <c r="AS74" s="1089">
        <f t="shared" si="34"/>
        <v>0.23076923076923078</v>
      </c>
      <c r="AT74" s="1089">
        <f t="shared" si="35"/>
        <v>0.23236514522821577</v>
      </c>
      <c r="AU74" s="1089">
        <f t="shared" si="36"/>
        <v>0.26976744186046514</v>
      </c>
      <c r="AV74" s="1089">
        <f t="shared" si="37"/>
        <v>0.36054421768707484</v>
      </c>
      <c r="AW74" s="1089">
        <f t="shared" si="38"/>
        <v>0.41155234657039713</v>
      </c>
      <c r="AX74" s="1089">
        <f t="shared" si="39"/>
        <v>0.41614906832298137</v>
      </c>
      <c r="AY74" s="1089">
        <f t="shared" si="40"/>
        <v>0.39574468085106385</v>
      </c>
      <c r="AZ74" s="1089">
        <f t="shared" si="41"/>
        <v>0.38053097345132741</v>
      </c>
      <c r="BA74" s="1089">
        <f t="shared" si="42"/>
        <v>0.36403508771929827</v>
      </c>
      <c r="BB74" s="1089">
        <f t="shared" si="43"/>
        <v>0.33333333333333331</v>
      </c>
      <c r="BC74" s="1089">
        <f t="shared" si="44"/>
        <v>0.34848484848484851</v>
      </c>
      <c r="BD74" s="1296">
        <f t="shared" si="45"/>
        <v>0.3</v>
      </c>
      <c r="BE74" s="1298">
        <f>'Non-marital births'!L114</f>
        <v>0.36090225563909772</v>
      </c>
      <c r="BF74" s="1654">
        <v>0.31818181818181818</v>
      </c>
      <c r="BG74" s="1656">
        <f t="shared" si="47"/>
        <v>0.36090225563909772</v>
      </c>
    </row>
    <row r="75" spans="1:59" s="142" customFormat="1" ht="15.75" customHeight="1" x14ac:dyDescent="0.2">
      <c r="A75" s="149" t="s">
        <v>146</v>
      </c>
      <c r="B75" s="186" t="s">
        <v>147</v>
      </c>
      <c r="C75" s="150" t="s">
        <v>264</v>
      </c>
      <c r="D75" s="1057">
        <v>74</v>
      </c>
      <c r="E75" s="1058">
        <v>55</v>
      </c>
      <c r="F75" s="1059">
        <v>75</v>
      </c>
      <c r="G75" s="1058">
        <v>66</v>
      </c>
      <c r="H75" s="1059">
        <v>91</v>
      </c>
      <c r="I75" s="1058">
        <v>71</v>
      </c>
      <c r="J75" s="1059">
        <v>56</v>
      </c>
      <c r="K75" s="1058">
        <v>54</v>
      </c>
      <c r="L75" s="1072">
        <v>80</v>
      </c>
      <c r="M75" s="1072">
        <v>67</v>
      </c>
      <c r="N75" s="1072">
        <v>72</v>
      </c>
      <c r="O75" s="1072">
        <v>68</v>
      </c>
      <c r="P75" s="1073">
        <v>63</v>
      </c>
      <c r="Q75" s="1073">
        <v>64</v>
      </c>
      <c r="R75" s="1300">
        <v>71</v>
      </c>
      <c r="S75" s="1660">
        <f>'Non-marital births'!D63</f>
        <v>66</v>
      </c>
      <c r="T75" s="1663">
        <v>60</v>
      </c>
      <c r="U75" s="1664">
        <v>66</v>
      </c>
      <c r="V75" s="1531"/>
      <c r="W75" s="1080">
        <v>19</v>
      </c>
      <c r="X75" s="1081">
        <v>13</v>
      </c>
      <c r="Y75" s="1081">
        <v>22</v>
      </c>
      <c r="Z75" s="1081">
        <v>19</v>
      </c>
      <c r="AA75" s="1081">
        <v>27</v>
      </c>
      <c r="AB75" s="1081">
        <v>20</v>
      </c>
      <c r="AC75" s="1081">
        <v>17</v>
      </c>
      <c r="AD75" s="1081">
        <v>22</v>
      </c>
      <c r="AE75" s="1081">
        <v>35</v>
      </c>
      <c r="AF75" s="1081">
        <v>22</v>
      </c>
      <c r="AG75" s="1081">
        <v>27</v>
      </c>
      <c r="AH75" s="1081">
        <v>28</v>
      </c>
      <c r="AI75" s="1081">
        <v>25</v>
      </c>
      <c r="AJ75" s="1081">
        <v>25</v>
      </c>
      <c r="AK75" s="1303">
        <v>24</v>
      </c>
      <c r="AL75" s="1665">
        <f>'Non-marital births'!H63</f>
        <v>20</v>
      </c>
      <c r="AM75" s="1666">
        <v>23</v>
      </c>
      <c r="AN75" s="1667">
        <v>20</v>
      </c>
      <c r="AO75" s="1532"/>
      <c r="AP75" s="1088">
        <f t="shared" si="46"/>
        <v>0.25675675675675674</v>
      </c>
      <c r="AQ75" s="1089">
        <f t="shared" si="32"/>
        <v>0.23636363636363636</v>
      </c>
      <c r="AR75" s="1089">
        <f t="shared" si="33"/>
        <v>0.29333333333333333</v>
      </c>
      <c r="AS75" s="1089">
        <f t="shared" si="34"/>
        <v>0.2878787878787879</v>
      </c>
      <c r="AT75" s="1089">
        <f t="shared" si="35"/>
        <v>0.2967032967032967</v>
      </c>
      <c r="AU75" s="1089">
        <f t="shared" si="36"/>
        <v>0.28169014084507044</v>
      </c>
      <c r="AV75" s="1089">
        <f t="shared" si="37"/>
        <v>0.30357142857142855</v>
      </c>
      <c r="AW75" s="1089">
        <f t="shared" si="38"/>
        <v>0.40740740740740738</v>
      </c>
      <c r="AX75" s="1089">
        <f t="shared" si="39"/>
        <v>0.4375</v>
      </c>
      <c r="AY75" s="1089">
        <f t="shared" si="40"/>
        <v>0.32835820895522388</v>
      </c>
      <c r="AZ75" s="1089">
        <f t="shared" si="41"/>
        <v>0.375</v>
      </c>
      <c r="BA75" s="1089">
        <f t="shared" si="42"/>
        <v>0.41176470588235292</v>
      </c>
      <c r="BB75" s="1089">
        <f t="shared" si="43"/>
        <v>0.3968253968253968</v>
      </c>
      <c r="BC75" s="1089">
        <f t="shared" si="44"/>
        <v>0.390625</v>
      </c>
      <c r="BD75" s="1296">
        <f t="shared" si="45"/>
        <v>0.3380281690140845</v>
      </c>
      <c r="BE75" s="1298">
        <f>'Non-marital births'!L63</f>
        <v>0.30303030303030304</v>
      </c>
      <c r="BF75" s="1654">
        <v>0.38333333333333336</v>
      </c>
      <c r="BG75" s="1656">
        <f t="shared" si="47"/>
        <v>0.30303030303030304</v>
      </c>
    </row>
    <row r="76" spans="1:59" s="142" customFormat="1" ht="15.75" customHeight="1" x14ac:dyDescent="0.2">
      <c r="A76" s="149" t="s">
        <v>148</v>
      </c>
      <c r="B76" s="186" t="s">
        <v>149</v>
      </c>
      <c r="C76" s="150" t="s">
        <v>265</v>
      </c>
      <c r="D76" s="1057">
        <v>372</v>
      </c>
      <c r="E76" s="1058">
        <v>359</v>
      </c>
      <c r="F76" s="1059">
        <v>332</v>
      </c>
      <c r="G76" s="1058">
        <v>356</v>
      </c>
      <c r="H76" s="1059">
        <v>344</v>
      </c>
      <c r="I76" s="1058">
        <v>383</v>
      </c>
      <c r="J76" s="1059">
        <v>325</v>
      </c>
      <c r="K76" s="1058">
        <v>328</v>
      </c>
      <c r="L76" s="1072">
        <v>347</v>
      </c>
      <c r="M76" s="1072">
        <v>317</v>
      </c>
      <c r="N76" s="1072">
        <v>303</v>
      </c>
      <c r="O76" s="1072">
        <v>313</v>
      </c>
      <c r="P76" s="1073">
        <v>305</v>
      </c>
      <c r="Q76" s="1073">
        <v>294</v>
      </c>
      <c r="R76" s="1300">
        <v>293</v>
      </c>
      <c r="S76" s="1660">
        <f>'Non-marital births'!D64</f>
        <v>274</v>
      </c>
      <c r="T76" s="1663">
        <v>288</v>
      </c>
      <c r="U76" s="1664">
        <v>274</v>
      </c>
      <c r="V76" s="1531"/>
      <c r="W76" s="1080">
        <v>197</v>
      </c>
      <c r="X76" s="1081">
        <v>174</v>
      </c>
      <c r="Y76" s="1081">
        <v>176</v>
      </c>
      <c r="Z76" s="1081">
        <v>197</v>
      </c>
      <c r="AA76" s="1081">
        <v>178</v>
      </c>
      <c r="AB76" s="1081">
        <v>190</v>
      </c>
      <c r="AC76" s="1081">
        <v>172</v>
      </c>
      <c r="AD76" s="1081">
        <v>167</v>
      </c>
      <c r="AE76" s="1081">
        <v>162</v>
      </c>
      <c r="AF76" s="1081">
        <v>178</v>
      </c>
      <c r="AG76" s="1081">
        <v>163</v>
      </c>
      <c r="AH76" s="1081">
        <v>194</v>
      </c>
      <c r="AI76" s="1081">
        <v>168</v>
      </c>
      <c r="AJ76" s="1081">
        <v>178</v>
      </c>
      <c r="AK76" s="1303">
        <v>168</v>
      </c>
      <c r="AL76" s="1665">
        <f>'Non-marital births'!H64</f>
        <v>156</v>
      </c>
      <c r="AM76" s="1666">
        <v>149</v>
      </c>
      <c r="AN76" s="1667">
        <v>156</v>
      </c>
      <c r="AO76" s="1532"/>
      <c r="AP76" s="1088">
        <f t="shared" si="46"/>
        <v>0.52956989247311825</v>
      </c>
      <c r="AQ76" s="1089">
        <f t="shared" si="32"/>
        <v>0.48467966573816157</v>
      </c>
      <c r="AR76" s="1089">
        <f t="shared" si="33"/>
        <v>0.53012048192771088</v>
      </c>
      <c r="AS76" s="1089">
        <f t="shared" si="34"/>
        <v>0.5533707865168539</v>
      </c>
      <c r="AT76" s="1089">
        <f t="shared" si="35"/>
        <v>0.51744186046511631</v>
      </c>
      <c r="AU76" s="1089">
        <f t="shared" si="36"/>
        <v>0.4960835509138381</v>
      </c>
      <c r="AV76" s="1089">
        <f t="shared" si="37"/>
        <v>0.52923076923076928</v>
      </c>
      <c r="AW76" s="1089">
        <f t="shared" si="38"/>
        <v>0.50914634146341464</v>
      </c>
      <c r="AX76" s="1089">
        <f t="shared" si="39"/>
        <v>0.4668587896253602</v>
      </c>
      <c r="AY76" s="1089">
        <f t="shared" si="40"/>
        <v>0.56151419558359617</v>
      </c>
      <c r="AZ76" s="1089">
        <f t="shared" si="41"/>
        <v>0.53795379537953791</v>
      </c>
      <c r="BA76" s="1089">
        <f t="shared" si="42"/>
        <v>0.61980830670926512</v>
      </c>
      <c r="BB76" s="1089">
        <f t="shared" si="43"/>
        <v>0.55081967213114758</v>
      </c>
      <c r="BC76" s="1089">
        <f t="shared" si="44"/>
        <v>0.60544217687074831</v>
      </c>
      <c r="BD76" s="1296">
        <f t="shared" si="45"/>
        <v>0.57337883959044367</v>
      </c>
      <c r="BE76" s="1298">
        <f>'Non-marital births'!L64</f>
        <v>0.56934306569343063</v>
      </c>
      <c r="BF76" s="1654">
        <v>0.51736111111111116</v>
      </c>
      <c r="BG76" s="1656">
        <f t="shared" si="47"/>
        <v>0.56934306569343063</v>
      </c>
    </row>
    <row r="77" spans="1:59" s="142" customFormat="1" ht="15.75" customHeight="1" x14ac:dyDescent="0.2">
      <c r="A77" s="149" t="s">
        <v>150</v>
      </c>
      <c r="B77" s="186" t="s">
        <v>151</v>
      </c>
      <c r="C77" s="150" t="s">
        <v>266</v>
      </c>
      <c r="D77" s="1057">
        <v>72</v>
      </c>
      <c r="E77" s="1058">
        <v>85</v>
      </c>
      <c r="F77" s="1059">
        <v>83</v>
      </c>
      <c r="G77" s="1058">
        <v>76</v>
      </c>
      <c r="H77" s="1059">
        <v>76</v>
      </c>
      <c r="I77" s="1058">
        <v>71</v>
      </c>
      <c r="J77" s="1059">
        <v>82</v>
      </c>
      <c r="K77" s="1058">
        <v>75</v>
      </c>
      <c r="L77" s="1072">
        <v>68</v>
      </c>
      <c r="M77" s="1072">
        <v>96</v>
      </c>
      <c r="N77" s="1072">
        <v>87</v>
      </c>
      <c r="O77" s="1072">
        <v>88</v>
      </c>
      <c r="P77" s="1073">
        <v>81</v>
      </c>
      <c r="Q77" s="1073">
        <v>94</v>
      </c>
      <c r="R77" s="1300">
        <v>99</v>
      </c>
      <c r="S77" s="1660">
        <f>'Non-marital births'!D65</f>
        <v>92</v>
      </c>
      <c r="T77" s="1663">
        <v>102</v>
      </c>
      <c r="U77" s="1664">
        <v>92</v>
      </c>
      <c r="V77" s="1531"/>
      <c r="W77" s="1080">
        <v>30</v>
      </c>
      <c r="X77" s="1081">
        <v>28</v>
      </c>
      <c r="Y77" s="1081">
        <v>21</v>
      </c>
      <c r="Z77" s="1081">
        <v>31</v>
      </c>
      <c r="AA77" s="1081">
        <v>29</v>
      </c>
      <c r="AB77" s="1081">
        <v>34</v>
      </c>
      <c r="AC77" s="1081">
        <v>31</v>
      </c>
      <c r="AD77" s="1081">
        <v>26</v>
      </c>
      <c r="AE77" s="1081">
        <v>28</v>
      </c>
      <c r="AF77" s="1081">
        <v>41</v>
      </c>
      <c r="AG77" s="1081">
        <v>37</v>
      </c>
      <c r="AH77" s="1081">
        <v>38</v>
      </c>
      <c r="AI77" s="1081">
        <v>38</v>
      </c>
      <c r="AJ77" s="1081">
        <v>35</v>
      </c>
      <c r="AK77" s="1303">
        <v>46</v>
      </c>
      <c r="AL77" s="1665">
        <f>'Non-marital births'!H65</f>
        <v>44</v>
      </c>
      <c r="AM77" s="1666">
        <v>54</v>
      </c>
      <c r="AN77" s="1667">
        <v>44</v>
      </c>
      <c r="AO77" s="1532"/>
      <c r="AP77" s="1088">
        <f t="shared" si="46"/>
        <v>0.41666666666666669</v>
      </c>
      <c r="AQ77" s="1089">
        <f t="shared" si="32"/>
        <v>0.32941176470588235</v>
      </c>
      <c r="AR77" s="1089">
        <f t="shared" si="33"/>
        <v>0.25301204819277107</v>
      </c>
      <c r="AS77" s="1089">
        <f t="shared" si="34"/>
        <v>0.40789473684210525</v>
      </c>
      <c r="AT77" s="1089">
        <f t="shared" si="35"/>
        <v>0.38157894736842107</v>
      </c>
      <c r="AU77" s="1089">
        <f t="shared" si="36"/>
        <v>0.47887323943661969</v>
      </c>
      <c r="AV77" s="1089">
        <f t="shared" si="37"/>
        <v>0.37804878048780488</v>
      </c>
      <c r="AW77" s="1089">
        <f t="shared" si="38"/>
        <v>0.34666666666666668</v>
      </c>
      <c r="AX77" s="1089">
        <f t="shared" si="39"/>
        <v>0.41176470588235292</v>
      </c>
      <c r="AY77" s="1089">
        <f t="shared" si="40"/>
        <v>0.42708333333333331</v>
      </c>
      <c r="AZ77" s="1089">
        <f t="shared" si="41"/>
        <v>0.42528735632183906</v>
      </c>
      <c r="BA77" s="1089">
        <f t="shared" si="42"/>
        <v>0.43181818181818182</v>
      </c>
      <c r="BB77" s="1089">
        <f t="shared" si="43"/>
        <v>0.46913580246913578</v>
      </c>
      <c r="BC77" s="1089">
        <f t="shared" si="44"/>
        <v>0.37234042553191488</v>
      </c>
      <c r="BD77" s="1296">
        <f t="shared" si="45"/>
        <v>0.46464646464646464</v>
      </c>
      <c r="BE77" s="1298">
        <f>'Non-marital births'!L65</f>
        <v>0.47826086956521741</v>
      </c>
      <c r="BF77" s="1654">
        <v>0.52941176470588236</v>
      </c>
      <c r="BG77" s="1656">
        <f t="shared" si="47"/>
        <v>0.47826086956521741</v>
      </c>
    </row>
    <row r="78" spans="1:59" s="142" customFormat="1" ht="15.75" customHeight="1" x14ac:dyDescent="0.2">
      <c r="A78" s="149" t="s">
        <v>152</v>
      </c>
      <c r="B78" s="186" t="s">
        <v>153</v>
      </c>
      <c r="C78" s="150" t="s">
        <v>268</v>
      </c>
      <c r="D78" s="1057">
        <v>791</v>
      </c>
      <c r="E78" s="1058">
        <v>814</v>
      </c>
      <c r="F78" s="1059">
        <v>822</v>
      </c>
      <c r="G78" s="1058">
        <v>782</v>
      </c>
      <c r="H78" s="1059">
        <v>779</v>
      </c>
      <c r="I78" s="1058">
        <v>832</v>
      </c>
      <c r="J78" s="1059">
        <v>840</v>
      </c>
      <c r="K78" s="1058">
        <v>821</v>
      </c>
      <c r="L78" s="1072">
        <v>887</v>
      </c>
      <c r="M78" s="1072">
        <v>967</v>
      </c>
      <c r="N78" s="1072">
        <v>895</v>
      </c>
      <c r="O78" s="1072">
        <v>840</v>
      </c>
      <c r="P78" s="1073">
        <v>877</v>
      </c>
      <c r="Q78" s="1073">
        <v>891</v>
      </c>
      <c r="R78" s="1300">
        <v>961</v>
      </c>
      <c r="S78" s="1660">
        <f>'Non-marital births'!D66</f>
        <v>851</v>
      </c>
      <c r="T78" s="1663">
        <v>892</v>
      </c>
      <c r="U78" s="1664">
        <v>851</v>
      </c>
      <c r="V78" s="1531"/>
      <c r="W78" s="1080">
        <v>168</v>
      </c>
      <c r="X78" s="1081">
        <v>168</v>
      </c>
      <c r="Y78" s="1081">
        <v>196</v>
      </c>
      <c r="Z78" s="1081">
        <v>158</v>
      </c>
      <c r="AA78" s="1081">
        <v>162</v>
      </c>
      <c r="AB78" s="1081">
        <v>196</v>
      </c>
      <c r="AC78" s="1081">
        <v>193</v>
      </c>
      <c r="AD78" s="1081">
        <v>218</v>
      </c>
      <c r="AE78" s="1081">
        <v>216</v>
      </c>
      <c r="AF78" s="1081">
        <v>265</v>
      </c>
      <c r="AG78" s="1081">
        <v>265</v>
      </c>
      <c r="AH78" s="1081">
        <v>245</v>
      </c>
      <c r="AI78" s="1081">
        <v>243</v>
      </c>
      <c r="AJ78" s="1081">
        <v>247</v>
      </c>
      <c r="AK78" s="1303">
        <v>240</v>
      </c>
      <c r="AL78" s="1665">
        <f>'Non-marital births'!H66</f>
        <v>231</v>
      </c>
      <c r="AM78" s="1666">
        <v>230</v>
      </c>
      <c r="AN78" s="1667">
        <v>231</v>
      </c>
      <c r="AO78" s="1532"/>
      <c r="AP78" s="1088">
        <f t="shared" si="46"/>
        <v>0.21238938053097345</v>
      </c>
      <c r="AQ78" s="1089">
        <f t="shared" si="32"/>
        <v>0.20638820638820637</v>
      </c>
      <c r="AR78" s="1089">
        <f t="shared" si="33"/>
        <v>0.23844282238442821</v>
      </c>
      <c r="AS78" s="1089">
        <f t="shared" si="34"/>
        <v>0.20204603580562661</v>
      </c>
      <c r="AT78" s="1089">
        <f t="shared" si="35"/>
        <v>0.2079589216944801</v>
      </c>
      <c r="AU78" s="1089">
        <f t="shared" si="36"/>
        <v>0.23557692307692307</v>
      </c>
      <c r="AV78" s="1089">
        <f t="shared" si="37"/>
        <v>0.22976190476190475</v>
      </c>
      <c r="AW78" s="1089">
        <f t="shared" si="38"/>
        <v>0.26552984165651644</v>
      </c>
      <c r="AX78" s="1089">
        <f t="shared" si="39"/>
        <v>0.24351747463359638</v>
      </c>
      <c r="AY78" s="1089">
        <f t="shared" si="40"/>
        <v>0.27404343329886244</v>
      </c>
      <c r="AZ78" s="1089">
        <f t="shared" si="41"/>
        <v>0.29608938547486036</v>
      </c>
      <c r="BA78" s="1089">
        <f t="shared" si="42"/>
        <v>0.29166666666666669</v>
      </c>
      <c r="BB78" s="1089">
        <f t="shared" si="43"/>
        <v>0.27708095781071834</v>
      </c>
      <c r="BC78" s="1089">
        <f t="shared" si="44"/>
        <v>0.2772166105499439</v>
      </c>
      <c r="BD78" s="1296">
        <f t="shared" si="45"/>
        <v>0.2497398543184183</v>
      </c>
      <c r="BE78" s="1298">
        <f>'Non-marital births'!L66</f>
        <v>0.27144535840188017</v>
      </c>
      <c r="BF78" s="1654">
        <v>0.25784753363228702</v>
      </c>
      <c r="BG78" s="1656">
        <f t="shared" si="47"/>
        <v>0.27144535840188017</v>
      </c>
    </row>
    <row r="79" spans="1:59" s="142" customFormat="1" ht="15.75" customHeight="1" x14ac:dyDescent="0.2">
      <c r="A79" s="149" t="s">
        <v>154</v>
      </c>
      <c r="B79" s="186" t="s">
        <v>155</v>
      </c>
      <c r="C79" s="150" t="s">
        <v>265</v>
      </c>
      <c r="D79" s="1057">
        <v>181</v>
      </c>
      <c r="E79" s="1058">
        <v>160</v>
      </c>
      <c r="F79" s="1059">
        <v>158</v>
      </c>
      <c r="G79" s="1058">
        <v>155</v>
      </c>
      <c r="H79" s="1059">
        <v>147</v>
      </c>
      <c r="I79" s="1058">
        <v>164</v>
      </c>
      <c r="J79" s="1059">
        <v>154</v>
      </c>
      <c r="K79" s="1058">
        <v>147</v>
      </c>
      <c r="L79" s="1072">
        <v>143</v>
      </c>
      <c r="M79" s="1072">
        <v>159</v>
      </c>
      <c r="N79" s="1072">
        <v>168</v>
      </c>
      <c r="O79" s="1072">
        <v>141</v>
      </c>
      <c r="P79" s="1073">
        <v>146</v>
      </c>
      <c r="Q79" s="1073">
        <v>125</v>
      </c>
      <c r="R79" s="1300">
        <v>137</v>
      </c>
      <c r="S79" s="1660">
        <f>'Non-marital births'!D67</f>
        <v>126</v>
      </c>
      <c r="T79" s="1663">
        <v>136</v>
      </c>
      <c r="U79" s="1664">
        <v>126</v>
      </c>
      <c r="V79" s="1531"/>
      <c r="W79" s="1080">
        <v>63</v>
      </c>
      <c r="X79" s="1081">
        <v>49</v>
      </c>
      <c r="Y79" s="1081">
        <v>68</v>
      </c>
      <c r="Z79" s="1081">
        <v>48</v>
      </c>
      <c r="AA79" s="1081">
        <v>47</v>
      </c>
      <c r="AB79" s="1081">
        <v>56</v>
      </c>
      <c r="AC79" s="1081">
        <v>48</v>
      </c>
      <c r="AD79" s="1081">
        <v>56</v>
      </c>
      <c r="AE79" s="1081">
        <v>53</v>
      </c>
      <c r="AF79" s="1081">
        <v>77</v>
      </c>
      <c r="AG79" s="1081">
        <v>63</v>
      </c>
      <c r="AH79" s="1081">
        <v>66</v>
      </c>
      <c r="AI79" s="1081">
        <v>57</v>
      </c>
      <c r="AJ79" s="1081">
        <v>54</v>
      </c>
      <c r="AK79" s="1303">
        <v>52</v>
      </c>
      <c r="AL79" s="1665">
        <f>'Non-marital births'!H67</f>
        <v>44</v>
      </c>
      <c r="AM79" s="1666">
        <v>56</v>
      </c>
      <c r="AN79" s="1667">
        <v>44</v>
      </c>
      <c r="AO79" s="1532"/>
      <c r="AP79" s="1088">
        <f t="shared" si="46"/>
        <v>0.34806629834254144</v>
      </c>
      <c r="AQ79" s="1089">
        <f t="shared" si="32"/>
        <v>0.30625000000000002</v>
      </c>
      <c r="AR79" s="1089">
        <f t="shared" si="33"/>
        <v>0.43037974683544306</v>
      </c>
      <c r="AS79" s="1089">
        <f t="shared" si="34"/>
        <v>0.30967741935483872</v>
      </c>
      <c r="AT79" s="1089">
        <f t="shared" si="35"/>
        <v>0.31972789115646261</v>
      </c>
      <c r="AU79" s="1089">
        <f t="shared" si="36"/>
        <v>0.34146341463414637</v>
      </c>
      <c r="AV79" s="1089">
        <f t="shared" si="37"/>
        <v>0.31168831168831168</v>
      </c>
      <c r="AW79" s="1089">
        <f t="shared" si="38"/>
        <v>0.38095238095238093</v>
      </c>
      <c r="AX79" s="1089">
        <f t="shared" si="39"/>
        <v>0.37062937062937062</v>
      </c>
      <c r="AY79" s="1089">
        <f t="shared" si="40"/>
        <v>0.48427672955974843</v>
      </c>
      <c r="AZ79" s="1089">
        <f t="shared" si="41"/>
        <v>0.375</v>
      </c>
      <c r="BA79" s="1089">
        <f t="shared" si="42"/>
        <v>0.46808510638297873</v>
      </c>
      <c r="BB79" s="1089">
        <f t="shared" si="43"/>
        <v>0.3904109589041096</v>
      </c>
      <c r="BC79" s="1089">
        <f t="shared" si="44"/>
        <v>0.432</v>
      </c>
      <c r="BD79" s="1296">
        <f t="shared" si="45"/>
        <v>0.37956204379562042</v>
      </c>
      <c r="BE79" s="1298">
        <f>'Non-marital births'!L67</f>
        <v>0.34920634920634919</v>
      </c>
      <c r="BF79" s="1654">
        <v>0.41176470588235292</v>
      </c>
      <c r="BG79" s="1656">
        <f t="shared" si="47"/>
        <v>0.34920634920634919</v>
      </c>
    </row>
    <row r="80" spans="1:59" s="142" customFormat="1" ht="15.75" customHeight="1" x14ac:dyDescent="0.2">
      <c r="A80" s="149" t="s">
        <v>156</v>
      </c>
      <c r="B80" s="186" t="s">
        <v>157</v>
      </c>
      <c r="C80" s="150" t="s">
        <v>266</v>
      </c>
      <c r="D80" s="1057">
        <v>140</v>
      </c>
      <c r="E80" s="1058">
        <v>135</v>
      </c>
      <c r="F80" s="1059">
        <v>157</v>
      </c>
      <c r="G80" s="1058">
        <v>137</v>
      </c>
      <c r="H80" s="1059">
        <v>159</v>
      </c>
      <c r="I80" s="1058">
        <v>141</v>
      </c>
      <c r="J80" s="1059">
        <v>175</v>
      </c>
      <c r="K80" s="1058">
        <v>174</v>
      </c>
      <c r="L80" s="1072">
        <v>172</v>
      </c>
      <c r="M80" s="1072">
        <v>180</v>
      </c>
      <c r="N80" s="1072">
        <v>156</v>
      </c>
      <c r="O80" s="1072">
        <v>172</v>
      </c>
      <c r="P80" s="1073">
        <v>191</v>
      </c>
      <c r="Q80" s="1073">
        <v>191</v>
      </c>
      <c r="R80" s="1300">
        <v>190</v>
      </c>
      <c r="S80" s="1660">
        <f>'Non-marital births'!D68</f>
        <v>198</v>
      </c>
      <c r="T80" s="1663">
        <v>192</v>
      </c>
      <c r="U80" s="1664">
        <v>198</v>
      </c>
      <c r="V80" s="1531"/>
      <c r="W80" s="1080">
        <v>34</v>
      </c>
      <c r="X80" s="1081">
        <v>28</v>
      </c>
      <c r="Y80" s="1081">
        <v>29</v>
      </c>
      <c r="Z80" s="1081">
        <v>32</v>
      </c>
      <c r="AA80" s="1081">
        <v>39</v>
      </c>
      <c r="AB80" s="1081">
        <v>23</v>
      </c>
      <c r="AC80" s="1081">
        <v>35</v>
      </c>
      <c r="AD80" s="1081">
        <v>43</v>
      </c>
      <c r="AE80" s="1081">
        <v>42</v>
      </c>
      <c r="AF80" s="1081">
        <v>44</v>
      </c>
      <c r="AG80" s="1081">
        <v>45</v>
      </c>
      <c r="AH80" s="1081">
        <v>53</v>
      </c>
      <c r="AI80" s="1081">
        <v>60</v>
      </c>
      <c r="AJ80" s="1081">
        <v>49</v>
      </c>
      <c r="AK80" s="1303">
        <v>49</v>
      </c>
      <c r="AL80" s="1665">
        <f>'Non-marital births'!H68</f>
        <v>51</v>
      </c>
      <c r="AM80" s="1666">
        <v>61</v>
      </c>
      <c r="AN80" s="1667">
        <v>51</v>
      </c>
      <c r="AO80" s="1532"/>
      <c r="AP80" s="1088">
        <f t="shared" si="46"/>
        <v>0.24285714285714285</v>
      </c>
      <c r="AQ80" s="1089">
        <f t="shared" si="32"/>
        <v>0.2074074074074074</v>
      </c>
      <c r="AR80" s="1089">
        <f t="shared" si="33"/>
        <v>0.18471337579617833</v>
      </c>
      <c r="AS80" s="1089">
        <f t="shared" si="34"/>
        <v>0.23357664233576642</v>
      </c>
      <c r="AT80" s="1089">
        <f t="shared" si="35"/>
        <v>0.24528301886792453</v>
      </c>
      <c r="AU80" s="1089">
        <f t="shared" si="36"/>
        <v>0.16312056737588654</v>
      </c>
      <c r="AV80" s="1089">
        <f t="shared" si="37"/>
        <v>0.2</v>
      </c>
      <c r="AW80" s="1089">
        <f t="shared" si="38"/>
        <v>0.2471264367816092</v>
      </c>
      <c r="AX80" s="1089">
        <f t="shared" si="39"/>
        <v>0.2441860465116279</v>
      </c>
      <c r="AY80" s="1089">
        <f t="shared" si="40"/>
        <v>0.24444444444444444</v>
      </c>
      <c r="AZ80" s="1089">
        <f t="shared" si="41"/>
        <v>0.28846153846153844</v>
      </c>
      <c r="BA80" s="1089">
        <f t="shared" si="42"/>
        <v>0.30813953488372092</v>
      </c>
      <c r="BB80" s="1089">
        <f t="shared" si="43"/>
        <v>0.31413612565445026</v>
      </c>
      <c r="BC80" s="1089">
        <f t="shared" si="44"/>
        <v>0.25654450261780104</v>
      </c>
      <c r="BD80" s="1296">
        <f t="shared" si="45"/>
        <v>0.25789473684210529</v>
      </c>
      <c r="BE80" s="1298">
        <f>'Non-marital births'!L68</f>
        <v>0.25757575757575757</v>
      </c>
      <c r="BF80" s="1654">
        <v>0.31770833333333331</v>
      </c>
      <c r="BG80" s="1656">
        <f t="shared" si="47"/>
        <v>0.25757575757575757</v>
      </c>
    </row>
    <row r="81" spans="1:59" s="142" customFormat="1" ht="15.75" customHeight="1" x14ac:dyDescent="0.2">
      <c r="A81" s="149" t="s">
        <v>158</v>
      </c>
      <c r="B81" s="186" t="s">
        <v>159</v>
      </c>
      <c r="C81" s="150" t="s">
        <v>264</v>
      </c>
      <c r="D81" s="1057">
        <v>3124</v>
      </c>
      <c r="E81" s="1058">
        <v>3183</v>
      </c>
      <c r="F81" s="1059">
        <v>3126</v>
      </c>
      <c r="G81" s="1058">
        <v>3194</v>
      </c>
      <c r="H81" s="1059">
        <v>3170</v>
      </c>
      <c r="I81" s="1058">
        <v>3212</v>
      </c>
      <c r="J81" s="1059">
        <v>3206</v>
      </c>
      <c r="K81" s="1058">
        <v>3223</v>
      </c>
      <c r="L81" s="1072">
        <v>3233</v>
      </c>
      <c r="M81" s="1072">
        <v>3231</v>
      </c>
      <c r="N81" s="1072">
        <v>3271</v>
      </c>
      <c r="O81" s="1072">
        <v>3206</v>
      </c>
      <c r="P81" s="1073">
        <v>3012</v>
      </c>
      <c r="Q81" s="1073">
        <v>3049</v>
      </c>
      <c r="R81" s="1300">
        <v>2905</v>
      </c>
      <c r="S81" s="1660">
        <f>'Non-marital births'!D115</f>
        <v>2799</v>
      </c>
      <c r="T81" s="1663">
        <v>2809</v>
      </c>
      <c r="U81" s="1664">
        <v>2799</v>
      </c>
      <c r="V81" s="1531"/>
      <c r="W81" s="1080">
        <v>1309</v>
      </c>
      <c r="X81" s="1081">
        <v>1329</v>
      </c>
      <c r="Y81" s="1081">
        <v>1376</v>
      </c>
      <c r="Z81" s="1081">
        <v>1407</v>
      </c>
      <c r="AA81" s="1081">
        <v>1360</v>
      </c>
      <c r="AB81" s="1081">
        <v>1436</v>
      </c>
      <c r="AC81" s="1081">
        <v>1406</v>
      </c>
      <c r="AD81" s="1081">
        <v>1441</v>
      </c>
      <c r="AE81" s="1081">
        <v>1517</v>
      </c>
      <c r="AF81" s="1081">
        <v>1582</v>
      </c>
      <c r="AG81" s="1081">
        <v>1618</v>
      </c>
      <c r="AH81" s="1081">
        <v>1524</v>
      </c>
      <c r="AI81" s="1081">
        <v>1461</v>
      </c>
      <c r="AJ81" s="1081">
        <v>1516</v>
      </c>
      <c r="AK81" s="1303">
        <v>1463</v>
      </c>
      <c r="AL81" s="1665">
        <f>'Non-marital births'!H115</f>
        <v>1389</v>
      </c>
      <c r="AM81" s="1666">
        <v>1339</v>
      </c>
      <c r="AN81" s="1667">
        <v>1389</v>
      </c>
      <c r="AO81" s="1532"/>
      <c r="AP81" s="1088">
        <f t="shared" si="46"/>
        <v>0.41901408450704225</v>
      </c>
      <c r="AQ81" s="1089">
        <f t="shared" si="32"/>
        <v>0.41753063147973613</v>
      </c>
      <c r="AR81" s="1089">
        <f t="shared" si="33"/>
        <v>0.44017914267434421</v>
      </c>
      <c r="AS81" s="1089">
        <f t="shared" si="34"/>
        <v>0.44051346274264247</v>
      </c>
      <c r="AT81" s="1089">
        <f t="shared" si="35"/>
        <v>0.42902208201892744</v>
      </c>
      <c r="AU81" s="1089">
        <f t="shared" si="36"/>
        <v>0.44707347447073476</v>
      </c>
      <c r="AV81" s="1089">
        <f t="shared" si="37"/>
        <v>0.43855271366188397</v>
      </c>
      <c r="AW81" s="1089">
        <f t="shared" si="38"/>
        <v>0.44709897610921501</v>
      </c>
      <c r="AX81" s="1089">
        <f t="shared" si="39"/>
        <v>0.46922363130219608</v>
      </c>
      <c r="AY81" s="1089">
        <f t="shared" si="40"/>
        <v>0.48963169297431136</v>
      </c>
      <c r="AZ81" s="1089">
        <f t="shared" si="41"/>
        <v>0.4946499541424641</v>
      </c>
      <c r="BA81" s="1089">
        <f t="shared" si="42"/>
        <v>0.47535870243293826</v>
      </c>
      <c r="BB81" s="1089">
        <f t="shared" si="43"/>
        <v>0.48505976095617531</v>
      </c>
      <c r="BC81" s="1089">
        <f t="shared" si="44"/>
        <v>0.49721220072154804</v>
      </c>
      <c r="BD81" s="1296">
        <f t="shared" si="45"/>
        <v>0.5036144578313253</v>
      </c>
      <c r="BE81" s="1298">
        <f>'Non-marital births'!L115</f>
        <v>0.4962486602357985</v>
      </c>
      <c r="BF81" s="1654">
        <v>0.47668209327162692</v>
      </c>
      <c r="BG81" s="1656">
        <f t="shared" si="47"/>
        <v>0.4962486602357985</v>
      </c>
    </row>
    <row r="82" spans="1:59" s="142" customFormat="1" ht="15.75" customHeight="1" x14ac:dyDescent="0.2">
      <c r="A82" s="149" t="s">
        <v>160</v>
      </c>
      <c r="B82" s="186" t="s">
        <v>161</v>
      </c>
      <c r="C82" s="150" t="s">
        <v>264</v>
      </c>
      <c r="D82" s="1057">
        <v>4018</v>
      </c>
      <c r="E82" s="1058">
        <v>3843</v>
      </c>
      <c r="F82" s="1059">
        <v>3984</v>
      </c>
      <c r="G82" s="1058">
        <v>4015</v>
      </c>
      <c r="H82" s="1059">
        <v>4119</v>
      </c>
      <c r="I82" s="1058">
        <v>3942</v>
      </c>
      <c r="J82" s="1059">
        <v>4094</v>
      </c>
      <c r="K82" s="1058">
        <v>4097</v>
      </c>
      <c r="L82" s="1072">
        <v>4036</v>
      </c>
      <c r="M82" s="1072">
        <v>4159</v>
      </c>
      <c r="N82" s="1072">
        <v>4088</v>
      </c>
      <c r="O82" s="1072">
        <v>3842</v>
      </c>
      <c r="P82" s="1073">
        <v>3791</v>
      </c>
      <c r="Q82" s="1073">
        <v>3718</v>
      </c>
      <c r="R82" s="1300">
        <v>3773</v>
      </c>
      <c r="S82" s="1660">
        <f>'Non-marital births'!D116</f>
        <v>3726</v>
      </c>
      <c r="T82" s="1663">
        <v>3620</v>
      </c>
      <c r="U82" s="1664">
        <v>3726</v>
      </c>
      <c r="V82" s="1531"/>
      <c r="W82" s="1080">
        <v>2011</v>
      </c>
      <c r="X82" s="1081">
        <v>1894</v>
      </c>
      <c r="Y82" s="1081">
        <v>1876</v>
      </c>
      <c r="Z82" s="1081">
        <v>2026</v>
      </c>
      <c r="AA82" s="1081">
        <v>2003</v>
      </c>
      <c r="AB82" s="1081">
        <v>1887</v>
      </c>
      <c r="AC82" s="1081">
        <v>1877</v>
      </c>
      <c r="AD82" s="1081">
        <v>1937</v>
      </c>
      <c r="AE82" s="1081">
        <v>1873</v>
      </c>
      <c r="AF82" s="1081">
        <v>2019</v>
      </c>
      <c r="AG82" s="1081">
        <v>2103</v>
      </c>
      <c r="AH82" s="1081">
        <v>1892</v>
      </c>
      <c r="AI82" s="1081">
        <v>1946</v>
      </c>
      <c r="AJ82" s="1081">
        <v>1893</v>
      </c>
      <c r="AK82" s="1303">
        <v>1908</v>
      </c>
      <c r="AL82" s="1665">
        <f>'Non-marital births'!H116</f>
        <v>1750</v>
      </c>
      <c r="AM82" s="1666">
        <v>1657</v>
      </c>
      <c r="AN82" s="1667">
        <v>1750</v>
      </c>
      <c r="AO82" s="1532"/>
      <c r="AP82" s="1088">
        <f t="shared" si="46"/>
        <v>0.50049776007964164</v>
      </c>
      <c r="AQ82" s="1089">
        <f t="shared" si="32"/>
        <v>0.49284413218839446</v>
      </c>
      <c r="AR82" s="1089">
        <f t="shared" si="33"/>
        <v>0.47088353413654621</v>
      </c>
      <c r="AS82" s="1089">
        <f t="shared" si="34"/>
        <v>0.50460772104607721</v>
      </c>
      <c r="AT82" s="1089">
        <f t="shared" si="35"/>
        <v>0.48628307841709151</v>
      </c>
      <c r="AU82" s="1089">
        <f t="shared" si="36"/>
        <v>0.4786910197869102</v>
      </c>
      <c r="AV82" s="1089">
        <f t="shared" si="37"/>
        <v>0.45847581827063993</v>
      </c>
      <c r="AW82" s="1089">
        <f t="shared" si="38"/>
        <v>0.47278496460824992</v>
      </c>
      <c r="AX82" s="1089">
        <f t="shared" si="39"/>
        <v>0.46407333994053518</v>
      </c>
      <c r="AY82" s="1089">
        <f t="shared" si="40"/>
        <v>0.48545323395046885</v>
      </c>
      <c r="AZ82" s="1089">
        <f t="shared" si="41"/>
        <v>0.51443248532289632</v>
      </c>
      <c r="BA82" s="1089">
        <f t="shared" si="42"/>
        <v>0.49245184799583552</v>
      </c>
      <c r="BB82" s="1089">
        <f t="shared" si="43"/>
        <v>0.5133210234766552</v>
      </c>
      <c r="BC82" s="1089">
        <f t="shared" si="44"/>
        <v>0.50914470145239377</v>
      </c>
      <c r="BD82" s="1296">
        <f t="shared" si="45"/>
        <v>0.50569838324940364</v>
      </c>
      <c r="BE82" s="1298">
        <f>'Non-marital births'!L116</f>
        <v>0.46967257112184646</v>
      </c>
      <c r="BF82" s="1654">
        <v>0.45773480662983423</v>
      </c>
      <c r="BG82" s="1656">
        <f t="shared" si="47"/>
        <v>0.46967257112184646</v>
      </c>
    </row>
    <row r="83" spans="1:59" s="142" customFormat="1" ht="15.75" customHeight="1" x14ac:dyDescent="0.2">
      <c r="A83" s="149" t="s">
        <v>162</v>
      </c>
      <c r="B83" s="186" t="s">
        <v>163</v>
      </c>
      <c r="C83" s="150" t="s">
        <v>264</v>
      </c>
      <c r="D83" s="1057">
        <v>147</v>
      </c>
      <c r="E83" s="1058">
        <v>188</v>
      </c>
      <c r="F83" s="1059">
        <v>151</v>
      </c>
      <c r="G83" s="1058">
        <v>188</v>
      </c>
      <c r="H83" s="1059">
        <v>135</v>
      </c>
      <c r="I83" s="1058">
        <v>166</v>
      </c>
      <c r="J83" s="1059">
        <v>162</v>
      </c>
      <c r="K83" s="1058">
        <v>165</v>
      </c>
      <c r="L83" s="1072">
        <v>165</v>
      </c>
      <c r="M83" s="1072">
        <v>173</v>
      </c>
      <c r="N83" s="1072">
        <v>165</v>
      </c>
      <c r="O83" s="1072">
        <v>128</v>
      </c>
      <c r="P83" s="1073">
        <v>159</v>
      </c>
      <c r="Q83" s="1073">
        <v>162</v>
      </c>
      <c r="R83" s="1300">
        <v>118</v>
      </c>
      <c r="S83" s="1660">
        <f>'Non-marital births'!D69</f>
        <v>116</v>
      </c>
      <c r="T83" s="1663">
        <v>131</v>
      </c>
      <c r="U83" s="1664">
        <v>116</v>
      </c>
      <c r="V83" s="1531"/>
      <c r="W83" s="1080">
        <v>87</v>
      </c>
      <c r="X83" s="1081">
        <v>94</v>
      </c>
      <c r="Y83" s="1081">
        <v>93</v>
      </c>
      <c r="Z83" s="1081">
        <v>102</v>
      </c>
      <c r="AA83" s="1081">
        <v>82</v>
      </c>
      <c r="AB83" s="1081">
        <v>85</v>
      </c>
      <c r="AC83" s="1081">
        <v>86</v>
      </c>
      <c r="AD83" s="1081">
        <v>100</v>
      </c>
      <c r="AE83" s="1081">
        <v>103</v>
      </c>
      <c r="AF83" s="1081">
        <v>100</v>
      </c>
      <c r="AG83" s="1081">
        <v>103</v>
      </c>
      <c r="AH83" s="1081">
        <v>77</v>
      </c>
      <c r="AI83" s="1081">
        <v>95</v>
      </c>
      <c r="AJ83" s="1081">
        <v>110</v>
      </c>
      <c r="AK83" s="1303">
        <v>69</v>
      </c>
      <c r="AL83" s="1665">
        <f>'Non-marital births'!H69</f>
        <v>73</v>
      </c>
      <c r="AM83" s="1666">
        <v>83</v>
      </c>
      <c r="AN83" s="1667">
        <v>73</v>
      </c>
      <c r="AO83" s="1532"/>
      <c r="AP83" s="1088">
        <f t="shared" si="46"/>
        <v>0.59183673469387754</v>
      </c>
      <c r="AQ83" s="1089">
        <f t="shared" si="32"/>
        <v>0.5</v>
      </c>
      <c r="AR83" s="1089">
        <f t="shared" si="33"/>
        <v>0.61589403973509937</v>
      </c>
      <c r="AS83" s="1089">
        <f t="shared" si="34"/>
        <v>0.54255319148936165</v>
      </c>
      <c r="AT83" s="1089">
        <f t="shared" si="35"/>
        <v>0.6074074074074074</v>
      </c>
      <c r="AU83" s="1089">
        <f t="shared" si="36"/>
        <v>0.51204819277108438</v>
      </c>
      <c r="AV83" s="1089">
        <f t="shared" si="37"/>
        <v>0.53086419753086422</v>
      </c>
      <c r="AW83" s="1089">
        <f t="shared" si="38"/>
        <v>0.60606060606060608</v>
      </c>
      <c r="AX83" s="1089">
        <f t="shared" si="39"/>
        <v>0.62424242424242427</v>
      </c>
      <c r="AY83" s="1089">
        <f t="shared" si="40"/>
        <v>0.5780346820809249</v>
      </c>
      <c r="AZ83" s="1089">
        <f t="shared" si="41"/>
        <v>0.62424242424242427</v>
      </c>
      <c r="BA83" s="1089">
        <f t="shared" si="42"/>
        <v>0.6015625</v>
      </c>
      <c r="BB83" s="1089">
        <f t="shared" si="43"/>
        <v>0.59748427672955973</v>
      </c>
      <c r="BC83" s="1089">
        <f t="shared" si="44"/>
        <v>0.67901234567901236</v>
      </c>
      <c r="BD83" s="1296">
        <f t="shared" si="45"/>
        <v>0.5847457627118644</v>
      </c>
      <c r="BE83" s="1298">
        <f>'Non-marital births'!L69</f>
        <v>0.62931034482758619</v>
      </c>
      <c r="BF83" s="1654">
        <v>0.63358778625954193</v>
      </c>
      <c r="BG83" s="1656">
        <f t="shared" si="47"/>
        <v>0.62931034482758619</v>
      </c>
    </row>
    <row r="84" spans="1:59" s="142" customFormat="1" ht="15.75" customHeight="1" x14ac:dyDescent="0.2">
      <c r="A84" s="149" t="s">
        <v>164</v>
      </c>
      <c r="B84" s="186" t="s">
        <v>165</v>
      </c>
      <c r="C84" s="150" t="s">
        <v>266</v>
      </c>
      <c r="D84" s="1057">
        <v>95</v>
      </c>
      <c r="E84" s="1058">
        <v>118</v>
      </c>
      <c r="F84" s="1059">
        <v>99</v>
      </c>
      <c r="G84" s="1058">
        <v>124</v>
      </c>
      <c r="H84" s="1059">
        <v>108</v>
      </c>
      <c r="I84" s="1058">
        <v>97</v>
      </c>
      <c r="J84" s="1059">
        <v>109</v>
      </c>
      <c r="K84" s="1058">
        <v>121</v>
      </c>
      <c r="L84" s="1072">
        <v>110</v>
      </c>
      <c r="M84" s="1072">
        <v>105</v>
      </c>
      <c r="N84" s="1072">
        <v>101</v>
      </c>
      <c r="O84" s="1072">
        <v>111</v>
      </c>
      <c r="P84" s="1073">
        <v>103</v>
      </c>
      <c r="Q84" s="1073">
        <v>90</v>
      </c>
      <c r="R84" s="1300">
        <v>96</v>
      </c>
      <c r="S84" s="1660">
        <f>'Non-marital births'!D70</f>
        <v>81</v>
      </c>
      <c r="T84" s="1663">
        <v>90</v>
      </c>
      <c r="U84" s="1664">
        <v>81</v>
      </c>
      <c r="V84" s="1531"/>
      <c r="W84" s="1080">
        <v>42</v>
      </c>
      <c r="X84" s="1081">
        <v>54</v>
      </c>
      <c r="Y84" s="1081">
        <v>47</v>
      </c>
      <c r="Z84" s="1081">
        <v>60</v>
      </c>
      <c r="AA84" s="1081">
        <v>62</v>
      </c>
      <c r="AB84" s="1081">
        <v>50</v>
      </c>
      <c r="AC84" s="1081">
        <v>50</v>
      </c>
      <c r="AD84" s="1081">
        <v>63</v>
      </c>
      <c r="AE84" s="1081">
        <v>60</v>
      </c>
      <c r="AF84" s="1081">
        <v>62</v>
      </c>
      <c r="AG84" s="1081">
        <v>57</v>
      </c>
      <c r="AH84" s="1081">
        <v>67</v>
      </c>
      <c r="AI84" s="1081">
        <v>55</v>
      </c>
      <c r="AJ84" s="1081">
        <v>51</v>
      </c>
      <c r="AK84" s="1303">
        <v>55</v>
      </c>
      <c r="AL84" s="1665">
        <f>'Non-marital births'!H70</f>
        <v>42</v>
      </c>
      <c r="AM84" s="1666">
        <v>49</v>
      </c>
      <c r="AN84" s="1667">
        <v>42</v>
      </c>
      <c r="AO84" s="1532"/>
      <c r="AP84" s="1088">
        <f t="shared" si="46"/>
        <v>0.44210526315789472</v>
      </c>
      <c r="AQ84" s="1089">
        <f t="shared" si="32"/>
        <v>0.4576271186440678</v>
      </c>
      <c r="AR84" s="1089">
        <f t="shared" si="33"/>
        <v>0.47474747474747475</v>
      </c>
      <c r="AS84" s="1089">
        <f t="shared" si="34"/>
        <v>0.4838709677419355</v>
      </c>
      <c r="AT84" s="1089">
        <f t="shared" si="35"/>
        <v>0.57407407407407407</v>
      </c>
      <c r="AU84" s="1089">
        <f t="shared" si="36"/>
        <v>0.51546391752577314</v>
      </c>
      <c r="AV84" s="1089">
        <f t="shared" si="37"/>
        <v>0.45871559633027525</v>
      </c>
      <c r="AW84" s="1089">
        <f t="shared" si="38"/>
        <v>0.52066115702479343</v>
      </c>
      <c r="AX84" s="1089">
        <f t="shared" si="39"/>
        <v>0.54545454545454541</v>
      </c>
      <c r="AY84" s="1089">
        <f t="shared" si="40"/>
        <v>0.59047619047619049</v>
      </c>
      <c r="AZ84" s="1089">
        <f t="shared" si="41"/>
        <v>0.5643564356435643</v>
      </c>
      <c r="BA84" s="1089">
        <f t="shared" si="42"/>
        <v>0.60360360360360366</v>
      </c>
      <c r="BB84" s="1089">
        <f t="shared" si="43"/>
        <v>0.53398058252427183</v>
      </c>
      <c r="BC84" s="1089">
        <f t="shared" si="44"/>
        <v>0.56666666666666665</v>
      </c>
      <c r="BD84" s="1296">
        <f t="shared" si="45"/>
        <v>0.57291666666666663</v>
      </c>
      <c r="BE84" s="1298">
        <f>'Non-marital births'!L70</f>
        <v>0.51851851851851849</v>
      </c>
      <c r="BF84" s="1654">
        <v>0.5444444444444444</v>
      </c>
      <c r="BG84" s="1656">
        <f t="shared" si="47"/>
        <v>0.51851851851851849</v>
      </c>
    </row>
    <row r="85" spans="1:59" s="142" customFormat="1" ht="15.75" customHeight="1" x14ac:dyDescent="0.2">
      <c r="A85" s="149" t="s">
        <v>166</v>
      </c>
      <c r="B85" s="186" t="s">
        <v>167</v>
      </c>
      <c r="C85" s="150" t="s">
        <v>268</v>
      </c>
      <c r="D85" s="1057">
        <v>45</v>
      </c>
      <c r="E85" s="1058">
        <v>59</v>
      </c>
      <c r="F85" s="1059">
        <v>62</v>
      </c>
      <c r="G85" s="1058">
        <v>39</v>
      </c>
      <c r="H85" s="1059">
        <v>23</v>
      </c>
      <c r="I85" s="1058">
        <v>43</v>
      </c>
      <c r="J85" s="1059">
        <v>37</v>
      </c>
      <c r="K85" s="1058">
        <v>30</v>
      </c>
      <c r="L85" s="1072">
        <v>36</v>
      </c>
      <c r="M85" s="1072">
        <v>45</v>
      </c>
      <c r="N85" s="1072">
        <v>41</v>
      </c>
      <c r="O85" s="1072">
        <v>62</v>
      </c>
      <c r="P85" s="1073">
        <v>77</v>
      </c>
      <c r="Q85" s="1073">
        <v>58</v>
      </c>
      <c r="R85" s="1300">
        <v>60</v>
      </c>
      <c r="S85" s="1660">
        <f>'Non-marital births'!D117</f>
        <v>51</v>
      </c>
      <c r="T85" s="1663">
        <v>48</v>
      </c>
      <c r="U85" s="1664">
        <v>51</v>
      </c>
      <c r="V85" s="1531"/>
      <c r="W85" s="1080">
        <v>16</v>
      </c>
      <c r="X85" s="1081">
        <v>19</v>
      </c>
      <c r="Y85" s="1081">
        <v>18</v>
      </c>
      <c r="Z85" s="1081">
        <v>13</v>
      </c>
      <c r="AA85" s="1081">
        <v>12</v>
      </c>
      <c r="AB85" s="1081">
        <v>22</v>
      </c>
      <c r="AC85" s="1081">
        <v>24</v>
      </c>
      <c r="AD85" s="1081">
        <v>16</v>
      </c>
      <c r="AE85" s="1081">
        <v>18</v>
      </c>
      <c r="AF85" s="1081">
        <v>23</v>
      </c>
      <c r="AG85" s="1081">
        <v>19</v>
      </c>
      <c r="AH85" s="1081">
        <v>30</v>
      </c>
      <c r="AI85" s="1081">
        <v>35</v>
      </c>
      <c r="AJ85" s="1081">
        <v>29</v>
      </c>
      <c r="AK85" s="1303">
        <v>35</v>
      </c>
      <c r="AL85" s="1665">
        <f>'Non-marital births'!H117</f>
        <v>25</v>
      </c>
      <c r="AM85" s="1666">
        <v>18</v>
      </c>
      <c r="AN85" s="1667">
        <v>25</v>
      </c>
      <c r="AO85" s="1532"/>
      <c r="AP85" s="1088">
        <f t="shared" si="46"/>
        <v>0.35555555555555557</v>
      </c>
      <c r="AQ85" s="1089">
        <f t="shared" si="32"/>
        <v>0.32203389830508472</v>
      </c>
      <c r="AR85" s="1089">
        <f t="shared" si="33"/>
        <v>0.29032258064516131</v>
      </c>
      <c r="AS85" s="1089">
        <f t="shared" si="34"/>
        <v>0.33333333333333331</v>
      </c>
      <c r="AT85" s="1089">
        <f t="shared" si="35"/>
        <v>0.52173913043478259</v>
      </c>
      <c r="AU85" s="1089">
        <f t="shared" si="36"/>
        <v>0.51162790697674421</v>
      </c>
      <c r="AV85" s="1089">
        <f t="shared" si="37"/>
        <v>0.64864864864864868</v>
      </c>
      <c r="AW85" s="1089">
        <f t="shared" si="38"/>
        <v>0.53333333333333333</v>
      </c>
      <c r="AX85" s="1089">
        <f t="shared" si="39"/>
        <v>0.5</v>
      </c>
      <c r="AY85" s="1089">
        <f t="shared" si="40"/>
        <v>0.51111111111111107</v>
      </c>
      <c r="AZ85" s="1089">
        <f t="shared" si="41"/>
        <v>0.46341463414634149</v>
      </c>
      <c r="BA85" s="1089">
        <f t="shared" si="42"/>
        <v>0.4838709677419355</v>
      </c>
      <c r="BB85" s="1089">
        <f t="shared" si="43"/>
        <v>0.45454545454545453</v>
      </c>
      <c r="BC85" s="1089">
        <f t="shared" si="44"/>
        <v>0.5</v>
      </c>
      <c r="BD85" s="1296">
        <f t="shared" si="45"/>
        <v>0.58333333333333337</v>
      </c>
      <c r="BE85" s="1298">
        <f>'Non-marital births'!L117</f>
        <v>0.49019607843137253</v>
      </c>
      <c r="BF85" s="1654">
        <v>0.375</v>
      </c>
      <c r="BG85" s="1656">
        <f t="shared" si="47"/>
        <v>0.49019607843137253</v>
      </c>
    </row>
    <row r="86" spans="1:59" s="142" customFormat="1" ht="15.75" customHeight="1" x14ac:dyDescent="0.2">
      <c r="A86" s="149" t="s">
        <v>168</v>
      </c>
      <c r="B86" s="186" t="s">
        <v>169</v>
      </c>
      <c r="C86" s="150" t="s">
        <v>266</v>
      </c>
      <c r="D86" s="1057">
        <v>165</v>
      </c>
      <c r="E86" s="1058">
        <v>193</v>
      </c>
      <c r="F86" s="1059">
        <v>188</v>
      </c>
      <c r="G86" s="1058">
        <v>163</v>
      </c>
      <c r="H86" s="1059">
        <v>196</v>
      </c>
      <c r="I86" s="1058">
        <v>162</v>
      </c>
      <c r="J86" s="1059">
        <v>184</v>
      </c>
      <c r="K86" s="1058">
        <v>181</v>
      </c>
      <c r="L86" s="1072">
        <v>171</v>
      </c>
      <c r="M86" s="1072">
        <v>161</v>
      </c>
      <c r="N86" s="1072">
        <v>192</v>
      </c>
      <c r="O86" s="1072">
        <v>184</v>
      </c>
      <c r="P86" s="1073">
        <v>159</v>
      </c>
      <c r="Q86" s="1073">
        <v>165</v>
      </c>
      <c r="R86" s="1300">
        <v>187</v>
      </c>
      <c r="S86" s="1660">
        <f>'Non-marital births'!D71</f>
        <v>154</v>
      </c>
      <c r="T86" s="1663">
        <v>182</v>
      </c>
      <c r="U86" s="1664">
        <v>154</v>
      </c>
      <c r="V86" s="1531"/>
      <c r="W86" s="1080">
        <v>73</v>
      </c>
      <c r="X86" s="1081">
        <v>91</v>
      </c>
      <c r="Y86" s="1081">
        <v>88</v>
      </c>
      <c r="Z86" s="1081">
        <v>79</v>
      </c>
      <c r="AA86" s="1081">
        <v>94</v>
      </c>
      <c r="AB86" s="1081">
        <v>78</v>
      </c>
      <c r="AC86" s="1081">
        <v>77</v>
      </c>
      <c r="AD86" s="1081">
        <v>79</v>
      </c>
      <c r="AE86" s="1081">
        <v>92</v>
      </c>
      <c r="AF86" s="1081">
        <v>84</v>
      </c>
      <c r="AG86" s="1081">
        <v>116</v>
      </c>
      <c r="AH86" s="1081">
        <v>106</v>
      </c>
      <c r="AI86" s="1081">
        <v>84</v>
      </c>
      <c r="AJ86" s="1081">
        <v>91</v>
      </c>
      <c r="AK86" s="1303">
        <v>112</v>
      </c>
      <c r="AL86" s="1665">
        <f>'Non-marital births'!H71</f>
        <v>81</v>
      </c>
      <c r="AM86" s="1666">
        <v>97</v>
      </c>
      <c r="AN86" s="1667">
        <v>81</v>
      </c>
      <c r="AO86" s="1532"/>
      <c r="AP86" s="1088">
        <f t="shared" si="46"/>
        <v>0.44242424242424244</v>
      </c>
      <c r="AQ86" s="1089">
        <f t="shared" si="32"/>
        <v>0.47150259067357514</v>
      </c>
      <c r="AR86" s="1089">
        <f t="shared" si="33"/>
        <v>0.46808510638297873</v>
      </c>
      <c r="AS86" s="1089">
        <f t="shared" si="34"/>
        <v>0.48466257668711654</v>
      </c>
      <c r="AT86" s="1089">
        <f t="shared" si="35"/>
        <v>0.47959183673469385</v>
      </c>
      <c r="AU86" s="1089">
        <f t="shared" si="36"/>
        <v>0.48148148148148145</v>
      </c>
      <c r="AV86" s="1089">
        <f t="shared" si="37"/>
        <v>0.41847826086956524</v>
      </c>
      <c r="AW86" s="1089">
        <f t="shared" si="38"/>
        <v>0.43646408839779005</v>
      </c>
      <c r="AX86" s="1089">
        <f t="shared" si="39"/>
        <v>0.53801169590643272</v>
      </c>
      <c r="AY86" s="1089">
        <f t="shared" si="40"/>
        <v>0.52173913043478259</v>
      </c>
      <c r="AZ86" s="1089">
        <f t="shared" si="41"/>
        <v>0.60416666666666663</v>
      </c>
      <c r="BA86" s="1089">
        <f t="shared" si="42"/>
        <v>0.57608695652173914</v>
      </c>
      <c r="BB86" s="1089">
        <f t="shared" si="43"/>
        <v>0.52830188679245282</v>
      </c>
      <c r="BC86" s="1089">
        <f t="shared" si="44"/>
        <v>0.55151515151515151</v>
      </c>
      <c r="BD86" s="1296">
        <f t="shared" si="45"/>
        <v>0.59893048128342241</v>
      </c>
      <c r="BE86" s="1298">
        <f>'Non-marital births'!L71</f>
        <v>0.52597402597402598</v>
      </c>
      <c r="BF86" s="1654">
        <v>0.53296703296703296</v>
      </c>
      <c r="BG86" s="1656">
        <f t="shared" si="47"/>
        <v>0.52597402597402598</v>
      </c>
    </row>
    <row r="87" spans="1:59" s="142" customFormat="1" ht="15.75" customHeight="1" x14ac:dyDescent="0.2">
      <c r="A87" s="149" t="s">
        <v>170</v>
      </c>
      <c r="B87" s="186" t="s">
        <v>171</v>
      </c>
      <c r="C87" s="150" t="s">
        <v>267</v>
      </c>
      <c r="D87" s="1057">
        <v>307</v>
      </c>
      <c r="E87" s="1058">
        <v>339</v>
      </c>
      <c r="F87" s="1059">
        <v>324</v>
      </c>
      <c r="G87" s="1058">
        <v>302</v>
      </c>
      <c r="H87" s="1059">
        <v>324</v>
      </c>
      <c r="I87" s="1058">
        <v>301</v>
      </c>
      <c r="J87" s="1059">
        <v>355</v>
      </c>
      <c r="K87" s="1058">
        <v>381</v>
      </c>
      <c r="L87" s="1072">
        <v>374</v>
      </c>
      <c r="M87" s="1072">
        <v>410</v>
      </c>
      <c r="N87" s="1072">
        <v>419</v>
      </c>
      <c r="O87" s="1072">
        <v>351</v>
      </c>
      <c r="P87" s="1073">
        <v>390</v>
      </c>
      <c r="Q87" s="1073">
        <v>413</v>
      </c>
      <c r="R87" s="1300">
        <v>369</v>
      </c>
      <c r="S87" s="1660">
        <f>'Non-marital births'!D72</f>
        <v>383</v>
      </c>
      <c r="T87" s="1663">
        <v>403</v>
      </c>
      <c r="U87" s="1664">
        <v>383</v>
      </c>
      <c r="V87" s="1531"/>
      <c r="W87" s="1080">
        <v>105</v>
      </c>
      <c r="X87" s="1081">
        <v>107</v>
      </c>
      <c r="Y87" s="1081">
        <v>122</v>
      </c>
      <c r="Z87" s="1081">
        <v>109</v>
      </c>
      <c r="AA87" s="1081">
        <v>115</v>
      </c>
      <c r="AB87" s="1081">
        <v>104</v>
      </c>
      <c r="AC87" s="1081">
        <v>117</v>
      </c>
      <c r="AD87" s="1081">
        <v>133</v>
      </c>
      <c r="AE87" s="1081">
        <v>120</v>
      </c>
      <c r="AF87" s="1081">
        <v>148</v>
      </c>
      <c r="AG87" s="1081">
        <v>161</v>
      </c>
      <c r="AH87" s="1081">
        <v>133</v>
      </c>
      <c r="AI87" s="1081">
        <v>144</v>
      </c>
      <c r="AJ87" s="1081">
        <v>159</v>
      </c>
      <c r="AK87" s="1303">
        <v>135</v>
      </c>
      <c r="AL87" s="1665">
        <f>'Non-marital births'!H72</f>
        <v>144</v>
      </c>
      <c r="AM87" s="1666">
        <v>165</v>
      </c>
      <c r="AN87" s="1667">
        <v>144</v>
      </c>
      <c r="AO87" s="1532"/>
      <c r="AP87" s="1088">
        <f t="shared" si="46"/>
        <v>0.34201954397394135</v>
      </c>
      <c r="AQ87" s="1089">
        <f t="shared" si="32"/>
        <v>0.31563421828908556</v>
      </c>
      <c r="AR87" s="1089">
        <f t="shared" si="33"/>
        <v>0.37654320987654322</v>
      </c>
      <c r="AS87" s="1089">
        <f t="shared" si="34"/>
        <v>0.36092715231788081</v>
      </c>
      <c r="AT87" s="1089">
        <f t="shared" si="35"/>
        <v>0.35493827160493829</v>
      </c>
      <c r="AU87" s="1089">
        <f t="shared" si="36"/>
        <v>0.34551495016611294</v>
      </c>
      <c r="AV87" s="1089">
        <f t="shared" si="37"/>
        <v>0.3295774647887324</v>
      </c>
      <c r="AW87" s="1089">
        <f t="shared" si="38"/>
        <v>0.34908136482939633</v>
      </c>
      <c r="AX87" s="1089">
        <f t="shared" si="39"/>
        <v>0.32085561497326204</v>
      </c>
      <c r="AY87" s="1089">
        <f t="shared" si="40"/>
        <v>0.36097560975609755</v>
      </c>
      <c r="AZ87" s="1089">
        <f t="shared" si="41"/>
        <v>0.38424821002386633</v>
      </c>
      <c r="BA87" s="1089">
        <f t="shared" si="42"/>
        <v>0.37891737891737892</v>
      </c>
      <c r="BB87" s="1089">
        <f t="shared" si="43"/>
        <v>0.36923076923076925</v>
      </c>
      <c r="BC87" s="1089">
        <f t="shared" si="44"/>
        <v>0.38498789346246975</v>
      </c>
      <c r="BD87" s="1296">
        <f t="shared" si="45"/>
        <v>0.36585365853658536</v>
      </c>
      <c r="BE87" s="1298">
        <f>'Non-marital births'!L72</f>
        <v>0.37597911227154046</v>
      </c>
      <c r="BF87" s="1654">
        <v>0.40942928039702231</v>
      </c>
      <c r="BG87" s="1656">
        <f t="shared" si="47"/>
        <v>0.37597911227154046</v>
      </c>
    </row>
    <row r="88" spans="1:59" s="142" customFormat="1" ht="15.75" customHeight="1" x14ac:dyDescent="0.2">
      <c r="A88" s="149" t="s">
        <v>172</v>
      </c>
      <c r="B88" s="186" t="s">
        <v>173</v>
      </c>
      <c r="C88" s="150" t="s">
        <v>267</v>
      </c>
      <c r="D88" s="1057">
        <v>245</v>
      </c>
      <c r="E88" s="1058">
        <v>256</v>
      </c>
      <c r="F88" s="1059">
        <v>266</v>
      </c>
      <c r="G88" s="1058">
        <v>274</v>
      </c>
      <c r="H88" s="1059">
        <v>284</v>
      </c>
      <c r="I88" s="1058">
        <v>278</v>
      </c>
      <c r="J88" s="1059">
        <v>276</v>
      </c>
      <c r="K88" s="1058">
        <v>252</v>
      </c>
      <c r="L88" s="1072">
        <v>278</v>
      </c>
      <c r="M88" s="1072">
        <v>225</v>
      </c>
      <c r="N88" s="1072">
        <v>264</v>
      </c>
      <c r="O88" s="1072">
        <v>243</v>
      </c>
      <c r="P88" s="1073">
        <v>233</v>
      </c>
      <c r="Q88" s="1073">
        <v>229</v>
      </c>
      <c r="R88" s="1300">
        <v>232</v>
      </c>
      <c r="S88" s="1660">
        <f>'Non-marital births'!D73</f>
        <v>234</v>
      </c>
      <c r="T88" s="1663">
        <v>229</v>
      </c>
      <c r="U88" s="1664">
        <v>234</v>
      </c>
      <c r="V88" s="1531"/>
      <c r="W88" s="1080">
        <v>95</v>
      </c>
      <c r="X88" s="1081">
        <v>90</v>
      </c>
      <c r="Y88" s="1081">
        <v>94</v>
      </c>
      <c r="Z88" s="1081">
        <v>102</v>
      </c>
      <c r="AA88" s="1081">
        <v>101</v>
      </c>
      <c r="AB88" s="1081">
        <v>94</v>
      </c>
      <c r="AC88" s="1081">
        <v>107</v>
      </c>
      <c r="AD88" s="1081">
        <v>92</v>
      </c>
      <c r="AE88" s="1081">
        <v>115</v>
      </c>
      <c r="AF88" s="1081">
        <v>88</v>
      </c>
      <c r="AG88" s="1081">
        <v>122</v>
      </c>
      <c r="AH88" s="1081">
        <v>106</v>
      </c>
      <c r="AI88" s="1081">
        <v>95</v>
      </c>
      <c r="AJ88" s="1081">
        <v>117</v>
      </c>
      <c r="AK88" s="1303">
        <v>123</v>
      </c>
      <c r="AL88" s="1665">
        <f>'Non-marital births'!H73</f>
        <v>118</v>
      </c>
      <c r="AM88" s="1666">
        <v>104</v>
      </c>
      <c r="AN88" s="1667">
        <v>118</v>
      </c>
      <c r="AO88" s="1532"/>
      <c r="AP88" s="1088">
        <f t="shared" si="46"/>
        <v>0.38775510204081631</v>
      </c>
      <c r="AQ88" s="1089">
        <f t="shared" si="32"/>
        <v>0.3515625</v>
      </c>
      <c r="AR88" s="1089">
        <f t="shared" si="33"/>
        <v>0.35338345864661652</v>
      </c>
      <c r="AS88" s="1089">
        <f t="shared" si="34"/>
        <v>0.37226277372262773</v>
      </c>
      <c r="AT88" s="1089">
        <f t="shared" si="35"/>
        <v>0.35563380281690143</v>
      </c>
      <c r="AU88" s="1089">
        <f t="shared" si="36"/>
        <v>0.33812949640287771</v>
      </c>
      <c r="AV88" s="1089">
        <f t="shared" si="37"/>
        <v>0.38768115942028986</v>
      </c>
      <c r="AW88" s="1089">
        <f t="shared" si="38"/>
        <v>0.36507936507936506</v>
      </c>
      <c r="AX88" s="1089">
        <f t="shared" si="39"/>
        <v>0.41366906474820142</v>
      </c>
      <c r="AY88" s="1089">
        <f t="shared" si="40"/>
        <v>0.39111111111111113</v>
      </c>
      <c r="AZ88" s="1089">
        <f t="shared" si="41"/>
        <v>0.4621212121212121</v>
      </c>
      <c r="BA88" s="1089">
        <f t="shared" si="42"/>
        <v>0.43621399176954734</v>
      </c>
      <c r="BB88" s="1089">
        <f t="shared" si="43"/>
        <v>0.40772532188841204</v>
      </c>
      <c r="BC88" s="1089">
        <f t="shared" si="44"/>
        <v>0.51091703056768556</v>
      </c>
      <c r="BD88" s="1296">
        <f t="shared" si="45"/>
        <v>0.53017241379310343</v>
      </c>
      <c r="BE88" s="1298">
        <f>'Non-marital births'!L73</f>
        <v>0.50427350427350426</v>
      </c>
      <c r="BF88" s="1654">
        <v>0.45414847161572053</v>
      </c>
      <c r="BG88" s="1656">
        <f t="shared" si="47"/>
        <v>0.50427350427350426</v>
      </c>
    </row>
    <row r="89" spans="1:59" s="142" customFormat="1" ht="15.75" customHeight="1" x14ac:dyDescent="0.2">
      <c r="A89" s="149" t="s">
        <v>174</v>
      </c>
      <c r="B89" s="186" t="s">
        <v>175</v>
      </c>
      <c r="C89" s="150" t="s">
        <v>268</v>
      </c>
      <c r="D89" s="1057">
        <v>192</v>
      </c>
      <c r="E89" s="1058">
        <v>183</v>
      </c>
      <c r="F89" s="1059">
        <v>171</v>
      </c>
      <c r="G89" s="1058">
        <v>160</v>
      </c>
      <c r="H89" s="1059">
        <v>169</v>
      </c>
      <c r="I89" s="1058">
        <v>170</v>
      </c>
      <c r="J89" s="1059">
        <v>184</v>
      </c>
      <c r="K89" s="1058">
        <v>189</v>
      </c>
      <c r="L89" s="1072">
        <v>174</v>
      </c>
      <c r="M89" s="1072">
        <v>154</v>
      </c>
      <c r="N89" s="1072">
        <v>173</v>
      </c>
      <c r="O89" s="1072">
        <v>143</v>
      </c>
      <c r="P89" s="1073">
        <v>173</v>
      </c>
      <c r="Q89" s="1073">
        <v>143</v>
      </c>
      <c r="R89" s="1300">
        <v>156</v>
      </c>
      <c r="S89" s="1660">
        <f>'Non-marital births'!D74</f>
        <v>124</v>
      </c>
      <c r="T89" s="1663">
        <v>119</v>
      </c>
      <c r="U89" s="1664">
        <v>124</v>
      </c>
      <c r="V89" s="1531"/>
      <c r="W89" s="1080">
        <v>55</v>
      </c>
      <c r="X89" s="1081">
        <v>38</v>
      </c>
      <c r="Y89" s="1081">
        <v>29</v>
      </c>
      <c r="Z89" s="1081">
        <v>48</v>
      </c>
      <c r="AA89" s="1081">
        <v>48</v>
      </c>
      <c r="AB89" s="1081">
        <v>44</v>
      </c>
      <c r="AC89" s="1081">
        <v>46</v>
      </c>
      <c r="AD89" s="1081">
        <v>57</v>
      </c>
      <c r="AE89" s="1081">
        <v>50</v>
      </c>
      <c r="AF89" s="1081">
        <v>39</v>
      </c>
      <c r="AG89" s="1081">
        <v>48</v>
      </c>
      <c r="AH89" s="1081">
        <v>54</v>
      </c>
      <c r="AI89" s="1081">
        <v>57</v>
      </c>
      <c r="AJ89" s="1081">
        <v>54</v>
      </c>
      <c r="AK89" s="1303">
        <v>58</v>
      </c>
      <c r="AL89" s="1665">
        <f>'Non-marital births'!H74</f>
        <v>45</v>
      </c>
      <c r="AM89" s="1666">
        <v>44</v>
      </c>
      <c r="AN89" s="1667">
        <v>45</v>
      </c>
      <c r="AO89" s="1532"/>
      <c r="AP89" s="1088">
        <f t="shared" si="46"/>
        <v>0.28645833333333331</v>
      </c>
      <c r="AQ89" s="1089">
        <f t="shared" si="32"/>
        <v>0.20765027322404372</v>
      </c>
      <c r="AR89" s="1089">
        <f t="shared" si="33"/>
        <v>0.16959064327485379</v>
      </c>
      <c r="AS89" s="1089">
        <f t="shared" si="34"/>
        <v>0.3</v>
      </c>
      <c r="AT89" s="1089">
        <f t="shared" si="35"/>
        <v>0.28402366863905326</v>
      </c>
      <c r="AU89" s="1089">
        <f t="shared" si="36"/>
        <v>0.25882352941176473</v>
      </c>
      <c r="AV89" s="1089">
        <f t="shared" si="37"/>
        <v>0.25</v>
      </c>
      <c r="AW89" s="1089">
        <f t="shared" si="38"/>
        <v>0.30158730158730157</v>
      </c>
      <c r="AX89" s="1089">
        <f t="shared" si="39"/>
        <v>0.28735632183908044</v>
      </c>
      <c r="AY89" s="1089">
        <f t="shared" si="40"/>
        <v>0.25324675324675322</v>
      </c>
      <c r="AZ89" s="1089">
        <f t="shared" si="41"/>
        <v>0.2774566473988439</v>
      </c>
      <c r="BA89" s="1089">
        <f t="shared" si="42"/>
        <v>0.3776223776223776</v>
      </c>
      <c r="BB89" s="1089">
        <f t="shared" si="43"/>
        <v>0.32947976878612717</v>
      </c>
      <c r="BC89" s="1089">
        <f t="shared" si="44"/>
        <v>0.3776223776223776</v>
      </c>
      <c r="BD89" s="1296">
        <f t="shared" si="45"/>
        <v>0.37179487179487181</v>
      </c>
      <c r="BE89" s="1298">
        <f>'Non-marital births'!L74</f>
        <v>0.36290322580645162</v>
      </c>
      <c r="BF89" s="1654">
        <v>0.36974789915966388</v>
      </c>
      <c r="BG89" s="1656">
        <f t="shared" si="47"/>
        <v>0.36290322580645162</v>
      </c>
    </row>
    <row r="90" spans="1:59" s="142" customFormat="1" ht="15.75" customHeight="1" x14ac:dyDescent="0.2">
      <c r="A90" s="149" t="s">
        <v>176</v>
      </c>
      <c r="B90" s="186" t="s">
        <v>177</v>
      </c>
      <c r="C90" s="150" t="s">
        <v>266</v>
      </c>
      <c r="D90" s="1057">
        <v>572</v>
      </c>
      <c r="E90" s="1058">
        <v>551</v>
      </c>
      <c r="F90" s="1059">
        <v>526</v>
      </c>
      <c r="G90" s="1058">
        <v>555</v>
      </c>
      <c r="H90" s="1059">
        <v>530</v>
      </c>
      <c r="I90" s="1058">
        <v>543</v>
      </c>
      <c r="J90" s="1059">
        <v>528</v>
      </c>
      <c r="K90" s="1058">
        <v>492</v>
      </c>
      <c r="L90" s="1072">
        <v>568</v>
      </c>
      <c r="M90" s="1072">
        <v>652</v>
      </c>
      <c r="N90" s="1072">
        <v>603</v>
      </c>
      <c r="O90" s="1072">
        <v>667</v>
      </c>
      <c r="P90" s="1073">
        <v>699</v>
      </c>
      <c r="Q90" s="1073">
        <v>659</v>
      </c>
      <c r="R90" s="1300">
        <v>612</v>
      </c>
      <c r="S90" s="1660">
        <f>'Non-marital births'!D118</f>
        <v>687</v>
      </c>
      <c r="T90" s="1663">
        <v>686</v>
      </c>
      <c r="U90" s="1664">
        <v>687</v>
      </c>
      <c r="V90" s="1531"/>
      <c r="W90" s="1080">
        <v>376</v>
      </c>
      <c r="X90" s="1081">
        <v>380</v>
      </c>
      <c r="Y90" s="1081">
        <v>385</v>
      </c>
      <c r="Z90" s="1081">
        <v>393</v>
      </c>
      <c r="AA90" s="1081">
        <v>377</v>
      </c>
      <c r="AB90" s="1081">
        <v>394</v>
      </c>
      <c r="AC90" s="1081">
        <v>381</v>
      </c>
      <c r="AD90" s="1081">
        <v>362</v>
      </c>
      <c r="AE90" s="1081">
        <v>388</v>
      </c>
      <c r="AF90" s="1081">
        <v>457</v>
      </c>
      <c r="AG90" s="1081">
        <v>453</v>
      </c>
      <c r="AH90" s="1081">
        <v>498</v>
      </c>
      <c r="AI90" s="1081">
        <v>529</v>
      </c>
      <c r="AJ90" s="1081">
        <v>489</v>
      </c>
      <c r="AK90" s="1303">
        <v>471</v>
      </c>
      <c r="AL90" s="1665">
        <f>'Non-marital births'!H118</f>
        <v>486</v>
      </c>
      <c r="AM90" s="1666">
        <v>513</v>
      </c>
      <c r="AN90" s="1667">
        <v>486</v>
      </c>
      <c r="AO90" s="1532"/>
      <c r="AP90" s="1088">
        <f t="shared" si="46"/>
        <v>0.65734265734265729</v>
      </c>
      <c r="AQ90" s="1089">
        <f t="shared" si="32"/>
        <v>0.68965517241379315</v>
      </c>
      <c r="AR90" s="1089">
        <f t="shared" si="33"/>
        <v>0.73193916349809884</v>
      </c>
      <c r="AS90" s="1089">
        <f t="shared" si="34"/>
        <v>0.70810810810810809</v>
      </c>
      <c r="AT90" s="1089">
        <f t="shared" si="35"/>
        <v>0.71132075471698109</v>
      </c>
      <c r="AU90" s="1089">
        <f t="shared" si="36"/>
        <v>0.72559852670349911</v>
      </c>
      <c r="AV90" s="1089">
        <f t="shared" si="37"/>
        <v>0.72159090909090906</v>
      </c>
      <c r="AW90" s="1089">
        <f t="shared" si="38"/>
        <v>0.73577235772357719</v>
      </c>
      <c r="AX90" s="1089">
        <f t="shared" si="39"/>
        <v>0.68309859154929575</v>
      </c>
      <c r="AY90" s="1089">
        <f t="shared" si="40"/>
        <v>0.70092024539877296</v>
      </c>
      <c r="AZ90" s="1089">
        <f t="shared" si="41"/>
        <v>0.75124378109452739</v>
      </c>
      <c r="BA90" s="1089">
        <f t="shared" si="42"/>
        <v>0.74662668665667165</v>
      </c>
      <c r="BB90" s="1089">
        <f t="shared" si="43"/>
        <v>0.75679542203147354</v>
      </c>
      <c r="BC90" s="1089">
        <f t="shared" si="44"/>
        <v>0.74203338391502272</v>
      </c>
      <c r="BD90" s="1296">
        <f t="shared" si="45"/>
        <v>0.76960784313725494</v>
      </c>
      <c r="BE90" s="1298">
        <f>'Non-marital births'!L118</f>
        <v>0.70742358078602618</v>
      </c>
      <c r="BF90" s="1654">
        <v>0.74781341107871724</v>
      </c>
      <c r="BG90" s="1656">
        <f t="shared" si="47"/>
        <v>0.70742358078602618</v>
      </c>
    </row>
    <row r="91" spans="1:59" s="142" customFormat="1" ht="15.75" customHeight="1" x14ac:dyDescent="0.2">
      <c r="A91" s="149" t="s">
        <v>178</v>
      </c>
      <c r="B91" s="186" t="s">
        <v>179</v>
      </c>
      <c r="C91" s="150" t="s">
        <v>265</v>
      </c>
      <c r="D91" s="1057">
        <v>671</v>
      </c>
      <c r="E91" s="1058">
        <v>753</v>
      </c>
      <c r="F91" s="1059">
        <v>749</v>
      </c>
      <c r="G91" s="1058">
        <v>699</v>
      </c>
      <c r="H91" s="1059">
        <v>658</v>
      </c>
      <c r="I91" s="1058">
        <v>674</v>
      </c>
      <c r="J91" s="1059">
        <v>652</v>
      </c>
      <c r="K91" s="1058">
        <v>665</v>
      </c>
      <c r="L91" s="1072">
        <v>644</v>
      </c>
      <c r="M91" s="1072">
        <v>638</v>
      </c>
      <c r="N91" s="1072">
        <v>622</v>
      </c>
      <c r="O91" s="1072">
        <v>574</v>
      </c>
      <c r="P91" s="1073">
        <v>508</v>
      </c>
      <c r="Q91" s="1073">
        <v>450</v>
      </c>
      <c r="R91" s="1300">
        <v>540</v>
      </c>
      <c r="S91" s="1660">
        <f>'Non-marital births'!D75</f>
        <v>491</v>
      </c>
      <c r="T91" s="1663">
        <v>446</v>
      </c>
      <c r="U91" s="1664">
        <v>491</v>
      </c>
      <c r="V91" s="1531"/>
      <c r="W91" s="1080">
        <v>204</v>
      </c>
      <c r="X91" s="1081">
        <v>252</v>
      </c>
      <c r="Y91" s="1081">
        <v>249</v>
      </c>
      <c r="Z91" s="1081">
        <v>223</v>
      </c>
      <c r="AA91" s="1081">
        <v>216</v>
      </c>
      <c r="AB91" s="1081">
        <v>233</v>
      </c>
      <c r="AC91" s="1081">
        <v>234</v>
      </c>
      <c r="AD91" s="1081">
        <v>271</v>
      </c>
      <c r="AE91" s="1081">
        <v>261</v>
      </c>
      <c r="AF91" s="1081">
        <v>285</v>
      </c>
      <c r="AG91" s="1081">
        <v>248</v>
      </c>
      <c r="AH91" s="1081">
        <v>241</v>
      </c>
      <c r="AI91" s="1081">
        <v>216</v>
      </c>
      <c r="AJ91" s="1081">
        <v>196</v>
      </c>
      <c r="AK91" s="1303">
        <v>244</v>
      </c>
      <c r="AL91" s="1665">
        <f>'Non-marital births'!H75</f>
        <v>225</v>
      </c>
      <c r="AM91" s="1666">
        <v>188</v>
      </c>
      <c r="AN91" s="1667">
        <v>225</v>
      </c>
      <c r="AO91" s="1532"/>
      <c r="AP91" s="1088">
        <f t="shared" si="46"/>
        <v>0.30402384500745155</v>
      </c>
      <c r="AQ91" s="1089">
        <f t="shared" si="32"/>
        <v>0.33466135458167329</v>
      </c>
      <c r="AR91" s="1089">
        <f t="shared" si="33"/>
        <v>0.33244325767690253</v>
      </c>
      <c r="AS91" s="1089">
        <f t="shared" si="34"/>
        <v>0.31902718168812588</v>
      </c>
      <c r="AT91" s="1089">
        <f t="shared" si="35"/>
        <v>0.32826747720364741</v>
      </c>
      <c r="AU91" s="1089">
        <f t="shared" si="36"/>
        <v>0.3456973293768546</v>
      </c>
      <c r="AV91" s="1089">
        <f t="shared" si="37"/>
        <v>0.35889570552147237</v>
      </c>
      <c r="AW91" s="1089">
        <f t="shared" si="38"/>
        <v>0.40751879699248122</v>
      </c>
      <c r="AX91" s="1089">
        <f t="shared" si="39"/>
        <v>0.40527950310559008</v>
      </c>
      <c r="AY91" s="1089">
        <f t="shared" si="40"/>
        <v>0.44670846394984326</v>
      </c>
      <c r="AZ91" s="1089">
        <f t="shared" si="41"/>
        <v>0.3987138263665595</v>
      </c>
      <c r="BA91" s="1089">
        <f t="shared" si="42"/>
        <v>0.41986062717770034</v>
      </c>
      <c r="BB91" s="1089">
        <f t="shared" si="43"/>
        <v>0.42519685039370081</v>
      </c>
      <c r="BC91" s="1089">
        <f t="shared" si="44"/>
        <v>0.43555555555555553</v>
      </c>
      <c r="BD91" s="1296">
        <f t="shared" si="45"/>
        <v>0.45185185185185184</v>
      </c>
      <c r="BE91" s="1298">
        <f>'Non-marital births'!L75</f>
        <v>0.45824847250509165</v>
      </c>
      <c r="BF91" s="1654">
        <v>0.42152466367713004</v>
      </c>
      <c r="BG91" s="1656">
        <f t="shared" si="47"/>
        <v>0.45824847250509165</v>
      </c>
    </row>
    <row r="92" spans="1:59" s="142" customFormat="1" ht="15.75" customHeight="1" x14ac:dyDescent="0.2">
      <c r="A92" s="149" t="s">
        <v>180</v>
      </c>
      <c r="B92" s="186" t="s">
        <v>181</v>
      </c>
      <c r="C92" s="150" t="s">
        <v>264</v>
      </c>
      <c r="D92" s="1057">
        <v>1644</v>
      </c>
      <c r="E92" s="1058">
        <v>1604</v>
      </c>
      <c r="F92" s="1059">
        <v>1544</v>
      </c>
      <c r="G92" s="1058">
        <v>1585</v>
      </c>
      <c r="H92" s="1059">
        <v>1539</v>
      </c>
      <c r="I92" s="1058">
        <v>1597</v>
      </c>
      <c r="J92" s="1059">
        <v>1647</v>
      </c>
      <c r="K92" s="1058">
        <v>1620</v>
      </c>
      <c r="L92" s="1072">
        <v>1744</v>
      </c>
      <c r="M92" s="1072">
        <v>1642</v>
      </c>
      <c r="N92" s="1072">
        <v>1555</v>
      </c>
      <c r="O92" s="1072">
        <v>1623</v>
      </c>
      <c r="P92" s="1073">
        <v>1590</v>
      </c>
      <c r="Q92" s="1073">
        <v>1580</v>
      </c>
      <c r="R92" s="1300">
        <v>1534</v>
      </c>
      <c r="S92" s="1660">
        <f>'Non-marital births'!D119</f>
        <v>1542</v>
      </c>
      <c r="T92" s="1663">
        <v>1476</v>
      </c>
      <c r="U92" s="1664">
        <v>1542</v>
      </c>
      <c r="V92" s="1531"/>
      <c r="W92" s="1080">
        <v>865</v>
      </c>
      <c r="X92" s="1081">
        <v>847</v>
      </c>
      <c r="Y92" s="1081">
        <v>819</v>
      </c>
      <c r="Z92" s="1081">
        <v>852</v>
      </c>
      <c r="AA92" s="1081">
        <v>795</v>
      </c>
      <c r="AB92" s="1081">
        <v>791</v>
      </c>
      <c r="AC92" s="1081">
        <v>828</v>
      </c>
      <c r="AD92" s="1081">
        <v>815</v>
      </c>
      <c r="AE92" s="1081">
        <v>907</v>
      </c>
      <c r="AF92" s="1081">
        <v>850</v>
      </c>
      <c r="AG92" s="1081">
        <v>844</v>
      </c>
      <c r="AH92" s="1081">
        <v>904</v>
      </c>
      <c r="AI92" s="1081">
        <v>845</v>
      </c>
      <c r="AJ92" s="1081">
        <v>898</v>
      </c>
      <c r="AK92" s="1303">
        <v>835</v>
      </c>
      <c r="AL92" s="1665">
        <f>'Non-marital births'!H119</f>
        <v>834</v>
      </c>
      <c r="AM92" s="1666">
        <v>822</v>
      </c>
      <c r="AN92" s="1667">
        <v>834</v>
      </c>
      <c r="AO92" s="1532"/>
      <c r="AP92" s="1088">
        <f t="shared" si="46"/>
        <v>0.52615571776155723</v>
      </c>
      <c r="AQ92" s="1089">
        <f t="shared" si="32"/>
        <v>0.52805486284289271</v>
      </c>
      <c r="AR92" s="1089">
        <f t="shared" si="33"/>
        <v>0.53044041450777202</v>
      </c>
      <c r="AS92" s="1089">
        <f t="shared" si="34"/>
        <v>0.53753943217665612</v>
      </c>
      <c r="AT92" s="1089">
        <f t="shared" si="35"/>
        <v>0.51656920077972712</v>
      </c>
      <c r="AU92" s="1089">
        <f t="shared" si="36"/>
        <v>0.49530369442705074</v>
      </c>
      <c r="AV92" s="1089">
        <f t="shared" si="37"/>
        <v>0.50273224043715847</v>
      </c>
      <c r="AW92" s="1089">
        <f t="shared" si="38"/>
        <v>0.50308641975308643</v>
      </c>
      <c r="AX92" s="1089">
        <f t="shared" si="39"/>
        <v>0.52006880733944949</v>
      </c>
      <c r="AY92" s="1089">
        <f t="shared" si="40"/>
        <v>0.51766138855054811</v>
      </c>
      <c r="AZ92" s="1089">
        <f t="shared" si="41"/>
        <v>0.54276527331189706</v>
      </c>
      <c r="BA92" s="1089">
        <f t="shared" si="42"/>
        <v>0.55699322242760319</v>
      </c>
      <c r="BB92" s="1089">
        <f t="shared" si="43"/>
        <v>0.53144654088050314</v>
      </c>
      <c r="BC92" s="1089">
        <f t="shared" si="44"/>
        <v>0.56835443037974687</v>
      </c>
      <c r="BD92" s="1296">
        <f t="shared" si="45"/>
        <v>0.54432855280312908</v>
      </c>
      <c r="BE92" s="1298">
        <f>'Non-marital births'!L119</f>
        <v>0.54085603112840464</v>
      </c>
      <c r="BF92" s="1654">
        <v>0.55691056910569103</v>
      </c>
      <c r="BG92" s="1656">
        <f t="shared" si="47"/>
        <v>0.54085603112840464</v>
      </c>
    </row>
    <row r="93" spans="1:59" s="142" customFormat="1" ht="15.75" customHeight="1" x14ac:dyDescent="0.2">
      <c r="A93" s="149" t="s">
        <v>182</v>
      </c>
      <c r="B93" s="186" t="s">
        <v>183</v>
      </c>
      <c r="C93" s="150" t="s">
        <v>266</v>
      </c>
      <c r="D93" s="1057">
        <v>246</v>
      </c>
      <c r="E93" s="1058">
        <v>263</v>
      </c>
      <c r="F93" s="1059">
        <v>259</v>
      </c>
      <c r="G93" s="1058">
        <v>270</v>
      </c>
      <c r="H93" s="1059">
        <v>279</v>
      </c>
      <c r="I93" s="1058">
        <v>264</v>
      </c>
      <c r="J93" s="1059">
        <v>259</v>
      </c>
      <c r="K93" s="1058">
        <v>282</v>
      </c>
      <c r="L93" s="1072">
        <v>247</v>
      </c>
      <c r="M93" s="1072">
        <v>254</v>
      </c>
      <c r="N93" s="1072">
        <v>265</v>
      </c>
      <c r="O93" s="1072">
        <v>243</v>
      </c>
      <c r="P93" s="1073">
        <v>223</v>
      </c>
      <c r="Q93" s="1073">
        <v>233</v>
      </c>
      <c r="R93" s="1300">
        <v>245</v>
      </c>
      <c r="S93" s="1660">
        <f>'Non-marital births'!D76</f>
        <v>219</v>
      </c>
      <c r="T93" s="1663">
        <v>236</v>
      </c>
      <c r="U93" s="1664">
        <v>219</v>
      </c>
      <c r="V93" s="1531"/>
      <c r="W93" s="1080">
        <v>44</v>
      </c>
      <c r="X93" s="1081">
        <v>50</v>
      </c>
      <c r="Y93" s="1081">
        <v>46</v>
      </c>
      <c r="Z93" s="1081">
        <v>40</v>
      </c>
      <c r="AA93" s="1081">
        <v>44</v>
      </c>
      <c r="AB93" s="1081">
        <v>46</v>
      </c>
      <c r="AC93" s="1081">
        <v>45</v>
      </c>
      <c r="AD93" s="1081">
        <v>45</v>
      </c>
      <c r="AE93" s="1081">
        <v>44</v>
      </c>
      <c r="AF93" s="1081">
        <v>58</v>
      </c>
      <c r="AG93" s="1081">
        <v>63</v>
      </c>
      <c r="AH93" s="1081">
        <v>54</v>
      </c>
      <c r="AI93" s="1081">
        <v>59</v>
      </c>
      <c r="AJ93" s="1081">
        <v>63</v>
      </c>
      <c r="AK93" s="1303">
        <v>67</v>
      </c>
      <c r="AL93" s="1665">
        <f>'Non-marital births'!H76</f>
        <v>53</v>
      </c>
      <c r="AM93" s="1666">
        <v>61</v>
      </c>
      <c r="AN93" s="1667">
        <v>53</v>
      </c>
      <c r="AO93" s="1532"/>
      <c r="AP93" s="1088">
        <f t="shared" si="46"/>
        <v>0.17886178861788618</v>
      </c>
      <c r="AQ93" s="1089">
        <f t="shared" si="32"/>
        <v>0.19011406844106463</v>
      </c>
      <c r="AR93" s="1089">
        <f t="shared" si="33"/>
        <v>0.17760617760617761</v>
      </c>
      <c r="AS93" s="1089">
        <f t="shared" si="34"/>
        <v>0.14814814814814814</v>
      </c>
      <c r="AT93" s="1089">
        <f t="shared" si="35"/>
        <v>0.15770609318996415</v>
      </c>
      <c r="AU93" s="1089">
        <f t="shared" si="36"/>
        <v>0.17424242424242425</v>
      </c>
      <c r="AV93" s="1089">
        <f t="shared" si="37"/>
        <v>0.17374517374517376</v>
      </c>
      <c r="AW93" s="1089">
        <f t="shared" si="38"/>
        <v>0.15957446808510639</v>
      </c>
      <c r="AX93" s="1089">
        <f t="shared" si="39"/>
        <v>0.17813765182186234</v>
      </c>
      <c r="AY93" s="1089">
        <f t="shared" si="40"/>
        <v>0.2283464566929134</v>
      </c>
      <c r="AZ93" s="1089">
        <f t="shared" si="41"/>
        <v>0.23773584905660378</v>
      </c>
      <c r="BA93" s="1089">
        <f t="shared" si="42"/>
        <v>0.22222222222222221</v>
      </c>
      <c r="BB93" s="1089">
        <f t="shared" si="43"/>
        <v>0.26457399103139012</v>
      </c>
      <c r="BC93" s="1089">
        <f t="shared" si="44"/>
        <v>0.27038626609442062</v>
      </c>
      <c r="BD93" s="1296">
        <f t="shared" si="45"/>
        <v>0.27346938775510204</v>
      </c>
      <c r="BE93" s="1298">
        <f>'Non-marital births'!L76</f>
        <v>0.24200913242009131</v>
      </c>
      <c r="BF93" s="1654">
        <v>0.25847457627118642</v>
      </c>
      <c r="BG93" s="1656">
        <f t="shared" si="47"/>
        <v>0.24200913242009131</v>
      </c>
    </row>
    <row r="94" spans="1:59" s="142" customFormat="1" ht="15.75" customHeight="1" x14ac:dyDescent="0.2">
      <c r="A94" s="149" t="s">
        <v>184</v>
      </c>
      <c r="B94" s="186" t="s">
        <v>185</v>
      </c>
      <c r="C94" s="150" t="s">
        <v>266</v>
      </c>
      <c r="D94" s="1057">
        <v>206</v>
      </c>
      <c r="E94" s="1058">
        <v>211</v>
      </c>
      <c r="F94" s="1059">
        <v>216</v>
      </c>
      <c r="G94" s="1058">
        <v>232</v>
      </c>
      <c r="H94" s="1059">
        <v>195</v>
      </c>
      <c r="I94" s="1058">
        <v>186</v>
      </c>
      <c r="J94" s="1059">
        <v>203</v>
      </c>
      <c r="K94" s="1058">
        <v>195</v>
      </c>
      <c r="L94" s="1072">
        <v>185</v>
      </c>
      <c r="M94" s="1072">
        <v>215</v>
      </c>
      <c r="N94" s="1072">
        <v>215</v>
      </c>
      <c r="O94" s="1072">
        <v>208</v>
      </c>
      <c r="P94" s="1073">
        <v>221</v>
      </c>
      <c r="Q94" s="1073">
        <v>203</v>
      </c>
      <c r="R94" s="1300">
        <v>204</v>
      </c>
      <c r="S94" s="1660">
        <f>'Non-marital births'!D77</f>
        <v>253</v>
      </c>
      <c r="T94" s="1663">
        <v>230</v>
      </c>
      <c r="U94" s="1664">
        <v>253</v>
      </c>
      <c r="V94" s="1531"/>
      <c r="W94" s="1080">
        <v>92</v>
      </c>
      <c r="X94" s="1081">
        <v>93</v>
      </c>
      <c r="Y94" s="1081">
        <v>84</v>
      </c>
      <c r="Z94" s="1081">
        <v>94</v>
      </c>
      <c r="AA94" s="1081">
        <v>92</v>
      </c>
      <c r="AB94" s="1081">
        <v>84</v>
      </c>
      <c r="AC94" s="1081">
        <v>99</v>
      </c>
      <c r="AD94" s="1081">
        <v>101</v>
      </c>
      <c r="AE94" s="1081">
        <v>98</v>
      </c>
      <c r="AF94" s="1081">
        <v>109</v>
      </c>
      <c r="AG94" s="1081">
        <v>127</v>
      </c>
      <c r="AH94" s="1081">
        <v>104</v>
      </c>
      <c r="AI94" s="1081">
        <v>123</v>
      </c>
      <c r="AJ94" s="1081">
        <v>104</v>
      </c>
      <c r="AK94" s="1303">
        <v>118</v>
      </c>
      <c r="AL94" s="1665">
        <f>'Non-marital births'!H77</f>
        <v>121</v>
      </c>
      <c r="AM94" s="1666">
        <v>119</v>
      </c>
      <c r="AN94" s="1667">
        <v>121</v>
      </c>
      <c r="AO94" s="1532"/>
      <c r="AP94" s="1088">
        <f t="shared" si="46"/>
        <v>0.44660194174757284</v>
      </c>
      <c r="AQ94" s="1089">
        <f t="shared" si="32"/>
        <v>0.44075829383886256</v>
      </c>
      <c r="AR94" s="1089">
        <f t="shared" si="33"/>
        <v>0.3888888888888889</v>
      </c>
      <c r="AS94" s="1089">
        <f t="shared" si="34"/>
        <v>0.40517241379310343</v>
      </c>
      <c r="AT94" s="1089">
        <f t="shared" si="35"/>
        <v>0.47179487179487178</v>
      </c>
      <c r="AU94" s="1089">
        <f t="shared" si="36"/>
        <v>0.45161290322580644</v>
      </c>
      <c r="AV94" s="1089">
        <f t="shared" si="37"/>
        <v>0.48768472906403942</v>
      </c>
      <c r="AW94" s="1089">
        <f t="shared" si="38"/>
        <v>0.517948717948718</v>
      </c>
      <c r="AX94" s="1089">
        <f t="shared" si="39"/>
        <v>0.52972972972972976</v>
      </c>
      <c r="AY94" s="1089">
        <f t="shared" si="40"/>
        <v>0.50697674418604655</v>
      </c>
      <c r="AZ94" s="1089">
        <f t="shared" si="41"/>
        <v>0.59069767441860466</v>
      </c>
      <c r="BA94" s="1089">
        <f t="shared" si="42"/>
        <v>0.5</v>
      </c>
      <c r="BB94" s="1089">
        <f t="shared" si="43"/>
        <v>0.5565610859728507</v>
      </c>
      <c r="BC94" s="1089">
        <f t="shared" si="44"/>
        <v>0.51231527093596063</v>
      </c>
      <c r="BD94" s="1296">
        <f t="shared" si="45"/>
        <v>0.57843137254901966</v>
      </c>
      <c r="BE94" s="1298">
        <f>'Non-marital births'!L77</f>
        <v>0.47826086956521741</v>
      </c>
      <c r="BF94" s="1654">
        <v>0.5173913043478261</v>
      </c>
      <c r="BG94" s="1656">
        <f t="shared" si="47"/>
        <v>0.47826086956521741</v>
      </c>
    </row>
    <row r="95" spans="1:59" s="142" customFormat="1" ht="15.75" customHeight="1" x14ac:dyDescent="0.2">
      <c r="A95" s="149" t="s">
        <v>186</v>
      </c>
      <c r="B95" s="186" t="s">
        <v>187</v>
      </c>
      <c r="C95" s="150" t="s">
        <v>264</v>
      </c>
      <c r="D95" s="1057">
        <v>345</v>
      </c>
      <c r="E95" s="1058">
        <v>378</v>
      </c>
      <c r="F95" s="1059">
        <v>406</v>
      </c>
      <c r="G95" s="1058">
        <v>379</v>
      </c>
      <c r="H95" s="1059">
        <v>348</v>
      </c>
      <c r="I95" s="1058">
        <v>388</v>
      </c>
      <c r="J95" s="1059">
        <v>368</v>
      </c>
      <c r="K95" s="1058">
        <v>326</v>
      </c>
      <c r="L95" s="1072">
        <v>356</v>
      </c>
      <c r="M95" s="1072">
        <v>375</v>
      </c>
      <c r="N95" s="1072">
        <v>369</v>
      </c>
      <c r="O95" s="1072">
        <v>403</v>
      </c>
      <c r="P95" s="1073">
        <v>344</v>
      </c>
      <c r="Q95" s="1073">
        <v>327</v>
      </c>
      <c r="R95" s="1300">
        <v>344</v>
      </c>
      <c r="S95" s="1660">
        <f>'Non-marital births'!D78</f>
        <v>354</v>
      </c>
      <c r="T95" s="1663">
        <v>359</v>
      </c>
      <c r="U95" s="1664">
        <v>354</v>
      </c>
      <c r="V95" s="1531"/>
      <c r="W95" s="1080">
        <v>80</v>
      </c>
      <c r="X95" s="1081">
        <v>92</v>
      </c>
      <c r="Y95" s="1081">
        <v>88</v>
      </c>
      <c r="Z95" s="1081">
        <v>83</v>
      </c>
      <c r="AA95" s="1081">
        <v>94</v>
      </c>
      <c r="AB95" s="1081">
        <v>98</v>
      </c>
      <c r="AC95" s="1081">
        <v>98</v>
      </c>
      <c r="AD95" s="1081">
        <v>79</v>
      </c>
      <c r="AE95" s="1081">
        <v>91</v>
      </c>
      <c r="AF95" s="1081">
        <v>129</v>
      </c>
      <c r="AG95" s="1081">
        <v>116</v>
      </c>
      <c r="AH95" s="1081">
        <v>120</v>
      </c>
      <c r="AI95" s="1081">
        <v>92</v>
      </c>
      <c r="AJ95" s="1081">
        <v>90</v>
      </c>
      <c r="AK95" s="1303">
        <v>115</v>
      </c>
      <c r="AL95" s="1665">
        <f>'Non-marital births'!H78</f>
        <v>110</v>
      </c>
      <c r="AM95" s="1666">
        <v>110</v>
      </c>
      <c r="AN95" s="1667">
        <v>110</v>
      </c>
      <c r="AO95" s="1532"/>
      <c r="AP95" s="1088">
        <f t="shared" si="46"/>
        <v>0.2318840579710145</v>
      </c>
      <c r="AQ95" s="1089">
        <f t="shared" si="32"/>
        <v>0.24338624338624337</v>
      </c>
      <c r="AR95" s="1089">
        <f t="shared" si="33"/>
        <v>0.21674876847290642</v>
      </c>
      <c r="AS95" s="1089">
        <f t="shared" si="34"/>
        <v>0.21899736147757257</v>
      </c>
      <c r="AT95" s="1089">
        <f t="shared" si="35"/>
        <v>0.27011494252873564</v>
      </c>
      <c r="AU95" s="1089">
        <f t="shared" si="36"/>
        <v>0.25257731958762886</v>
      </c>
      <c r="AV95" s="1089">
        <f t="shared" si="37"/>
        <v>0.26630434782608697</v>
      </c>
      <c r="AW95" s="1089">
        <f t="shared" si="38"/>
        <v>0.24233128834355827</v>
      </c>
      <c r="AX95" s="1089">
        <f t="shared" si="39"/>
        <v>0.2556179775280899</v>
      </c>
      <c r="AY95" s="1089">
        <f t="shared" si="40"/>
        <v>0.34399999999999997</v>
      </c>
      <c r="AZ95" s="1089">
        <f t="shared" si="41"/>
        <v>0.3143631436314363</v>
      </c>
      <c r="BA95" s="1089">
        <f t="shared" si="42"/>
        <v>0.29776674937965258</v>
      </c>
      <c r="BB95" s="1089">
        <f t="shared" si="43"/>
        <v>0.26744186046511625</v>
      </c>
      <c r="BC95" s="1089">
        <f t="shared" si="44"/>
        <v>0.27522935779816515</v>
      </c>
      <c r="BD95" s="1296">
        <f t="shared" si="45"/>
        <v>0.33430232558139533</v>
      </c>
      <c r="BE95" s="1298">
        <f>'Non-marital births'!L78</f>
        <v>0.31073446327683618</v>
      </c>
      <c r="BF95" s="1654">
        <v>0.30640668523676878</v>
      </c>
      <c r="BG95" s="1656">
        <f t="shared" si="47"/>
        <v>0.31073446327683618</v>
      </c>
    </row>
    <row r="96" spans="1:59" s="142" customFormat="1" ht="15.75" customHeight="1" x14ac:dyDescent="0.2">
      <c r="A96" s="149" t="s">
        <v>188</v>
      </c>
      <c r="B96" s="186" t="s">
        <v>189</v>
      </c>
      <c r="C96" s="150" t="s">
        <v>267</v>
      </c>
      <c r="D96" s="1057">
        <v>4640</v>
      </c>
      <c r="E96" s="1058">
        <v>4716</v>
      </c>
      <c r="F96" s="1059">
        <v>5046</v>
      </c>
      <c r="G96" s="1058">
        <v>5466</v>
      </c>
      <c r="H96" s="1059">
        <v>5655</v>
      </c>
      <c r="I96" s="1058">
        <v>5958</v>
      </c>
      <c r="J96" s="1059">
        <v>6445</v>
      </c>
      <c r="K96" s="1058">
        <v>6626</v>
      </c>
      <c r="L96" s="1072">
        <v>7042</v>
      </c>
      <c r="M96" s="1072">
        <v>6797</v>
      </c>
      <c r="N96" s="1072">
        <v>6397</v>
      </c>
      <c r="O96" s="1072">
        <v>6622</v>
      </c>
      <c r="P96" s="1073">
        <v>6647</v>
      </c>
      <c r="Q96" s="1073">
        <v>6691</v>
      </c>
      <c r="R96" s="1300">
        <v>6873</v>
      </c>
      <c r="S96" s="1660">
        <f>'Non-marital births'!D79</f>
        <v>6593</v>
      </c>
      <c r="T96" s="1663">
        <v>6900</v>
      </c>
      <c r="U96" s="1664">
        <v>6593</v>
      </c>
      <c r="V96" s="1531"/>
      <c r="W96" s="1080">
        <v>1099</v>
      </c>
      <c r="X96" s="1081">
        <v>1172</v>
      </c>
      <c r="Y96" s="1081">
        <v>1249</v>
      </c>
      <c r="Z96" s="1081">
        <v>1336</v>
      </c>
      <c r="AA96" s="1081">
        <v>1322</v>
      </c>
      <c r="AB96" s="1081">
        <v>1525</v>
      </c>
      <c r="AC96" s="1081">
        <v>1656</v>
      </c>
      <c r="AD96" s="1081">
        <v>1824</v>
      </c>
      <c r="AE96" s="1081">
        <v>2185</v>
      </c>
      <c r="AF96" s="1081">
        <v>2087</v>
      </c>
      <c r="AG96" s="1081">
        <v>1809</v>
      </c>
      <c r="AH96" s="1081">
        <v>1932</v>
      </c>
      <c r="AI96" s="1081">
        <v>1985</v>
      </c>
      <c r="AJ96" s="1081">
        <v>1985</v>
      </c>
      <c r="AK96" s="1303">
        <v>2043</v>
      </c>
      <c r="AL96" s="1665">
        <f>'Non-marital births'!H79</f>
        <v>2038</v>
      </c>
      <c r="AM96" s="1666">
        <v>2018</v>
      </c>
      <c r="AN96" s="1667">
        <v>2038</v>
      </c>
      <c r="AO96" s="1532"/>
      <c r="AP96" s="1088">
        <f t="shared" si="46"/>
        <v>0.23685344827586208</v>
      </c>
      <c r="AQ96" s="1089">
        <f t="shared" si="32"/>
        <v>0.24851569126378287</v>
      </c>
      <c r="AR96" s="1089">
        <f t="shared" si="33"/>
        <v>0.24752279032897345</v>
      </c>
      <c r="AS96" s="1089">
        <f t="shared" si="34"/>
        <v>0.24442005122575924</v>
      </c>
      <c r="AT96" s="1089">
        <f t="shared" si="35"/>
        <v>0.23377541998231655</v>
      </c>
      <c r="AU96" s="1089">
        <f t="shared" si="36"/>
        <v>0.25595837529372273</v>
      </c>
      <c r="AV96" s="1089">
        <f t="shared" si="37"/>
        <v>0.25694336695112491</v>
      </c>
      <c r="AW96" s="1089">
        <f t="shared" si="38"/>
        <v>0.27527920313914883</v>
      </c>
      <c r="AX96" s="1089">
        <f t="shared" si="39"/>
        <v>0.31028117012212442</v>
      </c>
      <c r="AY96" s="1089">
        <f t="shared" si="40"/>
        <v>0.30704722671766954</v>
      </c>
      <c r="AZ96" s="1089">
        <f t="shared" si="41"/>
        <v>0.28278880725340005</v>
      </c>
      <c r="BA96" s="1089">
        <f t="shared" si="42"/>
        <v>0.29175475687103591</v>
      </c>
      <c r="BB96" s="1089">
        <f t="shared" si="43"/>
        <v>0.29863096133594103</v>
      </c>
      <c r="BC96" s="1089">
        <f t="shared" si="44"/>
        <v>0.29666716484830369</v>
      </c>
      <c r="BD96" s="1296">
        <f t="shared" si="45"/>
        <v>0.29725010912265387</v>
      </c>
      <c r="BE96" s="1298">
        <f>'Non-marital births'!L79</f>
        <v>0.3091157288032762</v>
      </c>
      <c r="BF96" s="1654">
        <v>0.29246376811594205</v>
      </c>
      <c r="BG96" s="1656">
        <f t="shared" si="47"/>
        <v>0.3091157288032762</v>
      </c>
    </row>
    <row r="97" spans="1:59" s="142" customFormat="1" ht="15.75" customHeight="1" x14ac:dyDescent="0.2">
      <c r="A97" s="149" t="s">
        <v>190</v>
      </c>
      <c r="B97" s="186" t="s">
        <v>191</v>
      </c>
      <c r="C97" s="150" t="s">
        <v>268</v>
      </c>
      <c r="D97" s="1057">
        <v>419</v>
      </c>
      <c r="E97" s="1058">
        <v>383</v>
      </c>
      <c r="F97" s="1059">
        <v>411</v>
      </c>
      <c r="G97" s="1058">
        <v>369</v>
      </c>
      <c r="H97" s="1059">
        <v>324</v>
      </c>
      <c r="I97" s="1058">
        <v>338</v>
      </c>
      <c r="J97" s="1059">
        <v>345</v>
      </c>
      <c r="K97" s="1058">
        <v>344</v>
      </c>
      <c r="L97" s="1072">
        <v>336</v>
      </c>
      <c r="M97" s="1072">
        <v>358</v>
      </c>
      <c r="N97" s="1072">
        <v>362</v>
      </c>
      <c r="O97" s="1072">
        <v>321</v>
      </c>
      <c r="P97" s="1073">
        <v>281</v>
      </c>
      <c r="Q97" s="1073">
        <v>288</v>
      </c>
      <c r="R97" s="1300">
        <v>348</v>
      </c>
      <c r="S97" s="1660">
        <f>'Non-marital births'!D80</f>
        <v>306</v>
      </c>
      <c r="T97" s="1663">
        <v>323</v>
      </c>
      <c r="U97" s="1664">
        <v>306</v>
      </c>
      <c r="V97" s="1531"/>
      <c r="W97" s="1080">
        <v>120</v>
      </c>
      <c r="X97" s="1081">
        <v>111</v>
      </c>
      <c r="Y97" s="1081">
        <v>125</v>
      </c>
      <c r="Z97" s="1081">
        <v>115</v>
      </c>
      <c r="AA97" s="1081">
        <v>112</v>
      </c>
      <c r="AB97" s="1081">
        <v>115</v>
      </c>
      <c r="AC97" s="1081">
        <v>106</v>
      </c>
      <c r="AD97" s="1081">
        <v>129</v>
      </c>
      <c r="AE97" s="1081">
        <v>124</v>
      </c>
      <c r="AF97" s="1081">
        <v>155</v>
      </c>
      <c r="AG97" s="1081">
        <v>149</v>
      </c>
      <c r="AH97" s="1081">
        <v>144</v>
      </c>
      <c r="AI97" s="1081">
        <v>116</v>
      </c>
      <c r="AJ97" s="1081">
        <v>120</v>
      </c>
      <c r="AK97" s="1303">
        <v>147</v>
      </c>
      <c r="AL97" s="1665">
        <f>'Non-marital births'!H80</f>
        <v>156</v>
      </c>
      <c r="AM97" s="1666">
        <v>141</v>
      </c>
      <c r="AN97" s="1667">
        <v>156</v>
      </c>
      <c r="AO97" s="1532"/>
      <c r="AP97" s="1088">
        <f t="shared" si="46"/>
        <v>0.28639618138424822</v>
      </c>
      <c r="AQ97" s="1089">
        <f t="shared" si="32"/>
        <v>0.28981723237597912</v>
      </c>
      <c r="AR97" s="1089">
        <f t="shared" si="33"/>
        <v>0.30413625304136255</v>
      </c>
      <c r="AS97" s="1089">
        <f t="shared" si="34"/>
        <v>0.31165311653116529</v>
      </c>
      <c r="AT97" s="1089">
        <f t="shared" si="35"/>
        <v>0.34567901234567899</v>
      </c>
      <c r="AU97" s="1089">
        <f t="shared" si="36"/>
        <v>0.34023668639053256</v>
      </c>
      <c r="AV97" s="1089">
        <f t="shared" si="37"/>
        <v>0.30724637681159422</v>
      </c>
      <c r="AW97" s="1089">
        <f t="shared" si="38"/>
        <v>0.375</v>
      </c>
      <c r="AX97" s="1089">
        <f t="shared" si="39"/>
        <v>0.36904761904761907</v>
      </c>
      <c r="AY97" s="1089">
        <f t="shared" si="40"/>
        <v>0.43296089385474862</v>
      </c>
      <c r="AZ97" s="1089">
        <f t="shared" si="41"/>
        <v>0.41160220994475138</v>
      </c>
      <c r="BA97" s="1089">
        <f t="shared" si="42"/>
        <v>0.44859813084112149</v>
      </c>
      <c r="BB97" s="1089">
        <f t="shared" si="43"/>
        <v>0.41281138790035588</v>
      </c>
      <c r="BC97" s="1089">
        <f t="shared" si="44"/>
        <v>0.41666666666666669</v>
      </c>
      <c r="BD97" s="1296">
        <f t="shared" si="45"/>
        <v>0.42241379310344829</v>
      </c>
      <c r="BE97" s="1298">
        <f>'Non-marital births'!L80</f>
        <v>0.50980392156862742</v>
      </c>
      <c r="BF97" s="1654">
        <v>0.43653250773993807</v>
      </c>
      <c r="BG97" s="1656">
        <f t="shared" si="47"/>
        <v>0.50980392156862742</v>
      </c>
    </row>
    <row r="98" spans="1:59" s="142" customFormat="1" ht="15.75" customHeight="1" x14ac:dyDescent="0.2">
      <c r="A98" s="149" t="s">
        <v>192</v>
      </c>
      <c r="B98" s="186" t="s">
        <v>193</v>
      </c>
      <c r="C98" s="150" t="s">
        <v>268</v>
      </c>
      <c r="D98" s="1057">
        <v>123</v>
      </c>
      <c r="E98" s="1058">
        <v>146</v>
      </c>
      <c r="F98" s="1059">
        <v>159</v>
      </c>
      <c r="G98" s="1058">
        <v>135</v>
      </c>
      <c r="H98" s="1059">
        <v>127</v>
      </c>
      <c r="I98" s="1058">
        <v>126</v>
      </c>
      <c r="J98" s="1059">
        <v>111</v>
      </c>
      <c r="K98" s="1058">
        <v>129</v>
      </c>
      <c r="L98" s="1072">
        <v>139</v>
      </c>
      <c r="M98" s="1072">
        <v>149</v>
      </c>
      <c r="N98" s="1072">
        <v>127</v>
      </c>
      <c r="O98" s="1072">
        <v>133</v>
      </c>
      <c r="P98" s="1073">
        <v>139</v>
      </c>
      <c r="Q98" s="1073">
        <v>136</v>
      </c>
      <c r="R98" s="1300">
        <v>143</v>
      </c>
      <c r="S98" s="1660">
        <f>'Non-marital births'!D120</f>
        <v>138</v>
      </c>
      <c r="T98" s="1663">
        <v>153</v>
      </c>
      <c r="U98" s="1664">
        <v>138</v>
      </c>
      <c r="V98" s="1531"/>
      <c r="W98" s="1080">
        <v>47</v>
      </c>
      <c r="X98" s="1081">
        <v>39</v>
      </c>
      <c r="Y98" s="1081">
        <v>53</v>
      </c>
      <c r="Z98" s="1081">
        <v>37</v>
      </c>
      <c r="AA98" s="1081">
        <v>40</v>
      </c>
      <c r="AB98" s="1081">
        <v>41</v>
      </c>
      <c r="AC98" s="1081">
        <v>42</v>
      </c>
      <c r="AD98" s="1081">
        <v>43</v>
      </c>
      <c r="AE98" s="1081">
        <v>55</v>
      </c>
      <c r="AF98" s="1081">
        <v>45</v>
      </c>
      <c r="AG98" s="1081">
        <v>50</v>
      </c>
      <c r="AH98" s="1081">
        <v>48</v>
      </c>
      <c r="AI98" s="1081">
        <v>68</v>
      </c>
      <c r="AJ98" s="1081">
        <v>57</v>
      </c>
      <c r="AK98" s="1303">
        <v>67</v>
      </c>
      <c r="AL98" s="1665">
        <f>'Non-marital births'!H120</f>
        <v>52</v>
      </c>
      <c r="AM98" s="1666">
        <v>71</v>
      </c>
      <c r="AN98" s="1667">
        <v>52</v>
      </c>
      <c r="AO98" s="1532"/>
      <c r="AP98" s="1088">
        <f t="shared" si="46"/>
        <v>0.38211382113821141</v>
      </c>
      <c r="AQ98" s="1089">
        <f t="shared" si="32"/>
        <v>0.26712328767123289</v>
      </c>
      <c r="AR98" s="1089">
        <f t="shared" si="33"/>
        <v>0.33333333333333331</v>
      </c>
      <c r="AS98" s="1089">
        <f t="shared" si="34"/>
        <v>0.27407407407407408</v>
      </c>
      <c r="AT98" s="1089">
        <f t="shared" si="35"/>
        <v>0.31496062992125984</v>
      </c>
      <c r="AU98" s="1089">
        <f t="shared" si="36"/>
        <v>0.32539682539682541</v>
      </c>
      <c r="AV98" s="1089">
        <f t="shared" si="37"/>
        <v>0.3783783783783784</v>
      </c>
      <c r="AW98" s="1089">
        <f t="shared" si="38"/>
        <v>0.33333333333333331</v>
      </c>
      <c r="AX98" s="1089">
        <f t="shared" si="39"/>
        <v>0.39568345323741005</v>
      </c>
      <c r="AY98" s="1089">
        <f t="shared" si="40"/>
        <v>0.30201342281879195</v>
      </c>
      <c r="AZ98" s="1089">
        <f t="shared" si="41"/>
        <v>0.39370078740157483</v>
      </c>
      <c r="BA98" s="1089">
        <f t="shared" si="42"/>
        <v>0.36090225563909772</v>
      </c>
      <c r="BB98" s="1089">
        <f t="shared" si="43"/>
        <v>0.48920863309352519</v>
      </c>
      <c r="BC98" s="1089">
        <f t="shared" si="44"/>
        <v>0.41911764705882354</v>
      </c>
      <c r="BD98" s="1296">
        <f t="shared" si="45"/>
        <v>0.46853146853146854</v>
      </c>
      <c r="BE98" s="1298">
        <f>'Non-marital births'!L120</f>
        <v>0.37681159420289856</v>
      </c>
      <c r="BF98" s="1654">
        <v>0.46405228758169936</v>
      </c>
      <c r="BG98" s="1656">
        <f t="shared" si="47"/>
        <v>0.37681159420289856</v>
      </c>
    </row>
    <row r="99" spans="1:59" s="142" customFormat="1" ht="15.75" customHeight="1" x14ac:dyDescent="0.2">
      <c r="A99" s="149" t="s">
        <v>194</v>
      </c>
      <c r="B99" s="186" t="s">
        <v>195</v>
      </c>
      <c r="C99" s="150" t="s">
        <v>267</v>
      </c>
      <c r="D99" s="1057">
        <v>89</v>
      </c>
      <c r="E99" s="1058">
        <v>105</v>
      </c>
      <c r="F99" s="1059">
        <v>98</v>
      </c>
      <c r="G99" s="1058">
        <v>79</v>
      </c>
      <c r="H99" s="1059">
        <v>77</v>
      </c>
      <c r="I99" s="1058">
        <v>64</v>
      </c>
      <c r="J99" s="1059">
        <v>79</v>
      </c>
      <c r="K99" s="1058">
        <v>69</v>
      </c>
      <c r="L99" s="1072">
        <v>72</v>
      </c>
      <c r="M99" s="1072">
        <v>68</v>
      </c>
      <c r="N99" s="1072">
        <v>77</v>
      </c>
      <c r="O99" s="1072">
        <v>70</v>
      </c>
      <c r="P99" s="1073">
        <v>67</v>
      </c>
      <c r="Q99" s="1073">
        <v>55</v>
      </c>
      <c r="R99" s="1300">
        <v>56</v>
      </c>
      <c r="S99" s="1660">
        <f>'Non-marital births'!D81</f>
        <v>51</v>
      </c>
      <c r="T99" s="1663">
        <v>55</v>
      </c>
      <c r="U99" s="1664">
        <v>51</v>
      </c>
      <c r="V99" s="1531"/>
      <c r="W99" s="1080">
        <v>18</v>
      </c>
      <c r="X99" s="1081">
        <v>23</v>
      </c>
      <c r="Y99" s="1081">
        <v>15</v>
      </c>
      <c r="Z99" s="1081">
        <v>16</v>
      </c>
      <c r="AA99" s="1081">
        <v>21</v>
      </c>
      <c r="AB99" s="1081">
        <v>12</v>
      </c>
      <c r="AC99" s="1081">
        <v>23</v>
      </c>
      <c r="AD99" s="1081">
        <v>22</v>
      </c>
      <c r="AE99" s="1081">
        <v>30</v>
      </c>
      <c r="AF99" s="1081">
        <v>23</v>
      </c>
      <c r="AG99" s="1081">
        <v>29</v>
      </c>
      <c r="AH99" s="1081">
        <v>22</v>
      </c>
      <c r="AI99" s="1081">
        <v>20</v>
      </c>
      <c r="AJ99" s="1081">
        <v>28</v>
      </c>
      <c r="AK99" s="1303">
        <v>17</v>
      </c>
      <c r="AL99" s="1665">
        <f>'Non-marital births'!H81</f>
        <v>18</v>
      </c>
      <c r="AM99" s="1666">
        <v>15</v>
      </c>
      <c r="AN99" s="1667">
        <v>18</v>
      </c>
      <c r="AO99" s="1532"/>
      <c r="AP99" s="1088">
        <f t="shared" si="46"/>
        <v>0.20224719101123595</v>
      </c>
      <c r="AQ99" s="1089">
        <f t="shared" si="32"/>
        <v>0.21904761904761905</v>
      </c>
      <c r="AR99" s="1089">
        <f t="shared" si="33"/>
        <v>0.15306122448979592</v>
      </c>
      <c r="AS99" s="1089">
        <f t="shared" si="34"/>
        <v>0.20253164556962025</v>
      </c>
      <c r="AT99" s="1089">
        <f t="shared" si="35"/>
        <v>0.27272727272727271</v>
      </c>
      <c r="AU99" s="1089">
        <f t="shared" si="36"/>
        <v>0.1875</v>
      </c>
      <c r="AV99" s="1089">
        <f t="shared" si="37"/>
        <v>0.29113924050632911</v>
      </c>
      <c r="AW99" s="1089">
        <f t="shared" si="38"/>
        <v>0.3188405797101449</v>
      </c>
      <c r="AX99" s="1089">
        <f t="shared" si="39"/>
        <v>0.41666666666666669</v>
      </c>
      <c r="AY99" s="1089">
        <f t="shared" si="40"/>
        <v>0.33823529411764708</v>
      </c>
      <c r="AZ99" s="1089">
        <f t="shared" si="41"/>
        <v>0.37662337662337664</v>
      </c>
      <c r="BA99" s="1089">
        <f t="shared" si="42"/>
        <v>0.31428571428571428</v>
      </c>
      <c r="BB99" s="1089">
        <f t="shared" si="43"/>
        <v>0.29850746268656714</v>
      </c>
      <c r="BC99" s="1089">
        <f t="shared" si="44"/>
        <v>0.50909090909090904</v>
      </c>
      <c r="BD99" s="1296">
        <f t="shared" si="45"/>
        <v>0.30357142857142855</v>
      </c>
      <c r="BE99" s="1298">
        <f>'Non-marital births'!L81</f>
        <v>0.35294117647058826</v>
      </c>
      <c r="BF99" s="1654">
        <v>0.27272727272727271</v>
      </c>
      <c r="BG99" s="1656">
        <f t="shared" si="47"/>
        <v>0.35294117647058826</v>
      </c>
    </row>
    <row r="100" spans="1:59" s="142" customFormat="1" ht="15.75" customHeight="1" x14ac:dyDescent="0.2">
      <c r="A100" s="149" t="s">
        <v>196</v>
      </c>
      <c r="B100" s="186" t="s">
        <v>197</v>
      </c>
      <c r="C100" s="150" t="s">
        <v>266</v>
      </c>
      <c r="D100" s="1057">
        <v>2847</v>
      </c>
      <c r="E100" s="1058">
        <v>2934</v>
      </c>
      <c r="F100" s="1059">
        <v>3057</v>
      </c>
      <c r="G100" s="1058">
        <v>3134</v>
      </c>
      <c r="H100" s="1059">
        <v>3081</v>
      </c>
      <c r="I100" s="1058">
        <v>3069</v>
      </c>
      <c r="J100" s="1059">
        <v>3005</v>
      </c>
      <c r="K100" s="1058">
        <v>3023</v>
      </c>
      <c r="L100" s="1072">
        <v>3032</v>
      </c>
      <c r="M100" s="1072">
        <v>3312</v>
      </c>
      <c r="N100" s="1072">
        <v>3306</v>
      </c>
      <c r="O100" s="1072">
        <v>3195</v>
      </c>
      <c r="P100" s="1073">
        <v>2958</v>
      </c>
      <c r="Q100" s="1073">
        <v>2981</v>
      </c>
      <c r="R100" s="1300">
        <v>2939</v>
      </c>
      <c r="S100" s="1660">
        <f>'Non-marital births'!D121</f>
        <v>3107</v>
      </c>
      <c r="T100" s="1663">
        <v>2917</v>
      </c>
      <c r="U100" s="1664">
        <v>3107</v>
      </c>
      <c r="V100" s="1531"/>
      <c r="W100" s="1080">
        <v>1822</v>
      </c>
      <c r="X100" s="1081">
        <v>1733</v>
      </c>
      <c r="Y100" s="1081">
        <v>1876</v>
      </c>
      <c r="Z100" s="1081">
        <v>1899</v>
      </c>
      <c r="AA100" s="1081">
        <v>1848</v>
      </c>
      <c r="AB100" s="1081">
        <v>1866</v>
      </c>
      <c r="AC100" s="1081">
        <v>1833</v>
      </c>
      <c r="AD100" s="1081">
        <v>1849</v>
      </c>
      <c r="AE100" s="1081">
        <v>1892</v>
      </c>
      <c r="AF100" s="1081">
        <v>2104</v>
      </c>
      <c r="AG100" s="1081">
        <v>2105</v>
      </c>
      <c r="AH100" s="1081">
        <v>2061</v>
      </c>
      <c r="AI100" s="1081">
        <v>1908</v>
      </c>
      <c r="AJ100" s="1081">
        <v>1905</v>
      </c>
      <c r="AK100" s="1303">
        <v>1885</v>
      </c>
      <c r="AL100" s="1665">
        <f>'Non-marital births'!H121</f>
        <v>1943</v>
      </c>
      <c r="AM100" s="1666">
        <v>1753</v>
      </c>
      <c r="AN100" s="1667">
        <v>1943</v>
      </c>
      <c r="AO100" s="1532"/>
      <c r="AP100" s="1088">
        <f t="shared" si="46"/>
        <v>0.6399719002458728</v>
      </c>
      <c r="AQ100" s="1089">
        <f t="shared" si="32"/>
        <v>0.59066121336059985</v>
      </c>
      <c r="AR100" s="1089">
        <f t="shared" si="33"/>
        <v>0.61367353614654896</v>
      </c>
      <c r="AS100" s="1089">
        <f t="shared" si="34"/>
        <v>0.60593490746649648</v>
      </c>
      <c r="AT100" s="1089">
        <f t="shared" si="35"/>
        <v>0.59980525803310614</v>
      </c>
      <c r="AU100" s="1089">
        <f t="shared" si="36"/>
        <v>0.6080156402737048</v>
      </c>
      <c r="AV100" s="1089">
        <f t="shared" si="37"/>
        <v>0.60998336106489182</v>
      </c>
      <c r="AW100" s="1089">
        <f t="shared" si="38"/>
        <v>0.61164406218987766</v>
      </c>
      <c r="AX100" s="1089">
        <f t="shared" si="39"/>
        <v>0.62401055408970973</v>
      </c>
      <c r="AY100" s="1089">
        <f t="shared" si="40"/>
        <v>0.63526570048309183</v>
      </c>
      <c r="AZ100" s="1089">
        <f t="shared" si="41"/>
        <v>0.63672111312764668</v>
      </c>
      <c r="BA100" s="1089">
        <f t="shared" si="42"/>
        <v>0.6450704225352113</v>
      </c>
      <c r="BB100" s="1089">
        <f t="shared" si="43"/>
        <v>0.64503042596348881</v>
      </c>
      <c r="BC100" s="1089">
        <f t="shared" si="44"/>
        <v>0.63904729956390471</v>
      </c>
      <c r="BD100" s="1296">
        <f t="shared" si="45"/>
        <v>0.64137461721674038</v>
      </c>
      <c r="BE100" s="1298">
        <f>'Non-marital births'!L121</f>
        <v>0.62536208561313167</v>
      </c>
      <c r="BF100" s="1654">
        <v>0.60095989029825159</v>
      </c>
      <c r="BG100" s="1656">
        <f t="shared" si="47"/>
        <v>0.62536208561313167</v>
      </c>
    </row>
    <row r="101" spans="1:59" s="142" customFormat="1" ht="15.75" customHeight="1" x14ac:dyDescent="0.2">
      <c r="A101" s="149" t="s">
        <v>198</v>
      </c>
      <c r="B101" s="186" t="s">
        <v>272</v>
      </c>
      <c r="C101" s="150" t="s">
        <v>266</v>
      </c>
      <c r="D101" s="1057">
        <v>71</v>
      </c>
      <c r="E101" s="1058">
        <v>79</v>
      </c>
      <c r="F101" s="1059">
        <v>81</v>
      </c>
      <c r="G101" s="1058">
        <v>77</v>
      </c>
      <c r="H101" s="1059">
        <v>92</v>
      </c>
      <c r="I101" s="1058">
        <v>82</v>
      </c>
      <c r="J101" s="1059">
        <v>95</v>
      </c>
      <c r="K101" s="1058">
        <v>90</v>
      </c>
      <c r="L101" s="1072">
        <v>95</v>
      </c>
      <c r="M101" s="1072">
        <v>123</v>
      </c>
      <c r="N101" s="1072">
        <v>69</v>
      </c>
      <c r="O101" s="1072">
        <v>76</v>
      </c>
      <c r="P101" s="1073">
        <v>75</v>
      </c>
      <c r="Q101" s="1073">
        <v>71</v>
      </c>
      <c r="R101" s="1300">
        <v>72</v>
      </c>
      <c r="S101" s="1660">
        <f>'Non-marital births'!D82</f>
        <v>73</v>
      </c>
      <c r="T101" s="1663">
        <v>64</v>
      </c>
      <c r="U101" s="1664">
        <v>73</v>
      </c>
      <c r="V101" s="1531"/>
      <c r="W101" s="1080">
        <v>27</v>
      </c>
      <c r="X101" s="1081">
        <v>35</v>
      </c>
      <c r="Y101" s="1081">
        <v>33</v>
      </c>
      <c r="Z101" s="1081">
        <v>38</v>
      </c>
      <c r="AA101" s="1081">
        <v>41</v>
      </c>
      <c r="AB101" s="1081">
        <v>27</v>
      </c>
      <c r="AC101" s="1081">
        <v>43</v>
      </c>
      <c r="AD101" s="1081">
        <v>36</v>
      </c>
      <c r="AE101" s="1081">
        <v>52</v>
      </c>
      <c r="AF101" s="1081">
        <v>54</v>
      </c>
      <c r="AG101" s="1081">
        <v>26</v>
      </c>
      <c r="AH101" s="1081">
        <v>40</v>
      </c>
      <c r="AI101" s="1081">
        <v>34</v>
      </c>
      <c r="AJ101" s="1081">
        <v>29</v>
      </c>
      <c r="AK101" s="1303">
        <v>41</v>
      </c>
      <c r="AL101" s="1665">
        <f>'Non-marital births'!H82</f>
        <v>34</v>
      </c>
      <c r="AM101" s="1666">
        <v>28</v>
      </c>
      <c r="AN101" s="1667">
        <v>34</v>
      </c>
      <c r="AO101" s="1532"/>
      <c r="AP101" s="1088">
        <f t="shared" si="46"/>
        <v>0.38028169014084506</v>
      </c>
      <c r="AQ101" s="1089">
        <f t="shared" ref="AQ101:AQ125" si="48">X101/E101</f>
        <v>0.44303797468354428</v>
      </c>
      <c r="AR101" s="1089">
        <f t="shared" ref="AR101:AR125" si="49">Y101/F101</f>
        <v>0.40740740740740738</v>
      </c>
      <c r="AS101" s="1089">
        <f t="shared" ref="AS101:AS125" si="50">Z101/G101</f>
        <v>0.4935064935064935</v>
      </c>
      <c r="AT101" s="1089">
        <f t="shared" ref="AT101:AT125" si="51">AA101/H101</f>
        <v>0.44565217391304346</v>
      </c>
      <c r="AU101" s="1089">
        <f t="shared" ref="AU101:AU125" si="52">AB101/I101</f>
        <v>0.32926829268292684</v>
      </c>
      <c r="AV101" s="1089">
        <f t="shared" ref="AV101:AV125" si="53">AC101/J101</f>
        <v>0.45263157894736844</v>
      </c>
      <c r="AW101" s="1089">
        <f t="shared" ref="AW101:AW125" si="54">AD101/K101</f>
        <v>0.4</v>
      </c>
      <c r="AX101" s="1089">
        <f t="shared" ref="AX101:AX125" si="55">AE101/L101</f>
        <v>0.54736842105263162</v>
      </c>
      <c r="AY101" s="1089">
        <f t="shared" ref="AY101:AY125" si="56">AF101/M101</f>
        <v>0.43902439024390244</v>
      </c>
      <c r="AZ101" s="1089">
        <f t="shared" ref="AZ101:AZ125" si="57">AG101/N101</f>
        <v>0.37681159420289856</v>
      </c>
      <c r="BA101" s="1089">
        <f t="shared" ref="BA101:BA125" si="58">AH101/O101</f>
        <v>0.52631578947368418</v>
      </c>
      <c r="BB101" s="1089">
        <f t="shared" ref="BB101:BB125" si="59">AI101/P101</f>
        <v>0.45333333333333331</v>
      </c>
      <c r="BC101" s="1089">
        <f t="shared" ref="BC101:BC125" si="60">AJ101/Q101</f>
        <v>0.40845070422535212</v>
      </c>
      <c r="BD101" s="1296">
        <f t="shared" ref="BD101:BD125" si="61">AK101/R101</f>
        <v>0.56944444444444442</v>
      </c>
      <c r="BE101" s="1298">
        <f>'Non-marital births'!L82</f>
        <v>0.46575342465753422</v>
      </c>
      <c r="BF101" s="1654">
        <v>0.4375</v>
      </c>
      <c r="BG101" s="1656">
        <f t="shared" si="47"/>
        <v>0.46575342465753422</v>
      </c>
    </row>
    <row r="102" spans="1:59" s="142" customFormat="1" ht="15.75" customHeight="1" x14ac:dyDescent="0.2">
      <c r="A102" s="149" t="s">
        <v>200</v>
      </c>
      <c r="B102" s="186" t="s">
        <v>201</v>
      </c>
      <c r="C102" s="150" t="s">
        <v>265</v>
      </c>
      <c r="D102" s="1057">
        <v>1350</v>
      </c>
      <c r="E102" s="1058">
        <v>1380</v>
      </c>
      <c r="F102" s="1059">
        <v>1356</v>
      </c>
      <c r="G102" s="1058">
        <v>1276</v>
      </c>
      <c r="H102" s="1059">
        <v>1114</v>
      </c>
      <c r="I102" s="1058">
        <v>1331</v>
      </c>
      <c r="J102" s="1059">
        <v>950</v>
      </c>
      <c r="K102" s="1058">
        <v>1202</v>
      </c>
      <c r="L102" s="1072">
        <v>1422</v>
      </c>
      <c r="M102" s="1072">
        <v>1583</v>
      </c>
      <c r="N102" s="1072">
        <v>1587</v>
      </c>
      <c r="O102" s="1072">
        <v>1541</v>
      </c>
      <c r="P102" s="1073">
        <v>1453</v>
      </c>
      <c r="Q102" s="1073">
        <v>1492</v>
      </c>
      <c r="R102" s="1300">
        <v>1492</v>
      </c>
      <c r="S102" s="1660">
        <f>'Non-marital births'!D122</f>
        <v>1522</v>
      </c>
      <c r="T102" s="1663">
        <v>1446</v>
      </c>
      <c r="U102" s="1664">
        <v>1522</v>
      </c>
      <c r="V102" s="1531"/>
      <c r="W102" s="1080">
        <v>618</v>
      </c>
      <c r="X102" s="1081">
        <v>620</v>
      </c>
      <c r="Y102" s="1081">
        <v>654</v>
      </c>
      <c r="Z102" s="1081">
        <v>565</v>
      </c>
      <c r="AA102" s="1081">
        <v>563</v>
      </c>
      <c r="AB102" s="1081">
        <v>642</v>
      </c>
      <c r="AC102" s="1081">
        <v>487</v>
      </c>
      <c r="AD102" s="1081">
        <v>629</v>
      </c>
      <c r="AE102" s="1081">
        <v>774</v>
      </c>
      <c r="AF102" s="1081">
        <v>902</v>
      </c>
      <c r="AG102" s="1081">
        <v>911</v>
      </c>
      <c r="AH102" s="1081">
        <v>857</v>
      </c>
      <c r="AI102" s="1081">
        <v>815</v>
      </c>
      <c r="AJ102" s="1081">
        <v>840</v>
      </c>
      <c r="AK102" s="1303">
        <v>843</v>
      </c>
      <c r="AL102" s="1665">
        <f>'Non-marital births'!H122</f>
        <v>850</v>
      </c>
      <c r="AM102" s="1666">
        <v>811</v>
      </c>
      <c r="AN102" s="1667">
        <v>850</v>
      </c>
      <c r="AO102" s="1532"/>
      <c r="AP102" s="1088">
        <f t="shared" ref="AP102:AP125" si="62">W102/D102</f>
        <v>0.45777777777777778</v>
      </c>
      <c r="AQ102" s="1089">
        <f t="shared" si="48"/>
        <v>0.44927536231884058</v>
      </c>
      <c r="AR102" s="1089">
        <f t="shared" si="49"/>
        <v>0.48230088495575218</v>
      </c>
      <c r="AS102" s="1089">
        <f t="shared" si="50"/>
        <v>0.44278996865203762</v>
      </c>
      <c r="AT102" s="1089">
        <f t="shared" si="51"/>
        <v>0.50538599640933568</v>
      </c>
      <c r="AU102" s="1089">
        <f t="shared" si="52"/>
        <v>0.48234410217881291</v>
      </c>
      <c r="AV102" s="1089">
        <f t="shared" si="53"/>
        <v>0.51263157894736844</v>
      </c>
      <c r="AW102" s="1089">
        <f t="shared" si="54"/>
        <v>0.52329450915141429</v>
      </c>
      <c r="AX102" s="1089">
        <f t="shared" si="55"/>
        <v>0.54430379746835444</v>
      </c>
      <c r="AY102" s="1089">
        <f t="shared" si="56"/>
        <v>0.56980416929879973</v>
      </c>
      <c r="AZ102" s="1089">
        <f t="shared" si="57"/>
        <v>0.5740390674228103</v>
      </c>
      <c r="BA102" s="1089">
        <f t="shared" si="58"/>
        <v>0.55613238157040878</v>
      </c>
      <c r="BB102" s="1089">
        <f t="shared" si="59"/>
        <v>0.56090846524432214</v>
      </c>
      <c r="BC102" s="1089">
        <f t="shared" si="60"/>
        <v>0.5630026809651475</v>
      </c>
      <c r="BD102" s="1296">
        <f t="shared" si="61"/>
        <v>0.56501340482573725</v>
      </c>
      <c r="BE102" s="1298">
        <f>'Non-marital births'!L122</f>
        <v>0.55847568988173457</v>
      </c>
      <c r="BF102" s="1654">
        <v>0.56085753803596128</v>
      </c>
      <c r="BG102" s="1656">
        <f t="shared" si="47"/>
        <v>0.55847568988173457</v>
      </c>
    </row>
    <row r="103" spans="1:59" s="142" customFormat="1" ht="15.75" customHeight="1" x14ac:dyDescent="0.2">
      <c r="A103" s="149" t="s">
        <v>202</v>
      </c>
      <c r="B103" s="186" t="s">
        <v>301</v>
      </c>
      <c r="C103" s="150" t="s">
        <v>265</v>
      </c>
      <c r="D103" s="1057">
        <v>1112</v>
      </c>
      <c r="E103" s="1058">
        <v>1094</v>
      </c>
      <c r="F103" s="1059">
        <v>1130</v>
      </c>
      <c r="G103" s="1058">
        <v>1246</v>
      </c>
      <c r="H103" s="1059">
        <v>1239</v>
      </c>
      <c r="I103" s="1058">
        <v>1126</v>
      </c>
      <c r="J103" s="1059">
        <v>1621</v>
      </c>
      <c r="K103" s="1058">
        <v>1292</v>
      </c>
      <c r="L103" s="1072">
        <v>1249</v>
      </c>
      <c r="M103" s="1072">
        <v>1130</v>
      </c>
      <c r="N103" s="1072">
        <v>1133</v>
      </c>
      <c r="O103" s="1072">
        <v>1158</v>
      </c>
      <c r="P103" s="1073">
        <v>1045</v>
      </c>
      <c r="Q103" s="1073">
        <v>1128</v>
      </c>
      <c r="R103" s="1300">
        <v>1085</v>
      </c>
      <c r="S103" s="1660">
        <f>'Non-marital births'!D83</f>
        <v>1092</v>
      </c>
      <c r="T103" s="1663">
        <v>1102</v>
      </c>
      <c r="U103" s="1664">
        <v>1092</v>
      </c>
      <c r="V103" s="1531"/>
      <c r="W103" s="1080">
        <v>210</v>
      </c>
      <c r="X103" s="1081">
        <v>245</v>
      </c>
      <c r="Y103" s="1081">
        <v>256</v>
      </c>
      <c r="Z103" s="1081">
        <v>359</v>
      </c>
      <c r="AA103" s="1081">
        <v>305</v>
      </c>
      <c r="AB103" s="1081">
        <v>297</v>
      </c>
      <c r="AC103" s="1081">
        <v>491</v>
      </c>
      <c r="AD103" s="1081">
        <v>385</v>
      </c>
      <c r="AE103" s="1081">
        <v>372</v>
      </c>
      <c r="AF103" s="1081">
        <v>325</v>
      </c>
      <c r="AG103" s="1081">
        <v>381</v>
      </c>
      <c r="AH103" s="1081">
        <v>359</v>
      </c>
      <c r="AI103" s="1081">
        <v>326</v>
      </c>
      <c r="AJ103" s="1081">
        <v>357</v>
      </c>
      <c r="AK103" s="1303">
        <v>361</v>
      </c>
      <c r="AL103" s="1665">
        <f>'Non-marital births'!H83</f>
        <v>332</v>
      </c>
      <c r="AM103" s="1666">
        <v>377</v>
      </c>
      <c r="AN103" s="1667">
        <v>332</v>
      </c>
      <c r="AO103" s="1532"/>
      <c r="AP103" s="1088">
        <f t="shared" si="62"/>
        <v>0.18884892086330934</v>
      </c>
      <c r="AQ103" s="1089">
        <f t="shared" si="48"/>
        <v>0.22394881170018283</v>
      </c>
      <c r="AR103" s="1089">
        <f t="shared" si="49"/>
        <v>0.22654867256637168</v>
      </c>
      <c r="AS103" s="1089">
        <f t="shared" si="50"/>
        <v>0.2881219903691814</v>
      </c>
      <c r="AT103" s="1089">
        <f t="shared" si="51"/>
        <v>0.24616626311541565</v>
      </c>
      <c r="AU103" s="1089">
        <f t="shared" si="52"/>
        <v>0.26376554174067496</v>
      </c>
      <c r="AV103" s="1089">
        <f t="shared" si="53"/>
        <v>0.3028994447871684</v>
      </c>
      <c r="AW103" s="1089">
        <f t="shared" si="54"/>
        <v>0.29798761609907121</v>
      </c>
      <c r="AX103" s="1089">
        <f t="shared" si="55"/>
        <v>0.29783827061649321</v>
      </c>
      <c r="AY103" s="1089">
        <f t="shared" si="56"/>
        <v>0.28761061946902655</v>
      </c>
      <c r="AZ103" s="1089">
        <f t="shared" si="57"/>
        <v>0.33627537511032657</v>
      </c>
      <c r="BA103" s="1089">
        <f t="shared" si="58"/>
        <v>0.31001727115716754</v>
      </c>
      <c r="BB103" s="1089">
        <f t="shared" si="59"/>
        <v>0.31196172248803827</v>
      </c>
      <c r="BC103" s="1089">
        <f t="shared" si="60"/>
        <v>0.31648936170212766</v>
      </c>
      <c r="BD103" s="1296">
        <f t="shared" si="61"/>
        <v>0.33271889400921661</v>
      </c>
      <c r="BE103" s="1298">
        <f>'Non-marital births'!L83</f>
        <v>0.304029304029304</v>
      </c>
      <c r="BF103" s="1654">
        <v>0.34210526315789475</v>
      </c>
      <c r="BG103" s="1656">
        <f t="shared" si="47"/>
        <v>0.304029304029304</v>
      </c>
    </row>
    <row r="104" spans="1:59" s="142" customFormat="1" ht="15.75" customHeight="1" x14ac:dyDescent="0.2">
      <c r="A104" s="149" t="s">
        <v>204</v>
      </c>
      <c r="B104" s="186" t="s">
        <v>293</v>
      </c>
      <c r="C104" s="150" t="s">
        <v>265</v>
      </c>
      <c r="D104" s="1057">
        <v>330</v>
      </c>
      <c r="E104" s="1058">
        <v>351</v>
      </c>
      <c r="F104" s="1059">
        <v>346</v>
      </c>
      <c r="G104" s="1058">
        <v>324</v>
      </c>
      <c r="H104" s="1059">
        <v>308</v>
      </c>
      <c r="I104" s="1058">
        <v>331</v>
      </c>
      <c r="J104" s="1059">
        <v>348</v>
      </c>
      <c r="K104" s="1058">
        <v>345</v>
      </c>
      <c r="L104" s="1072">
        <v>328</v>
      </c>
      <c r="M104" s="1072">
        <v>390</v>
      </c>
      <c r="N104" s="1072">
        <v>322</v>
      </c>
      <c r="O104" s="1072">
        <v>329</v>
      </c>
      <c r="P104" s="1073">
        <v>304</v>
      </c>
      <c r="Q104" s="1073">
        <v>305</v>
      </c>
      <c r="R104" s="1300">
        <v>352</v>
      </c>
      <c r="S104" s="1660">
        <f>'Non-marital births'!D84</f>
        <v>319</v>
      </c>
      <c r="T104" s="1663">
        <v>239</v>
      </c>
      <c r="U104" s="1664">
        <v>319</v>
      </c>
      <c r="V104" s="1531"/>
      <c r="W104" s="1080">
        <v>107</v>
      </c>
      <c r="X104" s="1081">
        <v>88</v>
      </c>
      <c r="Y104" s="1081">
        <v>86</v>
      </c>
      <c r="Z104" s="1081">
        <v>94</v>
      </c>
      <c r="AA104" s="1081">
        <v>105</v>
      </c>
      <c r="AB104" s="1081">
        <v>105</v>
      </c>
      <c r="AC104" s="1081">
        <v>130</v>
      </c>
      <c r="AD104" s="1081">
        <v>131</v>
      </c>
      <c r="AE104" s="1081">
        <v>108</v>
      </c>
      <c r="AF104" s="1081">
        <v>131</v>
      </c>
      <c r="AG104" s="1081">
        <v>119</v>
      </c>
      <c r="AH104" s="1081">
        <v>123</v>
      </c>
      <c r="AI104" s="1081">
        <v>103</v>
      </c>
      <c r="AJ104" s="1081">
        <v>121</v>
      </c>
      <c r="AK104" s="1303">
        <v>138</v>
      </c>
      <c r="AL104" s="1665">
        <f>'Non-marital births'!H84</f>
        <v>131</v>
      </c>
      <c r="AM104" s="1666">
        <v>127</v>
      </c>
      <c r="AN104" s="1667">
        <v>131</v>
      </c>
      <c r="AO104" s="1532"/>
      <c r="AP104" s="1088">
        <f t="shared" si="62"/>
        <v>0.32424242424242422</v>
      </c>
      <c r="AQ104" s="1089">
        <f t="shared" si="48"/>
        <v>0.25071225071225073</v>
      </c>
      <c r="AR104" s="1089">
        <f t="shared" si="49"/>
        <v>0.24855491329479767</v>
      </c>
      <c r="AS104" s="1089">
        <f t="shared" si="50"/>
        <v>0.29012345679012347</v>
      </c>
      <c r="AT104" s="1089">
        <f t="shared" si="51"/>
        <v>0.34090909090909088</v>
      </c>
      <c r="AU104" s="1089">
        <f t="shared" si="52"/>
        <v>0.31722054380664655</v>
      </c>
      <c r="AV104" s="1089">
        <f t="shared" si="53"/>
        <v>0.37356321839080459</v>
      </c>
      <c r="AW104" s="1089">
        <f t="shared" si="54"/>
        <v>0.37971014492753624</v>
      </c>
      <c r="AX104" s="1089">
        <f t="shared" si="55"/>
        <v>0.32926829268292684</v>
      </c>
      <c r="AY104" s="1089">
        <f t="shared" si="56"/>
        <v>0.33589743589743587</v>
      </c>
      <c r="AZ104" s="1089">
        <f t="shared" si="57"/>
        <v>0.36956521739130432</v>
      </c>
      <c r="BA104" s="1089">
        <f t="shared" si="58"/>
        <v>0.37386018237082069</v>
      </c>
      <c r="BB104" s="1089">
        <f t="shared" si="59"/>
        <v>0.33881578947368424</v>
      </c>
      <c r="BC104" s="1089">
        <f t="shared" si="60"/>
        <v>0.39672131147540984</v>
      </c>
      <c r="BD104" s="1296">
        <f t="shared" si="61"/>
        <v>0.39204545454545453</v>
      </c>
      <c r="BE104" s="1298">
        <f>'Non-marital births'!L84</f>
        <v>0.41065830721003133</v>
      </c>
      <c r="BF104" s="1654">
        <v>0.53138075313807531</v>
      </c>
      <c r="BG104" s="1656">
        <f t="shared" si="47"/>
        <v>0.41065830721003133</v>
      </c>
    </row>
    <row r="105" spans="1:59" s="142" customFormat="1" ht="15.75" customHeight="1" x14ac:dyDescent="0.2">
      <c r="A105" s="149" t="s">
        <v>206</v>
      </c>
      <c r="B105" s="186" t="s">
        <v>294</v>
      </c>
      <c r="C105" s="150" t="s">
        <v>267</v>
      </c>
      <c r="D105" s="1057">
        <v>1184</v>
      </c>
      <c r="E105" s="1058">
        <v>1312</v>
      </c>
      <c r="F105" s="1059">
        <v>1309</v>
      </c>
      <c r="G105" s="1058">
        <v>1347</v>
      </c>
      <c r="H105" s="1059">
        <v>1404</v>
      </c>
      <c r="I105" s="1058">
        <v>1364</v>
      </c>
      <c r="J105" s="1059">
        <v>1426</v>
      </c>
      <c r="K105" s="1058">
        <v>1423</v>
      </c>
      <c r="L105" s="1072">
        <v>1432</v>
      </c>
      <c r="M105" s="1072">
        <v>1427</v>
      </c>
      <c r="N105" s="1072">
        <v>1340</v>
      </c>
      <c r="O105" s="1072">
        <v>1385</v>
      </c>
      <c r="P105" s="1073">
        <v>1414</v>
      </c>
      <c r="Q105" s="1073">
        <v>1363</v>
      </c>
      <c r="R105" s="1300">
        <v>1392</v>
      </c>
      <c r="S105" s="1660">
        <f>'Non-marital births'!D85</f>
        <v>1490</v>
      </c>
      <c r="T105" s="1663">
        <v>1544</v>
      </c>
      <c r="U105" s="1664">
        <v>1490</v>
      </c>
      <c r="V105" s="1531"/>
      <c r="W105" s="1080">
        <v>346</v>
      </c>
      <c r="X105" s="1081">
        <v>390</v>
      </c>
      <c r="Y105" s="1081">
        <v>390</v>
      </c>
      <c r="Z105" s="1081">
        <v>379</v>
      </c>
      <c r="AA105" s="1081">
        <v>391</v>
      </c>
      <c r="AB105" s="1081">
        <v>423</v>
      </c>
      <c r="AC105" s="1081">
        <v>460</v>
      </c>
      <c r="AD105" s="1081">
        <v>499</v>
      </c>
      <c r="AE105" s="1081">
        <v>493</v>
      </c>
      <c r="AF105" s="1081">
        <v>484</v>
      </c>
      <c r="AG105" s="1081">
        <v>489</v>
      </c>
      <c r="AH105" s="1081">
        <v>498</v>
      </c>
      <c r="AI105" s="1081">
        <v>508</v>
      </c>
      <c r="AJ105" s="1081">
        <v>472</v>
      </c>
      <c r="AK105" s="1303">
        <v>474</v>
      </c>
      <c r="AL105" s="1665">
        <f>'Non-marital births'!H85</f>
        <v>504</v>
      </c>
      <c r="AM105" s="1666">
        <v>485</v>
      </c>
      <c r="AN105" s="1667">
        <v>504</v>
      </c>
      <c r="AO105" s="1532"/>
      <c r="AP105" s="1088">
        <f t="shared" si="62"/>
        <v>0.29222972972972971</v>
      </c>
      <c r="AQ105" s="1089">
        <f t="shared" si="48"/>
        <v>0.2972560975609756</v>
      </c>
      <c r="AR105" s="1089">
        <f t="shared" si="49"/>
        <v>0.29793735676088617</v>
      </c>
      <c r="AS105" s="1089">
        <f t="shared" si="50"/>
        <v>0.28136599851521898</v>
      </c>
      <c r="AT105" s="1089">
        <f t="shared" si="51"/>
        <v>0.27849002849002846</v>
      </c>
      <c r="AU105" s="1089">
        <f t="shared" si="52"/>
        <v>0.31011730205278593</v>
      </c>
      <c r="AV105" s="1089">
        <f t="shared" si="53"/>
        <v>0.32258064516129031</v>
      </c>
      <c r="AW105" s="1089">
        <f t="shared" si="54"/>
        <v>0.35066760365425159</v>
      </c>
      <c r="AX105" s="1089">
        <f t="shared" si="55"/>
        <v>0.34427374301675978</v>
      </c>
      <c r="AY105" s="1089">
        <f t="shared" si="56"/>
        <v>0.33917309039943938</v>
      </c>
      <c r="AZ105" s="1089">
        <f t="shared" si="57"/>
        <v>0.36492537313432838</v>
      </c>
      <c r="BA105" s="1089">
        <f t="shared" si="58"/>
        <v>0.35956678700361011</v>
      </c>
      <c r="BB105" s="1089">
        <f t="shared" si="59"/>
        <v>0.35926449787835929</v>
      </c>
      <c r="BC105" s="1089">
        <f t="shared" si="60"/>
        <v>0.34629493763756419</v>
      </c>
      <c r="BD105" s="1296">
        <f t="shared" si="61"/>
        <v>0.34051724137931033</v>
      </c>
      <c r="BE105" s="1298">
        <f>'Non-marital births'!L85</f>
        <v>0.338255033557047</v>
      </c>
      <c r="BF105" s="1654">
        <v>0.31411917098445596</v>
      </c>
      <c r="BG105" s="1656">
        <f t="shared" si="47"/>
        <v>0.338255033557047</v>
      </c>
    </row>
    <row r="106" spans="1:59" s="142" customFormat="1" ht="15.75" customHeight="1" x14ac:dyDescent="0.2">
      <c r="A106" s="149" t="s">
        <v>208</v>
      </c>
      <c r="B106" s="186" t="s">
        <v>209</v>
      </c>
      <c r="C106" s="150" t="s">
        <v>268</v>
      </c>
      <c r="D106" s="1057">
        <v>293</v>
      </c>
      <c r="E106" s="1058">
        <v>327</v>
      </c>
      <c r="F106" s="1059">
        <v>275</v>
      </c>
      <c r="G106" s="1058">
        <v>319</v>
      </c>
      <c r="H106" s="1059">
        <v>305</v>
      </c>
      <c r="I106" s="1058">
        <v>312</v>
      </c>
      <c r="J106" s="1059">
        <v>262</v>
      </c>
      <c r="K106" s="1058">
        <v>304</v>
      </c>
      <c r="L106" s="1072">
        <v>284</v>
      </c>
      <c r="M106" s="1072">
        <v>298</v>
      </c>
      <c r="N106" s="1072">
        <v>339</v>
      </c>
      <c r="O106" s="1072">
        <v>303</v>
      </c>
      <c r="P106" s="1073">
        <v>278</v>
      </c>
      <c r="Q106" s="1073">
        <v>263</v>
      </c>
      <c r="R106" s="1300">
        <v>277</v>
      </c>
      <c r="S106" s="1660">
        <f>'Non-marital births'!D86</f>
        <v>257</v>
      </c>
      <c r="T106" s="1663">
        <v>239</v>
      </c>
      <c r="U106" s="1664">
        <v>257</v>
      </c>
      <c r="V106" s="1531"/>
      <c r="W106" s="1080">
        <v>63</v>
      </c>
      <c r="X106" s="1081">
        <v>83</v>
      </c>
      <c r="Y106" s="1081">
        <v>63</v>
      </c>
      <c r="Z106" s="1081">
        <v>76</v>
      </c>
      <c r="AA106" s="1081">
        <v>67</v>
      </c>
      <c r="AB106" s="1081">
        <v>74</v>
      </c>
      <c r="AC106" s="1081">
        <v>56</v>
      </c>
      <c r="AD106" s="1081">
        <v>70</v>
      </c>
      <c r="AE106" s="1081">
        <v>80</v>
      </c>
      <c r="AF106" s="1081">
        <v>84</v>
      </c>
      <c r="AG106" s="1081">
        <v>100</v>
      </c>
      <c r="AH106" s="1081">
        <v>94</v>
      </c>
      <c r="AI106" s="1081">
        <v>98</v>
      </c>
      <c r="AJ106" s="1081">
        <v>93</v>
      </c>
      <c r="AK106" s="1303">
        <v>88</v>
      </c>
      <c r="AL106" s="1665">
        <f>'Non-marital births'!H86</f>
        <v>98</v>
      </c>
      <c r="AM106" s="1666">
        <v>91</v>
      </c>
      <c r="AN106" s="1667">
        <v>98</v>
      </c>
      <c r="AO106" s="1532"/>
      <c r="AP106" s="1088">
        <f t="shared" si="62"/>
        <v>0.21501706484641639</v>
      </c>
      <c r="AQ106" s="1089">
        <f t="shared" si="48"/>
        <v>0.25382262996941896</v>
      </c>
      <c r="AR106" s="1089">
        <f t="shared" si="49"/>
        <v>0.2290909090909091</v>
      </c>
      <c r="AS106" s="1089">
        <f t="shared" si="50"/>
        <v>0.23824451410658307</v>
      </c>
      <c r="AT106" s="1089">
        <f t="shared" si="51"/>
        <v>0.21967213114754097</v>
      </c>
      <c r="AU106" s="1089">
        <f t="shared" si="52"/>
        <v>0.23717948717948717</v>
      </c>
      <c r="AV106" s="1089">
        <f t="shared" si="53"/>
        <v>0.21374045801526717</v>
      </c>
      <c r="AW106" s="1089">
        <f t="shared" si="54"/>
        <v>0.23026315789473684</v>
      </c>
      <c r="AX106" s="1089">
        <f t="shared" si="55"/>
        <v>0.28169014084507044</v>
      </c>
      <c r="AY106" s="1089">
        <f t="shared" si="56"/>
        <v>0.28187919463087246</v>
      </c>
      <c r="AZ106" s="1089">
        <f t="shared" si="57"/>
        <v>0.29498525073746312</v>
      </c>
      <c r="BA106" s="1089">
        <f t="shared" si="58"/>
        <v>0.31023102310231021</v>
      </c>
      <c r="BB106" s="1089">
        <f t="shared" si="59"/>
        <v>0.35251798561151076</v>
      </c>
      <c r="BC106" s="1089">
        <f t="shared" si="60"/>
        <v>0.35361216730038025</v>
      </c>
      <c r="BD106" s="1296">
        <f t="shared" si="61"/>
        <v>0.3176895306859206</v>
      </c>
      <c r="BE106" s="1298">
        <f>'Non-marital births'!L86</f>
        <v>0.38132295719844356</v>
      </c>
      <c r="BF106" s="1654">
        <v>0.3807531380753138</v>
      </c>
      <c r="BG106" s="1656">
        <f t="shared" si="47"/>
        <v>0.38132295719844356</v>
      </c>
    </row>
    <row r="107" spans="1:59" s="142" customFormat="1" ht="15.75" customHeight="1" x14ac:dyDescent="0.2">
      <c r="A107" s="149" t="s">
        <v>210</v>
      </c>
      <c r="B107" s="186" t="s">
        <v>211</v>
      </c>
      <c r="C107" s="150" t="s">
        <v>268</v>
      </c>
      <c r="D107" s="1057">
        <v>246</v>
      </c>
      <c r="E107" s="1058">
        <v>233</v>
      </c>
      <c r="F107" s="1059">
        <v>248</v>
      </c>
      <c r="G107" s="1058">
        <v>217</v>
      </c>
      <c r="H107" s="1059">
        <v>215</v>
      </c>
      <c r="I107" s="1058">
        <v>215</v>
      </c>
      <c r="J107" s="1059">
        <v>225</v>
      </c>
      <c r="K107" s="1058">
        <v>217</v>
      </c>
      <c r="L107" s="1072">
        <v>241</v>
      </c>
      <c r="M107" s="1072">
        <v>207</v>
      </c>
      <c r="N107" s="1072">
        <v>229</v>
      </c>
      <c r="O107" s="1072">
        <v>224</v>
      </c>
      <c r="P107" s="1073">
        <v>222</v>
      </c>
      <c r="Q107" s="1073">
        <v>205</v>
      </c>
      <c r="R107" s="1300">
        <v>194</v>
      </c>
      <c r="S107" s="1660">
        <f>'Non-marital births'!D87</f>
        <v>181</v>
      </c>
      <c r="T107" s="1663">
        <v>154</v>
      </c>
      <c r="U107" s="1664">
        <v>181</v>
      </c>
      <c r="V107" s="1531"/>
      <c r="W107" s="1080">
        <v>57</v>
      </c>
      <c r="X107" s="1081">
        <v>51</v>
      </c>
      <c r="Y107" s="1081">
        <v>54</v>
      </c>
      <c r="Z107" s="1081">
        <v>52</v>
      </c>
      <c r="AA107" s="1081">
        <v>58</v>
      </c>
      <c r="AB107" s="1081">
        <v>39</v>
      </c>
      <c r="AC107" s="1081">
        <v>47</v>
      </c>
      <c r="AD107" s="1081">
        <v>58</v>
      </c>
      <c r="AE107" s="1081">
        <v>66</v>
      </c>
      <c r="AF107" s="1081">
        <v>69</v>
      </c>
      <c r="AG107" s="1081">
        <v>71</v>
      </c>
      <c r="AH107" s="1081">
        <v>75</v>
      </c>
      <c r="AI107" s="1081">
        <v>77</v>
      </c>
      <c r="AJ107" s="1081">
        <v>93</v>
      </c>
      <c r="AK107" s="1303">
        <v>73</v>
      </c>
      <c r="AL107" s="1665">
        <f>'Non-marital births'!H87</f>
        <v>63</v>
      </c>
      <c r="AM107" s="1666">
        <v>50</v>
      </c>
      <c r="AN107" s="1667">
        <v>63</v>
      </c>
      <c r="AO107" s="1532"/>
      <c r="AP107" s="1088">
        <f t="shared" si="62"/>
        <v>0.23170731707317074</v>
      </c>
      <c r="AQ107" s="1089">
        <f t="shared" si="48"/>
        <v>0.21888412017167383</v>
      </c>
      <c r="AR107" s="1089">
        <f t="shared" si="49"/>
        <v>0.21774193548387097</v>
      </c>
      <c r="AS107" s="1089">
        <f t="shared" si="50"/>
        <v>0.23963133640552994</v>
      </c>
      <c r="AT107" s="1089">
        <f t="shared" si="51"/>
        <v>0.26976744186046514</v>
      </c>
      <c r="AU107" s="1089">
        <f t="shared" si="52"/>
        <v>0.18139534883720931</v>
      </c>
      <c r="AV107" s="1089">
        <f t="shared" si="53"/>
        <v>0.2088888888888889</v>
      </c>
      <c r="AW107" s="1089">
        <f t="shared" si="54"/>
        <v>0.26728110599078342</v>
      </c>
      <c r="AX107" s="1089">
        <f t="shared" si="55"/>
        <v>0.27385892116182575</v>
      </c>
      <c r="AY107" s="1089">
        <f t="shared" si="56"/>
        <v>0.33333333333333331</v>
      </c>
      <c r="AZ107" s="1089">
        <f t="shared" si="57"/>
        <v>0.31004366812227074</v>
      </c>
      <c r="BA107" s="1089">
        <f t="shared" si="58"/>
        <v>0.33482142857142855</v>
      </c>
      <c r="BB107" s="1089">
        <f t="shared" si="59"/>
        <v>0.34684684684684686</v>
      </c>
      <c r="BC107" s="1089">
        <f t="shared" si="60"/>
        <v>0.45365853658536587</v>
      </c>
      <c r="BD107" s="1296">
        <f t="shared" si="61"/>
        <v>0.37628865979381443</v>
      </c>
      <c r="BE107" s="1298">
        <f>'Non-marital births'!L87</f>
        <v>0.34806629834254144</v>
      </c>
      <c r="BF107" s="1654">
        <v>0.32467532467532467</v>
      </c>
      <c r="BG107" s="1656">
        <f t="shared" si="47"/>
        <v>0.34806629834254144</v>
      </c>
    </row>
    <row r="108" spans="1:59" s="142" customFormat="1" ht="15.75" customHeight="1" x14ac:dyDescent="0.2">
      <c r="A108" s="149" t="s">
        <v>212</v>
      </c>
      <c r="B108" s="186" t="s">
        <v>213</v>
      </c>
      <c r="C108" s="150" t="s">
        <v>267</v>
      </c>
      <c r="D108" s="1057">
        <v>384</v>
      </c>
      <c r="E108" s="1058">
        <v>375</v>
      </c>
      <c r="F108" s="1059">
        <v>399</v>
      </c>
      <c r="G108" s="1058">
        <v>459</v>
      </c>
      <c r="H108" s="1059">
        <v>412</v>
      </c>
      <c r="I108" s="1058">
        <v>455</v>
      </c>
      <c r="J108" s="1059">
        <v>462</v>
      </c>
      <c r="K108" s="1058">
        <v>480</v>
      </c>
      <c r="L108" s="1072">
        <v>537</v>
      </c>
      <c r="M108" s="1072">
        <v>538</v>
      </c>
      <c r="N108" s="1072">
        <v>491</v>
      </c>
      <c r="O108" s="1072">
        <v>455</v>
      </c>
      <c r="P108" s="1073">
        <v>485</v>
      </c>
      <c r="Q108" s="1073">
        <v>464</v>
      </c>
      <c r="R108" s="1300">
        <v>482</v>
      </c>
      <c r="S108" s="1660">
        <f>'Non-marital births'!D88</f>
        <v>450</v>
      </c>
      <c r="T108" s="1663">
        <v>471</v>
      </c>
      <c r="U108" s="1664">
        <v>450</v>
      </c>
      <c r="V108" s="1531"/>
      <c r="W108" s="1080">
        <v>132</v>
      </c>
      <c r="X108" s="1081">
        <v>101</v>
      </c>
      <c r="Y108" s="1081">
        <v>108</v>
      </c>
      <c r="Z108" s="1081">
        <v>150</v>
      </c>
      <c r="AA108" s="1081">
        <v>142</v>
      </c>
      <c r="AB108" s="1081">
        <v>158</v>
      </c>
      <c r="AC108" s="1081">
        <v>159</v>
      </c>
      <c r="AD108" s="1081">
        <v>175</v>
      </c>
      <c r="AE108" s="1081">
        <v>217</v>
      </c>
      <c r="AF108" s="1081">
        <v>201</v>
      </c>
      <c r="AG108" s="1081">
        <v>191</v>
      </c>
      <c r="AH108" s="1081">
        <v>181</v>
      </c>
      <c r="AI108" s="1081">
        <v>207</v>
      </c>
      <c r="AJ108" s="1081">
        <v>171</v>
      </c>
      <c r="AK108" s="1303">
        <v>194</v>
      </c>
      <c r="AL108" s="1665">
        <f>'Non-marital births'!H88</f>
        <v>178</v>
      </c>
      <c r="AM108" s="1666">
        <v>190</v>
      </c>
      <c r="AN108" s="1667">
        <v>178</v>
      </c>
      <c r="AO108" s="1532"/>
      <c r="AP108" s="1088">
        <f t="shared" si="62"/>
        <v>0.34375</v>
      </c>
      <c r="AQ108" s="1089">
        <f t="shared" si="48"/>
        <v>0.26933333333333331</v>
      </c>
      <c r="AR108" s="1089">
        <f t="shared" si="49"/>
        <v>0.27067669172932329</v>
      </c>
      <c r="AS108" s="1089">
        <f t="shared" si="50"/>
        <v>0.32679738562091504</v>
      </c>
      <c r="AT108" s="1089">
        <f t="shared" si="51"/>
        <v>0.3446601941747573</v>
      </c>
      <c r="AU108" s="1089">
        <f t="shared" si="52"/>
        <v>0.34725274725274724</v>
      </c>
      <c r="AV108" s="1089">
        <f t="shared" si="53"/>
        <v>0.34415584415584416</v>
      </c>
      <c r="AW108" s="1089">
        <f t="shared" si="54"/>
        <v>0.36458333333333331</v>
      </c>
      <c r="AX108" s="1089">
        <f t="shared" si="55"/>
        <v>0.40409683426443205</v>
      </c>
      <c r="AY108" s="1089">
        <f t="shared" si="56"/>
        <v>0.37360594795539032</v>
      </c>
      <c r="AZ108" s="1089">
        <f t="shared" si="57"/>
        <v>0.38900203665987781</v>
      </c>
      <c r="BA108" s="1089">
        <f t="shared" si="58"/>
        <v>0.39780219780219778</v>
      </c>
      <c r="BB108" s="1089">
        <f t="shared" si="59"/>
        <v>0.42680412371134019</v>
      </c>
      <c r="BC108" s="1089">
        <f t="shared" si="60"/>
        <v>0.36853448275862066</v>
      </c>
      <c r="BD108" s="1296">
        <f t="shared" si="61"/>
        <v>0.40248962655601661</v>
      </c>
      <c r="BE108" s="1298">
        <f>'Non-marital births'!L88</f>
        <v>0.39555555555555555</v>
      </c>
      <c r="BF108" s="1654">
        <v>0.40339702760084928</v>
      </c>
      <c r="BG108" s="1656">
        <f t="shared" si="47"/>
        <v>0.39555555555555555</v>
      </c>
    </row>
    <row r="109" spans="1:59" s="142" customFormat="1" ht="15.75" customHeight="1" x14ac:dyDescent="0.2">
      <c r="A109" s="149" t="s">
        <v>214</v>
      </c>
      <c r="B109" s="186" t="s">
        <v>215</v>
      </c>
      <c r="C109" s="150" t="s">
        <v>268</v>
      </c>
      <c r="D109" s="1057">
        <v>351</v>
      </c>
      <c r="E109" s="1058">
        <v>365</v>
      </c>
      <c r="F109" s="1059">
        <v>361</v>
      </c>
      <c r="G109" s="1058">
        <v>356</v>
      </c>
      <c r="H109" s="1059">
        <v>320</v>
      </c>
      <c r="I109" s="1058">
        <v>352</v>
      </c>
      <c r="J109" s="1059">
        <v>296</v>
      </c>
      <c r="K109" s="1058">
        <v>347</v>
      </c>
      <c r="L109" s="1072">
        <v>370</v>
      </c>
      <c r="M109" s="1072">
        <v>351</v>
      </c>
      <c r="N109" s="1072">
        <v>369</v>
      </c>
      <c r="O109" s="1072">
        <v>321</v>
      </c>
      <c r="P109" s="1073">
        <v>316</v>
      </c>
      <c r="Q109" s="1073">
        <v>327</v>
      </c>
      <c r="R109" s="1300">
        <v>287</v>
      </c>
      <c r="S109" s="1660">
        <f>'Non-marital births'!D89</f>
        <v>299</v>
      </c>
      <c r="T109" s="1663">
        <v>258</v>
      </c>
      <c r="U109" s="1664">
        <v>299</v>
      </c>
      <c r="V109" s="1531"/>
      <c r="W109" s="1080">
        <v>94</v>
      </c>
      <c r="X109" s="1081">
        <v>102</v>
      </c>
      <c r="Y109" s="1081">
        <v>94</v>
      </c>
      <c r="Z109" s="1081">
        <v>92</v>
      </c>
      <c r="AA109" s="1081">
        <v>94</v>
      </c>
      <c r="AB109" s="1081">
        <v>129</v>
      </c>
      <c r="AC109" s="1081">
        <v>83</v>
      </c>
      <c r="AD109" s="1081">
        <v>110</v>
      </c>
      <c r="AE109" s="1081">
        <v>141</v>
      </c>
      <c r="AF109" s="1081">
        <v>144</v>
      </c>
      <c r="AG109" s="1081">
        <v>155</v>
      </c>
      <c r="AH109" s="1081">
        <v>137</v>
      </c>
      <c r="AI109" s="1081">
        <v>147</v>
      </c>
      <c r="AJ109" s="1081">
        <v>156</v>
      </c>
      <c r="AK109" s="1303">
        <v>128</v>
      </c>
      <c r="AL109" s="1665">
        <f>'Non-marital births'!H89</f>
        <v>124</v>
      </c>
      <c r="AM109" s="1666">
        <v>109</v>
      </c>
      <c r="AN109" s="1667">
        <v>124</v>
      </c>
      <c r="AO109" s="1532"/>
      <c r="AP109" s="1088">
        <f t="shared" si="62"/>
        <v>0.26780626780626782</v>
      </c>
      <c r="AQ109" s="1089">
        <f t="shared" si="48"/>
        <v>0.27945205479452057</v>
      </c>
      <c r="AR109" s="1089">
        <f t="shared" si="49"/>
        <v>0.26038781163434904</v>
      </c>
      <c r="AS109" s="1089">
        <f t="shared" si="50"/>
        <v>0.25842696629213485</v>
      </c>
      <c r="AT109" s="1089">
        <f t="shared" si="51"/>
        <v>0.29375000000000001</v>
      </c>
      <c r="AU109" s="1089">
        <f t="shared" si="52"/>
        <v>0.36647727272727271</v>
      </c>
      <c r="AV109" s="1089">
        <f t="shared" si="53"/>
        <v>0.28040540540540543</v>
      </c>
      <c r="AW109" s="1089">
        <f t="shared" si="54"/>
        <v>0.31700288184438041</v>
      </c>
      <c r="AX109" s="1089">
        <f t="shared" si="55"/>
        <v>0.38108108108108107</v>
      </c>
      <c r="AY109" s="1089">
        <f t="shared" si="56"/>
        <v>0.41025641025641024</v>
      </c>
      <c r="AZ109" s="1089">
        <f t="shared" si="57"/>
        <v>0.42005420054200543</v>
      </c>
      <c r="BA109" s="1089">
        <f t="shared" si="58"/>
        <v>0.42679127725856697</v>
      </c>
      <c r="BB109" s="1089">
        <f t="shared" si="59"/>
        <v>0.4651898734177215</v>
      </c>
      <c r="BC109" s="1089">
        <f t="shared" si="60"/>
        <v>0.47706422018348627</v>
      </c>
      <c r="BD109" s="1296">
        <f t="shared" si="61"/>
        <v>0.44599303135888502</v>
      </c>
      <c r="BE109" s="1298">
        <f>'Non-marital births'!L89</f>
        <v>0.41471571906354515</v>
      </c>
      <c r="BF109" s="1654">
        <v>0.42248062015503873</v>
      </c>
      <c r="BG109" s="1656">
        <f t="shared" si="47"/>
        <v>0.41471571906354515</v>
      </c>
    </row>
    <row r="110" spans="1:59" s="142" customFormat="1" ht="15.75" customHeight="1" x14ac:dyDescent="0.2">
      <c r="A110" s="149" t="s">
        <v>216</v>
      </c>
      <c r="B110" s="186" t="s">
        <v>217</v>
      </c>
      <c r="C110" s="150" t="s">
        <v>264</v>
      </c>
      <c r="D110" s="1057">
        <v>184</v>
      </c>
      <c r="E110" s="1058">
        <v>179</v>
      </c>
      <c r="F110" s="1059">
        <v>160</v>
      </c>
      <c r="G110" s="1058">
        <v>207</v>
      </c>
      <c r="H110" s="1059">
        <v>133</v>
      </c>
      <c r="I110" s="1058">
        <v>172</v>
      </c>
      <c r="J110" s="1059">
        <v>172</v>
      </c>
      <c r="K110" s="1058">
        <v>149</v>
      </c>
      <c r="L110" s="1072">
        <v>183</v>
      </c>
      <c r="M110" s="1072">
        <v>171</v>
      </c>
      <c r="N110" s="1072">
        <v>205</v>
      </c>
      <c r="O110" s="1072">
        <v>169</v>
      </c>
      <c r="P110" s="1073">
        <v>144</v>
      </c>
      <c r="Q110" s="1073">
        <v>133</v>
      </c>
      <c r="R110" s="1300">
        <v>141</v>
      </c>
      <c r="S110" s="1660">
        <f>'Non-marital births'!D90</f>
        <v>118</v>
      </c>
      <c r="T110" s="1663">
        <v>142</v>
      </c>
      <c r="U110" s="1664">
        <v>118</v>
      </c>
      <c r="V110" s="1531"/>
      <c r="W110" s="1080">
        <v>70</v>
      </c>
      <c r="X110" s="1081">
        <v>69</v>
      </c>
      <c r="Y110" s="1081">
        <v>68</v>
      </c>
      <c r="Z110" s="1081">
        <v>84</v>
      </c>
      <c r="AA110" s="1081">
        <v>49</v>
      </c>
      <c r="AB110" s="1081">
        <v>63</v>
      </c>
      <c r="AC110" s="1081">
        <v>71</v>
      </c>
      <c r="AD110" s="1081">
        <v>59</v>
      </c>
      <c r="AE110" s="1081">
        <v>90</v>
      </c>
      <c r="AF110" s="1081">
        <v>84</v>
      </c>
      <c r="AG110" s="1081">
        <v>97</v>
      </c>
      <c r="AH110" s="1081">
        <v>88</v>
      </c>
      <c r="AI110" s="1081">
        <v>61</v>
      </c>
      <c r="AJ110" s="1081">
        <v>61</v>
      </c>
      <c r="AK110" s="1303">
        <v>60</v>
      </c>
      <c r="AL110" s="1665">
        <f>'Non-marital births'!H90</f>
        <v>57</v>
      </c>
      <c r="AM110" s="1666">
        <v>57</v>
      </c>
      <c r="AN110" s="1667">
        <v>57</v>
      </c>
      <c r="AO110" s="1532"/>
      <c r="AP110" s="1088">
        <f t="shared" si="62"/>
        <v>0.38043478260869568</v>
      </c>
      <c r="AQ110" s="1089">
        <f t="shared" si="48"/>
        <v>0.38547486033519551</v>
      </c>
      <c r="AR110" s="1089">
        <f t="shared" si="49"/>
        <v>0.42499999999999999</v>
      </c>
      <c r="AS110" s="1089">
        <f t="shared" si="50"/>
        <v>0.40579710144927539</v>
      </c>
      <c r="AT110" s="1089">
        <f t="shared" si="51"/>
        <v>0.36842105263157893</v>
      </c>
      <c r="AU110" s="1089">
        <f t="shared" si="52"/>
        <v>0.36627906976744184</v>
      </c>
      <c r="AV110" s="1089">
        <f t="shared" si="53"/>
        <v>0.41279069767441862</v>
      </c>
      <c r="AW110" s="1089">
        <f t="shared" si="54"/>
        <v>0.39597315436241609</v>
      </c>
      <c r="AX110" s="1089">
        <f t="shared" si="55"/>
        <v>0.49180327868852458</v>
      </c>
      <c r="AY110" s="1089">
        <f t="shared" si="56"/>
        <v>0.49122807017543857</v>
      </c>
      <c r="AZ110" s="1089">
        <f t="shared" si="57"/>
        <v>0.47317073170731705</v>
      </c>
      <c r="BA110" s="1089">
        <f t="shared" si="58"/>
        <v>0.52071005917159763</v>
      </c>
      <c r="BB110" s="1089">
        <f t="shared" si="59"/>
        <v>0.4236111111111111</v>
      </c>
      <c r="BC110" s="1089">
        <f t="shared" si="60"/>
        <v>0.45864661654135336</v>
      </c>
      <c r="BD110" s="1296">
        <f t="shared" si="61"/>
        <v>0.42553191489361702</v>
      </c>
      <c r="BE110" s="1298">
        <f>'Non-marital births'!L90</f>
        <v>0.48305084745762711</v>
      </c>
      <c r="BF110" s="1654">
        <v>0.40140845070422537</v>
      </c>
      <c r="BG110" s="1656">
        <f t="shared" si="47"/>
        <v>0.48305084745762711</v>
      </c>
    </row>
    <row r="111" spans="1:59" s="142" customFormat="1" ht="15.75" customHeight="1" x14ac:dyDescent="0.2">
      <c r="A111" s="149" t="s">
        <v>218</v>
      </c>
      <c r="B111" s="186" t="s">
        <v>219</v>
      </c>
      <c r="C111" s="150" t="s">
        <v>267</v>
      </c>
      <c r="D111" s="1057">
        <v>1194</v>
      </c>
      <c r="E111" s="1058">
        <v>1149</v>
      </c>
      <c r="F111" s="1059">
        <v>1309</v>
      </c>
      <c r="G111" s="1058">
        <v>1472</v>
      </c>
      <c r="H111" s="1059">
        <v>1617</v>
      </c>
      <c r="I111" s="1058">
        <v>1597</v>
      </c>
      <c r="J111" s="1059">
        <v>1706</v>
      </c>
      <c r="K111" s="1058">
        <v>1638</v>
      </c>
      <c r="L111" s="1072">
        <v>1749</v>
      </c>
      <c r="M111" s="1072">
        <v>1717</v>
      </c>
      <c r="N111" s="1072">
        <v>1673</v>
      </c>
      <c r="O111" s="1072">
        <v>1552</v>
      </c>
      <c r="P111" s="1073">
        <v>1595</v>
      </c>
      <c r="Q111" s="1073">
        <v>1559</v>
      </c>
      <c r="R111" s="1300">
        <v>1494</v>
      </c>
      <c r="S111" s="1660">
        <f>'Non-marital births'!D91</f>
        <v>1591</v>
      </c>
      <c r="T111" s="1663">
        <v>1614</v>
      </c>
      <c r="U111" s="1664">
        <v>1591</v>
      </c>
      <c r="V111" s="1531"/>
      <c r="W111" s="1080">
        <v>293</v>
      </c>
      <c r="X111" s="1081">
        <v>330</v>
      </c>
      <c r="Y111" s="1081">
        <v>363</v>
      </c>
      <c r="Z111" s="1081">
        <v>394</v>
      </c>
      <c r="AA111" s="1081">
        <v>427</v>
      </c>
      <c r="AB111" s="1081">
        <v>418</v>
      </c>
      <c r="AC111" s="1081">
        <v>477</v>
      </c>
      <c r="AD111" s="1081">
        <v>497</v>
      </c>
      <c r="AE111" s="1081">
        <v>539</v>
      </c>
      <c r="AF111" s="1081">
        <v>628</v>
      </c>
      <c r="AG111" s="1081">
        <v>616</v>
      </c>
      <c r="AH111" s="1081">
        <v>561</v>
      </c>
      <c r="AI111" s="1081">
        <v>580</v>
      </c>
      <c r="AJ111" s="1081">
        <v>573</v>
      </c>
      <c r="AK111" s="1303">
        <v>534</v>
      </c>
      <c r="AL111" s="1665">
        <f>'Non-marital births'!H91</f>
        <v>576</v>
      </c>
      <c r="AM111" s="1666">
        <v>577</v>
      </c>
      <c r="AN111" s="1667">
        <v>576</v>
      </c>
      <c r="AO111" s="1532"/>
      <c r="AP111" s="1088">
        <f t="shared" si="62"/>
        <v>0.24539363484087101</v>
      </c>
      <c r="AQ111" s="1089">
        <f t="shared" si="48"/>
        <v>0.28720626631853785</v>
      </c>
      <c r="AR111" s="1089">
        <f t="shared" si="49"/>
        <v>0.27731092436974791</v>
      </c>
      <c r="AS111" s="1089">
        <f t="shared" si="50"/>
        <v>0.26766304347826086</v>
      </c>
      <c r="AT111" s="1089">
        <f t="shared" si="51"/>
        <v>0.26406926406926406</v>
      </c>
      <c r="AU111" s="1089">
        <f t="shared" si="52"/>
        <v>0.26174076393237322</v>
      </c>
      <c r="AV111" s="1089">
        <f t="shared" si="53"/>
        <v>0.27960140679953105</v>
      </c>
      <c r="AW111" s="1089">
        <f t="shared" si="54"/>
        <v>0.3034188034188034</v>
      </c>
      <c r="AX111" s="1089">
        <f t="shared" si="55"/>
        <v>0.3081761006289308</v>
      </c>
      <c r="AY111" s="1089">
        <f t="shared" si="56"/>
        <v>0.36575422248107164</v>
      </c>
      <c r="AZ111" s="1089">
        <f t="shared" si="57"/>
        <v>0.3682008368200837</v>
      </c>
      <c r="BA111" s="1089">
        <f t="shared" si="58"/>
        <v>0.36146907216494845</v>
      </c>
      <c r="BB111" s="1089">
        <f t="shared" si="59"/>
        <v>0.36363636363636365</v>
      </c>
      <c r="BC111" s="1089">
        <f t="shared" si="60"/>
        <v>0.36754329698524696</v>
      </c>
      <c r="BD111" s="1296">
        <f t="shared" si="61"/>
        <v>0.35742971887550201</v>
      </c>
      <c r="BE111" s="1298">
        <f>'Non-marital births'!L91</f>
        <v>0.36203645505971088</v>
      </c>
      <c r="BF111" s="1654">
        <v>0.35749690210656754</v>
      </c>
      <c r="BG111" s="1656">
        <f t="shared" si="47"/>
        <v>0.36203645505971088</v>
      </c>
    </row>
    <row r="112" spans="1:59" s="142" customFormat="1" ht="15.75" customHeight="1" x14ac:dyDescent="0.2">
      <c r="A112" s="149" t="s">
        <v>220</v>
      </c>
      <c r="B112" s="186" t="s">
        <v>221</v>
      </c>
      <c r="C112" s="150" t="s">
        <v>267</v>
      </c>
      <c r="D112" s="1057">
        <v>1293</v>
      </c>
      <c r="E112" s="1058">
        <v>1255</v>
      </c>
      <c r="F112" s="1059">
        <v>1379</v>
      </c>
      <c r="G112" s="1058">
        <v>1426</v>
      </c>
      <c r="H112" s="1059">
        <v>1531</v>
      </c>
      <c r="I112" s="1058">
        <v>1567</v>
      </c>
      <c r="J112" s="1059">
        <v>1621</v>
      </c>
      <c r="K112" s="1058">
        <v>1616</v>
      </c>
      <c r="L112" s="1072">
        <v>1694</v>
      </c>
      <c r="M112" s="1072">
        <v>1741</v>
      </c>
      <c r="N112" s="1072">
        <v>1693</v>
      </c>
      <c r="O112" s="1072">
        <v>1698</v>
      </c>
      <c r="P112" s="1073">
        <v>1671</v>
      </c>
      <c r="Q112" s="1073">
        <v>1683</v>
      </c>
      <c r="R112" s="1300">
        <v>1662</v>
      </c>
      <c r="S112" s="1660">
        <f>'Non-marital births'!D92</f>
        <v>1665</v>
      </c>
      <c r="T112" s="1663">
        <v>1703</v>
      </c>
      <c r="U112" s="1664">
        <v>1665</v>
      </c>
      <c r="V112" s="1531"/>
      <c r="W112" s="1080">
        <v>309</v>
      </c>
      <c r="X112" s="1081">
        <v>297</v>
      </c>
      <c r="Y112" s="1081">
        <v>332</v>
      </c>
      <c r="Z112" s="1081">
        <v>349</v>
      </c>
      <c r="AA112" s="1081">
        <v>371</v>
      </c>
      <c r="AB112" s="1081">
        <v>401</v>
      </c>
      <c r="AC112" s="1081">
        <v>410</v>
      </c>
      <c r="AD112" s="1081">
        <v>440</v>
      </c>
      <c r="AE112" s="1081">
        <v>498</v>
      </c>
      <c r="AF112" s="1081">
        <v>522</v>
      </c>
      <c r="AG112" s="1081">
        <v>497</v>
      </c>
      <c r="AH112" s="1081">
        <v>521</v>
      </c>
      <c r="AI112" s="1081">
        <v>481</v>
      </c>
      <c r="AJ112" s="1081">
        <v>522</v>
      </c>
      <c r="AK112" s="1303">
        <v>491</v>
      </c>
      <c r="AL112" s="1665">
        <f>'Non-marital births'!H92</f>
        <v>483</v>
      </c>
      <c r="AM112" s="1666">
        <v>497</v>
      </c>
      <c r="AN112" s="1667">
        <v>483</v>
      </c>
      <c r="AO112" s="1532"/>
      <c r="AP112" s="1088">
        <f t="shared" si="62"/>
        <v>0.23897911832946636</v>
      </c>
      <c r="AQ112" s="1089">
        <f t="shared" si="48"/>
        <v>0.23665338645418327</v>
      </c>
      <c r="AR112" s="1089">
        <f t="shared" si="49"/>
        <v>0.24075416968817984</v>
      </c>
      <c r="AS112" s="1089">
        <f t="shared" si="50"/>
        <v>0.2447405329593268</v>
      </c>
      <c r="AT112" s="1089">
        <f t="shared" si="51"/>
        <v>0.24232527759634226</v>
      </c>
      <c r="AU112" s="1089">
        <f t="shared" si="52"/>
        <v>0.25590299936183791</v>
      </c>
      <c r="AV112" s="1089">
        <f t="shared" si="53"/>
        <v>0.25293028994447869</v>
      </c>
      <c r="AW112" s="1089">
        <f t="shared" si="54"/>
        <v>0.2722772277227723</v>
      </c>
      <c r="AX112" s="1089">
        <f t="shared" si="55"/>
        <v>0.29397874852420308</v>
      </c>
      <c r="AY112" s="1089">
        <f t="shared" si="56"/>
        <v>0.29982768523836878</v>
      </c>
      <c r="AZ112" s="1089">
        <f t="shared" si="57"/>
        <v>0.29356172474896636</v>
      </c>
      <c r="BA112" s="1089">
        <f t="shared" si="58"/>
        <v>0.30683156654888105</v>
      </c>
      <c r="BB112" s="1089">
        <f t="shared" si="59"/>
        <v>0.28785158587672055</v>
      </c>
      <c r="BC112" s="1089">
        <f t="shared" si="60"/>
        <v>0.31016042780748665</v>
      </c>
      <c r="BD112" s="1296">
        <f t="shared" si="61"/>
        <v>0.29542719614921781</v>
      </c>
      <c r="BE112" s="1298">
        <f>'Non-marital births'!L92</f>
        <v>0.29009009009009007</v>
      </c>
      <c r="BF112" s="1654">
        <v>0.29183793305930711</v>
      </c>
      <c r="BG112" s="1656">
        <f t="shared" si="47"/>
        <v>0.29009009009009007</v>
      </c>
    </row>
    <row r="113" spans="1:59" s="142" customFormat="1" ht="15.75" customHeight="1" x14ac:dyDescent="0.2">
      <c r="A113" s="149" t="s">
        <v>222</v>
      </c>
      <c r="B113" s="186" t="s">
        <v>223</v>
      </c>
      <c r="C113" s="150" t="s">
        <v>264</v>
      </c>
      <c r="D113" s="1057">
        <v>884</v>
      </c>
      <c r="E113" s="1058">
        <v>938</v>
      </c>
      <c r="F113" s="1059">
        <v>1008</v>
      </c>
      <c r="G113" s="1058">
        <v>953</v>
      </c>
      <c r="H113" s="1059">
        <v>1058</v>
      </c>
      <c r="I113" s="1058">
        <v>1087</v>
      </c>
      <c r="J113" s="1059">
        <v>1186</v>
      </c>
      <c r="K113" s="1058">
        <v>1180</v>
      </c>
      <c r="L113" s="1072">
        <v>1190</v>
      </c>
      <c r="M113" s="1072">
        <v>1205</v>
      </c>
      <c r="N113" s="1072">
        <v>1090</v>
      </c>
      <c r="O113" s="1072">
        <v>1158</v>
      </c>
      <c r="P113" s="1073">
        <v>1108</v>
      </c>
      <c r="Q113" s="1073">
        <v>1117</v>
      </c>
      <c r="R113" s="1300">
        <v>1087</v>
      </c>
      <c r="S113" s="1660">
        <f>'Non-marital births'!D123</f>
        <v>1163</v>
      </c>
      <c r="T113" s="1663">
        <v>1093</v>
      </c>
      <c r="U113" s="1664">
        <v>1163</v>
      </c>
      <c r="V113" s="1531"/>
      <c r="W113" s="1080">
        <v>404</v>
      </c>
      <c r="X113" s="1081">
        <v>370</v>
      </c>
      <c r="Y113" s="1081">
        <v>370</v>
      </c>
      <c r="Z113" s="1081">
        <v>370</v>
      </c>
      <c r="AA113" s="1081">
        <v>398</v>
      </c>
      <c r="AB113" s="1081">
        <v>395</v>
      </c>
      <c r="AC113" s="1081">
        <v>408</v>
      </c>
      <c r="AD113" s="1081">
        <v>417</v>
      </c>
      <c r="AE113" s="1081">
        <v>435</v>
      </c>
      <c r="AF113" s="1081">
        <v>453</v>
      </c>
      <c r="AG113" s="1081">
        <v>445</v>
      </c>
      <c r="AH113" s="1081">
        <v>495</v>
      </c>
      <c r="AI113" s="1081">
        <v>480</v>
      </c>
      <c r="AJ113" s="1081">
        <v>435</v>
      </c>
      <c r="AK113" s="1303">
        <v>447</v>
      </c>
      <c r="AL113" s="1665">
        <f>'Non-marital births'!H123</f>
        <v>462</v>
      </c>
      <c r="AM113" s="1666">
        <v>401</v>
      </c>
      <c r="AN113" s="1667">
        <v>462</v>
      </c>
      <c r="AO113" s="1532"/>
      <c r="AP113" s="1088">
        <f t="shared" si="62"/>
        <v>0.45701357466063347</v>
      </c>
      <c r="AQ113" s="1089">
        <f t="shared" si="48"/>
        <v>0.39445628997867804</v>
      </c>
      <c r="AR113" s="1089">
        <f t="shared" si="49"/>
        <v>0.36706349206349204</v>
      </c>
      <c r="AS113" s="1089">
        <f t="shared" si="50"/>
        <v>0.3882476390346275</v>
      </c>
      <c r="AT113" s="1089">
        <f t="shared" si="51"/>
        <v>0.37618147448015121</v>
      </c>
      <c r="AU113" s="1089">
        <f t="shared" si="52"/>
        <v>0.36338546458141674</v>
      </c>
      <c r="AV113" s="1089">
        <f t="shared" si="53"/>
        <v>0.34401349072512649</v>
      </c>
      <c r="AW113" s="1089">
        <f t="shared" si="54"/>
        <v>0.35338983050847456</v>
      </c>
      <c r="AX113" s="1089">
        <f t="shared" si="55"/>
        <v>0.36554621848739494</v>
      </c>
      <c r="AY113" s="1089">
        <f t="shared" si="56"/>
        <v>0.37593360995850622</v>
      </c>
      <c r="AZ113" s="1089">
        <f t="shared" si="57"/>
        <v>0.40825688073394495</v>
      </c>
      <c r="BA113" s="1089">
        <f t="shared" si="58"/>
        <v>0.42746113989637308</v>
      </c>
      <c r="BB113" s="1089">
        <f t="shared" si="59"/>
        <v>0.43321299638989169</v>
      </c>
      <c r="BC113" s="1089">
        <f t="shared" si="60"/>
        <v>0.38943598925693823</v>
      </c>
      <c r="BD113" s="1296">
        <f t="shared" si="61"/>
        <v>0.41122355105795766</v>
      </c>
      <c r="BE113" s="1298">
        <f>'Non-marital births'!L123</f>
        <v>0.39724849527085127</v>
      </c>
      <c r="BF113" s="1654">
        <v>0.36688014638609334</v>
      </c>
      <c r="BG113" s="1656">
        <f t="shared" si="47"/>
        <v>0.39724849527085127</v>
      </c>
    </row>
    <row r="114" spans="1:59" s="142" customFormat="1" ht="15.75" customHeight="1" x14ac:dyDescent="0.2">
      <c r="A114" s="149" t="s">
        <v>224</v>
      </c>
      <c r="B114" s="186" t="s">
        <v>225</v>
      </c>
      <c r="C114" s="150" t="s">
        <v>264</v>
      </c>
      <c r="D114" s="1057">
        <v>62</v>
      </c>
      <c r="E114" s="1058">
        <v>67</v>
      </c>
      <c r="F114" s="1059">
        <v>79</v>
      </c>
      <c r="G114" s="1058">
        <v>77</v>
      </c>
      <c r="H114" s="1059">
        <v>64</v>
      </c>
      <c r="I114" s="1058">
        <v>71</v>
      </c>
      <c r="J114" s="1059">
        <v>64</v>
      </c>
      <c r="K114" s="1058">
        <v>52</v>
      </c>
      <c r="L114" s="1072">
        <v>85</v>
      </c>
      <c r="M114" s="1072">
        <v>69</v>
      </c>
      <c r="N114" s="1072">
        <v>73</v>
      </c>
      <c r="O114" s="1072">
        <v>78</v>
      </c>
      <c r="P114" s="1073">
        <v>57</v>
      </c>
      <c r="Q114" s="1073">
        <v>58</v>
      </c>
      <c r="R114" s="1300">
        <v>64</v>
      </c>
      <c r="S114" s="1660">
        <f>'Non-marital births'!D93</f>
        <v>60</v>
      </c>
      <c r="T114" s="1663">
        <v>50</v>
      </c>
      <c r="U114" s="1664">
        <v>60</v>
      </c>
      <c r="V114" s="1531"/>
      <c r="W114" s="1080">
        <v>27</v>
      </c>
      <c r="X114" s="1081">
        <v>30</v>
      </c>
      <c r="Y114" s="1081">
        <v>35</v>
      </c>
      <c r="Z114" s="1081">
        <v>42</v>
      </c>
      <c r="AA114" s="1081">
        <v>31</v>
      </c>
      <c r="AB114" s="1081">
        <v>31</v>
      </c>
      <c r="AC114" s="1081">
        <v>28</v>
      </c>
      <c r="AD114" s="1081">
        <v>24</v>
      </c>
      <c r="AE114" s="1081">
        <v>40</v>
      </c>
      <c r="AF114" s="1081">
        <v>28</v>
      </c>
      <c r="AG114" s="1081">
        <v>30</v>
      </c>
      <c r="AH114" s="1081">
        <v>41</v>
      </c>
      <c r="AI114" s="1081">
        <v>32</v>
      </c>
      <c r="AJ114" s="1081">
        <v>28</v>
      </c>
      <c r="AK114" s="1303">
        <v>33</v>
      </c>
      <c r="AL114" s="1665">
        <f>'Non-marital births'!H93</f>
        <v>26</v>
      </c>
      <c r="AM114" s="1666">
        <v>24</v>
      </c>
      <c r="AN114" s="1667">
        <v>26</v>
      </c>
      <c r="AO114" s="1532"/>
      <c r="AP114" s="1088">
        <f t="shared" si="62"/>
        <v>0.43548387096774194</v>
      </c>
      <c r="AQ114" s="1089">
        <f t="shared" si="48"/>
        <v>0.44776119402985076</v>
      </c>
      <c r="AR114" s="1089">
        <f t="shared" si="49"/>
        <v>0.44303797468354428</v>
      </c>
      <c r="AS114" s="1089">
        <f t="shared" si="50"/>
        <v>0.54545454545454541</v>
      </c>
      <c r="AT114" s="1089">
        <f t="shared" si="51"/>
        <v>0.484375</v>
      </c>
      <c r="AU114" s="1089">
        <f t="shared" si="52"/>
        <v>0.43661971830985913</v>
      </c>
      <c r="AV114" s="1089">
        <f t="shared" si="53"/>
        <v>0.4375</v>
      </c>
      <c r="AW114" s="1089">
        <f t="shared" si="54"/>
        <v>0.46153846153846156</v>
      </c>
      <c r="AX114" s="1089">
        <f t="shared" si="55"/>
        <v>0.47058823529411764</v>
      </c>
      <c r="AY114" s="1089">
        <f t="shared" si="56"/>
        <v>0.40579710144927539</v>
      </c>
      <c r="AZ114" s="1089">
        <f t="shared" si="57"/>
        <v>0.41095890410958902</v>
      </c>
      <c r="BA114" s="1089">
        <f t="shared" si="58"/>
        <v>0.52564102564102566</v>
      </c>
      <c r="BB114" s="1089">
        <f t="shared" si="59"/>
        <v>0.56140350877192979</v>
      </c>
      <c r="BC114" s="1089">
        <f t="shared" si="60"/>
        <v>0.48275862068965519</v>
      </c>
      <c r="BD114" s="1296">
        <f t="shared" si="61"/>
        <v>0.515625</v>
      </c>
      <c r="BE114" s="1298">
        <f>'Non-marital births'!L93</f>
        <v>0.43333333333333335</v>
      </c>
      <c r="BF114" s="1654">
        <v>0.48</v>
      </c>
      <c r="BG114" s="1656">
        <f t="shared" si="47"/>
        <v>0.43333333333333335</v>
      </c>
    </row>
    <row r="115" spans="1:59" s="142" customFormat="1" ht="15.75" customHeight="1" x14ac:dyDescent="0.2">
      <c r="A115" s="149" t="s">
        <v>226</v>
      </c>
      <c r="B115" s="186" t="s">
        <v>227</v>
      </c>
      <c r="C115" s="150" t="s">
        <v>264</v>
      </c>
      <c r="D115" s="1057">
        <v>114</v>
      </c>
      <c r="E115" s="1058">
        <v>130</v>
      </c>
      <c r="F115" s="1059">
        <v>138</v>
      </c>
      <c r="G115" s="1058">
        <v>112</v>
      </c>
      <c r="H115" s="1059">
        <v>115</v>
      </c>
      <c r="I115" s="1058">
        <v>114</v>
      </c>
      <c r="J115" s="1059">
        <v>123</v>
      </c>
      <c r="K115" s="1058">
        <v>119</v>
      </c>
      <c r="L115" s="1072">
        <v>106</v>
      </c>
      <c r="M115" s="1072">
        <v>130</v>
      </c>
      <c r="N115" s="1072">
        <v>116</v>
      </c>
      <c r="O115" s="1072">
        <v>117</v>
      </c>
      <c r="P115" s="1073">
        <v>95</v>
      </c>
      <c r="Q115" s="1073">
        <v>126</v>
      </c>
      <c r="R115" s="1300">
        <v>101</v>
      </c>
      <c r="S115" s="1660">
        <f>'Non-marital births'!D94</f>
        <v>90</v>
      </c>
      <c r="T115" s="1663">
        <v>100</v>
      </c>
      <c r="U115" s="1664">
        <v>90</v>
      </c>
      <c r="V115" s="1531"/>
      <c r="W115" s="1080">
        <v>55</v>
      </c>
      <c r="X115" s="1081">
        <v>65</v>
      </c>
      <c r="Y115" s="1081">
        <v>79</v>
      </c>
      <c r="Z115" s="1081">
        <v>61</v>
      </c>
      <c r="AA115" s="1081">
        <v>65</v>
      </c>
      <c r="AB115" s="1081">
        <v>62</v>
      </c>
      <c r="AC115" s="1081">
        <v>65</v>
      </c>
      <c r="AD115" s="1081">
        <v>74</v>
      </c>
      <c r="AE115" s="1081">
        <v>62</v>
      </c>
      <c r="AF115" s="1081">
        <v>70</v>
      </c>
      <c r="AG115" s="1081">
        <v>68</v>
      </c>
      <c r="AH115" s="1081">
        <v>71</v>
      </c>
      <c r="AI115" s="1081">
        <v>57</v>
      </c>
      <c r="AJ115" s="1081">
        <v>75</v>
      </c>
      <c r="AK115" s="1303">
        <v>63</v>
      </c>
      <c r="AL115" s="1665">
        <f>'Non-marital births'!H94</f>
        <v>59</v>
      </c>
      <c r="AM115" s="1666">
        <v>60</v>
      </c>
      <c r="AN115" s="1667">
        <v>59</v>
      </c>
      <c r="AO115" s="1532"/>
      <c r="AP115" s="1088">
        <f t="shared" si="62"/>
        <v>0.48245614035087719</v>
      </c>
      <c r="AQ115" s="1089">
        <f t="shared" si="48"/>
        <v>0.5</v>
      </c>
      <c r="AR115" s="1089">
        <f t="shared" si="49"/>
        <v>0.57246376811594202</v>
      </c>
      <c r="AS115" s="1089">
        <f t="shared" si="50"/>
        <v>0.5446428571428571</v>
      </c>
      <c r="AT115" s="1089">
        <f t="shared" si="51"/>
        <v>0.56521739130434778</v>
      </c>
      <c r="AU115" s="1089">
        <f t="shared" si="52"/>
        <v>0.54385964912280704</v>
      </c>
      <c r="AV115" s="1089">
        <f t="shared" si="53"/>
        <v>0.52845528455284552</v>
      </c>
      <c r="AW115" s="1089">
        <f t="shared" si="54"/>
        <v>0.62184873949579833</v>
      </c>
      <c r="AX115" s="1089">
        <f t="shared" si="55"/>
        <v>0.58490566037735847</v>
      </c>
      <c r="AY115" s="1089">
        <f t="shared" si="56"/>
        <v>0.53846153846153844</v>
      </c>
      <c r="AZ115" s="1089">
        <f t="shared" si="57"/>
        <v>0.58620689655172409</v>
      </c>
      <c r="BA115" s="1089">
        <f t="shared" si="58"/>
        <v>0.60683760683760679</v>
      </c>
      <c r="BB115" s="1089">
        <f t="shared" si="59"/>
        <v>0.6</v>
      </c>
      <c r="BC115" s="1089">
        <f t="shared" si="60"/>
        <v>0.59523809523809523</v>
      </c>
      <c r="BD115" s="1296">
        <f t="shared" si="61"/>
        <v>0.62376237623762376</v>
      </c>
      <c r="BE115" s="1298">
        <f>'Non-marital births'!L94</f>
        <v>0.65555555555555556</v>
      </c>
      <c r="BF115" s="1654">
        <v>0.6</v>
      </c>
      <c r="BG115" s="1656">
        <f t="shared" si="47"/>
        <v>0.65555555555555556</v>
      </c>
    </row>
    <row r="116" spans="1:59" s="142" customFormat="1" ht="15.75" customHeight="1" x14ac:dyDescent="0.2">
      <c r="A116" s="149" t="s">
        <v>228</v>
      </c>
      <c r="B116" s="186" t="s">
        <v>229</v>
      </c>
      <c r="C116" s="150" t="s">
        <v>268</v>
      </c>
      <c r="D116" s="1057">
        <v>472</v>
      </c>
      <c r="E116" s="1058">
        <v>489</v>
      </c>
      <c r="F116" s="1059">
        <v>421</v>
      </c>
      <c r="G116" s="1058">
        <v>447</v>
      </c>
      <c r="H116" s="1059">
        <v>467</v>
      </c>
      <c r="I116" s="1058">
        <v>494</v>
      </c>
      <c r="J116" s="1059">
        <v>469</v>
      </c>
      <c r="K116" s="1058">
        <v>467</v>
      </c>
      <c r="L116" s="1072">
        <v>473</v>
      </c>
      <c r="M116" s="1072">
        <v>468</v>
      </c>
      <c r="N116" s="1072">
        <v>470</v>
      </c>
      <c r="O116" s="1072">
        <v>482</v>
      </c>
      <c r="P116" s="1073">
        <v>490</v>
      </c>
      <c r="Q116" s="1073">
        <v>418</v>
      </c>
      <c r="R116" s="1300">
        <v>457</v>
      </c>
      <c r="S116" s="1660">
        <f>'Non-marital births'!D95</f>
        <v>442</v>
      </c>
      <c r="T116" s="1663">
        <v>456</v>
      </c>
      <c r="U116" s="1664">
        <v>442</v>
      </c>
      <c r="V116" s="1531"/>
      <c r="W116" s="1080">
        <v>126</v>
      </c>
      <c r="X116" s="1081">
        <v>138</v>
      </c>
      <c r="Y116" s="1081">
        <v>111</v>
      </c>
      <c r="Z116" s="1081">
        <v>113</v>
      </c>
      <c r="AA116" s="1081">
        <v>126</v>
      </c>
      <c r="AB116" s="1081">
        <v>143</v>
      </c>
      <c r="AC116" s="1081">
        <v>132</v>
      </c>
      <c r="AD116" s="1081">
        <v>135</v>
      </c>
      <c r="AE116" s="1081">
        <v>151</v>
      </c>
      <c r="AF116" s="1081">
        <v>159</v>
      </c>
      <c r="AG116" s="1081">
        <v>154</v>
      </c>
      <c r="AH116" s="1081">
        <v>169</v>
      </c>
      <c r="AI116" s="1081">
        <v>184</v>
      </c>
      <c r="AJ116" s="1081">
        <v>152</v>
      </c>
      <c r="AK116" s="1303">
        <v>164</v>
      </c>
      <c r="AL116" s="1665">
        <f>'Non-marital births'!H95</f>
        <v>162</v>
      </c>
      <c r="AM116" s="1666">
        <v>182</v>
      </c>
      <c r="AN116" s="1667">
        <v>162</v>
      </c>
      <c r="AO116" s="1532"/>
      <c r="AP116" s="1088">
        <f t="shared" si="62"/>
        <v>0.26694915254237289</v>
      </c>
      <c r="AQ116" s="1089">
        <f t="shared" si="48"/>
        <v>0.2822085889570552</v>
      </c>
      <c r="AR116" s="1089">
        <f t="shared" si="49"/>
        <v>0.26365795724465557</v>
      </c>
      <c r="AS116" s="1089">
        <f t="shared" si="50"/>
        <v>0.25279642058165547</v>
      </c>
      <c r="AT116" s="1089">
        <f t="shared" si="51"/>
        <v>0.26980728051391861</v>
      </c>
      <c r="AU116" s="1089">
        <f t="shared" si="52"/>
        <v>0.28947368421052633</v>
      </c>
      <c r="AV116" s="1089">
        <f t="shared" si="53"/>
        <v>0.28144989339019189</v>
      </c>
      <c r="AW116" s="1089">
        <f t="shared" si="54"/>
        <v>0.28907922912205569</v>
      </c>
      <c r="AX116" s="1089">
        <f t="shared" si="55"/>
        <v>0.31923890063424948</v>
      </c>
      <c r="AY116" s="1089">
        <f t="shared" si="56"/>
        <v>0.33974358974358976</v>
      </c>
      <c r="AZ116" s="1089">
        <f t="shared" si="57"/>
        <v>0.32765957446808508</v>
      </c>
      <c r="BA116" s="1089">
        <f t="shared" si="58"/>
        <v>0.35062240663900412</v>
      </c>
      <c r="BB116" s="1089">
        <f t="shared" si="59"/>
        <v>0.37551020408163266</v>
      </c>
      <c r="BC116" s="1089">
        <f t="shared" si="60"/>
        <v>0.36363636363636365</v>
      </c>
      <c r="BD116" s="1296">
        <f t="shared" si="61"/>
        <v>0.35886214442013131</v>
      </c>
      <c r="BE116" s="1298">
        <f>'Non-marital births'!L95</f>
        <v>0.36651583710407237</v>
      </c>
      <c r="BF116" s="1654">
        <v>0.39912280701754388</v>
      </c>
      <c r="BG116" s="1656">
        <f t="shared" si="47"/>
        <v>0.36651583710407237</v>
      </c>
    </row>
    <row r="117" spans="1:59" s="142" customFormat="1" ht="15.75" customHeight="1" x14ac:dyDescent="0.2">
      <c r="A117" s="149" t="s">
        <v>230</v>
      </c>
      <c r="B117" s="186" t="s">
        <v>231</v>
      </c>
      <c r="C117" s="150" t="s">
        <v>264</v>
      </c>
      <c r="D117" s="1057">
        <v>6363</v>
      </c>
      <c r="E117" s="1058">
        <v>6201</v>
      </c>
      <c r="F117" s="1059">
        <v>6455</v>
      </c>
      <c r="G117" s="1058">
        <v>6173</v>
      </c>
      <c r="H117" s="1059">
        <v>6234</v>
      </c>
      <c r="I117" s="1058">
        <v>6370</v>
      </c>
      <c r="J117" s="1059">
        <v>6665</v>
      </c>
      <c r="K117" s="1058">
        <v>6382</v>
      </c>
      <c r="L117" s="1072">
        <v>6567</v>
      </c>
      <c r="M117" s="1072">
        <v>6513</v>
      </c>
      <c r="N117" s="1072">
        <v>6341</v>
      </c>
      <c r="O117" s="1072">
        <v>6324</v>
      </c>
      <c r="P117" s="1073">
        <v>6143</v>
      </c>
      <c r="Q117" s="1073">
        <v>6249</v>
      </c>
      <c r="R117" s="1300">
        <v>6270</v>
      </c>
      <c r="S117" s="1660">
        <f>'Non-marital births'!D124</f>
        <v>6101</v>
      </c>
      <c r="T117" s="1663">
        <v>6088</v>
      </c>
      <c r="U117" s="1664">
        <v>6101</v>
      </c>
      <c r="V117" s="1531"/>
      <c r="W117" s="1080">
        <v>1644</v>
      </c>
      <c r="X117" s="1081">
        <v>1644</v>
      </c>
      <c r="Y117" s="1081">
        <v>1750</v>
      </c>
      <c r="Z117" s="1081">
        <v>1808</v>
      </c>
      <c r="AA117" s="1081">
        <v>1790</v>
      </c>
      <c r="AB117" s="1081">
        <v>1762</v>
      </c>
      <c r="AC117" s="1081">
        <v>1886</v>
      </c>
      <c r="AD117" s="1081">
        <v>1820</v>
      </c>
      <c r="AE117" s="1081">
        <v>2001</v>
      </c>
      <c r="AF117" s="1081">
        <v>1983</v>
      </c>
      <c r="AG117" s="1081">
        <v>2018</v>
      </c>
      <c r="AH117" s="1081">
        <v>2077</v>
      </c>
      <c r="AI117" s="1081">
        <v>1955</v>
      </c>
      <c r="AJ117" s="1081">
        <v>1934</v>
      </c>
      <c r="AK117" s="1303">
        <v>2021</v>
      </c>
      <c r="AL117" s="1665">
        <f>'Non-marital births'!H124</f>
        <v>1844</v>
      </c>
      <c r="AM117" s="1666">
        <v>1836</v>
      </c>
      <c r="AN117" s="1667">
        <v>1844</v>
      </c>
      <c r="AO117" s="1532"/>
      <c r="AP117" s="1088">
        <f t="shared" si="62"/>
        <v>0.25836869401225837</v>
      </c>
      <c r="AQ117" s="1089">
        <f t="shared" si="48"/>
        <v>0.26511852926947266</v>
      </c>
      <c r="AR117" s="1089">
        <f t="shared" si="49"/>
        <v>0.2711076684740511</v>
      </c>
      <c r="AS117" s="1089">
        <f t="shared" si="50"/>
        <v>0.29288838490199254</v>
      </c>
      <c r="AT117" s="1089">
        <f t="shared" si="51"/>
        <v>0.287135065768367</v>
      </c>
      <c r="AU117" s="1089">
        <f t="shared" si="52"/>
        <v>0.27660910518053378</v>
      </c>
      <c r="AV117" s="1089">
        <f t="shared" si="53"/>
        <v>0.28297074268567141</v>
      </c>
      <c r="AW117" s="1089">
        <f t="shared" si="54"/>
        <v>0.28517706048260733</v>
      </c>
      <c r="AX117" s="1089">
        <f t="shared" si="55"/>
        <v>0.30470534490634993</v>
      </c>
      <c r="AY117" s="1089">
        <f t="shared" si="56"/>
        <v>0.30446798710271766</v>
      </c>
      <c r="AZ117" s="1089">
        <f t="shared" si="57"/>
        <v>0.3182463333859013</v>
      </c>
      <c r="BA117" s="1089">
        <f t="shared" si="58"/>
        <v>0.32843137254901961</v>
      </c>
      <c r="BB117" s="1089">
        <f t="shared" si="59"/>
        <v>0.31824841282760868</v>
      </c>
      <c r="BC117" s="1089">
        <f t="shared" si="60"/>
        <v>0.30948951832293164</v>
      </c>
      <c r="BD117" s="1296">
        <f t="shared" si="61"/>
        <v>0.32232854864433813</v>
      </c>
      <c r="BE117" s="1298">
        <f>'Non-marital births'!L124</f>
        <v>0.30224553351909522</v>
      </c>
      <c r="BF117" s="1654">
        <v>0.30157687253613669</v>
      </c>
      <c r="BG117" s="1656">
        <f t="shared" si="47"/>
        <v>0.30224553351909522</v>
      </c>
    </row>
    <row r="118" spans="1:59" s="142" customFormat="1" ht="15.75" customHeight="1" x14ac:dyDescent="0.2">
      <c r="A118" s="149" t="s">
        <v>232</v>
      </c>
      <c r="B118" s="186" t="s">
        <v>233</v>
      </c>
      <c r="C118" s="150" t="s">
        <v>267</v>
      </c>
      <c r="D118" s="1057">
        <v>399</v>
      </c>
      <c r="E118" s="1058">
        <v>442</v>
      </c>
      <c r="F118" s="1059">
        <v>426</v>
      </c>
      <c r="G118" s="1058">
        <v>425</v>
      </c>
      <c r="H118" s="1059">
        <v>437</v>
      </c>
      <c r="I118" s="1058">
        <v>481</v>
      </c>
      <c r="J118" s="1059">
        <v>445</v>
      </c>
      <c r="K118" s="1058">
        <v>508</v>
      </c>
      <c r="L118" s="1072">
        <v>520</v>
      </c>
      <c r="M118" s="1072">
        <v>522</v>
      </c>
      <c r="N118" s="1072">
        <v>505</v>
      </c>
      <c r="O118" s="1072">
        <v>454</v>
      </c>
      <c r="P118" s="1073">
        <v>430</v>
      </c>
      <c r="Q118" s="1073">
        <v>432</v>
      </c>
      <c r="R118" s="1300">
        <v>460</v>
      </c>
      <c r="S118" s="1660">
        <f>'Non-marital births'!D96</f>
        <v>453</v>
      </c>
      <c r="T118" s="1663">
        <v>495</v>
      </c>
      <c r="U118" s="1664">
        <v>453</v>
      </c>
      <c r="V118" s="1531"/>
      <c r="W118" s="1080">
        <v>119</v>
      </c>
      <c r="X118" s="1081">
        <v>125</v>
      </c>
      <c r="Y118" s="1081">
        <v>141</v>
      </c>
      <c r="Z118" s="1081">
        <v>142</v>
      </c>
      <c r="AA118" s="1081">
        <v>157</v>
      </c>
      <c r="AB118" s="1081">
        <v>157</v>
      </c>
      <c r="AC118" s="1081">
        <v>140</v>
      </c>
      <c r="AD118" s="1081">
        <v>173</v>
      </c>
      <c r="AE118" s="1081">
        <v>196</v>
      </c>
      <c r="AF118" s="1081">
        <v>205</v>
      </c>
      <c r="AG118" s="1081">
        <v>197</v>
      </c>
      <c r="AH118" s="1081">
        <v>185</v>
      </c>
      <c r="AI118" s="1081">
        <v>163</v>
      </c>
      <c r="AJ118" s="1081">
        <v>189</v>
      </c>
      <c r="AK118" s="1303">
        <v>191</v>
      </c>
      <c r="AL118" s="1665">
        <f>'Non-marital births'!H96</f>
        <v>187</v>
      </c>
      <c r="AM118" s="1666">
        <v>210</v>
      </c>
      <c r="AN118" s="1667">
        <v>187</v>
      </c>
      <c r="AO118" s="1532"/>
      <c r="AP118" s="1088">
        <f t="shared" si="62"/>
        <v>0.2982456140350877</v>
      </c>
      <c r="AQ118" s="1089">
        <f t="shared" si="48"/>
        <v>0.28280542986425339</v>
      </c>
      <c r="AR118" s="1089">
        <f t="shared" si="49"/>
        <v>0.33098591549295775</v>
      </c>
      <c r="AS118" s="1089">
        <f t="shared" si="50"/>
        <v>0.33411764705882352</v>
      </c>
      <c r="AT118" s="1089">
        <f t="shared" si="51"/>
        <v>0.35926773455377575</v>
      </c>
      <c r="AU118" s="1089">
        <f t="shared" si="52"/>
        <v>0.32640332640332642</v>
      </c>
      <c r="AV118" s="1089">
        <f t="shared" si="53"/>
        <v>0.3146067415730337</v>
      </c>
      <c r="AW118" s="1089">
        <f t="shared" si="54"/>
        <v>0.34055118110236221</v>
      </c>
      <c r="AX118" s="1089">
        <f t="shared" si="55"/>
        <v>0.37692307692307692</v>
      </c>
      <c r="AY118" s="1089">
        <f t="shared" si="56"/>
        <v>0.39272030651340994</v>
      </c>
      <c r="AZ118" s="1089">
        <f t="shared" si="57"/>
        <v>0.39009900990099011</v>
      </c>
      <c r="BA118" s="1089">
        <f t="shared" si="58"/>
        <v>0.40748898678414097</v>
      </c>
      <c r="BB118" s="1089">
        <f t="shared" si="59"/>
        <v>0.37906976744186044</v>
      </c>
      <c r="BC118" s="1089">
        <f t="shared" si="60"/>
        <v>0.4375</v>
      </c>
      <c r="BD118" s="1296">
        <f t="shared" si="61"/>
        <v>0.41521739130434782</v>
      </c>
      <c r="BE118" s="1298">
        <f>'Non-marital births'!L96</f>
        <v>0.41280353200883002</v>
      </c>
      <c r="BF118" s="1654">
        <v>0.42424242424242425</v>
      </c>
      <c r="BG118" s="1656">
        <f t="shared" si="47"/>
        <v>0.41280353200883002</v>
      </c>
    </row>
    <row r="119" spans="1:59" s="142" customFormat="1" ht="15.75" customHeight="1" x14ac:dyDescent="0.2">
      <c r="A119" s="149" t="s">
        <v>234</v>
      </c>
      <c r="B119" s="186" t="s">
        <v>235</v>
      </c>
      <c r="C119" s="150" t="s">
        <v>268</v>
      </c>
      <c r="D119" s="1057">
        <v>538</v>
      </c>
      <c r="E119" s="1058">
        <v>501</v>
      </c>
      <c r="F119" s="1059">
        <v>492</v>
      </c>
      <c r="G119" s="1058">
        <v>541</v>
      </c>
      <c r="H119" s="1059">
        <v>547</v>
      </c>
      <c r="I119" s="1058">
        <v>508</v>
      </c>
      <c r="J119" s="1059">
        <v>495</v>
      </c>
      <c r="K119" s="1058">
        <v>526</v>
      </c>
      <c r="L119" s="1072">
        <v>491</v>
      </c>
      <c r="M119" s="1072">
        <v>551</v>
      </c>
      <c r="N119" s="1072">
        <v>536</v>
      </c>
      <c r="O119" s="1072">
        <v>517</v>
      </c>
      <c r="P119" s="1073">
        <v>510</v>
      </c>
      <c r="Q119" s="1073">
        <v>539</v>
      </c>
      <c r="R119" s="1300">
        <v>513</v>
      </c>
      <c r="S119" s="1660">
        <f>'Non-marital births'!D97</f>
        <v>490</v>
      </c>
      <c r="T119" s="1663">
        <v>426</v>
      </c>
      <c r="U119" s="1664">
        <v>490</v>
      </c>
      <c r="V119" s="1531"/>
      <c r="W119" s="1080">
        <v>134</v>
      </c>
      <c r="X119" s="1081">
        <v>107</v>
      </c>
      <c r="Y119" s="1081">
        <v>107</v>
      </c>
      <c r="Z119" s="1081">
        <v>126</v>
      </c>
      <c r="AA119" s="1081">
        <v>136</v>
      </c>
      <c r="AB119" s="1081">
        <v>111</v>
      </c>
      <c r="AC119" s="1081">
        <v>127</v>
      </c>
      <c r="AD119" s="1081">
        <v>155</v>
      </c>
      <c r="AE119" s="1081">
        <v>147</v>
      </c>
      <c r="AF119" s="1081">
        <v>183</v>
      </c>
      <c r="AG119" s="1081">
        <v>175</v>
      </c>
      <c r="AH119" s="1081">
        <v>175</v>
      </c>
      <c r="AI119" s="1081">
        <v>164</v>
      </c>
      <c r="AJ119" s="1081">
        <v>197</v>
      </c>
      <c r="AK119" s="1303">
        <v>186</v>
      </c>
      <c r="AL119" s="1665">
        <f>'Non-marital births'!H97</f>
        <v>176</v>
      </c>
      <c r="AM119" s="1666">
        <v>148</v>
      </c>
      <c r="AN119" s="1667">
        <v>176</v>
      </c>
      <c r="AO119" s="1532"/>
      <c r="AP119" s="1088">
        <f t="shared" si="62"/>
        <v>0.24907063197026022</v>
      </c>
      <c r="AQ119" s="1089">
        <f t="shared" si="48"/>
        <v>0.21357285429141717</v>
      </c>
      <c r="AR119" s="1089">
        <f t="shared" si="49"/>
        <v>0.21747967479674796</v>
      </c>
      <c r="AS119" s="1089">
        <f t="shared" si="50"/>
        <v>0.23290203327171904</v>
      </c>
      <c r="AT119" s="1089">
        <f t="shared" si="51"/>
        <v>0.24862888482632542</v>
      </c>
      <c r="AU119" s="1089">
        <f t="shared" si="52"/>
        <v>0.21850393700787402</v>
      </c>
      <c r="AV119" s="1089">
        <f t="shared" si="53"/>
        <v>0.25656565656565655</v>
      </c>
      <c r="AW119" s="1089">
        <f t="shared" si="54"/>
        <v>0.29467680608365021</v>
      </c>
      <c r="AX119" s="1089">
        <f t="shared" si="55"/>
        <v>0.29938900203665986</v>
      </c>
      <c r="AY119" s="1089">
        <f t="shared" si="56"/>
        <v>0.33212341197822143</v>
      </c>
      <c r="AZ119" s="1089">
        <f t="shared" si="57"/>
        <v>0.32649253731343286</v>
      </c>
      <c r="BA119" s="1089">
        <f t="shared" si="58"/>
        <v>0.33849129593810445</v>
      </c>
      <c r="BB119" s="1089">
        <f t="shared" si="59"/>
        <v>0.32156862745098042</v>
      </c>
      <c r="BC119" s="1089">
        <f t="shared" si="60"/>
        <v>0.36549165120593691</v>
      </c>
      <c r="BD119" s="1296">
        <f t="shared" si="61"/>
        <v>0.36257309941520466</v>
      </c>
      <c r="BE119" s="1298">
        <f>'Non-marital births'!L97</f>
        <v>0.35918367346938773</v>
      </c>
      <c r="BF119" s="1654">
        <v>0.34741784037558687</v>
      </c>
      <c r="BG119" s="1656">
        <f t="shared" si="47"/>
        <v>0.35918367346938773</v>
      </c>
    </row>
    <row r="120" spans="1:59" s="142" customFormat="1" ht="15.75" customHeight="1" x14ac:dyDescent="0.2">
      <c r="A120" s="149" t="s">
        <v>236</v>
      </c>
      <c r="B120" s="186" t="s">
        <v>237</v>
      </c>
      <c r="C120" s="150" t="s">
        <v>266</v>
      </c>
      <c r="D120" s="1057">
        <v>204</v>
      </c>
      <c r="E120" s="1058">
        <v>201</v>
      </c>
      <c r="F120" s="1059">
        <v>168</v>
      </c>
      <c r="G120" s="1058">
        <v>184</v>
      </c>
      <c r="H120" s="1059">
        <v>204</v>
      </c>
      <c r="I120" s="1058">
        <v>173</v>
      </c>
      <c r="J120" s="1059">
        <v>179</v>
      </c>
      <c r="K120" s="1058">
        <v>183</v>
      </c>
      <c r="L120" s="1072">
        <v>188</v>
      </c>
      <c r="M120" s="1072">
        <v>207</v>
      </c>
      <c r="N120" s="1072">
        <v>194</v>
      </c>
      <c r="O120" s="1072">
        <v>193</v>
      </c>
      <c r="P120" s="1073">
        <v>181</v>
      </c>
      <c r="Q120" s="1073">
        <v>184</v>
      </c>
      <c r="R120" s="1300">
        <v>192</v>
      </c>
      <c r="S120" s="1660">
        <f>'Non-marital births'!D98</f>
        <v>197</v>
      </c>
      <c r="T120" s="1663">
        <v>164</v>
      </c>
      <c r="U120" s="1664">
        <v>197</v>
      </c>
      <c r="V120" s="1531"/>
      <c r="W120" s="1080">
        <v>98</v>
      </c>
      <c r="X120" s="1081">
        <v>107</v>
      </c>
      <c r="Y120" s="1081">
        <v>92</v>
      </c>
      <c r="Z120" s="1081">
        <v>94</v>
      </c>
      <c r="AA120" s="1081">
        <v>108</v>
      </c>
      <c r="AB120" s="1081">
        <v>84</v>
      </c>
      <c r="AC120" s="1081">
        <v>96</v>
      </c>
      <c r="AD120" s="1081">
        <v>102</v>
      </c>
      <c r="AE120" s="1081">
        <v>96</v>
      </c>
      <c r="AF120" s="1081">
        <v>110</v>
      </c>
      <c r="AG120" s="1081">
        <v>103</v>
      </c>
      <c r="AH120" s="1081">
        <v>124</v>
      </c>
      <c r="AI120" s="1081">
        <v>100</v>
      </c>
      <c r="AJ120" s="1081">
        <v>93</v>
      </c>
      <c r="AK120" s="1303">
        <v>100</v>
      </c>
      <c r="AL120" s="1665">
        <f>'Non-marital births'!H98</f>
        <v>96</v>
      </c>
      <c r="AM120" s="1666">
        <v>88</v>
      </c>
      <c r="AN120" s="1667">
        <v>96</v>
      </c>
      <c r="AO120" s="1532"/>
      <c r="AP120" s="1088">
        <f t="shared" si="62"/>
        <v>0.48039215686274511</v>
      </c>
      <c r="AQ120" s="1089">
        <f t="shared" si="48"/>
        <v>0.53233830845771146</v>
      </c>
      <c r="AR120" s="1089">
        <f t="shared" si="49"/>
        <v>0.54761904761904767</v>
      </c>
      <c r="AS120" s="1089">
        <f t="shared" si="50"/>
        <v>0.51086956521739135</v>
      </c>
      <c r="AT120" s="1089">
        <f t="shared" si="51"/>
        <v>0.52941176470588236</v>
      </c>
      <c r="AU120" s="1089">
        <f t="shared" si="52"/>
        <v>0.48554913294797686</v>
      </c>
      <c r="AV120" s="1089">
        <f t="shared" si="53"/>
        <v>0.53631284916201116</v>
      </c>
      <c r="AW120" s="1089">
        <f t="shared" si="54"/>
        <v>0.55737704918032782</v>
      </c>
      <c r="AX120" s="1089">
        <f t="shared" si="55"/>
        <v>0.51063829787234039</v>
      </c>
      <c r="AY120" s="1089">
        <f t="shared" si="56"/>
        <v>0.53140096618357491</v>
      </c>
      <c r="AZ120" s="1089">
        <f t="shared" si="57"/>
        <v>0.53092783505154639</v>
      </c>
      <c r="BA120" s="1089">
        <f t="shared" si="58"/>
        <v>0.6424870466321243</v>
      </c>
      <c r="BB120" s="1089">
        <f t="shared" si="59"/>
        <v>0.5524861878453039</v>
      </c>
      <c r="BC120" s="1089">
        <f t="shared" si="60"/>
        <v>0.50543478260869568</v>
      </c>
      <c r="BD120" s="1296">
        <f t="shared" si="61"/>
        <v>0.52083333333333337</v>
      </c>
      <c r="BE120" s="1298">
        <f>'Non-marital births'!L98</f>
        <v>0.48730964467005078</v>
      </c>
      <c r="BF120" s="1654">
        <v>0.53658536585365857</v>
      </c>
      <c r="BG120" s="1656">
        <f t="shared" si="47"/>
        <v>0.48730964467005078</v>
      </c>
    </row>
    <row r="121" spans="1:59" s="142" customFormat="1" ht="15.75" customHeight="1" x14ac:dyDescent="0.2">
      <c r="A121" s="149" t="s">
        <v>238</v>
      </c>
      <c r="B121" s="186" t="s">
        <v>239</v>
      </c>
      <c r="C121" s="150" t="s">
        <v>264</v>
      </c>
      <c r="D121" s="1057">
        <v>144</v>
      </c>
      <c r="E121" s="1058">
        <v>72</v>
      </c>
      <c r="F121" s="1059">
        <v>59</v>
      </c>
      <c r="G121" s="1058">
        <v>96</v>
      </c>
      <c r="H121" s="1059">
        <v>129</v>
      </c>
      <c r="I121" s="1058">
        <v>188</v>
      </c>
      <c r="J121" s="1059">
        <v>172</v>
      </c>
      <c r="K121" s="1058">
        <v>233</v>
      </c>
      <c r="L121" s="1072">
        <v>192</v>
      </c>
      <c r="M121" s="1072">
        <v>161</v>
      </c>
      <c r="N121" s="1072">
        <v>186</v>
      </c>
      <c r="O121" s="1072">
        <v>142</v>
      </c>
      <c r="P121" s="1073">
        <v>86</v>
      </c>
      <c r="Q121" s="1073">
        <v>80</v>
      </c>
      <c r="R121" s="1300">
        <v>91</v>
      </c>
      <c r="S121" s="1660">
        <f>'Non-marital births'!D125</f>
        <v>97</v>
      </c>
      <c r="T121" s="1663">
        <v>87</v>
      </c>
      <c r="U121" s="1664">
        <v>97</v>
      </c>
      <c r="V121" s="1531"/>
      <c r="W121" s="1080">
        <v>50</v>
      </c>
      <c r="X121" s="1081">
        <v>26</v>
      </c>
      <c r="Y121" s="1081">
        <v>18</v>
      </c>
      <c r="Z121" s="1081">
        <v>29</v>
      </c>
      <c r="AA121" s="1081">
        <v>35</v>
      </c>
      <c r="AB121" s="1081">
        <v>70</v>
      </c>
      <c r="AC121" s="1081">
        <v>48</v>
      </c>
      <c r="AD121" s="1081">
        <v>75</v>
      </c>
      <c r="AE121" s="1081">
        <v>72</v>
      </c>
      <c r="AF121" s="1081">
        <v>61</v>
      </c>
      <c r="AG121" s="1081">
        <v>70</v>
      </c>
      <c r="AH121" s="1081">
        <v>58</v>
      </c>
      <c r="AI121" s="1081">
        <v>32</v>
      </c>
      <c r="AJ121" s="1081">
        <v>31</v>
      </c>
      <c r="AK121" s="1303">
        <v>38</v>
      </c>
      <c r="AL121" s="1665">
        <f>'Non-marital births'!H125</f>
        <v>50</v>
      </c>
      <c r="AM121" s="1666">
        <v>34</v>
      </c>
      <c r="AN121" s="1667">
        <v>50</v>
      </c>
      <c r="AO121" s="1532"/>
      <c r="AP121" s="1088">
        <f t="shared" si="62"/>
        <v>0.34722222222222221</v>
      </c>
      <c r="AQ121" s="1089">
        <f t="shared" si="48"/>
        <v>0.3611111111111111</v>
      </c>
      <c r="AR121" s="1089">
        <f t="shared" si="49"/>
        <v>0.30508474576271188</v>
      </c>
      <c r="AS121" s="1089">
        <f t="shared" si="50"/>
        <v>0.30208333333333331</v>
      </c>
      <c r="AT121" s="1089">
        <f t="shared" si="51"/>
        <v>0.27131782945736432</v>
      </c>
      <c r="AU121" s="1089">
        <f t="shared" si="52"/>
        <v>0.37234042553191488</v>
      </c>
      <c r="AV121" s="1089">
        <f t="shared" si="53"/>
        <v>0.27906976744186046</v>
      </c>
      <c r="AW121" s="1089">
        <f t="shared" si="54"/>
        <v>0.32188841201716739</v>
      </c>
      <c r="AX121" s="1089">
        <f t="shared" si="55"/>
        <v>0.375</v>
      </c>
      <c r="AY121" s="1089">
        <f t="shared" si="56"/>
        <v>0.37888198757763975</v>
      </c>
      <c r="AZ121" s="1089">
        <f t="shared" si="57"/>
        <v>0.37634408602150538</v>
      </c>
      <c r="BA121" s="1089">
        <f t="shared" si="58"/>
        <v>0.40845070422535212</v>
      </c>
      <c r="BB121" s="1089">
        <f t="shared" si="59"/>
        <v>0.37209302325581395</v>
      </c>
      <c r="BC121" s="1089">
        <f t="shared" si="60"/>
        <v>0.38750000000000001</v>
      </c>
      <c r="BD121" s="1296">
        <f t="shared" si="61"/>
        <v>0.4175824175824176</v>
      </c>
      <c r="BE121" s="1298">
        <f>'Non-marital births'!L125</f>
        <v>0.51546391752577314</v>
      </c>
      <c r="BF121" s="1654">
        <v>0.39080459770114945</v>
      </c>
      <c r="BG121" s="1656">
        <f t="shared" si="47"/>
        <v>0.51546391752577314</v>
      </c>
    </row>
    <row r="122" spans="1:59" s="142" customFormat="1" ht="15.75" customHeight="1" x14ac:dyDescent="0.2">
      <c r="A122" s="149" t="s">
        <v>240</v>
      </c>
      <c r="B122" s="186" t="s">
        <v>241</v>
      </c>
      <c r="C122" s="150" t="s">
        <v>267</v>
      </c>
      <c r="D122" s="1057">
        <v>312</v>
      </c>
      <c r="E122" s="1058">
        <v>313</v>
      </c>
      <c r="F122" s="1059">
        <v>335</v>
      </c>
      <c r="G122" s="1058">
        <v>373</v>
      </c>
      <c r="H122" s="1059">
        <v>348</v>
      </c>
      <c r="I122" s="1058">
        <v>398</v>
      </c>
      <c r="J122" s="1059">
        <v>413</v>
      </c>
      <c r="K122" s="1058">
        <v>435</v>
      </c>
      <c r="L122" s="1072">
        <v>434</v>
      </c>
      <c r="M122" s="1072">
        <v>495</v>
      </c>
      <c r="N122" s="1072">
        <v>404</v>
      </c>
      <c r="O122" s="1072">
        <v>392</v>
      </c>
      <c r="P122" s="1073">
        <v>446</v>
      </c>
      <c r="Q122" s="1073">
        <v>404</v>
      </c>
      <c r="R122" s="1300">
        <v>403</v>
      </c>
      <c r="S122" s="1660">
        <f>'Non-marital births'!D126</f>
        <v>375</v>
      </c>
      <c r="T122" s="1663">
        <v>423</v>
      </c>
      <c r="U122" s="1664">
        <v>375</v>
      </c>
      <c r="V122" s="1531"/>
      <c r="W122" s="1080">
        <v>125</v>
      </c>
      <c r="X122" s="1081">
        <v>134</v>
      </c>
      <c r="Y122" s="1081">
        <v>132</v>
      </c>
      <c r="Z122" s="1081">
        <v>143</v>
      </c>
      <c r="AA122" s="1081">
        <v>173</v>
      </c>
      <c r="AB122" s="1081">
        <v>174</v>
      </c>
      <c r="AC122" s="1081">
        <v>198</v>
      </c>
      <c r="AD122" s="1081">
        <v>208</v>
      </c>
      <c r="AE122" s="1081">
        <v>217</v>
      </c>
      <c r="AF122" s="1081">
        <v>274</v>
      </c>
      <c r="AG122" s="1081">
        <v>212</v>
      </c>
      <c r="AH122" s="1081">
        <v>208</v>
      </c>
      <c r="AI122" s="1081">
        <v>241</v>
      </c>
      <c r="AJ122" s="1081">
        <v>194</v>
      </c>
      <c r="AK122" s="1303">
        <v>200</v>
      </c>
      <c r="AL122" s="1665">
        <f>'Non-marital births'!H126</f>
        <v>190</v>
      </c>
      <c r="AM122" s="1666">
        <v>214</v>
      </c>
      <c r="AN122" s="1667">
        <v>190</v>
      </c>
      <c r="AO122" s="1532"/>
      <c r="AP122" s="1088">
        <f t="shared" si="62"/>
        <v>0.40064102564102566</v>
      </c>
      <c r="AQ122" s="1089">
        <f t="shared" si="48"/>
        <v>0.4281150159744409</v>
      </c>
      <c r="AR122" s="1089">
        <f t="shared" si="49"/>
        <v>0.39402985074626867</v>
      </c>
      <c r="AS122" s="1089">
        <f t="shared" si="50"/>
        <v>0.38337801608579086</v>
      </c>
      <c r="AT122" s="1089">
        <f t="shared" si="51"/>
        <v>0.49712643678160917</v>
      </c>
      <c r="AU122" s="1089">
        <f t="shared" si="52"/>
        <v>0.43718592964824121</v>
      </c>
      <c r="AV122" s="1089">
        <f t="shared" si="53"/>
        <v>0.47941888619854722</v>
      </c>
      <c r="AW122" s="1089">
        <f t="shared" si="54"/>
        <v>0.47816091954022988</v>
      </c>
      <c r="AX122" s="1089">
        <f t="shared" si="55"/>
        <v>0.5</v>
      </c>
      <c r="AY122" s="1089">
        <f t="shared" si="56"/>
        <v>0.55353535353535355</v>
      </c>
      <c r="AZ122" s="1089">
        <f t="shared" si="57"/>
        <v>0.52475247524752477</v>
      </c>
      <c r="BA122" s="1089">
        <f t="shared" si="58"/>
        <v>0.53061224489795922</v>
      </c>
      <c r="BB122" s="1089">
        <f t="shared" si="59"/>
        <v>0.54035874439461884</v>
      </c>
      <c r="BC122" s="1089">
        <f t="shared" si="60"/>
        <v>0.48019801980198018</v>
      </c>
      <c r="BD122" s="1296">
        <f t="shared" si="61"/>
        <v>0.49627791563275436</v>
      </c>
      <c r="BE122" s="1298">
        <f>'Non-marital births'!L126</f>
        <v>0.50666666666666671</v>
      </c>
      <c r="BF122" s="1654">
        <v>0.50591016548463352</v>
      </c>
      <c r="BG122" s="1656">
        <f t="shared" si="47"/>
        <v>0.50666666666666671</v>
      </c>
    </row>
    <row r="123" spans="1:59" s="142" customFormat="1" ht="15.75" customHeight="1" x14ac:dyDescent="0.2">
      <c r="A123" s="149" t="s">
        <v>242</v>
      </c>
      <c r="B123" s="186" t="s">
        <v>243</v>
      </c>
      <c r="C123" s="150" t="s">
        <v>268</v>
      </c>
      <c r="D123" s="1057">
        <v>559</v>
      </c>
      <c r="E123" s="1058">
        <v>485</v>
      </c>
      <c r="F123" s="1059">
        <v>510</v>
      </c>
      <c r="G123" s="1058">
        <v>504</v>
      </c>
      <c r="H123" s="1059">
        <v>504</v>
      </c>
      <c r="I123" s="1058">
        <v>489</v>
      </c>
      <c r="J123" s="1059">
        <v>502</v>
      </c>
      <c r="K123" s="1058">
        <v>464</v>
      </c>
      <c r="L123" s="1072">
        <v>481</v>
      </c>
      <c r="M123" s="1072">
        <v>498</v>
      </c>
      <c r="N123" s="1072">
        <v>498</v>
      </c>
      <c r="O123" s="1072">
        <v>524</v>
      </c>
      <c r="P123" s="1073">
        <v>457</v>
      </c>
      <c r="Q123" s="1073">
        <v>396</v>
      </c>
      <c r="R123" s="1300">
        <v>419</v>
      </c>
      <c r="S123" s="1660">
        <f>'Non-marital births'!D99</f>
        <v>379</v>
      </c>
      <c r="T123" s="1663">
        <v>406</v>
      </c>
      <c r="U123" s="1664">
        <v>379</v>
      </c>
      <c r="V123" s="1531"/>
      <c r="W123" s="1080">
        <v>173</v>
      </c>
      <c r="X123" s="1081">
        <v>141</v>
      </c>
      <c r="Y123" s="1081">
        <v>152</v>
      </c>
      <c r="Z123" s="1081">
        <v>153</v>
      </c>
      <c r="AA123" s="1081">
        <v>163</v>
      </c>
      <c r="AB123" s="1081">
        <v>158</v>
      </c>
      <c r="AC123" s="1081">
        <v>174</v>
      </c>
      <c r="AD123" s="1081">
        <v>169</v>
      </c>
      <c r="AE123" s="1081">
        <v>164</v>
      </c>
      <c r="AF123" s="1081">
        <v>190</v>
      </c>
      <c r="AG123" s="1081">
        <v>184</v>
      </c>
      <c r="AH123" s="1081">
        <v>204</v>
      </c>
      <c r="AI123" s="1081">
        <v>211</v>
      </c>
      <c r="AJ123" s="1081">
        <v>159</v>
      </c>
      <c r="AK123" s="1303">
        <v>183</v>
      </c>
      <c r="AL123" s="1665">
        <f>'Non-marital births'!H99</f>
        <v>181</v>
      </c>
      <c r="AM123" s="1666">
        <v>203</v>
      </c>
      <c r="AN123" s="1667">
        <v>181</v>
      </c>
      <c r="AO123" s="1532"/>
      <c r="AP123" s="1088">
        <f t="shared" si="62"/>
        <v>0.30948121645796062</v>
      </c>
      <c r="AQ123" s="1089">
        <f t="shared" si="48"/>
        <v>0.2907216494845361</v>
      </c>
      <c r="AR123" s="1089">
        <f t="shared" si="49"/>
        <v>0.29803921568627451</v>
      </c>
      <c r="AS123" s="1089">
        <f t="shared" si="50"/>
        <v>0.30357142857142855</v>
      </c>
      <c r="AT123" s="1089">
        <f t="shared" si="51"/>
        <v>0.32341269841269843</v>
      </c>
      <c r="AU123" s="1089">
        <f t="shared" si="52"/>
        <v>0.32310838445807771</v>
      </c>
      <c r="AV123" s="1089">
        <f t="shared" si="53"/>
        <v>0.34661354581673309</v>
      </c>
      <c r="AW123" s="1089">
        <f t="shared" si="54"/>
        <v>0.36422413793103448</v>
      </c>
      <c r="AX123" s="1089">
        <f t="shared" si="55"/>
        <v>0.34095634095634098</v>
      </c>
      <c r="AY123" s="1089">
        <f t="shared" si="56"/>
        <v>0.38152610441767071</v>
      </c>
      <c r="AZ123" s="1089">
        <f t="shared" si="57"/>
        <v>0.36947791164658633</v>
      </c>
      <c r="BA123" s="1089">
        <f t="shared" si="58"/>
        <v>0.38931297709923662</v>
      </c>
      <c r="BB123" s="1089">
        <f t="shared" si="59"/>
        <v>0.46170678336980309</v>
      </c>
      <c r="BC123" s="1089">
        <f t="shared" si="60"/>
        <v>0.40151515151515149</v>
      </c>
      <c r="BD123" s="1296">
        <f t="shared" si="61"/>
        <v>0.43675417661097854</v>
      </c>
      <c r="BE123" s="1298">
        <f>'Non-marital births'!L99</f>
        <v>0.47757255936675463</v>
      </c>
      <c r="BF123" s="1654">
        <v>0.5</v>
      </c>
      <c r="BG123" s="1656">
        <f t="shared" si="47"/>
        <v>0.47757255936675463</v>
      </c>
    </row>
    <row r="124" spans="1:59" s="142" customFormat="1" ht="15.75" customHeight="1" x14ac:dyDescent="0.2">
      <c r="A124" s="149" t="s">
        <v>244</v>
      </c>
      <c r="B124" s="186" t="s">
        <v>245</v>
      </c>
      <c r="C124" s="150" t="s">
        <v>268</v>
      </c>
      <c r="D124" s="1057">
        <v>276</v>
      </c>
      <c r="E124" s="1058">
        <v>340</v>
      </c>
      <c r="F124" s="1059">
        <v>336</v>
      </c>
      <c r="G124" s="1058">
        <v>315</v>
      </c>
      <c r="H124" s="1059">
        <v>325</v>
      </c>
      <c r="I124" s="1058">
        <v>333</v>
      </c>
      <c r="J124" s="1059">
        <v>332</v>
      </c>
      <c r="K124" s="1058">
        <v>328</v>
      </c>
      <c r="L124" s="1072">
        <v>333</v>
      </c>
      <c r="M124" s="1072">
        <v>321</v>
      </c>
      <c r="N124" s="1072">
        <v>290</v>
      </c>
      <c r="O124" s="1072">
        <v>278</v>
      </c>
      <c r="P124" s="1073">
        <v>281</v>
      </c>
      <c r="Q124" s="1073">
        <v>310</v>
      </c>
      <c r="R124" s="1300">
        <v>293</v>
      </c>
      <c r="S124" s="1660">
        <f>'Non-marital births'!D100</f>
        <v>278</v>
      </c>
      <c r="T124" s="1663">
        <v>312</v>
      </c>
      <c r="U124" s="1664">
        <v>278</v>
      </c>
      <c r="V124" s="1531"/>
      <c r="W124" s="1080">
        <v>74</v>
      </c>
      <c r="X124" s="1081">
        <v>78</v>
      </c>
      <c r="Y124" s="1081">
        <v>74</v>
      </c>
      <c r="Z124" s="1081">
        <v>84</v>
      </c>
      <c r="AA124" s="1081">
        <v>89</v>
      </c>
      <c r="AB124" s="1081">
        <v>95</v>
      </c>
      <c r="AC124" s="1081">
        <v>106</v>
      </c>
      <c r="AD124" s="1081">
        <v>98</v>
      </c>
      <c r="AE124" s="1081">
        <v>108</v>
      </c>
      <c r="AF124" s="1081">
        <v>113</v>
      </c>
      <c r="AG124" s="1081">
        <v>112</v>
      </c>
      <c r="AH124" s="1081">
        <v>105</v>
      </c>
      <c r="AI124" s="1081">
        <v>96</v>
      </c>
      <c r="AJ124" s="1081">
        <v>127</v>
      </c>
      <c r="AK124" s="1303">
        <v>134</v>
      </c>
      <c r="AL124" s="1665">
        <f>'Non-marital births'!H100</f>
        <v>118</v>
      </c>
      <c r="AM124" s="1666">
        <v>142</v>
      </c>
      <c r="AN124" s="1667">
        <v>118</v>
      </c>
      <c r="AO124" s="1532"/>
      <c r="AP124" s="1088">
        <f t="shared" si="62"/>
        <v>0.26811594202898553</v>
      </c>
      <c r="AQ124" s="1089">
        <f t="shared" si="48"/>
        <v>0.22941176470588234</v>
      </c>
      <c r="AR124" s="1089">
        <f t="shared" si="49"/>
        <v>0.22023809523809523</v>
      </c>
      <c r="AS124" s="1089">
        <f t="shared" si="50"/>
        <v>0.26666666666666666</v>
      </c>
      <c r="AT124" s="1089">
        <f t="shared" si="51"/>
        <v>0.27384615384615385</v>
      </c>
      <c r="AU124" s="1089">
        <f t="shared" si="52"/>
        <v>0.28528528528528529</v>
      </c>
      <c r="AV124" s="1089">
        <f t="shared" si="53"/>
        <v>0.31927710843373491</v>
      </c>
      <c r="AW124" s="1089">
        <f t="shared" si="54"/>
        <v>0.29878048780487804</v>
      </c>
      <c r="AX124" s="1089">
        <f t="shared" si="55"/>
        <v>0.32432432432432434</v>
      </c>
      <c r="AY124" s="1089">
        <f t="shared" si="56"/>
        <v>0.35202492211838005</v>
      </c>
      <c r="AZ124" s="1089">
        <f t="shared" si="57"/>
        <v>0.38620689655172413</v>
      </c>
      <c r="BA124" s="1089">
        <f t="shared" si="58"/>
        <v>0.37769784172661869</v>
      </c>
      <c r="BB124" s="1089">
        <f t="shared" si="59"/>
        <v>0.34163701067615659</v>
      </c>
      <c r="BC124" s="1089">
        <f t="shared" si="60"/>
        <v>0.4096774193548387</v>
      </c>
      <c r="BD124" s="1296">
        <f t="shared" si="61"/>
        <v>0.45733788395904434</v>
      </c>
      <c r="BE124" s="1298">
        <f>'Non-marital births'!L100</f>
        <v>0.42446043165467628</v>
      </c>
      <c r="BF124" s="1654">
        <v>0.45512820512820512</v>
      </c>
      <c r="BG124" s="1656">
        <f t="shared" si="47"/>
        <v>0.42446043165467628</v>
      </c>
    </row>
    <row r="125" spans="1:59" s="142" customFormat="1" ht="15.75" customHeight="1" x14ac:dyDescent="0.2">
      <c r="A125" s="155" t="s">
        <v>246</v>
      </c>
      <c r="B125" s="188" t="s">
        <v>247</v>
      </c>
      <c r="C125" s="156" t="s">
        <v>264</v>
      </c>
      <c r="D125" s="1060">
        <v>648</v>
      </c>
      <c r="E125" s="1061">
        <v>744</v>
      </c>
      <c r="F125" s="1062">
        <v>823</v>
      </c>
      <c r="G125" s="1061">
        <v>712</v>
      </c>
      <c r="H125" s="1062">
        <v>683</v>
      </c>
      <c r="I125" s="1061">
        <v>670</v>
      </c>
      <c r="J125" s="1062">
        <v>676</v>
      </c>
      <c r="K125" s="1061">
        <v>623</v>
      </c>
      <c r="L125" s="1074">
        <v>633</v>
      </c>
      <c r="M125" s="1074">
        <v>682</v>
      </c>
      <c r="N125" s="1074">
        <v>670</v>
      </c>
      <c r="O125" s="1074">
        <v>702</v>
      </c>
      <c r="P125" s="1073">
        <v>668</v>
      </c>
      <c r="Q125" s="1073">
        <v>678</v>
      </c>
      <c r="R125" s="1300">
        <v>658</v>
      </c>
      <c r="S125" s="1660">
        <f>'Non-marital births'!D101</f>
        <v>739</v>
      </c>
      <c r="T125" s="1663">
        <v>803</v>
      </c>
      <c r="U125" s="1664">
        <v>739</v>
      </c>
      <c r="V125" s="1531"/>
      <c r="W125" s="1080">
        <v>114</v>
      </c>
      <c r="X125" s="1081">
        <v>150</v>
      </c>
      <c r="Y125" s="1081">
        <v>176</v>
      </c>
      <c r="Z125" s="1081">
        <v>149</v>
      </c>
      <c r="AA125" s="1081">
        <v>120</v>
      </c>
      <c r="AB125" s="1081">
        <v>125</v>
      </c>
      <c r="AC125" s="1081">
        <v>145</v>
      </c>
      <c r="AD125" s="1081">
        <v>120</v>
      </c>
      <c r="AE125" s="1081">
        <v>143</v>
      </c>
      <c r="AF125" s="1081">
        <v>136</v>
      </c>
      <c r="AG125" s="1081">
        <v>162</v>
      </c>
      <c r="AH125" s="1081">
        <v>158</v>
      </c>
      <c r="AI125" s="1081">
        <v>140</v>
      </c>
      <c r="AJ125" s="1081">
        <v>163</v>
      </c>
      <c r="AK125" s="1303">
        <v>142</v>
      </c>
      <c r="AL125" s="1665">
        <f>'Non-marital births'!H101</f>
        <v>155</v>
      </c>
      <c r="AM125" s="1666">
        <v>175</v>
      </c>
      <c r="AN125" s="1667">
        <v>155</v>
      </c>
      <c r="AO125" s="1532"/>
      <c r="AP125" s="1088">
        <f t="shared" si="62"/>
        <v>0.17592592592592593</v>
      </c>
      <c r="AQ125" s="1089">
        <f t="shared" si="48"/>
        <v>0.20161290322580644</v>
      </c>
      <c r="AR125" s="1089">
        <f t="shared" si="49"/>
        <v>0.21385176184690158</v>
      </c>
      <c r="AS125" s="1089">
        <f t="shared" si="50"/>
        <v>0.20926966292134833</v>
      </c>
      <c r="AT125" s="1089">
        <f t="shared" si="51"/>
        <v>0.17569546120058566</v>
      </c>
      <c r="AU125" s="1089">
        <f t="shared" si="52"/>
        <v>0.18656716417910449</v>
      </c>
      <c r="AV125" s="1089">
        <f t="shared" si="53"/>
        <v>0.21449704142011836</v>
      </c>
      <c r="AW125" s="1089">
        <f t="shared" si="54"/>
        <v>0.1926163723916533</v>
      </c>
      <c r="AX125" s="1089">
        <f t="shared" si="55"/>
        <v>0.2259083728278041</v>
      </c>
      <c r="AY125" s="1089">
        <f t="shared" si="56"/>
        <v>0.19941348973607037</v>
      </c>
      <c r="AZ125" s="1089">
        <f t="shared" si="57"/>
        <v>0.2417910447761194</v>
      </c>
      <c r="BA125" s="1089">
        <f t="shared" si="58"/>
        <v>0.22507122507122507</v>
      </c>
      <c r="BB125" s="1089">
        <f t="shared" si="59"/>
        <v>0.20958083832335328</v>
      </c>
      <c r="BC125" s="1089">
        <f t="shared" si="60"/>
        <v>0.24041297935103245</v>
      </c>
      <c r="BD125" s="1296">
        <f t="shared" si="61"/>
        <v>0.21580547112462006</v>
      </c>
      <c r="BE125" s="1298">
        <f>'Non-marital births'!L101</f>
        <v>0.20974289580514208</v>
      </c>
      <c r="BF125" s="1654">
        <v>0.21793275217932753</v>
      </c>
      <c r="BG125" s="1656">
        <f t="shared" si="47"/>
        <v>0.20974289580514208</v>
      </c>
    </row>
    <row r="126" spans="1:59" s="142" customFormat="1" ht="15.75" customHeight="1" x14ac:dyDescent="0.2">
      <c r="A126" s="277"/>
      <c r="B126" s="233"/>
      <c r="C126" s="278"/>
      <c r="D126" s="152"/>
      <c r="E126" s="151"/>
      <c r="F126" s="152"/>
      <c r="G126" s="279"/>
      <c r="H126" s="152"/>
      <c r="I126" s="151"/>
      <c r="J126" s="152"/>
      <c r="K126" s="151"/>
      <c r="L126" s="280"/>
      <c r="M126" s="280"/>
      <c r="N126" s="280"/>
      <c r="O126" s="280"/>
    </row>
    <row r="127" spans="1:59" s="142" customFormat="1" ht="15.75" customHeight="1" x14ac:dyDescent="0.2">
      <c r="A127" s="277" t="s">
        <v>266</v>
      </c>
      <c r="B127" s="233"/>
      <c r="C127" s="278"/>
      <c r="D127" s="1093">
        <v>14861</v>
      </c>
      <c r="E127" s="1094">
        <v>14898</v>
      </c>
      <c r="F127" s="1095">
        <v>15254</v>
      </c>
      <c r="G127" s="1094">
        <v>15253</v>
      </c>
      <c r="H127" s="1095">
        <v>15425</v>
      </c>
      <c r="I127" s="1094">
        <v>15516</v>
      </c>
      <c r="J127" s="1095">
        <v>16039</v>
      </c>
      <c r="K127" s="1094">
        <v>16219</v>
      </c>
      <c r="L127" s="1066">
        <v>16766</v>
      </c>
      <c r="M127" s="1066">
        <v>17109</v>
      </c>
      <c r="N127" s="1066">
        <v>16642</v>
      </c>
      <c r="O127" s="1066">
        <v>16614</v>
      </c>
      <c r="P127" s="1081">
        <v>15936</v>
      </c>
      <c r="Q127" s="1081">
        <v>15784</v>
      </c>
      <c r="R127" s="1303">
        <v>15814</v>
      </c>
      <c r="S127" s="1665">
        <f>'Non-marital births'!D128</f>
        <v>16251</v>
      </c>
      <c r="T127" s="1666">
        <v>16111</v>
      </c>
      <c r="U127" s="1667">
        <v>16251</v>
      </c>
      <c r="V127" s="1532"/>
      <c r="W127" s="1080">
        <v>5447</v>
      </c>
      <c r="X127" s="1081">
        <v>5289</v>
      </c>
      <c r="Y127" s="1081">
        <v>5609</v>
      </c>
      <c r="Z127" s="1081">
        <v>5598</v>
      </c>
      <c r="AA127" s="1081">
        <v>5730</v>
      </c>
      <c r="AB127" s="1081">
        <v>5905</v>
      </c>
      <c r="AC127" s="1081">
        <v>6071</v>
      </c>
      <c r="AD127" s="1081">
        <v>6314</v>
      </c>
      <c r="AE127" s="1081">
        <v>6689</v>
      </c>
      <c r="AF127" s="1081">
        <v>7088</v>
      </c>
      <c r="AG127" s="1081">
        <v>7257</v>
      </c>
      <c r="AH127" s="1081">
        <v>7331</v>
      </c>
      <c r="AI127" s="1081">
        <v>7026</v>
      </c>
      <c r="AJ127" s="1081">
        <v>6938</v>
      </c>
      <c r="AK127" s="1303">
        <v>7073</v>
      </c>
      <c r="AL127" s="1665">
        <f>'Non-marital births'!H128</f>
        <v>6937</v>
      </c>
      <c r="AM127" s="1666">
        <v>6940</v>
      </c>
      <c r="AN127" s="1667">
        <v>6937</v>
      </c>
      <c r="AO127" s="1532"/>
      <c r="AP127" s="1088">
        <f t="shared" ref="AP127:AP131" si="63">W127/D127</f>
        <v>0.36652984321378101</v>
      </c>
      <c r="AQ127" s="1089">
        <f t="shared" ref="AQ127:AQ131" si="64">X127/E127</f>
        <v>0.35501409585179217</v>
      </c>
      <c r="AR127" s="1089">
        <f t="shared" ref="AR127:AR131" si="65">Y127/F127</f>
        <v>0.36770683099514884</v>
      </c>
      <c r="AS127" s="1089">
        <f t="shared" ref="AS127:AS131" si="66">Z127/G127</f>
        <v>0.36700976857011736</v>
      </c>
      <c r="AT127" s="1089">
        <f t="shared" ref="AT127:AT131" si="67">AA127/H127</f>
        <v>0.37147487844408428</v>
      </c>
      <c r="AU127" s="1089">
        <f t="shared" ref="AU127:AU131" si="68">AB127/I127</f>
        <v>0.38057489043567932</v>
      </c>
      <c r="AV127" s="1089">
        <f t="shared" ref="AV127:AV131" si="69">AC127/J127</f>
        <v>0.37851487000436435</v>
      </c>
      <c r="AW127" s="1089">
        <f t="shared" ref="AW127:AW131" si="70">AD127/K127</f>
        <v>0.3892965041001295</v>
      </c>
      <c r="AX127" s="1089">
        <f t="shared" ref="AX127:AX131" si="71">AE127/L127</f>
        <v>0.39896218537516404</v>
      </c>
      <c r="AY127" s="1089">
        <f t="shared" ref="AY127:AY131" si="72">AF127/M127</f>
        <v>0.41428487930329067</v>
      </c>
      <c r="AZ127" s="1089">
        <f t="shared" ref="AZ127:AZ131" si="73">AG127/N127</f>
        <v>0.43606537675760126</v>
      </c>
      <c r="BA127" s="1089">
        <f t="shared" ref="BA127:BA131" si="74">AH127/O127</f>
        <v>0.44125436378957505</v>
      </c>
      <c r="BB127" s="1089">
        <f t="shared" ref="BB127:BB131" si="75">AI127/P127</f>
        <v>0.44088855421686746</v>
      </c>
      <c r="BC127" s="1089">
        <f t="shared" ref="BC127:BC131" si="76">AJ127/Q127</f>
        <v>0.43955904713634059</v>
      </c>
      <c r="BD127" s="1296">
        <f t="shared" ref="BD127:BD131" si="77">AK127/R127</f>
        <v>0.44726191981788288</v>
      </c>
      <c r="BE127" s="1298">
        <f>'Non-marital births'!L128</f>
        <v>0.42686603901298381</v>
      </c>
      <c r="BF127" s="1534">
        <v>0.43076159145925147</v>
      </c>
      <c r="BG127" s="1656">
        <f t="shared" si="47"/>
        <v>0.42686603901298381</v>
      </c>
    </row>
    <row r="128" spans="1:59" s="142" customFormat="1" ht="15.75" customHeight="1" x14ac:dyDescent="0.2">
      <c r="A128" s="277" t="s">
        <v>264</v>
      </c>
      <c r="B128" s="233"/>
      <c r="C128" s="278"/>
      <c r="D128" s="1093">
        <v>24881</v>
      </c>
      <c r="E128" s="1094">
        <v>24733</v>
      </c>
      <c r="F128" s="1095">
        <v>25322</v>
      </c>
      <c r="G128" s="1094">
        <v>24848</v>
      </c>
      <c r="H128" s="1095">
        <v>24919</v>
      </c>
      <c r="I128" s="1094">
        <v>25143</v>
      </c>
      <c r="J128" s="1095">
        <v>26101</v>
      </c>
      <c r="K128" s="1094">
        <v>25645</v>
      </c>
      <c r="L128" s="1066">
        <v>26221</v>
      </c>
      <c r="M128" s="1066">
        <v>26325</v>
      </c>
      <c r="N128" s="1066">
        <v>25712</v>
      </c>
      <c r="O128" s="1066">
        <v>25179</v>
      </c>
      <c r="P128" s="1081">
        <v>24458</v>
      </c>
      <c r="Q128" s="1081">
        <v>24427</v>
      </c>
      <c r="R128" s="1303">
        <v>24262</v>
      </c>
      <c r="S128" s="1665">
        <f>'Non-marital births'!D129</f>
        <v>24058</v>
      </c>
      <c r="T128" s="1666">
        <v>24105</v>
      </c>
      <c r="U128" s="1667">
        <v>24058</v>
      </c>
      <c r="V128" s="1532"/>
      <c r="W128" s="1080">
        <v>9291</v>
      </c>
      <c r="X128" s="1081">
        <v>9330</v>
      </c>
      <c r="Y128" s="1081">
        <v>9472</v>
      </c>
      <c r="Z128" s="1081">
        <v>9748</v>
      </c>
      <c r="AA128" s="1081">
        <v>9595</v>
      </c>
      <c r="AB128" s="1081">
        <v>9540</v>
      </c>
      <c r="AC128" s="1081">
        <v>9892</v>
      </c>
      <c r="AD128" s="1081">
        <v>9869</v>
      </c>
      <c r="AE128" s="1081">
        <v>10432</v>
      </c>
      <c r="AF128" s="1081">
        <v>10719</v>
      </c>
      <c r="AG128" s="1081">
        <v>10880</v>
      </c>
      <c r="AH128" s="1081">
        <v>10686</v>
      </c>
      <c r="AI128" s="1081">
        <v>10343</v>
      </c>
      <c r="AJ128" s="1081">
        <v>10366</v>
      </c>
      <c r="AK128" s="1303">
        <v>10274</v>
      </c>
      <c r="AL128" s="1665">
        <f>'Non-marital births'!H129</f>
        <v>9760</v>
      </c>
      <c r="AM128" s="1666">
        <v>9595</v>
      </c>
      <c r="AN128" s="1667">
        <v>9760</v>
      </c>
      <c r="AO128" s="1532"/>
      <c r="AP128" s="1088">
        <f t="shared" si="63"/>
        <v>0.37341746714360358</v>
      </c>
      <c r="AQ128" s="1089">
        <f t="shared" si="64"/>
        <v>0.37722880362269035</v>
      </c>
      <c r="AR128" s="1089">
        <f t="shared" si="65"/>
        <v>0.37406208040439143</v>
      </c>
      <c r="AS128" s="1089">
        <f t="shared" si="66"/>
        <v>0.3923052157115261</v>
      </c>
      <c r="AT128" s="1089">
        <f t="shared" si="67"/>
        <v>0.38504755407520364</v>
      </c>
      <c r="AU128" s="1089">
        <f t="shared" si="68"/>
        <v>0.37942966233146402</v>
      </c>
      <c r="AV128" s="1089">
        <f t="shared" si="69"/>
        <v>0.37898931075437725</v>
      </c>
      <c r="AW128" s="1089">
        <f t="shared" si="70"/>
        <v>0.38483135114057321</v>
      </c>
      <c r="AX128" s="1089">
        <f t="shared" si="71"/>
        <v>0.39784905228633538</v>
      </c>
      <c r="AY128" s="1089">
        <f t="shared" si="72"/>
        <v>0.40717948717948715</v>
      </c>
      <c r="AZ128" s="1089">
        <f t="shared" si="73"/>
        <v>0.42314872433105166</v>
      </c>
      <c r="BA128" s="1089">
        <f t="shared" si="74"/>
        <v>0.42440128678660788</v>
      </c>
      <c r="BB128" s="1089">
        <f t="shared" si="75"/>
        <v>0.42288821653446723</v>
      </c>
      <c r="BC128" s="1089">
        <f t="shared" si="76"/>
        <v>0.42436647971506941</v>
      </c>
      <c r="BD128" s="1296">
        <f t="shared" si="77"/>
        <v>0.42346055560135193</v>
      </c>
      <c r="BE128" s="1298">
        <f>'Non-marital births'!L129</f>
        <v>0.40568625820932747</v>
      </c>
      <c r="BF128" s="1534">
        <v>0.39805019705455302</v>
      </c>
      <c r="BG128" s="1656">
        <f t="shared" si="47"/>
        <v>0.40568625820932747</v>
      </c>
    </row>
    <row r="129" spans="1:59" s="142" customFormat="1" ht="15.75" customHeight="1" x14ac:dyDescent="0.2">
      <c r="A129" s="277" t="s">
        <v>267</v>
      </c>
      <c r="B129" s="233"/>
      <c r="C129" s="278"/>
      <c r="D129" s="1093">
        <v>35694</v>
      </c>
      <c r="E129" s="1094">
        <v>36681</v>
      </c>
      <c r="F129" s="1095">
        <v>39163</v>
      </c>
      <c r="G129" s="1094">
        <v>40025</v>
      </c>
      <c r="H129" s="1095">
        <v>40777</v>
      </c>
      <c r="I129" s="1094">
        <v>41403</v>
      </c>
      <c r="J129" s="1095">
        <v>43538</v>
      </c>
      <c r="K129" s="1094">
        <v>44159</v>
      </c>
      <c r="L129" s="1066">
        <v>44509</v>
      </c>
      <c r="M129" s="1066">
        <v>45402</v>
      </c>
      <c r="N129" s="1066">
        <v>44861</v>
      </c>
      <c r="O129" s="1066">
        <v>44477</v>
      </c>
      <c r="P129" s="1081">
        <v>44469</v>
      </c>
      <c r="Q129" s="1081">
        <v>44386</v>
      </c>
      <c r="R129" s="1303">
        <v>44671</v>
      </c>
      <c r="S129" s="1665">
        <f>'Non-marital births'!D130</f>
        <v>44928</v>
      </c>
      <c r="T129" s="1666">
        <v>45206</v>
      </c>
      <c r="U129" s="1667">
        <v>44928</v>
      </c>
      <c r="V129" s="1532"/>
      <c r="W129" s="1080">
        <v>7391</v>
      </c>
      <c r="X129" s="1081">
        <v>7770</v>
      </c>
      <c r="Y129" s="1081">
        <v>8404</v>
      </c>
      <c r="Z129" s="1081">
        <v>8597</v>
      </c>
      <c r="AA129" s="1081">
        <v>8836</v>
      </c>
      <c r="AB129" s="1081">
        <v>9086</v>
      </c>
      <c r="AC129" s="1081">
        <v>9941</v>
      </c>
      <c r="AD129" s="1081">
        <v>10729</v>
      </c>
      <c r="AE129" s="1081">
        <v>12002</v>
      </c>
      <c r="AF129" s="1081">
        <v>12592</v>
      </c>
      <c r="AG129" s="1081">
        <v>12218</v>
      </c>
      <c r="AH129" s="1081">
        <v>11948</v>
      </c>
      <c r="AI129" s="1081">
        <v>11781</v>
      </c>
      <c r="AJ129" s="1081">
        <v>11754</v>
      </c>
      <c r="AK129" s="1303">
        <v>11526</v>
      </c>
      <c r="AL129" s="1665">
        <f>'Non-marital births'!H130</f>
        <v>11492</v>
      </c>
      <c r="AM129" s="1666">
        <v>11267</v>
      </c>
      <c r="AN129" s="1667">
        <v>11492</v>
      </c>
      <c r="AO129" s="1532"/>
      <c r="AP129" s="1088">
        <f t="shared" si="63"/>
        <v>0.20706561326833642</v>
      </c>
      <c r="AQ129" s="1089">
        <f t="shared" si="64"/>
        <v>0.21182628608816553</v>
      </c>
      <c r="AR129" s="1089">
        <f t="shared" si="65"/>
        <v>0.21459030207083216</v>
      </c>
      <c r="AS129" s="1089">
        <f t="shared" si="66"/>
        <v>0.21479075577763898</v>
      </c>
      <c r="AT129" s="1089">
        <f t="shared" si="67"/>
        <v>0.21669078156804081</v>
      </c>
      <c r="AU129" s="1089">
        <f t="shared" si="68"/>
        <v>0.21945269666449291</v>
      </c>
      <c r="AV129" s="1089">
        <f t="shared" si="69"/>
        <v>0.22832927557535945</v>
      </c>
      <c r="AW129" s="1089">
        <f t="shared" si="70"/>
        <v>0.24296292941416245</v>
      </c>
      <c r="AX129" s="1089">
        <f t="shared" si="71"/>
        <v>0.26965332854029522</v>
      </c>
      <c r="AY129" s="1089">
        <f t="shared" si="72"/>
        <v>0.27734461036958724</v>
      </c>
      <c r="AZ129" s="1089">
        <f t="shared" si="73"/>
        <v>0.27235237734334944</v>
      </c>
      <c r="BA129" s="1089">
        <f t="shared" si="74"/>
        <v>0.26863322616183644</v>
      </c>
      <c r="BB129" s="1089">
        <f t="shared" si="75"/>
        <v>0.26492612831410645</v>
      </c>
      <c r="BC129" s="1089">
        <f t="shared" si="76"/>
        <v>0.26481322939665658</v>
      </c>
      <c r="BD129" s="1296">
        <f t="shared" si="77"/>
        <v>0.25801974435315977</v>
      </c>
      <c r="BE129" s="1298">
        <f>'Non-marital births'!L130</f>
        <v>0.25578703703703703</v>
      </c>
      <c r="BF129" s="1534">
        <v>0.24923682696987126</v>
      </c>
      <c r="BG129" s="1656">
        <f t="shared" si="47"/>
        <v>0.25578703703703703</v>
      </c>
    </row>
    <row r="130" spans="1:59" s="142" customFormat="1" ht="15.75" customHeight="1" x14ac:dyDescent="0.2">
      <c r="A130" s="277" t="s">
        <v>265</v>
      </c>
      <c r="B130" s="233"/>
      <c r="C130" s="278"/>
      <c r="D130" s="1093">
        <v>12551</v>
      </c>
      <c r="E130" s="1094">
        <v>12673</v>
      </c>
      <c r="F130" s="1095">
        <v>12972</v>
      </c>
      <c r="G130" s="1094">
        <v>12464</v>
      </c>
      <c r="H130" s="1095">
        <v>12174</v>
      </c>
      <c r="I130" s="1094">
        <v>12548</v>
      </c>
      <c r="J130" s="1095">
        <v>12297</v>
      </c>
      <c r="K130" s="1094">
        <v>12569</v>
      </c>
      <c r="L130" s="1066">
        <v>12953</v>
      </c>
      <c r="M130" s="1066">
        <v>13375</v>
      </c>
      <c r="N130" s="1066">
        <v>13243</v>
      </c>
      <c r="O130" s="1066">
        <v>12806</v>
      </c>
      <c r="P130" s="1081">
        <v>12220</v>
      </c>
      <c r="Q130" s="1081">
        <v>12304</v>
      </c>
      <c r="R130" s="1303">
        <v>12217</v>
      </c>
      <c r="S130" s="1665">
        <f>'Non-marital births'!D131</f>
        <v>12469</v>
      </c>
      <c r="T130" s="1666">
        <v>12024</v>
      </c>
      <c r="U130" s="1667">
        <v>12469</v>
      </c>
      <c r="V130" s="1532"/>
      <c r="W130" s="1080">
        <v>4302</v>
      </c>
      <c r="X130" s="1081">
        <v>4338</v>
      </c>
      <c r="Y130" s="1081">
        <v>4562</v>
      </c>
      <c r="Z130" s="1081">
        <v>4439</v>
      </c>
      <c r="AA130" s="1081">
        <v>4429</v>
      </c>
      <c r="AB130" s="1081">
        <v>4560</v>
      </c>
      <c r="AC130" s="1081">
        <v>4642</v>
      </c>
      <c r="AD130" s="1081">
        <v>4964</v>
      </c>
      <c r="AE130" s="1081">
        <v>5262</v>
      </c>
      <c r="AF130" s="1081">
        <v>5732</v>
      </c>
      <c r="AG130" s="1081">
        <v>5718</v>
      </c>
      <c r="AH130" s="1081">
        <v>5446</v>
      </c>
      <c r="AI130" s="1081">
        <v>5163</v>
      </c>
      <c r="AJ130" s="1081">
        <v>5213</v>
      </c>
      <c r="AK130" s="1303">
        <v>5201</v>
      </c>
      <c r="AL130" s="1665">
        <f>'Non-marital births'!H131</f>
        <v>5289</v>
      </c>
      <c r="AM130" s="1666">
        <v>5075</v>
      </c>
      <c r="AN130" s="1667">
        <v>5289</v>
      </c>
      <c r="AO130" s="1532"/>
      <c r="AP130" s="1088">
        <f t="shared" si="63"/>
        <v>0.34276153294558204</v>
      </c>
      <c r="AQ130" s="1089">
        <f t="shared" si="64"/>
        <v>0.34230253294405427</v>
      </c>
      <c r="AR130" s="1089">
        <f t="shared" si="65"/>
        <v>0.3516805427073697</v>
      </c>
      <c r="AS130" s="1089">
        <f t="shared" si="66"/>
        <v>0.3561456996148909</v>
      </c>
      <c r="AT130" s="1089">
        <f t="shared" si="67"/>
        <v>0.36380811565631677</v>
      </c>
      <c r="AU130" s="1089">
        <f t="shared" si="68"/>
        <v>0.36340452661778772</v>
      </c>
      <c r="AV130" s="1089">
        <f t="shared" si="69"/>
        <v>0.37749044482394079</v>
      </c>
      <c r="AW130" s="1089">
        <f t="shared" si="70"/>
        <v>0.39493993157769114</v>
      </c>
      <c r="AX130" s="1089">
        <f t="shared" si="71"/>
        <v>0.4062379371574153</v>
      </c>
      <c r="AY130" s="1089">
        <f t="shared" si="72"/>
        <v>0.4285607476635514</v>
      </c>
      <c r="AZ130" s="1089">
        <f t="shared" si="73"/>
        <v>0.43177527750509703</v>
      </c>
      <c r="BA130" s="1089">
        <f t="shared" si="74"/>
        <v>0.42526940496642202</v>
      </c>
      <c r="BB130" s="1089">
        <f t="shared" si="75"/>
        <v>0.42250409165302782</v>
      </c>
      <c r="BC130" s="1089">
        <f t="shared" si="76"/>
        <v>0.42368335500650195</v>
      </c>
      <c r="BD130" s="1296">
        <f t="shared" si="77"/>
        <v>0.42571826143897845</v>
      </c>
      <c r="BE130" s="1298">
        <f>'Non-marital births'!L131</f>
        <v>0.42417194642713929</v>
      </c>
      <c r="BF130" s="1534">
        <v>0.42207252162341985</v>
      </c>
      <c r="BG130" s="1656">
        <f t="shared" si="47"/>
        <v>0.42417194642713929</v>
      </c>
    </row>
    <row r="131" spans="1:59" s="142" customFormat="1" ht="15.75" customHeight="1" x14ac:dyDescent="0.2">
      <c r="A131" s="277" t="s">
        <v>268</v>
      </c>
      <c r="B131" s="233"/>
      <c r="C131" s="278"/>
      <c r="D131" s="1093">
        <v>6127</v>
      </c>
      <c r="E131" s="1094">
        <v>6222</v>
      </c>
      <c r="F131" s="1095">
        <v>6151</v>
      </c>
      <c r="G131" s="1094">
        <v>5941</v>
      </c>
      <c r="H131" s="1095">
        <v>5940</v>
      </c>
      <c r="I131" s="1094">
        <v>5951</v>
      </c>
      <c r="J131" s="1095">
        <v>5855</v>
      </c>
      <c r="K131" s="1094">
        <v>5896</v>
      </c>
      <c r="L131" s="1066">
        <v>6025</v>
      </c>
      <c r="M131" s="1066">
        <v>6206</v>
      </c>
      <c r="N131" s="1066">
        <v>6120</v>
      </c>
      <c r="O131" s="1066">
        <v>5903</v>
      </c>
      <c r="P131" s="1081">
        <v>5851</v>
      </c>
      <c r="Q131" s="1081">
        <v>5624</v>
      </c>
      <c r="R131" s="1303">
        <v>5847</v>
      </c>
      <c r="S131" s="1665">
        <f>'Non-marital births'!D132</f>
        <v>5367</v>
      </c>
      <c r="T131" s="1666">
        <v>5349</v>
      </c>
      <c r="U131" s="1667">
        <v>5367</v>
      </c>
      <c r="V131" s="1532"/>
      <c r="W131" s="1080">
        <v>1626</v>
      </c>
      <c r="X131" s="1081">
        <v>1578</v>
      </c>
      <c r="Y131" s="1081">
        <v>1587</v>
      </c>
      <c r="Z131" s="1081">
        <v>1540</v>
      </c>
      <c r="AA131" s="1081">
        <v>1633</v>
      </c>
      <c r="AB131" s="1081">
        <v>1678</v>
      </c>
      <c r="AC131" s="1081">
        <v>1644</v>
      </c>
      <c r="AD131" s="1081">
        <v>1805</v>
      </c>
      <c r="AE131" s="1081">
        <v>1905</v>
      </c>
      <c r="AF131" s="1081">
        <v>2150</v>
      </c>
      <c r="AG131" s="1081">
        <v>2128</v>
      </c>
      <c r="AH131" s="1081">
        <v>2197</v>
      </c>
      <c r="AI131" s="1081">
        <v>2219</v>
      </c>
      <c r="AJ131" s="1081">
        <v>2119</v>
      </c>
      <c r="AK131" s="1303">
        <v>2197</v>
      </c>
      <c r="AL131" s="1665">
        <f>'Non-marital births'!H132</f>
        <v>2034</v>
      </c>
      <c r="AM131" s="1666">
        <v>2078</v>
      </c>
      <c r="AN131" s="1667">
        <v>2034</v>
      </c>
      <c r="AO131" s="1532"/>
      <c r="AP131" s="1088">
        <f t="shared" si="63"/>
        <v>0.26538273216908764</v>
      </c>
      <c r="AQ131" s="1089">
        <f t="shared" si="64"/>
        <v>0.25361620057859208</v>
      </c>
      <c r="AR131" s="1089">
        <f t="shared" si="65"/>
        <v>0.25800682815802306</v>
      </c>
      <c r="AS131" s="1089">
        <f t="shared" si="66"/>
        <v>0.25921562026594852</v>
      </c>
      <c r="AT131" s="1089">
        <f t="shared" si="67"/>
        <v>0.27491582491582489</v>
      </c>
      <c r="AU131" s="1089">
        <f t="shared" si="68"/>
        <v>0.28196941690472188</v>
      </c>
      <c r="AV131" s="1089">
        <f t="shared" si="69"/>
        <v>0.28078565328778821</v>
      </c>
      <c r="AW131" s="1089">
        <f t="shared" si="70"/>
        <v>0.30613975576662145</v>
      </c>
      <c r="AX131" s="1089">
        <f t="shared" si="71"/>
        <v>0.31618257261410787</v>
      </c>
      <c r="AY131" s="1089">
        <f t="shared" si="72"/>
        <v>0.34643893006767645</v>
      </c>
      <c r="AZ131" s="1089">
        <f t="shared" si="73"/>
        <v>0.34771241830065358</v>
      </c>
      <c r="BA131" s="1089">
        <f t="shared" si="74"/>
        <v>0.37218363543960697</v>
      </c>
      <c r="BB131" s="1089">
        <f t="shared" si="75"/>
        <v>0.37925141001538198</v>
      </c>
      <c r="BC131" s="1089">
        <f t="shared" si="76"/>
        <v>0.37677809388335703</v>
      </c>
      <c r="BD131" s="1296">
        <f t="shared" si="77"/>
        <v>0.37574824696425518</v>
      </c>
      <c r="BE131" s="1298">
        <f>'Non-marital births'!L132</f>
        <v>0.37898267188373391</v>
      </c>
      <c r="BF131" s="1534">
        <v>0.38848382875303794</v>
      </c>
      <c r="BG131" s="1656">
        <f t="shared" si="47"/>
        <v>0.37898267188373391</v>
      </c>
    </row>
    <row r="132" spans="1:59" s="142" customFormat="1" ht="15.75" customHeight="1" x14ac:dyDescent="0.2">
      <c r="A132" s="277"/>
      <c r="B132" s="233"/>
      <c r="C132" s="278"/>
      <c r="D132" s="152"/>
      <c r="E132" s="151"/>
      <c r="F132" s="152"/>
      <c r="G132" s="279"/>
      <c r="H132" s="152"/>
      <c r="I132" s="151"/>
      <c r="J132" s="152"/>
      <c r="K132" s="151"/>
      <c r="L132" s="280"/>
      <c r="M132" s="280"/>
      <c r="N132" s="280"/>
      <c r="O132" s="280"/>
    </row>
    <row r="133" spans="1:59" ht="31.5" customHeight="1" x14ac:dyDescent="0.25">
      <c r="A133" s="2719" t="s">
        <v>1214</v>
      </c>
      <c r="B133" s="2719"/>
      <c r="C133" s="2719"/>
      <c r="D133" s="2719"/>
      <c r="E133" s="2719"/>
      <c r="F133" s="2719"/>
      <c r="G133" s="2719"/>
    </row>
    <row r="134" spans="1:59" s="182" customFormat="1" ht="12.75" x14ac:dyDescent="0.2">
      <c r="A134" s="182" t="s">
        <v>248</v>
      </c>
    </row>
    <row r="135" spans="1:59" s="182" customFormat="1" ht="12.75" x14ac:dyDescent="0.2">
      <c r="A135" s="189" t="s">
        <v>249</v>
      </c>
      <c r="B135" s="167" t="s">
        <v>250</v>
      </c>
    </row>
  </sheetData>
  <autoFilter ref="A4:C125"/>
  <sortState ref="A6:BE125">
    <sortCondition ref="B6:B125"/>
  </sortState>
  <mergeCells count="5">
    <mergeCell ref="A133:G133"/>
    <mergeCell ref="E2:G2"/>
    <mergeCell ref="D3:T3"/>
    <mergeCell ref="W3:AM3"/>
    <mergeCell ref="AP3:BF3"/>
  </mergeCells>
  <hyperlinks>
    <hyperlink ref="B135" r:id="rId1"/>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135"/>
  <sheetViews>
    <sheetView workbookViewId="0">
      <pane xSplit="3" ySplit="5" topLeftCell="AP105" activePane="bottomRight" state="frozen"/>
      <selection pane="topRight" activeCell="D1" sqref="D1"/>
      <selection pane="bottomLeft" activeCell="A6" sqref="A6"/>
      <selection pane="bottomRight" activeCell="A4" sqref="A4:BG131"/>
    </sheetView>
  </sheetViews>
  <sheetFormatPr defaultRowHeight="15.75" x14ac:dyDescent="0.25"/>
  <cols>
    <col min="1" max="1" width="7.75" style="134" customWidth="1"/>
    <col min="2" max="2" width="28.625" style="158" customWidth="1"/>
    <col min="3" max="3" width="10" style="158" customWidth="1"/>
    <col min="4" max="4" width="8.25" style="158" customWidth="1"/>
    <col min="5" max="7" width="8.25" style="157" customWidth="1"/>
    <col min="8" max="11" width="8.25" style="134" customWidth="1"/>
    <col min="12" max="15" width="8.25" style="135" customWidth="1"/>
    <col min="16" max="21" width="8.25" style="134" customWidth="1"/>
    <col min="22" max="22" width="4.25" style="134" customWidth="1"/>
    <col min="23" max="40" width="9" style="134"/>
    <col min="41" max="41" width="4.5" style="134" customWidth="1"/>
    <col min="42" max="16384" width="9" style="134"/>
  </cols>
  <sheetData>
    <row r="1" spans="1:59" x14ac:dyDescent="0.25">
      <c r="A1" s="307" t="s">
        <v>1224</v>
      </c>
      <c r="B1" s="307"/>
      <c r="C1" s="307"/>
      <c r="D1" s="307"/>
      <c r="E1" s="307"/>
      <c r="F1" s="307"/>
      <c r="G1" s="307"/>
      <c r="H1" s="307"/>
      <c r="I1" s="308"/>
      <c r="J1" s="308"/>
      <c r="K1" s="308"/>
      <c r="L1" s="308"/>
      <c r="M1" s="308"/>
      <c r="N1" s="308"/>
      <c r="O1" s="308"/>
    </row>
    <row r="2" spans="1:59" ht="9.75" customHeight="1" x14ac:dyDescent="0.25">
      <c r="A2" s="96"/>
      <c r="B2" s="136"/>
      <c r="C2" s="136"/>
      <c r="D2" s="136"/>
      <c r="E2" s="2732"/>
      <c r="F2" s="2732"/>
      <c r="G2" s="2732"/>
    </row>
    <row r="3" spans="1:59" ht="15.75" customHeight="1" x14ac:dyDescent="0.25">
      <c r="A3" s="96"/>
      <c r="B3" s="136"/>
      <c r="C3" s="136"/>
      <c r="D3" s="2733" t="s">
        <v>869</v>
      </c>
      <c r="E3" s="2733"/>
      <c r="F3" s="2733"/>
      <c r="G3" s="2733"/>
      <c r="H3" s="2733"/>
      <c r="I3" s="2733"/>
      <c r="J3" s="2733"/>
      <c r="K3" s="2733"/>
      <c r="L3" s="2733"/>
      <c r="M3" s="2733"/>
      <c r="N3" s="2733"/>
      <c r="O3" s="2733"/>
      <c r="P3" s="2733"/>
      <c r="Q3" s="2733"/>
      <c r="R3" s="2733"/>
      <c r="S3" s="2733"/>
      <c r="T3" s="2733"/>
      <c r="U3" s="1673"/>
      <c r="V3" s="1518"/>
      <c r="W3" s="2734" t="s">
        <v>1061</v>
      </c>
      <c r="X3" s="2734"/>
      <c r="Y3" s="2734"/>
      <c r="Z3" s="2734"/>
      <c r="AA3" s="2734"/>
      <c r="AB3" s="2734"/>
      <c r="AC3" s="2734"/>
      <c r="AD3" s="2734"/>
      <c r="AE3" s="2734"/>
      <c r="AF3" s="2734"/>
      <c r="AG3" s="2734"/>
      <c r="AH3" s="2734"/>
      <c r="AI3" s="2734"/>
      <c r="AJ3" s="2734"/>
      <c r="AK3" s="2734"/>
      <c r="AL3" s="2734"/>
      <c r="AM3" s="2734"/>
      <c r="AN3" s="1674"/>
      <c r="AO3" s="1519"/>
      <c r="AP3" s="2736" t="s">
        <v>870</v>
      </c>
      <c r="AQ3" s="2736"/>
      <c r="AR3" s="2736"/>
      <c r="AS3" s="2736"/>
      <c r="AT3" s="2736"/>
      <c r="AU3" s="2736"/>
      <c r="AV3" s="2736"/>
      <c r="AW3" s="2736"/>
      <c r="AX3" s="2736"/>
      <c r="AY3" s="2736"/>
      <c r="AZ3" s="2736"/>
      <c r="BA3" s="2736"/>
      <c r="BB3" s="2736"/>
      <c r="BC3" s="2736"/>
      <c r="BD3" s="2736"/>
    </row>
    <row r="4" spans="1:59" s="142" customFormat="1" ht="15" customHeight="1" x14ac:dyDescent="0.2">
      <c r="A4" s="1065" t="s">
        <v>4</v>
      </c>
      <c r="B4" s="1064" t="s">
        <v>5</v>
      </c>
      <c r="C4" s="1064" t="s">
        <v>251</v>
      </c>
      <c r="D4" s="1075">
        <v>1998</v>
      </c>
      <c r="E4" s="1076">
        <v>1999</v>
      </c>
      <c r="F4" s="1076">
        <v>2000</v>
      </c>
      <c r="G4" s="1076">
        <v>2001</v>
      </c>
      <c r="H4" s="1076">
        <v>2002</v>
      </c>
      <c r="I4" s="1076">
        <v>2003</v>
      </c>
      <c r="J4" s="1076">
        <v>2004</v>
      </c>
      <c r="K4" s="1076">
        <v>2005</v>
      </c>
      <c r="L4" s="1076">
        <v>2006</v>
      </c>
      <c r="M4" s="1076">
        <v>2007</v>
      </c>
      <c r="N4" s="1076">
        <v>2008</v>
      </c>
      <c r="O4" s="1077">
        <v>2009</v>
      </c>
      <c r="P4" s="1078">
        <v>2010</v>
      </c>
      <c r="Q4" s="1078">
        <v>2011</v>
      </c>
      <c r="R4" s="1293">
        <v>2012</v>
      </c>
      <c r="S4" s="1079">
        <v>2013</v>
      </c>
      <c r="T4" s="1529">
        <v>2014</v>
      </c>
      <c r="U4" s="1535">
        <v>2015</v>
      </c>
      <c r="V4" s="1529"/>
      <c r="W4" s="1085">
        <v>1998</v>
      </c>
      <c r="X4" s="1078">
        <v>1999</v>
      </c>
      <c r="Y4" s="1078">
        <v>2000</v>
      </c>
      <c r="Z4" s="1078">
        <v>2001</v>
      </c>
      <c r="AA4" s="1078">
        <v>2002</v>
      </c>
      <c r="AB4" s="1078">
        <v>2003</v>
      </c>
      <c r="AC4" s="1078">
        <v>2004</v>
      </c>
      <c r="AD4" s="1078">
        <v>2005</v>
      </c>
      <c r="AE4" s="1078">
        <v>2006</v>
      </c>
      <c r="AF4" s="1078">
        <v>2007</v>
      </c>
      <c r="AG4" s="1078">
        <v>2008</v>
      </c>
      <c r="AH4" s="1078">
        <v>2009</v>
      </c>
      <c r="AI4" s="1078">
        <v>2010</v>
      </c>
      <c r="AJ4" s="1078">
        <v>2011</v>
      </c>
      <c r="AK4" s="1293">
        <v>2012</v>
      </c>
      <c r="AL4" s="1079">
        <v>2013</v>
      </c>
      <c r="AM4" s="1535">
        <v>2014</v>
      </c>
      <c r="AN4" s="1535">
        <v>2015</v>
      </c>
      <c r="AO4" s="1529"/>
      <c r="AP4" s="1085">
        <v>1998</v>
      </c>
      <c r="AQ4" s="1078">
        <v>1999</v>
      </c>
      <c r="AR4" s="1078">
        <v>2000</v>
      </c>
      <c r="AS4" s="1078">
        <v>2001</v>
      </c>
      <c r="AT4" s="1078">
        <v>2002</v>
      </c>
      <c r="AU4" s="1078">
        <v>2003</v>
      </c>
      <c r="AV4" s="1078">
        <v>2004</v>
      </c>
      <c r="AW4" s="1078">
        <v>2005</v>
      </c>
      <c r="AX4" s="1078">
        <v>2006</v>
      </c>
      <c r="AY4" s="1078">
        <v>2007</v>
      </c>
      <c r="AZ4" s="1078">
        <v>2008</v>
      </c>
      <c r="BA4" s="1078">
        <v>2009</v>
      </c>
      <c r="BB4" s="1078">
        <v>2010</v>
      </c>
      <c r="BC4" s="1078">
        <v>2011</v>
      </c>
      <c r="BD4" s="1293">
        <v>2012</v>
      </c>
      <c r="BE4" s="1079">
        <v>2013</v>
      </c>
      <c r="BF4" s="1535">
        <v>2014</v>
      </c>
      <c r="BG4" s="1701">
        <v>2015</v>
      </c>
    </row>
    <row r="5" spans="1:59" s="142" customFormat="1" ht="15.75" customHeight="1" x14ac:dyDescent="0.2">
      <c r="A5" s="146" t="s">
        <v>8</v>
      </c>
      <c r="B5" s="147" t="s">
        <v>9</v>
      </c>
      <c r="C5" s="148"/>
      <c r="D5" s="1067">
        <v>10102</v>
      </c>
      <c r="E5" s="1068">
        <v>10090</v>
      </c>
      <c r="F5" s="1068">
        <v>9803</v>
      </c>
      <c r="G5" s="1068">
        <v>9577</v>
      </c>
      <c r="H5" s="1068">
        <v>9195</v>
      </c>
      <c r="I5" s="1068">
        <v>8941</v>
      </c>
      <c r="J5" s="1068">
        <v>8914</v>
      </c>
      <c r="K5" s="1068">
        <v>8905</v>
      </c>
      <c r="L5" s="1069">
        <v>9196</v>
      </c>
      <c r="M5" s="1069">
        <v>9306</v>
      </c>
      <c r="N5" s="1069">
        <v>8902</v>
      </c>
      <c r="O5" s="1069">
        <v>8284</v>
      </c>
      <c r="P5" s="1070">
        <v>7444</v>
      </c>
      <c r="Q5" s="1070">
        <v>6572</v>
      </c>
      <c r="R5" s="1299">
        <v>6134</v>
      </c>
      <c r="S5" s="1071">
        <v>5316</v>
      </c>
      <c r="T5" s="1530">
        <v>4890</v>
      </c>
      <c r="U5" s="1707">
        <v>4544</v>
      </c>
      <c r="V5" s="1530"/>
      <c r="W5" s="1082">
        <v>459326</v>
      </c>
      <c r="X5" s="1083">
        <v>465568</v>
      </c>
      <c r="Y5" s="1083">
        <v>478240</v>
      </c>
      <c r="Z5" s="1083">
        <v>486425</v>
      </c>
      <c r="AA5" s="1083">
        <v>492384</v>
      </c>
      <c r="AB5" s="1083">
        <v>499398</v>
      </c>
      <c r="AC5" s="1083">
        <v>503412</v>
      </c>
      <c r="AD5" s="1083">
        <v>506205</v>
      </c>
      <c r="AE5" s="1083">
        <v>502344</v>
      </c>
      <c r="AF5" s="1083">
        <v>505848</v>
      </c>
      <c r="AG5" s="1083">
        <v>503210</v>
      </c>
      <c r="AH5" s="1083">
        <v>505976</v>
      </c>
      <c r="AI5" s="1083">
        <v>519085</v>
      </c>
      <c r="AJ5" s="1083">
        <v>517392</v>
      </c>
      <c r="AK5" s="1302">
        <v>517793</v>
      </c>
      <c r="AL5" s="1084">
        <v>518354</v>
      </c>
      <c r="AM5" s="1698">
        <v>519897</v>
      </c>
      <c r="AN5" s="1698">
        <v>520201</v>
      </c>
      <c r="AO5" s="1533"/>
      <c r="AP5" s="1102">
        <f t="shared" ref="AP5:BG5" si="0">IF(W5=0,"NA",(D5/W5)*1000)</f>
        <v>21.993094229370861</v>
      </c>
      <c r="AQ5" s="1103">
        <f t="shared" si="0"/>
        <v>21.672451714894493</v>
      </c>
      <c r="AR5" s="1103">
        <f t="shared" si="0"/>
        <v>20.498076279692203</v>
      </c>
      <c r="AS5" s="1103">
        <f t="shared" si="0"/>
        <v>19.688543968751606</v>
      </c>
      <c r="AT5" s="1103">
        <f t="shared" si="0"/>
        <v>18.674449210372391</v>
      </c>
      <c r="AU5" s="1103">
        <f t="shared" si="0"/>
        <v>17.903555881281065</v>
      </c>
      <c r="AV5" s="1103">
        <f t="shared" si="0"/>
        <v>17.707166297187989</v>
      </c>
      <c r="AW5" s="1103">
        <f t="shared" si="0"/>
        <v>17.591687162315662</v>
      </c>
      <c r="AX5" s="1103">
        <f t="shared" si="0"/>
        <v>18.306180625228926</v>
      </c>
      <c r="AY5" s="1103">
        <f t="shared" si="0"/>
        <v>18.39683066850121</v>
      </c>
      <c r="AZ5" s="1103">
        <f t="shared" si="0"/>
        <v>17.690427455734188</v>
      </c>
      <c r="BA5" s="1103">
        <f t="shared" si="0"/>
        <v>16.372318054611284</v>
      </c>
      <c r="BB5" s="1103">
        <f t="shared" si="0"/>
        <v>14.340618588477803</v>
      </c>
      <c r="BC5" s="1103">
        <f t="shared" si="0"/>
        <v>12.702167795404645</v>
      </c>
      <c r="BD5" s="1305">
        <f t="shared" si="0"/>
        <v>11.846432840922917</v>
      </c>
      <c r="BE5" s="1308">
        <f t="shared" si="0"/>
        <v>10.25553965050911</v>
      </c>
      <c r="BF5" s="1541">
        <f t="shared" si="0"/>
        <v>9.405709207785387</v>
      </c>
      <c r="BG5" s="1541">
        <f t="shared" si="0"/>
        <v>8.735085092108628</v>
      </c>
    </row>
    <row r="6" spans="1:59" s="142" customFormat="1" ht="15.75" customHeight="1" x14ac:dyDescent="0.2">
      <c r="A6" s="149" t="s">
        <v>10</v>
      </c>
      <c r="B6" s="185" t="s">
        <v>11</v>
      </c>
      <c r="C6" s="150" t="s">
        <v>264</v>
      </c>
      <c r="D6" s="1057">
        <v>67</v>
      </c>
      <c r="E6" s="1058">
        <v>81</v>
      </c>
      <c r="F6" s="1059">
        <v>86</v>
      </c>
      <c r="G6" s="1058">
        <v>60</v>
      </c>
      <c r="H6" s="1059">
        <v>85</v>
      </c>
      <c r="I6" s="1058">
        <v>87</v>
      </c>
      <c r="J6" s="1059">
        <v>74</v>
      </c>
      <c r="K6" s="1058">
        <v>86</v>
      </c>
      <c r="L6" s="1072">
        <v>79</v>
      </c>
      <c r="M6" s="1072">
        <v>89</v>
      </c>
      <c r="N6" s="1072">
        <v>76</v>
      </c>
      <c r="O6" s="1072">
        <v>49</v>
      </c>
      <c r="P6" s="1073">
        <v>53</v>
      </c>
      <c r="Q6" s="1073">
        <v>43</v>
      </c>
      <c r="R6" s="1300">
        <v>32</v>
      </c>
      <c r="S6" s="1301">
        <v>23</v>
      </c>
      <c r="T6" s="1531">
        <v>30</v>
      </c>
      <c r="U6" s="1708">
        <v>25</v>
      </c>
      <c r="V6" s="1531"/>
      <c r="W6" s="1080">
        <v>2001</v>
      </c>
      <c r="X6" s="1081">
        <v>1999</v>
      </c>
      <c r="Y6" s="1081">
        <v>2471</v>
      </c>
      <c r="Z6" s="1081">
        <v>2535</v>
      </c>
      <c r="AA6" s="1081">
        <v>2552</v>
      </c>
      <c r="AB6" s="1081">
        <v>2605</v>
      </c>
      <c r="AC6" s="1081">
        <v>2554</v>
      </c>
      <c r="AD6" s="1081">
        <v>2515</v>
      </c>
      <c r="AE6" s="1081">
        <v>2448</v>
      </c>
      <c r="AF6" s="1081">
        <v>2363</v>
      </c>
      <c r="AG6" s="1081">
        <v>2319</v>
      </c>
      <c r="AH6" s="1081">
        <v>2273</v>
      </c>
      <c r="AI6" s="1081">
        <v>1817</v>
      </c>
      <c r="AJ6" s="1081">
        <v>1793</v>
      </c>
      <c r="AK6" s="1303">
        <v>1757</v>
      </c>
      <c r="AL6" s="1304">
        <v>1736</v>
      </c>
      <c r="AM6" s="1699">
        <v>1686</v>
      </c>
      <c r="AN6" s="1699">
        <v>1669</v>
      </c>
      <c r="AO6" s="1532"/>
      <c r="AP6" s="1104">
        <f t="shared" ref="AP6:AP37" si="1">IF(W6=0,"NA",(D6/W6)*1000)</f>
        <v>33.483258370814596</v>
      </c>
      <c r="AQ6" s="1105">
        <f t="shared" ref="AQ6:AQ37" si="2">IF(X6=0,"NA",(E6/X6)*1000)</f>
        <v>40.520260130065033</v>
      </c>
      <c r="AR6" s="1105">
        <f t="shared" ref="AR6:AR37" si="3">IF(Y6=0,"NA",(F6/Y6)*1000)</f>
        <v>34.803723188992308</v>
      </c>
      <c r="AS6" s="1105">
        <f t="shared" ref="AS6:AS37" si="4">IF(Z6=0,"NA",(G6/Z6)*1000)</f>
        <v>23.668639053254438</v>
      </c>
      <c r="AT6" s="1105">
        <f t="shared" ref="AT6:AT37" si="5">IF(AA6=0,"NA",(H6/AA6)*1000)</f>
        <v>33.307210031347964</v>
      </c>
      <c r="AU6" s="1105">
        <f t="shared" ref="AU6:AU37" si="6">IF(AB6=0,"NA",(I6/AB6)*1000)</f>
        <v>33.397312859884835</v>
      </c>
      <c r="AV6" s="1105">
        <f t="shared" ref="AV6:AV37" si="7">IF(AC6=0,"NA",(J6/AC6)*1000)</f>
        <v>28.974158183241972</v>
      </c>
      <c r="AW6" s="1105">
        <f t="shared" ref="AW6:AW37" si="8">IF(AD6=0,"NA",(K6/AD6)*1000)</f>
        <v>34.194831013916499</v>
      </c>
      <c r="AX6" s="1105">
        <f t="shared" ref="AX6:AX37" si="9">IF(AE6=0,"NA",(L6/AE6)*1000)</f>
        <v>32.271241830065364</v>
      </c>
      <c r="AY6" s="1105">
        <f t="shared" ref="AY6:AY37" si="10">IF(AF6=0,"NA",(M6/AF6)*1000)</f>
        <v>37.663986457892513</v>
      </c>
      <c r="AZ6" s="1105">
        <f t="shared" ref="AZ6:AZ37" si="11">IF(AG6=0,"NA",(N6/AG6)*1000)</f>
        <v>32.77274687365243</v>
      </c>
      <c r="BA6" s="1105">
        <f t="shared" ref="BA6:BA37" si="12">IF(AH6=0,"NA",(O6/AH6)*1000)</f>
        <v>21.557413110426747</v>
      </c>
      <c r="BB6" s="1105">
        <f t="shared" ref="BB6:BB37" si="13">IF(AI6=0,"NA",(P6/AI6)*1000)</f>
        <v>29.168959823885526</v>
      </c>
      <c r="BC6" s="1105">
        <f t="shared" ref="BC6:BC37" si="14">IF(AJ6=0,"NA",(Q6/AJ6)*1000)</f>
        <v>23.982152816508645</v>
      </c>
      <c r="BD6" s="1306">
        <f t="shared" ref="BD6:BD37" si="15">IF(AK6=0,"NA",(R6/AK6)*1000)</f>
        <v>18.212862834376779</v>
      </c>
      <c r="BE6" s="1309">
        <f t="shared" ref="BE6:BE37" si="16">IF(AL6=0,"NA",(S6/AL6)*1000)</f>
        <v>13.248847926267281</v>
      </c>
      <c r="BF6" s="1537">
        <f t="shared" ref="BF6:BF37" si="17">IF(AM6=0,"NA",(T6/AM6)*1000)</f>
        <v>17.793594306049823</v>
      </c>
      <c r="BG6" s="1537">
        <f t="shared" ref="BG6:BG69" si="18">IF(AN6=0,"NA",(U6/AN6)*1000)</f>
        <v>14.979029358897543</v>
      </c>
    </row>
    <row r="7" spans="1:59" s="142" customFormat="1" ht="15.75" customHeight="1" x14ac:dyDescent="0.2">
      <c r="A7" s="149" t="s">
        <v>12</v>
      </c>
      <c r="B7" s="186" t="s">
        <v>13</v>
      </c>
      <c r="C7" s="150" t="s">
        <v>265</v>
      </c>
      <c r="D7" s="1057">
        <v>77</v>
      </c>
      <c r="E7" s="1058">
        <v>79</v>
      </c>
      <c r="F7" s="1059">
        <v>66</v>
      </c>
      <c r="G7" s="1058">
        <v>65</v>
      </c>
      <c r="H7" s="1059">
        <v>61</v>
      </c>
      <c r="I7" s="1058">
        <v>62</v>
      </c>
      <c r="J7" s="1059">
        <v>50</v>
      </c>
      <c r="K7" s="1058">
        <v>60</v>
      </c>
      <c r="L7" s="1072">
        <v>72</v>
      </c>
      <c r="M7" s="1072">
        <v>72</v>
      </c>
      <c r="N7" s="1072">
        <v>70</v>
      </c>
      <c r="O7" s="1072">
        <v>52</v>
      </c>
      <c r="P7" s="1073">
        <v>56</v>
      </c>
      <c r="Q7" s="1073">
        <v>38</v>
      </c>
      <c r="R7" s="1300">
        <v>40</v>
      </c>
      <c r="S7" s="1301">
        <v>32</v>
      </c>
      <c r="T7" s="1531">
        <v>27</v>
      </c>
      <c r="U7" s="1708">
        <v>20</v>
      </c>
      <c r="V7" s="1531"/>
      <c r="W7" s="1080">
        <v>6219</v>
      </c>
      <c r="X7" s="1081">
        <v>6381</v>
      </c>
      <c r="Y7" s="1081">
        <v>5216</v>
      </c>
      <c r="Z7" s="1081">
        <v>5412</v>
      </c>
      <c r="AA7" s="1081">
        <v>5524</v>
      </c>
      <c r="AB7" s="1081">
        <v>7381</v>
      </c>
      <c r="AC7" s="1081">
        <v>7374</v>
      </c>
      <c r="AD7" s="1081">
        <v>7398</v>
      </c>
      <c r="AE7" s="1081">
        <v>7290</v>
      </c>
      <c r="AF7" s="1081">
        <v>7247</v>
      </c>
      <c r="AG7" s="1081">
        <v>7138</v>
      </c>
      <c r="AH7" s="1081">
        <v>7239</v>
      </c>
      <c r="AI7" s="1081">
        <v>7598</v>
      </c>
      <c r="AJ7" s="1081">
        <v>7757</v>
      </c>
      <c r="AK7" s="1303">
        <v>7849</v>
      </c>
      <c r="AL7" s="1304">
        <v>7732</v>
      </c>
      <c r="AM7" s="1699">
        <v>7866</v>
      </c>
      <c r="AN7" s="1699">
        <v>7883</v>
      </c>
      <c r="AO7" s="1532"/>
      <c r="AP7" s="1104">
        <f t="shared" si="1"/>
        <v>12.381411802540601</v>
      </c>
      <c r="AQ7" s="1105">
        <f t="shared" si="2"/>
        <v>12.380504623099828</v>
      </c>
      <c r="AR7" s="1105">
        <f t="shared" si="3"/>
        <v>12.653374233128835</v>
      </c>
      <c r="AS7" s="1105">
        <f t="shared" si="4"/>
        <v>12.010347376201034</v>
      </c>
      <c r="AT7" s="1105">
        <f t="shared" si="5"/>
        <v>11.042722664735699</v>
      </c>
      <c r="AU7" s="1105">
        <f t="shared" si="6"/>
        <v>8.3999458068012469</v>
      </c>
      <c r="AV7" s="1105">
        <f t="shared" si="7"/>
        <v>6.7805804176837539</v>
      </c>
      <c r="AW7" s="1105">
        <f t="shared" si="8"/>
        <v>8.1103000811030004</v>
      </c>
      <c r="AX7" s="1105">
        <f t="shared" si="9"/>
        <v>9.8765432098765427</v>
      </c>
      <c r="AY7" s="1105">
        <f t="shared" si="10"/>
        <v>9.9351455774803377</v>
      </c>
      <c r="AZ7" s="1105">
        <f t="shared" si="11"/>
        <v>9.8066685346035314</v>
      </c>
      <c r="BA7" s="1105">
        <f t="shared" si="12"/>
        <v>7.1833126122392592</v>
      </c>
      <c r="BB7" s="1105">
        <f t="shared" si="13"/>
        <v>7.3703606212161095</v>
      </c>
      <c r="BC7" s="1105">
        <f t="shared" si="14"/>
        <v>4.898801082892871</v>
      </c>
      <c r="BD7" s="1306">
        <f t="shared" si="15"/>
        <v>5.0961905975283477</v>
      </c>
      <c r="BE7" s="1309">
        <f t="shared" si="16"/>
        <v>4.1386445938954992</v>
      </c>
      <c r="BF7" s="1537">
        <f t="shared" si="17"/>
        <v>3.432494279176201</v>
      </c>
      <c r="BG7" s="1537">
        <f t="shared" si="18"/>
        <v>2.5371051630090067</v>
      </c>
    </row>
    <row r="8" spans="1:59" s="142" customFormat="1" ht="15.75" customHeight="1" x14ac:dyDescent="0.2">
      <c r="A8" s="149" t="s">
        <v>16</v>
      </c>
      <c r="B8" s="186" t="s">
        <v>297</v>
      </c>
      <c r="C8" s="150" t="s">
        <v>265</v>
      </c>
      <c r="D8" s="1057">
        <v>37</v>
      </c>
      <c r="E8" s="1058">
        <v>40</v>
      </c>
      <c r="F8" s="1059">
        <v>30</v>
      </c>
      <c r="G8" s="1058">
        <v>24</v>
      </c>
      <c r="H8" s="1059">
        <v>21</v>
      </c>
      <c r="I8" s="1058">
        <v>21</v>
      </c>
      <c r="J8" s="1059">
        <v>33</v>
      </c>
      <c r="K8" s="1058">
        <v>22</v>
      </c>
      <c r="L8" s="1072">
        <v>35</v>
      </c>
      <c r="M8" s="1072">
        <v>31</v>
      </c>
      <c r="N8" s="1072">
        <v>36</v>
      </c>
      <c r="O8" s="1072">
        <v>20</v>
      </c>
      <c r="P8" s="1073">
        <v>22</v>
      </c>
      <c r="Q8" s="1073">
        <v>24</v>
      </c>
      <c r="R8" s="1300">
        <v>23</v>
      </c>
      <c r="S8" s="1301">
        <v>12</v>
      </c>
      <c r="T8" s="1531">
        <v>20</v>
      </c>
      <c r="U8" s="1708">
        <v>21</v>
      </c>
      <c r="V8" s="1531"/>
      <c r="W8" s="1080">
        <v>1395</v>
      </c>
      <c r="X8" s="1081">
        <v>1375</v>
      </c>
      <c r="Y8" s="1081">
        <v>1332</v>
      </c>
      <c r="Z8" s="1081">
        <v>1321</v>
      </c>
      <c r="AA8" s="1081">
        <v>1302</v>
      </c>
      <c r="AB8" s="1081">
        <v>1311</v>
      </c>
      <c r="AC8" s="1081">
        <v>1326</v>
      </c>
      <c r="AD8" s="1081">
        <v>1339</v>
      </c>
      <c r="AE8" s="1081">
        <v>1323</v>
      </c>
      <c r="AF8" s="1081">
        <v>1326</v>
      </c>
      <c r="AG8" s="1081">
        <v>1304</v>
      </c>
      <c r="AH8" s="1081">
        <v>1311</v>
      </c>
      <c r="AI8" s="1081">
        <v>1340</v>
      </c>
      <c r="AJ8" s="1081">
        <v>1316</v>
      </c>
      <c r="AK8" s="1303">
        <v>1324</v>
      </c>
      <c r="AL8" s="1304">
        <v>1295</v>
      </c>
      <c r="AM8" s="1699">
        <v>1245</v>
      </c>
      <c r="AN8" s="1699">
        <v>1197</v>
      </c>
      <c r="AO8" s="1532"/>
      <c r="AP8" s="1106">
        <f t="shared" si="1"/>
        <v>26.523297491039425</v>
      </c>
      <c r="AQ8" s="1107">
        <f t="shared" si="2"/>
        <v>29.09090909090909</v>
      </c>
      <c r="AR8" s="1107">
        <f t="shared" si="3"/>
        <v>22.522522522522522</v>
      </c>
      <c r="AS8" s="1107">
        <f t="shared" si="4"/>
        <v>18.168054504163514</v>
      </c>
      <c r="AT8" s="1107">
        <f t="shared" si="5"/>
        <v>16.129032258064516</v>
      </c>
      <c r="AU8" s="1107">
        <f t="shared" si="6"/>
        <v>16.018306636155607</v>
      </c>
      <c r="AV8" s="1107">
        <f t="shared" si="7"/>
        <v>24.886877828054295</v>
      </c>
      <c r="AW8" s="1107">
        <f t="shared" si="8"/>
        <v>16.430171769977594</v>
      </c>
      <c r="AX8" s="1107">
        <f t="shared" si="9"/>
        <v>26.455026455026452</v>
      </c>
      <c r="AY8" s="1107">
        <f t="shared" si="10"/>
        <v>23.378582202111613</v>
      </c>
      <c r="AZ8" s="1107">
        <f t="shared" si="11"/>
        <v>27.607361963190183</v>
      </c>
      <c r="BA8" s="1107">
        <f t="shared" si="12"/>
        <v>15.255530129672005</v>
      </c>
      <c r="BB8" s="1107">
        <f t="shared" si="13"/>
        <v>16.417910447761194</v>
      </c>
      <c r="BC8" s="1107">
        <f t="shared" si="14"/>
        <v>18.237082066869299</v>
      </c>
      <c r="BD8" s="1307">
        <f t="shared" si="15"/>
        <v>17.371601208459214</v>
      </c>
      <c r="BE8" s="1309">
        <f t="shared" si="16"/>
        <v>9.2664092664092657</v>
      </c>
      <c r="BF8" s="1537">
        <f t="shared" si="17"/>
        <v>16.064257028112447</v>
      </c>
      <c r="BG8" s="1537">
        <f t="shared" si="18"/>
        <v>17.543859649122805</v>
      </c>
    </row>
    <row r="9" spans="1:59" s="142" customFormat="1" ht="15.75" customHeight="1" x14ac:dyDescent="0.2">
      <c r="A9" s="149" t="s">
        <v>18</v>
      </c>
      <c r="B9" s="186" t="s">
        <v>19</v>
      </c>
      <c r="C9" s="150" t="s">
        <v>266</v>
      </c>
      <c r="D9" s="1057">
        <v>18</v>
      </c>
      <c r="E9" s="1058">
        <v>12</v>
      </c>
      <c r="F9" s="1059">
        <v>24</v>
      </c>
      <c r="G9" s="1058">
        <v>21</v>
      </c>
      <c r="H9" s="1059">
        <v>15</v>
      </c>
      <c r="I9" s="1058">
        <v>15</v>
      </c>
      <c r="J9" s="1059">
        <v>19</v>
      </c>
      <c r="K9" s="1058">
        <v>18</v>
      </c>
      <c r="L9" s="1072">
        <v>16</v>
      </c>
      <c r="M9" s="1072">
        <v>21</v>
      </c>
      <c r="N9" s="1072">
        <v>16</v>
      </c>
      <c r="O9" s="1072">
        <v>20</v>
      </c>
      <c r="P9" s="1073">
        <v>15</v>
      </c>
      <c r="Q9" s="1073">
        <v>6</v>
      </c>
      <c r="R9" s="1300">
        <v>14</v>
      </c>
      <c r="S9" s="1301">
        <v>9</v>
      </c>
      <c r="T9" s="1531">
        <v>8</v>
      </c>
      <c r="U9" s="1708">
        <v>6</v>
      </c>
      <c r="V9" s="1531"/>
      <c r="W9" s="1080">
        <v>617</v>
      </c>
      <c r="X9" s="1081">
        <v>616</v>
      </c>
      <c r="Y9" s="1081">
        <v>772</v>
      </c>
      <c r="Z9" s="1081">
        <v>790</v>
      </c>
      <c r="AA9" s="1081">
        <v>790</v>
      </c>
      <c r="AB9" s="1081">
        <v>770</v>
      </c>
      <c r="AC9" s="1081">
        <v>776</v>
      </c>
      <c r="AD9" s="1081">
        <v>762</v>
      </c>
      <c r="AE9" s="1081">
        <v>772</v>
      </c>
      <c r="AF9" s="1081">
        <v>752</v>
      </c>
      <c r="AG9" s="1081">
        <v>750</v>
      </c>
      <c r="AH9" s="1081">
        <v>807</v>
      </c>
      <c r="AI9" s="1081">
        <v>771</v>
      </c>
      <c r="AJ9" s="1081">
        <v>762</v>
      </c>
      <c r="AK9" s="1303">
        <v>754</v>
      </c>
      <c r="AL9" s="1304">
        <v>745</v>
      </c>
      <c r="AM9" s="1699">
        <v>750</v>
      </c>
      <c r="AN9" s="1699">
        <v>761</v>
      </c>
      <c r="AO9" s="1532"/>
      <c r="AP9" s="1106">
        <f t="shared" si="1"/>
        <v>29.173419773095624</v>
      </c>
      <c r="AQ9" s="1107">
        <f t="shared" si="2"/>
        <v>19.480519480519479</v>
      </c>
      <c r="AR9" s="1107">
        <f t="shared" si="3"/>
        <v>31.088082901554404</v>
      </c>
      <c r="AS9" s="1107">
        <f t="shared" si="4"/>
        <v>26.582278481012658</v>
      </c>
      <c r="AT9" s="1107">
        <f t="shared" si="5"/>
        <v>18.9873417721519</v>
      </c>
      <c r="AU9" s="1107">
        <f t="shared" si="6"/>
        <v>19.480519480519479</v>
      </c>
      <c r="AV9" s="1107">
        <f t="shared" si="7"/>
        <v>24.484536082474225</v>
      </c>
      <c r="AW9" s="1107">
        <f t="shared" si="8"/>
        <v>23.622047244094489</v>
      </c>
      <c r="AX9" s="1107">
        <f t="shared" si="9"/>
        <v>20.725388601036268</v>
      </c>
      <c r="AY9" s="1107">
        <f t="shared" si="10"/>
        <v>27.925531914893615</v>
      </c>
      <c r="AZ9" s="1107">
        <f t="shared" si="11"/>
        <v>21.333333333333332</v>
      </c>
      <c r="BA9" s="1107">
        <f t="shared" si="12"/>
        <v>24.783147459727388</v>
      </c>
      <c r="BB9" s="1107">
        <f t="shared" si="13"/>
        <v>19.45525291828794</v>
      </c>
      <c r="BC9" s="1107">
        <f t="shared" si="14"/>
        <v>7.8740157480314963</v>
      </c>
      <c r="BD9" s="1307">
        <f t="shared" si="15"/>
        <v>18.567639257294431</v>
      </c>
      <c r="BE9" s="1309">
        <f t="shared" si="16"/>
        <v>12.080536912751677</v>
      </c>
      <c r="BF9" s="1537">
        <f t="shared" si="17"/>
        <v>10.666666666666666</v>
      </c>
      <c r="BG9" s="1537">
        <f t="shared" si="18"/>
        <v>7.8843626806833109</v>
      </c>
    </row>
    <row r="10" spans="1:59" s="142" customFormat="1" ht="15.75" customHeight="1" x14ac:dyDescent="0.2">
      <c r="A10" s="149" t="s">
        <v>20</v>
      </c>
      <c r="B10" s="186" t="s">
        <v>21</v>
      </c>
      <c r="C10" s="150" t="s">
        <v>265</v>
      </c>
      <c r="D10" s="1057">
        <v>36</v>
      </c>
      <c r="E10" s="1058">
        <v>43</v>
      </c>
      <c r="F10" s="1059">
        <v>46</v>
      </c>
      <c r="G10" s="1058">
        <v>39</v>
      </c>
      <c r="H10" s="1059">
        <v>41</v>
      </c>
      <c r="I10" s="1058">
        <v>39</v>
      </c>
      <c r="J10" s="1059">
        <v>42</v>
      </c>
      <c r="K10" s="1058">
        <v>35</v>
      </c>
      <c r="L10" s="1072">
        <v>35</v>
      </c>
      <c r="M10" s="1072">
        <v>40</v>
      </c>
      <c r="N10" s="1072">
        <v>51</v>
      </c>
      <c r="O10" s="1072">
        <v>46</v>
      </c>
      <c r="P10" s="1073">
        <v>45</v>
      </c>
      <c r="Q10" s="1073">
        <v>30</v>
      </c>
      <c r="R10" s="1300">
        <v>35</v>
      </c>
      <c r="S10" s="1301">
        <v>24</v>
      </c>
      <c r="T10" s="1531">
        <v>27</v>
      </c>
      <c r="U10" s="1708">
        <v>20</v>
      </c>
      <c r="V10" s="1531"/>
      <c r="W10" s="1080">
        <v>2061</v>
      </c>
      <c r="X10" s="1081">
        <v>2058</v>
      </c>
      <c r="Y10" s="1081">
        <v>2437</v>
      </c>
      <c r="Z10" s="1081">
        <v>2446</v>
      </c>
      <c r="AA10" s="1081">
        <v>2438</v>
      </c>
      <c r="AB10" s="1081">
        <v>2410</v>
      </c>
      <c r="AC10" s="1081">
        <v>2436</v>
      </c>
      <c r="AD10" s="1081">
        <v>2404</v>
      </c>
      <c r="AE10" s="1081">
        <v>2362</v>
      </c>
      <c r="AF10" s="1081">
        <v>2395</v>
      </c>
      <c r="AG10" s="1081">
        <v>2394</v>
      </c>
      <c r="AH10" s="1081">
        <v>2420</v>
      </c>
      <c r="AI10" s="1081">
        <v>2249</v>
      </c>
      <c r="AJ10" s="1081">
        <v>2188</v>
      </c>
      <c r="AK10" s="1303">
        <v>2114</v>
      </c>
      <c r="AL10" s="1304">
        <v>2054</v>
      </c>
      <c r="AM10" s="1699">
        <v>1973</v>
      </c>
      <c r="AN10" s="1699">
        <v>1920</v>
      </c>
      <c r="AO10" s="1532"/>
      <c r="AP10" s="1106">
        <f t="shared" si="1"/>
        <v>17.467248908296941</v>
      </c>
      <c r="AQ10" s="1107">
        <f t="shared" si="2"/>
        <v>20.894071914480079</v>
      </c>
      <c r="AR10" s="1107">
        <f t="shared" si="3"/>
        <v>18.875666803446862</v>
      </c>
      <c r="AS10" s="1107">
        <f t="shared" si="4"/>
        <v>15.944399018806214</v>
      </c>
      <c r="AT10" s="1107">
        <f t="shared" si="5"/>
        <v>16.817063166529941</v>
      </c>
      <c r="AU10" s="1107">
        <f t="shared" si="6"/>
        <v>16.182572614107887</v>
      </c>
      <c r="AV10" s="1107">
        <f t="shared" si="7"/>
        <v>17.241379310344826</v>
      </c>
      <c r="AW10" s="1107">
        <f t="shared" si="8"/>
        <v>14.559068219633943</v>
      </c>
      <c r="AX10" s="1107">
        <f t="shared" si="9"/>
        <v>14.817950889077053</v>
      </c>
      <c r="AY10" s="1107">
        <f t="shared" si="10"/>
        <v>16.701461377870562</v>
      </c>
      <c r="AZ10" s="1107">
        <f t="shared" si="11"/>
        <v>21.303258145363408</v>
      </c>
      <c r="BA10" s="1107">
        <f t="shared" si="12"/>
        <v>19.008264462809915</v>
      </c>
      <c r="BB10" s="1107">
        <f t="shared" si="13"/>
        <v>20.008892841262782</v>
      </c>
      <c r="BC10" s="1107">
        <f t="shared" si="14"/>
        <v>13.711151736745887</v>
      </c>
      <c r="BD10" s="1307">
        <f t="shared" si="15"/>
        <v>16.556291390728479</v>
      </c>
      <c r="BE10" s="1309">
        <f t="shared" si="16"/>
        <v>11.684518013631937</v>
      </c>
      <c r="BF10" s="1537">
        <f t="shared" si="17"/>
        <v>13.684744044602128</v>
      </c>
      <c r="BG10" s="1537">
        <f t="shared" si="18"/>
        <v>10.416666666666666</v>
      </c>
    </row>
    <row r="11" spans="1:59" s="142" customFormat="1" ht="15.75" customHeight="1" x14ac:dyDescent="0.2">
      <c r="A11" s="149" t="s">
        <v>22</v>
      </c>
      <c r="B11" s="186" t="s">
        <v>23</v>
      </c>
      <c r="C11" s="150" t="s">
        <v>265</v>
      </c>
      <c r="D11" s="1057">
        <v>19</v>
      </c>
      <c r="E11" s="1058">
        <v>23</v>
      </c>
      <c r="F11" s="1059">
        <v>21</v>
      </c>
      <c r="G11" s="1058">
        <v>20</v>
      </c>
      <c r="H11" s="1059">
        <v>21</v>
      </c>
      <c r="I11" s="1058">
        <v>23</v>
      </c>
      <c r="J11" s="1059">
        <v>22</v>
      </c>
      <c r="K11" s="1058">
        <v>20</v>
      </c>
      <c r="L11" s="1072">
        <v>21</v>
      </c>
      <c r="M11" s="1072">
        <v>17</v>
      </c>
      <c r="N11" s="1072">
        <v>20</v>
      </c>
      <c r="O11" s="1072">
        <v>15</v>
      </c>
      <c r="P11" s="1073">
        <v>19</v>
      </c>
      <c r="Q11" s="1073">
        <v>17</v>
      </c>
      <c r="R11" s="1300">
        <v>16</v>
      </c>
      <c r="S11" s="1301">
        <v>11</v>
      </c>
      <c r="T11" s="1531">
        <v>12</v>
      </c>
      <c r="U11" s="1708">
        <v>9</v>
      </c>
      <c r="V11" s="1531"/>
      <c r="W11" s="1080">
        <v>853</v>
      </c>
      <c r="X11" s="1081">
        <v>848</v>
      </c>
      <c r="Y11" s="1081">
        <v>907</v>
      </c>
      <c r="Z11" s="1081">
        <v>924</v>
      </c>
      <c r="AA11" s="1081">
        <v>912</v>
      </c>
      <c r="AB11" s="1081">
        <v>900</v>
      </c>
      <c r="AC11" s="1081">
        <v>894</v>
      </c>
      <c r="AD11" s="1081">
        <v>894</v>
      </c>
      <c r="AE11" s="1081">
        <v>873</v>
      </c>
      <c r="AF11" s="1081">
        <v>856</v>
      </c>
      <c r="AG11" s="1081">
        <v>861</v>
      </c>
      <c r="AH11" s="1081">
        <v>875</v>
      </c>
      <c r="AI11" s="1081">
        <v>902</v>
      </c>
      <c r="AJ11" s="1081">
        <v>905</v>
      </c>
      <c r="AK11" s="1303">
        <v>907</v>
      </c>
      <c r="AL11" s="1304">
        <v>908</v>
      </c>
      <c r="AM11" s="1699">
        <v>914</v>
      </c>
      <c r="AN11" s="1699">
        <v>907</v>
      </c>
      <c r="AO11" s="1532"/>
      <c r="AP11" s="1106">
        <f t="shared" si="1"/>
        <v>22.274325908558033</v>
      </c>
      <c r="AQ11" s="1107">
        <f t="shared" si="2"/>
        <v>27.122641509433961</v>
      </c>
      <c r="AR11" s="1107">
        <f t="shared" si="3"/>
        <v>23.153252480705625</v>
      </c>
      <c r="AS11" s="1107">
        <f t="shared" si="4"/>
        <v>21.645021645021643</v>
      </c>
      <c r="AT11" s="1107">
        <f t="shared" si="5"/>
        <v>23.026315789473681</v>
      </c>
      <c r="AU11" s="1107">
        <f t="shared" si="6"/>
        <v>25.555555555555557</v>
      </c>
      <c r="AV11" s="1107">
        <f t="shared" si="7"/>
        <v>24.608501118568235</v>
      </c>
      <c r="AW11" s="1107">
        <f t="shared" si="8"/>
        <v>22.371364653243848</v>
      </c>
      <c r="AX11" s="1107">
        <f t="shared" si="9"/>
        <v>24.054982817869416</v>
      </c>
      <c r="AY11" s="1107">
        <f t="shared" si="10"/>
        <v>19.859813084112147</v>
      </c>
      <c r="AZ11" s="1107">
        <f t="shared" si="11"/>
        <v>23.228803716608596</v>
      </c>
      <c r="BA11" s="1107">
        <f t="shared" si="12"/>
        <v>17.142857142857142</v>
      </c>
      <c r="BB11" s="1107">
        <f t="shared" si="13"/>
        <v>21.064301552106432</v>
      </c>
      <c r="BC11" s="1107">
        <f t="shared" si="14"/>
        <v>18.784530386740332</v>
      </c>
      <c r="BD11" s="1307">
        <f t="shared" si="15"/>
        <v>17.640573318632857</v>
      </c>
      <c r="BE11" s="1309">
        <f t="shared" si="16"/>
        <v>12.114537444933921</v>
      </c>
      <c r="BF11" s="1537">
        <f t="shared" si="17"/>
        <v>13.129102844638949</v>
      </c>
      <c r="BG11" s="1537">
        <f t="shared" si="18"/>
        <v>9.9228224917309813</v>
      </c>
    </row>
    <row r="12" spans="1:59" s="142" customFormat="1" ht="15.75" customHeight="1" x14ac:dyDescent="0.2">
      <c r="A12" s="149" t="s">
        <v>24</v>
      </c>
      <c r="B12" s="186" t="s">
        <v>25</v>
      </c>
      <c r="C12" s="150" t="s">
        <v>267</v>
      </c>
      <c r="D12" s="1057">
        <v>156</v>
      </c>
      <c r="E12" s="1058">
        <v>138</v>
      </c>
      <c r="F12" s="1059">
        <v>130</v>
      </c>
      <c r="G12" s="1058">
        <v>127</v>
      </c>
      <c r="H12" s="1059">
        <v>103</v>
      </c>
      <c r="I12" s="1058">
        <v>91</v>
      </c>
      <c r="J12" s="1059">
        <v>111</v>
      </c>
      <c r="K12" s="1058">
        <v>76</v>
      </c>
      <c r="L12" s="1072">
        <v>89</v>
      </c>
      <c r="M12" s="1072">
        <v>80</v>
      </c>
      <c r="N12" s="1072">
        <v>93</v>
      </c>
      <c r="O12" s="1072">
        <v>65</v>
      </c>
      <c r="P12" s="1073">
        <v>63</v>
      </c>
      <c r="Q12" s="1073">
        <v>53</v>
      </c>
      <c r="R12" s="1300">
        <v>54</v>
      </c>
      <c r="S12" s="1301">
        <v>45</v>
      </c>
      <c r="T12" s="1531">
        <v>40</v>
      </c>
      <c r="U12" s="1708">
        <v>55</v>
      </c>
      <c r="V12" s="1531"/>
      <c r="W12" s="1080">
        <v>7605</v>
      </c>
      <c r="X12" s="1081">
        <v>7799</v>
      </c>
      <c r="Y12" s="1081">
        <v>7262</v>
      </c>
      <c r="Z12" s="1081">
        <v>7188</v>
      </c>
      <c r="AA12" s="1081">
        <v>7052</v>
      </c>
      <c r="AB12" s="1081">
        <v>6856</v>
      </c>
      <c r="AC12" s="1081">
        <v>7103</v>
      </c>
      <c r="AD12" s="1081">
        <v>7207</v>
      </c>
      <c r="AE12" s="1081">
        <v>7185</v>
      </c>
      <c r="AF12" s="1081">
        <v>8003</v>
      </c>
      <c r="AG12" s="1081">
        <v>8243</v>
      </c>
      <c r="AH12" s="1081">
        <v>7024</v>
      </c>
      <c r="AI12" s="1081">
        <v>6996</v>
      </c>
      <c r="AJ12" s="1081">
        <v>7434</v>
      </c>
      <c r="AK12" s="1303">
        <v>7787</v>
      </c>
      <c r="AL12" s="1304">
        <v>8051</v>
      </c>
      <c r="AM12" s="1699">
        <v>8437</v>
      </c>
      <c r="AN12" s="1699">
        <v>8853</v>
      </c>
      <c r="AO12" s="1532"/>
      <c r="AP12" s="1106">
        <f t="shared" si="1"/>
        <v>20.512820512820515</v>
      </c>
      <c r="AQ12" s="1107">
        <f t="shared" si="2"/>
        <v>17.694576227721502</v>
      </c>
      <c r="AR12" s="1107">
        <f t="shared" si="3"/>
        <v>17.901404571743321</v>
      </c>
      <c r="AS12" s="1107">
        <f t="shared" si="4"/>
        <v>17.66833611574847</v>
      </c>
      <c r="AT12" s="1107">
        <f t="shared" si="5"/>
        <v>14.605785592739648</v>
      </c>
      <c r="AU12" s="1107">
        <f t="shared" si="6"/>
        <v>13.273045507584598</v>
      </c>
      <c r="AV12" s="1107">
        <f t="shared" si="7"/>
        <v>15.627199774743065</v>
      </c>
      <c r="AW12" s="1107">
        <f t="shared" si="8"/>
        <v>10.545303177466351</v>
      </c>
      <c r="AX12" s="1107">
        <f t="shared" si="9"/>
        <v>12.386917188587335</v>
      </c>
      <c r="AY12" s="1107">
        <f t="shared" si="10"/>
        <v>9.9962514057228535</v>
      </c>
      <c r="AZ12" s="1107">
        <f t="shared" si="11"/>
        <v>11.282300133446562</v>
      </c>
      <c r="BA12" s="1107">
        <f t="shared" si="12"/>
        <v>9.2539863325740317</v>
      </c>
      <c r="BB12" s="1107">
        <f t="shared" si="13"/>
        <v>9.0051457975986278</v>
      </c>
      <c r="BC12" s="1107">
        <f t="shared" si="14"/>
        <v>7.12940543449018</v>
      </c>
      <c r="BD12" s="1307">
        <f t="shared" si="15"/>
        <v>6.9346346474894052</v>
      </c>
      <c r="BE12" s="1309">
        <f t="shared" si="16"/>
        <v>5.5893677803999502</v>
      </c>
      <c r="BF12" s="1537">
        <f t="shared" si="17"/>
        <v>4.7410216901742324</v>
      </c>
      <c r="BG12" s="1537">
        <f t="shared" si="18"/>
        <v>6.2125833050943182</v>
      </c>
    </row>
    <row r="13" spans="1:59" s="142" customFormat="1" ht="15.75" customHeight="1" x14ac:dyDescent="0.2">
      <c r="A13" s="149" t="s">
        <v>26</v>
      </c>
      <c r="B13" s="186" t="s">
        <v>298</v>
      </c>
      <c r="C13" s="150" t="s">
        <v>265</v>
      </c>
      <c r="D13" s="1057">
        <v>146</v>
      </c>
      <c r="E13" s="1058">
        <v>154</v>
      </c>
      <c r="F13" s="1059">
        <v>155</v>
      </c>
      <c r="G13" s="1058">
        <v>147</v>
      </c>
      <c r="H13" s="1059">
        <v>159</v>
      </c>
      <c r="I13" s="1058">
        <v>164</v>
      </c>
      <c r="J13" s="1059">
        <v>162</v>
      </c>
      <c r="K13" s="1058">
        <v>153</v>
      </c>
      <c r="L13" s="1072">
        <v>139</v>
      </c>
      <c r="M13" s="1072">
        <v>162</v>
      </c>
      <c r="N13" s="1072">
        <v>161</v>
      </c>
      <c r="O13" s="1072">
        <v>146</v>
      </c>
      <c r="P13" s="1073">
        <v>131</v>
      </c>
      <c r="Q13" s="1073">
        <v>113</v>
      </c>
      <c r="R13" s="1300">
        <v>104</v>
      </c>
      <c r="S13" s="1301">
        <v>80</v>
      </c>
      <c r="T13" s="1531">
        <v>96</v>
      </c>
      <c r="U13" s="1708">
        <v>87</v>
      </c>
      <c r="V13" s="1531"/>
      <c r="W13" s="1080">
        <v>6768</v>
      </c>
      <c r="X13" s="1081">
        <v>6812</v>
      </c>
      <c r="Y13" s="1081">
        <v>7100</v>
      </c>
      <c r="Z13" s="1081">
        <v>7139</v>
      </c>
      <c r="AA13" s="1081">
        <v>7238</v>
      </c>
      <c r="AB13" s="1081">
        <v>7351</v>
      </c>
      <c r="AC13" s="1081">
        <v>7420</v>
      </c>
      <c r="AD13" s="1081">
        <v>7292</v>
      </c>
      <c r="AE13" s="1081">
        <v>7099</v>
      </c>
      <c r="AF13" s="1081">
        <v>7050</v>
      </c>
      <c r="AG13" s="1081">
        <v>6992</v>
      </c>
      <c r="AH13" s="1081">
        <v>7223</v>
      </c>
      <c r="AI13" s="1081">
        <v>7305</v>
      </c>
      <c r="AJ13" s="1081">
        <v>7164</v>
      </c>
      <c r="AK13" s="1303">
        <v>7006</v>
      </c>
      <c r="AL13" s="1304">
        <v>7109</v>
      </c>
      <c r="AM13" s="1699">
        <v>7026</v>
      </c>
      <c r="AN13" s="1699">
        <v>6924</v>
      </c>
      <c r="AO13" s="1532"/>
      <c r="AP13" s="1106">
        <f t="shared" si="1"/>
        <v>21.57210401891253</v>
      </c>
      <c r="AQ13" s="1107">
        <f t="shared" si="2"/>
        <v>22.607163828537875</v>
      </c>
      <c r="AR13" s="1107">
        <f t="shared" si="3"/>
        <v>21.830985915492956</v>
      </c>
      <c r="AS13" s="1107">
        <f t="shared" si="4"/>
        <v>20.591119204370358</v>
      </c>
      <c r="AT13" s="1107">
        <f t="shared" si="5"/>
        <v>21.967394307819841</v>
      </c>
      <c r="AU13" s="1107">
        <f t="shared" si="6"/>
        <v>22.309889810910082</v>
      </c>
      <c r="AV13" s="1107">
        <f t="shared" si="7"/>
        <v>21.832884097035041</v>
      </c>
      <c r="AW13" s="1107">
        <f t="shared" si="8"/>
        <v>20.981897970378494</v>
      </c>
      <c r="AX13" s="1107">
        <f t="shared" si="9"/>
        <v>19.580222566558668</v>
      </c>
      <c r="AY13" s="1107">
        <f t="shared" si="10"/>
        <v>22.978723404255319</v>
      </c>
      <c r="AZ13" s="1107">
        <f t="shared" si="11"/>
        <v>23.026315789473681</v>
      </c>
      <c r="BA13" s="1107">
        <f t="shared" si="12"/>
        <v>20.213207808389868</v>
      </c>
      <c r="BB13" s="1107">
        <f t="shared" si="13"/>
        <v>17.932922655715263</v>
      </c>
      <c r="BC13" s="1107">
        <f t="shared" si="14"/>
        <v>15.773310999441653</v>
      </c>
      <c r="BD13" s="1307">
        <f t="shared" si="15"/>
        <v>14.844419069369112</v>
      </c>
      <c r="BE13" s="1309">
        <f t="shared" si="16"/>
        <v>11.253340835560557</v>
      </c>
      <c r="BF13" s="1537">
        <f t="shared" si="17"/>
        <v>13.663535439795046</v>
      </c>
      <c r="BG13" s="1537">
        <f t="shared" si="18"/>
        <v>12.564991334488735</v>
      </c>
    </row>
    <row r="14" spans="1:59" s="142" customFormat="1" ht="15.75" customHeight="1" x14ac:dyDescent="0.2">
      <c r="A14" s="149" t="s">
        <v>27</v>
      </c>
      <c r="B14" s="186" t="s">
        <v>28</v>
      </c>
      <c r="C14" s="150" t="s">
        <v>265</v>
      </c>
      <c r="D14" s="1057">
        <v>6</v>
      </c>
      <c r="E14" s="1058">
        <v>2</v>
      </c>
      <c r="F14" s="1059">
        <v>2</v>
      </c>
      <c r="G14" s="1058">
        <v>1</v>
      </c>
      <c r="H14" s="1059">
        <v>1</v>
      </c>
      <c r="I14" s="1058">
        <v>2</v>
      </c>
      <c r="J14" s="1059">
        <v>1</v>
      </c>
      <c r="K14" s="1058">
        <v>1</v>
      </c>
      <c r="L14" s="1072">
        <v>1</v>
      </c>
      <c r="M14" s="1072">
        <v>1</v>
      </c>
      <c r="N14" s="1072">
        <v>4</v>
      </c>
      <c r="O14" s="1072">
        <v>1</v>
      </c>
      <c r="P14" s="1073">
        <v>6</v>
      </c>
      <c r="Q14" s="1073">
        <v>1</v>
      </c>
      <c r="R14" s="1300">
        <v>4</v>
      </c>
      <c r="S14" s="1301">
        <v>5</v>
      </c>
      <c r="T14" s="1531">
        <v>4</v>
      </c>
      <c r="U14" s="1708">
        <v>1</v>
      </c>
      <c r="V14" s="1531"/>
      <c r="W14" s="1080">
        <v>229</v>
      </c>
      <c r="X14" s="1081">
        <v>225</v>
      </c>
      <c r="Y14" s="1081">
        <v>302</v>
      </c>
      <c r="Z14" s="1081">
        <v>298</v>
      </c>
      <c r="AA14" s="1081">
        <v>306</v>
      </c>
      <c r="AB14" s="1081">
        <v>307</v>
      </c>
      <c r="AC14" s="1081">
        <v>302</v>
      </c>
      <c r="AD14" s="1081">
        <v>301</v>
      </c>
      <c r="AE14" s="1081">
        <v>290</v>
      </c>
      <c r="AF14" s="1081">
        <v>267</v>
      </c>
      <c r="AG14" s="1081">
        <v>249</v>
      </c>
      <c r="AH14" s="1081">
        <v>272</v>
      </c>
      <c r="AI14" s="1081">
        <v>255</v>
      </c>
      <c r="AJ14" s="1081">
        <v>247</v>
      </c>
      <c r="AK14" s="1303">
        <v>260</v>
      </c>
      <c r="AL14" s="1304">
        <v>228</v>
      </c>
      <c r="AM14" s="1699">
        <v>213</v>
      </c>
      <c r="AN14" s="1699">
        <v>217</v>
      </c>
      <c r="AO14" s="1532"/>
      <c r="AP14" s="1106">
        <f t="shared" si="1"/>
        <v>26.200873362445414</v>
      </c>
      <c r="AQ14" s="1107">
        <f t="shared" si="2"/>
        <v>8.8888888888888893</v>
      </c>
      <c r="AR14" s="1107">
        <f t="shared" si="3"/>
        <v>6.6225165562913908</v>
      </c>
      <c r="AS14" s="1107">
        <f t="shared" si="4"/>
        <v>3.3557046979865772</v>
      </c>
      <c r="AT14" s="1107">
        <f t="shared" si="5"/>
        <v>3.2679738562091503</v>
      </c>
      <c r="AU14" s="1107">
        <f t="shared" si="6"/>
        <v>6.5146579804560263</v>
      </c>
      <c r="AV14" s="1107">
        <f t="shared" si="7"/>
        <v>3.3112582781456954</v>
      </c>
      <c r="AW14" s="1107">
        <f t="shared" si="8"/>
        <v>3.3222591362126246</v>
      </c>
      <c r="AX14" s="1107">
        <f t="shared" si="9"/>
        <v>3.4482758620689653</v>
      </c>
      <c r="AY14" s="1107">
        <f t="shared" si="10"/>
        <v>3.7453183520599249</v>
      </c>
      <c r="AZ14" s="1107">
        <f t="shared" si="11"/>
        <v>16.064257028112447</v>
      </c>
      <c r="BA14" s="1107">
        <f t="shared" si="12"/>
        <v>3.6764705882352939</v>
      </c>
      <c r="BB14" s="1107">
        <f t="shared" si="13"/>
        <v>23.52941176470588</v>
      </c>
      <c r="BC14" s="1107">
        <f t="shared" si="14"/>
        <v>4.048582995951417</v>
      </c>
      <c r="BD14" s="1307">
        <f t="shared" si="15"/>
        <v>15.384615384615385</v>
      </c>
      <c r="BE14" s="1309">
        <f t="shared" si="16"/>
        <v>21.929824561403507</v>
      </c>
      <c r="BF14" s="1537">
        <f t="shared" si="17"/>
        <v>18.779342723004696</v>
      </c>
      <c r="BG14" s="1537">
        <f t="shared" si="18"/>
        <v>4.6082949308755756</v>
      </c>
    </row>
    <row r="15" spans="1:59" s="142" customFormat="1" ht="15.75" customHeight="1" x14ac:dyDescent="0.2">
      <c r="A15" s="149" t="s">
        <v>29</v>
      </c>
      <c r="B15" s="186" t="s">
        <v>901</v>
      </c>
      <c r="C15" s="150" t="s">
        <v>265</v>
      </c>
      <c r="D15" s="1057">
        <v>70</v>
      </c>
      <c r="E15" s="1058">
        <v>58</v>
      </c>
      <c r="F15" s="1059">
        <v>70</v>
      </c>
      <c r="G15" s="1058">
        <v>52</v>
      </c>
      <c r="H15" s="1059">
        <v>68</v>
      </c>
      <c r="I15" s="1058">
        <v>63</v>
      </c>
      <c r="J15" s="1059">
        <v>73</v>
      </c>
      <c r="K15" s="1058">
        <v>60</v>
      </c>
      <c r="L15" s="1072">
        <v>66</v>
      </c>
      <c r="M15" s="1072">
        <v>64</v>
      </c>
      <c r="N15" s="1072">
        <v>69</v>
      </c>
      <c r="O15" s="1072">
        <v>69</v>
      </c>
      <c r="P15" s="1073">
        <v>45</v>
      </c>
      <c r="Q15" s="1073">
        <v>59</v>
      </c>
      <c r="R15" s="1300">
        <v>44</v>
      </c>
      <c r="S15" s="1301">
        <v>39</v>
      </c>
      <c r="T15" s="1531">
        <v>41</v>
      </c>
      <c r="U15" s="1708">
        <v>26</v>
      </c>
      <c r="V15" s="1531"/>
      <c r="W15" s="1080">
        <v>3511</v>
      </c>
      <c r="X15" s="1081">
        <v>3547</v>
      </c>
      <c r="Y15" s="1081">
        <v>4207</v>
      </c>
      <c r="Z15" s="1081">
        <v>4351</v>
      </c>
      <c r="AA15" s="1081">
        <v>4474</v>
      </c>
      <c r="AB15" s="1081">
        <v>4552</v>
      </c>
      <c r="AC15" s="1081">
        <v>4610</v>
      </c>
      <c r="AD15" s="1081">
        <v>4536</v>
      </c>
      <c r="AE15" s="1081">
        <v>4477</v>
      </c>
      <c r="AF15" s="1081">
        <v>4422</v>
      </c>
      <c r="AG15" s="1081">
        <v>4347</v>
      </c>
      <c r="AH15" s="1081">
        <v>4815</v>
      </c>
      <c r="AI15" s="1081">
        <v>4789</v>
      </c>
      <c r="AJ15" s="1081">
        <v>4775</v>
      </c>
      <c r="AK15" s="1303">
        <v>4701</v>
      </c>
      <c r="AL15" s="1304">
        <v>4693</v>
      </c>
      <c r="AM15" s="1699">
        <v>4716</v>
      </c>
      <c r="AN15" s="1699">
        <v>4780</v>
      </c>
      <c r="AO15" s="1532"/>
      <c r="AP15" s="1106">
        <f t="shared" si="1"/>
        <v>19.937339789233835</v>
      </c>
      <c r="AQ15" s="1107">
        <f t="shared" si="2"/>
        <v>16.351846630955738</v>
      </c>
      <c r="AR15" s="1107">
        <f t="shared" si="3"/>
        <v>16.638935108153078</v>
      </c>
      <c r="AS15" s="1107">
        <f t="shared" si="4"/>
        <v>11.951275568834751</v>
      </c>
      <c r="AT15" s="1107">
        <f t="shared" si="5"/>
        <v>15.198927134555209</v>
      </c>
      <c r="AU15" s="1107">
        <f t="shared" si="6"/>
        <v>13.840070298769772</v>
      </c>
      <c r="AV15" s="1107">
        <f t="shared" si="7"/>
        <v>15.835140997830802</v>
      </c>
      <c r="AW15" s="1107">
        <f t="shared" si="8"/>
        <v>13.227513227513226</v>
      </c>
      <c r="AX15" s="1107">
        <f t="shared" si="9"/>
        <v>14.742014742014742</v>
      </c>
      <c r="AY15" s="1107">
        <f t="shared" si="10"/>
        <v>14.473089099954771</v>
      </c>
      <c r="AZ15" s="1107">
        <f t="shared" si="11"/>
        <v>15.873015873015872</v>
      </c>
      <c r="BA15" s="1107">
        <f t="shared" si="12"/>
        <v>14.330218068535824</v>
      </c>
      <c r="BB15" s="1107">
        <f t="shared" si="13"/>
        <v>9.3965337231154731</v>
      </c>
      <c r="BC15" s="1107">
        <f t="shared" si="14"/>
        <v>12.356020942408378</v>
      </c>
      <c r="BD15" s="1307">
        <f t="shared" si="15"/>
        <v>9.3597106998510959</v>
      </c>
      <c r="BE15" s="1309">
        <f t="shared" si="16"/>
        <v>8.310249307479225</v>
      </c>
      <c r="BF15" s="1537">
        <f t="shared" si="17"/>
        <v>8.6938083121289225</v>
      </c>
      <c r="BG15" s="1537">
        <f t="shared" si="18"/>
        <v>5.4393305439330542</v>
      </c>
    </row>
    <row r="16" spans="1:59" s="142" customFormat="1" ht="15.75" customHeight="1" x14ac:dyDescent="0.2">
      <c r="A16" s="149" t="s">
        <v>30</v>
      </c>
      <c r="B16" s="186" t="s">
        <v>31</v>
      </c>
      <c r="C16" s="150" t="s">
        <v>268</v>
      </c>
      <c r="D16" s="1057">
        <v>5</v>
      </c>
      <c r="E16" s="1058">
        <v>5</v>
      </c>
      <c r="F16" s="1059">
        <v>7</v>
      </c>
      <c r="G16" s="1058">
        <v>7</v>
      </c>
      <c r="H16" s="1059">
        <v>4</v>
      </c>
      <c r="I16" s="1058">
        <v>1</v>
      </c>
      <c r="J16" s="1059">
        <v>2</v>
      </c>
      <c r="K16" s="1058">
        <v>4</v>
      </c>
      <c r="L16" s="1072">
        <v>5</v>
      </c>
      <c r="M16" s="1072">
        <v>6</v>
      </c>
      <c r="N16" s="1072">
        <v>9</v>
      </c>
      <c r="O16" s="1072">
        <v>2</v>
      </c>
      <c r="P16" s="1073">
        <v>8</v>
      </c>
      <c r="Q16" s="1073">
        <v>10</v>
      </c>
      <c r="R16" s="1300">
        <v>7</v>
      </c>
      <c r="S16" s="1301">
        <v>2</v>
      </c>
      <c r="T16" s="1531">
        <v>3</v>
      </c>
      <c r="U16" s="1708">
        <v>1</v>
      </c>
      <c r="V16" s="1531"/>
      <c r="W16" s="1080">
        <v>391</v>
      </c>
      <c r="X16" s="1081">
        <v>385</v>
      </c>
      <c r="Y16" s="1081">
        <v>375</v>
      </c>
      <c r="Z16" s="1081">
        <v>377</v>
      </c>
      <c r="AA16" s="1081">
        <v>369</v>
      </c>
      <c r="AB16" s="1081">
        <v>373</v>
      </c>
      <c r="AC16" s="1081">
        <v>370</v>
      </c>
      <c r="AD16" s="1081">
        <v>356</v>
      </c>
      <c r="AE16" s="1081">
        <v>334</v>
      </c>
      <c r="AF16" s="1081">
        <v>330</v>
      </c>
      <c r="AG16" s="1081">
        <v>326</v>
      </c>
      <c r="AH16" s="1081">
        <v>355</v>
      </c>
      <c r="AI16" s="1081">
        <v>347</v>
      </c>
      <c r="AJ16" s="1081">
        <v>328</v>
      </c>
      <c r="AK16" s="1303">
        <v>313</v>
      </c>
      <c r="AL16" s="1304">
        <v>319</v>
      </c>
      <c r="AM16" s="1699">
        <v>294</v>
      </c>
      <c r="AN16" s="1699">
        <v>296</v>
      </c>
      <c r="AO16" s="1532"/>
      <c r="AP16" s="1106">
        <f t="shared" si="1"/>
        <v>12.787723785166239</v>
      </c>
      <c r="AQ16" s="1107">
        <f t="shared" si="2"/>
        <v>12.987012987012989</v>
      </c>
      <c r="AR16" s="1107">
        <f t="shared" si="3"/>
        <v>18.666666666666668</v>
      </c>
      <c r="AS16" s="1107">
        <f t="shared" si="4"/>
        <v>18.567639257294431</v>
      </c>
      <c r="AT16" s="1107">
        <f t="shared" si="5"/>
        <v>10.840108401084011</v>
      </c>
      <c r="AU16" s="1107">
        <f t="shared" si="6"/>
        <v>2.6809651474530831</v>
      </c>
      <c r="AV16" s="1107">
        <f t="shared" si="7"/>
        <v>5.4054054054054053</v>
      </c>
      <c r="AW16" s="1107">
        <f t="shared" si="8"/>
        <v>11.235955056179774</v>
      </c>
      <c r="AX16" s="1107">
        <f t="shared" si="9"/>
        <v>14.970059880239521</v>
      </c>
      <c r="AY16" s="1107">
        <f t="shared" si="10"/>
        <v>18.18181818181818</v>
      </c>
      <c r="AZ16" s="1107">
        <f t="shared" si="11"/>
        <v>27.607361963190183</v>
      </c>
      <c r="BA16" s="1107">
        <f t="shared" si="12"/>
        <v>5.6338028169014089</v>
      </c>
      <c r="BB16" s="1107">
        <f t="shared" si="13"/>
        <v>23.054755043227665</v>
      </c>
      <c r="BC16" s="1107">
        <f t="shared" si="14"/>
        <v>30.487804878048781</v>
      </c>
      <c r="BD16" s="1307">
        <f t="shared" si="15"/>
        <v>22.364217252396166</v>
      </c>
      <c r="BE16" s="1309">
        <f t="shared" si="16"/>
        <v>6.2695924764890281</v>
      </c>
      <c r="BF16" s="1537">
        <f t="shared" si="17"/>
        <v>10.204081632653061</v>
      </c>
      <c r="BG16" s="1537">
        <f t="shared" si="18"/>
        <v>3.3783783783783785</v>
      </c>
    </row>
    <row r="17" spans="1:59" s="142" customFormat="1" ht="15.75" customHeight="1" x14ac:dyDescent="0.2">
      <c r="A17" s="149" t="s">
        <v>32</v>
      </c>
      <c r="B17" s="186" t="s">
        <v>33</v>
      </c>
      <c r="C17" s="150" t="s">
        <v>265</v>
      </c>
      <c r="D17" s="1057">
        <v>32</v>
      </c>
      <c r="E17" s="1058">
        <v>23</v>
      </c>
      <c r="F17" s="1059">
        <v>23</v>
      </c>
      <c r="G17" s="1058">
        <v>17</v>
      </c>
      <c r="H17" s="1059">
        <v>28</v>
      </c>
      <c r="I17" s="1058">
        <v>21</v>
      </c>
      <c r="J17" s="1059">
        <v>15</v>
      </c>
      <c r="K17" s="1058">
        <v>24</v>
      </c>
      <c r="L17" s="1072">
        <v>14</v>
      </c>
      <c r="M17" s="1072">
        <v>24</v>
      </c>
      <c r="N17" s="1072">
        <v>17</v>
      </c>
      <c r="O17" s="1072">
        <v>21</v>
      </c>
      <c r="P17" s="1073">
        <v>16</v>
      </c>
      <c r="Q17" s="1073">
        <v>12</v>
      </c>
      <c r="R17" s="1300">
        <v>8</v>
      </c>
      <c r="S17" s="1301">
        <v>12</v>
      </c>
      <c r="T17" s="1531">
        <v>13</v>
      </c>
      <c r="U17" s="1708">
        <v>14</v>
      </c>
      <c r="V17" s="1531"/>
      <c r="W17" s="1080">
        <v>1630</v>
      </c>
      <c r="X17" s="1081">
        <v>1615</v>
      </c>
      <c r="Y17" s="1081">
        <v>1975</v>
      </c>
      <c r="Z17" s="1081">
        <v>2019</v>
      </c>
      <c r="AA17" s="1081">
        <v>2052</v>
      </c>
      <c r="AB17" s="1081">
        <v>2037</v>
      </c>
      <c r="AC17" s="1081">
        <v>2052</v>
      </c>
      <c r="AD17" s="1081">
        <v>2023</v>
      </c>
      <c r="AE17" s="1081">
        <v>1959</v>
      </c>
      <c r="AF17" s="1081">
        <v>1874</v>
      </c>
      <c r="AG17" s="1081">
        <v>1859</v>
      </c>
      <c r="AH17" s="1081">
        <v>2066</v>
      </c>
      <c r="AI17" s="1081">
        <v>2106</v>
      </c>
      <c r="AJ17" s="1081">
        <v>2083</v>
      </c>
      <c r="AK17" s="1303">
        <v>2131</v>
      </c>
      <c r="AL17" s="1304">
        <v>2079</v>
      </c>
      <c r="AM17" s="1699">
        <v>2090</v>
      </c>
      <c r="AN17" s="1699">
        <v>2060</v>
      </c>
      <c r="AO17" s="1532"/>
      <c r="AP17" s="1106">
        <f t="shared" si="1"/>
        <v>19.631901840490798</v>
      </c>
      <c r="AQ17" s="1107">
        <f t="shared" si="2"/>
        <v>14.241486068111454</v>
      </c>
      <c r="AR17" s="1107">
        <f t="shared" si="3"/>
        <v>11.645569620253164</v>
      </c>
      <c r="AS17" s="1107">
        <f t="shared" si="4"/>
        <v>8.4200099058940072</v>
      </c>
      <c r="AT17" s="1107">
        <f t="shared" si="5"/>
        <v>13.64522417153996</v>
      </c>
      <c r="AU17" s="1107">
        <f t="shared" si="6"/>
        <v>10.309278350515465</v>
      </c>
      <c r="AV17" s="1107">
        <f t="shared" si="7"/>
        <v>7.3099415204678362</v>
      </c>
      <c r="AW17" s="1107">
        <f t="shared" si="8"/>
        <v>11.863568956994563</v>
      </c>
      <c r="AX17" s="1107">
        <f t="shared" si="9"/>
        <v>7.1465033180193975</v>
      </c>
      <c r="AY17" s="1107">
        <f t="shared" si="10"/>
        <v>12.8068303094984</v>
      </c>
      <c r="AZ17" s="1107">
        <f t="shared" si="11"/>
        <v>9.1447014523937593</v>
      </c>
      <c r="BA17" s="1107">
        <f t="shared" si="12"/>
        <v>10.164569215876089</v>
      </c>
      <c r="BB17" s="1107">
        <f t="shared" si="13"/>
        <v>7.5973409306742647</v>
      </c>
      <c r="BC17" s="1107">
        <f t="shared" si="14"/>
        <v>5.7609217474795971</v>
      </c>
      <c r="BD17" s="1307">
        <f t="shared" si="15"/>
        <v>3.7541060534960109</v>
      </c>
      <c r="BE17" s="1309">
        <f t="shared" si="16"/>
        <v>5.7720057720057723</v>
      </c>
      <c r="BF17" s="1537">
        <f t="shared" si="17"/>
        <v>6.2200956937799043</v>
      </c>
      <c r="BG17" s="1537">
        <f t="shared" si="18"/>
        <v>6.7961165048543686</v>
      </c>
    </row>
    <row r="18" spans="1:59" s="142" customFormat="1" ht="15.75" customHeight="1" x14ac:dyDescent="0.2">
      <c r="A18" s="149" t="s">
        <v>36</v>
      </c>
      <c r="B18" s="186" t="s">
        <v>37</v>
      </c>
      <c r="C18" s="150" t="s">
        <v>264</v>
      </c>
      <c r="D18" s="1057">
        <v>43</v>
      </c>
      <c r="E18" s="1058">
        <v>24</v>
      </c>
      <c r="F18" s="1059">
        <v>30</v>
      </c>
      <c r="G18" s="1058">
        <v>41</v>
      </c>
      <c r="H18" s="1059">
        <v>31</v>
      </c>
      <c r="I18" s="1058">
        <v>30</v>
      </c>
      <c r="J18" s="1059">
        <v>31</v>
      </c>
      <c r="K18" s="1058">
        <v>31</v>
      </c>
      <c r="L18" s="1072">
        <v>18</v>
      </c>
      <c r="M18" s="1072">
        <v>30</v>
      </c>
      <c r="N18" s="1072">
        <v>29</v>
      </c>
      <c r="O18" s="1072">
        <v>17</v>
      </c>
      <c r="P18" s="1073">
        <v>26</v>
      </c>
      <c r="Q18" s="1073">
        <v>18</v>
      </c>
      <c r="R18" s="1300">
        <v>22</v>
      </c>
      <c r="S18" s="1301">
        <v>14</v>
      </c>
      <c r="T18" s="1531">
        <v>14</v>
      </c>
      <c r="U18" s="1708">
        <v>15</v>
      </c>
      <c r="V18" s="1531"/>
      <c r="W18" s="1080">
        <v>1225</v>
      </c>
      <c r="X18" s="1081">
        <v>1218</v>
      </c>
      <c r="Y18" s="1081">
        <v>1186</v>
      </c>
      <c r="Z18" s="1081">
        <v>1152</v>
      </c>
      <c r="AA18" s="1081">
        <v>1123</v>
      </c>
      <c r="AB18" s="1081">
        <v>1134</v>
      </c>
      <c r="AC18" s="1081">
        <v>1091</v>
      </c>
      <c r="AD18" s="1081">
        <v>1057</v>
      </c>
      <c r="AE18" s="1081">
        <v>1050</v>
      </c>
      <c r="AF18" s="1081">
        <v>1074</v>
      </c>
      <c r="AG18" s="1081">
        <v>1056</v>
      </c>
      <c r="AH18" s="1081">
        <v>1024</v>
      </c>
      <c r="AI18" s="1081">
        <v>1022</v>
      </c>
      <c r="AJ18" s="1081">
        <v>971</v>
      </c>
      <c r="AK18" s="1303">
        <v>948</v>
      </c>
      <c r="AL18" s="1304">
        <v>904</v>
      </c>
      <c r="AM18" s="1699">
        <v>859</v>
      </c>
      <c r="AN18" s="1699">
        <v>830</v>
      </c>
      <c r="AO18" s="1532"/>
      <c r="AP18" s="1106">
        <f t="shared" si="1"/>
        <v>35.102040816326529</v>
      </c>
      <c r="AQ18" s="1107">
        <f t="shared" si="2"/>
        <v>19.704433497536947</v>
      </c>
      <c r="AR18" s="1107">
        <f t="shared" si="3"/>
        <v>25.295109612141651</v>
      </c>
      <c r="AS18" s="1107">
        <f t="shared" si="4"/>
        <v>35.590277777777779</v>
      </c>
      <c r="AT18" s="1107">
        <f t="shared" si="5"/>
        <v>27.604630454140697</v>
      </c>
      <c r="AU18" s="1107">
        <f t="shared" si="6"/>
        <v>26.455026455026452</v>
      </c>
      <c r="AV18" s="1107">
        <f t="shared" si="7"/>
        <v>28.41429880843263</v>
      </c>
      <c r="AW18" s="1107">
        <f t="shared" si="8"/>
        <v>29.3282876064333</v>
      </c>
      <c r="AX18" s="1107">
        <f t="shared" si="9"/>
        <v>17.142857142857142</v>
      </c>
      <c r="AY18" s="1107">
        <f t="shared" si="10"/>
        <v>27.932960893854748</v>
      </c>
      <c r="AZ18" s="1107">
        <f t="shared" si="11"/>
        <v>27.462121212121211</v>
      </c>
      <c r="BA18" s="1107">
        <f t="shared" si="12"/>
        <v>16.6015625</v>
      </c>
      <c r="BB18" s="1107">
        <f t="shared" si="13"/>
        <v>25.440313111545986</v>
      </c>
      <c r="BC18" s="1107">
        <f t="shared" si="14"/>
        <v>18.537590113285273</v>
      </c>
      <c r="BD18" s="1307">
        <f t="shared" si="15"/>
        <v>23.206751054852322</v>
      </c>
      <c r="BE18" s="1309">
        <f t="shared" si="16"/>
        <v>15.486725663716815</v>
      </c>
      <c r="BF18" s="1537">
        <f t="shared" si="17"/>
        <v>16.298020954598368</v>
      </c>
      <c r="BG18" s="1537">
        <f t="shared" si="18"/>
        <v>18.072289156626507</v>
      </c>
    </row>
    <row r="19" spans="1:59" s="142" customFormat="1" ht="15.75" customHeight="1" x14ac:dyDescent="0.2">
      <c r="A19" s="149" t="s">
        <v>38</v>
      </c>
      <c r="B19" s="186" t="s">
        <v>39</v>
      </c>
      <c r="C19" s="150" t="s">
        <v>268</v>
      </c>
      <c r="D19" s="1057">
        <v>59</v>
      </c>
      <c r="E19" s="1058">
        <v>48</v>
      </c>
      <c r="F19" s="1059">
        <v>49</v>
      </c>
      <c r="G19" s="1058">
        <v>50</v>
      </c>
      <c r="H19" s="1059">
        <v>29</v>
      </c>
      <c r="I19" s="1058">
        <v>37</v>
      </c>
      <c r="J19" s="1059">
        <v>29</v>
      </c>
      <c r="K19" s="1058">
        <v>32</v>
      </c>
      <c r="L19" s="1072">
        <v>29</v>
      </c>
      <c r="M19" s="1072">
        <v>34</v>
      </c>
      <c r="N19" s="1072">
        <v>34</v>
      </c>
      <c r="O19" s="1072">
        <v>33</v>
      </c>
      <c r="P19" s="1073">
        <v>31</v>
      </c>
      <c r="Q19" s="1073">
        <v>27</v>
      </c>
      <c r="R19" s="1300">
        <v>26</v>
      </c>
      <c r="S19" s="1301">
        <v>24</v>
      </c>
      <c r="T19" s="1531">
        <v>16</v>
      </c>
      <c r="U19" s="1708">
        <v>20</v>
      </c>
      <c r="V19" s="1531"/>
      <c r="W19" s="1080">
        <v>1989</v>
      </c>
      <c r="X19" s="1081">
        <v>1905</v>
      </c>
      <c r="Y19" s="1081">
        <v>1762</v>
      </c>
      <c r="Z19" s="1081">
        <v>1705</v>
      </c>
      <c r="AA19" s="1081">
        <v>1622</v>
      </c>
      <c r="AB19" s="1081">
        <v>1538</v>
      </c>
      <c r="AC19" s="1081">
        <v>1504</v>
      </c>
      <c r="AD19" s="1081">
        <v>1437</v>
      </c>
      <c r="AE19" s="1081">
        <v>1397</v>
      </c>
      <c r="AF19" s="1081">
        <v>1345</v>
      </c>
      <c r="AG19" s="1081">
        <v>1287</v>
      </c>
      <c r="AH19" s="1081">
        <v>1254</v>
      </c>
      <c r="AI19" s="1081">
        <v>1284</v>
      </c>
      <c r="AJ19" s="1081">
        <v>1206</v>
      </c>
      <c r="AK19" s="1303">
        <v>1207</v>
      </c>
      <c r="AL19" s="1304">
        <v>1179</v>
      </c>
      <c r="AM19" s="1699">
        <v>1153</v>
      </c>
      <c r="AN19" s="1699">
        <v>1137</v>
      </c>
      <c r="AO19" s="1532"/>
      <c r="AP19" s="1106">
        <f t="shared" si="1"/>
        <v>29.663147310206131</v>
      </c>
      <c r="AQ19" s="1107">
        <f t="shared" si="2"/>
        <v>25.196850393700785</v>
      </c>
      <c r="AR19" s="1107">
        <f t="shared" si="3"/>
        <v>27.809307604994324</v>
      </c>
      <c r="AS19" s="1107">
        <f t="shared" si="4"/>
        <v>29.325513196480941</v>
      </c>
      <c r="AT19" s="1107">
        <f t="shared" si="5"/>
        <v>17.879161528976571</v>
      </c>
      <c r="AU19" s="1107">
        <f t="shared" si="6"/>
        <v>24.057217165149545</v>
      </c>
      <c r="AV19" s="1107">
        <f t="shared" si="7"/>
        <v>19.281914893617021</v>
      </c>
      <c r="AW19" s="1107">
        <f t="shared" si="8"/>
        <v>22.268615170494087</v>
      </c>
      <c r="AX19" s="1107">
        <f t="shared" si="9"/>
        <v>20.758768790264853</v>
      </c>
      <c r="AY19" s="1107">
        <f t="shared" si="10"/>
        <v>25.278810408921935</v>
      </c>
      <c r="AZ19" s="1107">
        <f t="shared" si="11"/>
        <v>26.418026418026418</v>
      </c>
      <c r="BA19" s="1107">
        <f t="shared" si="12"/>
        <v>26.315789473684209</v>
      </c>
      <c r="BB19" s="1107">
        <f t="shared" si="13"/>
        <v>24.143302180685357</v>
      </c>
      <c r="BC19" s="1107">
        <f t="shared" si="14"/>
        <v>22.388059701492537</v>
      </c>
      <c r="BD19" s="1307">
        <f t="shared" si="15"/>
        <v>21.541010770505384</v>
      </c>
      <c r="BE19" s="1309">
        <f t="shared" si="16"/>
        <v>20.356234096692113</v>
      </c>
      <c r="BF19" s="1537">
        <f t="shared" si="17"/>
        <v>13.876843018213355</v>
      </c>
      <c r="BG19" s="1537">
        <f t="shared" si="18"/>
        <v>17.590149516270891</v>
      </c>
    </row>
    <row r="20" spans="1:59" s="142" customFormat="1" ht="15.75" customHeight="1" x14ac:dyDescent="0.2">
      <c r="A20" s="149" t="s">
        <v>40</v>
      </c>
      <c r="B20" s="186" t="s">
        <v>41</v>
      </c>
      <c r="C20" s="150" t="s">
        <v>266</v>
      </c>
      <c r="D20" s="1057">
        <v>20</v>
      </c>
      <c r="E20" s="1058">
        <v>18</v>
      </c>
      <c r="F20" s="1059">
        <v>12</v>
      </c>
      <c r="G20" s="1058">
        <v>30</v>
      </c>
      <c r="H20" s="1059">
        <v>26</v>
      </c>
      <c r="I20" s="1058">
        <v>21</v>
      </c>
      <c r="J20" s="1059">
        <v>24</v>
      </c>
      <c r="K20" s="1058">
        <v>13</v>
      </c>
      <c r="L20" s="1072">
        <v>27</v>
      </c>
      <c r="M20" s="1072">
        <v>25</v>
      </c>
      <c r="N20" s="1072">
        <v>26</v>
      </c>
      <c r="O20" s="1072">
        <v>23</v>
      </c>
      <c r="P20" s="1073">
        <v>20</v>
      </c>
      <c r="Q20" s="1073">
        <v>14</v>
      </c>
      <c r="R20" s="1300">
        <v>14</v>
      </c>
      <c r="S20" s="1301">
        <v>5</v>
      </c>
      <c r="T20" s="1531">
        <v>10</v>
      </c>
      <c r="U20" s="1708">
        <v>9</v>
      </c>
      <c r="V20" s="1531"/>
      <c r="W20" s="1080">
        <v>838</v>
      </c>
      <c r="X20" s="1081">
        <v>842</v>
      </c>
      <c r="Y20" s="1081">
        <v>1031</v>
      </c>
      <c r="Z20" s="1081">
        <v>1061</v>
      </c>
      <c r="AA20" s="1081">
        <v>1065</v>
      </c>
      <c r="AB20" s="1081">
        <v>1074</v>
      </c>
      <c r="AC20" s="1081">
        <v>1053</v>
      </c>
      <c r="AD20" s="1081">
        <v>990</v>
      </c>
      <c r="AE20" s="1081">
        <v>936</v>
      </c>
      <c r="AF20" s="1081">
        <v>902</v>
      </c>
      <c r="AG20" s="1081">
        <v>874</v>
      </c>
      <c r="AH20" s="1081">
        <v>890</v>
      </c>
      <c r="AI20" s="1081">
        <v>934</v>
      </c>
      <c r="AJ20" s="1081">
        <v>886</v>
      </c>
      <c r="AK20" s="1303">
        <v>832</v>
      </c>
      <c r="AL20" s="1304">
        <v>805</v>
      </c>
      <c r="AM20" s="1699">
        <v>776</v>
      </c>
      <c r="AN20" s="1699">
        <v>790</v>
      </c>
      <c r="AO20" s="1532"/>
      <c r="AP20" s="1106">
        <f t="shared" si="1"/>
        <v>23.866348448687351</v>
      </c>
      <c r="AQ20" s="1107">
        <f t="shared" si="2"/>
        <v>21.377672209026127</v>
      </c>
      <c r="AR20" s="1107">
        <f t="shared" si="3"/>
        <v>11.639185257032008</v>
      </c>
      <c r="AS20" s="1107">
        <f t="shared" si="4"/>
        <v>28.275212064090482</v>
      </c>
      <c r="AT20" s="1107">
        <f t="shared" si="5"/>
        <v>24.413145539906104</v>
      </c>
      <c r="AU20" s="1107">
        <f t="shared" si="6"/>
        <v>19.553072625698324</v>
      </c>
      <c r="AV20" s="1107">
        <f t="shared" si="7"/>
        <v>22.792022792022792</v>
      </c>
      <c r="AW20" s="1107">
        <f t="shared" si="8"/>
        <v>13.131313131313131</v>
      </c>
      <c r="AX20" s="1107">
        <f t="shared" si="9"/>
        <v>28.846153846153847</v>
      </c>
      <c r="AY20" s="1107">
        <f t="shared" si="10"/>
        <v>27.716186252771621</v>
      </c>
      <c r="AZ20" s="1107">
        <f t="shared" si="11"/>
        <v>29.748283752860413</v>
      </c>
      <c r="BA20" s="1107">
        <f t="shared" si="12"/>
        <v>25.842696629213481</v>
      </c>
      <c r="BB20" s="1107">
        <f t="shared" si="13"/>
        <v>21.413276231263382</v>
      </c>
      <c r="BC20" s="1107">
        <f t="shared" si="14"/>
        <v>15.80135440180587</v>
      </c>
      <c r="BD20" s="1307">
        <f t="shared" si="15"/>
        <v>16.826923076923077</v>
      </c>
      <c r="BE20" s="1309">
        <f t="shared" si="16"/>
        <v>6.2111801242236018</v>
      </c>
      <c r="BF20" s="1537">
        <f t="shared" si="17"/>
        <v>12.886597938144329</v>
      </c>
      <c r="BG20" s="1537">
        <f t="shared" si="18"/>
        <v>11.39240506329114</v>
      </c>
    </row>
    <row r="21" spans="1:59" s="142" customFormat="1" ht="15.75" customHeight="1" x14ac:dyDescent="0.2">
      <c r="A21" s="149" t="s">
        <v>42</v>
      </c>
      <c r="B21" s="186" t="s">
        <v>43</v>
      </c>
      <c r="C21" s="150" t="s">
        <v>265</v>
      </c>
      <c r="D21" s="1057">
        <v>92</v>
      </c>
      <c r="E21" s="1058">
        <v>95</v>
      </c>
      <c r="F21" s="1059">
        <v>93</v>
      </c>
      <c r="G21" s="1058">
        <v>69</v>
      </c>
      <c r="H21" s="1059">
        <v>63</v>
      </c>
      <c r="I21" s="1058">
        <v>65</v>
      </c>
      <c r="J21" s="1059">
        <v>74</v>
      </c>
      <c r="K21" s="1058">
        <v>75</v>
      </c>
      <c r="L21" s="1072">
        <v>53</v>
      </c>
      <c r="M21" s="1072">
        <v>67</v>
      </c>
      <c r="N21" s="1072">
        <v>55</v>
      </c>
      <c r="O21" s="1072">
        <v>50</v>
      </c>
      <c r="P21" s="1073">
        <v>55</v>
      </c>
      <c r="Q21" s="1073">
        <v>62</v>
      </c>
      <c r="R21" s="1300">
        <v>41</v>
      </c>
      <c r="S21" s="1301">
        <v>36</v>
      </c>
      <c r="T21" s="1531">
        <v>32</v>
      </c>
      <c r="U21" s="1708">
        <v>40</v>
      </c>
      <c r="V21" s="1531"/>
      <c r="W21" s="1080">
        <v>2940</v>
      </c>
      <c r="X21" s="1081">
        <v>2902</v>
      </c>
      <c r="Y21" s="1081">
        <v>3326</v>
      </c>
      <c r="Z21" s="1081">
        <v>3304</v>
      </c>
      <c r="AA21" s="1081">
        <v>3308</v>
      </c>
      <c r="AB21" s="1081">
        <v>3327</v>
      </c>
      <c r="AC21" s="1081">
        <v>3345</v>
      </c>
      <c r="AD21" s="1081">
        <v>3432</v>
      </c>
      <c r="AE21" s="1081">
        <v>3318</v>
      </c>
      <c r="AF21" s="1081">
        <v>3311</v>
      </c>
      <c r="AG21" s="1081">
        <v>3240</v>
      </c>
      <c r="AH21" s="1081">
        <v>3311</v>
      </c>
      <c r="AI21" s="1081">
        <v>3610</v>
      </c>
      <c r="AJ21" s="1081">
        <v>3465</v>
      </c>
      <c r="AK21" s="1303">
        <v>3420</v>
      </c>
      <c r="AL21" s="1304">
        <v>3349</v>
      </c>
      <c r="AM21" s="1699">
        <v>3248</v>
      </c>
      <c r="AN21" s="1699">
        <v>3159</v>
      </c>
      <c r="AO21" s="1532"/>
      <c r="AP21" s="1106">
        <f t="shared" si="1"/>
        <v>31.292517006802726</v>
      </c>
      <c r="AQ21" s="1107">
        <f t="shared" si="2"/>
        <v>32.736044107512058</v>
      </c>
      <c r="AR21" s="1107">
        <f t="shared" si="3"/>
        <v>27.961515333734216</v>
      </c>
      <c r="AS21" s="1107">
        <f t="shared" si="4"/>
        <v>20.883777239709442</v>
      </c>
      <c r="AT21" s="1107">
        <f t="shared" si="5"/>
        <v>19.044740024183799</v>
      </c>
      <c r="AU21" s="1107">
        <f t="shared" si="6"/>
        <v>19.537120529005108</v>
      </c>
      <c r="AV21" s="1107">
        <f t="shared" si="7"/>
        <v>22.122571001494766</v>
      </c>
      <c r="AW21" s="1107">
        <f t="shared" si="8"/>
        <v>21.853146853146853</v>
      </c>
      <c r="AX21" s="1107">
        <f t="shared" si="9"/>
        <v>15.973477998794452</v>
      </c>
      <c r="AY21" s="1107">
        <f t="shared" si="10"/>
        <v>20.23557837511326</v>
      </c>
      <c r="AZ21" s="1107">
        <f t="shared" si="11"/>
        <v>16.975308641975307</v>
      </c>
      <c r="BA21" s="1107">
        <f t="shared" si="12"/>
        <v>15.101177891875567</v>
      </c>
      <c r="BB21" s="1107">
        <f t="shared" si="13"/>
        <v>15.235457063711912</v>
      </c>
      <c r="BC21" s="1107">
        <f t="shared" si="14"/>
        <v>17.893217893217894</v>
      </c>
      <c r="BD21" s="1307">
        <f t="shared" si="15"/>
        <v>11.988304093567251</v>
      </c>
      <c r="BE21" s="1309">
        <f t="shared" si="16"/>
        <v>10.749477455957003</v>
      </c>
      <c r="BF21" s="1537">
        <f t="shared" si="17"/>
        <v>9.8522167487684733</v>
      </c>
      <c r="BG21" s="1537">
        <f t="shared" si="18"/>
        <v>12.662234884457106</v>
      </c>
    </row>
    <row r="22" spans="1:59" s="142" customFormat="1" ht="15.75" customHeight="1" x14ac:dyDescent="0.2">
      <c r="A22" s="149" t="s">
        <v>44</v>
      </c>
      <c r="B22" s="186" t="s">
        <v>45</v>
      </c>
      <c r="C22" s="150" t="s">
        <v>266</v>
      </c>
      <c r="D22" s="1057">
        <v>29</v>
      </c>
      <c r="E22" s="1058">
        <v>41</v>
      </c>
      <c r="F22" s="1059">
        <v>40</v>
      </c>
      <c r="G22" s="1058">
        <v>39</v>
      </c>
      <c r="H22" s="1059">
        <v>36</v>
      </c>
      <c r="I22" s="1058">
        <v>37</v>
      </c>
      <c r="J22" s="1059">
        <v>40</v>
      </c>
      <c r="K22" s="1058">
        <v>45</v>
      </c>
      <c r="L22" s="1072">
        <v>38</v>
      </c>
      <c r="M22" s="1072">
        <v>40</v>
      </c>
      <c r="N22" s="1072">
        <v>37</v>
      </c>
      <c r="O22" s="1072">
        <v>47</v>
      </c>
      <c r="P22" s="1073">
        <v>27</v>
      </c>
      <c r="Q22" s="1073">
        <v>41</v>
      </c>
      <c r="R22" s="1300">
        <v>33</v>
      </c>
      <c r="S22" s="1301">
        <v>28</v>
      </c>
      <c r="T22" s="1531">
        <v>20</v>
      </c>
      <c r="U22" s="1708">
        <v>22</v>
      </c>
      <c r="V22" s="1531"/>
      <c r="W22" s="1080">
        <v>1348</v>
      </c>
      <c r="X22" s="1081">
        <v>1350</v>
      </c>
      <c r="Y22" s="1081">
        <v>1481</v>
      </c>
      <c r="Z22" s="1081">
        <v>1501</v>
      </c>
      <c r="AA22" s="1081">
        <v>1514</v>
      </c>
      <c r="AB22" s="1081">
        <v>1539</v>
      </c>
      <c r="AC22" s="1081">
        <v>1584</v>
      </c>
      <c r="AD22" s="1081">
        <v>1635</v>
      </c>
      <c r="AE22" s="1081">
        <v>1659</v>
      </c>
      <c r="AF22" s="1081">
        <v>1636</v>
      </c>
      <c r="AG22" s="1081">
        <v>1624</v>
      </c>
      <c r="AH22" s="1081">
        <v>1643</v>
      </c>
      <c r="AI22" s="1081">
        <v>1736</v>
      </c>
      <c r="AJ22" s="1081">
        <v>1729</v>
      </c>
      <c r="AK22" s="1303">
        <v>1754</v>
      </c>
      <c r="AL22" s="1304">
        <v>1723</v>
      </c>
      <c r="AM22" s="1699">
        <v>1733</v>
      </c>
      <c r="AN22" s="1699">
        <v>1733</v>
      </c>
      <c r="AO22" s="1532"/>
      <c r="AP22" s="1106">
        <f t="shared" si="1"/>
        <v>21.513353115727003</v>
      </c>
      <c r="AQ22" s="1107">
        <f t="shared" si="2"/>
        <v>30.37037037037037</v>
      </c>
      <c r="AR22" s="1107">
        <f t="shared" si="3"/>
        <v>27.008777852802162</v>
      </c>
      <c r="AS22" s="1107">
        <f t="shared" si="4"/>
        <v>25.982678214523652</v>
      </c>
      <c r="AT22" s="1107">
        <f t="shared" si="5"/>
        <v>23.778071334214001</v>
      </c>
      <c r="AU22" s="1107">
        <f t="shared" si="6"/>
        <v>24.041585445094217</v>
      </c>
      <c r="AV22" s="1107">
        <f t="shared" si="7"/>
        <v>25.252525252525253</v>
      </c>
      <c r="AW22" s="1107">
        <f t="shared" si="8"/>
        <v>27.522935779816514</v>
      </c>
      <c r="AX22" s="1107">
        <f t="shared" si="9"/>
        <v>22.905364677516577</v>
      </c>
      <c r="AY22" s="1107">
        <f t="shared" si="10"/>
        <v>24.44987775061125</v>
      </c>
      <c r="AZ22" s="1107">
        <f t="shared" si="11"/>
        <v>22.783251231527093</v>
      </c>
      <c r="BA22" s="1107">
        <f t="shared" si="12"/>
        <v>28.606208155812539</v>
      </c>
      <c r="BB22" s="1107">
        <f t="shared" si="13"/>
        <v>15.552995391705069</v>
      </c>
      <c r="BC22" s="1107">
        <f t="shared" si="14"/>
        <v>23.713128976286871</v>
      </c>
      <c r="BD22" s="1307">
        <f t="shared" si="15"/>
        <v>18.81413911060433</v>
      </c>
      <c r="BE22" s="1309">
        <f t="shared" si="16"/>
        <v>16.250725478816019</v>
      </c>
      <c r="BF22" s="1537">
        <f t="shared" si="17"/>
        <v>11.540680900173111</v>
      </c>
      <c r="BG22" s="1537">
        <f t="shared" si="18"/>
        <v>12.694748990190421</v>
      </c>
    </row>
    <row r="23" spans="1:59" s="142" customFormat="1" ht="15.75" customHeight="1" x14ac:dyDescent="0.2">
      <c r="A23" s="149" t="s">
        <v>46</v>
      </c>
      <c r="B23" s="186" t="s">
        <v>47</v>
      </c>
      <c r="C23" s="150" t="s">
        <v>268</v>
      </c>
      <c r="D23" s="1057">
        <v>33</v>
      </c>
      <c r="E23" s="1058">
        <v>40</v>
      </c>
      <c r="F23" s="1059">
        <v>42</v>
      </c>
      <c r="G23" s="1058">
        <v>34</v>
      </c>
      <c r="H23" s="1059">
        <v>36</v>
      </c>
      <c r="I23" s="1058">
        <v>35</v>
      </c>
      <c r="J23" s="1059">
        <v>35</v>
      </c>
      <c r="K23" s="1058">
        <v>33</v>
      </c>
      <c r="L23" s="1072">
        <v>45</v>
      </c>
      <c r="M23" s="1072">
        <v>42</v>
      </c>
      <c r="N23" s="1072">
        <v>39</v>
      </c>
      <c r="O23" s="1072">
        <v>38</v>
      </c>
      <c r="P23" s="1073">
        <v>33</v>
      </c>
      <c r="Q23" s="1073">
        <v>22</v>
      </c>
      <c r="R23" s="1300">
        <v>35</v>
      </c>
      <c r="S23" s="1301">
        <v>32</v>
      </c>
      <c r="T23" s="1531">
        <v>22</v>
      </c>
      <c r="U23" s="1708">
        <v>23</v>
      </c>
      <c r="V23" s="1531"/>
      <c r="W23" s="1080">
        <v>1455</v>
      </c>
      <c r="X23" s="1081">
        <v>1430</v>
      </c>
      <c r="Y23" s="1081">
        <v>1639</v>
      </c>
      <c r="Z23" s="1081">
        <v>1646</v>
      </c>
      <c r="AA23" s="1081">
        <v>1616</v>
      </c>
      <c r="AB23" s="1081">
        <v>1630</v>
      </c>
      <c r="AC23" s="1081">
        <v>1631</v>
      </c>
      <c r="AD23" s="1081">
        <v>1607</v>
      </c>
      <c r="AE23" s="1081">
        <v>1606</v>
      </c>
      <c r="AF23" s="1081">
        <v>1572</v>
      </c>
      <c r="AG23" s="1081">
        <v>1554</v>
      </c>
      <c r="AH23" s="1081">
        <v>1596</v>
      </c>
      <c r="AI23" s="1081">
        <v>1704</v>
      </c>
      <c r="AJ23" s="1081">
        <v>1653</v>
      </c>
      <c r="AK23" s="1303">
        <v>1632</v>
      </c>
      <c r="AL23" s="1304">
        <v>1651</v>
      </c>
      <c r="AM23" s="1699">
        <v>1640</v>
      </c>
      <c r="AN23" s="1699">
        <v>1668</v>
      </c>
      <c r="AO23" s="1532"/>
      <c r="AP23" s="1106">
        <f t="shared" si="1"/>
        <v>22.680412371134018</v>
      </c>
      <c r="AQ23" s="1107">
        <f t="shared" si="2"/>
        <v>27.972027972027973</v>
      </c>
      <c r="AR23" s="1107">
        <f t="shared" si="3"/>
        <v>25.625381330079318</v>
      </c>
      <c r="AS23" s="1107">
        <f t="shared" si="4"/>
        <v>20.656136087484814</v>
      </c>
      <c r="AT23" s="1107">
        <f t="shared" si="5"/>
        <v>22.277227722772277</v>
      </c>
      <c r="AU23" s="1107">
        <f t="shared" si="6"/>
        <v>21.472392638036812</v>
      </c>
      <c r="AV23" s="1107">
        <f t="shared" si="7"/>
        <v>21.459227467811157</v>
      </c>
      <c r="AW23" s="1107">
        <f t="shared" si="8"/>
        <v>20.535158680771623</v>
      </c>
      <c r="AX23" s="1107">
        <f t="shared" si="9"/>
        <v>28.019925280199253</v>
      </c>
      <c r="AY23" s="1107">
        <f t="shared" si="10"/>
        <v>26.717557251908396</v>
      </c>
      <c r="AZ23" s="1107">
        <f t="shared" si="11"/>
        <v>25.096525096525095</v>
      </c>
      <c r="BA23" s="1107">
        <f t="shared" si="12"/>
        <v>23.809523809523807</v>
      </c>
      <c r="BB23" s="1107">
        <f t="shared" si="13"/>
        <v>19.366197183098588</v>
      </c>
      <c r="BC23" s="1107">
        <f t="shared" si="14"/>
        <v>13.309134906231096</v>
      </c>
      <c r="BD23" s="1307">
        <f t="shared" si="15"/>
        <v>21.446078431372548</v>
      </c>
      <c r="BE23" s="1309">
        <f t="shared" si="16"/>
        <v>19.382192610539068</v>
      </c>
      <c r="BF23" s="1537">
        <f t="shared" si="17"/>
        <v>13.414634146341463</v>
      </c>
      <c r="BG23" s="1537">
        <f t="shared" si="18"/>
        <v>13.788968824940047</v>
      </c>
    </row>
    <row r="24" spans="1:59" s="142" customFormat="1" ht="15.75" customHeight="1" x14ac:dyDescent="0.2">
      <c r="A24" s="149" t="s">
        <v>48</v>
      </c>
      <c r="B24" s="186" t="s">
        <v>269</v>
      </c>
      <c r="C24" s="150" t="s">
        <v>266</v>
      </c>
      <c r="D24" s="1057">
        <v>10</v>
      </c>
      <c r="E24" s="1058">
        <v>13</v>
      </c>
      <c r="F24" s="1059">
        <v>12</v>
      </c>
      <c r="G24" s="1058">
        <v>14</v>
      </c>
      <c r="H24" s="1059">
        <v>8</v>
      </c>
      <c r="I24" s="1058">
        <v>7</v>
      </c>
      <c r="J24" s="1059">
        <v>7</v>
      </c>
      <c r="K24" s="1058">
        <v>8</v>
      </c>
      <c r="L24" s="1072">
        <v>9</v>
      </c>
      <c r="M24" s="1072">
        <v>2</v>
      </c>
      <c r="N24" s="1072">
        <v>5</v>
      </c>
      <c r="O24" s="1072">
        <v>3</v>
      </c>
      <c r="P24" s="1073">
        <v>5</v>
      </c>
      <c r="Q24" s="1073">
        <v>3</v>
      </c>
      <c r="R24" s="1300">
        <v>4</v>
      </c>
      <c r="S24" s="1301">
        <v>2</v>
      </c>
      <c r="T24" s="1531">
        <v>6</v>
      </c>
      <c r="U24" s="1708">
        <v>3</v>
      </c>
      <c r="V24" s="1531"/>
      <c r="W24" s="1080">
        <v>400</v>
      </c>
      <c r="X24" s="1081">
        <v>398</v>
      </c>
      <c r="Y24" s="1081">
        <v>461</v>
      </c>
      <c r="Z24" s="1081">
        <v>435</v>
      </c>
      <c r="AA24" s="1081">
        <v>429</v>
      </c>
      <c r="AB24" s="1081">
        <v>431</v>
      </c>
      <c r="AC24" s="1081">
        <v>394</v>
      </c>
      <c r="AD24" s="1081">
        <v>384</v>
      </c>
      <c r="AE24" s="1081">
        <v>384</v>
      </c>
      <c r="AF24" s="1081">
        <v>373</v>
      </c>
      <c r="AG24" s="1081">
        <v>383</v>
      </c>
      <c r="AH24" s="1081">
        <v>361</v>
      </c>
      <c r="AI24" s="1081">
        <v>370</v>
      </c>
      <c r="AJ24" s="1081">
        <v>375</v>
      </c>
      <c r="AK24" s="1303">
        <v>333</v>
      </c>
      <c r="AL24" s="1304">
        <v>323</v>
      </c>
      <c r="AM24" s="1699">
        <v>307</v>
      </c>
      <c r="AN24" s="1699">
        <v>305</v>
      </c>
      <c r="AO24" s="1532"/>
      <c r="AP24" s="1106">
        <f t="shared" si="1"/>
        <v>25</v>
      </c>
      <c r="AQ24" s="1107">
        <f t="shared" si="2"/>
        <v>32.663316582914575</v>
      </c>
      <c r="AR24" s="1107">
        <f t="shared" si="3"/>
        <v>26.030368763557483</v>
      </c>
      <c r="AS24" s="1107">
        <f t="shared" si="4"/>
        <v>32.183908045977013</v>
      </c>
      <c r="AT24" s="1107">
        <f t="shared" si="5"/>
        <v>18.648018648018649</v>
      </c>
      <c r="AU24" s="1107">
        <f t="shared" si="6"/>
        <v>16.241299303944317</v>
      </c>
      <c r="AV24" s="1107">
        <f t="shared" si="7"/>
        <v>17.766497461928935</v>
      </c>
      <c r="AW24" s="1107">
        <f t="shared" si="8"/>
        <v>20.833333333333332</v>
      </c>
      <c r="AX24" s="1107">
        <f t="shared" si="9"/>
        <v>23.4375</v>
      </c>
      <c r="AY24" s="1107">
        <f t="shared" si="10"/>
        <v>5.3619302949061662</v>
      </c>
      <c r="AZ24" s="1107">
        <f t="shared" si="11"/>
        <v>13.054830287206265</v>
      </c>
      <c r="BA24" s="1107">
        <f t="shared" si="12"/>
        <v>8.310249307479225</v>
      </c>
      <c r="BB24" s="1107">
        <f t="shared" si="13"/>
        <v>13.513513513513514</v>
      </c>
      <c r="BC24" s="1107">
        <f t="shared" si="14"/>
        <v>8</v>
      </c>
      <c r="BD24" s="1307">
        <f t="shared" si="15"/>
        <v>12.012012012012011</v>
      </c>
      <c r="BE24" s="1309">
        <f t="shared" si="16"/>
        <v>6.1919504643962853</v>
      </c>
      <c r="BF24" s="1537">
        <f t="shared" si="17"/>
        <v>19.543973941368076</v>
      </c>
      <c r="BG24" s="1537">
        <f t="shared" si="18"/>
        <v>9.8360655737704921</v>
      </c>
    </row>
    <row r="25" spans="1:59" s="142" customFormat="1" ht="15.75" customHeight="1" x14ac:dyDescent="0.2">
      <c r="A25" s="149" t="s">
        <v>50</v>
      </c>
      <c r="B25" s="186" t="s">
        <v>51</v>
      </c>
      <c r="C25" s="150" t="s">
        <v>265</v>
      </c>
      <c r="D25" s="1057">
        <v>23</v>
      </c>
      <c r="E25" s="1058">
        <v>27</v>
      </c>
      <c r="F25" s="1059">
        <v>23</v>
      </c>
      <c r="G25" s="1058">
        <v>26</v>
      </c>
      <c r="H25" s="1059">
        <v>17</v>
      </c>
      <c r="I25" s="1058">
        <v>13</v>
      </c>
      <c r="J25" s="1059">
        <v>21</v>
      </c>
      <c r="K25" s="1058">
        <v>15</v>
      </c>
      <c r="L25" s="1072">
        <v>10</v>
      </c>
      <c r="M25" s="1072">
        <v>24</v>
      </c>
      <c r="N25" s="1072">
        <v>22</v>
      </c>
      <c r="O25" s="1072">
        <v>18</v>
      </c>
      <c r="P25" s="1073">
        <v>12</v>
      </c>
      <c r="Q25" s="1073">
        <v>19</v>
      </c>
      <c r="R25" s="1300">
        <v>17</v>
      </c>
      <c r="S25" s="1301">
        <v>15</v>
      </c>
      <c r="T25" s="1531">
        <v>8</v>
      </c>
      <c r="U25" s="1708">
        <v>15</v>
      </c>
      <c r="V25" s="1531"/>
      <c r="W25" s="1080">
        <v>762</v>
      </c>
      <c r="X25" s="1081">
        <v>755</v>
      </c>
      <c r="Y25" s="1081">
        <v>875</v>
      </c>
      <c r="Z25" s="1081">
        <v>890</v>
      </c>
      <c r="AA25" s="1081">
        <v>895</v>
      </c>
      <c r="AB25" s="1081">
        <v>889</v>
      </c>
      <c r="AC25" s="1081">
        <v>866</v>
      </c>
      <c r="AD25" s="1081">
        <v>888</v>
      </c>
      <c r="AE25" s="1081">
        <v>843</v>
      </c>
      <c r="AF25" s="1081">
        <v>821</v>
      </c>
      <c r="AG25" s="1081">
        <v>785</v>
      </c>
      <c r="AH25" s="1081">
        <v>783</v>
      </c>
      <c r="AI25" s="1081">
        <v>863</v>
      </c>
      <c r="AJ25" s="1081">
        <v>814</v>
      </c>
      <c r="AK25" s="1303">
        <v>773</v>
      </c>
      <c r="AL25" s="1304">
        <v>756</v>
      </c>
      <c r="AM25" s="1699">
        <v>759</v>
      </c>
      <c r="AN25" s="1699">
        <v>744</v>
      </c>
      <c r="AO25" s="1532"/>
      <c r="AP25" s="1106">
        <f t="shared" si="1"/>
        <v>30.183727034120736</v>
      </c>
      <c r="AQ25" s="1107">
        <f t="shared" si="2"/>
        <v>35.76158940397351</v>
      </c>
      <c r="AR25" s="1107">
        <f t="shared" si="3"/>
        <v>26.285714285714288</v>
      </c>
      <c r="AS25" s="1107">
        <f t="shared" si="4"/>
        <v>29.213483146067418</v>
      </c>
      <c r="AT25" s="1107">
        <f t="shared" si="5"/>
        <v>18.994413407821231</v>
      </c>
      <c r="AU25" s="1107">
        <f t="shared" si="6"/>
        <v>14.623172103487065</v>
      </c>
      <c r="AV25" s="1107">
        <f t="shared" si="7"/>
        <v>24.24942263279446</v>
      </c>
      <c r="AW25" s="1107">
        <f t="shared" si="8"/>
        <v>16.891891891891891</v>
      </c>
      <c r="AX25" s="1107">
        <f t="shared" si="9"/>
        <v>11.862396204033214</v>
      </c>
      <c r="AY25" s="1107">
        <f t="shared" si="10"/>
        <v>29.232643118148598</v>
      </c>
      <c r="AZ25" s="1107">
        <f t="shared" si="11"/>
        <v>28.02547770700637</v>
      </c>
      <c r="BA25" s="1107">
        <f t="shared" si="12"/>
        <v>22.988505747126435</v>
      </c>
      <c r="BB25" s="1107">
        <f t="shared" si="13"/>
        <v>13.904982618771726</v>
      </c>
      <c r="BC25" s="1107">
        <f t="shared" si="14"/>
        <v>23.341523341523342</v>
      </c>
      <c r="BD25" s="1307">
        <f t="shared" si="15"/>
        <v>21.992238033635189</v>
      </c>
      <c r="BE25" s="1309">
        <f t="shared" si="16"/>
        <v>19.841269841269842</v>
      </c>
      <c r="BF25" s="1537">
        <f t="shared" si="17"/>
        <v>10.540184453227932</v>
      </c>
      <c r="BG25" s="1537">
        <f t="shared" si="18"/>
        <v>20.161290322580644</v>
      </c>
    </row>
    <row r="26" spans="1:59" s="142" customFormat="1" ht="15.75" customHeight="1" x14ac:dyDescent="0.2">
      <c r="A26" s="149" t="s">
        <v>56</v>
      </c>
      <c r="B26" s="186" t="s">
        <v>295</v>
      </c>
      <c r="C26" s="150" t="s">
        <v>266</v>
      </c>
      <c r="D26" s="1057">
        <v>292</v>
      </c>
      <c r="E26" s="1058">
        <v>266</v>
      </c>
      <c r="F26" s="1059">
        <v>276</v>
      </c>
      <c r="G26" s="1058">
        <v>262</v>
      </c>
      <c r="H26" s="1059">
        <v>236</v>
      </c>
      <c r="I26" s="1058">
        <v>273</v>
      </c>
      <c r="J26" s="1059">
        <v>269</v>
      </c>
      <c r="K26" s="1058">
        <v>282</v>
      </c>
      <c r="L26" s="1072">
        <v>284</v>
      </c>
      <c r="M26" s="1072">
        <v>298</v>
      </c>
      <c r="N26" s="1072">
        <v>251</v>
      </c>
      <c r="O26" s="1072">
        <v>274</v>
      </c>
      <c r="P26" s="1073">
        <v>247</v>
      </c>
      <c r="Q26" s="1073">
        <v>250</v>
      </c>
      <c r="R26" s="1300">
        <v>234</v>
      </c>
      <c r="S26" s="1301">
        <v>179</v>
      </c>
      <c r="T26" s="1531">
        <v>193</v>
      </c>
      <c r="U26" s="1708">
        <v>173</v>
      </c>
      <c r="V26" s="1531"/>
      <c r="W26" s="1080">
        <v>19556</v>
      </c>
      <c r="X26" s="1081">
        <v>19846</v>
      </c>
      <c r="Y26" s="1081">
        <v>21786</v>
      </c>
      <c r="Z26" s="1081">
        <v>22558</v>
      </c>
      <c r="AA26" s="1081">
        <v>22878</v>
      </c>
      <c r="AB26" s="1081">
        <v>23226</v>
      </c>
      <c r="AC26" s="1081">
        <v>23494</v>
      </c>
      <c r="AD26" s="1081">
        <v>23339</v>
      </c>
      <c r="AE26" s="1081">
        <v>23173</v>
      </c>
      <c r="AF26" s="1081">
        <v>23273</v>
      </c>
      <c r="AG26" s="1081">
        <v>23024</v>
      </c>
      <c r="AH26" s="1081">
        <v>24677</v>
      </c>
      <c r="AI26" s="1081">
        <v>25150</v>
      </c>
      <c r="AJ26" s="1081">
        <v>25241</v>
      </c>
      <c r="AK26" s="1303">
        <v>25417</v>
      </c>
      <c r="AL26" s="1304">
        <v>25329</v>
      </c>
      <c r="AM26" s="1699">
        <v>25189</v>
      </c>
      <c r="AN26" s="1699">
        <v>25004</v>
      </c>
      <c r="AO26" s="1532"/>
      <c r="AP26" s="1106">
        <f t="shared" si="1"/>
        <v>14.93147883002659</v>
      </c>
      <c r="AQ26" s="1107">
        <f t="shared" si="2"/>
        <v>13.40320467600524</v>
      </c>
      <c r="AR26" s="1107">
        <f t="shared" si="3"/>
        <v>12.668686312310658</v>
      </c>
      <c r="AS26" s="1107">
        <f t="shared" si="4"/>
        <v>11.614504831988651</v>
      </c>
      <c r="AT26" s="1107">
        <f t="shared" si="5"/>
        <v>10.31558702683801</v>
      </c>
      <c r="AU26" s="1107">
        <f t="shared" si="6"/>
        <v>11.754068716094032</v>
      </c>
      <c r="AV26" s="1107">
        <f t="shared" si="7"/>
        <v>11.449731846428875</v>
      </c>
      <c r="AW26" s="1107">
        <f t="shared" si="8"/>
        <v>12.082779896310896</v>
      </c>
      <c r="AX26" s="1107">
        <f t="shared" si="9"/>
        <v>12.25564234238122</v>
      </c>
      <c r="AY26" s="1107">
        <f t="shared" si="10"/>
        <v>12.804537446826796</v>
      </c>
      <c r="AZ26" s="1107">
        <f t="shared" si="11"/>
        <v>10.901667824878388</v>
      </c>
      <c r="BA26" s="1107">
        <f t="shared" si="12"/>
        <v>11.103456660047819</v>
      </c>
      <c r="BB26" s="1107">
        <f t="shared" si="13"/>
        <v>9.821073558648111</v>
      </c>
      <c r="BC26" s="1107">
        <f t="shared" si="14"/>
        <v>9.904520423121113</v>
      </c>
      <c r="BD26" s="1307">
        <f t="shared" si="15"/>
        <v>9.2064366368965658</v>
      </c>
      <c r="BE26" s="1309">
        <f t="shared" si="16"/>
        <v>7.0669983023411902</v>
      </c>
      <c r="BF26" s="1537">
        <f t="shared" si="17"/>
        <v>7.6620747151534392</v>
      </c>
      <c r="BG26" s="1537">
        <f t="shared" si="18"/>
        <v>6.9188929771236598</v>
      </c>
    </row>
    <row r="27" spans="1:59" s="142" customFormat="1" ht="15.75" customHeight="1" x14ac:dyDescent="0.2">
      <c r="A27" s="149" t="s">
        <v>58</v>
      </c>
      <c r="B27" s="186" t="s">
        <v>59</v>
      </c>
      <c r="C27" s="150" t="s">
        <v>267</v>
      </c>
      <c r="D27" s="1057">
        <v>11</v>
      </c>
      <c r="E27" s="1058">
        <v>15</v>
      </c>
      <c r="F27" s="1059">
        <v>12</v>
      </c>
      <c r="G27" s="1058">
        <v>12</v>
      </c>
      <c r="H27" s="1059">
        <v>11</v>
      </c>
      <c r="I27" s="1058">
        <v>8</v>
      </c>
      <c r="J27" s="1059">
        <v>11</v>
      </c>
      <c r="K27" s="1058">
        <v>8</v>
      </c>
      <c r="L27" s="1072">
        <v>17</v>
      </c>
      <c r="M27" s="1072">
        <v>11</v>
      </c>
      <c r="N27" s="1072">
        <v>6</v>
      </c>
      <c r="O27" s="1072">
        <v>6</v>
      </c>
      <c r="P27" s="1073">
        <v>14</v>
      </c>
      <c r="Q27" s="1073">
        <v>7</v>
      </c>
      <c r="R27" s="1300">
        <v>10</v>
      </c>
      <c r="S27" s="1301">
        <v>7</v>
      </c>
      <c r="T27" s="1531">
        <v>6</v>
      </c>
      <c r="U27" s="1708">
        <v>2</v>
      </c>
      <c r="V27" s="1531"/>
      <c r="W27" s="1080">
        <v>799</v>
      </c>
      <c r="X27" s="1081">
        <v>812</v>
      </c>
      <c r="Y27" s="1081">
        <v>788</v>
      </c>
      <c r="Z27" s="1081">
        <v>830</v>
      </c>
      <c r="AA27" s="1081">
        <v>856</v>
      </c>
      <c r="AB27" s="1081">
        <v>892</v>
      </c>
      <c r="AC27" s="1081">
        <v>912</v>
      </c>
      <c r="AD27" s="1081">
        <v>941</v>
      </c>
      <c r="AE27" s="1081">
        <v>935</v>
      </c>
      <c r="AF27" s="1081">
        <v>919</v>
      </c>
      <c r="AG27" s="1081">
        <v>885</v>
      </c>
      <c r="AH27" s="1081">
        <v>938</v>
      </c>
      <c r="AI27" s="1081">
        <v>925</v>
      </c>
      <c r="AJ27" s="1081">
        <v>964</v>
      </c>
      <c r="AK27" s="1303">
        <v>970</v>
      </c>
      <c r="AL27" s="1304">
        <v>912</v>
      </c>
      <c r="AM27" s="1699">
        <v>912</v>
      </c>
      <c r="AN27" s="1699">
        <v>897</v>
      </c>
      <c r="AO27" s="1532"/>
      <c r="AP27" s="1106">
        <f t="shared" si="1"/>
        <v>13.767209011264081</v>
      </c>
      <c r="AQ27" s="1107">
        <f t="shared" si="2"/>
        <v>18.47290640394089</v>
      </c>
      <c r="AR27" s="1107">
        <f t="shared" si="3"/>
        <v>15.228426395939087</v>
      </c>
      <c r="AS27" s="1107">
        <f t="shared" si="4"/>
        <v>14.457831325301205</v>
      </c>
      <c r="AT27" s="1107">
        <f t="shared" si="5"/>
        <v>12.850467289719626</v>
      </c>
      <c r="AU27" s="1107">
        <f t="shared" si="6"/>
        <v>8.9686098654708513</v>
      </c>
      <c r="AV27" s="1107">
        <f t="shared" si="7"/>
        <v>12.06140350877193</v>
      </c>
      <c r="AW27" s="1107">
        <f t="shared" si="8"/>
        <v>8.501594048884165</v>
      </c>
      <c r="AX27" s="1107">
        <f t="shared" si="9"/>
        <v>18.18181818181818</v>
      </c>
      <c r="AY27" s="1107">
        <f t="shared" si="10"/>
        <v>11.969532100108813</v>
      </c>
      <c r="AZ27" s="1107">
        <f t="shared" si="11"/>
        <v>6.7796610169491522</v>
      </c>
      <c r="BA27" s="1107">
        <f t="shared" si="12"/>
        <v>6.3965884861407245</v>
      </c>
      <c r="BB27" s="1107">
        <f t="shared" si="13"/>
        <v>15.135135135135135</v>
      </c>
      <c r="BC27" s="1107">
        <f t="shared" si="14"/>
        <v>7.2614107883817427</v>
      </c>
      <c r="BD27" s="1307">
        <f t="shared" si="15"/>
        <v>10.309278350515465</v>
      </c>
      <c r="BE27" s="1309">
        <f t="shared" si="16"/>
        <v>7.6754385964912277</v>
      </c>
      <c r="BF27" s="1537">
        <f t="shared" si="17"/>
        <v>6.5789473684210522</v>
      </c>
      <c r="BG27" s="1537">
        <f t="shared" si="18"/>
        <v>2.229654403567447</v>
      </c>
    </row>
    <row r="28" spans="1:59" s="142" customFormat="1" ht="15.75" customHeight="1" x14ac:dyDescent="0.2">
      <c r="A28" s="149" t="s">
        <v>60</v>
      </c>
      <c r="B28" s="186" t="s">
        <v>61</v>
      </c>
      <c r="C28" s="150" t="s">
        <v>265</v>
      </c>
      <c r="D28" s="1057">
        <v>11</v>
      </c>
      <c r="E28" s="1058">
        <v>7</v>
      </c>
      <c r="F28" s="1059">
        <v>5</v>
      </c>
      <c r="G28" s="1058">
        <v>5</v>
      </c>
      <c r="H28" s="1059">
        <v>3</v>
      </c>
      <c r="I28" s="1058">
        <v>4</v>
      </c>
      <c r="J28" s="1059">
        <v>2</v>
      </c>
      <c r="K28" s="1058">
        <v>4</v>
      </c>
      <c r="L28" s="1072">
        <v>5</v>
      </c>
      <c r="M28" s="1072">
        <v>4</v>
      </c>
      <c r="N28" s="1072">
        <v>5</v>
      </c>
      <c r="O28" s="1072">
        <v>10</v>
      </c>
      <c r="P28" s="1073">
        <v>3</v>
      </c>
      <c r="Q28" s="1073">
        <v>4</v>
      </c>
      <c r="R28" s="1300">
        <v>3</v>
      </c>
      <c r="S28" s="1301">
        <v>10</v>
      </c>
      <c r="T28" s="1531">
        <v>3</v>
      </c>
      <c r="U28" s="1708">
        <v>3</v>
      </c>
      <c r="V28" s="1531"/>
      <c r="W28" s="1080">
        <v>250</v>
      </c>
      <c r="X28" s="1081">
        <v>248</v>
      </c>
      <c r="Y28" s="1081">
        <v>304</v>
      </c>
      <c r="Z28" s="1081">
        <v>329</v>
      </c>
      <c r="AA28" s="1081">
        <v>329</v>
      </c>
      <c r="AB28" s="1081">
        <v>331</v>
      </c>
      <c r="AC28" s="1081">
        <v>339</v>
      </c>
      <c r="AD28" s="1081">
        <v>342</v>
      </c>
      <c r="AE28" s="1081">
        <v>341</v>
      </c>
      <c r="AF28" s="1081">
        <v>321</v>
      </c>
      <c r="AG28" s="1081">
        <v>314</v>
      </c>
      <c r="AH28" s="1081">
        <v>304</v>
      </c>
      <c r="AI28" s="1081">
        <v>325</v>
      </c>
      <c r="AJ28" s="1081">
        <v>323</v>
      </c>
      <c r="AK28" s="1303">
        <v>317</v>
      </c>
      <c r="AL28" s="1304">
        <v>319</v>
      </c>
      <c r="AM28" s="1699">
        <v>309</v>
      </c>
      <c r="AN28" s="1699">
        <v>282</v>
      </c>
      <c r="AO28" s="1532"/>
      <c r="AP28" s="1106">
        <f t="shared" si="1"/>
        <v>44</v>
      </c>
      <c r="AQ28" s="1107">
        <f t="shared" si="2"/>
        <v>28.225806451612904</v>
      </c>
      <c r="AR28" s="1107">
        <f t="shared" si="3"/>
        <v>16.44736842105263</v>
      </c>
      <c r="AS28" s="1107">
        <f t="shared" si="4"/>
        <v>15.197568389057752</v>
      </c>
      <c r="AT28" s="1107">
        <f t="shared" si="5"/>
        <v>9.1185410334346493</v>
      </c>
      <c r="AU28" s="1107">
        <f t="shared" si="6"/>
        <v>12.084592145015106</v>
      </c>
      <c r="AV28" s="1107">
        <f t="shared" si="7"/>
        <v>5.8997050147492622</v>
      </c>
      <c r="AW28" s="1107">
        <f t="shared" si="8"/>
        <v>11.695906432748536</v>
      </c>
      <c r="AX28" s="1107">
        <f t="shared" si="9"/>
        <v>14.66275659824047</v>
      </c>
      <c r="AY28" s="1107">
        <f t="shared" si="10"/>
        <v>12.461059190031152</v>
      </c>
      <c r="AZ28" s="1107">
        <f t="shared" si="11"/>
        <v>15.923566878980891</v>
      </c>
      <c r="BA28" s="1107">
        <f t="shared" si="12"/>
        <v>32.89473684210526</v>
      </c>
      <c r="BB28" s="1107">
        <f t="shared" si="13"/>
        <v>9.2307692307692317</v>
      </c>
      <c r="BC28" s="1107">
        <f t="shared" si="14"/>
        <v>12.383900928792571</v>
      </c>
      <c r="BD28" s="1307">
        <f t="shared" si="15"/>
        <v>9.4637223974763405</v>
      </c>
      <c r="BE28" s="1309">
        <f t="shared" si="16"/>
        <v>31.347962382445139</v>
      </c>
      <c r="BF28" s="1537">
        <f t="shared" si="17"/>
        <v>9.7087378640776691</v>
      </c>
      <c r="BG28" s="1537">
        <f t="shared" si="18"/>
        <v>10.638297872340425</v>
      </c>
    </row>
    <row r="29" spans="1:59" s="142" customFormat="1" ht="15.75" customHeight="1" x14ac:dyDescent="0.2">
      <c r="A29" s="149" t="s">
        <v>62</v>
      </c>
      <c r="B29" s="186" t="s">
        <v>63</v>
      </c>
      <c r="C29" s="150" t="s">
        <v>267</v>
      </c>
      <c r="D29" s="1057">
        <v>69</v>
      </c>
      <c r="E29" s="1058">
        <v>53</v>
      </c>
      <c r="F29" s="1059">
        <v>65</v>
      </c>
      <c r="G29" s="1058">
        <v>45</v>
      </c>
      <c r="H29" s="1059">
        <v>45</v>
      </c>
      <c r="I29" s="1058">
        <v>59</v>
      </c>
      <c r="J29" s="1059">
        <v>51</v>
      </c>
      <c r="K29" s="1058">
        <v>54</v>
      </c>
      <c r="L29" s="1072">
        <v>63</v>
      </c>
      <c r="M29" s="1072">
        <v>67</v>
      </c>
      <c r="N29" s="1072">
        <v>61</v>
      </c>
      <c r="O29" s="1072">
        <v>55</v>
      </c>
      <c r="P29" s="1073">
        <v>48</v>
      </c>
      <c r="Q29" s="1073">
        <v>44</v>
      </c>
      <c r="R29" s="1300">
        <v>48</v>
      </c>
      <c r="S29" s="1301">
        <v>33</v>
      </c>
      <c r="T29" s="1531">
        <v>27</v>
      </c>
      <c r="U29" s="1708">
        <v>37</v>
      </c>
      <c r="V29" s="1531"/>
      <c r="W29" s="1080">
        <v>2245</v>
      </c>
      <c r="X29" s="1081">
        <v>2294</v>
      </c>
      <c r="Y29" s="1081">
        <v>2384</v>
      </c>
      <c r="Z29" s="1081">
        <v>2513</v>
      </c>
      <c r="AA29" s="1081">
        <v>2570</v>
      </c>
      <c r="AB29" s="1081">
        <v>2674</v>
      </c>
      <c r="AC29" s="1081">
        <v>2765</v>
      </c>
      <c r="AD29" s="1081">
        <v>2841</v>
      </c>
      <c r="AE29" s="1081">
        <v>2885</v>
      </c>
      <c r="AF29" s="1081">
        <v>2878</v>
      </c>
      <c r="AG29" s="1081">
        <v>2846</v>
      </c>
      <c r="AH29" s="1081">
        <v>3047</v>
      </c>
      <c r="AI29" s="1081">
        <v>3118</v>
      </c>
      <c r="AJ29" s="1081">
        <v>3137</v>
      </c>
      <c r="AK29" s="1303">
        <v>3228</v>
      </c>
      <c r="AL29" s="1304">
        <v>3240</v>
      </c>
      <c r="AM29" s="1699">
        <v>3218</v>
      </c>
      <c r="AN29" s="1699">
        <v>3281</v>
      </c>
      <c r="AO29" s="1532"/>
      <c r="AP29" s="1106">
        <f t="shared" si="1"/>
        <v>30.734966592427618</v>
      </c>
      <c r="AQ29" s="1107">
        <f t="shared" si="2"/>
        <v>23.103748910200522</v>
      </c>
      <c r="AR29" s="1107">
        <f t="shared" si="3"/>
        <v>27.265100671140939</v>
      </c>
      <c r="AS29" s="1107">
        <f t="shared" si="4"/>
        <v>17.906884202148827</v>
      </c>
      <c r="AT29" s="1107">
        <f t="shared" si="5"/>
        <v>17.509727626459146</v>
      </c>
      <c r="AU29" s="1107">
        <f t="shared" si="6"/>
        <v>22.064323111443532</v>
      </c>
      <c r="AV29" s="1107">
        <f t="shared" si="7"/>
        <v>18.44484629294756</v>
      </c>
      <c r="AW29" s="1107">
        <f t="shared" si="8"/>
        <v>19.00739176346357</v>
      </c>
      <c r="AX29" s="1107">
        <f t="shared" si="9"/>
        <v>21.837088388214905</v>
      </c>
      <c r="AY29" s="1107">
        <f t="shared" si="10"/>
        <v>23.280055594162611</v>
      </c>
      <c r="AZ29" s="1107">
        <f t="shared" si="11"/>
        <v>21.433591004919187</v>
      </c>
      <c r="BA29" s="1107">
        <f t="shared" si="12"/>
        <v>18.050541516245488</v>
      </c>
      <c r="BB29" s="1107">
        <f t="shared" si="13"/>
        <v>15.394483643361129</v>
      </c>
      <c r="BC29" s="1107">
        <f t="shared" si="14"/>
        <v>14.026139623844438</v>
      </c>
      <c r="BD29" s="1307">
        <f t="shared" si="15"/>
        <v>14.869888475836431</v>
      </c>
      <c r="BE29" s="1309">
        <f t="shared" si="16"/>
        <v>10.185185185185187</v>
      </c>
      <c r="BF29" s="1537">
        <f t="shared" si="17"/>
        <v>8.3903045369794906</v>
      </c>
      <c r="BG29" s="1537">
        <f t="shared" si="18"/>
        <v>11.277049679975617</v>
      </c>
    </row>
    <row r="30" spans="1:59" s="142" customFormat="1" ht="15.75" customHeight="1" x14ac:dyDescent="0.2">
      <c r="A30" s="149" t="s">
        <v>64</v>
      </c>
      <c r="B30" s="186" t="s">
        <v>65</v>
      </c>
      <c r="C30" s="150" t="s">
        <v>266</v>
      </c>
      <c r="D30" s="1057">
        <v>17</v>
      </c>
      <c r="E30" s="1058">
        <v>13</v>
      </c>
      <c r="F30" s="1059">
        <v>8</v>
      </c>
      <c r="G30" s="1058">
        <v>21</v>
      </c>
      <c r="H30" s="1059">
        <v>13</v>
      </c>
      <c r="I30" s="1058">
        <v>19</v>
      </c>
      <c r="J30" s="1059">
        <v>13</v>
      </c>
      <c r="K30" s="1058">
        <v>11</v>
      </c>
      <c r="L30" s="1072">
        <v>8</v>
      </c>
      <c r="M30" s="1072">
        <v>11</v>
      </c>
      <c r="N30" s="1072">
        <v>5</v>
      </c>
      <c r="O30" s="1072">
        <v>10</v>
      </c>
      <c r="P30" s="1073">
        <v>12</v>
      </c>
      <c r="Q30" s="1073">
        <v>11</v>
      </c>
      <c r="R30" s="1300">
        <v>8</v>
      </c>
      <c r="S30" s="1301">
        <v>3</v>
      </c>
      <c r="T30" s="1531">
        <v>8</v>
      </c>
      <c r="U30" s="1708">
        <v>7</v>
      </c>
      <c r="V30" s="1531"/>
      <c r="W30" s="1080">
        <v>558</v>
      </c>
      <c r="X30" s="1081">
        <v>558</v>
      </c>
      <c r="Y30" s="1081">
        <v>585</v>
      </c>
      <c r="Z30" s="1081">
        <v>597</v>
      </c>
      <c r="AA30" s="1081">
        <v>604</v>
      </c>
      <c r="AB30" s="1081">
        <v>618</v>
      </c>
      <c r="AC30" s="1081">
        <v>622</v>
      </c>
      <c r="AD30" s="1081">
        <v>630</v>
      </c>
      <c r="AE30" s="1081">
        <v>610</v>
      </c>
      <c r="AF30" s="1081">
        <v>608</v>
      </c>
      <c r="AG30" s="1081">
        <v>612</v>
      </c>
      <c r="AH30" s="1081">
        <v>645</v>
      </c>
      <c r="AI30" s="1081">
        <v>666</v>
      </c>
      <c r="AJ30" s="1081">
        <v>637</v>
      </c>
      <c r="AK30" s="1303">
        <v>617</v>
      </c>
      <c r="AL30" s="1304">
        <v>590</v>
      </c>
      <c r="AM30" s="1699">
        <v>612</v>
      </c>
      <c r="AN30" s="1699">
        <v>576</v>
      </c>
      <c r="AO30" s="1532"/>
      <c r="AP30" s="1106">
        <f t="shared" si="1"/>
        <v>30.465949820788531</v>
      </c>
      <c r="AQ30" s="1107">
        <f t="shared" si="2"/>
        <v>23.297491039426525</v>
      </c>
      <c r="AR30" s="1107">
        <f t="shared" si="3"/>
        <v>13.675213675213675</v>
      </c>
      <c r="AS30" s="1107">
        <f t="shared" si="4"/>
        <v>35.175879396984925</v>
      </c>
      <c r="AT30" s="1107">
        <f t="shared" si="5"/>
        <v>21.523178807947019</v>
      </c>
      <c r="AU30" s="1107">
        <f t="shared" si="6"/>
        <v>30.744336569579286</v>
      </c>
      <c r="AV30" s="1107">
        <f t="shared" si="7"/>
        <v>20.90032154340836</v>
      </c>
      <c r="AW30" s="1107">
        <f t="shared" si="8"/>
        <v>17.460317460317462</v>
      </c>
      <c r="AX30" s="1107">
        <f t="shared" si="9"/>
        <v>13.114754098360656</v>
      </c>
      <c r="AY30" s="1107">
        <f t="shared" si="10"/>
        <v>18.092105263157894</v>
      </c>
      <c r="AZ30" s="1107">
        <f t="shared" si="11"/>
        <v>8.169934640522877</v>
      </c>
      <c r="BA30" s="1107">
        <f t="shared" si="12"/>
        <v>15.503875968992247</v>
      </c>
      <c r="BB30" s="1107">
        <f t="shared" si="13"/>
        <v>18.018018018018019</v>
      </c>
      <c r="BC30" s="1107">
        <f t="shared" si="14"/>
        <v>17.26844583987441</v>
      </c>
      <c r="BD30" s="1307">
        <f t="shared" si="15"/>
        <v>12.965964343598054</v>
      </c>
      <c r="BE30" s="1309">
        <f t="shared" si="16"/>
        <v>5.0847457627118642</v>
      </c>
      <c r="BF30" s="1537">
        <f t="shared" si="17"/>
        <v>13.071895424836601</v>
      </c>
      <c r="BG30" s="1537">
        <f t="shared" si="18"/>
        <v>12.152777777777779</v>
      </c>
    </row>
    <row r="31" spans="1:59" s="142" customFormat="1" ht="15.75" customHeight="1" x14ac:dyDescent="0.2">
      <c r="A31" s="149" t="s">
        <v>68</v>
      </c>
      <c r="B31" s="186" t="s">
        <v>69</v>
      </c>
      <c r="C31" s="150" t="s">
        <v>268</v>
      </c>
      <c r="D31" s="1057">
        <v>29</v>
      </c>
      <c r="E31" s="1058">
        <v>29</v>
      </c>
      <c r="F31" s="1059">
        <v>20</v>
      </c>
      <c r="G31" s="1058">
        <v>14</v>
      </c>
      <c r="H31" s="1059">
        <v>24</v>
      </c>
      <c r="I31" s="1058">
        <v>19</v>
      </c>
      <c r="J31" s="1059">
        <v>20</v>
      </c>
      <c r="K31" s="1058">
        <v>21</v>
      </c>
      <c r="L31" s="1072">
        <v>27</v>
      </c>
      <c r="M31" s="1072">
        <v>27</v>
      </c>
      <c r="N31" s="1072">
        <v>22</v>
      </c>
      <c r="O31" s="1072">
        <v>24</v>
      </c>
      <c r="P31" s="1073">
        <v>25</v>
      </c>
      <c r="Q31" s="1073">
        <v>27</v>
      </c>
      <c r="R31" s="1300">
        <v>20</v>
      </c>
      <c r="S31" s="1301">
        <v>20</v>
      </c>
      <c r="T31" s="1531">
        <v>15</v>
      </c>
      <c r="U31" s="1708">
        <v>19</v>
      </c>
      <c r="V31" s="1531"/>
      <c r="W31" s="1080">
        <v>1107</v>
      </c>
      <c r="X31" s="1081">
        <v>1063</v>
      </c>
      <c r="Y31" s="1081">
        <v>1096</v>
      </c>
      <c r="Z31" s="1081">
        <v>1040</v>
      </c>
      <c r="AA31" s="1081">
        <v>1015</v>
      </c>
      <c r="AB31" s="1081">
        <v>999</v>
      </c>
      <c r="AC31" s="1081">
        <v>975</v>
      </c>
      <c r="AD31" s="1081">
        <v>962</v>
      </c>
      <c r="AE31" s="1081">
        <v>917</v>
      </c>
      <c r="AF31" s="1081">
        <v>875</v>
      </c>
      <c r="AG31" s="1081">
        <v>879</v>
      </c>
      <c r="AH31" s="1081">
        <v>905</v>
      </c>
      <c r="AI31" s="1081">
        <v>959</v>
      </c>
      <c r="AJ31" s="1081">
        <v>905</v>
      </c>
      <c r="AK31" s="1303">
        <v>887</v>
      </c>
      <c r="AL31" s="1304">
        <v>864</v>
      </c>
      <c r="AM31" s="1699">
        <v>866</v>
      </c>
      <c r="AN31" s="1699">
        <v>867</v>
      </c>
      <c r="AO31" s="1532"/>
      <c r="AP31" s="1106">
        <f t="shared" si="1"/>
        <v>26.196928635953029</v>
      </c>
      <c r="AQ31" s="1107">
        <f t="shared" si="2"/>
        <v>27.281279397930383</v>
      </c>
      <c r="AR31" s="1107">
        <f t="shared" si="3"/>
        <v>18.248175182481749</v>
      </c>
      <c r="AS31" s="1107">
        <f t="shared" si="4"/>
        <v>13.461538461538462</v>
      </c>
      <c r="AT31" s="1107">
        <f t="shared" si="5"/>
        <v>23.645320197044338</v>
      </c>
      <c r="AU31" s="1107">
        <f t="shared" si="6"/>
        <v>19.019019019019019</v>
      </c>
      <c r="AV31" s="1107">
        <f t="shared" si="7"/>
        <v>20.512820512820515</v>
      </c>
      <c r="AW31" s="1107">
        <f t="shared" si="8"/>
        <v>21.829521829521831</v>
      </c>
      <c r="AX31" s="1107">
        <f t="shared" si="9"/>
        <v>29.443838604143945</v>
      </c>
      <c r="AY31" s="1107">
        <f t="shared" si="10"/>
        <v>30.857142857142858</v>
      </c>
      <c r="AZ31" s="1107">
        <f t="shared" si="11"/>
        <v>25.028441410693972</v>
      </c>
      <c r="BA31" s="1107">
        <f t="shared" si="12"/>
        <v>26.519337016574585</v>
      </c>
      <c r="BB31" s="1107">
        <f t="shared" si="13"/>
        <v>26.068821689259646</v>
      </c>
      <c r="BC31" s="1107">
        <f t="shared" si="14"/>
        <v>29.834254143646408</v>
      </c>
      <c r="BD31" s="1307">
        <f t="shared" si="15"/>
        <v>22.547914317925592</v>
      </c>
      <c r="BE31" s="1309">
        <f t="shared" si="16"/>
        <v>23.148148148148145</v>
      </c>
      <c r="BF31" s="1537">
        <f t="shared" si="17"/>
        <v>17.321016166281755</v>
      </c>
      <c r="BG31" s="1537">
        <f t="shared" si="18"/>
        <v>21.914648212226069</v>
      </c>
    </row>
    <row r="32" spans="1:59" s="142" customFormat="1" ht="15.75" customHeight="1" x14ac:dyDescent="0.2">
      <c r="A32" s="149" t="s">
        <v>70</v>
      </c>
      <c r="B32" s="186" t="s">
        <v>71</v>
      </c>
      <c r="C32" s="150" t="s">
        <v>264</v>
      </c>
      <c r="D32" s="1057">
        <v>30</v>
      </c>
      <c r="E32" s="1058">
        <v>33</v>
      </c>
      <c r="F32" s="1059">
        <v>29</v>
      </c>
      <c r="G32" s="1058">
        <v>33</v>
      </c>
      <c r="H32" s="1059">
        <v>32</v>
      </c>
      <c r="I32" s="1058">
        <v>33</v>
      </c>
      <c r="J32" s="1059">
        <v>32</v>
      </c>
      <c r="K32" s="1058">
        <v>28</v>
      </c>
      <c r="L32" s="1072">
        <v>41</v>
      </c>
      <c r="M32" s="1072">
        <v>37</v>
      </c>
      <c r="N32" s="1072">
        <v>35</v>
      </c>
      <c r="O32" s="1072">
        <v>20</v>
      </c>
      <c r="P32" s="1073">
        <v>29</v>
      </c>
      <c r="Q32" s="1073">
        <v>31</v>
      </c>
      <c r="R32" s="1300">
        <v>25</v>
      </c>
      <c r="S32" s="1301">
        <v>16</v>
      </c>
      <c r="T32" s="1531">
        <v>13</v>
      </c>
      <c r="U32" s="1708">
        <v>16</v>
      </c>
      <c r="V32" s="1531"/>
      <c r="W32" s="1080">
        <v>1476</v>
      </c>
      <c r="X32" s="1081">
        <v>1476</v>
      </c>
      <c r="Y32" s="1081">
        <v>1587</v>
      </c>
      <c r="Z32" s="1081">
        <v>1614</v>
      </c>
      <c r="AA32" s="1081">
        <v>1639</v>
      </c>
      <c r="AB32" s="1081">
        <v>1700</v>
      </c>
      <c r="AC32" s="1081">
        <v>1740</v>
      </c>
      <c r="AD32" s="1081">
        <v>1738</v>
      </c>
      <c r="AE32" s="1081">
        <v>1688</v>
      </c>
      <c r="AF32" s="1081">
        <v>1664</v>
      </c>
      <c r="AG32" s="1081">
        <v>1662</v>
      </c>
      <c r="AH32" s="1081">
        <v>1816</v>
      </c>
      <c r="AI32" s="1081">
        <v>1897</v>
      </c>
      <c r="AJ32" s="1081">
        <v>1828</v>
      </c>
      <c r="AK32" s="1303">
        <v>1830</v>
      </c>
      <c r="AL32" s="1304">
        <v>1741</v>
      </c>
      <c r="AM32" s="1699">
        <v>1753</v>
      </c>
      <c r="AN32" s="1699">
        <v>1764</v>
      </c>
      <c r="AO32" s="1532"/>
      <c r="AP32" s="1106">
        <f t="shared" si="1"/>
        <v>20.325203252032519</v>
      </c>
      <c r="AQ32" s="1107">
        <f t="shared" si="2"/>
        <v>22.357723577235774</v>
      </c>
      <c r="AR32" s="1107">
        <f t="shared" si="3"/>
        <v>18.273471959672339</v>
      </c>
      <c r="AS32" s="1107">
        <f t="shared" si="4"/>
        <v>20.446096654275092</v>
      </c>
      <c r="AT32" s="1107">
        <f t="shared" si="5"/>
        <v>19.524100061012813</v>
      </c>
      <c r="AU32" s="1107">
        <f t="shared" si="6"/>
        <v>19.411764705882355</v>
      </c>
      <c r="AV32" s="1107">
        <f t="shared" si="7"/>
        <v>18.390804597701148</v>
      </c>
      <c r="AW32" s="1107">
        <f t="shared" si="8"/>
        <v>16.11047180667434</v>
      </c>
      <c r="AX32" s="1107">
        <f t="shared" si="9"/>
        <v>24.289099526066352</v>
      </c>
      <c r="AY32" s="1107">
        <f t="shared" si="10"/>
        <v>22.235576923076923</v>
      </c>
      <c r="AZ32" s="1107">
        <f t="shared" si="11"/>
        <v>21.0589651022864</v>
      </c>
      <c r="BA32" s="1107">
        <f t="shared" si="12"/>
        <v>11.013215859030838</v>
      </c>
      <c r="BB32" s="1107">
        <f t="shared" si="13"/>
        <v>15.287295730100158</v>
      </c>
      <c r="BC32" s="1107">
        <f t="shared" si="14"/>
        <v>16.958424507658645</v>
      </c>
      <c r="BD32" s="1307">
        <f t="shared" si="15"/>
        <v>13.66120218579235</v>
      </c>
      <c r="BE32" s="1309">
        <f t="shared" si="16"/>
        <v>9.1901206203331416</v>
      </c>
      <c r="BF32" s="1537">
        <f t="shared" si="17"/>
        <v>7.4158585282373073</v>
      </c>
      <c r="BG32" s="1537">
        <f t="shared" si="18"/>
        <v>9.0702947845804989</v>
      </c>
    </row>
    <row r="33" spans="1:59" s="142" customFormat="1" ht="15.75" customHeight="1" x14ac:dyDescent="0.2">
      <c r="A33" s="149" t="s">
        <v>72</v>
      </c>
      <c r="B33" s="186" t="s">
        <v>73</v>
      </c>
      <c r="C33" s="150" t="s">
        <v>266</v>
      </c>
      <c r="D33" s="1057">
        <v>16</v>
      </c>
      <c r="E33" s="1058">
        <v>17</v>
      </c>
      <c r="F33" s="1059">
        <v>25</v>
      </c>
      <c r="G33" s="1058">
        <v>7</v>
      </c>
      <c r="H33" s="1059">
        <v>17</v>
      </c>
      <c r="I33" s="1058">
        <v>19</v>
      </c>
      <c r="J33" s="1059">
        <v>12</v>
      </c>
      <c r="K33" s="1058">
        <v>11</v>
      </c>
      <c r="L33" s="1072">
        <v>24</v>
      </c>
      <c r="M33" s="1072">
        <v>14</v>
      </c>
      <c r="N33" s="1072">
        <v>22</v>
      </c>
      <c r="O33" s="1072">
        <v>23</v>
      </c>
      <c r="P33" s="1073">
        <v>18</v>
      </c>
      <c r="Q33" s="1073">
        <v>14</v>
      </c>
      <c r="R33" s="1300">
        <v>17</v>
      </c>
      <c r="S33" s="1301">
        <v>6</v>
      </c>
      <c r="T33" s="1531">
        <v>5</v>
      </c>
      <c r="U33" s="1708">
        <v>6</v>
      </c>
      <c r="V33" s="1531"/>
      <c r="W33" s="1080">
        <v>569</v>
      </c>
      <c r="X33" s="1081">
        <v>566</v>
      </c>
      <c r="Y33" s="1081">
        <v>653</v>
      </c>
      <c r="Z33" s="1081">
        <v>688</v>
      </c>
      <c r="AA33" s="1081">
        <v>689</v>
      </c>
      <c r="AB33" s="1081">
        <v>720</v>
      </c>
      <c r="AC33" s="1081">
        <v>719</v>
      </c>
      <c r="AD33" s="1081">
        <v>699</v>
      </c>
      <c r="AE33" s="1081">
        <v>670</v>
      </c>
      <c r="AF33" s="1081">
        <v>654</v>
      </c>
      <c r="AG33" s="1081">
        <v>635</v>
      </c>
      <c r="AH33" s="1081">
        <v>670</v>
      </c>
      <c r="AI33" s="1081">
        <v>771</v>
      </c>
      <c r="AJ33" s="1081">
        <v>775</v>
      </c>
      <c r="AK33" s="1303">
        <v>739</v>
      </c>
      <c r="AL33" s="1304">
        <v>696</v>
      </c>
      <c r="AM33" s="1699">
        <v>681</v>
      </c>
      <c r="AN33" s="1699">
        <v>695</v>
      </c>
      <c r="AO33" s="1532"/>
      <c r="AP33" s="1106">
        <f t="shared" si="1"/>
        <v>28.119507908611599</v>
      </c>
      <c r="AQ33" s="1107">
        <f t="shared" si="2"/>
        <v>30.035335689045933</v>
      </c>
      <c r="AR33" s="1107">
        <f t="shared" si="3"/>
        <v>38.28483920367534</v>
      </c>
      <c r="AS33" s="1107">
        <f t="shared" si="4"/>
        <v>10.174418604651164</v>
      </c>
      <c r="AT33" s="1107">
        <f t="shared" si="5"/>
        <v>24.673439767779392</v>
      </c>
      <c r="AU33" s="1107">
        <f t="shared" si="6"/>
        <v>26.388888888888889</v>
      </c>
      <c r="AV33" s="1107">
        <f t="shared" si="7"/>
        <v>16.689847009735743</v>
      </c>
      <c r="AW33" s="1107">
        <f t="shared" si="8"/>
        <v>15.736766809728183</v>
      </c>
      <c r="AX33" s="1107">
        <f t="shared" si="9"/>
        <v>35.820895522388064</v>
      </c>
      <c r="AY33" s="1107">
        <f t="shared" si="10"/>
        <v>21.406727828746178</v>
      </c>
      <c r="AZ33" s="1107">
        <f t="shared" si="11"/>
        <v>34.645669291338585</v>
      </c>
      <c r="BA33" s="1107">
        <f t="shared" si="12"/>
        <v>34.328358208955223</v>
      </c>
      <c r="BB33" s="1107">
        <f t="shared" si="13"/>
        <v>23.346303501945524</v>
      </c>
      <c r="BC33" s="1107">
        <f t="shared" si="14"/>
        <v>18.06451612903226</v>
      </c>
      <c r="BD33" s="1307">
        <f t="shared" si="15"/>
        <v>23.004059539918806</v>
      </c>
      <c r="BE33" s="1309">
        <f t="shared" si="16"/>
        <v>8.6206896551724128</v>
      </c>
      <c r="BF33" s="1537">
        <f t="shared" si="17"/>
        <v>7.3421439060205582</v>
      </c>
      <c r="BG33" s="1537">
        <f t="shared" si="18"/>
        <v>8.6330935251798557</v>
      </c>
    </row>
    <row r="34" spans="1:59" s="142" customFormat="1" ht="15.75" customHeight="1" x14ac:dyDescent="0.2">
      <c r="A34" s="149" t="s">
        <v>74</v>
      </c>
      <c r="B34" s="186" t="s">
        <v>609</v>
      </c>
      <c r="C34" s="150" t="s">
        <v>267</v>
      </c>
      <c r="D34" s="1057">
        <v>542</v>
      </c>
      <c r="E34" s="1058">
        <v>588</v>
      </c>
      <c r="F34" s="1059">
        <v>616</v>
      </c>
      <c r="G34" s="1058">
        <v>584</v>
      </c>
      <c r="H34" s="1059">
        <v>565</v>
      </c>
      <c r="I34" s="1058">
        <v>547</v>
      </c>
      <c r="J34" s="1059">
        <v>571</v>
      </c>
      <c r="K34" s="1058">
        <v>596</v>
      </c>
      <c r="L34" s="1072">
        <v>626</v>
      </c>
      <c r="M34" s="1072">
        <v>591</v>
      </c>
      <c r="N34" s="1072">
        <v>583</v>
      </c>
      <c r="O34" s="1072">
        <v>504</v>
      </c>
      <c r="P34" s="1073">
        <v>394</v>
      </c>
      <c r="Q34" s="1073">
        <v>399</v>
      </c>
      <c r="R34" s="1300">
        <v>381</v>
      </c>
      <c r="S34" s="1301">
        <v>314</v>
      </c>
      <c r="T34" s="1531">
        <v>341</v>
      </c>
      <c r="U34" s="1708">
        <v>330</v>
      </c>
      <c r="V34" s="1531"/>
      <c r="W34" s="1080">
        <v>64605</v>
      </c>
      <c r="X34" s="1081">
        <v>65953</v>
      </c>
      <c r="Y34" s="1081">
        <v>63467</v>
      </c>
      <c r="Z34" s="1081">
        <v>66451</v>
      </c>
      <c r="AA34" s="1081">
        <v>67592</v>
      </c>
      <c r="AB34" s="1081">
        <v>67911</v>
      </c>
      <c r="AC34" s="1081">
        <v>67862</v>
      </c>
      <c r="AD34" s="1081">
        <v>68131</v>
      </c>
      <c r="AE34" s="1081">
        <v>67569</v>
      </c>
      <c r="AF34" s="1081">
        <v>68401</v>
      </c>
      <c r="AG34" s="1081">
        <v>67702</v>
      </c>
      <c r="AH34" s="1081">
        <v>67346</v>
      </c>
      <c r="AI34" s="1081">
        <v>69287</v>
      </c>
      <c r="AJ34" s="1081">
        <v>70994</v>
      </c>
      <c r="AK34" s="1303">
        <v>72210</v>
      </c>
      <c r="AL34" s="1304">
        <v>73224</v>
      </c>
      <c r="AM34" s="1699">
        <v>73896</v>
      </c>
      <c r="AN34" s="1699">
        <v>73883</v>
      </c>
      <c r="AO34" s="1532"/>
      <c r="AP34" s="1106">
        <f t="shared" si="1"/>
        <v>8.3894435415215529</v>
      </c>
      <c r="AQ34" s="1107">
        <f t="shared" si="2"/>
        <v>8.9154397828756835</v>
      </c>
      <c r="AR34" s="1107">
        <f t="shared" si="3"/>
        <v>9.7058313769360449</v>
      </c>
      <c r="AS34" s="1107">
        <f t="shared" si="4"/>
        <v>8.7884305729033425</v>
      </c>
      <c r="AT34" s="1107">
        <f t="shared" si="5"/>
        <v>8.3589773937744098</v>
      </c>
      <c r="AU34" s="1107">
        <f t="shared" si="6"/>
        <v>8.0546597752941356</v>
      </c>
      <c r="AV34" s="1107">
        <f t="shared" si="7"/>
        <v>8.4141345672099259</v>
      </c>
      <c r="AW34" s="1107">
        <f t="shared" si="8"/>
        <v>8.7478534000675179</v>
      </c>
      <c r="AX34" s="1107">
        <f t="shared" si="9"/>
        <v>9.2646035904038833</v>
      </c>
      <c r="AY34" s="1107">
        <f t="shared" si="10"/>
        <v>8.6402245581204955</v>
      </c>
      <c r="AZ34" s="1107">
        <f t="shared" si="11"/>
        <v>8.6112670231307789</v>
      </c>
      <c r="BA34" s="1107">
        <f t="shared" si="12"/>
        <v>7.4837406824458768</v>
      </c>
      <c r="BB34" s="1107">
        <f t="shared" si="13"/>
        <v>5.6864924156046586</v>
      </c>
      <c r="BC34" s="1107">
        <f t="shared" si="14"/>
        <v>5.6201932557680934</v>
      </c>
      <c r="BD34" s="1307">
        <f t="shared" si="15"/>
        <v>5.2762775238886581</v>
      </c>
      <c r="BE34" s="1309">
        <f t="shared" si="16"/>
        <v>4.2882115153501585</v>
      </c>
      <c r="BF34" s="1537">
        <f t="shared" si="17"/>
        <v>4.6145934827324888</v>
      </c>
      <c r="BG34" s="1537">
        <f t="shared" si="18"/>
        <v>4.4665213919304847</v>
      </c>
    </row>
    <row r="35" spans="1:59" s="142" customFormat="1" ht="15.75" customHeight="1" x14ac:dyDescent="0.2">
      <c r="A35" s="149" t="s">
        <v>76</v>
      </c>
      <c r="B35" s="186" t="s">
        <v>77</v>
      </c>
      <c r="C35" s="150" t="s">
        <v>267</v>
      </c>
      <c r="D35" s="1057">
        <v>46</v>
      </c>
      <c r="E35" s="1058">
        <v>67</v>
      </c>
      <c r="F35" s="1059">
        <v>57</v>
      </c>
      <c r="G35" s="1058">
        <v>63</v>
      </c>
      <c r="H35" s="1059">
        <v>60</v>
      </c>
      <c r="I35" s="1058">
        <v>48</v>
      </c>
      <c r="J35" s="1059">
        <v>54</v>
      </c>
      <c r="K35" s="1058">
        <v>59</v>
      </c>
      <c r="L35" s="1072">
        <v>63</v>
      </c>
      <c r="M35" s="1072">
        <v>62</v>
      </c>
      <c r="N35" s="1072">
        <v>55</v>
      </c>
      <c r="O35" s="1072">
        <v>40</v>
      </c>
      <c r="P35" s="1073">
        <v>53</v>
      </c>
      <c r="Q35" s="1073">
        <v>46</v>
      </c>
      <c r="R35" s="1300">
        <v>41</v>
      </c>
      <c r="S35" s="1301">
        <v>26</v>
      </c>
      <c r="T35" s="1531">
        <v>29</v>
      </c>
      <c r="U35" s="1708">
        <v>27</v>
      </c>
      <c r="V35" s="1531"/>
      <c r="W35" s="1080">
        <v>4252</v>
      </c>
      <c r="X35" s="1081">
        <v>4388</v>
      </c>
      <c r="Y35" s="1081">
        <v>4115</v>
      </c>
      <c r="Z35" s="1081">
        <v>4312</v>
      </c>
      <c r="AA35" s="1081">
        <v>4406</v>
      </c>
      <c r="AB35" s="1081">
        <v>4509</v>
      </c>
      <c r="AC35" s="1081">
        <v>4593</v>
      </c>
      <c r="AD35" s="1081">
        <v>4642</v>
      </c>
      <c r="AE35" s="1081">
        <v>4576</v>
      </c>
      <c r="AF35" s="1081">
        <v>4481</v>
      </c>
      <c r="AG35" s="1081">
        <v>4420</v>
      </c>
      <c r="AH35" s="1081">
        <v>4799</v>
      </c>
      <c r="AI35" s="1081">
        <v>4732</v>
      </c>
      <c r="AJ35" s="1081">
        <v>4740</v>
      </c>
      <c r="AK35" s="1303">
        <v>4722</v>
      </c>
      <c r="AL35" s="1304">
        <v>4699</v>
      </c>
      <c r="AM35" s="1699">
        <v>4743</v>
      </c>
      <c r="AN35" s="1699">
        <v>4723</v>
      </c>
      <c r="AO35" s="1532"/>
      <c r="AP35" s="1106">
        <f t="shared" si="1"/>
        <v>10.818438381937911</v>
      </c>
      <c r="AQ35" s="1107">
        <f t="shared" si="2"/>
        <v>15.268915223336371</v>
      </c>
      <c r="AR35" s="1107">
        <f t="shared" si="3"/>
        <v>13.85176184690158</v>
      </c>
      <c r="AS35" s="1107">
        <f t="shared" si="4"/>
        <v>14.61038961038961</v>
      </c>
      <c r="AT35" s="1107">
        <f t="shared" si="5"/>
        <v>13.617793917385384</v>
      </c>
      <c r="AU35" s="1107">
        <f t="shared" si="6"/>
        <v>10.645375914836993</v>
      </c>
      <c r="AV35" s="1107">
        <f t="shared" si="7"/>
        <v>11.757021554539516</v>
      </c>
      <c r="AW35" s="1107">
        <f t="shared" si="8"/>
        <v>12.710038776389487</v>
      </c>
      <c r="AX35" s="1107">
        <f t="shared" si="9"/>
        <v>13.767482517482518</v>
      </c>
      <c r="AY35" s="1107">
        <f t="shared" si="10"/>
        <v>13.83619727739344</v>
      </c>
      <c r="AZ35" s="1107">
        <f t="shared" si="11"/>
        <v>12.443438914027148</v>
      </c>
      <c r="BA35" s="1107">
        <f t="shared" si="12"/>
        <v>8.3350698062096278</v>
      </c>
      <c r="BB35" s="1107">
        <f t="shared" si="13"/>
        <v>11.200338123415046</v>
      </c>
      <c r="BC35" s="1107">
        <f t="shared" si="14"/>
        <v>9.7046413502109719</v>
      </c>
      <c r="BD35" s="1307">
        <f t="shared" si="15"/>
        <v>8.6827615417196107</v>
      </c>
      <c r="BE35" s="1309">
        <f t="shared" si="16"/>
        <v>5.5330921472653758</v>
      </c>
      <c r="BF35" s="1537">
        <f t="shared" si="17"/>
        <v>6.1142736664558299</v>
      </c>
      <c r="BG35" s="1537">
        <f t="shared" si="18"/>
        <v>5.7167054838026683</v>
      </c>
    </row>
    <row r="36" spans="1:59" s="142" customFormat="1" ht="15.75" customHeight="1" x14ac:dyDescent="0.2">
      <c r="A36" s="149" t="s">
        <v>78</v>
      </c>
      <c r="B36" s="186" t="s">
        <v>79</v>
      </c>
      <c r="C36" s="150" t="s">
        <v>268</v>
      </c>
      <c r="D36" s="1057">
        <v>16</v>
      </c>
      <c r="E36" s="1058">
        <v>20</v>
      </c>
      <c r="F36" s="1059">
        <v>15</v>
      </c>
      <c r="G36" s="1058">
        <v>18</v>
      </c>
      <c r="H36" s="1059">
        <v>11</v>
      </c>
      <c r="I36" s="1058">
        <v>13</v>
      </c>
      <c r="J36" s="1059">
        <v>9</v>
      </c>
      <c r="K36" s="1058">
        <v>11</v>
      </c>
      <c r="L36" s="1072">
        <v>13</v>
      </c>
      <c r="M36" s="1072">
        <v>12</v>
      </c>
      <c r="N36" s="1072">
        <v>12</v>
      </c>
      <c r="O36" s="1072">
        <v>18</v>
      </c>
      <c r="P36" s="1073">
        <v>14</v>
      </c>
      <c r="Q36" s="1073">
        <v>14</v>
      </c>
      <c r="R36" s="1300">
        <v>11</v>
      </c>
      <c r="S36" s="1301">
        <v>12</v>
      </c>
      <c r="T36" s="1531">
        <v>7</v>
      </c>
      <c r="U36" s="1708">
        <v>6</v>
      </c>
      <c r="V36" s="1531"/>
      <c r="W36" s="1080">
        <v>726</v>
      </c>
      <c r="X36" s="1081">
        <v>721</v>
      </c>
      <c r="Y36" s="1081">
        <v>838</v>
      </c>
      <c r="Z36" s="1081">
        <v>854</v>
      </c>
      <c r="AA36" s="1081">
        <v>866</v>
      </c>
      <c r="AB36" s="1081">
        <v>877</v>
      </c>
      <c r="AC36" s="1081">
        <v>892</v>
      </c>
      <c r="AD36" s="1081">
        <v>900</v>
      </c>
      <c r="AE36" s="1081">
        <v>900</v>
      </c>
      <c r="AF36" s="1081">
        <v>879</v>
      </c>
      <c r="AG36" s="1081">
        <v>866</v>
      </c>
      <c r="AH36" s="1081">
        <v>871</v>
      </c>
      <c r="AI36" s="1081">
        <v>910</v>
      </c>
      <c r="AJ36" s="1081">
        <v>906</v>
      </c>
      <c r="AK36" s="1303">
        <v>911</v>
      </c>
      <c r="AL36" s="1304">
        <v>892</v>
      </c>
      <c r="AM36" s="1699">
        <v>874</v>
      </c>
      <c r="AN36" s="1699">
        <v>863</v>
      </c>
      <c r="AO36" s="1532"/>
      <c r="AP36" s="1106">
        <f t="shared" si="1"/>
        <v>22.03856749311295</v>
      </c>
      <c r="AQ36" s="1107">
        <f t="shared" si="2"/>
        <v>27.739251040221916</v>
      </c>
      <c r="AR36" s="1107">
        <f t="shared" si="3"/>
        <v>17.899761336515514</v>
      </c>
      <c r="AS36" s="1107">
        <f t="shared" si="4"/>
        <v>21.07728337236534</v>
      </c>
      <c r="AT36" s="1107">
        <f t="shared" si="5"/>
        <v>12.702078521939953</v>
      </c>
      <c r="AU36" s="1107">
        <f t="shared" si="6"/>
        <v>14.823261117445838</v>
      </c>
      <c r="AV36" s="1107">
        <f t="shared" si="7"/>
        <v>10.089686098654708</v>
      </c>
      <c r="AW36" s="1107">
        <f t="shared" si="8"/>
        <v>12.222222222222223</v>
      </c>
      <c r="AX36" s="1107">
        <f t="shared" si="9"/>
        <v>14.444444444444445</v>
      </c>
      <c r="AY36" s="1107">
        <f t="shared" si="10"/>
        <v>13.651877133105803</v>
      </c>
      <c r="AZ36" s="1107">
        <f t="shared" si="11"/>
        <v>13.856812933025404</v>
      </c>
      <c r="BA36" s="1107">
        <f t="shared" si="12"/>
        <v>20.66590126291619</v>
      </c>
      <c r="BB36" s="1107">
        <f t="shared" si="13"/>
        <v>15.384615384615385</v>
      </c>
      <c r="BC36" s="1107">
        <f t="shared" si="14"/>
        <v>15.452538631346579</v>
      </c>
      <c r="BD36" s="1307">
        <f t="shared" si="15"/>
        <v>12.074643249176729</v>
      </c>
      <c r="BE36" s="1309">
        <f t="shared" si="16"/>
        <v>13.45291479820628</v>
      </c>
      <c r="BF36" s="1537">
        <f t="shared" si="17"/>
        <v>8.0091533180778036</v>
      </c>
      <c r="BG36" s="1537">
        <f t="shared" si="18"/>
        <v>6.9524913093858629</v>
      </c>
    </row>
    <row r="37" spans="1:59" s="142" customFormat="1" ht="15.75" customHeight="1" x14ac:dyDescent="0.2">
      <c r="A37" s="149" t="s">
        <v>80</v>
      </c>
      <c r="B37" s="186" t="s">
        <v>81</v>
      </c>
      <c r="C37" s="150" t="s">
        <v>266</v>
      </c>
      <c r="D37" s="1057">
        <v>15</v>
      </c>
      <c r="E37" s="1058">
        <v>22</v>
      </c>
      <c r="F37" s="1059">
        <v>13</v>
      </c>
      <c r="G37" s="1058">
        <v>13</v>
      </c>
      <c r="H37" s="1059">
        <v>30</v>
      </c>
      <c r="I37" s="1058">
        <v>20</v>
      </c>
      <c r="J37" s="1059">
        <v>22</v>
      </c>
      <c r="K37" s="1058">
        <v>21</v>
      </c>
      <c r="L37" s="1072">
        <v>16</v>
      </c>
      <c r="M37" s="1072">
        <v>20</v>
      </c>
      <c r="N37" s="1072">
        <v>22</v>
      </c>
      <c r="O37" s="1072">
        <v>14</v>
      </c>
      <c r="P37" s="1073">
        <v>16</v>
      </c>
      <c r="Q37" s="1073">
        <v>10</v>
      </c>
      <c r="R37" s="1300">
        <v>11</v>
      </c>
      <c r="S37" s="1301">
        <v>12</v>
      </c>
      <c r="T37" s="1531">
        <v>11</v>
      </c>
      <c r="U37" s="1708">
        <v>17</v>
      </c>
      <c r="V37" s="1531"/>
      <c r="W37" s="1080">
        <v>941</v>
      </c>
      <c r="X37" s="1081">
        <v>960</v>
      </c>
      <c r="Y37" s="1081">
        <v>1180</v>
      </c>
      <c r="Z37" s="1081">
        <v>1261</v>
      </c>
      <c r="AA37" s="1081">
        <v>1339</v>
      </c>
      <c r="AB37" s="1081">
        <v>1422</v>
      </c>
      <c r="AC37" s="1081">
        <v>1484</v>
      </c>
      <c r="AD37" s="1081">
        <v>1560</v>
      </c>
      <c r="AE37" s="1081">
        <v>1565</v>
      </c>
      <c r="AF37" s="1081">
        <v>1564</v>
      </c>
      <c r="AG37" s="1081">
        <v>1596</v>
      </c>
      <c r="AH37" s="1081">
        <v>1579</v>
      </c>
      <c r="AI37" s="1081">
        <v>1600</v>
      </c>
      <c r="AJ37" s="1081">
        <v>1642</v>
      </c>
      <c r="AK37" s="1303">
        <v>1606</v>
      </c>
      <c r="AL37" s="1304">
        <v>1626</v>
      </c>
      <c r="AM37" s="1699">
        <v>1619</v>
      </c>
      <c r="AN37" s="1699">
        <v>1636</v>
      </c>
      <c r="AO37" s="1532"/>
      <c r="AP37" s="1106">
        <f t="shared" si="1"/>
        <v>15.940488841657812</v>
      </c>
      <c r="AQ37" s="1107">
        <f t="shared" si="2"/>
        <v>22.916666666666664</v>
      </c>
      <c r="AR37" s="1107">
        <f t="shared" si="3"/>
        <v>11.016949152542372</v>
      </c>
      <c r="AS37" s="1107">
        <f t="shared" si="4"/>
        <v>10.309278350515465</v>
      </c>
      <c r="AT37" s="1107">
        <f t="shared" si="5"/>
        <v>22.404779686333082</v>
      </c>
      <c r="AU37" s="1107">
        <f t="shared" si="6"/>
        <v>14.064697609001406</v>
      </c>
      <c r="AV37" s="1107">
        <f t="shared" si="7"/>
        <v>14.824797843665769</v>
      </c>
      <c r="AW37" s="1107">
        <f t="shared" si="8"/>
        <v>13.461538461538462</v>
      </c>
      <c r="AX37" s="1107">
        <f t="shared" si="9"/>
        <v>10.223642172523961</v>
      </c>
      <c r="AY37" s="1107">
        <f t="shared" si="10"/>
        <v>12.787723785166239</v>
      </c>
      <c r="AZ37" s="1107">
        <f t="shared" si="11"/>
        <v>13.784461152882205</v>
      </c>
      <c r="BA37" s="1107">
        <f t="shared" si="12"/>
        <v>8.8663711209626346</v>
      </c>
      <c r="BB37" s="1107">
        <f t="shared" si="13"/>
        <v>10</v>
      </c>
      <c r="BC37" s="1107">
        <f t="shared" si="14"/>
        <v>6.0901339829476244</v>
      </c>
      <c r="BD37" s="1307">
        <f t="shared" si="15"/>
        <v>6.8493150684931505</v>
      </c>
      <c r="BE37" s="1309">
        <f t="shared" si="16"/>
        <v>7.3800738007380069</v>
      </c>
      <c r="BF37" s="1537">
        <f t="shared" si="17"/>
        <v>6.7943174799258808</v>
      </c>
      <c r="BG37" s="1537">
        <f t="shared" si="18"/>
        <v>10.39119804400978</v>
      </c>
    </row>
    <row r="38" spans="1:59" s="142" customFormat="1" ht="15.75" customHeight="1" x14ac:dyDescent="0.2">
      <c r="A38" s="149" t="s">
        <v>84</v>
      </c>
      <c r="B38" s="186" t="s">
        <v>85</v>
      </c>
      <c r="C38" s="150" t="s">
        <v>265</v>
      </c>
      <c r="D38" s="1057">
        <v>58</v>
      </c>
      <c r="E38" s="1058">
        <v>68</v>
      </c>
      <c r="F38" s="1059">
        <v>74</v>
      </c>
      <c r="G38" s="1058">
        <v>62</v>
      </c>
      <c r="H38" s="1059">
        <v>60</v>
      </c>
      <c r="I38" s="1058">
        <v>65</v>
      </c>
      <c r="J38" s="1059">
        <v>53</v>
      </c>
      <c r="K38" s="1058">
        <v>55</v>
      </c>
      <c r="L38" s="1072">
        <v>76</v>
      </c>
      <c r="M38" s="1072">
        <v>60</v>
      </c>
      <c r="N38" s="1072">
        <v>88</v>
      </c>
      <c r="O38" s="1072">
        <v>65</v>
      </c>
      <c r="P38" s="1073">
        <v>59</v>
      </c>
      <c r="Q38" s="1073">
        <v>57</v>
      </c>
      <c r="R38" s="1300">
        <v>51</v>
      </c>
      <c r="S38" s="1301">
        <v>38</v>
      </c>
      <c r="T38" s="1531">
        <v>31</v>
      </c>
      <c r="U38" s="1708">
        <v>38</v>
      </c>
      <c r="V38" s="1531"/>
      <c r="W38" s="1080">
        <v>2903</v>
      </c>
      <c r="X38" s="1081">
        <v>2913</v>
      </c>
      <c r="Y38" s="1081">
        <v>3101</v>
      </c>
      <c r="Z38" s="1081">
        <v>3148</v>
      </c>
      <c r="AA38" s="1081">
        <v>3180</v>
      </c>
      <c r="AB38" s="1081">
        <v>3246</v>
      </c>
      <c r="AC38" s="1081">
        <v>3280</v>
      </c>
      <c r="AD38" s="1081">
        <v>3253</v>
      </c>
      <c r="AE38" s="1081">
        <v>3190</v>
      </c>
      <c r="AF38" s="1081">
        <v>3167</v>
      </c>
      <c r="AG38" s="1081">
        <v>3148</v>
      </c>
      <c r="AH38" s="1081">
        <v>3238</v>
      </c>
      <c r="AI38" s="1081">
        <v>3518</v>
      </c>
      <c r="AJ38" s="1081">
        <v>3545</v>
      </c>
      <c r="AK38" s="1303">
        <v>3478</v>
      </c>
      <c r="AL38" s="1304">
        <v>3416</v>
      </c>
      <c r="AM38" s="1699">
        <v>3431</v>
      </c>
      <c r="AN38" s="1699">
        <v>3402</v>
      </c>
      <c r="AO38" s="1532"/>
      <c r="AP38" s="1106">
        <f t="shared" ref="AP38:AP69" si="19">IF(W38=0,"NA",(D38/W38)*1000)</f>
        <v>19.979331725800893</v>
      </c>
      <c r="AQ38" s="1107">
        <f t="shared" ref="AQ38:AQ69" si="20">IF(X38=0,"NA",(E38/X38)*1000)</f>
        <v>23.34363199450738</v>
      </c>
      <c r="AR38" s="1107">
        <f t="shared" ref="AR38:AR69" si="21">IF(Y38=0,"NA",(F38/Y38)*1000)</f>
        <v>23.863269912931312</v>
      </c>
      <c r="AS38" s="1107">
        <f t="shared" ref="AS38:AS69" si="22">IF(Z38=0,"NA",(G38/Z38)*1000)</f>
        <v>19.695044472681065</v>
      </c>
      <c r="AT38" s="1107">
        <f t="shared" ref="AT38:AT69" si="23">IF(AA38=0,"NA",(H38/AA38)*1000)</f>
        <v>18.867924528301884</v>
      </c>
      <c r="AU38" s="1107">
        <f t="shared" ref="AU38:AU69" si="24">IF(AB38=0,"NA",(I38/AB38)*1000)</f>
        <v>20.024645717806528</v>
      </c>
      <c r="AV38" s="1107">
        <f t="shared" ref="AV38:AV69" si="25">IF(AC38=0,"NA",(J38/AC38)*1000)</f>
        <v>16.158536585365855</v>
      </c>
      <c r="AW38" s="1107">
        <f t="shared" ref="AW38:AW69" si="26">IF(AD38=0,"NA",(K38/AD38)*1000)</f>
        <v>16.907470027666768</v>
      </c>
      <c r="AX38" s="1107">
        <f t="shared" ref="AX38:AX69" si="27">IF(AE38=0,"NA",(L38/AE38)*1000)</f>
        <v>23.824451410658305</v>
      </c>
      <c r="AY38" s="1107">
        <f t="shared" ref="AY38:AY69" si="28">IF(AF38=0,"NA",(M38/AF38)*1000)</f>
        <v>18.945374171139882</v>
      </c>
      <c r="AZ38" s="1107">
        <f t="shared" ref="AZ38:AZ69" si="29">IF(AG38=0,"NA",(N38/AG38)*1000)</f>
        <v>27.954256670902161</v>
      </c>
      <c r="BA38" s="1107">
        <f t="shared" ref="BA38:BA69" si="30">IF(AH38=0,"NA",(O38/AH38)*1000)</f>
        <v>20.074119827053735</v>
      </c>
      <c r="BB38" s="1107">
        <f t="shared" ref="BB38:BB69" si="31">IF(AI38=0,"NA",(P38/AI38)*1000)</f>
        <v>16.770892552586698</v>
      </c>
      <c r="BC38" s="1107">
        <f t="shared" ref="BC38:BC69" si="32">IF(AJ38=0,"NA",(Q38/AJ38)*1000)</f>
        <v>16.078984485190411</v>
      </c>
      <c r="BD38" s="1307">
        <f t="shared" ref="BD38:BD69" si="33">IF(AK38=0,"NA",(R38/AK38)*1000)</f>
        <v>14.663599769982749</v>
      </c>
      <c r="BE38" s="1309">
        <f t="shared" ref="BE38:BE69" si="34">IF(AL38=0,"NA",(S38/AL38)*1000)</f>
        <v>11.124121779859484</v>
      </c>
      <c r="BF38" s="1537">
        <f t="shared" ref="BF38:BF69" si="35">IF(AM38=0,"NA",(T38/AM38)*1000)</f>
        <v>9.0352666860973478</v>
      </c>
      <c r="BG38" s="1537">
        <f t="shared" si="18"/>
        <v>11.169900058788947</v>
      </c>
    </row>
    <row r="39" spans="1:59" s="142" customFormat="1" ht="15.75" customHeight="1" x14ac:dyDescent="0.2">
      <c r="A39" s="149" t="s">
        <v>86</v>
      </c>
      <c r="B39" s="186" t="s">
        <v>87</v>
      </c>
      <c r="C39" s="150" t="s">
        <v>267</v>
      </c>
      <c r="D39" s="1057">
        <v>89</v>
      </c>
      <c r="E39" s="1058">
        <v>81</v>
      </c>
      <c r="F39" s="1059">
        <v>90</v>
      </c>
      <c r="G39" s="1058">
        <v>81</v>
      </c>
      <c r="H39" s="1059">
        <v>75</v>
      </c>
      <c r="I39" s="1058">
        <v>88</v>
      </c>
      <c r="J39" s="1059">
        <v>75</v>
      </c>
      <c r="K39" s="1058">
        <v>99</v>
      </c>
      <c r="L39" s="1072">
        <v>81</v>
      </c>
      <c r="M39" s="1072">
        <v>103</v>
      </c>
      <c r="N39" s="1072">
        <v>89</v>
      </c>
      <c r="O39" s="1072">
        <v>96</v>
      </c>
      <c r="P39" s="1073">
        <v>74</v>
      </c>
      <c r="Q39" s="1073">
        <v>84</v>
      </c>
      <c r="R39" s="1300">
        <v>56</v>
      </c>
      <c r="S39" s="1301">
        <v>47</v>
      </c>
      <c r="T39" s="1531">
        <v>55</v>
      </c>
      <c r="U39" s="1708">
        <v>47</v>
      </c>
      <c r="V39" s="1531"/>
      <c r="W39" s="1080">
        <v>3704</v>
      </c>
      <c r="X39" s="1081">
        <v>3779</v>
      </c>
      <c r="Y39" s="1081">
        <v>4091</v>
      </c>
      <c r="Z39" s="1081">
        <v>4162</v>
      </c>
      <c r="AA39" s="1081">
        <v>4289</v>
      </c>
      <c r="AB39" s="1081">
        <v>4403</v>
      </c>
      <c r="AC39" s="1081">
        <v>4510</v>
      </c>
      <c r="AD39" s="1081">
        <v>4593</v>
      </c>
      <c r="AE39" s="1081">
        <v>4559</v>
      </c>
      <c r="AF39" s="1081">
        <v>4524</v>
      </c>
      <c r="AG39" s="1081">
        <v>4519</v>
      </c>
      <c r="AH39" s="1081">
        <v>5053</v>
      </c>
      <c r="AI39" s="1081">
        <v>5417</v>
      </c>
      <c r="AJ39" s="1081">
        <v>5426</v>
      </c>
      <c r="AK39" s="1303">
        <v>5367</v>
      </c>
      <c r="AL39" s="1304">
        <v>5392</v>
      </c>
      <c r="AM39" s="1699">
        <v>5351</v>
      </c>
      <c r="AN39" s="1699">
        <v>5298</v>
      </c>
      <c r="AO39" s="1532"/>
      <c r="AP39" s="1106">
        <f t="shared" si="19"/>
        <v>24.028077753779698</v>
      </c>
      <c r="AQ39" s="1107">
        <f t="shared" si="20"/>
        <v>21.434241862926697</v>
      </c>
      <c r="AR39" s="1107">
        <f t="shared" si="21"/>
        <v>21.999511121975068</v>
      </c>
      <c r="AS39" s="1107">
        <f t="shared" si="22"/>
        <v>19.461797212878423</v>
      </c>
      <c r="AT39" s="1107">
        <f t="shared" si="23"/>
        <v>17.486593611564466</v>
      </c>
      <c r="AU39" s="1107">
        <f t="shared" si="24"/>
        <v>19.986372927549397</v>
      </c>
      <c r="AV39" s="1107">
        <f t="shared" si="25"/>
        <v>16.62971175166297</v>
      </c>
      <c r="AW39" s="1107">
        <f t="shared" si="26"/>
        <v>21.554539516655783</v>
      </c>
      <c r="AX39" s="1107">
        <f t="shared" si="27"/>
        <v>17.767054178547927</v>
      </c>
      <c r="AY39" s="1107">
        <f t="shared" si="28"/>
        <v>22.767462422634836</v>
      </c>
      <c r="AZ39" s="1107">
        <f t="shared" si="29"/>
        <v>19.694622704138084</v>
      </c>
      <c r="BA39" s="1107">
        <f t="shared" si="30"/>
        <v>18.998614684345934</v>
      </c>
      <c r="BB39" s="1107">
        <f t="shared" si="31"/>
        <v>13.660697803212111</v>
      </c>
      <c r="BC39" s="1107">
        <f t="shared" si="32"/>
        <v>15.481017323995577</v>
      </c>
      <c r="BD39" s="1307">
        <f t="shared" si="33"/>
        <v>10.434134525805851</v>
      </c>
      <c r="BE39" s="1309">
        <f t="shared" si="34"/>
        <v>8.7166172106824931</v>
      </c>
      <c r="BF39" s="1537">
        <f t="shared" si="35"/>
        <v>10.278452625677444</v>
      </c>
      <c r="BG39" s="1537">
        <f t="shared" si="18"/>
        <v>8.8712721781804458</v>
      </c>
    </row>
    <row r="40" spans="1:59" s="142" customFormat="1" ht="15.75" customHeight="1" x14ac:dyDescent="0.2">
      <c r="A40" s="149" t="s">
        <v>92</v>
      </c>
      <c r="B40" s="186" t="s">
        <v>93</v>
      </c>
      <c r="C40" s="150" t="s">
        <v>268</v>
      </c>
      <c r="D40" s="1057">
        <v>32</v>
      </c>
      <c r="E40" s="1058">
        <v>24</v>
      </c>
      <c r="F40" s="1059">
        <v>32</v>
      </c>
      <c r="G40" s="1058">
        <v>23</v>
      </c>
      <c r="H40" s="1059">
        <v>26</v>
      </c>
      <c r="I40" s="1058">
        <v>20</v>
      </c>
      <c r="J40" s="1059">
        <v>23</v>
      </c>
      <c r="K40" s="1058">
        <v>9</v>
      </c>
      <c r="L40" s="1072">
        <v>20</v>
      </c>
      <c r="M40" s="1072">
        <v>25</v>
      </c>
      <c r="N40" s="1072">
        <v>28</v>
      </c>
      <c r="O40" s="1072">
        <v>22</v>
      </c>
      <c r="P40" s="1073">
        <v>27</v>
      </c>
      <c r="Q40" s="1073">
        <v>17</v>
      </c>
      <c r="R40" s="1300">
        <v>20</v>
      </c>
      <c r="S40" s="1301">
        <v>8</v>
      </c>
      <c r="T40" s="1531">
        <v>21</v>
      </c>
      <c r="U40" s="1708">
        <v>23</v>
      </c>
      <c r="V40" s="1531"/>
      <c r="W40" s="1080">
        <v>905</v>
      </c>
      <c r="X40" s="1081">
        <v>889</v>
      </c>
      <c r="Y40" s="1081">
        <v>977</v>
      </c>
      <c r="Z40" s="1081">
        <v>982</v>
      </c>
      <c r="AA40" s="1081">
        <v>990</v>
      </c>
      <c r="AB40" s="1081">
        <v>991</v>
      </c>
      <c r="AC40" s="1081">
        <v>999</v>
      </c>
      <c r="AD40" s="1081">
        <v>992</v>
      </c>
      <c r="AE40" s="1081">
        <v>972</v>
      </c>
      <c r="AF40" s="1081">
        <v>956</v>
      </c>
      <c r="AG40" s="1081">
        <v>931</v>
      </c>
      <c r="AH40" s="1081">
        <v>985</v>
      </c>
      <c r="AI40" s="1081">
        <v>1027</v>
      </c>
      <c r="AJ40" s="1081">
        <v>970</v>
      </c>
      <c r="AK40" s="1303">
        <v>972</v>
      </c>
      <c r="AL40" s="1304">
        <v>1021</v>
      </c>
      <c r="AM40" s="1699">
        <v>1005</v>
      </c>
      <c r="AN40" s="1699">
        <v>1007</v>
      </c>
      <c r="AO40" s="1532"/>
      <c r="AP40" s="1106">
        <f t="shared" si="19"/>
        <v>35.35911602209945</v>
      </c>
      <c r="AQ40" s="1107">
        <f t="shared" si="20"/>
        <v>26.996625421822273</v>
      </c>
      <c r="AR40" s="1107">
        <f t="shared" si="21"/>
        <v>32.753326509723642</v>
      </c>
      <c r="AS40" s="1107">
        <f t="shared" si="22"/>
        <v>23.421588594704684</v>
      </c>
      <c r="AT40" s="1107">
        <f t="shared" si="23"/>
        <v>26.262626262626263</v>
      </c>
      <c r="AU40" s="1107">
        <f t="shared" si="24"/>
        <v>20.181634712411707</v>
      </c>
      <c r="AV40" s="1107">
        <f t="shared" si="25"/>
        <v>23.023023023023026</v>
      </c>
      <c r="AW40" s="1107">
        <f t="shared" si="26"/>
        <v>9.0725806451612918</v>
      </c>
      <c r="AX40" s="1107">
        <f t="shared" si="27"/>
        <v>20.5761316872428</v>
      </c>
      <c r="AY40" s="1107">
        <f t="shared" si="28"/>
        <v>26.15062761506276</v>
      </c>
      <c r="AZ40" s="1107">
        <f t="shared" si="29"/>
        <v>30.075187969924812</v>
      </c>
      <c r="BA40" s="1107">
        <f t="shared" si="30"/>
        <v>22.335025380710658</v>
      </c>
      <c r="BB40" s="1107">
        <f t="shared" si="31"/>
        <v>26.29016553067186</v>
      </c>
      <c r="BC40" s="1107">
        <f t="shared" si="32"/>
        <v>17.52577319587629</v>
      </c>
      <c r="BD40" s="1307">
        <f t="shared" si="33"/>
        <v>20.5761316872428</v>
      </c>
      <c r="BE40" s="1309">
        <f t="shared" si="34"/>
        <v>7.8354554358472086</v>
      </c>
      <c r="BF40" s="1537">
        <f t="shared" si="35"/>
        <v>20.895522388059703</v>
      </c>
      <c r="BG40" s="1537">
        <f t="shared" si="18"/>
        <v>22.840119165839127</v>
      </c>
    </row>
    <row r="41" spans="1:59" s="142" customFormat="1" ht="15.75" customHeight="1" x14ac:dyDescent="0.2">
      <c r="A41" s="149" t="s">
        <v>94</v>
      </c>
      <c r="B41" s="186" t="s">
        <v>95</v>
      </c>
      <c r="C41" s="150" t="s">
        <v>264</v>
      </c>
      <c r="D41" s="1057">
        <v>50</v>
      </c>
      <c r="E41" s="1058">
        <v>42</v>
      </c>
      <c r="F41" s="1059">
        <v>41</v>
      </c>
      <c r="G41" s="1058">
        <v>39</v>
      </c>
      <c r="H41" s="1059">
        <v>47</v>
      </c>
      <c r="I41" s="1058">
        <v>36</v>
      </c>
      <c r="J41" s="1059">
        <v>48</v>
      </c>
      <c r="K41" s="1058">
        <v>31</v>
      </c>
      <c r="L41" s="1072">
        <v>38</v>
      </c>
      <c r="M41" s="1072">
        <v>37</v>
      </c>
      <c r="N41" s="1072">
        <v>30</v>
      </c>
      <c r="O41" s="1072">
        <v>28</v>
      </c>
      <c r="P41" s="1073">
        <v>33</v>
      </c>
      <c r="Q41" s="1073">
        <v>28</v>
      </c>
      <c r="R41" s="1300">
        <v>26</v>
      </c>
      <c r="S41" s="1301">
        <v>21</v>
      </c>
      <c r="T41" s="1531">
        <v>15</v>
      </c>
      <c r="U41" s="1708">
        <v>23</v>
      </c>
      <c r="V41" s="1531"/>
      <c r="W41" s="1080">
        <v>2873</v>
      </c>
      <c r="X41" s="1081">
        <v>2967</v>
      </c>
      <c r="Y41" s="1081">
        <v>2600</v>
      </c>
      <c r="Z41" s="1081">
        <v>2649</v>
      </c>
      <c r="AA41" s="1081">
        <v>2649</v>
      </c>
      <c r="AB41" s="1081">
        <v>2660</v>
      </c>
      <c r="AC41" s="1081">
        <v>2679</v>
      </c>
      <c r="AD41" s="1081">
        <v>2623</v>
      </c>
      <c r="AE41" s="1081">
        <v>2521</v>
      </c>
      <c r="AF41" s="1081">
        <v>2476</v>
      </c>
      <c r="AG41" s="1081">
        <v>2424</v>
      </c>
      <c r="AH41" s="1081">
        <v>2565</v>
      </c>
      <c r="AI41" s="1081">
        <v>2374</v>
      </c>
      <c r="AJ41" s="1081">
        <v>2313</v>
      </c>
      <c r="AK41" s="1303">
        <v>2240</v>
      </c>
      <c r="AL41" s="1304">
        <v>2127</v>
      </c>
      <c r="AM41" s="1699">
        <v>2129</v>
      </c>
      <c r="AN41" s="1699">
        <v>2131</v>
      </c>
      <c r="AO41" s="1532"/>
      <c r="AP41" s="1106">
        <f t="shared" si="19"/>
        <v>17.40341106856944</v>
      </c>
      <c r="AQ41" s="1107">
        <f t="shared" si="20"/>
        <v>14.155712841253791</v>
      </c>
      <c r="AR41" s="1107">
        <f t="shared" si="21"/>
        <v>15.769230769230768</v>
      </c>
      <c r="AS41" s="1107">
        <f t="shared" si="22"/>
        <v>14.722536806342015</v>
      </c>
      <c r="AT41" s="1107">
        <f t="shared" si="23"/>
        <v>17.742544356360892</v>
      </c>
      <c r="AU41" s="1107">
        <f t="shared" si="24"/>
        <v>13.533834586466165</v>
      </c>
      <c r="AV41" s="1107">
        <f t="shared" si="25"/>
        <v>17.917133258678611</v>
      </c>
      <c r="AW41" s="1107">
        <f t="shared" si="26"/>
        <v>11.818528402592451</v>
      </c>
      <c r="AX41" s="1107">
        <f t="shared" si="27"/>
        <v>15.073383577945261</v>
      </c>
      <c r="AY41" s="1107">
        <f t="shared" si="28"/>
        <v>14.94345718901454</v>
      </c>
      <c r="AZ41" s="1107">
        <f t="shared" si="29"/>
        <v>12.376237623762377</v>
      </c>
      <c r="BA41" s="1107">
        <f t="shared" si="30"/>
        <v>10.91617933723197</v>
      </c>
      <c r="BB41" s="1107">
        <f t="shared" si="31"/>
        <v>13.900589721988204</v>
      </c>
      <c r="BC41" s="1107">
        <f t="shared" si="32"/>
        <v>12.105490704712494</v>
      </c>
      <c r="BD41" s="1307">
        <f t="shared" si="33"/>
        <v>11.607142857142858</v>
      </c>
      <c r="BE41" s="1309">
        <f t="shared" si="34"/>
        <v>9.873060648801129</v>
      </c>
      <c r="BF41" s="1537">
        <f t="shared" si="35"/>
        <v>7.045561296383279</v>
      </c>
      <c r="BG41" s="1537">
        <f t="shared" si="18"/>
        <v>10.793054903801032</v>
      </c>
    </row>
    <row r="42" spans="1:59" s="142" customFormat="1" ht="15.75" customHeight="1" x14ac:dyDescent="0.2">
      <c r="A42" s="149" t="s">
        <v>96</v>
      </c>
      <c r="B42" s="186" t="s">
        <v>97</v>
      </c>
      <c r="C42" s="150" t="s">
        <v>266</v>
      </c>
      <c r="D42" s="1057">
        <v>13</v>
      </c>
      <c r="E42" s="1058">
        <v>10</v>
      </c>
      <c r="F42" s="1059">
        <v>12</v>
      </c>
      <c r="G42" s="1058">
        <v>12</v>
      </c>
      <c r="H42" s="1059">
        <v>8</v>
      </c>
      <c r="I42" s="1058">
        <v>8</v>
      </c>
      <c r="J42" s="1059">
        <v>4</v>
      </c>
      <c r="K42" s="1058">
        <v>11</v>
      </c>
      <c r="L42" s="1072">
        <v>16</v>
      </c>
      <c r="M42" s="1072">
        <v>7</v>
      </c>
      <c r="N42" s="1072">
        <v>10</v>
      </c>
      <c r="O42" s="1072">
        <v>10</v>
      </c>
      <c r="P42" s="1073">
        <v>8</v>
      </c>
      <c r="Q42" s="1073">
        <v>4</v>
      </c>
      <c r="R42" s="1300">
        <v>4</v>
      </c>
      <c r="S42" s="1301">
        <v>7</v>
      </c>
      <c r="T42" s="1531">
        <v>6</v>
      </c>
      <c r="U42" s="1708">
        <v>1</v>
      </c>
      <c r="V42" s="1531"/>
      <c r="W42" s="1080">
        <v>862</v>
      </c>
      <c r="X42" s="1081">
        <v>874</v>
      </c>
      <c r="Y42" s="1081">
        <v>934</v>
      </c>
      <c r="Z42" s="1081">
        <v>967</v>
      </c>
      <c r="AA42" s="1081">
        <v>999</v>
      </c>
      <c r="AB42" s="1081">
        <v>1030</v>
      </c>
      <c r="AC42" s="1081">
        <v>1055</v>
      </c>
      <c r="AD42" s="1081">
        <v>1067</v>
      </c>
      <c r="AE42" s="1081">
        <v>1097</v>
      </c>
      <c r="AF42" s="1081">
        <v>1116</v>
      </c>
      <c r="AG42" s="1081">
        <v>1103</v>
      </c>
      <c r="AH42" s="1081">
        <v>1163</v>
      </c>
      <c r="AI42" s="1081">
        <v>1204</v>
      </c>
      <c r="AJ42" s="1081">
        <v>1229</v>
      </c>
      <c r="AK42" s="1303">
        <v>1258</v>
      </c>
      <c r="AL42" s="1304">
        <v>1271</v>
      </c>
      <c r="AM42" s="1699">
        <v>1271</v>
      </c>
      <c r="AN42" s="1699">
        <v>1269</v>
      </c>
      <c r="AO42" s="1532"/>
      <c r="AP42" s="1106">
        <f t="shared" si="19"/>
        <v>15.081206496519721</v>
      </c>
      <c r="AQ42" s="1107">
        <f t="shared" si="20"/>
        <v>11.441647597254004</v>
      </c>
      <c r="AR42" s="1107">
        <f t="shared" si="21"/>
        <v>12.847965738758029</v>
      </c>
      <c r="AS42" s="1107">
        <f t="shared" si="22"/>
        <v>12.409513960703205</v>
      </c>
      <c r="AT42" s="1107">
        <f t="shared" si="23"/>
        <v>8.0080080080080087</v>
      </c>
      <c r="AU42" s="1107">
        <f t="shared" si="24"/>
        <v>7.766990291262136</v>
      </c>
      <c r="AV42" s="1107">
        <f t="shared" si="25"/>
        <v>3.7914691943127963</v>
      </c>
      <c r="AW42" s="1107">
        <f t="shared" si="26"/>
        <v>10.309278350515465</v>
      </c>
      <c r="AX42" s="1107">
        <f t="shared" si="27"/>
        <v>14.585232452142206</v>
      </c>
      <c r="AY42" s="1107">
        <f t="shared" si="28"/>
        <v>6.2724014336917566</v>
      </c>
      <c r="AZ42" s="1107">
        <f t="shared" si="29"/>
        <v>9.0661831368993653</v>
      </c>
      <c r="BA42" s="1107">
        <f t="shared" si="30"/>
        <v>8.5984522785898534</v>
      </c>
      <c r="BB42" s="1107">
        <f t="shared" si="31"/>
        <v>6.6445182724252492</v>
      </c>
      <c r="BC42" s="1107">
        <f t="shared" si="32"/>
        <v>3.2546786004882016</v>
      </c>
      <c r="BD42" s="1307">
        <f t="shared" si="33"/>
        <v>3.1796502384737679</v>
      </c>
      <c r="BE42" s="1309">
        <f t="shared" si="34"/>
        <v>5.5074744295830058</v>
      </c>
      <c r="BF42" s="1537">
        <f t="shared" si="35"/>
        <v>4.7206923682140047</v>
      </c>
      <c r="BG42" s="1537">
        <f t="shared" si="18"/>
        <v>0.78802206461780933</v>
      </c>
    </row>
    <row r="43" spans="1:59" s="142" customFormat="1" ht="15.75" customHeight="1" x14ac:dyDescent="0.2">
      <c r="A43" s="149" t="s">
        <v>98</v>
      </c>
      <c r="B43" s="186" t="s">
        <v>99</v>
      </c>
      <c r="C43" s="150" t="s">
        <v>268</v>
      </c>
      <c r="D43" s="1057">
        <v>28</v>
      </c>
      <c r="E43" s="1058">
        <v>22</v>
      </c>
      <c r="F43" s="1059">
        <v>22</v>
      </c>
      <c r="G43" s="1058">
        <v>18</v>
      </c>
      <c r="H43" s="1059">
        <v>22</v>
      </c>
      <c r="I43" s="1058">
        <v>17</v>
      </c>
      <c r="J43" s="1059">
        <v>20</v>
      </c>
      <c r="K43" s="1058">
        <v>23</v>
      </c>
      <c r="L43" s="1072">
        <v>28</v>
      </c>
      <c r="M43" s="1072">
        <v>26</v>
      </c>
      <c r="N43" s="1072">
        <v>26</v>
      </c>
      <c r="O43" s="1072">
        <v>17</v>
      </c>
      <c r="P43" s="1073">
        <v>22</v>
      </c>
      <c r="Q43" s="1073">
        <v>13</v>
      </c>
      <c r="R43" s="1300">
        <v>12</v>
      </c>
      <c r="S43" s="1301">
        <v>20</v>
      </c>
      <c r="T43" s="1531">
        <v>16</v>
      </c>
      <c r="U43" s="1708">
        <v>15</v>
      </c>
      <c r="V43" s="1531"/>
      <c r="W43" s="1080">
        <v>950</v>
      </c>
      <c r="X43" s="1081">
        <v>935</v>
      </c>
      <c r="Y43" s="1081">
        <v>950</v>
      </c>
      <c r="Z43" s="1081">
        <v>974</v>
      </c>
      <c r="AA43" s="1081">
        <v>962</v>
      </c>
      <c r="AB43" s="1081">
        <v>974</v>
      </c>
      <c r="AC43" s="1081">
        <v>986</v>
      </c>
      <c r="AD43" s="1081">
        <v>965</v>
      </c>
      <c r="AE43" s="1081">
        <v>933</v>
      </c>
      <c r="AF43" s="1081">
        <v>906</v>
      </c>
      <c r="AG43" s="1081">
        <v>884</v>
      </c>
      <c r="AH43" s="1081">
        <v>895</v>
      </c>
      <c r="AI43" s="1081">
        <v>930</v>
      </c>
      <c r="AJ43" s="1081">
        <v>883</v>
      </c>
      <c r="AK43" s="1303">
        <v>836</v>
      </c>
      <c r="AL43" s="1304">
        <v>821</v>
      </c>
      <c r="AM43" s="1699">
        <v>818</v>
      </c>
      <c r="AN43" s="1699">
        <v>808</v>
      </c>
      <c r="AO43" s="1532"/>
      <c r="AP43" s="1106">
        <f t="shared" si="19"/>
        <v>29.473684210526315</v>
      </c>
      <c r="AQ43" s="1107">
        <f t="shared" si="20"/>
        <v>23.52941176470588</v>
      </c>
      <c r="AR43" s="1107">
        <f t="shared" si="21"/>
        <v>23.157894736842106</v>
      </c>
      <c r="AS43" s="1107">
        <f t="shared" si="22"/>
        <v>18.480492813141684</v>
      </c>
      <c r="AT43" s="1107">
        <f t="shared" si="23"/>
        <v>22.869022869022871</v>
      </c>
      <c r="AU43" s="1107">
        <f t="shared" si="24"/>
        <v>17.453798767967143</v>
      </c>
      <c r="AV43" s="1107">
        <f t="shared" si="25"/>
        <v>20.28397565922921</v>
      </c>
      <c r="AW43" s="1107">
        <f t="shared" si="26"/>
        <v>23.834196891191709</v>
      </c>
      <c r="AX43" s="1107">
        <f t="shared" si="27"/>
        <v>30.010718113612004</v>
      </c>
      <c r="AY43" s="1107">
        <f t="shared" si="28"/>
        <v>28.697571743929359</v>
      </c>
      <c r="AZ43" s="1107">
        <f t="shared" si="29"/>
        <v>29.411764705882351</v>
      </c>
      <c r="BA43" s="1107">
        <f t="shared" si="30"/>
        <v>18.994413407821231</v>
      </c>
      <c r="BB43" s="1107">
        <f t="shared" si="31"/>
        <v>23.655913978494624</v>
      </c>
      <c r="BC43" s="1107">
        <f t="shared" si="32"/>
        <v>14.722536806342015</v>
      </c>
      <c r="BD43" s="1307">
        <f t="shared" si="33"/>
        <v>14.354066985645934</v>
      </c>
      <c r="BE43" s="1309">
        <f t="shared" si="34"/>
        <v>24.360535931790498</v>
      </c>
      <c r="BF43" s="1537">
        <f t="shared" si="35"/>
        <v>19.559902200488999</v>
      </c>
      <c r="BG43" s="1537">
        <f t="shared" si="18"/>
        <v>18.564356435643564</v>
      </c>
    </row>
    <row r="44" spans="1:59" s="142" customFormat="1" ht="15.75" customHeight="1" x14ac:dyDescent="0.2">
      <c r="A44" s="149" t="s">
        <v>100</v>
      </c>
      <c r="B44" s="186" t="s">
        <v>101</v>
      </c>
      <c r="C44" s="150" t="s">
        <v>267</v>
      </c>
      <c r="D44" s="1057">
        <v>22</v>
      </c>
      <c r="E44" s="1058">
        <v>22</v>
      </c>
      <c r="F44" s="1059">
        <v>25</v>
      </c>
      <c r="G44" s="1058">
        <v>27</v>
      </c>
      <c r="H44" s="1059">
        <v>29</v>
      </c>
      <c r="I44" s="1058">
        <v>30</v>
      </c>
      <c r="J44" s="1059">
        <v>21</v>
      </c>
      <c r="K44" s="1058">
        <v>26</v>
      </c>
      <c r="L44" s="1072">
        <v>38</v>
      </c>
      <c r="M44" s="1072">
        <v>18</v>
      </c>
      <c r="N44" s="1072">
        <v>20</v>
      </c>
      <c r="O44" s="1072">
        <v>16</v>
      </c>
      <c r="P44" s="1073">
        <v>11</v>
      </c>
      <c r="Q44" s="1073">
        <v>20</v>
      </c>
      <c r="R44" s="1300">
        <v>6</v>
      </c>
      <c r="S44" s="1301">
        <v>10</v>
      </c>
      <c r="T44" s="1531">
        <v>11</v>
      </c>
      <c r="U44" s="1708">
        <v>14</v>
      </c>
      <c r="V44" s="1531"/>
      <c r="W44" s="1080">
        <v>811</v>
      </c>
      <c r="X44" s="1081">
        <v>832</v>
      </c>
      <c r="Y44" s="1081">
        <v>1020</v>
      </c>
      <c r="Z44" s="1081">
        <v>1063</v>
      </c>
      <c r="AA44" s="1081">
        <v>1120</v>
      </c>
      <c r="AB44" s="1081">
        <v>1166</v>
      </c>
      <c r="AC44" s="1081">
        <v>1209</v>
      </c>
      <c r="AD44" s="1081">
        <v>1231</v>
      </c>
      <c r="AE44" s="1081">
        <v>1215</v>
      </c>
      <c r="AF44" s="1081">
        <v>1203</v>
      </c>
      <c r="AG44" s="1081">
        <v>1175</v>
      </c>
      <c r="AH44" s="1081">
        <v>1170</v>
      </c>
      <c r="AI44" s="1081">
        <v>1104</v>
      </c>
      <c r="AJ44" s="1081">
        <v>1113</v>
      </c>
      <c r="AK44" s="1303">
        <v>1090</v>
      </c>
      <c r="AL44" s="1304">
        <v>1078</v>
      </c>
      <c r="AM44" s="1699">
        <v>1100</v>
      </c>
      <c r="AN44" s="1699">
        <v>1137</v>
      </c>
      <c r="AO44" s="1532"/>
      <c r="AP44" s="1106">
        <f t="shared" si="19"/>
        <v>27.127003699136868</v>
      </c>
      <c r="AQ44" s="1107">
        <f t="shared" si="20"/>
        <v>26.442307692307693</v>
      </c>
      <c r="AR44" s="1107">
        <f t="shared" si="21"/>
        <v>24.509803921568626</v>
      </c>
      <c r="AS44" s="1107">
        <f t="shared" si="22"/>
        <v>25.399811853245531</v>
      </c>
      <c r="AT44" s="1107">
        <f t="shared" si="23"/>
        <v>25.892857142857146</v>
      </c>
      <c r="AU44" s="1107">
        <f t="shared" si="24"/>
        <v>25.728987993138936</v>
      </c>
      <c r="AV44" s="1107">
        <f t="shared" si="25"/>
        <v>17.369727047146402</v>
      </c>
      <c r="AW44" s="1107">
        <f t="shared" si="26"/>
        <v>21.121039805036556</v>
      </c>
      <c r="AX44" s="1107">
        <f t="shared" si="27"/>
        <v>31.275720164609055</v>
      </c>
      <c r="AY44" s="1107">
        <f t="shared" si="28"/>
        <v>14.962593516209475</v>
      </c>
      <c r="AZ44" s="1107">
        <f t="shared" si="29"/>
        <v>17.021276595744681</v>
      </c>
      <c r="BA44" s="1107">
        <f t="shared" si="30"/>
        <v>13.675213675213675</v>
      </c>
      <c r="BB44" s="1107">
        <f t="shared" si="31"/>
        <v>9.9637681159420275</v>
      </c>
      <c r="BC44" s="1107">
        <f t="shared" si="32"/>
        <v>17.969451931716083</v>
      </c>
      <c r="BD44" s="1307">
        <f t="shared" si="33"/>
        <v>5.5045871559633035</v>
      </c>
      <c r="BE44" s="1309">
        <f t="shared" si="34"/>
        <v>9.2764378478664202</v>
      </c>
      <c r="BF44" s="1537">
        <f t="shared" si="35"/>
        <v>10</v>
      </c>
      <c r="BG44" s="1537">
        <f t="shared" si="18"/>
        <v>12.313104661389621</v>
      </c>
    </row>
    <row r="45" spans="1:59" s="142" customFormat="1" ht="15.75" customHeight="1" x14ac:dyDescent="0.2">
      <c r="A45" s="149" t="s">
        <v>102</v>
      </c>
      <c r="B45" s="186" t="s">
        <v>282</v>
      </c>
      <c r="C45" s="150" t="s">
        <v>264</v>
      </c>
      <c r="D45" s="1057">
        <v>32</v>
      </c>
      <c r="E45" s="1058">
        <v>31</v>
      </c>
      <c r="F45" s="1059">
        <v>31</v>
      </c>
      <c r="G45" s="1058">
        <v>25</v>
      </c>
      <c r="H45" s="1059">
        <v>45</v>
      </c>
      <c r="I45" s="1058">
        <v>23</v>
      </c>
      <c r="J45" s="1059">
        <v>25</v>
      </c>
      <c r="K45" s="1058">
        <v>39</v>
      </c>
      <c r="L45" s="1072">
        <v>44</v>
      </c>
      <c r="M45" s="1072">
        <v>42</v>
      </c>
      <c r="N45" s="1072">
        <v>44</v>
      </c>
      <c r="O45" s="1072">
        <v>31</v>
      </c>
      <c r="P45" s="1073">
        <v>38</v>
      </c>
      <c r="Q45" s="1073">
        <v>33</v>
      </c>
      <c r="R45" s="1300">
        <v>21</v>
      </c>
      <c r="S45" s="1301">
        <v>25</v>
      </c>
      <c r="T45" s="1531">
        <v>18</v>
      </c>
      <c r="U45" s="1708">
        <v>17</v>
      </c>
      <c r="V45" s="1531"/>
      <c r="W45" s="1080">
        <v>994</v>
      </c>
      <c r="X45" s="1081">
        <v>991</v>
      </c>
      <c r="Y45" s="1081">
        <v>1043</v>
      </c>
      <c r="Z45" s="1081">
        <v>992</v>
      </c>
      <c r="AA45" s="1081">
        <v>1005</v>
      </c>
      <c r="AB45" s="1081">
        <v>1011</v>
      </c>
      <c r="AC45" s="1081">
        <v>979</v>
      </c>
      <c r="AD45" s="1081">
        <v>936</v>
      </c>
      <c r="AE45" s="1081">
        <v>921</v>
      </c>
      <c r="AF45" s="1081">
        <v>882</v>
      </c>
      <c r="AG45" s="1081">
        <v>843</v>
      </c>
      <c r="AH45" s="1081">
        <v>916</v>
      </c>
      <c r="AI45" s="1081">
        <v>966</v>
      </c>
      <c r="AJ45" s="1081">
        <v>946</v>
      </c>
      <c r="AK45" s="1303">
        <v>936</v>
      </c>
      <c r="AL45" s="1304">
        <v>919</v>
      </c>
      <c r="AM45" s="1699">
        <v>913</v>
      </c>
      <c r="AN45" s="1699">
        <v>916</v>
      </c>
      <c r="AO45" s="1532"/>
      <c r="AP45" s="1106">
        <f t="shared" si="19"/>
        <v>32.193158953722339</v>
      </c>
      <c r="AQ45" s="1107">
        <f t="shared" si="20"/>
        <v>31.281533804238141</v>
      </c>
      <c r="AR45" s="1107">
        <f t="shared" si="21"/>
        <v>29.721955896452542</v>
      </c>
      <c r="AS45" s="1107">
        <f t="shared" si="22"/>
        <v>25.201612903225804</v>
      </c>
      <c r="AT45" s="1107">
        <f t="shared" si="23"/>
        <v>44.776119402985074</v>
      </c>
      <c r="AU45" s="1107">
        <f t="shared" si="24"/>
        <v>22.74975272007913</v>
      </c>
      <c r="AV45" s="1107">
        <f t="shared" si="25"/>
        <v>25.536261491317671</v>
      </c>
      <c r="AW45" s="1107">
        <f t="shared" si="26"/>
        <v>41.666666666666664</v>
      </c>
      <c r="AX45" s="1107">
        <f t="shared" si="27"/>
        <v>47.774158523344191</v>
      </c>
      <c r="AY45" s="1107">
        <f t="shared" si="28"/>
        <v>47.619047619047613</v>
      </c>
      <c r="AZ45" s="1107">
        <f t="shared" si="29"/>
        <v>52.194543297746144</v>
      </c>
      <c r="BA45" s="1107">
        <f t="shared" si="30"/>
        <v>33.842794759825331</v>
      </c>
      <c r="BB45" s="1107">
        <f t="shared" si="31"/>
        <v>39.337474120082817</v>
      </c>
      <c r="BC45" s="1107">
        <f t="shared" si="32"/>
        <v>34.883720930232556</v>
      </c>
      <c r="BD45" s="1307">
        <f t="shared" si="33"/>
        <v>22.435897435897434</v>
      </c>
      <c r="BE45" s="1309">
        <f t="shared" si="34"/>
        <v>27.20348204570185</v>
      </c>
      <c r="BF45" s="1537">
        <f t="shared" si="35"/>
        <v>19.715224534501644</v>
      </c>
      <c r="BG45" s="1537">
        <f t="shared" si="18"/>
        <v>18.558951965065503</v>
      </c>
    </row>
    <row r="46" spans="1:59" s="142" customFormat="1" ht="15.75" customHeight="1" x14ac:dyDescent="0.2">
      <c r="A46" s="149" t="s">
        <v>104</v>
      </c>
      <c r="B46" s="186" t="s">
        <v>105</v>
      </c>
      <c r="C46" s="150" t="s">
        <v>265</v>
      </c>
      <c r="D46" s="1057">
        <v>65</v>
      </c>
      <c r="E46" s="1058">
        <v>84</v>
      </c>
      <c r="F46" s="1059">
        <v>68</v>
      </c>
      <c r="G46" s="1058">
        <v>51</v>
      </c>
      <c r="H46" s="1059">
        <v>55</v>
      </c>
      <c r="I46" s="1058">
        <v>69</v>
      </c>
      <c r="J46" s="1059">
        <v>66</v>
      </c>
      <c r="K46" s="1058">
        <v>44</v>
      </c>
      <c r="L46" s="1072">
        <v>52</v>
      </c>
      <c r="M46" s="1072">
        <v>65</v>
      </c>
      <c r="N46" s="1072">
        <v>54</v>
      </c>
      <c r="O46" s="1072">
        <v>51</v>
      </c>
      <c r="P46" s="1073">
        <v>52</v>
      </c>
      <c r="Q46" s="1073">
        <v>42</v>
      </c>
      <c r="R46" s="1300">
        <v>41</v>
      </c>
      <c r="S46" s="1301">
        <v>52</v>
      </c>
      <c r="T46" s="1531">
        <v>42</v>
      </c>
      <c r="U46" s="1708">
        <v>43</v>
      </c>
      <c r="V46" s="1531"/>
      <c r="W46" s="1080">
        <v>2265</v>
      </c>
      <c r="X46" s="1081">
        <v>2235</v>
      </c>
      <c r="Y46" s="1081">
        <v>2309</v>
      </c>
      <c r="Z46" s="1081">
        <v>2286</v>
      </c>
      <c r="AA46" s="1081">
        <v>2314</v>
      </c>
      <c r="AB46" s="1081">
        <v>2318</v>
      </c>
      <c r="AC46" s="1081">
        <v>2301</v>
      </c>
      <c r="AD46" s="1081">
        <v>2296</v>
      </c>
      <c r="AE46" s="1081">
        <v>2289</v>
      </c>
      <c r="AF46" s="1081">
        <v>2214</v>
      </c>
      <c r="AG46" s="1081">
        <v>2180</v>
      </c>
      <c r="AH46" s="1081">
        <v>2173</v>
      </c>
      <c r="AI46" s="1081">
        <v>2305</v>
      </c>
      <c r="AJ46" s="1081">
        <v>2282</v>
      </c>
      <c r="AK46" s="1303">
        <v>2250</v>
      </c>
      <c r="AL46" s="1304">
        <v>2139</v>
      </c>
      <c r="AM46" s="1699">
        <v>2123</v>
      </c>
      <c r="AN46" s="1699">
        <v>2124</v>
      </c>
      <c r="AO46" s="1532"/>
      <c r="AP46" s="1106">
        <f t="shared" si="19"/>
        <v>28.697571743929359</v>
      </c>
      <c r="AQ46" s="1107">
        <f t="shared" si="20"/>
        <v>37.583892617449663</v>
      </c>
      <c r="AR46" s="1107">
        <f t="shared" si="21"/>
        <v>29.449978345604158</v>
      </c>
      <c r="AS46" s="1107">
        <f t="shared" si="22"/>
        <v>22.309711286089239</v>
      </c>
      <c r="AT46" s="1107">
        <f t="shared" si="23"/>
        <v>23.76836646499568</v>
      </c>
      <c r="AU46" s="1107">
        <f t="shared" si="24"/>
        <v>29.767040552200172</v>
      </c>
      <c r="AV46" s="1107">
        <f t="shared" si="25"/>
        <v>28.683181225554105</v>
      </c>
      <c r="AW46" s="1107">
        <f t="shared" si="26"/>
        <v>19.16376306620209</v>
      </c>
      <c r="AX46" s="1107">
        <f t="shared" si="27"/>
        <v>22.717343818261249</v>
      </c>
      <c r="AY46" s="1107">
        <f t="shared" si="28"/>
        <v>29.358626919602528</v>
      </c>
      <c r="AZ46" s="1107">
        <f t="shared" si="29"/>
        <v>24.770642201834864</v>
      </c>
      <c r="BA46" s="1107">
        <f t="shared" si="30"/>
        <v>23.469857340082832</v>
      </c>
      <c r="BB46" s="1107">
        <f t="shared" si="31"/>
        <v>22.559652928416487</v>
      </c>
      <c r="BC46" s="1107">
        <f t="shared" si="32"/>
        <v>18.404907975460123</v>
      </c>
      <c r="BD46" s="1307">
        <f t="shared" si="33"/>
        <v>18.222222222222221</v>
      </c>
      <c r="BE46" s="1309">
        <f t="shared" si="34"/>
        <v>24.310425432445069</v>
      </c>
      <c r="BF46" s="1537">
        <f t="shared" si="35"/>
        <v>19.783325482807346</v>
      </c>
      <c r="BG46" s="1537">
        <f t="shared" si="18"/>
        <v>20.24482109227872</v>
      </c>
    </row>
    <row r="47" spans="1:59" s="142" customFormat="1" ht="15.75" customHeight="1" x14ac:dyDescent="0.2">
      <c r="A47" s="149" t="s">
        <v>108</v>
      </c>
      <c r="B47" s="186" t="s">
        <v>109</v>
      </c>
      <c r="C47" s="150" t="s">
        <v>266</v>
      </c>
      <c r="D47" s="1057">
        <v>59</v>
      </c>
      <c r="E47" s="1058">
        <v>64</v>
      </c>
      <c r="F47" s="1059">
        <v>56</v>
      </c>
      <c r="G47" s="1058">
        <v>45</v>
      </c>
      <c r="H47" s="1059">
        <v>49</v>
      </c>
      <c r="I47" s="1058">
        <v>39</v>
      </c>
      <c r="J47" s="1059">
        <v>50</v>
      </c>
      <c r="K47" s="1058">
        <v>57</v>
      </c>
      <c r="L47" s="1072">
        <v>68</v>
      </c>
      <c r="M47" s="1072">
        <v>54</v>
      </c>
      <c r="N47" s="1072">
        <v>62</v>
      </c>
      <c r="O47" s="1072">
        <v>66</v>
      </c>
      <c r="P47" s="1073">
        <v>48</v>
      </c>
      <c r="Q47" s="1073">
        <v>41</v>
      </c>
      <c r="R47" s="1300">
        <v>39</v>
      </c>
      <c r="S47" s="1301">
        <v>45</v>
      </c>
      <c r="T47" s="1531">
        <v>28</v>
      </c>
      <c r="U47" s="1708">
        <v>32</v>
      </c>
      <c r="V47" s="1531"/>
      <c r="W47" s="1080">
        <v>5327</v>
      </c>
      <c r="X47" s="1081">
        <v>5453</v>
      </c>
      <c r="Y47" s="1081">
        <v>6290</v>
      </c>
      <c r="Z47" s="1081">
        <v>6618</v>
      </c>
      <c r="AA47" s="1081">
        <v>6797</v>
      </c>
      <c r="AB47" s="1081">
        <v>6917</v>
      </c>
      <c r="AC47" s="1081">
        <v>7073</v>
      </c>
      <c r="AD47" s="1081">
        <v>7144</v>
      </c>
      <c r="AE47" s="1081">
        <v>7059</v>
      </c>
      <c r="AF47" s="1081">
        <v>6982</v>
      </c>
      <c r="AG47" s="1081">
        <v>6835</v>
      </c>
      <c r="AH47" s="1081">
        <v>7327</v>
      </c>
      <c r="AI47" s="1081">
        <v>7287</v>
      </c>
      <c r="AJ47" s="1081">
        <v>7272</v>
      </c>
      <c r="AK47" s="1303">
        <v>7304</v>
      </c>
      <c r="AL47" s="1304">
        <v>7330</v>
      </c>
      <c r="AM47" s="1699">
        <v>7304</v>
      </c>
      <c r="AN47" s="1699">
        <v>7304</v>
      </c>
      <c r="AO47" s="1532"/>
      <c r="AP47" s="1106">
        <f t="shared" si="19"/>
        <v>11.075652337150366</v>
      </c>
      <c r="AQ47" s="1107">
        <f t="shared" si="20"/>
        <v>11.736658719970658</v>
      </c>
      <c r="AR47" s="1107">
        <f t="shared" si="21"/>
        <v>8.9030206677265511</v>
      </c>
      <c r="AS47" s="1107">
        <f t="shared" si="22"/>
        <v>6.799637352674524</v>
      </c>
      <c r="AT47" s="1107">
        <f t="shared" si="23"/>
        <v>7.2090628218331618</v>
      </c>
      <c r="AU47" s="1107">
        <f t="shared" si="24"/>
        <v>5.6382824924100037</v>
      </c>
      <c r="AV47" s="1107">
        <f t="shared" si="25"/>
        <v>7.0691361515622795</v>
      </c>
      <c r="AW47" s="1107">
        <f t="shared" si="26"/>
        <v>7.9787234042553186</v>
      </c>
      <c r="AX47" s="1107">
        <f t="shared" si="27"/>
        <v>9.6330925060206827</v>
      </c>
      <c r="AY47" s="1107">
        <f t="shared" si="28"/>
        <v>7.7341735892294468</v>
      </c>
      <c r="AZ47" s="1107">
        <f t="shared" si="29"/>
        <v>9.0709583028529615</v>
      </c>
      <c r="BA47" s="1107">
        <f t="shared" si="30"/>
        <v>9.0077794458850828</v>
      </c>
      <c r="BB47" s="1107">
        <f t="shared" si="31"/>
        <v>6.5870728694936185</v>
      </c>
      <c r="BC47" s="1107">
        <f t="shared" si="32"/>
        <v>5.6380638063806376</v>
      </c>
      <c r="BD47" s="1307">
        <f t="shared" si="33"/>
        <v>5.3395399780941952</v>
      </c>
      <c r="BE47" s="1309">
        <f t="shared" si="34"/>
        <v>6.1391541609822644</v>
      </c>
      <c r="BF47" s="1537">
        <f t="shared" si="35"/>
        <v>3.8335158817086525</v>
      </c>
      <c r="BG47" s="1537">
        <f t="shared" si="18"/>
        <v>4.381161007667032</v>
      </c>
    </row>
    <row r="48" spans="1:59" s="142" customFormat="1" ht="15.75" customHeight="1" x14ac:dyDescent="0.2">
      <c r="A48" s="149" t="s">
        <v>110</v>
      </c>
      <c r="B48" s="186" t="s">
        <v>111</v>
      </c>
      <c r="C48" s="150" t="s">
        <v>266</v>
      </c>
      <c r="D48" s="1057">
        <v>278</v>
      </c>
      <c r="E48" s="1058">
        <v>299</v>
      </c>
      <c r="F48" s="1059">
        <v>288</v>
      </c>
      <c r="G48" s="1058">
        <v>232</v>
      </c>
      <c r="H48" s="1059">
        <v>241</v>
      </c>
      <c r="I48" s="1058">
        <v>251</v>
      </c>
      <c r="J48" s="1059">
        <v>246</v>
      </c>
      <c r="K48" s="1058">
        <v>255</v>
      </c>
      <c r="L48" s="1072">
        <v>288</v>
      </c>
      <c r="M48" s="1072">
        <v>250</v>
      </c>
      <c r="N48" s="1072">
        <v>277</v>
      </c>
      <c r="O48" s="1072">
        <v>261</v>
      </c>
      <c r="P48" s="1073">
        <v>229</v>
      </c>
      <c r="Q48" s="1073">
        <v>193</v>
      </c>
      <c r="R48" s="1300">
        <v>171</v>
      </c>
      <c r="S48" s="1301">
        <v>156</v>
      </c>
      <c r="T48" s="1531">
        <v>135</v>
      </c>
      <c r="U48" s="1708">
        <v>139</v>
      </c>
      <c r="V48" s="1531"/>
      <c r="W48" s="1080">
        <v>14928</v>
      </c>
      <c r="X48" s="1081">
        <v>15182</v>
      </c>
      <c r="Y48" s="1081">
        <v>16294</v>
      </c>
      <c r="Z48" s="1081">
        <v>16692</v>
      </c>
      <c r="AA48" s="1081">
        <v>17018</v>
      </c>
      <c r="AB48" s="1081">
        <v>17379</v>
      </c>
      <c r="AC48" s="1081">
        <v>17843</v>
      </c>
      <c r="AD48" s="1081">
        <v>18146</v>
      </c>
      <c r="AE48" s="1081">
        <v>18174</v>
      </c>
      <c r="AF48" s="1081">
        <v>18477</v>
      </c>
      <c r="AG48" s="1081">
        <v>18441</v>
      </c>
      <c r="AH48" s="1081">
        <v>18333</v>
      </c>
      <c r="AI48" s="1081">
        <v>19484</v>
      </c>
      <c r="AJ48" s="1081">
        <v>19490</v>
      </c>
      <c r="AK48" s="1303">
        <v>19605</v>
      </c>
      <c r="AL48" s="1304">
        <v>19774</v>
      </c>
      <c r="AM48" s="1699">
        <v>19718</v>
      </c>
      <c r="AN48" s="1699">
        <v>19860</v>
      </c>
      <c r="AO48" s="1532"/>
      <c r="AP48" s="1106">
        <f t="shared" si="19"/>
        <v>18.622722400857448</v>
      </c>
      <c r="AQ48" s="1107">
        <f t="shared" si="20"/>
        <v>19.694374917665655</v>
      </c>
      <c r="AR48" s="1107">
        <f t="shared" si="21"/>
        <v>17.675217871609181</v>
      </c>
      <c r="AS48" s="1107">
        <f t="shared" si="22"/>
        <v>13.898873711957823</v>
      </c>
      <c r="AT48" s="1107">
        <f t="shared" si="23"/>
        <v>14.161476084146198</v>
      </c>
      <c r="AU48" s="1107">
        <f t="shared" si="24"/>
        <v>14.442718223142874</v>
      </c>
      <c r="AV48" s="1107">
        <f t="shared" si="25"/>
        <v>13.786919240038111</v>
      </c>
      <c r="AW48" s="1107">
        <f t="shared" si="26"/>
        <v>14.052683787060509</v>
      </c>
      <c r="AX48" s="1107">
        <f t="shared" si="27"/>
        <v>15.846814130075934</v>
      </c>
      <c r="AY48" s="1107">
        <f t="shared" si="28"/>
        <v>13.530335011094873</v>
      </c>
      <c r="AZ48" s="1107">
        <f t="shared" si="29"/>
        <v>15.020877392766119</v>
      </c>
      <c r="BA48" s="1107">
        <f t="shared" si="30"/>
        <v>14.236622484045164</v>
      </c>
      <c r="BB48" s="1107">
        <f t="shared" si="31"/>
        <v>11.753233422295216</v>
      </c>
      <c r="BC48" s="1107">
        <f t="shared" si="32"/>
        <v>9.9025141097998972</v>
      </c>
      <c r="BD48" s="1307">
        <f t="shared" si="33"/>
        <v>8.7222647283856158</v>
      </c>
      <c r="BE48" s="1309">
        <f t="shared" si="34"/>
        <v>7.8891473652270667</v>
      </c>
      <c r="BF48" s="1537">
        <f t="shared" si="35"/>
        <v>6.8465361598539403</v>
      </c>
      <c r="BG48" s="1537">
        <f t="shared" si="18"/>
        <v>6.998992950654582</v>
      </c>
    </row>
    <row r="49" spans="1:59" s="142" customFormat="1" ht="15.75" customHeight="1" x14ac:dyDescent="0.2">
      <c r="A49" s="149" t="s">
        <v>112</v>
      </c>
      <c r="B49" s="186" t="s">
        <v>300</v>
      </c>
      <c r="C49" s="150" t="s">
        <v>265</v>
      </c>
      <c r="D49" s="1057">
        <v>143</v>
      </c>
      <c r="E49" s="1058">
        <v>146</v>
      </c>
      <c r="F49" s="1059">
        <v>129</v>
      </c>
      <c r="G49" s="1058">
        <v>137</v>
      </c>
      <c r="H49" s="1059">
        <v>134</v>
      </c>
      <c r="I49" s="1058">
        <v>135</v>
      </c>
      <c r="J49" s="1059">
        <v>122</v>
      </c>
      <c r="K49" s="1058">
        <v>126</v>
      </c>
      <c r="L49" s="1072">
        <v>161</v>
      </c>
      <c r="M49" s="1072">
        <v>167</v>
      </c>
      <c r="N49" s="1072">
        <v>127</v>
      </c>
      <c r="O49" s="1072">
        <v>122</v>
      </c>
      <c r="P49" s="1073">
        <v>95</v>
      </c>
      <c r="Q49" s="1073">
        <v>82</v>
      </c>
      <c r="R49" s="1300">
        <v>71</v>
      </c>
      <c r="S49" s="1301">
        <v>70</v>
      </c>
      <c r="T49" s="1531">
        <v>64</v>
      </c>
      <c r="U49" s="1708">
        <v>56</v>
      </c>
      <c r="V49" s="1531"/>
      <c r="W49" s="1080">
        <v>4535</v>
      </c>
      <c r="X49" s="1081">
        <v>4514</v>
      </c>
      <c r="Y49" s="1081">
        <v>4685</v>
      </c>
      <c r="Z49" s="1081">
        <v>4609</v>
      </c>
      <c r="AA49" s="1081">
        <v>4566</v>
      </c>
      <c r="AB49" s="1081">
        <v>4484</v>
      </c>
      <c r="AC49" s="1081">
        <v>4445</v>
      </c>
      <c r="AD49" s="1081">
        <v>4461</v>
      </c>
      <c r="AE49" s="1081">
        <v>4357</v>
      </c>
      <c r="AF49" s="1081">
        <v>4171</v>
      </c>
      <c r="AG49" s="1081">
        <v>4053</v>
      </c>
      <c r="AH49" s="1081">
        <v>3913</v>
      </c>
      <c r="AI49" s="1081">
        <v>3941</v>
      </c>
      <c r="AJ49" s="1081">
        <v>3777</v>
      </c>
      <c r="AK49" s="1303">
        <v>3765</v>
      </c>
      <c r="AL49" s="1304">
        <v>3706</v>
      </c>
      <c r="AM49" s="1699">
        <v>3645</v>
      </c>
      <c r="AN49" s="1699">
        <v>3570</v>
      </c>
      <c r="AO49" s="1532"/>
      <c r="AP49" s="1106">
        <f t="shared" si="19"/>
        <v>31.532524807056227</v>
      </c>
      <c r="AQ49" s="1107">
        <f t="shared" si="20"/>
        <v>32.343819229065133</v>
      </c>
      <c r="AR49" s="1107">
        <f t="shared" si="21"/>
        <v>27.534685165421557</v>
      </c>
      <c r="AS49" s="1107">
        <f t="shared" si="22"/>
        <v>29.724452158819698</v>
      </c>
      <c r="AT49" s="1107">
        <f t="shared" si="23"/>
        <v>29.347349978098993</v>
      </c>
      <c r="AU49" s="1107">
        <f t="shared" si="24"/>
        <v>30.107047279214985</v>
      </c>
      <c r="AV49" s="1107">
        <f t="shared" si="25"/>
        <v>27.446569178852645</v>
      </c>
      <c r="AW49" s="1107">
        <f t="shared" si="26"/>
        <v>28.244788164088771</v>
      </c>
      <c r="AX49" s="1107">
        <f t="shared" si="27"/>
        <v>36.952031214138167</v>
      </c>
      <c r="AY49" s="1107">
        <f t="shared" si="28"/>
        <v>40.038360105490291</v>
      </c>
      <c r="AZ49" s="1107">
        <f t="shared" si="29"/>
        <v>31.334813718233406</v>
      </c>
      <c r="BA49" s="1107">
        <f t="shared" si="30"/>
        <v>31.178124201380015</v>
      </c>
      <c r="BB49" s="1107">
        <f t="shared" si="31"/>
        <v>24.105556965237248</v>
      </c>
      <c r="BC49" s="1107">
        <f t="shared" si="32"/>
        <v>21.710352131321155</v>
      </c>
      <c r="BD49" s="1307">
        <f t="shared" si="33"/>
        <v>18.857901726427624</v>
      </c>
      <c r="BE49" s="1309">
        <f t="shared" si="34"/>
        <v>18.888289260658393</v>
      </c>
      <c r="BF49" s="1537">
        <f t="shared" si="35"/>
        <v>17.558299039780522</v>
      </c>
      <c r="BG49" s="1537">
        <f t="shared" si="18"/>
        <v>15.686274509803921</v>
      </c>
    </row>
    <row r="50" spans="1:59" s="142" customFormat="1" ht="15.75" customHeight="1" x14ac:dyDescent="0.2">
      <c r="A50" s="149" t="s">
        <v>114</v>
      </c>
      <c r="B50" s="186" t="s">
        <v>115</v>
      </c>
      <c r="C50" s="150" t="s">
        <v>265</v>
      </c>
      <c r="D50" s="1057">
        <v>0</v>
      </c>
      <c r="E50" s="1058">
        <v>0</v>
      </c>
      <c r="F50" s="1059">
        <v>0</v>
      </c>
      <c r="G50" s="1058">
        <v>0</v>
      </c>
      <c r="H50" s="1059">
        <v>1</v>
      </c>
      <c r="I50" s="1058">
        <v>0</v>
      </c>
      <c r="J50" s="1059">
        <v>1</v>
      </c>
      <c r="K50" s="1058">
        <v>1</v>
      </c>
      <c r="L50" s="1072">
        <v>0</v>
      </c>
      <c r="M50" s="1072">
        <v>0</v>
      </c>
      <c r="N50" s="1072">
        <v>2</v>
      </c>
      <c r="O50" s="1072">
        <v>0</v>
      </c>
      <c r="P50" s="1073">
        <v>0</v>
      </c>
      <c r="Q50" s="1073">
        <v>0</v>
      </c>
      <c r="R50" s="1300">
        <v>0</v>
      </c>
      <c r="S50" s="1301">
        <v>0</v>
      </c>
      <c r="T50" s="1531">
        <v>0</v>
      </c>
      <c r="U50" s="1708">
        <v>1</v>
      </c>
      <c r="V50" s="1531"/>
      <c r="W50" s="1080">
        <v>133</v>
      </c>
      <c r="X50" s="1081">
        <v>130</v>
      </c>
      <c r="Y50" s="1081">
        <v>143</v>
      </c>
      <c r="Z50" s="1081">
        <v>150</v>
      </c>
      <c r="AA50" s="1081">
        <v>151</v>
      </c>
      <c r="AB50" s="1081">
        <v>157</v>
      </c>
      <c r="AC50" s="1081">
        <v>149</v>
      </c>
      <c r="AD50" s="1081">
        <v>138</v>
      </c>
      <c r="AE50" s="1081">
        <v>135</v>
      </c>
      <c r="AF50" s="1081">
        <v>122</v>
      </c>
      <c r="AG50" s="1081">
        <v>119</v>
      </c>
      <c r="AH50" s="1081">
        <v>129</v>
      </c>
      <c r="AI50" s="1081">
        <v>114</v>
      </c>
      <c r="AJ50" s="1081">
        <v>108</v>
      </c>
      <c r="AK50" s="1303">
        <v>99</v>
      </c>
      <c r="AL50" s="1304">
        <v>93</v>
      </c>
      <c r="AM50" s="1699">
        <v>93</v>
      </c>
      <c r="AN50" s="1699">
        <v>86</v>
      </c>
      <c r="AO50" s="1532"/>
      <c r="AP50" s="1106">
        <f t="shared" si="19"/>
        <v>0</v>
      </c>
      <c r="AQ50" s="1107">
        <f t="shared" si="20"/>
        <v>0</v>
      </c>
      <c r="AR50" s="1107">
        <f t="shared" si="21"/>
        <v>0</v>
      </c>
      <c r="AS50" s="1107">
        <f t="shared" si="22"/>
        <v>0</v>
      </c>
      <c r="AT50" s="1107">
        <f t="shared" si="23"/>
        <v>6.6225165562913908</v>
      </c>
      <c r="AU50" s="1107">
        <f t="shared" si="24"/>
        <v>0</v>
      </c>
      <c r="AV50" s="1107">
        <f t="shared" si="25"/>
        <v>6.7114093959731544</v>
      </c>
      <c r="AW50" s="1107">
        <f t="shared" si="26"/>
        <v>7.2463768115942031</v>
      </c>
      <c r="AX50" s="1107">
        <f t="shared" si="27"/>
        <v>0</v>
      </c>
      <c r="AY50" s="1107">
        <f t="shared" si="28"/>
        <v>0</v>
      </c>
      <c r="AZ50" s="1107">
        <f t="shared" si="29"/>
        <v>16.806722689075631</v>
      </c>
      <c r="BA50" s="1107">
        <f t="shared" si="30"/>
        <v>0</v>
      </c>
      <c r="BB50" s="1107">
        <f t="shared" si="31"/>
        <v>0</v>
      </c>
      <c r="BC50" s="1107">
        <f t="shared" si="32"/>
        <v>0</v>
      </c>
      <c r="BD50" s="1307">
        <f t="shared" si="33"/>
        <v>0</v>
      </c>
      <c r="BE50" s="1309">
        <f t="shared" si="34"/>
        <v>0</v>
      </c>
      <c r="BF50" s="1537">
        <f t="shared" si="35"/>
        <v>0</v>
      </c>
      <c r="BG50" s="1537">
        <f t="shared" si="18"/>
        <v>11.627906976744185</v>
      </c>
    </row>
    <row r="51" spans="1:59" s="142" customFormat="1" ht="15.75" customHeight="1" x14ac:dyDescent="0.2">
      <c r="A51" s="149" t="s">
        <v>118</v>
      </c>
      <c r="B51" s="186" t="s">
        <v>270</v>
      </c>
      <c r="C51" s="150" t="s">
        <v>264</v>
      </c>
      <c r="D51" s="1057">
        <v>39</v>
      </c>
      <c r="E51" s="1058">
        <v>43</v>
      </c>
      <c r="F51" s="1059">
        <v>35</v>
      </c>
      <c r="G51" s="1058">
        <v>31</v>
      </c>
      <c r="H51" s="1059">
        <v>44</v>
      </c>
      <c r="I51" s="1058">
        <v>40</v>
      </c>
      <c r="J51" s="1059">
        <v>34</v>
      </c>
      <c r="K51" s="1058">
        <v>40</v>
      </c>
      <c r="L51" s="1072">
        <v>33</v>
      </c>
      <c r="M51" s="1072">
        <v>26</v>
      </c>
      <c r="N51" s="1072">
        <v>24</v>
      </c>
      <c r="O51" s="1072">
        <v>32</v>
      </c>
      <c r="P51" s="1073">
        <v>25</v>
      </c>
      <c r="Q51" s="1073">
        <v>19</v>
      </c>
      <c r="R51" s="1300">
        <v>12</v>
      </c>
      <c r="S51" s="1301">
        <v>14</v>
      </c>
      <c r="T51" s="1531">
        <v>13</v>
      </c>
      <c r="U51" s="1708">
        <v>16</v>
      </c>
      <c r="V51" s="1531"/>
      <c r="W51" s="1080">
        <v>1977</v>
      </c>
      <c r="X51" s="1081">
        <v>2019</v>
      </c>
      <c r="Y51" s="1081">
        <v>1978</v>
      </c>
      <c r="Z51" s="1081">
        <v>2030</v>
      </c>
      <c r="AA51" s="1081">
        <v>2088</v>
      </c>
      <c r="AB51" s="1081">
        <v>2152</v>
      </c>
      <c r="AC51" s="1081">
        <v>2176</v>
      </c>
      <c r="AD51" s="1081">
        <v>2177</v>
      </c>
      <c r="AE51" s="1081">
        <v>2183</v>
      </c>
      <c r="AF51" s="1081">
        <v>2180</v>
      </c>
      <c r="AG51" s="1081">
        <v>2162</v>
      </c>
      <c r="AH51" s="1081">
        <v>2336</v>
      </c>
      <c r="AI51" s="1081">
        <v>2303</v>
      </c>
      <c r="AJ51" s="1081">
        <v>2240</v>
      </c>
      <c r="AK51" s="1303">
        <v>2216</v>
      </c>
      <c r="AL51" s="1304">
        <v>2194</v>
      </c>
      <c r="AM51" s="1699">
        <v>2249</v>
      </c>
      <c r="AN51" s="1699">
        <v>2257</v>
      </c>
      <c r="AO51" s="1532"/>
      <c r="AP51" s="1106">
        <f t="shared" si="19"/>
        <v>19.726858877086492</v>
      </c>
      <c r="AQ51" s="1107">
        <f t="shared" si="20"/>
        <v>21.297672114908369</v>
      </c>
      <c r="AR51" s="1107">
        <f t="shared" si="21"/>
        <v>17.694641051567242</v>
      </c>
      <c r="AS51" s="1107">
        <f t="shared" si="22"/>
        <v>15.270935960591133</v>
      </c>
      <c r="AT51" s="1107">
        <f t="shared" si="23"/>
        <v>21.072796934865902</v>
      </c>
      <c r="AU51" s="1107">
        <f t="shared" si="24"/>
        <v>18.587360594795541</v>
      </c>
      <c r="AV51" s="1107">
        <f t="shared" si="25"/>
        <v>15.625</v>
      </c>
      <c r="AW51" s="1107">
        <f t="shared" si="26"/>
        <v>18.373909049150207</v>
      </c>
      <c r="AX51" s="1107">
        <f t="shared" si="27"/>
        <v>15.116811726981219</v>
      </c>
      <c r="AY51" s="1107">
        <f t="shared" si="28"/>
        <v>11.926605504587156</v>
      </c>
      <c r="AZ51" s="1107">
        <f t="shared" si="29"/>
        <v>11.100832562442182</v>
      </c>
      <c r="BA51" s="1107">
        <f t="shared" si="30"/>
        <v>13.698630136986301</v>
      </c>
      <c r="BB51" s="1107">
        <f t="shared" si="31"/>
        <v>10.855405992184108</v>
      </c>
      <c r="BC51" s="1107">
        <f t="shared" si="32"/>
        <v>8.4821428571428559</v>
      </c>
      <c r="BD51" s="1307">
        <f t="shared" si="33"/>
        <v>5.4151624548736459</v>
      </c>
      <c r="BE51" s="1309">
        <f t="shared" si="34"/>
        <v>6.381039197812215</v>
      </c>
      <c r="BF51" s="1537">
        <f t="shared" si="35"/>
        <v>5.7803468208092479</v>
      </c>
      <c r="BG51" s="1537">
        <f t="shared" si="18"/>
        <v>7.0890562693841384</v>
      </c>
    </row>
    <row r="52" spans="1:59" s="142" customFormat="1" ht="15.75" customHeight="1" x14ac:dyDescent="0.2">
      <c r="A52" s="149" t="s">
        <v>120</v>
      </c>
      <c r="B52" s="186" t="s">
        <v>121</v>
      </c>
      <c r="C52" s="150" t="s">
        <v>264</v>
      </c>
      <c r="D52" s="1057">
        <v>36</v>
      </c>
      <c r="E52" s="1058">
        <v>50</v>
      </c>
      <c r="F52" s="1059">
        <v>44</v>
      </c>
      <c r="G52" s="1058">
        <v>36</v>
      </c>
      <c r="H52" s="1059">
        <v>37</v>
      </c>
      <c r="I52" s="1058">
        <v>31</v>
      </c>
      <c r="J52" s="1059">
        <v>36</v>
      </c>
      <c r="K52" s="1058">
        <v>45</v>
      </c>
      <c r="L52" s="1072">
        <v>48</v>
      </c>
      <c r="M52" s="1072">
        <v>37</v>
      </c>
      <c r="N52" s="1072">
        <v>42</v>
      </c>
      <c r="O52" s="1072">
        <v>43</v>
      </c>
      <c r="P52" s="1073">
        <v>49</v>
      </c>
      <c r="Q52" s="1073">
        <v>41</v>
      </c>
      <c r="R52" s="1300">
        <v>36</v>
      </c>
      <c r="S52" s="1301">
        <v>33</v>
      </c>
      <c r="T52" s="1531">
        <v>25</v>
      </c>
      <c r="U52" s="1708">
        <v>28</v>
      </c>
      <c r="V52" s="1531"/>
      <c r="W52" s="1080">
        <v>2769</v>
      </c>
      <c r="X52" s="1081">
        <v>2829</v>
      </c>
      <c r="Y52" s="1081">
        <v>3000</v>
      </c>
      <c r="Z52" s="1081">
        <v>3181</v>
      </c>
      <c r="AA52" s="1081">
        <v>3293</v>
      </c>
      <c r="AB52" s="1081">
        <v>3365</v>
      </c>
      <c r="AC52" s="1081">
        <v>3483</v>
      </c>
      <c r="AD52" s="1081">
        <v>3470</v>
      </c>
      <c r="AE52" s="1081">
        <v>3452</v>
      </c>
      <c r="AF52" s="1081">
        <v>3519</v>
      </c>
      <c r="AG52" s="1081">
        <v>3505</v>
      </c>
      <c r="AH52" s="1081">
        <v>3940</v>
      </c>
      <c r="AI52" s="1081">
        <v>4025</v>
      </c>
      <c r="AJ52" s="1081">
        <v>4099</v>
      </c>
      <c r="AK52" s="1303">
        <v>4102</v>
      </c>
      <c r="AL52" s="1304">
        <v>4220</v>
      </c>
      <c r="AM52" s="1699">
        <v>4345</v>
      </c>
      <c r="AN52" s="1699">
        <v>4298</v>
      </c>
      <c r="AO52" s="1532"/>
      <c r="AP52" s="1106">
        <f t="shared" si="19"/>
        <v>13.001083423618635</v>
      </c>
      <c r="AQ52" s="1107">
        <f t="shared" si="20"/>
        <v>17.674089784376108</v>
      </c>
      <c r="AR52" s="1107">
        <f t="shared" si="21"/>
        <v>14.666666666666666</v>
      </c>
      <c r="AS52" s="1107">
        <f t="shared" si="22"/>
        <v>11.317195850361522</v>
      </c>
      <c r="AT52" s="1107">
        <f t="shared" si="23"/>
        <v>11.235955056179774</v>
      </c>
      <c r="AU52" s="1107">
        <f t="shared" si="24"/>
        <v>9.212481426448738</v>
      </c>
      <c r="AV52" s="1107">
        <f t="shared" si="25"/>
        <v>10.335917312661499</v>
      </c>
      <c r="AW52" s="1107">
        <f t="shared" si="26"/>
        <v>12.968299711815563</v>
      </c>
      <c r="AX52" s="1107">
        <f t="shared" si="27"/>
        <v>13.904982618771726</v>
      </c>
      <c r="AY52" s="1107">
        <f t="shared" si="28"/>
        <v>10.514350667803352</v>
      </c>
      <c r="AZ52" s="1107">
        <f t="shared" si="29"/>
        <v>11.982881597717546</v>
      </c>
      <c r="BA52" s="1107">
        <f t="shared" si="30"/>
        <v>10.913705583756345</v>
      </c>
      <c r="BB52" s="1107">
        <f t="shared" si="31"/>
        <v>12.17391304347826</v>
      </c>
      <c r="BC52" s="1107">
        <f t="shared" si="32"/>
        <v>10.00243961941937</v>
      </c>
      <c r="BD52" s="1307">
        <f t="shared" si="33"/>
        <v>8.7762067284251586</v>
      </c>
      <c r="BE52" s="1309">
        <f t="shared" si="34"/>
        <v>7.8199052132701414</v>
      </c>
      <c r="BF52" s="1537">
        <f t="shared" si="35"/>
        <v>5.7537399309551214</v>
      </c>
      <c r="BG52" s="1537">
        <f t="shared" si="18"/>
        <v>6.5146579804560263</v>
      </c>
    </row>
    <row r="53" spans="1:59" s="142" customFormat="1" ht="15.75" customHeight="1" x14ac:dyDescent="0.2">
      <c r="A53" s="149" t="s">
        <v>122</v>
      </c>
      <c r="B53" s="186" t="s">
        <v>271</v>
      </c>
      <c r="C53" s="150" t="s">
        <v>266</v>
      </c>
      <c r="D53" s="1057">
        <v>9</v>
      </c>
      <c r="E53" s="1058">
        <v>6</v>
      </c>
      <c r="F53" s="1059">
        <v>12</v>
      </c>
      <c r="G53" s="1058">
        <v>1</v>
      </c>
      <c r="H53" s="1059">
        <v>8</v>
      </c>
      <c r="I53" s="1058">
        <v>8</v>
      </c>
      <c r="J53" s="1059">
        <v>9</v>
      </c>
      <c r="K53" s="1058">
        <v>10</v>
      </c>
      <c r="L53" s="1072">
        <v>15</v>
      </c>
      <c r="M53" s="1072">
        <v>7</v>
      </c>
      <c r="N53" s="1072">
        <v>13</v>
      </c>
      <c r="O53" s="1072">
        <v>4</v>
      </c>
      <c r="P53" s="1073">
        <v>8</v>
      </c>
      <c r="Q53" s="1073">
        <v>7</v>
      </c>
      <c r="R53" s="1300">
        <v>7</v>
      </c>
      <c r="S53" s="1301">
        <v>7</v>
      </c>
      <c r="T53" s="1531">
        <v>4</v>
      </c>
      <c r="U53" s="1708">
        <v>2</v>
      </c>
      <c r="V53" s="1531"/>
      <c r="W53" s="1080">
        <v>408</v>
      </c>
      <c r="X53" s="1081">
        <v>405</v>
      </c>
      <c r="Y53" s="1081">
        <v>411</v>
      </c>
      <c r="Z53" s="1081">
        <v>405</v>
      </c>
      <c r="AA53" s="1081">
        <v>401</v>
      </c>
      <c r="AB53" s="1081">
        <v>405</v>
      </c>
      <c r="AC53" s="1081">
        <v>404</v>
      </c>
      <c r="AD53" s="1081">
        <v>392</v>
      </c>
      <c r="AE53" s="1081">
        <v>393</v>
      </c>
      <c r="AF53" s="1081">
        <v>364</v>
      </c>
      <c r="AG53" s="1081">
        <v>355</v>
      </c>
      <c r="AH53" s="1081">
        <v>372</v>
      </c>
      <c r="AI53" s="1081">
        <v>388</v>
      </c>
      <c r="AJ53" s="1081">
        <v>367</v>
      </c>
      <c r="AK53" s="1303">
        <v>366</v>
      </c>
      <c r="AL53" s="1304">
        <v>386</v>
      </c>
      <c r="AM53" s="1699">
        <v>391</v>
      </c>
      <c r="AN53" s="1699">
        <v>382</v>
      </c>
      <c r="AO53" s="1532"/>
      <c r="AP53" s="1106">
        <f t="shared" si="19"/>
        <v>22.058823529411764</v>
      </c>
      <c r="AQ53" s="1107">
        <f t="shared" si="20"/>
        <v>14.814814814814815</v>
      </c>
      <c r="AR53" s="1107">
        <f t="shared" si="21"/>
        <v>29.197080291970803</v>
      </c>
      <c r="AS53" s="1107">
        <f t="shared" si="22"/>
        <v>2.4691358024691357</v>
      </c>
      <c r="AT53" s="1107">
        <f t="shared" si="23"/>
        <v>19.950124688279303</v>
      </c>
      <c r="AU53" s="1107">
        <f t="shared" si="24"/>
        <v>19.753086419753085</v>
      </c>
      <c r="AV53" s="1107">
        <f t="shared" si="25"/>
        <v>22.277227722772277</v>
      </c>
      <c r="AW53" s="1107">
        <f t="shared" si="26"/>
        <v>25.510204081632654</v>
      </c>
      <c r="AX53" s="1107">
        <f t="shared" si="27"/>
        <v>38.167938931297712</v>
      </c>
      <c r="AY53" s="1107">
        <f t="shared" si="28"/>
        <v>19.230769230769234</v>
      </c>
      <c r="AZ53" s="1107">
        <f t="shared" si="29"/>
        <v>36.619718309859152</v>
      </c>
      <c r="BA53" s="1107">
        <f t="shared" si="30"/>
        <v>10.752688172043012</v>
      </c>
      <c r="BB53" s="1107">
        <f t="shared" si="31"/>
        <v>20.618556701030929</v>
      </c>
      <c r="BC53" s="1107">
        <f t="shared" si="32"/>
        <v>19.073569482288828</v>
      </c>
      <c r="BD53" s="1307">
        <f t="shared" si="33"/>
        <v>19.125683060109289</v>
      </c>
      <c r="BE53" s="1309">
        <f t="shared" si="34"/>
        <v>18.134715025906733</v>
      </c>
      <c r="BF53" s="1537">
        <f t="shared" si="35"/>
        <v>10.230179028132993</v>
      </c>
      <c r="BG53" s="1537">
        <f t="shared" si="18"/>
        <v>5.2356020942408383</v>
      </c>
    </row>
    <row r="54" spans="1:59" s="142" customFormat="1" ht="15.75" customHeight="1" x14ac:dyDescent="0.2">
      <c r="A54" s="149" t="s">
        <v>124</v>
      </c>
      <c r="B54" s="186" t="s">
        <v>125</v>
      </c>
      <c r="C54" s="150" t="s">
        <v>267</v>
      </c>
      <c r="D54" s="1057">
        <v>25</v>
      </c>
      <c r="E54" s="1058">
        <v>25</v>
      </c>
      <c r="F54" s="1059">
        <v>26</v>
      </c>
      <c r="G54" s="1058">
        <v>27</v>
      </c>
      <c r="H54" s="1059">
        <v>29</v>
      </c>
      <c r="I54" s="1058">
        <v>35</v>
      </c>
      <c r="J54" s="1059">
        <v>29</v>
      </c>
      <c r="K54" s="1058">
        <v>26</v>
      </c>
      <c r="L54" s="1072">
        <v>20</v>
      </c>
      <c r="M54" s="1072">
        <v>24</v>
      </c>
      <c r="N54" s="1072">
        <v>38</v>
      </c>
      <c r="O54" s="1072">
        <v>20</v>
      </c>
      <c r="P54" s="1073">
        <v>18</v>
      </c>
      <c r="Q54" s="1073">
        <v>23</v>
      </c>
      <c r="R54" s="1300">
        <v>28</v>
      </c>
      <c r="S54" s="1301">
        <v>14</v>
      </c>
      <c r="T54" s="1531">
        <v>14</v>
      </c>
      <c r="U54" s="1708">
        <v>14</v>
      </c>
      <c r="V54" s="1531"/>
      <c r="W54" s="1080">
        <v>1213</v>
      </c>
      <c r="X54" s="1081">
        <v>1245</v>
      </c>
      <c r="Y54" s="1081">
        <v>1181</v>
      </c>
      <c r="Z54" s="1081">
        <v>1228</v>
      </c>
      <c r="AA54" s="1081">
        <v>1241</v>
      </c>
      <c r="AB54" s="1081">
        <v>1277</v>
      </c>
      <c r="AC54" s="1081">
        <v>1354</v>
      </c>
      <c r="AD54" s="1081">
        <v>1400</v>
      </c>
      <c r="AE54" s="1081">
        <v>1446</v>
      </c>
      <c r="AF54" s="1081">
        <v>1517</v>
      </c>
      <c r="AG54" s="1081">
        <v>1526</v>
      </c>
      <c r="AH54" s="1081">
        <v>1679</v>
      </c>
      <c r="AI54" s="1081">
        <v>1660</v>
      </c>
      <c r="AJ54" s="1081">
        <v>1718</v>
      </c>
      <c r="AK54" s="1303">
        <v>1687</v>
      </c>
      <c r="AL54" s="1304">
        <v>1716</v>
      </c>
      <c r="AM54" s="1699">
        <v>1736</v>
      </c>
      <c r="AN54" s="1699">
        <v>1780</v>
      </c>
      <c r="AO54" s="1532"/>
      <c r="AP54" s="1106">
        <f t="shared" si="19"/>
        <v>20.610057708161584</v>
      </c>
      <c r="AQ54" s="1107">
        <f t="shared" si="20"/>
        <v>20.080321285140563</v>
      </c>
      <c r="AR54" s="1107">
        <f t="shared" si="21"/>
        <v>22.01524132091448</v>
      </c>
      <c r="AS54" s="1107">
        <f t="shared" si="22"/>
        <v>21.986970684039086</v>
      </c>
      <c r="AT54" s="1107">
        <f t="shared" si="23"/>
        <v>23.368251410153103</v>
      </c>
      <c r="AU54" s="1107">
        <f t="shared" si="24"/>
        <v>27.4079874706343</v>
      </c>
      <c r="AV54" s="1107">
        <f t="shared" si="25"/>
        <v>21.418020679468242</v>
      </c>
      <c r="AW54" s="1107">
        <f t="shared" si="26"/>
        <v>18.571428571428573</v>
      </c>
      <c r="AX54" s="1107">
        <f t="shared" si="27"/>
        <v>13.831258644536652</v>
      </c>
      <c r="AY54" s="1107">
        <f t="shared" si="28"/>
        <v>15.820698747528017</v>
      </c>
      <c r="AZ54" s="1107">
        <f t="shared" si="29"/>
        <v>24.901703800786368</v>
      </c>
      <c r="BA54" s="1107">
        <f t="shared" si="30"/>
        <v>11.911852293031567</v>
      </c>
      <c r="BB54" s="1107">
        <f t="shared" si="31"/>
        <v>10.843373493975903</v>
      </c>
      <c r="BC54" s="1107">
        <f t="shared" si="32"/>
        <v>13.387660069848661</v>
      </c>
      <c r="BD54" s="1307">
        <f t="shared" si="33"/>
        <v>16.597510373443985</v>
      </c>
      <c r="BE54" s="1309">
        <f t="shared" si="34"/>
        <v>8.1585081585081589</v>
      </c>
      <c r="BF54" s="1537">
        <f t="shared" si="35"/>
        <v>8.064516129032258</v>
      </c>
      <c r="BG54" s="1537">
        <f t="shared" si="18"/>
        <v>7.8651685393258433</v>
      </c>
    </row>
    <row r="55" spans="1:59" s="142" customFormat="1" ht="15.75" customHeight="1" x14ac:dyDescent="0.2">
      <c r="A55" s="149" t="s">
        <v>126</v>
      </c>
      <c r="B55" s="186" t="s">
        <v>127</v>
      </c>
      <c r="C55" s="150" t="s">
        <v>266</v>
      </c>
      <c r="D55" s="1057">
        <v>17</v>
      </c>
      <c r="E55" s="1058">
        <v>18</v>
      </c>
      <c r="F55" s="1059">
        <v>30</v>
      </c>
      <c r="G55" s="1058">
        <v>11</v>
      </c>
      <c r="H55" s="1059">
        <v>18</v>
      </c>
      <c r="I55" s="1058">
        <v>15</v>
      </c>
      <c r="J55" s="1059">
        <v>17</v>
      </c>
      <c r="K55" s="1058">
        <v>12</v>
      </c>
      <c r="L55" s="1072">
        <v>10</v>
      </c>
      <c r="M55" s="1072">
        <v>14</v>
      </c>
      <c r="N55" s="1072">
        <v>13</v>
      </c>
      <c r="O55" s="1072">
        <v>23</v>
      </c>
      <c r="P55" s="1073">
        <v>17</v>
      </c>
      <c r="Q55" s="1073">
        <v>13</v>
      </c>
      <c r="R55" s="1300">
        <v>7</v>
      </c>
      <c r="S55" s="1301">
        <v>10</v>
      </c>
      <c r="T55" s="1531">
        <v>6</v>
      </c>
      <c r="U55" s="1708">
        <v>8</v>
      </c>
      <c r="V55" s="1531"/>
      <c r="W55" s="1080">
        <v>882</v>
      </c>
      <c r="X55" s="1081">
        <v>898</v>
      </c>
      <c r="Y55" s="1081">
        <v>895</v>
      </c>
      <c r="Z55" s="1081">
        <v>914</v>
      </c>
      <c r="AA55" s="1081">
        <v>934</v>
      </c>
      <c r="AB55" s="1081">
        <v>944</v>
      </c>
      <c r="AC55" s="1081">
        <v>943</v>
      </c>
      <c r="AD55" s="1081">
        <v>961</v>
      </c>
      <c r="AE55" s="1081">
        <v>962</v>
      </c>
      <c r="AF55" s="1081">
        <v>981</v>
      </c>
      <c r="AG55" s="1081">
        <v>974</v>
      </c>
      <c r="AH55" s="1081">
        <v>1081</v>
      </c>
      <c r="AI55" s="1081">
        <v>1069</v>
      </c>
      <c r="AJ55" s="1081">
        <v>1075</v>
      </c>
      <c r="AK55" s="1303">
        <v>1032</v>
      </c>
      <c r="AL55" s="1304">
        <v>1020</v>
      </c>
      <c r="AM55" s="1699">
        <v>1014</v>
      </c>
      <c r="AN55" s="1699">
        <v>1006</v>
      </c>
      <c r="AO55" s="1532"/>
      <c r="AP55" s="1106">
        <f t="shared" si="19"/>
        <v>19.274376417233558</v>
      </c>
      <c r="AQ55" s="1107">
        <f t="shared" si="20"/>
        <v>20.044543429844101</v>
      </c>
      <c r="AR55" s="1107">
        <f t="shared" si="21"/>
        <v>33.519553072625698</v>
      </c>
      <c r="AS55" s="1107">
        <f t="shared" si="22"/>
        <v>12.035010940919038</v>
      </c>
      <c r="AT55" s="1107">
        <f t="shared" si="23"/>
        <v>19.271948608137045</v>
      </c>
      <c r="AU55" s="1107">
        <f t="shared" si="24"/>
        <v>15.889830508474576</v>
      </c>
      <c r="AV55" s="1107">
        <f t="shared" si="25"/>
        <v>18.027571580063629</v>
      </c>
      <c r="AW55" s="1107">
        <f t="shared" si="26"/>
        <v>12.486992715920914</v>
      </c>
      <c r="AX55" s="1107">
        <f t="shared" si="27"/>
        <v>10.395010395010395</v>
      </c>
      <c r="AY55" s="1107">
        <f t="shared" si="28"/>
        <v>14.271151885830784</v>
      </c>
      <c r="AZ55" s="1107">
        <f t="shared" si="29"/>
        <v>13.347022587268993</v>
      </c>
      <c r="BA55" s="1107">
        <f t="shared" si="30"/>
        <v>21.276595744680851</v>
      </c>
      <c r="BB55" s="1107">
        <f t="shared" si="31"/>
        <v>15.902712815715622</v>
      </c>
      <c r="BC55" s="1107">
        <f t="shared" si="32"/>
        <v>12.093023255813954</v>
      </c>
      <c r="BD55" s="1307">
        <f t="shared" si="33"/>
        <v>6.7829457364341081</v>
      </c>
      <c r="BE55" s="1309">
        <f t="shared" si="34"/>
        <v>9.8039215686274517</v>
      </c>
      <c r="BF55" s="1537">
        <f t="shared" si="35"/>
        <v>5.9171597633136095</v>
      </c>
      <c r="BG55" s="1537">
        <f t="shared" si="18"/>
        <v>7.9522862823061624</v>
      </c>
    </row>
    <row r="56" spans="1:59" s="142" customFormat="1" ht="15.75" customHeight="1" x14ac:dyDescent="0.2">
      <c r="A56" s="149" t="s">
        <v>128</v>
      </c>
      <c r="B56" s="186" t="s">
        <v>129</v>
      </c>
      <c r="C56" s="150" t="s">
        <v>266</v>
      </c>
      <c r="D56" s="1057">
        <v>22</v>
      </c>
      <c r="E56" s="1058">
        <v>19</v>
      </c>
      <c r="F56" s="1059">
        <v>23</v>
      </c>
      <c r="G56" s="1058">
        <v>25</v>
      </c>
      <c r="H56" s="1059">
        <v>20</v>
      </c>
      <c r="I56" s="1058">
        <v>12</v>
      </c>
      <c r="J56" s="1059">
        <v>16</v>
      </c>
      <c r="K56" s="1058">
        <v>13</v>
      </c>
      <c r="L56" s="1072">
        <v>11</v>
      </c>
      <c r="M56" s="1072">
        <v>12</v>
      </c>
      <c r="N56" s="1072">
        <v>9</v>
      </c>
      <c r="O56" s="1072">
        <v>9</v>
      </c>
      <c r="P56" s="1073">
        <v>9</v>
      </c>
      <c r="Q56" s="1073">
        <v>12</v>
      </c>
      <c r="R56" s="1300">
        <v>4</v>
      </c>
      <c r="S56" s="1301">
        <v>8</v>
      </c>
      <c r="T56" s="1531">
        <v>5</v>
      </c>
      <c r="U56" s="1708">
        <v>2</v>
      </c>
      <c r="V56" s="1531"/>
      <c r="W56" s="1080">
        <v>651</v>
      </c>
      <c r="X56" s="1081">
        <v>656</v>
      </c>
      <c r="Y56" s="1081">
        <v>639</v>
      </c>
      <c r="Z56" s="1081">
        <v>651</v>
      </c>
      <c r="AA56" s="1081">
        <v>638</v>
      </c>
      <c r="AB56" s="1081">
        <v>627</v>
      </c>
      <c r="AC56" s="1081">
        <v>598</v>
      </c>
      <c r="AD56" s="1081">
        <v>557</v>
      </c>
      <c r="AE56" s="1081">
        <v>532</v>
      </c>
      <c r="AF56" s="1081">
        <v>531</v>
      </c>
      <c r="AG56" s="1081">
        <v>512</v>
      </c>
      <c r="AH56" s="1081">
        <v>494</v>
      </c>
      <c r="AI56" s="1081">
        <v>510</v>
      </c>
      <c r="AJ56" s="1081">
        <v>505</v>
      </c>
      <c r="AK56" s="1303">
        <v>480</v>
      </c>
      <c r="AL56" s="1304">
        <v>474</v>
      </c>
      <c r="AM56" s="1699">
        <v>471</v>
      </c>
      <c r="AN56" s="1699">
        <v>468</v>
      </c>
      <c r="AO56" s="1532"/>
      <c r="AP56" s="1106">
        <f t="shared" si="19"/>
        <v>33.794162826420894</v>
      </c>
      <c r="AQ56" s="1107">
        <f t="shared" si="20"/>
        <v>28.963414634146343</v>
      </c>
      <c r="AR56" s="1107">
        <f t="shared" si="21"/>
        <v>35.993740219092331</v>
      </c>
      <c r="AS56" s="1107">
        <f t="shared" si="22"/>
        <v>38.402457757296467</v>
      </c>
      <c r="AT56" s="1107">
        <f t="shared" si="23"/>
        <v>31.347962382445139</v>
      </c>
      <c r="AU56" s="1107">
        <f t="shared" si="24"/>
        <v>19.138755980861244</v>
      </c>
      <c r="AV56" s="1107">
        <f t="shared" si="25"/>
        <v>26.755852842809364</v>
      </c>
      <c r="AW56" s="1107">
        <f t="shared" si="26"/>
        <v>23.339317773788149</v>
      </c>
      <c r="AX56" s="1107">
        <f t="shared" si="27"/>
        <v>20.676691729323306</v>
      </c>
      <c r="AY56" s="1107">
        <f t="shared" si="28"/>
        <v>22.598870056497177</v>
      </c>
      <c r="AZ56" s="1107">
        <f t="shared" si="29"/>
        <v>17.578125</v>
      </c>
      <c r="BA56" s="1107">
        <f t="shared" si="30"/>
        <v>18.218623481781375</v>
      </c>
      <c r="BB56" s="1107">
        <f t="shared" si="31"/>
        <v>17.647058823529413</v>
      </c>
      <c r="BC56" s="1107">
        <f t="shared" si="32"/>
        <v>23.762376237623762</v>
      </c>
      <c r="BD56" s="1307">
        <f t="shared" si="33"/>
        <v>8.3333333333333339</v>
      </c>
      <c r="BE56" s="1309">
        <f t="shared" si="34"/>
        <v>16.877637130801688</v>
      </c>
      <c r="BF56" s="1537">
        <f t="shared" si="35"/>
        <v>10.615711252653927</v>
      </c>
      <c r="BG56" s="1537">
        <f t="shared" si="18"/>
        <v>4.2735042735042743</v>
      </c>
    </row>
    <row r="57" spans="1:59" s="142" customFormat="1" ht="15.75" customHeight="1" x14ac:dyDescent="0.2">
      <c r="A57" s="149" t="s">
        <v>130</v>
      </c>
      <c r="B57" s="186" t="s">
        <v>131</v>
      </c>
      <c r="C57" s="150" t="s">
        <v>268</v>
      </c>
      <c r="D57" s="1057">
        <v>52</v>
      </c>
      <c r="E57" s="1058">
        <v>41</v>
      </c>
      <c r="F57" s="1059">
        <v>37</v>
      </c>
      <c r="G57" s="1058">
        <v>28</v>
      </c>
      <c r="H57" s="1059">
        <v>31</v>
      </c>
      <c r="I57" s="1058">
        <v>33</v>
      </c>
      <c r="J57" s="1059">
        <v>38</v>
      </c>
      <c r="K57" s="1058">
        <v>37</v>
      </c>
      <c r="L57" s="1072">
        <v>40</v>
      </c>
      <c r="M57" s="1072">
        <v>50</v>
      </c>
      <c r="N57" s="1072">
        <v>37</v>
      </c>
      <c r="O57" s="1072">
        <v>40</v>
      </c>
      <c r="P57" s="1073">
        <v>42</v>
      </c>
      <c r="Q57" s="1073">
        <v>38</v>
      </c>
      <c r="R57" s="1300">
        <v>42</v>
      </c>
      <c r="S57" s="1301">
        <v>25</v>
      </c>
      <c r="T57" s="1531">
        <v>26</v>
      </c>
      <c r="U57" s="1708">
        <v>38</v>
      </c>
      <c r="V57" s="1531"/>
      <c r="W57" s="1080">
        <v>1639</v>
      </c>
      <c r="X57" s="1081">
        <v>1597</v>
      </c>
      <c r="Y57" s="1081">
        <v>1533</v>
      </c>
      <c r="Z57" s="1081">
        <v>1505</v>
      </c>
      <c r="AA57" s="1081">
        <v>1496</v>
      </c>
      <c r="AB57" s="1081">
        <v>1501</v>
      </c>
      <c r="AC57" s="1081">
        <v>1494</v>
      </c>
      <c r="AD57" s="1081">
        <v>1487</v>
      </c>
      <c r="AE57" s="1081">
        <v>1427</v>
      </c>
      <c r="AF57" s="1081">
        <v>1382</v>
      </c>
      <c r="AG57" s="1081">
        <v>1342</v>
      </c>
      <c r="AH57" s="1081">
        <v>1427</v>
      </c>
      <c r="AI57" s="1081">
        <v>1452</v>
      </c>
      <c r="AJ57" s="1081">
        <v>1382</v>
      </c>
      <c r="AK57" s="1303">
        <v>1350</v>
      </c>
      <c r="AL57" s="1304">
        <v>1280</v>
      </c>
      <c r="AM57" s="1699">
        <v>1272</v>
      </c>
      <c r="AN57" s="1699">
        <v>1255</v>
      </c>
      <c r="AO57" s="1532"/>
      <c r="AP57" s="1106">
        <f t="shared" si="19"/>
        <v>31.726662599145818</v>
      </c>
      <c r="AQ57" s="1107">
        <f t="shared" si="20"/>
        <v>25.673137132122733</v>
      </c>
      <c r="AR57" s="1107">
        <f t="shared" si="21"/>
        <v>24.135681669928243</v>
      </c>
      <c r="AS57" s="1107">
        <f t="shared" si="22"/>
        <v>18.604651162790699</v>
      </c>
      <c r="AT57" s="1107">
        <f t="shared" si="23"/>
        <v>20.72192513368984</v>
      </c>
      <c r="AU57" s="1107">
        <f t="shared" si="24"/>
        <v>21.985343104596936</v>
      </c>
      <c r="AV57" s="1107">
        <f t="shared" si="25"/>
        <v>25.435073627844712</v>
      </c>
      <c r="AW57" s="1107">
        <f t="shared" si="26"/>
        <v>24.882313382649631</v>
      </c>
      <c r="AX57" s="1107">
        <f t="shared" si="27"/>
        <v>28.030833917309039</v>
      </c>
      <c r="AY57" s="1107">
        <f t="shared" si="28"/>
        <v>36.179450072358897</v>
      </c>
      <c r="AZ57" s="1107">
        <f t="shared" si="29"/>
        <v>27.570789865871834</v>
      </c>
      <c r="BA57" s="1107">
        <f t="shared" si="30"/>
        <v>28.030833917309039</v>
      </c>
      <c r="BB57" s="1107">
        <f t="shared" si="31"/>
        <v>28.925619834710744</v>
      </c>
      <c r="BC57" s="1107">
        <f t="shared" si="32"/>
        <v>27.496382054992765</v>
      </c>
      <c r="BD57" s="1307">
        <f t="shared" si="33"/>
        <v>31.111111111111111</v>
      </c>
      <c r="BE57" s="1309">
        <f t="shared" si="34"/>
        <v>19.53125</v>
      </c>
      <c r="BF57" s="1537">
        <f t="shared" si="35"/>
        <v>20.440251572327043</v>
      </c>
      <c r="BG57" s="1537">
        <f t="shared" si="18"/>
        <v>30.278884462151396</v>
      </c>
    </row>
    <row r="58" spans="1:59" s="142" customFormat="1" ht="15.75" customHeight="1" x14ac:dyDescent="0.2">
      <c r="A58" s="149" t="s">
        <v>132</v>
      </c>
      <c r="B58" s="186" t="s">
        <v>133</v>
      </c>
      <c r="C58" s="150" t="s">
        <v>267</v>
      </c>
      <c r="D58" s="1057">
        <v>91</v>
      </c>
      <c r="E58" s="1058">
        <v>107</v>
      </c>
      <c r="F58" s="1059">
        <v>105</v>
      </c>
      <c r="G58" s="1058">
        <v>93</v>
      </c>
      <c r="H58" s="1059">
        <v>103</v>
      </c>
      <c r="I58" s="1058">
        <v>88</v>
      </c>
      <c r="J58" s="1059">
        <v>120</v>
      </c>
      <c r="K58" s="1058">
        <v>117</v>
      </c>
      <c r="L58" s="1072">
        <v>125</v>
      </c>
      <c r="M58" s="1072">
        <v>146</v>
      </c>
      <c r="N58" s="1072">
        <v>110</v>
      </c>
      <c r="O58" s="1072">
        <v>110</v>
      </c>
      <c r="P58" s="1073">
        <v>95</v>
      </c>
      <c r="Q58" s="1073">
        <v>82</v>
      </c>
      <c r="R58" s="1300">
        <v>109</v>
      </c>
      <c r="S58" s="1301">
        <v>85</v>
      </c>
      <c r="T58" s="1531">
        <v>83</v>
      </c>
      <c r="U58" s="1708">
        <v>61</v>
      </c>
      <c r="V58" s="1531"/>
      <c r="W58" s="1080">
        <v>7056</v>
      </c>
      <c r="X58" s="1081">
        <v>7253</v>
      </c>
      <c r="Y58" s="1081">
        <v>10496</v>
      </c>
      <c r="Z58" s="1081">
        <v>12325</v>
      </c>
      <c r="AA58" s="1081">
        <v>13499</v>
      </c>
      <c r="AB58" s="1081">
        <v>14909</v>
      </c>
      <c r="AC58" s="1081">
        <v>16258</v>
      </c>
      <c r="AD58" s="1081">
        <v>17149</v>
      </c>
      <c r="AE58" s="1081">
        <v>17671</v>
      </c>
      <c r="AF58" s="1081">
        <v>18501</v>
      </c>
      <c r="AG58" s="1081">
        <v>19322</v>
      </c>
      <c r="AH58" s="1081">
        <v>20223</v>
      </c>
      <c r="AI58" s="1081">
        <v>21819</v>
      </c>
      <c r="AJ58" s="1081">
        <v>23326</v>
      </c>
      <c r="AK58" s="1303">
        <v>24410</v>
      </c>
      <c r="AL58" s="1304">
        <v>26063</v>
      </c>
      <c r="AM58" s="1699">
        <v>27190</v>
      </c>
      <c r="AN58" s="1699">
        <v>28290</v>
      </c>
      <c r="AO58" s="1532"/>
      <c r="AP58" s="1106">
        <f t="shared" si="19"/>
        <v>12.896825396825395</v>
      </c>
      <c r="AQ58" s="1107">
        <f t="shared" si="20"/>
        <v>14.752516200193023</v>
      </c>
      <c r="AR58" s="1107">
        <f t="shared" si="21"/>
        <v>10.003810975609756</v>
      </c>
      <c r="AS58" s="1107">
        <f t="shared" si="22"/>
        <v>7.5456389452332662</v>
      </c>
      <c r="AT58" s="1107">
        <f t="shared" si="23"/>
        <v>7.6301948292466104</v>
      </c>
      <c r="AU58" s="1107">
        <f t="shared" si="24"/>
        <v>5.9024750150915555</v>
      </c>
      <c r="AV58" s="1107">
        <f t="shared" si="25"/>
        <v>7.3809816705621847</v>
      </c>
      <c r="AW58" s="1107">
        <f t="shared" si="26"/>
        <v>6.8225552510350465</v>
      </c>
      <c r="AX58" s="1107">
        <f t="shared" si="27"/>
        <v>7.073736630637768</v>
      </c>
      <c r="AY58" s="1107">
        <f t="shared" si="28"/>
        <v>7.8914653261985839</v>
      </c>
      <c r="AZ58" s="1107">
        <f t="shared" si="29"/>
        <v>5.6929924438463928</v>
      </c>
      <c r="BA58" s="1107">
        <f t="shared" si="30"/>
        <v>5.4393512337437571</v>
      </c>
      <c r="BB58" s="1107">
        <f t="shared" si="31"/>
        <v>4.3540033915394831</v>
      </c>
      <c r="BC58" s="1107">
        <f t="shared" si="32"/>
        <v>3.5153905513161279</v>
      </c>
      <c r="BD58" s="1307">
        <f t="shared" si="33"/>
        <v>4.4653830397378131</v>
      </c>
      <c r="BE58" s="1309">
        <f t="shared" si="34"/>
        <v>3.2613283198403868</v>
      </c>
      <c r="BF58" s="1537">
        <f t="shared" si="35"/>
        <v>3.052592865023906</v>
      </c>
      <c r="BG58" s="1537">
        <f t="shared" si="18"/>
        <v>2.1562389536938849</v>
      </c>
    </row>
    <row r="59" spans="1:59" s="142" customFormat="1" ht="15.75" customHeight="1" x14ac:dyDescent="0.2">
      <c r="A59" s="149" t="s">
        <v>134</v>
      </c>
      <c r="B59" s="186" t="s">
        <v>135</v>
      </c>
      <c r="C59" s="150" t="s">
        <v>267</v>
      </c>
      <c r="D59" s="1057">
        <v>53</v>
      </c>
      <c r="E59" s="1058">
        <v>42</v>
      </c>
      <c r="F59" s="1059">
        <v>46</v>
      </c>
      <c r="G59" s="1058">
        <v>45</v>
      </c>
      <c r="H59" s="1059">
        <v>40</v>
      </c>
      <c r="I59" s="1058">
        <v>37</v>
      </c>
      <c r="J59" s="1059">
        <v>36</v>
      </c>
      <c r="K59" s="1058">
        <v>37</v>
      </c>
      <c r="L59" s="1072">
        <v>46</v>
      </c>
      <c r="M59" s="1072">
        <v>40</v>
      </c>
      <c r="N59" s="1072">
        <v>40</v>
      </c>
      <c r="O59" s="1072">
        <v>34</v>
      </c>
      <c r="P59" s="1073">
        <v>40</v>
      </c>
      <c r="Q59" s="1073">
        <v>27</v>
      </c>
      <c r="R59" s="1300">
        <v>29</v>
      </c>
      <c r="S59" s="1301">
        <v>25</v>
      </c>
      <c r="T59" s="1531">
        <v>25</v>
      </c>
      <c r="U59" s="1708">
        <v>18</v>
      </c>
      <c r="V59" s="1531"/>
      <c r="W59" s="1080">
        <v>1489</v>
      </c>
      <c r="X59" s="1081">
        <v>1508</v>
      </c>
      <c r="Y59" s="1081">
        <v>1675</v>
      </c>
      <c r="Z59" s="1081">
        <v>1731</v>
      </c>
      <c r="AA59" s="1081">
        <v>1791</v>
      </c>
      <c r="AB59" s="1081">
        <v>1852</v>
      </c>
      <c r="AC59" s="1081">
        <v>1882</v>
      </c>
      <c r="AD59" s="1081">
        <v>1913</v>
      </c>
      <c r="AE59" s="1081">
        <v>1892</v>
      </c>
      <c r="AF59" s="1081">
        <v>1847</v>
      </c>
      <c r="AG59" s="1081">
        <v>1881</v>
      </c>
      <c r="AH59" s="1081">
        <v>1976</v>
      </c>
      <c r="AI59" s="1081">
        <v>1944</v>
      </c>
      <c r="AJ59" s="1081">
        <v>1897</v>
      </c>
      <c r="AK59" s="1303">
        <v>1858</v>
      </c>
      <c r="AL59" s="1304">
        <v>1861</v>
      </c>
      <c r="AM59" s="1699">
        <v>1895</v>
      </c>
      <c r="AN59" s="1699">
        <v>1887</v>
      </c>
      <c r="AO59" s="1532"/>
      <c r="AP59" s="1106">
        <f t="shared" si="19"/>
        <v>35.594358629952985</v>
      </c>
      <c r="AQ59" s="1107">
        <f t="shared" si="20"/>
        <v>27.851458885941646</v>
      </c>
      <c r="AR59" s="1107">
        <f t="shared" si="21"/>
        <v>27.46268656716418</v>
      </c>
      <c r="AS59" s="1107">
        <f t="shared" si="22"/>
        <v>25.996533795493935</v>
      </c>
      <c r="AT59" s="1107">
        <f t="shared" si="23"/>
        <v>22.333891680625349</v>
      </c>
      <c r="AU59" s="1107">
        <f t="shared" si="24"/>
        <v>19.978401727861769</v>
      </c>
      <c r="AV59" s="1107">
        <f t="shared" si="25"/>
        <v>19.128586609989373</v>
      </c>
      <c r="AW59" s="1107">
        <f t="shared" si="26"/>
        <v>19.341348667015161</v>
      </c>
      <c r="AX59" s="1107">
        <f t="shared" si="27"/>
        <v>24.312896405919663</v>
      </c>
      <c r="AY59" s="1107">
        <f t="shared" si="28"/>
        <v>21.656740660530588</v>
      </c>
      <c r="AZ59" s="1107">
        <f t="shared" si="29"/>
        <v>21.26528442317916</v>
      </c>
      <c r="BA59" s="1107">
        <f t="shared" si="30"/>
        <v>17.206477732793523</v>
      </c>
      <c r="BB59" s="1107">
        <f t="shared" si="31"/>
        <v>20.5761316872428</v>
      </c>
      <c r="BC59" s="1107">
        <f t="shared" si="32"/>
        <v>14.232999472851873</v>
      </c>
      <c r="BD59" s="1307">
        <f t="shared" si="33"/>
        <v>15.608180839612487</v>
      </c>
      <c r="BE59" s="1309">
        <f t="shared" si="34"/>
        <v>13.433637829124127</v>
      </c>
      <c r="BF59" s="1537">
        <f t="shared" si="35"/>
        <v>13.192612137203167</v>
      </c>
      <c r="BG59" s="1537">
        <f t="shared" si="18"/>
        <v>9.5389507154213025</v>
      </c>
    </row>
    <row r="60" spans="1:59" s="142" customFormat="1" ht="15.75" customHeight="1" x14ac:dyDescent="0.2">
      <c r="A60" s="149" t="s">
        <v>136</v>
      </c>
      <c r="B60" s="186" t="s">
        <v>137</v>
      </c>
      <c r="C60" s="150" t="s">
        <v>266</v>
      </c>
      <c r="D60" s="1057">
        <v>27</v>
      </c>
      <c r="E60" s="1058">
        <v>20</v>
      </c>
      <c r="F60" s="1059">
        <v>13</v>
      </c>
      <c r="G60" s="1058">
        <v>14</v>
      </c>
      <c r="H60" s="1059">
        <v>17</v>
      </c>
      <c r="I60" s="1058">
        <v>20</v>
      </c>
      <c r="J60" s="1059">
        <v>18</v>
      </c>
      <c r="K60" s="1058">
        <v>29</v>
      </c>
      <c r="L60" s="1072">
        <v>24</v>
      </c>
      <c r="M60" s="1072">
        <v>17</v>
      </c>
      <c r="N60" s="1072">
        <v>19</v>
      </c>
      <c r="O60" s="1072">
        <v>16</v>
      </c>
      <c r="P60" s="1073">
        <v>21</v>
      </c>
      <c r="Q60" s="1073">
        <v>16</v>
      </c>
      <c r="R60" s="1300">
        <v>22</v>
      </c>
      <c r="S60" s="1301">
        <v>7</v>
      </c>
      <c r="T60" s="1531">
        <v>9</v>
      </c>
      <c r="U60" s="1708">
        <v>10</v>
      </c>
      <c r="V60" s="1531"/>
      <c r="W60" s="1080">
        <v>769</v>
      </c>
      <c r="X60" s="1081">
        <v>770</v>
      </c>
      <c r="Y60" s="1081">
        <v>821</v>
      </c>
      <c r="Z60" s="1081">
        <v>830</v>
      </c>
      <c r="AA60" s="1081">
        <v>835</v>
      </c>
      <c r="AB60" s="1081">
        <v>805</v>
      </c>
      <c r="AC60" s="1081">
        <v>784</v>
      </c>
      <c r="AD60" s="1081">
        <v>791</v>
      </c>
      <c r="AE60" s="1081">
        <v>749</v>
      </c>
      <c r="AF60" s="1081">
        <v>697</v>
      </c>
      <c r="AG60" s="1081">
        <v>669</v>
      </c>
      <c r="AH60" s="1081">
        <v>674</v>
      </c>
      <c r="AI60" s="1081">
        <v>689</v>
      </c>
      <c r="AJ60" s="1081">
        <v>662</v>
      </c>
      <c r="AK60" s="1303">
        <v>652</v>
      </c>
      <c r="AL60" s="1304">
        <v>627</v>
      </c>
      <c r="AM60" s="1699">
        <v>645</v>
      </c>
      <c r="AN60" s="1699">
        <v>627</v>
      </c>
      <c r="AO60" s="1532"/>
      <c r="AP60" s="1106">
        <f t="shared" si="19"/>
        <v>35.110533159947984</v>
      </c>
      <c r="AQ60" s="1107">
        <f t="shared" si="20"/>
        <v>25.974025974025977</v>
      </c>
      <c r="AR60" s="1107">
        <f t="shared" si="21"/>
        <v>15.834348355663822</v>
      </c>
      <c r="AS60" s="1107">
        <f t="shared" si="22"/>
        <v>16.867469879518072</v>
      </c>
      <c r="AT60" s="1107">
        <f t="shared" si="23"/>
        <v>20.359281437125748</v>
      </c>
      <c r="AU60" s="1107">
        <f t="shared" si="24"/>
        <v>24.844720496894407</v>
      </c>
      <c r="AV60" s="1107">
        <f t="shared" si="25"/>
        <v>22.95918367346939</v>
      </c>
      <c r="AW60" s="1107">
        <f t="shared" si="26"/>
        <v>36.662452591656134</v>
      </c>
      <c r="AX60" s="1107">
        <f t="shared" si="27"/>
        <v>32.042723631508679</v>
      </c>
      <c r="AY60" s="1107">
        <f t="shared" si="28"/>
        <v>24.390243902439025</v>
      </c>
      <c r="AZ60" s="1107">
        <f t="shared" si="29"/>
        <v>28.400597907324364</v>
      </c>
      <c r="BA60" s="1107">
        <f t="shared" si="30"/>
        <v>23.738872403560833</v>
      </c>
      <c r="BB60" s="1107">
        <f t="shared" si="31"/>
        <v>30.478955007256896</v>
      </c>
      <c r="BC60" s="1107">
        <f t="shared" si="32"/>
        <v>24.169184290030213</v>
      </c>
      <c r="BD60" s="1307">
        <f t="shared" si="33"/>
        <v>33.742331288343557</v>
      </c>
      <c r="BE60" s="1309">
        <f t="shared" si="34"/>
        <v>11.164274322169058</v>
      </c>
      <c r="BF60" s="1537">
        <f t="shared" si="35"/>
        <v>13.953488372093023</v>
      </c>
      <c r="BG60" s="1537">
        <f t="shared" si="18"/>
        <v>15.948963317384369</v>
      </c>
    </row>
    <row r="61" spans="1:59" s="142" customFormat="1" ht="15.75" customHeight="1" x14ac:dyDescent="0.2">
      <c r="A61" s="149" t="s">
        <v>140</v>
      </c>
      <c r="B61" s="186" t="s">
        <v>141</v>
      </c>
      <c r="C61" s="150" t="s">
        <v>267</v>
      </c>
      <c r="D61" s="1057">
        <v>8</v>
      </c>
      <c r="E61" s="1058">
        <v>15</v>
      </c>
      <c r="F61" s="1059">
        <v>15</v>
      </c>
      <c r="G61" s="1058">
        <v>23</v>
      </c>
      <c r="H61" s="1059">
        <v>8</v>
      </c>
      <c r="I61" s="1058">
        <v>12</v>
      </c>
      <c r="J61" s="1059">
        <v>16</v>
      </c>
      <c r="K61" s="1058">
        <v>20</v>
      </c>
      <c r="L61" s="1072">
        <v>20</v>
      </c>
      <c r="M61" s="1072">
        <v>14</v>
      </c>
      <c r="N61" s="1072">
        <v>14</v>
      </c>
      <c r="O61" s="1072">
        <v>13</v>
      </c>
      <c r="P61" s="1073">
        <v>9</v>
      </c>
      <c r="Q61" s="1073">
        <v>8</v>
      </c>
      <c r="R61" s="1300">
        <v>11</v>
      </c>
      <c r="S61" s="1301">
        <v>4</v>
      </c>
      <c r="T61" s="1531">
        <v>1</v>
      </c>
      <c r="U61" s="1708">
        <v>5</v>
      </c>
      <c r="V61" s="1531"/>
      <c r="W61" s="1080">
        <v>889</v>
      </c>
      <c r="X61" s="1081">
        <v>902</v>
      </c>
      <c r="Y61" s="1081">
        <v>871</v>
      </c>
      <c r="Z61" s="1081">
        <v>895</v>
      </c>
      <c r="AA61" s="1081">
        <v>910</v>
      </c>
      <c r="AB61" s="1081">
        <v>918</v>
      </c>
      <c r="AC61" s="1081">
        <v>908</v>
      </c>
      <c r="AD61" s="1081">
        <v>902</v>
      </c>
      <c r="AE61" s="1081">
        <v>884</v>
      </c>
      <c r="AF61" s="1081">
        <v>875</v>
      </c>
      <c r="AG61" s="1081">
        <v>863</v>
      </c>
      <c r="AH61" s="1081">
        <v>891</v>
      </c>
      <c r="AI61" s="1081">
        <v>834</v>
      </c>
      <c r="AJ61" s="1081">
        <v>827</v>
      </c>
      <c r="AK61" s="1303">
        <v>838</v>
      </c>
      <c r="AL61" s="1304">
        <v>832</v>
      </c>
      <c r="AM61" s="1699">
        <v>844</v>
      </c>
      <c r="AN61" s="1699">
        <v>820</v>
      </c>
      <c r="AO61" s="1532"/>
      <c r="AP61" s="1106">
        <f t="shared" si="19"/>
        <v>8.9988751406074243</v>
      </c>
      <c r="AQ61" s="1107">
        <f t="shared" si="20"/>
        <v>16.62971175166297</v>
      </c>
      <c r="AR61" s="1107">
        <f t="shared" si="21"/>
        <v>17.221584385763489</v>
      </c>
      <c r="AS61" s="1107">
        <f t="shared" si="22"/>
        <v>25.69832402234637</v>
      </c>
      <c r="AT61" s="1107">
        <f t="shared" si="23"/>
        <v>8.791208791208792</v>
      </c>
      <c r="AU61" s="1107">
        <f t="shared" si="24"/>
        <v>13.071895424836601</v>
      </c>
      <c r="AV61" s="1107">
        <f t="shared" si="25"/>
        <v>17.621145374449341</v>
      </c>
      <c r="AW61" s="1107">
        <f t="shared" si="26"/>
        <v>22.172949002217297</v>
      </c>
      <c r="AX61" s="1107">
        <f t="shared" si="27"/>
        <v>22.624434389140269</v>
      </c>
      <c r="AY61" s="1107">
        <f t="shared" si="28"/>
        <v>16</v>
      </c>
      <c r="AZ61" s="1107">
        <f t="shared" si="29"/>
        <v>16.222479721900346</v>
      </c>
      <c r="BA61" s="1107">
        <f t="shared" si="30"/>
        <v>14.590347923681257</v>
      </c>
      <c r="BB61" s="1107">
        <f t="shared" si="31"/>
        <v>10.791366906474821</v>
      </c>
      <c r="BC61" s="1107">
        <f t="shared" si="32"/>
        <v>9.6735187424425622</v>
      </c>
      <c r="BD61" s="1307">
        <f t="shared" si="33"/>
        <v>13.126491646778042</v>
      </c>
      <c r="BE61" s="1309">
        <f t="shared" si="34"/>
        <v>4.8076923076923084</v>
      </c>
      <c r="BF61" s="1537">
        <f t="shared" si="35"/>
        <v>1.1848341232227488</v>
      </c>
      <c r="BG61" s="1537">
        <f t="shared" si="18"/>
        <v>6.0975609756097562</v>
      </c>
    </row>
    <row r="62" spans="1:59" s="142" customFormat="1" ht="15.75" customHeight="1" x14ac:dyDescent="0.2">
      <c r="A62" s="149" t="s">
        <v>146</v>
      </c>
      <c r="B62" s="186" t="s">
        <v>147</v>
      </c>
      <c r="C62" s="150" t="s">
        <v>264</v>
      </c>
      <c r="D62" s="1057">
        <v>10</v>
      </c>
      <c r="E62" s="1058">
        <v>5</v>
      </c>
      <c r="F62" s="1059">
        <v>10</v>
      </c>
      <c r="G62" s="1058">
        <v>7</v>
      </c>
      <c r="H62" s="1059">
        <v>8</v>
      </c>
      <c r="I62" s="1058">
        <v>6</v>
      </c>
      <c r="J62" s="1059">
        <v>5</v>
      </c>
      <c r="K62" s="1058">
        <v>6</v>
      </c>
      <c r="L62" s="1072">
        <v>9</v>
      </c>
      <c r="M62" s="1072">
        <v>5</v>
      </c>
      <c r="N62" s="1072">
        <v>9</v>
      </c>
      <c r="O62" s="1072">
        <v>5</v>
      </c>
      <c r="P62" s="1073">
        <v>2</v>
      </c>
      <c r="Q62" s="1073">
        <v>5</v>
      </c>
      <c r="R62" s="1300">
        <v>2</v>
      </c>
      <c r="S62" s="1301">
        <v>3</v>
      </c>
      <c r="T62" s="1531">
        <v>8</v>
      </c>
      <c r="U62" s="1708">
        <v>0</v>
      </c>
      <c r="V62" s="1531"/>
      <c r="W62" s="1080">
        <v>505</v>
      </c>
      <c r="X62" s="1081">
        <v>511</v>
      </c>
      <c r="Y62" s="1081">
        <v>520</v>
      </c>
      <c r="Z62" s="1081">
        <v>535</v>
      </c>
      <c r="AA62" s="1081">
        <v>533</v>
      </c>
      <c r="AB62" s="1081">
        <v>525</v>
      </c>
      <c r="AC62" s="1081">
        <v>528</v>
      </c>
      <c r="AD62" s="1081">
        <v>510</v>
      </c>
      <c r="AE62" s="1081">
        <v>515</v>
      </c>
      <c r="AF62" s="1081">
        <v>483</v>
      </c>
      <c r="AG62" s="1081">
        <v>485</v>
      </c>
      <c r="AH62" s="1081">
        <v>509</v>
      </c>
      <c r="AI62" s="1081">
        <v>502</v>
      </c>
      <c r="AJ62" s="1081">
        <v>499</v>
      </c>
      <c r="AK62" s="1303">
        <v>502</v>
      </c>
      <c r="AL62" s="1304">
        <v>509</v>
      </c>
      <c r="AM62" s="1699">
        <v>468</v>
      </c>
      <c r="AN62" s="1699">
        <v>471</v>
      </c>
      <c r="AO62" s="1532"/>
      <c r="AP62" s="1106">
        <f t="shared" si="19"/>
        <v>19.801980198019802</v>
      </c>
      <c r="AQ62" s="1107">
        <f t="shared" si="20"/>
        <v>9.7847358121330714</v>
      </c>
      <c r="AR62" s="1107">
        <f t="shared" si="21"/>
        <v>19.230769230769234</v>
      </c>
      <c r="AS62" s="1107">
        <f t="shared" si="22"/>
        <v>13.084112149532711</v>
      </c>
      <c r="AT62" s="1107">
        <f t="shared" si="23"/>
        <v>15.0093808630394</v>
      </c>
      <c r="AU62" s="1107">
        <f t="shared" si="24"/>
        <v>11.428571428571429</v>
      </c>
      <c r="AV62" s="1107">
        <f t="shared" si="25"/>
        <v>9.4696969696969706</v>
      </c>
      <c r="AW62" s="1107">
        <f t="shared" si="26"/>
        <v>11.76470588235294</v>
      </c>
      <c r="AX62" s="1107">
        <f t="shared" si="27"/>
        <v>17.475728155339805</v>
      </c>
      <c r="AY62" s="1107">
        <f t="shared" si="28"/>
        <v>10.351966873706004</v>
      </c>
      <c r="AZ62" s="1107">
        <f t="shared" si="29"/>
        <v>18.556701030927837</v>
      </c>
      <c r="BA62" s="1107">
        <f t="shared" si="30"/>
        <v>9.8231827111984273</v>
      </c>
      <c r="BB62" s="1107">
        <f t="shared" si="31"/>
        <v>3.9840637450199203</v>
      </c>
      <c r="BC62" s="1107">
        <f t="shared" si="32"/>
        <v>10.020040080160321</v>
      </c>
      <c r="BD62" s="1307">
        <f t="shared" si="33"/>
        <v>3.9840637450199203</v>
      </c>
      <c r="BE62" s="1309">
        <f t="shared" si="34"/>
        <v>5.8939096267190569</v>
      </c>
      <c r="BF62" s="1537">
        <f t="shared" si="35"/>
        <v>17.094017094017097</v>
      </c>
      <c r="BG62" s="1537">
        <f t="shared" si="18"/>
        <v>0</v>
      </c>
    </row>
    <row r="63" spans="1:59" s="142" customFormat="1" ht="15.75" customHeight="1" x14ac:dyDescent="0.2">
      <c r="A63" s="149" t="s">
        <v>148</v>
      </c>
      <c r="B63" s="186" t="s">
        <v>149</v>
      </c>
      <c r="C63" s="150" t="s">
        <v>265</v>
      </c>
      <c r="D63" s="1057">
        <v>70</v>
      </c>
      <c r="E63" s="1058">
        <v>57</v>
      </c>
      <c r="F63" s="1059">
        <v>52</v>
      </c>
      <c r="G63" s="1058">
        <v>57</v>
      </c>
      <c r="H63" s="1059">
        <v>58</v>
      </c>
      <c r="I63" s="1058">
        <v>63</v>
      </c>
      <c r="J63" s="1059">
        <v>43</v>
      </c>
      <c r="K63" s="1058">
        <v>45</v>
      </c>
      <c r="L63" s="1072">
        <v>43</v>
      </c>
      <c r="M63" s="1072">
        <v>37</v>
      </c>
      <c r="N63" s="1072">
        <v>53</v>
      </c>
      <c r="O63" s="1072">
        <v>50</v>
      </c>
      <c r="P63" s="1073">
        <v>36</v>
      </c>
      <c r="Q63" s="1073">
        <v>33</v>
      </c>
      <c r="R63" s="1300">
        <v>35</v>
      </c>
      <c r="S63" s="1301">
        <v>23</v>
      </c>
      <c r="T63" s="1531">
        <v>30</v>
      </c>
      <c r="U63" s="1708">
        <v>23</v>
      </c>
      <c r="V63" s="1531"/>
      <c r="W63" s="1080">
        <v>1765</v>
      </c>
      <c r="X63" s="1081">
        <v>1747</v>
      </c>
      <c r="Y63" s="1081">
        <v>1975</v>
      </c>
      <c r="Z63" s="1081">
        <v>2008</v>
      </c>
      <c r="AA63" s="1081">
        <v>1965</v>
      </c>
      <c r="AB63" s="1081">
        <v>1958</v>
      </c>
      <c r="AC63" s="1081">
        <v>1928</v>
      </c>
      <c r="AD63" s="1081">
        <v>1942</v>
      </c>
      <c r="AE63" s="1081">
        <v>1905</v>
      </c>
      <c r="AF63" s="1081">
        <v>1865</v>
      </c>
      <c r="AG63" s="1081">
        <v>1828</v>
      </c>
      <c r="AH63" s="1081">
        <v>1798</v>
      </c>
      <c r="AI63" s="1081">
        <v>1836</v>
      </c>
      <c r="AJ63" s="1081">
        <v>1819</v>
      </c>
      <c r="AK63" s="1303">
        <v>1779</v>
      </c>
      <c r="AL63" s="1304">
        <v>1768</v>
      </c>
      <c r="AM63" s="1699">
        <v>1737</v>
      </c>
      <c r="AN63" s="1699">
        <v>1734</v>
      </c>
      <c r="AO63" s="1532"/>
      <c r="AP63" s="1106">
        <f t="shared" si="19"/>
        <v>39.660056657223798</v>
      </c>
      <c r="AQ63" s="1107">
        <f t="shared" si="20"/>
        <v>32.627361190612476</v>
      </c>
      <c r="AR63" s="1107">
        <f t="shared" si="21"/>
        <v>26.329113924050631</v>
      </c>
      <c r="AS63" s="1107">
        <f t="shared" si="22"/>
        <v>28.386454183266931</v>
      </c>
      <c r="AT63" s="1107">
        <f t="shared" si="23"/>
        <v>29.516539440203562</v>
      </c>
      <c r="AU63" s="1107">
        <f t="shared" si="24"/>
        <v>32.175689479060267</v>
      </c>
      <c r="AV63" s="1107">
        <f t="shared" si="25"/>
        <v>22.302904564315352</v>
      </c>
      <c r="AW63" s="1107">
        <f t="shared" si="26"/>
        <v>23.171987641606592</v>
      </c>
      <c r="AX63" s="1107">
        <f t="shared" si="27"/>
        <v>22.57217847769029</v>
      </c>
      <c r="AY63" s="1107">
        <f t="shared" si="28"/>
        <v>19.839142091152816</v>
      </c>
      <c r="AZ63" s="1107">
        <f t="shared" si="29"/>
        <v>28.993435448577682</v>
      </c>
      <c r="BA63" s="1107">
        <f t="shared" si="30"/>
        <v>27.808676307007786</v>
      </c>
      <c r="BB63" s="1107">
        <f t="shared" si="31"/>
        <v>19.607843137254903</v>
      </c>
      <c r="BC63" s="1107">
        <f t="shared" si="32"/>
        <v>18.141836173721828</v>
      </c>
      <c r="BD63" s="1307">
        <f t="shared" si="33"/>
        <v>19.673974142776839</v>
      </c>
      <c r="BE63" s="1309">
        <f t="shared" si="34"/>
        <v>13.009049773755656</v>
      </c>
      <c r="BF63" s="1537">
        <f t="shared" si="35"/>
        <v>17.271157167530223</v>
      </c>
      <c r="BG63" s="1537">
        <f t="shared" si="18"/>
        <v>13.264129181084199</v>
      </c>
    </row>
    <row r="64" spans="1:59" s="142" customFormat="1" ht="15.75" customHeight="1" x14ac:dyDescent="0.2">
      <c r="A64" s="149" t="s">
        <v>150</v>
      </c>
      <c r="B64" s="186" t="s">
        <v>151</v>
      </c>
      <c r="C64" s="150" t="s">
        <v>266</v>
      </c>
      <c r="D64" s="1057">
        <v>10</v>
      </c>
      <c r="E64" s="1058">
        <v>16</v>
      </c>
      <c r="F64" s="1059">
        <v>5</v>
      </c>
      <c r="G64" s="1058">
        <v>12</v>
      </c>
      <c r="H64" s="1059">
        <v>11</v>
      </c>
      <c r="I64" s="1058">
        <v>13</v>
      </c>
      <c r="J64" s="1059">
        <v>7</v>
      </c>
      <c r="K64" s="1058">
        <v>9</v>
      </c>
      <c r="L64" s="1072">
        <v>7</v>
      </c>
      <c r="M64" s="1072">
        <v>17</v>
      </c>
      <c r="N64" s="1072">
        <v>8</v>
      </c>
      <c r="O64" s="1072">
        <v>9</v>
      </c>
      <c r="P64" s="1073">
        <v>6</v>
      </c>
      <c r="Q64" s="1073">
        <v>6</v>
      </c>
      <c r="R64" s="1300">
        <v>4</v>
      </c>
      <c r="S64" s="1301">
        <v>10</v>
      </c>
      <c r="T64" s="1531">
        <v>7</v>
      </c>
      <c r="U64" s="1708">
        <v>11</v>
      </c>
      <c r="V64" s="1531"/>
      <c r="W64" s="1080">
        <v>521</v>
      </c>
      <c r="X64" s="1081">
        <v>530</v>
      </c>
      <c r="Y64" s="1081">
        <v>583</v>
      </c>
      <c r="Z64" s="1081">
        <v>603</v>
      </c>
      <c r="AA64" s="1081">
        <v>618</v>
      </c>
      <c r="AB64" s="1081">
        <v>620</v>
      </c>
      <c r="AC64" s="1081">
        <v>616</v>
      </c>
      <c r="AD64" s="1081">
        <v>604</v>
      </c>
      <c r="AE64" s="1081">
        <v>593</v>
      </c>
      <c r="AF64" s="1081">
        <v>562</v>
      </c>
      <c r="AG64" s="1081">
        <v>546</v>
      </c>
      <c r="AH64" s="1081">
        <v>521</v>
      </c>
      <c r="AI64" s="1081">
        <v>501</v>
      </c>
      <c r="AJ64" s="1081">
        <v>494</v>
      </c>
      <c r="AK64" s="1303">
        <v>472</v>
      </c>
      <c r="AL64" s="1304">
        <v>459</v>
      </c>
      <c r="AM64" s="1699">
        <v>466</v>
      </c>
      <c r="AN64" s="1699">
        <v>466</v>
      </c>
      <c r="AO64" s="1532"/>
      <c r="AP64" s="1106">
        <f t="shared" si="19"/>
        <v>19.193857965451055</v>
      </c>
      <c r="AQ64" s="1107">
        <f t="shared" si="20"/>
        <v>30.188679245283019</v>
      </c>
      <c r="AR64" s="1107">
        <f t="shared" si="21"/>
        <v>8.5763293310463133</v>
      </c>
      <c r="AS64" s="1107">
        <f t="shared" si="22"/>
        <v>19.900497512437809</v>
      </c>
      <c r="AT64" s="1107">
        <f t="shared" si="23"/>
        <v>17.79935275080906</v>
      </c>
      <c r="AU64" s="1107">
        <f t="shared" si="24"/>
        <v>20.967741935483872</v>
      </c>
      <c r="AV64" s="1107">
        <f t="shared" si="25"/>
        <v>11.363636363636363</v>
      </c>
      <c r="AW64" s="1107">
        <f t="shared" si="26"/>
        <v>14.900662251655628</v>
      </c>
      <c r="AX64" s="1107">
        <f t="shared" si="27"/>
        <v>11.804384485666104</v>
      </c>
      <c r="AY64" s="1107">
        <f t="shared" si="28"/>
        <v>30.249110320284696</v>
      </c>
      <c r="AZ64" s="1107">
        <f t="shared" si="29"/>
        <v>14.652014652014651</v>
      </c>
      <c r="BA64" s="1107">
        <f t="shared" si="30"/>
        <v>17.274472168905952</v>
      </c>
      <c r="BB64" s="1107">
        <f t="shared" si="31"/>
        <v>11.976047904191617</v>
      </c>
      <c r="BC64" s="1107">
        <f t="shared" si="32"/>
        <v>12.145748987854251</v>
      </c>
      <c r="BD64" s="1307">
        <f t="shared" si="33"/>
        <v>8.4745762711864412</v>
      </c>
      <c r="BE64" s="1309">
        <f t="shared" si="34"/>
        <v>21.786492374727668</v>
      </c>
      <c r="BF64" s="1537">
        <f t="shared" si="35"/>
        <v>15.021459227467812</v>
      </c>
      <c r="BG64" s="1537">
        <f t="shared" si="18"/>
        <v>23.605150214592275</v>
      </c>
    </row>
    <row r="65" spans="1:59" s="142" customFormat="1" ht="15.75" customHeight="1" x14ac:dyDescent="0.2">
      <c r="A65" s="149" t="s">
        <v>152</v>
      </c>
      <c r="B65" s="186" t="s">
        <v>153</v>
      </c>
      <c r="C65" s="150" t="s">
        <v>268</v>
      </c>
      <c r="D65" s="1057">
        <v>58</v>
      </c>
      <c r="E65" s="1058">
        <v>71</v>
      </c>
      <c r="F65" s="1059">
        <v>94</v>
      </c>
      <c r="G65" s="1058">
        <v>53</v>
      </c>
      <c r="H65" s="1059">
        <v>56</v>
      </c>
      <c r="I65" s="1058">
        <v>67</v>
      </c>
      <c r="J65" s="1059">
        <v>75</v>
      </c>
      <c r="K65" s="1058">
        <v>81</v>
      </c>
      <c r="L65" s="1072">
        <v>49</v>
      </c>
      <c r="M65" s="1072">
        <v>79</v>
      </c>
      <c r="N65" s="1072">
        <v>106</v>
      </c>
      <c r="O65" s="1072">
        <v>66</v>
      </c>
      <c r="P65" s="1073">
        <v>60</v>
      </c>
      <c r="Q65" s="1073">
        <v>51</v>
      </c>
      <c r="R65" s="1300">
        <v>54</v>
      </c>
      <c r="S65" s="1301">
        <v>56</v>
      </c>
      <c r="T65" s="1531">
        <v>55</v>
      </c>
      <c r="U65" s="1708">
        <v>33</v>
      </c>
      <c r="V65" s="1531"/>
      <c r="W65" s="1080">
        <v>6434</v>
      </c>
      <c r="X65" s="1081">
        <v>6481</v>
      </c>
      <c r="Y65" s="1081">
        <v>6679</v>
      </c>
      <c r="Z65" s="1081">
        <v>6151</v>
      </c>
      <c r="AA65" s="1081">
        <v>6161</v>
      </c>
      <c r="AB65" s="1081">
        <v>6015</v>
      </c>
      <c r="AC65" s="1081">
        <v>5988</v>
      </c>
      <c r="AD65" s="1081">
        <v>6272</v>
      </c>
      <c r="AE65" s="1081">
        <v>6553</v>
      </c>
      <c r="AF65" s="1081">
        <v>6799</v>
      </c>
      <c r="AG65" s="1081">
        <v>6886</v>
      </c>
      <c r="AH65" s="1081">
        <v>7131</v>
      </c>
      <c r="AI65" s="1081">
        <v>7319</v>
      </c>
      <c r="AJ65" s="1081">
        <v>7096</v>
      </c>
      <c r="AK65" s="1303">
        <v>6757</v>
      </c>
      <c r="AL65" s="1304">
        <v>6914</v>
      </c>
      <c r="AM65" s="1699">
        <v>6896</v>
      </c>
      <c r="AN65" s="1699">
        <v>6920</v>
      </c>
      <c r="AO65" s="1532"/>
      <c r="AP65" s="1106">
        <f t="shared" si="19"/>
        <v>9.0146098849860117</v>
      </c>
      <c r="AQ65" s="1107">
        <f t="shared" si="20"/>
        <v>10.955099521678754</v>
      </c>
      <c r="AR65" s="1107">
        <f t="shared" si="21"/>
        <v>14.073963168138942</v>
      </c>
      <c r="AS65" s="1107">
        <f t="shared" si="22"/>
        <v>8.6164851243700209</v>
      </c>
      <c r="AT65" s="1107">
        <f t="shared" si="23"/>
        <v>9.0894335335172869</v>
      </c>
      <c r="AU65" s="1107">
        <f t="shared" si="24"/>
        <v>11.138819617622611</v>
      </c>
      <c r="AV65" s="1107">
        <f t="shared" si="25"/>
        <v>12.525050100200401</v>
      </c>
      <c r="AW65" s="1107">
        <f t="shared" si="26"/>
        <v>12.914540816326531</v>
      </c>
      <c r="AX65" s="1107">
        <f t="shared" si="27"/>
        <v>7.4774912253929502</v>
      </c>
      <c r="AY65" s="1107">
        <f t="shared" si="28"/>
        <v>11.619355787615826</v>
      </c>
      <c r="AZ65" s="1107">
        <f t="shared" si="29"/>
        <v>15.393552134766193</v>
      </c>
      <c r="BA65" s="1107">
        <f t="shared" si="30"/>
        <v>9.2553639040807738</v>
      </c>
      <c r="BB65" s="1107">
        <f t="shared" si="31"/>
        <v>8.1978412351414125</v>
      </c>
      <c r="BC65" s="1107">
        <f t="shared" si="32"/>
        <v>7.1871476888387829</v>
      </c>
      <c r="BD65" s="1307">
        <f t="shared" si="33"/>
        <v>7.9917122983572586</v>
      </c>
      <c r="BE65" s="1309">
        <f t="shared" si="34"/>
        <v>8.099508244142319</v>
      </c>
      <c r="BF65" s="1537">
        <f t="shared" si="35"/>
        <v>7.9756380510440836</v>
      </c>
      <c r="BG65" s="1537">
        <f t="shared" si="18"/>
        <v>4.7687861271676306</v>
      </c>
    </row>
    <row r="66" spans="1:59" s="142" customFormat="1" ht="15.75" customHeight="1" x14ac:dyDescent="0.2">
      <c r="A66" s="149" t="s">
        <v>154</v>
      </c>
      <c r="B66" s="186" t="s">
        <v>155</v>
      </c>
      <c r="C66" s="150" t="s">
        <v>265</v>
      </c>
      <c r="D66" s="1057">
        <v>33</v>
      </c>
      <c r="E66" s="1058">
        <v>21</v>
      </c>
      <c r="F66" s="1059">
        <v>27</v>
      </c>
      <c r="G66" s="1058">
        <v>21</v>
      </c>
      <c r="H66" s="1059">
        <v>13</v>
      </c>
      <c r="I66" s="1058">
        <v>23</v>
      </c>
      <c r="J66" s="1059">
        <v>10</v>
      </c>
      <c r="K66" s="1058">
        <v>22</v>
      </c>
      <c r="L66" s="1072">
        <v>14</v>
      </c>
      <c r="M66" s="1072">
        <v>21</v>
      </c>
      <c r="N66" s="1072">
        <v>14</v>
      </c>
      <c r="O66" s="1072">
        <v>15</v>
      </c>
      <c r="P66" s="1073">
        <v>11</v>
      </c>
      <c r="Q66" s="1073">
        <v>8</v>
      </c>
      <c r="R66" s="1300">
        <v>8</v>
      </c>
      <c r="S66" s="1301">
        <v>9</v>
      </c>
      <c r="T66" s="1531">
        <v>7</v>
      </c>
      <c r="U66" s="1708">
        <v>6</v>
      </c>
      <c r="V66" s="1531"/>
      <c r="W66" s="1080">
        <v>850</v>
      </c>
      <c r="X66" s="1081">
        <v>855</v>
      </c>
      <c r="Y66" s="1081">
        <v>907</v>
      </c>
      <c r="Z66" s="1081">
        <v>918</v>
      </c>
      <c r="AA66" s="1081">
        <v>911</v>
      </c>
      <c r="AB66" s="1081">
        <v>890</v>
      </c>
      <c r="AC66" s="1081">
        <v>877</v>
      </c>
      <c r="AD66" s="1081">
        <v>844</v>
      </c>
      <c r="AE66" s="1081">
        <v>795</v>
      </c>
      <c r="AF66" s="1081">
        <v>764</v>
      </c>
      <c r="AG66" s="1081">
        <v>760</v>
      </c>
      <c r="AH66" s="1081">
        <v>770</v>
      </c>
      <c r="AI66" s="1081">
        <v>796</v>
      </c>
      <c r="AJ66" s="1081">
        <v>806</v>
      </c>
      <c r="AK66" s="1303">
        <v>760</v>
      </c>
      <c r="AL66" s="1304">
        <v>751</v>
      </c>
      <c r="AM66" s="1699">
        <v>747</v>
      </c>
      <c r="AN66" s="1699">
        <v>736</v>
      </c>
      <c r="AO66" s="1532"/>
      <c r="AP66" s="1106">
        <f t="shared" si="19"/>
        <v>38.82352941176471</v>
      </c>
      <c r="AQ66" s="1107">
        <f t="shared" si="20"/>
        <v>24.561403508771932</v>
      </c>
      <c r="AR66" s="1107">
        <f t="shared" si="21"/>
        <v>29.768467475192942</v>
      </c>
      <c r="AS66" s="1107">
        <f t="shared" si="22"/>
        <v>22.875816993464049</v>
      </c>
      <c r="AT66" s="1107">
        <f t="shared" si="23"/>
        <v>14.270032930845225</v>
      </c>
      <c r="AU66" s="1107">
        <f t="shared" si="24"/>
        <v>25.842696629213481</v>
      </c>
      <c r="AV66" s="1107">
        <f t="shared" si="25"/>
        <v>11.402508551881414</v>
      </c>
      <c r="AW66" s="1107">
        <f t="shared" si="26"/>
        <v>26.066350710900473</v>
      </c>
      <c r="AX66" s="1107">
        <f t="shared" si="27"/>
        <v>17.610062893081761</v>
      </c>
      <c r="AY66" s="1107">
        <f t="shared" si="28"/>
        <v>27.486910994764401</v>
      </c>
      <c r="AZ66" s="1107">
        <f t="shared" si="29"/>
        <v>18.421052631578945</v>
      </c>
      <c r="BA66" s="1107">
        <f t="shared" si="30"/>
        <v>19.480519480519479</v>
      </c>
      <c r="BB66" s="1107">
        <f t="shared" si="31"/>
        <v>13.819095477386936</v>
      </c>
      <c r="BC66" s="1107">
        <f t="shared" si="32"/>
        <v>9.9255583126550864</v>
      </c>
      <c r="BD66" s="1307">
        <f t="shared" si="33"/>
        <v>10.526315789473683</v>
      </c>
      <c r="BE66" s="1309">
        <f t="shared" si="34"/>
        <v>11.984021304926763</v>
      </c>
      <c r="BF66" s="1537">
        <f t="shared" si="35"/>
        <v>9.3708165997322634</v>
      </c>
      <c r="BG66" s="1537">
        <f t="shared" si="18"/>
        <v>8.1521739130434785</v>
      </c>
    </row>
    <row r="67" spans="1:59" s="142" customFormat="1" ht="15.75" customHeight="1" x14ac:dyDescent="0.2">
      <c r="A67" s="149" t="s">
        <v>156</v>
      </c>
      <c r="B67" s="186" t="s">
        <v>157</v>
      </c>
      <c r="C67" s="150" t="s">
        <v>266</v>
      </c>
      <c r="D67" s="1057">
        <v>7</v>
      </c>
      <c r="E67" s="1058">
        <v>13</v>
      </c>
      <c r="F67" s="1059">
        <v>6</v>
      </c>
      <c r="G67" s="1058">
        <v>11</v>
      </c>
      <c r="H67" s="1059">
        <v>16</v>
      </c>
      <c r="I67" s="1058">
        <v>10</v>
      </c>
      <c r="J67" s="1059">
        <v>14</v>
      </c>
      <c r="K67" s="1058">
        <v>10</v>
      </c>
      <c r="L67" s="1072">
        <v>16</v>
      </c>
      <c r="M67" s="1072">
        <v>9</v>
      </c>
      <c r="N67" s="1072">
        <v>11</v>
      </c>
      <c r="O67" s="1072">
        <v>11</v>
      </c>
      <c r="P67" s="1073">
        <v>12</v>
      </c>
      <c r="Q67" s="1073">
        <v>13</v>
      </c>
      <c r="R67" s="1300">
        <v>12</v>
      </c>
      <c r="S67" s="1301">
        <v>10</v>
      </c>
      <c r="T67" s="1531">
        <v>11</v>
      </c>
      <c r="U67" s="1708">
        <v>3</v>
      </c>
      <c r="V67" s="1531"/>
      <c r="W67" s="1080">
        <v>748</v>
      </c>
      <c r="X67" s="1081">
        <v>757</v>
      </c>
      <c r="Y67" s="1081">
        <v>908</v>
      </c>
      <c r="Z67" s="1081">
        <v>951</v>
      </c>
      <c r="AA67" s="1081">
        <v>968</v>
      </c>
      <c r="AB67" s="1081">
        <v>1010</v>
      </c>
      <c r="AC67" s="1081">
        <v>1051</v>
      </c>
      <c r="AD67" s="1081">
        <v>1035</v>
      </c>
      <c r="AE67" s="1081">
        <v>1043</v>
      </c>
      <c r="AF67" s="1081">
        <v>1031</v>
      </c>
      <c r="AG67" s="1081">
        <v>1034</v>
      </c>
      <c r="AH67" s="1081">
        <v>1120</v>
      </c>
      <c r="AI67" s="1081">
        <v>1179</v>
      </c>
      <c r="AJ67" s="1081">
        <v>1183</v>
      </c>
      <c r="AK67" s="1303">
        <v>1159</v>
      </c>
      <c r="AL67" s="1304">
        <v>1181</v>
      </c>
      <c r="AM67" s="1699">
        <v>1201</v>
      </c>
      <c r="AN67" s="1699">
        <v>1197</v>
      </c>
      <c r="AO67" s="1532"/>
      <c r="AP67" s="1106">
        <f t="shared" si="19"/>
        <v>9.3582887700534751</v>
      </c>
      <c r="AQ67" s="1107">
        <f t="shared" si="20"/>
        <v>17.173051519154559</v>
      </c>
      <c r="AR67" s="1107">
        <f t="shared" si="21"/>
        <v>6.607929515418502</v>
      </c>
      <c r="AS67" s="1107">
        <f t="shared" si="22"/>
        <v>11.566771819137749</v>
      </c>
      <c r="AT67" s="1107">
        <f t="shared" si="23"/>
        <v>16.528925619834713</v>
      </c>
      <c r="AU67" s="1107">
        <f t="shared" si="24"/>
        <v>9.9009900990099009</v>
      </c>
      <c r="AV67" s="1107">
        <f t="shared" si="25"/>
        <v>13.320647002854425</v>
      </c>
      <c r="AW67" s="1107">
        <f t="shared" si="26"/>
        <v>9.6618357487922708</v>
      </c>
      <c r="AX67" s="1107">
        <f t="shared" si="27"/>
        <v>15.340364333652923</v>
      </c>
      <c r="AY67" s="1107">
        <f t="shared" si="28"/>
        <v>8.7293889427740066</v>
      </c>
      <c r="AZ67" s="1107">
        <f t="shared" si="29"/>
        <v>10.638297872340425</v>
      </c>
      <c r="BA67" s="1107">
        <f t="shared" si="30"/>
        <v>9.8214285714285712</v>
      </c>
      <c r="BB67" s="1107">
        <f t="shared" si="31"/>
        <v>10.178117048346056</v>
      </c>
      <c r="BC67" s="1107">
        <f t="shared" si="32"/>
        <v>10.989010989010989</v>
      </c>
      <c r="BD67" s="1307">
        <f t="shared" si="33"/>
        <v>10.353753235547885</v>
      </c>
      <c r="BE67" s="1309">
        <f t="shared" si="34"/>
        <v>8.4674005080440296</v>
      </c>
      <c r="BF67" s="1537">
        <f t="shared" si="35"/>
        <v>9.1590341382181517</v>
      </c>
      <c r="BG67" s="1537">
        <f t="shared" si="18"/>
        <v>2.5062656641604009</v>
      </c>
    </row>
    <row r="68" spans="1:59" s="142" customFormat="1" ht="15.75" customHeight="1" x14ac:dyDescent="0.2">
      <c r="A68" s="149" t="s">
        <v>162</v>
      </c>
      <c r="B68" s="186" t="s">
        <v>163</v>
      </c>
      <c r="C68" s="150" t="s">
        <v>264</v>
      </c>
      <c r="D68" s="1057">
        <v>24</v>
      </c>
      <c r="E68" s="1058">
        <v>30</v>
      </c>
      <c r="F68" s="1059">
        <v>34</v>
      </c>
      <c r="G68" s="1058">
        <v>40</v>
      </c>
      <c r="H68" s="1059">
        <v>29</v>
      </c>
      <c r="I68" s="1058">
        <v>23</v>
      </c>
      <c r="J68" s="1059">
        <v>27</v>
      </c>
      <c r="K68" s="1058">
        <v>26</v>
      </c>
      <c r="L68" s="1072">
        <v>23</v>
      </c>
      <c r="M68" s="1072">
        <v>19</v>
      </c>
      <c r="N68" s="1072">
        <v>32</v>
      </c>
      <c r="O68" s="1072">
        <v>16</v>
      </c>
      <c r="P68" s="1073">
        <v>21</v>
      </c>
      <c r="Q68" s="1073">
        <v>23</v>
      </c>
      <c r="R68" s="1300">
        <v>9</v>
      </c>
      <c r="S68" s="1301">
        <v>13</v>
      </c>
      <c r="T68" s="1531">
        <v>10</v>
      </c>
      <c r="U68" s="1708">
        <v>11</v>
      </c>
      <c r="V68" s="1531"/>
      <c r="W68" s="1080">
        <v>894</v>
      </c>
      <c r="X68" s="1081">
        <v>896</v>
      </c>
      <c r="Y68" s="1081">
        <v>883</v>
      </c>
      <c r="Z68" s="1081">
        <v>888</v>
      </c>
      <c r="AA68" s="1081">
        <v>884</v>
      </c>
      <c r="AB68" s="1081">
        <v>910</v>
      </c>
      <c r="AC68" s="1081">
        <v>892</v>
      </c>
      <c r="AD68" s="1081">
        <v>906</v>
      </c>
      <c r="AE68" s="1081">
        <v>884</v>
      </c>
      <c r="AF68" s="1081">
        <v>838</v>
      </c>
      <c r="AG68" s="1081">
        <v>827</v>
      </c>
      <c r="AH68" s="1081">
        <v>802</v>
      </c>
      <c r="AI68" s="1081">
        <v>655</v>
      </c>
      <c r="AJ68" s="1081">
        <v>649</v>
      </c>
      <c r="AK68" s="1303">
        <v>606</v>
      </c>
      <c r="AL68" s="1304">
        <v>576</v>
      </c>
      <c r="AM68" s="1699">
        <v>591</v>
      </c>
      <c r="AN68" s="1699">
        <v>614</v>
      </c>
      <c r="AO68" s="1532"/>
      <c r="AP68" s="1106">
        <f t="shared" si="19"/>
        <v>26.845637583892618</v>
      </c>
      <c r="AQ68" s="1107">
        <f t="shared" si="20"/>
        <v>33.482142857142854</v>
      </c>
      <c r="AR68" s="1107">
        <f t="shared" si="21"/>
        <v>38.505096262740658</v>
      </c>
      <c r="AS68" s="1107">
        <f t="shared" si="22"/>
        <v>45.045045045045043</v>
      </c>
      <c r="AT68" s="1107">
        <f t="shared" si="23"/>
        <v>32.805429864253398</v>
      </c>
      <c r="AU68" s="1107">
        <f t="shared" si="24"/>
        <v>25.274725274725274</v>
      </c>
      <c r="AV68" s="1107">
        <f t="shared" si="25"/>
        <v>30.269058295964125</v>
      </c>
      <c r="AW68" s="1107">
        <f t="shared" si="26"/>
        <v>28.697571743929359</v>
      </c>
      <c r="AX68" s="1107">
        <f t="shared" si="27"/>
        <v>26.018099547511312</v>
      </c>
      <c r="AY68" s="1107">
        <f t="shared" si="28"/>
        <v>22.673031026252982</v>
      </c>
      <c r="AZ68" s="1107">
        <f t="shared" si="29"/>
        <v>38.694074969770249</v>
      </c>
      <c r="BA68" s="1107">
        <f t="shared" si="30"/>
        <v>19.950124688279303</v>
      </c>
      <c r="BB68" s="1107">
        <f t="shared" si="31"/>
        <v>32.061068702290079</v>
      </c>
      <c r="BC68" s="1107">
        <f t="shared" si="32"/>
        <v>35.439137134052388</v>
      </c>
      <c r="BD68" s="1307">
        <f t="shared" si="33"/>
        <v>14.85148514851485</v>
      </c>
      <c r="BE68" s="1309">
        <f t="shared" si="34"/>
        <v>22.569444444444443</v>
      </c>
      <c r="BF68" s="1537">
        <f t="shared" si="35"/>
        <v>16.920473773265652</v>
      </c>
      <c r="BG68" s="1537">
        <f t="shared" si="18"/>
        <v>17.915309446254074</v>
      </c>
    </row>
    <row r="69" spans="1:59" s="142" customFormat="1" ht="15.75" customHeight="1" x14ac:dyDescent="0.2">
      <c r="A69" s="149" t="s">
        <v>164</v>
      </c>
      <c r="B69" s="186" t="s">
        <v>165</v>
      </c>
      <c r="C69" s="150" t="s">
        <v>266</v>
      </c>
      <c r="D69" s="1057">
        <v>14</v>
      </c>
      <c r="E69" s="1058">
        <v>18</v>
      </c>
      <c r="F69" s="1059">
        <v>11</v>
      </c>
      <c r="G69" s="1058">
        <v>27</v>
      </c>
      <c r="H69" s="1059">
        <v>24</v>
      </c>
      <c r="I69" s="1058">
        <v>20</v>
      </c>
      <c r="J69" s="1059">
        <v>14</v>
      </c>
      <c r="K69" s="1058">
        <v>21</v>
      </c>
      <c r="L69" s="1072">
        <v>20</v>
      </c>
      <c r="M69" s="1072">
        <v>20</v>
      </c>
      <c r="N69" s="1072">
        <v>16</v>
      </c>
      <c r="O69" s="1072">
        <v>16</v>
      </c>
      <c r="P69" s="1073">
        <v>13</v>
      </c>
      <c r="Q69" s="1073">
        <v>7</v>
      </c>
      <c r="R69" s="1300">
        <v>4</v>
      </c>
      <c r="S69" s="1301">
        <v>9</v>
      </c>
      <c r="T69" s="1531">
        <v>6</v>
      </c>
      <c r="U69" s="1708">
        <v>5</v>
      </c>
      <c r="V69" s="1531"/>
      <c r="W69" s="1080">
        <v>635</v>
      </c>
      <c r="X69" s="1081">
        <v>645</v>
      </c>
      <c r="Y69" s="1081">
        <v>654</v>
      </c>
      <c r="Z69" s="1081">
        <v>656</v>
      </c>
      <c r="AA69" s="1081">
        <v>673</v>
      </c>
      <c r="AB69" s="1081">
        <v>656</v>
      </c>
      <c r="AC69" s="1081">
        <v>660</v>
      </c>
      <c r="AD69" s="1081">
        <v>612</v>
      </c>
      <c r="AE69" s="1081">
        <v>598</v>
      </c>
      <c r="AF69" s="1081">
        <v>607</v>
      </c>
      <c r="AG69" s="1081">
        <v>594</v>
      </c>
      <c r="AH69" s="1081">
        <v>604</v>
      </c>
      <c r="AI69" s="1081">
        <v>540</v>
      </c>
      <c r="AJ69" s="1081">
        <v>548</v>
      </c>
      <c r="AK69" s="1303">
        <v>518</v>
      </c>
      <c r="AL69" s="1304">
        <v>507</v>
      </c>
      <c r="AM69" s="1699">
        <v>512</v>
      </c>
      <c r="AN69" s="1699">
        <v>510</v>
      </c>
      <c r="AO69" s="1532"/>
      <c r="AP69" s="1106">
        <f t="shared" si="19"/>
        <v>22.047244094488189</v>
      </c>
      <c r="AQ69" s="1107">
        <f t="shared" si="20"/>
        <v>27.906976744186046</v>
      </c>
      <c r="AR69" s="1107">
        <f t="shared" si="21"/>
        <v>16.819571865443425</v>
      </c>
      <c r="AS69" s="1107">
        <f t="shared" si="22"/>
        <v>41.158536585365859</v>
      </c>
      <c r="AT69" s="1107">
        <f t="shared" si="23"/>
        <v>35.661218424962854</v>
      </c>
      <c r="AU69" s="1107">
        <f t="shared" si="24"/>
        <v>30.487804878048781</v>
      </c>
      <c r="AV69" s="1107">
        <f t="shared" si="25"/>
        <v>21.212121212121215</v>
      </c>
      <c r="AW69" s="1107">
        <f t="shared" si="26"/>
        <v>34.313725490196084</v>
      </c>
      <c r="AX69" s="1107">
        <f t="shared" si="27"/>
        <v>33.444816053511701</v>
      </c>
      <c r="AY69" s="1107">
        <f t="shared" si="28"/>
        <v>32.948929159802304</v>
      </c>
      <c r="AZ69" s="1107">
        <f t="shared" si="29"/>
        <v>26.936026936026934</v>
      </c>
      <c r="BA69" s="1107">
        <f t="shared" si="30"/>
        <v>26.490066225165563</v>
      </c>
      <c r="BB69" s="1107">
        <f t="shared" si="31"/>
        <v>24.074074074074073</v>
      </c>
      <c r="BC69" s="1107">
        <f t="shared" si="32"/>
        <v>12.773722627737227</v>
      </c>
      <c r="BD69" s="1307">
        <f t="shared" si="33"/>
        <v>7.7220077220077226</v>
      </c>
      <c r="BE69" s="1309">
        <f t="shared" si="34"/>
        <v>17.751479289940828</v>
      </c>
      <c r="BF69" s="1537">
        <f t="shared" si="35"/>
        <v>11.71875</v>
      </c>
      <c r="BG69" s="1537">
        <f t="shared" si="18"/>
        <v>9.8039215686274517</v>
      </c>
    </row>
    <row r="70" spans="1:59" s="142" customFormat="1" ht="15.75" customHeight="1" x14ac:dyDescent="0.2">
      <c r="A70" s="149" t="s">
        <v>168</v>
      </c>
      <c r="B70" s="186" t="s">
        <v>169</v>
      </c>
      <c r="C70" s="150" t="s">
        <v>266</v>
      </c>
      <c r="D70" s="1057">
        <v>25</v>
      </c>
      <c r="E70" s="1058">
        <v>41</v>
      </c>
      <c r="F70" s="1059">
        <v>21</v>
      </c>
      <c r="G70" s="1058">
        <v>26</v>
      </c>
      <c r="H70" s="1059">
        <v>28</v>
      </c>
      <c r="I70" s="1058">
        <v>33</v>
      </c>
      <c r="J70" s="1059">
        <v>21</v>
      </c>
      <c r="K70" s="1058">
        <v>26</v>
      </c>
      <c r="L70" s="1072">
        <v>22</v>
      </c>
      <c r="M70" s="1072">
        <v>19</v>
      </c>
      <c r="N70" s="1072">
        <v>31</v>
      </c>
      <c r="O70" s="1072">
        <v>36</v>
      </c>
      <c r="P70" s="1073">
        <v>16</v>
      </c>
      <c r="Q70" s="1073">
        <v>16</v>
      </c>
      <c r="R70" s="1300">
        <v>27</v>
      </c>
      <c r="S70" s="1301">
        <v>14</v>
      </c>
      <c r="T70" s="1531">
        <v>25</v>
      </c>
      <c r="U70" s="1708">
        <v>9</v>
      </c>
      <c r="V70" s="1531"/>
      <c r="W70" s="1080">
        <v>905</v>
      </c>
      <c r="X70" s="1081">
        <v>901</v>
      </c>
      <c r="Y70" s="1081">
        <v>981</v>
      </c>
      <c r="Z70" s="1081">
        <v>995</v>
      </c>
      <c r="AA70" s="1081">
        <v>1012</v>
      </c>
      <c r="AB70" s="1081">
        <v>1000</v>
      </c>
      <c r="AC70" s="1081">
        <v>974</v>
      </c>
      <c r="AD70" s="1081">
        <v>927</v>
      </c>
      <c r="AE70" s="1081">
        <v>892</v>
      </c>
      <c r="AF70" s="1081">
        <v>881</v>
      </c>
      <c r="AG70" s="1081">
        <v>872</v>
      </c>
      <c r="AH70" s="1081">
        <v>927</v>
      </c>
      <c r="AI70" s="1081">
        <v>889</v>
      </c>
      <c r="AJ70" s="1081">
        <v>866</v>
      </c>
      <c r="AK70" s="1303">
        <v>859</v>
      </c>
      <c r="AL70" s="1304">
        <v>836</v>
      </c>
      <c r="AM70" s="1699">
        <v>828</v>
      </c>
      <c r="AN70" s="1699">
        <v>782</v>
      </c>
      <c r="AO70" s="1532"/>
      <c r="AP70" s="1106">
        <f t="shared" ref="AP70:AP101" si="36">IF(W70=0,"NA",(D70/W70)*1000)</f>
        <v>27.624309392265193</v>
      </c>
      <c r="AQ70" s="1107">
        <f t="shared" ref="AQ70:AQ101" si="37">IF(X70=0,"NA",(E70/X70)*1000)</f>
        <v>45.504994450610432</v>
      </c>
      <c r="AR70" s="1107">
        <f t="shared" ref="AR70:AR101" si="38">IF(Y70=0,"NA",(F70/Y70)*1000)</f>
        <v>21.406727828746178</v>
      </c>
      <c r="AS70" s="1107">
        <f t="shared" ref="AS70:AS101" si="39">IF(Z70=0,"NA",(G70/Z70)*1000)</f>
        <v>26.13065326633166</v>
      </c>
      <c r="AT70" s="1107">
        <f t="shared" ref="AT70:AT101" si="40">IF(AA70=0,"NA",(H70/AA70)*1000)</f>
        <v>27.66798418972332</v>
      </c>
      <c r="AU70" s="1107">
        <f t="shared" ref="AU70:AU101" si="41">IF(AB70=0,"NA",(I70/AB70)*1000)</f>
        <v>33</v>
      </c>
      <c r="AV70" s="1107">
        <f t="shared" ref="AV70:AV101" si="42">IF(AC70=0,"NA",(J70/AC70)*1000)</f>
        <v>21.560574948665298</v>
      </c>
      <c r="AW70" s="1107">
        <f t="shared" ref="AW70:AW101" si="43">IF(AD70=0,"NA",(K70/AD70)*1000)</f>
        <v>28.047464940668824</v>
      </c>
      <c r="AX70" s="1107">
        <f t="shared" ref="AX70:AX101" si="44">IF(AE70=0,"NA",(L70/AE70)*1000)</f>
        <v>24.663677130044842</v>
      </c>
      <c r="AY70" s="1107">
        <f t="shared" ref="AY70:AY101" si="45">IF(AF70=0,"NA",(M70/AF70)*1000)</f>
        <v>21.566401816118049</v>
      </c>
      <c r="AZ70" s="1107">
        <f t="shared" ref="AZ70:AZ101" si="46">IF(AG70=0,"NA",(N70/AG70)*1000)</f>
        <v>35.550458715596335</v>
      </c>
      <c r="BA70" s="1107">
        <f t="shared" ref="BA70:BA101" si="47">IF(AH70=0,"NA",(O70/AH70)*1000)</f>
        <v>38.834951456310677</v>
      </c>
      <c r="BB70" s="1107">
        <f t="shared" ref="BB70:BB101" si="48">IF(AI70=0,"NA",(P70/AI70)*1000)</f>
        <v>17.997750281214849</v>
      </c>
      <c r="BC70" s="1107">
        <f t="shared" ref="BC70:BC101" si="49">IF(AJ70=0,"NA",(Q70/AJ70)*1000)</f>
        <v>18.475750577367204</v>
      </c>
      <c r="BD70" s="1307">
        <f t="shared" ref="BD70:BD101" si="50">IF(AK70=0,"NA",(R70/AK70)*1000)</f>
        <v>31.431897555296857</v>
      </c>
      <c r="BE70" s="1309">
        <f t="shared" ref="BE70:BE101" si="51">IF(AL70=0,"NA",(S70/AL70)*1000)</f>
        <v>16.746411483253588</v>
      </c>
      <c r="BF70" s="1537">
        <f t="shared" ref="BF70:BF101" si="52">IF(AM70=0,"NA",(T70/AM70)*1000)</f>
        <v>30.193236714975843</v>
      </c>
      <c r="BG70" s="1537">
        <f t="shared" ref="BG70:BG125" si="53">IF(AN70=0,"NA",(U70/AN70)*1000)</f>
        <v>11.508951406649617</v>
      </c>
    </row>
    <row r="71" spans="1:59" s="142" customFormat="1" ht="15.75" customHeight="1" x14ac:dyDescent="0.2">
      <c r="A71" s="149" t="s">
        <v>170</v>
      </c>
      <c r="B71" s="186" t="s">
        <v>171</v>
      </c>
      <c r="C71" s="150" t="s">
        <v>267</v>
      </c>
      <c r="D71" s="1057">
        <v>40</v>
      </c>
      <c r="E71" s="1058">
        <v>45</v>
      </c>
      <c r="F71" s="1059">
        <v>35</v>
      </c>
      <c r="G71" s="1058">
        <v>31</v>
      </c>
      <c r="H71" s="1059">
        <v>37</v>
      </c>
      <c r="I71" s="1058">
        <v>42</v>
      </c>
      <c r="J71" s="1059">
        <v>33</v>
      </c>
      <c r="K71" s="1058">
        <v>32</v>
      </c>
      <c r="L71" s="1072">
        <v>35</v>
      </c>
      <c r="M71" s="1072">
        <v>35</v>
      </c>
      <c r="N71" s="1072">
        <v>40</v>
      </c>
      <c r="O71" s="1072">
        <v>28</v>
      </c>
      <c r="P71" s="1073">
        <v>34</v>
      </c>
      <c r="Q71" s="1073">
        <v>35</v>
      </c>
      <c r="R71" s="1300">
        <v>22</v>
      </c>
      <c r="S71" s="1301">
        <v>26</v>
      </c>
      <c r="T71" s="1531">
        <v>20</v>
      </c>
      <c r="U71" s="1708">
        <v>13</v>
      </c>
      <c r="V71" s="1531"/>
      <c r="W71" s="1080">
        <v>1515</v>
      </c>
      <c r="X71" s="1081">
        <v>1532</v>
      </c>
      <c r="Y71" s="1081">
        <v>1645</v>
      </c>
      <c r="Z71" s="1081">
        <v>1664</v>
      </c>
      <c r="AA71" s="1081">
        <v>1703</v>
      </c>
      <c r="AB71" s="1081">
        <v>1723</v>
      </c>
      <c r="AC71" s="1081">
        <v>1755</v>
      </c>
      <c r="AD71" s="1081">
        <v>1783</v>
      </c>
      <c r="AE71" s="1081">
        <v>1811</v>
      </c>
      <c r="AF71" s="1081">
        <v>1795</v>
      </c>
      <c r="AG71" s="1081">
        <v>1802</v>
      </c>
      <c r="AH71" s="1081">
        <v>2075</v>
      </c>
      <c r="AI71" s="1081">
        <v>2074</v>
      </c>
      <c r="AJ71" s="1081">
        <v>2034</v>
      </c>
      <c r="AK71" s="1303">
        <v>2043</v>
      </c>
      <c r="AL71" s="1304">
        <v>2059</v>
      </c>
      <c r="AM71" s="1699">
        <v>2054</v>
      </c>
      <c r="AN71" s="1699">
        <v>2046</v>
      </c>
      <c r="AO71" s="1532"/>
      <c r="AP71" s="1106">
        <f t="shared" si="36"/>
        <v>26.402640264026402</v>
      </c>
      <c r="AQ71" s="1107">
        <f t="shared" si="37"/>
        <v>29.373368146214101</v>
      </c>
      <c r="AR71" s="1107">
        <f t="shared" si="38"/>
        <v>21.276595744680851</v>
      </c>
      <c r="AS71" s="1107">
        <f t="shared" si="39"/>
        <v>18.629807692307693</v>
      </c>
      <c r="AT71" s="1107">
        <f t="shared" si="40"/>
        <v>21.726365237815617</v>
      </c>
      <c r="AU71" s="1107">
        <f t="shared" si="41"/>
        <v>24.376088218224027</v>
      </c>
      <c r="AV71" s="1107">
        <f t="shared" si="42"/>
        <v>18.803418803418804</v>
      </c>
      <c r="AW71" s="1107">
        <f t="shared" si="43"/>
        <v>17.947279865395402</v>
      </c>
      <c r="AX71" s="1107">
        <f t="shared" si="44"/>
        <v>19.326339039204861</v>
      </c>
      <c r="AY71" s="1107">
        <f t="shared" si="45"/>
        <v>19.498607242339833</v>
      </c>
      <c r="AZ71" s="1107">
        <f t="shared" si="46"/>
        <v>22.197558268590456</v>
      </c>
      <c r="BA71" s="1107">
        <f t="shared" si="47"/>
        <v>13.493975903614457</v>
      </c>
      <c r="BB71" s="1107">
        <f t="shared" si="48"/>
        <v>16.393442622950822</v>
      </c>
      <c r="BC71" s="1107">
        <f t="shared" si="49"/>
        <v>17.207472959685351</v>
      </c>
      <c r="BD71" s="1307">
        <f t="shared" si="50"/>
        <v>10.768477728830151</v>
      </c>
      <c r="BE71" s="1309">
        <f t="shared" si="51"/>
        <v>12.627489072365226</v>
      </c>
      <c r="BF71" s="1537">
        <f t="shared" si="52"/>
        <v>9.7370983446932815</v>
      </c>
      <c r="BG71" s="1537">
        <f t="shared" si="53"/>
        <v>6.3538611925708706</v>
      </c>
    </row>
    <row r="72" spans="1:59" s="142" customFormat="1" ht="15.75" customHeight="1" x14ac:dyDescent="0.2">
      <c r="A72" s="149" t="s">
        <v>172</v>
      </c>
      <c r="B72" s="186" t="s">
        <v>173</v>
      </c>
      <c r="C72" s="150" t="s">
        <v>267</v>
      </c>
      <c r="D72" s="1057">
        <v>43</v>
      </c>
      <c r="E72" s="1058">
        <v>43</v>
      </c>
      <c r="F72" s="1059">
        <v>52</v>
      </c>
      <c r="G72" s="1058">
        <v>45</v>
      </c>
      <c r="H72" s="1059">
        <v>49</v>
      </c>
      <c r="I72" s="1058">
        <v>41</v>
      </c>
      <c r="J72" s="1059">
        <v>45</v>
      </c>
      <c r="K72" s="1058">
        <v>32</v>
      </c>
      <c r="L72" s="1072">
        <v>31</v>
      </c>
      <c r="M72" s="1072">
        <v>32</v>
      </c>
      <c r="N72" s="1072">
        <v>27</v>
      </c>
      <c r="O72" s="1072">
        <v>34</v>
      </c>
      <c r="P72" s="1073">
        <v>26</v>
      </c>
      <c r="Q72" s="1073">
        <v>33</v>
      </c>
      <c r="R72" s="1300">
        <v>26</v>
      </c>
      <c r="S72" s="1301">
        <v>23</v>
      </c>
      <c r="T72" s="1531">
        <v>21</v>
      </c>
      <c r="U72" s="1708">
        <v>12</v>
      </c>
      <c r="V72" s="1531"/>
      <c r="W72" s="1080">
        <v>1495</v>
      </c>
      <c r="X72" s="1081">
        <v>1507</v>
      </c>
      <c r="Y72" s="1081">
        <v>1495</v>
      </c>
      <c r="Z72" s="1081">
        <v>1463</v>
      </c>
      <c r="AA72" s="1081">
        <v>1471</v>
      </c>
      <c r="AB72" s="1081">
        <v>1472</v>
      </c>
      <c r="AC72" s="1081">
        <v>1473</v>
      </c>
      <c r="AD72" s="1081">
        <v>1476</v>
      </c>
      <c r="AE72" s="1081">
        <v>1437</v>
      </c>
      <c r="AF72" s="1081">
        <v>1432</v>
      </c>
      <c r="AG72" s="1081">
        <v>1405</v>
      </c>
      <c r="AH72" s="1081">
        <v>1408</v>
      </c>
      <c r="AI72" s="1081">
        <v>1450</v>
      </c>
      <c r="AJ72" s="1081">
        <v>1422</v>
      </c>
      <c r="AK72" s="1303">
        <v>1400</v>
      </c>
      <c r="AL72" s="1304">
        <v>1364</v>
      </c>
      <c r="AM72" s="1699">
        <v>1384</v>
      </c>
      <c r="AN72" s="1699">
        <v>1350</v>
      </c>
      <c r="AO72" s="1532"/>
      <c r="AP72" s="1106">
        <f t="shared" si="36"/>
        <v>28.762541806020067</v>
      </c>
      <c r="AQ72" s="1107">
        <f t="shared" si="37"/>
        <v>28.533510285335105</v>
      </c>
      <c r="AR72" s="1107">
        <f t="shared" si="38"/>
        <v>34.782608695652172</v>
      </c>
      <c r="AS72" s="1107">
        <f t="shared" si="39"/>
        <v>30.758714969241282</v>
      </c>
      <c r="AT72" s="1107">
        <f t="shared" si="40"/>
        <v>33.310673011556759</v>
      </c>
      <c r="AU72" s="1107">
        <f t="shared" si="41"/>
        <v>27.853260869565215</v>
      </c>
      <c r="AV72" s="1107">
        <f t="shared" si="42"/>
        <v>30.549898167006109</v>
      </c>
      <c r="AW72" s="1107">
        <f t="shared" si="43"/>
        <v>21.680216802168022</v>
      </c>
      <c r="AX72" s="1107">
        <f t="shared" si="44"/>
        <v>21.572720946416144</v>
      </c>
      <c r="AY72" s="1107">
        <f t="shared" si="45"/>
        <v>22.346368715083798</v>
      </c>
      <c r="AZ72" s="1107">
        <f t="shared" si="46"/>
        <v>19.217081850533805</v>
      </c>
      <c r="BA72" s="1107">
        <f t="shared" si="47"/>
        <v>24.147727272727273</v>
      </c>
      <c r="BB72" s="1107">
        <f t="shared" si="48"/>
        <v>17.931034482758619</v>
      </c>
      <c r="BC72" s="1107">
        <f t="shared" si="49"/>
        <v>23.206751054852322</v>
      </c>
      <c r="BD72" s="1307">
        <f t="shared" si="50"/>
        <v>18.571428571428573</v>
      </c>
      <c r="BE72" s="1309">
        <f t="shared" si="51"/>
        <v>16.862170087976537</v>
      </c>
      <c r="BF72" s="1537">
        <f t="shared" si="52"/>
        <v>15.173410404624278</v>
      </c>
      <c r="BG72" s="1537">
        <f t="shared" si="53"/>
        <v>8.8888888888888893</v>
      </c>
    </row>
    <row r="73" spans="1:59" s="142" customFormat="1" ht="15.75" customHeight="1" x14ac:dyDescent="0.2">
      <c r="A73" s="149" t="s">
        <v>174</v>
      </c>
      <c r="B73" s="186" t="s">
        <v>175</v>
      </c>
      <c r="C73" s="150" t="s">
        <v>268</v>
      </c>
      <c r="D73" s="1057">
        <v>23</v>
      </c>
      <c r="E73" s="1058">
        <v>29</v>
      </c>
      <c r="F73" s="1059">
        <v>22</v>
      </c>
      <c r="G73" s="1058">
        <v>21</v>
      </c>
      <c r="H73" s="1059">
        <v>24</v>
      </c>
      <c r="I73" s="1058">
        <v>21</v>
      </c>
      <c r="J73" s="1059">
        <v>15</v>
      </c>
      <c r="K73" s="1058">
        <v>28</v>
      </c>
      <c r="L73" s="1072">
        <v>13</v>
      </c>
      <c r="M73" s="1072">
        <v>15</v>
      </c>
      <c r="N73" s="1072">
        <v>21</v>
      </c>
      <c r="O73" s="1072">
        <v>15</v>
      </c>
      <c r="P73" s="1073">
        <v>20</v>
      </c>
      <c r="Q73" s="1073">
        <v>10</v>
      </c>
      <c r="R73" s="1300">
        <v>15</v>
      </c>
      <c r="S73" s="1301">
        <v>13</v>
      </c>
      <c r="T73" s="1531">
        <v>15</v>
      </c>
      <c r="U73" s="1708">
        <v>13</v>
      </c>
      <c r="V73" s="1531"/>
      <c r="W73" s="1080">
        <v>1010</v>
      </c>
      <c r="X73" s="1081">
        <v>994</v>
      </c>
      <c r="Y73" s="1081">
        <v>1118</v>
      </c>
      <c r="Z73" s="1081">
        <v>1112</v>
      </c>
      <c r="AA73" s="1081">
        <v>1109</v>
      </c>
      <c r="AB73" s="1081">
        <v>1090</v>
      </c>
      <c r="AC73" s="1081">
        <v>1100</v>
      </c>
      <c r="AD73" s="1081">
        <v>1085</v>
      </c>
      <c r="AE73" s="1081">
        <v>1067</v>
      </c>
      <c r="AF73" s="1081">
        <v>1044</v>
      </c>
      <c r="AG73" s="1081">
        <v>1022</v>
      </c>
      <c r="AH73" s="1081">
        <v>1060</v>
      </c>
      <c r="AI73" s="1081">
        <v>1049</v>
      </c>
      <c r="AJ73" s="1081">
        <v>994</v>
      </c>
      <c r="AK73" s="1303">
        <v>1006</v>
      </c>
      <c r="AL73" s="1304">
        <v>984</v>
      </c>
      <c r="AM73" s="1699">
        <v>986</v>
      </c>
      <c r="AN73" s="1699">
        <v>952</v>
      </c>
      <c r="AO73" s="1532"/>
      <c r="AP73" s="1106">
        <f t="shared" si="36"/>
        <v>22.772277227722771</v>
      </c>
      <c r="AQ73" s="1107">
        <f t="shared" si="37"/>
        <v>29.175050301810867</v>
      </c>
      <c r="AR73" s="1107">
        <f t="shared" si="38"/>
        <v>19.677996422182471</v>
      </c>
      <c r="AS73" s="1107">
        <f t="shared" si="39"/>
        <v>18.884892086330936</v>
      </c>
      <c r="AT73" s="1107">
        <f t="shared" si="40"/>
        <v>21.641118124436431</v>
      </c>
      <c r="AU73" s="1107">
        <f t="shared" si="41"/>
        <v>19.26605504587156</v>
      </c>
      <c r="AV73" s="1107">
        <f t="shared" si="42"/>
        <v>13.636363636363635</v>
      </c>
      <c r="AW73" s="1107">
        <f t="shared" si="43"/>
        <v>25.806451612903224</v>
      </c>
      <c r="AX73" s="1107">
        <f t="shared" si="44"/>
        <v>12.183692596063731</v>
      </c>
      <c r="AY73" s="1107">
        <f t="shared" si="45"/>
        <v>14.367816091954023</v>
      </c>
      <c r="AZ73" s="1107">
        <f t="shared" si="46"/>
        <v>20.547945205479451</v>
      </c>
      <c r="BA73" s="1107">
        <f t="shared" si="47"/>
        <v>14.150943396226415</v>
      </c>
      <c r="BB73" s="1107">
        <f t="shared" si="48"/>
        <v>19.065776930409914</v>
      </c>
      <c r="BC73" s="1107">
        <f t="shared" si="49"/>
        <v>10.060362173038229</v>
      </c>
      <c r="BD73" s="1307">
        <f t="shared" si="50"/>
        <v>14.910536779324055</v>
      </c>
      <c r="BE73" s="1309">
        <f t="shared" si="51"/>
        <v>13.21138211382114</v>
      </c>
      <c r="BF73" s="1537">
        <f t="shared" si="52"/>
        <v>15.212981744421906</v>
      </c>
      <c r="BG73" s="1537">
        <f t="shared" si="53"/>
        <v>13.655462184873949</v>
      </c>
    </row>
    <row r="74" spans="1:59" s="142" customFormat="1" ht="15.75" customHeight="1" x14ac:dyDescent="0.2">
      <c r="A74" s="149" t="s">
        <v>178</v>
      </c>
      <c r="B74" s="186" t="s">
        <v>179</v>
      </c>
      <c r="C74" s="150" t="s">
        <v>265</v>
      </c>
      <c r="D74" s="1057">
        <v>105</v>
      </c>
      <c r="E74" s="1058">
        <v>123</v>
      </c>
      <c r="F74" s="1059">
        <v>115</v>
      </c>
      <c r="G74" s="1058">
        <v>89</v>
      </c>
      <c r="H74" s="1059">
        <v>70</v>
      </c>
      <c r="I74" s="1058">
        <v>92</v>
      </c>
      <c r="J74" s="1059">
        <v>70</v>
      </c>
      <c r="K74" s="1058">
        <v>90</v>
      </c>
      <c r="L74" s="1072">
        <v>68</v>
      </c>
      <c r="M74" s="1072">
        <v>72</v>
      </c>
      <c r="N74" s="1072">
        <v>69</v>
      </c>
      <c r="O74" s="1072">
        <v>63</v>
      </c>
      <c r="P74" s="1073">
        <v>56</v>
      </c>
      <c r="Q74" s="1073">
        <v>42</v>
      </c>
      <c r="R74" s="1300">
        <v>48</v>
      </c>
      <c r="S74" s="1301">
        <v>36</v>
      </c>
      <c r="T74" s="1531">
        <v>37</v>
      </c>
      <c r="U74" s="1708">
        <v>36</v>
      </c>
      <c r="V74" s="1531"/>
      <c r="W74" s="1080">
        <v>3613</v>
      </c>
      <c r="X74" s="1081">
        <v>3601</v>
      </c>
      <c r="Y74" s="1081">
        <v>4068</v>
      </c>
      <c r="Z74" s="1081">
        <v>4021</v>
      </c>
      <c r="AA74" s="1081">
        <v>3989</v>
      </c>
      <c r="AB74" s="1081">
        <v>3909</v>
      </c>
      <c r="AC74" s="1081">
        <v>3873</v>
      </c>
      <c r="AD74" s="1081">
        <v>3776</v>
      </c>
      <c r="AE74" s="1081">
        <v>3690</v>
      </c>
      <c r="AF74" s="1081">
        <v>3598</v>
      </c>
      <c r="AG74" s="1081">
        <v>3536</v>
      </c>
      <c r="AH74" s="1081">
        <v>3670</v>
      </c>
      <c r="AI74" s="1081">
        <v>3759</v>
      </c>
      <c r="AJ74" s="1081">
        <v>3736</v>
      </c>
      <c r="AK74" s="1303">
        <v>3668</v>
      </c>
      <c r="AL74" s="1304">
        <v>3669</v>
      </c>
      <c r="AM74" s="1699">
        <v>3631</v>
      </c>
      <c r="AN74" s="1699">
        <v>3589</v>
      </c>
      <c r="AO74" s="1532"/>
      <c r="AP74" s="1106">
        <f t="shared" si="36"/>
        <v>29.061721561029614</v>
      </c>
      <c r="AQ74" s="1107">
        <f t="shared" si="37"/>
        <v>34.15717856151069</v>
      </c>
      <c r="AR74" s="1107">
        <f t="shared" si="38"/>
        <v>28.269419862340218</v>
      </c>
      <c r="AS74" s="1107">
        <f t="shared" si="39"/>
        <v>22.133797562795323</v>
      </c>
      <c r="AT74" s="1107">
        <f t="shared" si="40"/>
        <v>17.548257708698923</v>
      </c>
      <c r="AU74" s="1107">
        <f t="shared" si="41"/>
        <v>23.535431056536197</v>
      </c>
      <c r="AV74" s="1107">
        <f t="shared" si="42"/>
        <v>18.073844564936742</v>
      </c>
      <c r="AW74" s="1107">
        <f t="shared" si="43"/>
        <v>23.834745762711865</v>
      </c>
      <c r="AX74" s="1107">
        <f t="shared" si="44"/>
        <v>18.428184281842821</v>
      </c>
      <c r="AY74" s="1107">
        <f t="shared" si="45"/>
        <v>20.011117287381879</v>
      </c>
      <c r="AZ74" s="1107">
        <f t="shared" si="46"/>
        <v>19.513574660633484</v>
      </c>
      <c r="BA74" s="1107">
        <f t="shared" si="47"/>
        <v>17.166212534059945</v>
      </c>
      <c r="BB74" s="1107">
        <f t="shared" si="48"/>
        <v>14.8975791433892</v>
      </c>
      <c r="BC74" s="1107">
        <f t="shared" si="49"/>
        <v>11.241970021413277</v>
      </c>
      <c r="BD74" s="1307">
        <f t="shared" si="50"/>
        <v>13.086150490730644</v>
      </c>
      <c r="BE74" s="1309">
        <f t="shared" si="51"/>
        <v>9.8119378577269014</v>
      </c>
      <c r="BF74" s="1537">
        <f t="shared" si="52"/>
        <v>10.190030294684659</v>
      </c>
      <c r="BG74" s="1537">
        <f t="shared" si="53"/>
        <v>10.030649205906938</v>
      </c>
    </row>
    <row r="75" spans="1:59" s="142" customFormat="1" ht="15.75" customHeight="1" x14ac:dyDescent="0.2">
      <c r="A75" s="149" t="s">
        <v>182</v>
      </c>
      <c r="B75" s="186" t="s">
        <v>183</v>
      </c>
      <c r="C75" s="150" t="s">
        <v>266</v>
      </c>
      <c r="D75" s="1057">
        <v>7</v>
      </c>
      <c r="E75" s="1058">
        <v>17</v>
      </c>
      <c r="F75" s="1059">
        <v>20</v>
      </c>
      <c r="G75" s="1058">
        <v>17</v>
      </c>
      <c r="H75" s="1059">
        <v>12</v>
      </c>
      <c r="I75" s="1058">
        <v>12</v>
      </c>
      <c r="J75" s="1059">
        <v>14</v>
      </c>
      <c r="K75" s="1058">
        <v>13</v>
      </c>
      <c r="L75" s="1072">
        <v>11</v>
      </c>
      <c r="M75" s="1072">
        <v>10</v>
      </c>
      <c r="N75" s="1072">
        <v>11</v>
      </c>
      <c r="O75" s="1072">
        <v>7</v>
      </c>
      <c r="P75" s="1073">
        <v>14</v>
      </c>
      <c r="Q75" s="1073">
        <v>8</v>
      </c>
      <c r="R75" s="1300">
        <v>15</v>
      </c>
      <c r="S75" s="1301">
        <v>10</v>
      </c>
      <c r="T75" s="1531">
        <v>7</v>
      </c>
      <c r="U75" s="1708">
        <v>9</v>
      </c>
      <c r="V75" s="1531"/>
      <c r="W75" s="1080">
        <v>1014</v>
      </c>
      <c r="X75" s="1081">
        <v>1028</v>
      </c>
      <c r="Y75" s="1081">
        <v>1370</v>
      </c>
      <c r="Z75" s="1081">
        <v>1429</v>
      </c>
      <c r="AA75" s="1081">
        <v>1497</v>
      </c>
      <c r="AB75" s="1081">
        <v>1545</v>
      </c>
      <c r="AC75" s="1081">
        <v>1620</v>
      </c>
      <c r="AD75" s="1081">
        <v>1620</v>
      </c>
      <c r="AE75" s="1081">
        <v>1628</v>
      </c>
      <c r="AF75" s="1081">
        <v>1589</v>
      </c>
      <c r="AG75" s="1081">
        <v>1596</v>
      </c>
      <c r="AH75" s="1081">
        <v>1770</v>
      </c>
      <c r="AI75" s="1081">
        <v>1793</v>
      </c>
      <c r="AJ75" s="1081">
        <v>1792</v>
      </c>
      <c r="AK75" s="1303">
        <v>1719</v>
      </c>
      <c r="AL75" s="1304">
        <v>1617</v>
      </c>
      <c r="AM75" s="1699">
        <v>1579</v>
      </c>
      <c r="AN75" s="1699">
        <v>1542</v>
      </c>
      <c r="AO75" s="1532"/>
      <c r="AP75" s="1106">
        <f t="shared" si="36"/>
        <v>6.9033530571992108</v>
      </c>
      <c r="AQ75" s="1107">
        <f t="shared" si="37"/>
        <v>16.536964980544749</v>
      </c>
      <c r="AR75" s="1107">
        <f t="shared" si="38"/>
        <v>14.598540145985401</v>
      </c>
      <c r="AS75" s="1107">
        <f t="shared" si="39"/>
        <v>11.896431070678798</v>
      </c>
      <c r="AT75" s="1107">
        <f t="shared" si="40"/>
        <v>8.0160320641282556</v>
      </c>
      <c r="AU75" s="1107">
        <f t="shared" si="41"/>
        <v>7.766990291262136</v>
      </c>
      <c r="AV75" s="1107">
        <f t="shared" si="42"/>
        <v>8.6419753086419746</v>
      </c>
      <c r="AW75" s="1107">
        <f t="shared" si="43"/>
        <v>8.0246913580246915</v>
      </c>
      <c r="AX75" s="1107">
        <f t="shared" si="44"/>
        <v>6.756756756756757</v>
      </c>
      <c r="AY75" s="1107">
        <f t="shared" si="45"/>
        <v>6.2932662051604789</v>
      </c>
      <c r="AZ75" s="1107">
        <f t="shared" si="46"/>
        <v>6.8922305764411025</v>
      </c>
      <c r="BA75" s="1107">
        <f t="shared" si="47"/>
        <v>3.9548022598870056</v>
      </c>
      <c r="BB75" s="1107">
        <f t="shared" si="48"/>
        <v>7.8081427774679311</v>
      </c>
      <c r="BC75" s="1107">
        <f t="shared" si="49"/>
        <v>4.4642857142857144</v>
      </c>
      <c r="BD75" s="1307">
        <f t="shared" si="50"/>
        <v>8.7260034904013963</v>
      </c>
      <c r="BE75" s="1309">
        <f t="shared" si="51"/>
        <v>6.1842918985776132</v>
      </c>
      <c r="BF75" s="1537">
        <f t="shared" si="52"/>
        <v>4.4331855604813173</v>
      </c>
      <c r="BG75" s="1537">
        <f t="shared" si="53"/>
        <v>5.836575875486381</v>
      </c>
    </row>
    <row r="76" spans="1:59" s="142" customFormat="1" ht="15.75" customHeight="1" x14ac:dyDescent="0.2">
      <c r="A76" s="149" t="s">
        <v>184</v>
      </c>
      <c r="B76" s="186" t="s">
        <v>185</v>
      </c>
      <c r="C76" s="150" t="s">
        <v>266</v>
      </c>
      <c r="D76" s="1057">
        <v>38</v>
      </c>
      <c r="E76" s="1058">
        <v>37</v>
      </c>
      <c r="F76" s="1059">
        <v>44</v>
      </c>
      <c r="G76" s="1058">
        <v>32</v>
      </c>
      <c r="H76" s="1059">
        <v>25</v>
      </c>
      <c r="I76" s="1058">
        <v>21</v>
      </c>
      <c r="J76" s="1059">
        <v>23</v>
      </c>
      <c r="K76" s="1058">
        <v>26</v>
      </c>
      <c r="L76" s="1072">
        <v>25</v>
      </c>
      <c r="M76" s="1072">
        <v>25</v>
      </c>
      <c r="N76" s="1072">
        <v>34</v>
      </c>
      <c r="O76" s="1072">
        <v>27</v>
      </c>
      <c r="P76" s="1073">
        <v>25</v>
      </c>
      <c r="Q76" s="1073">
        <v>23</v>
      </c>
      <c r="R76" s="1300">
        <v>16</v>
      </c>
      <c r="S76" s="1301">
        <v>12</v>
      </c>
      <c r="T76" s="1531">
        <v>19</v>
      </c>
      <c r="U76" s="1708">
        <v>6</v>
      </c>
      <c r="V76" s="1531"/>
      <c r="W76" s="1080">
        <v>1670</v>
      </c>
      <c r="X76" s="1081">
        <v>1667</v>
      </c>
      <c r="Y76" s="1081">
        <v>1854</v>
      </c>
      <c r="Z76" s="1081">
        <v>1867</v>
      </c>
      <c r="AA76" s="1081">
        <v>1910</v>
      </c>
      <c r="AB76" s="1081">
        <v>1933</v>
      </c>
      <c r="AC76" s="1081">
        <v>1924</v>
      </c>
      <c r="AD76" s="1081">
        <v>1890</v>
      </c>
      <c r="AE76" s="1081">
        <v>1875</v>
      </c>
      <c r="AF76" s="1081">
        <v>1936</v>
      </c>
      <c r="AG76" s="1081">
        <v>1978</v>
      </c>
      <c r="AH76" s="1081">
        <v>2049</v>
      </c>
      <c r="AI76" s="1081">
        <v>2030</v>
      </c>
      <c r="AJ76" s="1081">
        <v>1994</v>
      </c>
      <c r="AK76" s="1303">
        <v>1969</v>
      </c>
      <c r="AL76" s="1304">
        <v>2019</v>
      </c>
      <c r="AM76" s="1699">
        <v>2048</v>
      </c>
      <c r="AN76" s="1699">
        <v>2041</v>
      </c>
      <c r="AO76" s="1532"/>
      <c r="AP76" s="1106">
        <f t="shared" si="36"/>
        <v>22.754491017964074</v>
      </c>
      <c r="AQ76" s="1107">
        <f t="shared" si="37"/>
        <v>22.195560887822438</v>
      </c>
      <c r="AR76" s="1107">
        <f t="shared" si="38"/>
        <v>23.732470334412085</v>
      </c>
      <c r="AS76" s="1107">
        <f t="shared" si="39"/>
        <v>17.13979646491698</v>
      </c>
      <c r="AT76" s="1107">
        <f t="shared" si="40"/>
        <v>13.089005235602095</v>
      </c>
      <c r="AU76" s="1107">
        <f t="shared" si="41"/>
        <v>10.863942058975685</v>
      </c>
      <c r="AV76" s="1107">
        <f t="shared" si="42"/>
        <v>11.954261954261955</v>
      </c>
      <c r="AW76" s="1107">
        <f t="shared" si="43"/>
        <v>13.756613756613756</v>
      </c>
      <c r="AX76" s="1107">
        <f t="shared" si="44"/>
        <v>13.333333333333334</v>
      </c>
      <c r="AY76" s="1107">
        <f t="shared" si="45"/>
        <v>12.913223140495868</v>
      </c>
      <c r="AZ76" s="1107">
        <f t="shared" si="46"/>
        <v>17.189079878665318</v>
      </c>
      <c r="BA76" s="1107">
        <f t="shared" si="47"/>
        <v>13.177159590043924</v>
      </c>
      <c r="BB76" s="1107">
        <f t="shared" si="48"/>
        <v>12.315270935960593</v>
      </c>
      <c r="BC76" s="1107">
        <f t="shared" si="49"/>
        <v>11.534603811434303</v>
      </c>
      <c r="BD76" s="1307">
        <f t="shared" si="50"/>
        <v>8.1259522600304717</v>
      </c>
      <c r="BE76" s="1309">
        <f t="shared" si="51"/>
        <v>5.9435364041604748</v>
      </c>
      <c r="BF76" s="1537">
        <f t="shared" si="52"/>
        <v>9.27734375</v>
      </c>
      <c r="BG76" s="1537">
        <f t="shared" si="53"/>
        <v>2.9397354238118569</v>
      </c>
    </row>
    <row r="77" spans="1:59" s="142" customFormat="1" ht="15.75" customHeight="1" x14ac:dyDescent="0.2">
      <c r="A77" s="149" t="s">
        <v>186</v>
      </c>
      <c r="B77" s="186" t="s">
        <v>187</v>
      </c>
      <c r="C77" s="150" t="s">
        <v>264</v>
      </c>
      <c r="D77" s="1057">
        <v>29</v>
      </c>
      <c r="E77" s="1058">
        <v>38</v>
      </c>
      <c r="F77" s="1059">
        <v>34</v>
      </c>
      <c r="G77" s="1058">
        <v>29</v>
      </c>
      <c r="H77" s="1059">
        <v>29</v>
      </c>
      <c r="I77" s="1058">
        <v>42</v>
      </c>
      <c r="J77" s="1059">
        <v>37</v>
      </c>
      <c r="K77" s="1058">
        <v>30</v>
      </c>
      <c r="L77" s="1072">
        <v>21</v>
      </c>
      <c r="M77" s="1072">
        <v>32</v>
      </c>
      <c r="N77" s="1072">
        <v>23</v>
      </c>
      <c r="O77" s="1072">
        <v>38</v>
      </c>
      <c r="P77" s="1073">
        <v>30</v>
      </c>
      <c r="Q77" s="1073">
        <v>27</v>
      </c>
      <c r="R77" s="1300">
        <v>24</v>
      </c>
      <c r="S77" s="1301">
        <v>19</v>
      </c>
      <c r="T77" s="1531">
        <v>13</v>
      </c>
      <c r="U77" s="1708">
        <v>11</v>
      </c>
      <c r="V77" s="1531"/>
      <c r="W77" s="1080">
        <v>2054</v>
      </c>
      <c r="X77" s="1081">
        <v>2064</v>
      </c>
      <c r="Y77" s="1081">
        <v>2544</v>
      </c>
      <c r="Z77" s="1081">
        <v>2647</v>
      </c>
      <c r="AA77" s="1081">
        <v>2695</v>
      </c>
      <c r="AB77" s="1081">
        <v>2727</v>
      </c>
      <c r="AC77" s="1081">
        <v>2712</v>
      </c>
      <c r="AD77" s="1081">
        <v>2654</v>
      </c>
      <c r="AE77" s="1081">
        <v>2573</v>
      </c>
      <c r="AF77" s="1081">
        <v>2554</v>
      </c>
      <c r="AG77" s="1081">
        <v>2484</v>
      </c>
      <c r="AH77" s="1081">
        <v>2716</v>
      </c>
      <c r="AI77" s="1081">
        <v>2312</v>
      </c>
      <c r="AJ77" s="1081">
        <v>2343</v>
      </c>
      <c r="AK77" s="1303">
        <v>2278</v>
      </c>
      <c r="AL77" s="1304">
        <v>2237</v>
      </c>
      <c r="AM77" s="1699">
        <v>2204</v>
      </c>
      <c r="AN77" s="1699">
        <v>2290</v>
      </c>
      <c r="AO77" s="1532"/>
      <c r="AP77" s="1106">
        <f t="shared" si="36"/>
        <v>14.118792599805257</v>
      </c>
      <c r="AQ77" s="1107">
        <f t="shared" si="37"/>
        <v>18.410852713178297</v>
      </c>
      <c r="AR77" s="1107">
        <f t="shared" si="38"/>
        <v>13.364779874213838</v>
      </c>
      <c r="AS77" s="1107">
        <f t="shared" si="39"/>
        <v>10.95579901775595</v>
      </c>
      <c r="AT77" s="1107">
        <f t="shared" si="40"/>
        <v>10.760667903525047</v>
      </c>
      <c r="AU77" s="1107">
        <f t="shared" si="41"/>
        <v>15.401540154015402</v>
      </c>
      <c r="AV77" s="1107">
        <f t="shared" si="42"/>
        <v>13.64306784660767</v>
      </c>
      <c r="AW77" s="1107">
        <f t="shared" si="43"/>
        <v>11.303692539562924</v>
      </c>
      <c r="AX77" s="1107">
        <f t="shared" si="44"/>
        <v>8.1616789739603579</v>
      </c>
      <c r="AY77" s="1107">
        <f t="shared" si="45"/>
        <v>12.529365700861394</v>
      </c>
      <c r="AZ77" s="1107">
        <f t="shared" si="46"/>
        <v>9.2592592592592595</v>
      </c>
      <c r="BA77" s="1107">
        <f t="shared" si="47"/>
        <v>13.991163475699558</v>
      </c>
      <c r="BB77" s="1107">
        <f t="shared" si="48"/>
        <v>12.975778546712801</v>
      </c>
      <c r="BC77" s="1107">
        <f t="shared" si="49"/>
        <v>11.523687580025609</v>
      </c>
      <c r="BD77" s="1307">
        <f t="shared" si="50"/>
        <v>10.535557506584723</v>
      </c>
      <c r="BE77" s="1309">
        <f t="shared" si="51"/>
        <v>8.4935181046043802</v>
      </c>
      <c r="BF77" s="1537">
        <f t="shared" si="52"/>
        <v>5.8983666061705993</v>
      </c>
      <c r="BG77" s="1537">
        <f t="shared" si="53"/>
        <v>4.8034934497816595</v>
      </c>
    </row>
    <row r="78" spans="1:59" s="142" customFormat="1" ht="15.75" customHeight="1" x14ac:dyDescent="0.2">
      <c r="A78" s="149" t="s">
        <v>188</v>
      </c>
      <c r="B78" s="186" t="s">
        <v>189</v>
      </c>
      <c r="C78" s="150" t="s">
        <v>267</v>
      </c>
      <c r="D78" s="1057">
        <v>405</v>
      </c>
      <c r="E78" s="1058">
        <v>426</v>
      </c>
      <c r="F78" s="1059">
        <v>404</v>
      </c>
      <c r="G78" s="1058">
        <v>451</v>
      </c>
      <c r="H78" s="1059">
        <v>420</v>
      </c>
      <c r="I78" s="1058">
        <v>386</v>
      </c>
      <c r="J78" s="1059">
        <v>439</v>
      </c>
      <c r="K78" s="1058">
        <v>447</v>
      </c>
      <c r="L78" s="1072">
        <v>479</v>
      </c>
      <c r="M78" s="1072">
        <v>474</v>
      </c>
      <c r="N78" s="1072">
        <v>408</v>
      </c>
      <c r="O78" s="1072">
        <v>404</v>
      </c>
      <c r="P78" s="1073">
        <v>380</v>
      </c>
      <c r="Q78" s="1073">
        <v>325</v>
      </c>
      <c r="R78" s="1300">
        <v>325</v>
      </c>
      <c r="S78" s="1301">
        <v>275</v>
      </c>
      <c r="T78" s="1531">
        <v>246</v>
      </c>
      <c r="U78" s="1708">
        <v>232</v>
      </c>
      <c r="V78" s="1531"/>
      <c r="W78" s="1080">
        <v>19321</v>
      </c>
      <c r="X78" s="1081">
        <v>19752</v>
      </c>
      <c r="Y78" s="1081">
        <v>21315</v>
      </c>
      <c r="Z78" s="1081">
        <v>22796</v>
      </c>
      <c r="AA78" s="1081">
        <v>23735</v>
      </c>
      <c r="AB78" s="1081">
        <v>24592</v>
      </c>
      <c r="AC78" s="1081">
        <v>25136</v>
      </c>
      <c r="AD78" s="1081">
        <v>25705</v>
      </c>
      <c r="AE78" s="1081">
        <v>25596</v>
      </c>
      <c r="AF78" s="1081">
        <v>25690</v>
      </c>
      <c r="AG78" s="1081">
        <v>25773</v>
      </c>
      <c r="AH78" s="1081">
        <v>27037</v>
      </c>
      <c r="AI78" s="1081">
        <v>29106</v>
      </c>
      <c r="AJ78" s="1081">
        <v>29815</v>
      </c>
      <c r="AK78" s="1303">
        <v>30602</v>
      </c>
      <c r="AL78" s="1304">
        <v>31274</v>
      </c>
      <c r="AM78" s="1699">
        <v>31783</v>
      </c>
      <c r="AN78" s="1699">
        <v>31928</v>
      </c>
      <c r="AO78" s="1532"/>
      <c r="AP78" s="1106">
        <f t="shared" si="36"/>
        <v>20.961647947828787</v>
      </c>
      <c r="AQ78" s="1107">
        <f t="shared" si="37"/>
        <v>21.567436208991491</v>
      </c>
      <c r="AR78" s="1107">
        <f t="shared" si="38"/>
        <v>18.953788411916491</v>
      </c>
      <c r="AS78" s="1107">
        <f t="shared" si="39"/>
        <v>19.784172661870503</v>
      </c>
      <c r="AT78" s="1107">
        <f t="shared" si="40"/>
        <v>17.69538655993259</v>
      </c>
      <c r="AU78" s="1107">
        <f t="shared" si="41"/>
        <v>15.696161353285619</v>
      </c>
      <c r="AV78" s="1107">
        <f t="shared" si="42"/>
        <v>17.464990451941439</v>
      </c>
      <c r="AW78" s="1107">
        <f t="shared" si="43"/>
        <v>17.389612915775142</v>
      </c>
      <c r="AX78" s="1107">
        <f t="shared" si="44"/>
        <v>18.713861540865761</v>
      </c>
      <c r="AY78" s="1107">
        <f t="shared" si="45"/>
        <v>18.450759050214092</v>
      </c>
      <c r="AZ78" s="1107">
        <f t="shared" si="46"/>
        <v>15.83052031195437</v>
      </c>
      <c r="BA78" s="1107">
        <f t="shared" si="47"/>
        <v>14.942486222583867</v>
      </c>
      <c r="BB78" s="1107">
        <f t="shared" si="48"/>
        <v>13.055727341441626</v>
      </c>
      <c r="BC78" s="1107">
        <f t="shared" si="49"/>
        <v>10.900553412711723</v>
      </c>
      <c r="BD78" s="1307">
        <f t="shared" si="50"/>
        <v>10.620220900594733</v>
      </c>
      <c r="BE78" s="1309">
        <f t="shared" si="51"/>
        <v>8.7932467864679928</v>
      </c>
      <c r="BF78" s="1537">
        <f t="shared" si="52"/>
        <v>7.7399867853884148</v>
      </c>
      <c r="BG78" s="1537">
        <f t="shared" si="53"/>
        <v>7.2663492858932592</v>
      </c>
    </row>
    <row r="79" spans="1:59" s="142" customFormat="1" ht="15.75" customHeight="1" x14ac:dyDescent="0.2">
      <c r="A79" s="149" t="s">
        <v>190</v>
      </c>
      <c r="B79" s="186" t="s">
        <v>191</v>
      </c>
      <c r="C79" s="150" t="s">
        <v>268</v>
      </c>
      <c r="D79" s="1057">
        <v>70</v>
      </c>
      <c r="E79" s="1058">
        <v>58</v>
      </c>
      <c r="F79" s="1059">
        <v>50</v>
      </c>
      <c r="G79" s="1058">
        <v>65</v>
      </c>
      <c r="H79" s="1059">
        <v>47</v>
      </c>
      <c r="I79" s="1058">
        <v>36</v>
      </c>
      <c r="J79" s="1059">
        <v>44</v>
      </c>
      <c r="K79" s="1058">
        <v>47</v>
      </c>
      <c r="L79" s="1072">
        <v>44</v>
      </c>
      <c r="M79" s="1072">
        <v>43</v>
      </c>
      <c r="N79" s="1072">
        <v>51</v>
      </c>
      <c r="O79" s="1072">
        <v>65</v>
      </c>
      <c r="P79" s="1073">
        <v>42</v>
      </c>
      <c r="Q79" s="1073">
        <v>36</v>
      </c>
      <c r="R79" s="1300">
        <v>48</v>
      </c>
      <c r="S79" s="1301">
        <v>40</v>
      </c>
      <c r="T79" s="1531">
        <v>32</v>
      </c>
      <c r="U79" s="1708">
        <v>38</v>
      </c>
      <c r="V79" s="1531"/>
      <c r="W79" s="1080">
        <v>1944</v>
      </c>
      <c r="X79" s="1081">
        <v>1894</v>
      </c>
      <c r="Y79" s="1081">
        <v>1914</v>
      </c>
      <c r="Z79" s="1081">
        <v>1923</v>
      </c>
      <c r="AA79" s="1081">
        <v>1907</v>
      </c>
      <c r="AB79" s="1081">
        <v>1920</v>
      </c>
      <c r="AC79" s="1081">
        <v>1900</v>
      </c>
      <c r="AD79" s="1081">
        <v>1846</v>
      </c>
      <c r="AE79" s="1081">
        <v>1830</v>
      </c>
      <c r="AF79" s="1081">
        <v>1810</v>
      </c>
      <c r="AG79" s="1081">
        <v>1813</v>
      </c>
      <c r="AH79" s="1081">
        <v>1821</v>
      </c>
      <c r="AI79" s="1081">
        <v>1908</v>
      </c>
      <c r="AJ79" s="1081">
        <v>1826</v>
      </c>
      <c r="AK79" s="1303">
        <v>1805</v>
      </c>
      <c r="AL79" s="1304">
        <v>1738</v>
      </c>
      <c r="AM79" s="1699">
        <v>1670</v>
      </c>
      <c r="AN79" s="1699">
        <v>1703</v>
      </c>
      <c r="AO79" s="1532"/>
      <c r="AP79" s="1106">
        <f t="shared" si="36"/>
        <v>36.008230452674901</v>
      </c>
      <c r="AQ79" s="1107">
        <f t="shared" si="37"/>
        <v>30.623020063357973</v>
      </c>
      <c r="AR79" s="1107">
        <f t="shared" si="38"/>
        <v>26.123301985370951</v>
      </c>
      <c r="AS79" s="1107">
        <f t="shared" si="39"/>
        <v>33.801352054082159</v>
      </c>
      <c r="AT79" s="1107">
        <f t="shared" si="40"/>
        <v>24.646040901940221</v>
      </c>
      <c r="AU79" s="1107">
        <f t="shared" si="41"/>
        <v>18.75</v>
      </c>
      <c r="AV79" s="1107">
        <f t="shared" si="42"/>
        <v>23.157894736842106</v>
      </c>
      <c r="AW79" s="1107">
        <f t="shared" si="43"/>
        <v>25.460455037919829</v>
      </c>
      <c r="AX79" s="1107">
        <f t="shared" si="44"/>
        <v>24.043715846994537</v>
      </c>
      <c r="AY79" s="1107">
        <f t="shared" si="45"/>
        <v>23.756906077348066</v>
      </c>
      <c r="AZ79" s="1107">
        <f t="shared" si="46"/>
        <v>28.130170987313846</v>
      </c>
      <c r="BA79" s="1107">
        <f t="shared" si="47"/>
        <v>35.694673256452504</v>
      </c>
      <c r="BB79" s="1107">
        <f t="shared" si="48"/>
        <v>22.012578616352201</v>
      </c>
      <c r="BC79" s="1107">
        <f t="shared" si="49"/>
        <v>19.715224534501644</v>
      </c>
      <c r="BD79" s="1307">
        <f t="shared" si="50"/>
        <v>26.592797783933516</v>
      </c>
      <c r="BE79" s="1309">
        <f t="shared" si="51"/>
        <v>23.014959723820485</v>
      </c>
      <c r="BF79" s="1537">
        <f t="shared" si="52"/>
        <v>19.161676646706585</v>
      </c>
      <c r="BG79" s="1537">
        <f t="shared" si="53"/>
        <v>22.313564298297123</v>
      </c>
    </row>
    <row r="80" spans="1:59" s="142" customFormat="1" ht="15.75" customHeight="1" x14ac:dyDescent="0.2">
      <c r="A80" s="149" t="s">
        <v>194</v>
      </c>
      <c r="B80" s="186" t="s">
        <v>195</v>
      </c>
      <c r="C80" s="150" t="s">
        <v>267</v>
      </c>
      <c r="D80" s="1057">
        <v>8</v>
      </c>
      <c r="E80" s="1058">
        <v>9</v>
      </c>
      <c r="F80" s="1059">
        <v>5</v>
      </c>
      <c r="G80" s="1058">
        <v>11</v>
      </c>
      <c r="H80" s="1059">
        <v>6</v>
      </c>
      <c r="I80" s="1058">
        <v>2</v>
      </c>
      <c r="J80" s="1059">
        <v>4</v>
      </c>
      <c r="K80" s="1058">
        <v>8</v>
      </c>
      <c r="L80" s="1072">
        <v>5</v>
      </c>
      <c r="M80" s="1072">
        <v>6</v>
      </c>
      <c r="N80" s="1072">
        <v>6</v>
      </c>
      <c r="O80" s="1072">
        <v>4</v>
      </c>
      <c r="P80" s="1073">
        <v>3</v>
      </c>
      <c r="Q80" s="1073">
        <v>6</v>
      </c>
      <c r="R80" s="1300">
        <v>4</v>
      </c>
      <c r="S80" s="1301">
        <v>1</v>
      </c>
      <c r="T80" s="1531">
        <v>3</v>
      </c>
      <c r="U80" s="1708">
        <v>3</v>
      </c>
      <c r="V80" s="1531"/>
      <c r="W80" s="1080">
        <v>465</v>
      </c>
      <c r="X80" s="1081">
        <v>473</v>
      </c>
      <c r="Y80" s="1081">
        <v>462</v>
      </c>
      <c r="Z80" s="1081">
        <v>469</v>
      </c>
      <c r="AA80" s="1081">
        <v>459</v>
      </c>
      <c r="AB80" s="1081">
        <v>471</v>
      </c>
      <c r="AC80" s="1081">
        <v>476</v>
      </c>
      <c r="AD80" s="1081">
        <v>455</v>
      </c>
      <c r="AE80" s="1081">
        <v>436</v>
      </c>
      <c r="AF80" s="1081">
        <v>415</v>
      </c>
      <c r="AG80" s="1081">
        <v>404</v>
      </c>
      <c r="AH80" s="1081">
        <v>407</v>
      </c>
      <c r="AI80" s="1081">
        <v>438</v>
      </c>
      <c r="AJ80" s="1081">
        <v>439</v>
      </c>
      <c r="AK80" s="1303">
        <v>420</v>
      </c>
      <c r="AL80" s="1304">
        <v>421</v>
      </c>
      <c r="AM80" s="1699">
        <v>397</v>
      </c>
      <c r="AN80" s="1699">
        <v>396</v>
      </c>
      <c r="AO80" s="1532"/>
      <c r="AP80" s="1106">
        <f t="shared" si="36"/>
        <v>17.204301075268816</v>
      </c>
      <c r="AQ80" s="1107">
        <f t="shared" si="37"/>
        <v>19.027484143763214</v>
      </c>
      <c r="AR80" s="1107">
        <f t="shared" si="38"/>
        <v>10.822510822510822</v>
      </c>
      <c r="AS80" s="1107">
        <f t="shared" si="39"/>
        <v>23.454157782515992</v>
      </c>
      <c r="AT80" s="1107">
        <f t="shared" si="40"/>
        <v>13.071895424836601</v>
      </c>
      <c r="AU80" s="1107">
        <f t="shared" si="41"/>
        <v>4.2462845010615711</v>
      </c>
      <c r="AV80" s="1107">
        <f t="shared" si="42"/>
        <v>8.4033613445378155</v>
      </c>
      <c r="AW80" s="1107">
        <f t="shared" si="43"/>
        <v>17.582417582417584</v>
      </c>
      <c r="AX80" s="1107">
        <f t="shared" si="44"/>
        <v>11.467889908256881</v>
      </c>
      <c r="AY80" s="1107">
        <f t="shared" si="45"/>
        <v>14.457831325301205</v>
      </c>
      <c r="AZ80" s="1107">
        <f t="shared" si="46"/>
        <v>14.85148514851485</v>
      </c>
      <c r="BA80" s="1107">
        <f t="shared" si="47"/>
        <v>9.8280098280098276</v>
      </c>
      <c r="BB80" s="1107">
        <f t="shared" si="48"/>
        <v>6.8493150684931505</v>
      </c>
      <c r="BC80" s="1107">
        <f t="shared" si="49"/>
        <v>13.66742596810934</v>
      </c>
      <c r="BD80" s="1307">
        <f t="shared" si="50"/>
        <v>9.5238095238095255</v>
      </c>
      <c r="BE80" s="1309">
        <f t="shared" si="51"/>
        <v>2.3752969121140142</v>
      </c>
      <c r="BF80" s="1537">
        <f t="shared" si="52"/>
        <v>7.5566750629722916</v>
      </c>
      <c r="BG80" s="1537">
        <f t="shared" si="53"/>
        <v>7.5757575757575761</v>
      </c>
    </row>
    <row r="81" spans="1:59" s="142" customFormat="1" ht="15.75" customHeight="1" x14ac:dyDescent="0.2">
      <c r="A81" s="149" t="s">
        <v>198</v>
      </c>
      <c r="B81" s="186" t="s">
        <v>272</v>
      </c>
      <c r="C81" s="150" t="s">
        <v>266</v>
      </c>
      <c r="D81" s="1057">
        <v>10</v>
      </c>
      <c r="E81" s="1058">
        <v>7</v>
      </c>
      <c r="F81" s="1059">
        <v>12</v>
      </c>
      <c r="G81" s="1058">
        <v>10</v>
      </c>
      <c r="H81" s="1059">
        <v>10</v>
      </c>
      <c r="I81" s="1058">
        <v>8</v>
      </c>
      <c r="J81" s="1059">
        <v>8</v>
      </c>
      <c r="K81" s="1058">
        <v>10</v>
      </c>
      <c r="L81" s="1072">
        <v>11</v>
      </c>
      <c r="M81" s="1072">
        <v>14</v>
      </c>
      <c r="N81" s="1072">
        <v>6</v>
      </c>
      <c r="O81" s="1072">
        <v>12</v>
      </c>
      <c r="P81" s="1073">
        <v>11</v>
      </c>
      <c r="Q81" s="1073">
        <v>6</v>
      </c>
      <c r="R81" s="1300">
        <v>1</v>
      </c>
      <c r="S81" s="1301">
        <v>5</v>
      </c>
      <c r="T81" s="1531">
        <v>6</v>
      </c>
      <c r="U81" s="1708">
        <v>1</v>
      </c>
      <c r="V81" s="1531"/>
      <c r="W81" s="1080">
        <v>463</v>
      </c>
      <c r="X81" s="1081">
        <v>468</v>
      </c>
      <c r="Y81" s="1081">
        <v>466</v>
      </c>
      <c r="Z81" s="1081">
        <v>464</v>
      </c>
      <c r="AA81" s="1081">
        <v>462</v>
      </c>
      <c r="AB81" s="1081">
        <v>454</v>
      </c>
      <c r="AC81" s="1081">
        <v>441</v>
      </c>
      <c r="AD81" s="1081">
        <v>394</v>
      </c>
      <c r="AE81" s="1081">
        <v>382</v>
      </c>
      <c r="AF81" s="1081">
        <v>369</v>
      </c>
      <c r="AG81" s="1081">
        <v>366</v>
      </c>
      <c r="AH81" s="1081">
        <v>378</v>
      </c>
      <c r="AI81" s="1081">
        <v>454</v>
      </c>
      <c r="AJ81" s="1081">
        <v>435</v>
      </c>
      <c r="AK81" s="1303">
        <v>444</v>
      </c>
      <c r="AL81" s="1304">
        <v>419</v>
      </c>
      <c r="AM81" s="1699">
        <v>411</v>
      </c>
      <c r="AN81" s="1699">
        <v>432</v>
      </c>
      <c r="AO81" s="1532"/>
      <c r="AP81" s="1106">
        <f t="shared" si="36"/>
        <v>21.598272138228939</v>
      </c>
      <c r="AQ81" s="1107">
        <f t="shared" si="37"/>
        <v>14.957264957264957</v>
      </c>
      <c r="AR81" s="1107">
        <f t="shared" si="38"/>
        <v>25.751072961373392</v>
      </c>
      <c r="AS81" s="1107">
        <f t="shared" si="39"/>
        <v>21.551724137931036</v>
      </c>
      <c r="AT81" s="1107">
        <f t="shared" si="40"/>
        <v>21.645021645021643</v>
      </c>
      <c r="AU81" s="1107">
        <f t="shared" si="41"/>
        <v>17.621145374449341</v>
      </c>
      <c r="AV81" s="1107">
        <f t="shared" si="42"/>
        <v>18.140589569160998</v>
      </c>
      <c r="AW81" s="1107">
        <f t="shared" si="43"/>
        <v>25.380710659898476</v>
      </c>
      <c r="AX81" s="1107">
        <f t="shared" si="44"/>
        <v>28.795811518324605</v>
      </c>
      <c r="AY81" s="1107">
        <f t="shared" si="45"/>
        <v>37.940379403794033</v>
      </c>
      <c r="AZ81" s="1107">
        <f t="shared" si="46"/>
        <v>16.393442622950822</v>
      </c>
      <c r="BA81" s="1107">
        <f t="shared" si="47"/>
        <v>31.746031746031743</v>
      </c>
      <c r="BB81" s="1107">
        <f t="shared" si="48"/>
        <v>24.229074889867842</v>
      </c>
      <c r="BC81" s="1107">
        <f t="shared" si="49"/>
        <v>13.793103448275861</v>
      </c>
      <c r="BD81" s="1307">
        <f t="shared" si="50"/>
        <v>2.2522522522522523</v>
      </c>
      <c r="BE81" s="1309">
        <f t="shared" si="51"/>
        <v>11.933174224343675</v>
      </c>
      <c r="BF81" s="1537">
        <f t="shared" si="52"/>
        <v>14.598540145985401</v>
      </c>
      <c r="BG81" s="1537">
        <f t="shared" si="53"/>
        <v>2.3148148148148149</v>
      </c>
    </row>
    <row r="82" spans="1:59" s="142" customFormat="1" ht="15.75" customHeight="1" x14ac:dyDescent="0.2">
      <c r="A82" s="149" t="s">
        <v>202</v>
      </c>
      <c r="B82" s="186" t="s">
        <v>301</v>
      </c>
      <c r="C82" s="150" t="s">
        <v>265</v>
      </c>
      <c r="D82" s="1057">
        <v>83</v>
      </c>
      <c r="E82" s="1058">
        <v>93</v>
      </c>
      <c r="F82" s="1059">
        <v>99</v>
      </c>
      <c r="G82" s="1058">
        <v>123</v>
      </c>
      <c r="H82" s="1059">
        <v>107</v>
      </c>
      <c r="I82" s="1058">
        <v>116</v>
      </c>
      <c r="J82" s="1059">
        <v>150</v>
      </c>
      <c r="K82" s="1058">
        <v>111</v>
      </c>
      <c r="L82" s="1072">
        <v>107</v>
      </c>
      <c r="M82" s="1072">
        <v>78</v>
      </c>
      <c r="N82" s="1072">
        <v>98</v>
      </c>
      <c r="O82" s="1072">
        <v>104</v>
      </c>
      <c r="P82" s="1073">
        <v>85</v>
      </c>
      <c r="Q82" s="1073">
        <v>72</v>
      </c>
      <c r="R82" s="1300">
        <v>65</v>
      </c>
      <c r="S82" s="1301">
        <v>68</v>
      </c>
      <c r="T82" s="1531">
        <v>53</v>
      </c>
      <c r="U82" s="1708">
        <v>33</v>
      </c>
      <c r="V82" s="1531"/>
      <c r="W82" s="1080">
        <v>7163</v>
      </c>
      <c r="X82" s="1081">
        <v>7170</v>
      </c>
      <c r="Y82" s="1081">
        <v>7461</v>
      </c>
      <c r="Z82" s="1081">
        <v>7559</v>
      </c>
      <c r="AA82" s="1081">
        <v>7620</v>
      </c>
      <c r="AB82" s="1081">
        <v>7653</v>
      </c>
      <c r="AC82" s="1081">
        <v>7624</v>
      </c>
      <c r="AD82" s="1081">
        <v>7534</v>
      </c>
      <c r="AE82" s="1081">
        <v>7471</v>
      </c>
      <c r="AF82" s="1081">
        <v>7395</v>
      </c>
      <c r="AG82" s="1081">
        <v>7252</v>
      </c>
      <c r="AH82" s="1081">
        <v>7712</v>
      </c>
      <c r="AI82" s="1081">
        <v>7852</v>
      </c>
      <c r="AJ82" s="1081">
        <v>7724</v>
      </c>
      <c r="AK82" s="1303">
        <v>7605</v>
      </c>
      <c r="AL82" s="1304">
        <v>7659</v>
      </c>
      <c r="AM82" s="1699">
        <v>7586</v>
      </c>
      <c r="AN82" s="1699">
        <v>7582</v>
      </c>
      <c r="AO82" s="1532"/>
      <c r="AP82" s="1106">
        <f t="shared" si="36"/>
        <v>11.587323747033366</v>
      </c>
      <c r="AQ82" s="1107">
        <f t="shared" si="37"/>
        <v>12.97071129707113</v>
      </c>
      <c r="AR82" s="1107">
        <f t="shared" si="38"/>
        <v>13.268998793727382</v>
      </c>
      <c r="AS82" s="1107">
        <f t="shared" si="39"/>
        <v>16.271993649953696</v>
      </c>
      <c r="AT82" s="1107">
        <f t="shared" si="40"/>
        <v>14.041994750656167</v>
      </c>
      <c r="AU82" s="1107">
        <f t="shared" si="41"/>
        <v>15.157454592970076</v>
      </c>
      <c r="AV82" s="1107">
        <f t="shared" si="42"/>
        <v>19.67471143756558</v>
      </c>
      <c r="AW82" s="1107">
        <f t="shared" si="43"/>
        <v>14.733209450491106</v>
      </c>
      <c r="AX82" s="1107">
        <f t="shared" si="44"/>
        <v>14.322045241600856</v>
      </c>
      <c r="AY82" s="1107">
        <f t="shared" si="45"/>
        <v>10.547667342799189</v>
      </c>
      <c r="AZ82" s="1107">
        <f t="shared" si="46"/>
        <v>13.513513513513514</v>
      </c>
      <c r="BA82" s="1107">
        <f t="shared" si="47"/>
        <v>13.485477178423237</v>
      </c>
      <c r="BB82" s="1107">
        <f t="shared" si="48"/>
        <v>10.825267447784004</v>
      </c>
      <c r="BC82" s="1107">
        <f t="shared" si="49"/>
        <v>9.321595028482653</v>
      </c>
      <c r="BD82" s="1307">
        <f t="shared" si="50"/>
        <v>8.5470085470085486</v>
      </c>
      <c r="BE82" s="1309">
        <f t="shared" si="51"/>
        <v>8.8784436610523567</v>
      </c>
      <c r="BF82" s="1537">
        <f t="shared" si="52"/>
        <v>6.9865541787503291</v>
      </c>
      <c r="BG82" s="1537">
        <f t="shared" si="53"/>
        <v>4.3524136111843834</v>
      </c>
    </row>
    <row r="83" spans="1:59" s="142" customFormat="1" ht="15.75" customHeight="1" x14ac:dyDescent="0.2">
      <c r="A83" s="149" t="s">
        <v>204</v>
      </c>
      <c r="B83" s="186" t="s">
        <v>293</v>
      </c>
      <c r="C83" s="150" t="s">
        <v>265</v>
      </c>
      <c r="D83" s="1057">
        <v>46</v>
      </c>
      <c r="E83" s="1058">
        <v>29</v>
      </c>
      <c r="F83" s="1059">
        <v>31</v>
      </c>
      <c r="G83" s="1058">
        <v>36</v>
      </c>
      <c r="H83" s="1059">
        <v>35</v>
      </c>
      <c r="I83" s="1058">
        <v>32</v>
      </c>
      <c r="J83" s="1059">
        <v>44</v>
      </c>
      <c r="K83" s="1058">
        <v>38</v>
      </c>
      <c r="L83" s="1072">
        <v>28</v>
      </c>
      <c r="M83" s="1072">
        <v>41</v>
      </c>
      <c r="N83" s="1072">
        <v>44</v>
      </c>
      <c r="O83" s="1072">
        <v>44</v>
      </c>
      <c r="P83" s="1073">
        <v>36</v>
      </c>
      <c r="Q83" s="1073">
        <v>33</v>
      </c>
      <c r="R83" s="1300">
        <v>25</v>
      </c>
      <c r="S83" s="1301">
        <v>18</v>
      </c>
      <c r="T83" s="1531">
        <v>31</v>
      </c>
      <c r="U83" s="1708">
        <v>19</v>
      </c>
      <c r="V83" s="1531"/>
      <c r="W83" s="1080">
        <v>2089</v>
      </c>
      <c r="X83" s="1081">
        <v>2084</v>
      </c>
      <c r="Y83" s="1081">
        <v>2310</v>
      </c>
      <c r="Z83" s="1081">
        <v>2279</v>
      </c>
      <c r="AA83" s="1081">
        <v>2250</v>
      </c>
      <c r="AB83" s="1081">
        <v>2247</v>
      </c>
      <c r="AC83" s="1081">
        <v>2213</v>
      </c>
      <c r="AD83" s="1081">
        <v>2229</v>
      </c>
      <c r="AE83" s="1081">
        <v>2211</v>
      </c>
      <c r="AF83" s="1081">
        <v>2213</v>
      </c>
      <c r="AG83" s="1081">
        <v>2199</v>
      </c>
      <c r="AH83" s="1081">
        <v>2135</v>
      </c>
      <c r="AI83" s="1081">
        <v>2275</v>
      </c>
      <c r="AJ83" s="1081">
        <v>2244</v>
      </c>
      <c r="AK83" s="1303">
        <v>2268</v>
      </c>
      <c r="AL83" s="1304">
        <v>2267</v>
      </c>
      <c r="AM83" s="1699">
        <v>2289</v>
      </c>
      <c r="AN83" s="1699">
        <v>2287</v>
      </c>
      <c r="AO83" s="1532"/>
      <c r="AP83" s="1106">
        <f t="shared" si="36"/>
        <v>22.020105313547152</v>
      </c>
      <c r="AQ83" s="1107">
        <f t="shared" si="37"/>
        <v>13.915547024952014</v>
      </c>
      <c r="AR83" s="1107">
        <f t="shared" si="38"/>
        <v>13.419913419913421</v>
      </c>
      <c r="AS83" s="1107">
        <f t="shared" si="39"/>
        <v>15.796401930671347</v>
      </c>
      <c r="AT83" s="1107">
        <f t="shared" si="40"/>
        <v>15.555555555555555</v>
      </c>
      <c r="AU83" s="1107">
        <f t="shared" si="41"/>
        <v>14.241210502892745</v>
      </c>
      <c r="AV83" s="1107">
        <f t="shared" si="42"/>
        <v>19.882512426570266</v>
      </c>
      <c r="AW83" s="1107">
        <f t="shared" si="43"/>
        <v>17.048003589053387</v>
      </c>
      <c r="AX83" s="1107">
        <f t="shared" si="44"/>
        <v>12.663952962460424</v>
      </c>
      <c r="AY83" s="1107">
        <f t="shared" si="45"/>
        <v>18.526886579304112</v>
      </c>
      <c r="AZ83" s="1107">
        <f t="shared" si="46"/>
        <v>20.009095043201455</v>
      </c>
      <c r="BA83" s="1107">
        <f t="shared" si="47"/>
        <v>20.608899297423889</v>
      </c>
      <c r="BB83" s="1107">
        <f t="shared" si="48"/>
        <v>15.824175824175825</v>
      </c>
      <c r="BC83" s="1107">
        <f t="shared" si="49"/>
        <v>14.705882352941176</v>
      </c>
      <c r="BD83" s="1307">
        <f t="shared" si="50"/>
        <v>11.022927689594356</v>
      </c>
      <c r="BE83" s="1309">
        <f t="shared" si="51"/>
        <v>7.9400088222320235</v>
      </c>
      <c r="BF83" s="1537">
        <f t="shared" si="52"/>
        <v>13.543031891655744</v>
      </c>
      <c r="BG83" s="1537">
        <f t="shared" si="53"/>
        <v>8.3078268473983385</v>
      </c>
    </row>
    <row r="84" spans="1:59" s="142" customFormat="1" ht="15.75" customHeight="1" x14ac:dyDescent="0.2">
      <c r="A84" s="149" t="s">
        <v>206</v>
      </c>
      <c r="B84" s="186" t="s">
        <v>294</v>
      </c>
      <c r="C84" s="150" t="s">
        <v>267</v>
      </c>
      <c r="D84" s="1057">
        <v>166</v>
      </c>
      <c r="E84" s="1058">
        <v>179</v>
      </c>
      <c r="F84" s="1059">
        <v>150</v>
      </c>
      <c r="G84" s="1058">
        <v>165</v>
      </c>
      <c r="H84" s="1059">
        <v>138</v>
      </c>
      <c r="I84" s="1058">
        <v>160</v>
      </c>
      <c r="J84" s="1059">
        <v>159</v>
      </c>
      <c r="K84" s="1058">
        <v>141</v>
      </c>
      <c r="L84" s="1072">
        <v>155</v>
      </c>
      <c r="M84" s="1072">
        <v>138</v>
      </c>
      <c r="N84" s="1072">
        <v>145</v>
      </c>
      <c r="O84" s="1072">
        <v>120</v>
      </c>
      <c r="P84" s="1073">
        <v>133</v>
      </c>
      <c r="Q84" s="1073">
        <v>124</v>
      </c>
      <c r="R84" s="1300">
        <v>90</v>
      </c>
      <c r="S84" s="1301">
        <v>110</v>
      </c>
      <c r="T84" s="1531">
        <v>96</v>
      </c>
      <c r="U84" s="1708">
        <v>104</v>
      </c>
      <c r="V84" s="1531"/>
      <c r="W84" s="1080">
        <v>7556</v>
      </c>
      <c r="X84" s="1081">
        <v>7629</v>
      </c>
      <c r="Y84" s="1081">
        <v>9246</v>
      </c>
      <c r="Z84" s="1081">
        <v>8922</v>
      </c>
      <c r="AA84" s="1081">
        <v>8890</v>
      </c>
      <c r="AB84" s="1081">
        <v>8966</v>
      </c>
      <c r="AC84" s="1081">
        <v>8982</v>
      </c>
      <c r="AD84" s="1081">
        <v>8971</v>
      </c>
      <c r="AE84" s="1081">
        <v>9080</v>
      </c>
      <c r="AF84" s="1081">
        <v>9420</v>
      </c>
      <c r="AG84" s="1081">
        <v>9278</v>
      </c>
      <c r="AH84" s="1081">
        <v>9613</v>
      </c>
      <c r="AI84" s="1081">
        <v>10756</v>
      </c>
      <c r="AJ84" s="1081">
        <v>10625</v>
      </c>
      <c r="AK84" s="1303">
        <v>10687</v>
      </c>
      <c r="AL84" s="1304">
        <v>10758</v>
      </c>
      <c r="AM84" s="1699">
        <v>10786</v>
      </c>
      <c r="AN84" s="1699">
        <v>10736</v>
      </c>
      <c r="AO84" s="1532"/>
      <c r="AP84" s="1106">
        <f t="shared" si="36"/>
        <v>21.969295923769188</v>
      </c>
      <c r="AQ84" s="1107">
        <f t="shared" si="37"/>
        <v>23.46310132389566</v>
      </c>
      <c r="AR84" s="1107">
        <f t="shared" si="38"/>
        <v>16.223231667748216</v>
      </c>
      <c r="AS84" s="1107">
        <f t="shared" si="39"/>
        <v>18.493611297915265</v>
      </c>
      <c r="AT84" s="1107">
        <f t="shared" si="40"/>
        <v>15.523059617547807</v>
      </c>
      <c r="AU84" s="1107">
        <f t="shared" si="41"/>
        <v>17.845192951148785</v>
      </c>
      <c r="AV84" s="1107">
        <f t="shared" si="42"/>
        <v>17.702070808283231</v>
      </c>
      <c r="AW84" s="1107">
        <f t="shared" si="43"/>
        <v>15.717311336528816</v>
      </c>
      <c r="AX84" s="1107">
        <f t="shared" si="44"/>
        <v>17.070484581497798</v>
      </c>
      <c r="AY84" s="1107">
        <f t="shared" si="45"/>
        <v>14.64968152866242</v>
      </c>
      <c r="AZ84" s="1107">
        <f t="shared" si="46"/>
        <v>15.628368182798017</v>
      </c>
      <c r="BA84" s="1107">
        <f t="shared" si="47"/>
        <v>12.483095807760325</v>
      </c>
      <c r="BB84" s="1107">
        <f t="shared" si="48"/>
        <v>12.365191521011528</v>
      </c>
      <c r="BC84" s="1107">
        <f t="shared" si="49"/>
        <v>11.670588235294119</v>
      </c>
      <c r="BD84" s="1307">
        <f t="shared" si="50"/>
        <v>8.4214466173856088</v>
      </c>
      <c r="BE84" s="1309">
        <f t="shared" si="51"/>
        <v>10.224948875255624</v>
      </c>
      <c r="BF84" s="1537">
        <f t="shared" si="52"/>
        <v>8.9004264787687735</v>
      </c>
      <c r="BG84" s="1537">
        <f t="shared" si="53"/>
        <v>9.6870342771982116</v>
      </c>
    </row>
    <row r="85" spans="1:59" s="142" customFormat="1" ht="15.75" customHeight="1" x14ac:dyDescent="0.2">
      <c r="A85" s="149" t="s">
        <v>208</v>
      </c>
      <c r="B85" s="186" t="s">
        <v>209</v>
      </c>
      <c r="C85" s="150" t="s">
        <v>268</v>
      </c>
      <c r="D85" s="1057">
        <v>56</v>
      </c>
      <c r="E85" s="1058">
        <v>51</v>
      </c>
      <c r="F85" s="1059">
        <v>42</v>
      </c>
      <c r="G85" s="1058">
        <v>47</v>
      </c>
      <c r="H85" s="1059">
        <v>34</v>
      </c>
      <c r="I85" s="1058">
        <v>41</v>
      </c>
      <c r="J85" s="1059">
        <v>34</v>
      </c>
      <c r="K85" s="1058">
        <v>25</v>
      </c>
      <c r="L85" s="1072">
        <v>41</v>
      </c>
      <c r="M85" s="1072">
        <v>27</v>
      </c>
      <c r="N85" s="1072">
        <v>48</v>
      </c>
      <c r="O85" s="1072">
        <v>39</v>
      </c>
      <c r="P85" s="1073">
        <v>45</v>
      </c>
      <c r="Q85" s="1073">
        <v>32</v>
      </c>
      <c r="R85" s="1300">
        <v>36</v>
      </c>
      <c r="S85" s="1301">
        <v>47</v>
      </c>
      <c r="T85" s="1531">
        <v>31</v>
      </c>
      <c r="U85" s="1708">
        <v>26</v>
      </c>
      <c r="V85" s="1531"/>
      <c r="W85" s="1080">
        <v>1787</v>
      </c>
      <c r="X85" s="1081">
        <v>1739</v>
      </c>
      <c r="Y85" s="1081">
        <v>1824</v>
      </c>
      <c r="Z85" s="1081">
        <v>1765</v>
      </c>
      <c r="AA85" s="1081">
        <v>1739</v>
      </c>
      <c r="AB85" s="1081">
        <v>1726</v>
      </c>
      <c r="AC85" s="1081">
        <v>1724</v>
      </c>
      <c r="AD85" s="1081">
        <v>1711</v>
      </c>
      <c r="AE85" s="1081">
        <v>1699</v>
      </c>
      <c r="AF85" s="1081">
        <v>1680</v>
      </c>
      <c r="AG85" s="1081">
        <v>1674</v>
      </c>
      <c r="AH85" s="1081">
        <v>1683</v>
      </c>
      <c r="AI85" s="1081">
        <v>1697</v>
      </c>
      <c r="AJ85" s="1081">
        <v>1628</v>
      </c>
      <c r="AK85" s="1303">
        <v>1558</v>
      </c>
      <c r="AL85" s="1304">
        <v>1534</v>
      </c>
      <c r="AM85" s="1699">
        <v>1544</v>
      </c>
      <c r="AN85" s="1699">
        <v>1556</v>
      </c>
      <c r="AO85" s="1532"/>
      <c r="AP85" s="1106">
        <f t="shared" si="36"/>
        <v>31.337437045327363</v>
      </c>
      <c r="AQ85" s="1107">
        <f t="shared" si="37"/>
        <v>29.327199539965498</v>
      </c>
      <c r="AR85" s="1107">
        <f t="shared" si="38"/>
        <v>23.026315789473681</v>
      </c>
      <c r="AS85" s="1107">
        <f t="shared" si="39"/>
        <v>26.628895184135978</v>
      </c>
      <c r="AT85" s="1107">
        <f t="shared" si="40"/>
        <v>19.551466359976999</v>
      </c>
      <c r="AU85" s="1107">
        <f t="shared" si="41"/>
        <v>23.754345307068366</v>
      </c>
      <c r="AV85" s="1107">
        <f t="shared" si="42"/>
        <v>19.721577726218097</v>
      </c>
      <c r="AW85" s="1107">
        <f t="shared" si="43"/>
        <v>14.611338398597312</v>
      </c>
      <c r="AX85" s="1107">
        <f t="shared" si="44"/>
        <v>24.131842260153032</v>
      </c>
      <c r="AY85" s="1107">
        <f t="shared" si="45"/>
        <v>16.071428571428569</v>
      </c>
      <c r="AZ85" s="1107">
        <f t="shared" si="46"/>
        <v>28.673835125448029</v>
      </c>
      <c r="BA85" s="1107">
        <f t="shared" si="47"/>
        <v>23.172905525846705</v>
      </c>
      <c r="BB85" s="1107">
        <f t="shared" si="48"/>
        <v>26.517383618149676</v>
      </c>
      <c r="BC85" s="1107">
        <f t="shared" si="49"/>
        <v>19.656019656019655</v>
      </c>
      <c r="BD85" s="1307">
        <f t="shared" si="50"/>
        <v>23.106546854942234</v>
      </c>
      <c r="BE85" s="1309">
        <f t="shared" si="51"/>
        <v>30.638852672750978</v>
      </c>
      <c r="BF85" s="1537">
        <f t="shared" si="52"/>
        <v>20.077720207253883</v>
      </c>
      <c r="BG85" s="1537">
        <f t="shared" si="53"/>
        <v>16.709511568123393</v>
      </c>
    </row>
    <row r="86" spans="1:59" s="142" customFormat="1" ht="15.75" customHeight="1" x14ac:dyDescent="0.2">
      <c r="A86" s="149" t="s">
        <v>210</v>
      </c>
      <c r="B86" s="186" t="s">
        <v>211</v>
      </c>
      <c r="C86" s="150" t="s">
        <v>268</v>
      </c>
      <c r="D86" s="1057">
        <v>39</v>
      </c>
      <c r="E86" s="1058">
        <v>34</v>
      </c>
      <c r="F86" s="1059">
        <v>34</v>
      </c>
      <c r="G86" s="1058">
        <v>42</v>
      </c>
      <c r="H86" s="1059">
        <v>27</v>
      </c>
      <c r="I86" s="1058">
        <v>26</v>
      </c>
      <c r="J86" s="1059">
        <v>32</v>
      </c>
      <c r="K86" s="1058">
        <v>29</v>
      </c>
      <c r="L86" s="1072">
        <v>30</v>
      </c>
      <c r="M86" s="1072">
        <v>26</v>
      </c>
      <c r="N86" s="1072">
        <v>29</v>
      </c>
      <c r="O86" s="1072">
        <v>33</v>
      </c>
      <c r="P86" s="1073">
        <v>29</v>
      </c>
      <c r="Q86" s="1073">
        <v>34</v>
      </c>
      <c r="R86" s="1300">
        <v>19</v>
      </c>
      <c r="S86" s="1301">
        <v>19</v>
      </c>
      <c r="T86" s="1531">
        <v>15</v>
      </c>
      <c r="U86" s="1708">
        <v>13</v>
      </c>
      <c r="V86" s="1531"/>
      <c r="W86" s="1080">
        <v>1341</v>
      </c>
      <c r="X86" s="1081">
        <v>1316</v>
      </c>
      <c r="Y86" s="1081">
        <v>1391</v>
      </c>
      <c r="Z86" s="1081">
        <v>1363</v>
      </c>
      <c r="AA86" s="1081">
        <v>1318</v>
      </c>
      <c r="AB86" s="1081">
        <v>1289</v>
      </c>
      <c r="AC86" s="1081">
        <v>1291</v>
      </c>
      <c r="AD86" s="1081">
        <v>1274</v>
      </c>
      <c r="AE86" s="1081">
        <v>1230</v>
      </c>
      <c r="AF86" s="1081">
        <v>1201</v>
      </c>
      <c r="AG86" s="1081">
        <v>1189</v>
      </c>
      <c r="AH86" s="1081">
        <v>1195</v>
      </c>
      <c r="AI86" s="1081">
        <v>1275</v>
      </c>
      <c r="AJ86" s="1081">
        <v>1243</v>
      </c>
      <c r="AK86" s="1303">
        <v>1243</v>
      </c>
      <c r="AL86" s="1304">
        <v>1228</v>
      </c>
      <c r="AM86" s="1699">
        <v>1214</v>
      </c>
      <c r="AN86" s="1699">
        <v>1177</v>
      </c>
      <c r="AO86" s="1532"/>
      <c r="AP86" s="1106">
        <f t="shared" si="36"/>
        <v>29.082774049217001</v>
      </c>
      <c r="AQ86" s="1107">
        <f t="shared" si="37"/>
        <v>25.835866261398177</v>
      </c>
      <c r="AR86" s="1107">
        <f t="shared" si="38"/>
        <v>24.442846872753414</v>
      </c>
      <c r="AS86" s="1107">
        <f t="shared" si="39"/>
        <v>30.814380044020542</v>
      </c>
      <c r="AT86" s="1107">
        <f t="shared" si="40"/>
        <v>20.485584218512901</v>
      </c>
      <c r="AU86" s="1107">
        <f t="shared" si="41"/>
        <v>20.17067494181536</v>
      </c>
      <c r="AV86" s="1107">
        <f t="shared" si="42"/>
        <v>24.786986831913246</v>
      </c>
      <c r="AW86" s="1107">
        <f t="shared" si="43"/>
        <v>22.762951334379906</v>
      </c>
      <c r="AX86" s="1107">
        <f t="shared" si="44"/>
        <v>24.390243902439025</v>
      </c>
      <c r="AY86" s="1107">
        <f t="shared" si="45"/>
        <v>21.64862614487927</v>
      </c>
      <c r="AZ86" s="1107">
        <f t="shared" si="46"/>
        <v>24.390243902439025</v>
      </c>
      <c r="BA86" s="1107">
        <f t="shared" si="47"/>
        <v>27.615062761506277</v>
      </c>
      <c r="BB86" s="1107">
        <f t="shared" si="48"/>
        <v>22.745098039215684</v>
      </c>
      <c r="BC86" s="1107">
        <f t="shared" si="49"/>
        <v>27.353177795655672</v>
      </c>
      <c r="BD86" s="1307">
        <f t="shared" si="50"/>
        <v>15.285599356395815</v>
      </c>
      <c r="BE86" s="1309">
        <f t="shared" si="51"/>
        <v>15.472312703583063</v>
      </c>
      <c r="BF86" s="1537">
        <f t="shared" si="52"/>
        <v>12.355848434925866</v>
      </c>
      <c r="BG86" s="1537">
        <f t="shared" si="53"/>
        <v>11.04502973661852</v>
      </c>
    </row>
    <row r="87" spans="1:59" s="142" customFormat="1" ht="15.75" customHeight="1" x14ac:dyDescent="0.2">
      <c r="A87" s="149" t="s">
        <v>212</v>
      </c>
      <c r="B87" s="186" t="s">
        <v>213</v>
      </c>
      <c r="C87" s="150" t="s">
        <v>267</v>
      </c>
      <c r="D87" s="1057">
        <v>50</v>
      </c>
      <c r="E87" s="1058">
        <v>43</v>
      </c>
      <c r="F87" s="1059">
        <v>54</v>
      </c>
      <c r="G87" s="1058">
        <v>52</v>
      </c>
      <c r="H87" s="1059">
        <v>56</v>
      </c>
      <c r="I87" s="1058">
        <v>54</v>
      </c>
      <c r="J87" s="1059">
        <v>49</v>
      </c>
      <c r="K87" s="1058">
        <v>60</v>
      </c>
      <c r="L87" s="1072">
        <v>60</v>
      </c>
      <c r="M87" s="1072">
        <v>65</v>
      </c>
      <c r="N87" s="1072">
        <v>52</v>
      </c>
      <c r="O87" s="1072">
        <v>48</v>
      </c>
      <c r="P87" s="1073">
        <v>54</v>
      </c>
      <c r="Q87" s="1073">
        <v>26</v>
      </c>
      <c r="R87" s="1300">
        <v>42</v>
      </c>
      <c r="S87" s="1301">
        <v>43</v>
      </c>
      <c r="T87" s="1531">
        <v>41</v>
      </c>
      <c r="U87" s="1708">
        <v>24</v>
      </c>
      <c r="V87" s="1531"/>
      <c r="W87" s="1080">
        <v>2065</v>
      </c>
      <c r="X87" s="1081">
        <v>2088</v>
      </c>
      <c r="Y87" s="1081">
        <v>2170</v>
      </c>
      <c r="Z87" s="1081">
        <v>2236</v>
      </c>
      <c r="AA87" s="1081">
        <v>2230</v>
      </c>
      <c r="AB87" s="1081">
        <v>2255</v>
      </c>
      <c r="AC87" s="1081">
        <v>2314</v>
      </c>
      <c r="AD87" s="1081">
        <v>2351</v>
      </c>
      <c r="AE87" s="1081">
        <v>2343</v>
      </c>
      <c r="AF87" s="1081">
        <v>2345</v>
      </c>
      <c r="AG87" s="1081">
        <v>2335</v>
      </c>
      <c r="AH87" s="1081">
        <v>2409</v>
      </c>
      <c r="AI87" s="1081">
        <v>2519</v>
      </c>
      <c r="AJ87" s="1081">
        <v>2519</v>
      </c>
      <c r="AK87" s="1303">
        <v>2509</v>
      </c>
      <c r="AL87" s="1304">
        <v>2513</v>
      </c>
      <c r="AM87" s="1699">
        <v>2543</v>
      </c>
      <c r="AN87" s="1699">
        <v>2595</v>
      </c>
      <c r="AO87" s="1532"/>
      <c r="AP87" s="1106">
        <f t="shared" si="36"/>
        <v>24.213075060532688</v>
      </c>
      <c r="AQ87" s="1107">
        <f t="shared" si="37"/>
        <v>20.593869731800766</v>
      </c>
      <c r="AR87" s="1107">
        <f t="shared" si="38"/>
        <v>24.88479262672811</v>
      </c>
      <c r="AS87" s="1107">
        <f t="shared" si="39"/>
        <v>23.255813953488371</v>
      </c>
      <c r="AT87" s="1107">
        <f t="shared" si="40"/>
        <v>25.112107623318384</v>
      </c>
      <c r="AU87" s="1107">
        <f t="shared" si="41"/>
        <v>23.946784922394681</v>
      </c>
      <c r="AV87" s="1107">
        <f t="shared" si="42"/>
        <v>21.175453759723425</v>
      </c>
      <c r="AW87" s="1107">
        <f t="shared" si="43"/>
        <v>25.521054870267971</v>
      </c>
      <c r="AX87" s="1107">
        <f t="shared" si="44"/>
        <v>25.608194622279129</v>
      </c>
      <c r="AY87" s="1107">
        <f t="shared" si="45"/>
        <v>27.718550106609808</v>
      </c>
      <c r="AZ87" s="1107">
        <f t="shared" si="46"/>
        <v>22.26980728051392</v>
      </c>
      <c r="BA87" s="1107">
        <f t="shared" si="47"/>
        <v>19.925280199252803</v>
      </c>
      <c r="BB87" s="1107">
        <f t="shared" si="48"/>
        <v>21.437078205637157</v>
      </c>
      <c r="BC87" s="1107">
        <f t="shared" si="49"/>
        <v>10.321556173084558</v>
      </c>
      <c r="BD87" s="1307">
        <f t="shared" si="50"/>
        <v>16.739736946990835</v>
      </c>
      <c r="BE87" s="1309">
        <f t="shared" si="51"/>
        <v>17.111022682053324</v>
      </c>
      <c r="BF87" s="1537">
        <f t="shared" si="52"/>
        <v>16.122689736531655</v>
      </c>
      <c r="BG87" s="1537">
        <f t="shared" si="53"/>
        <v>9.2485549132947984</v>
      </c>
    </row>
    <row r="88" spans="1:59" s="142" customFormat="1" ht="15.75" customHeight="1" x14ac:dyDescent="0.2">
      <c r="A88" s="149" t="s">
        <v>214</v>
      </c>
      <c r="B88" s="186" t="s">
        <v>215</v>
      </c>
      <c r="C88" s="150" t="s">
        <v>268</v>
      </c>
      <c r="D88" s="1057">
        <v>65</v>
      </c>
      <c r="E88" s="1058">
        <v>54</v>
      </c>
      <c r="F88" s="1059">
        <v>56</v>
      </c>
      <c r="G88" s="1058">
        <v>56</v>
      </c>
      <c r="H88" s="1059">
        <v>57</v>
      </c>
      <c r="I88" s="1058">
        <v>73</v>
      </c>
      <c r="J88" s="1059">
        <v>39</v>
      </c>
      <c r="K88" s="1058">
        <v>57</v>
      </c>
      <c r="L88" s="1072">
        <v>58</v>
      </c>
      <c r="M88" s="1072">
        <v>70</v>
      </c>
      <c r="N88" s="1072">
        <v>69</v>
      </c>
      <c r="O88" s="1072">
        <v>47</v>
      </c>
      <c r="P88" s="1073">
        <v>66</v>
      </c>
      <c r="Q88" s="1073">
        <v>65</v>
      </c>
      <c r="R88" s="1300">
        <v>51</v>
      </c>
      <c r="S88" s="1301">
        <v>34</v>
      </c>
      <c r="T88" s="1531">
        <v>37</v>
      </c>
      <c r="U88" s="1708">
        <v>31</v>
      </c>
      <c r="V88" s="1531"/>
      <c r="W88" s="1080">
        <v>2121</v>
      </c>
      <c r="X88" s="1081">
        <v>2102</v>
      </c>
      <c r="Y88" s="1081">
        <v>2006</v>
      </c>
      <c r="Z88" s="1081">
        <v>1959</v>
      </c>
      <c r="AA88" s="1081">
        <v>1963</v>
      </c>
      <c r="AB88" s="1081">
        <v>1999</v>
      </c>
      <c r="AC88" s="1081">
        <v>2006</v>
      </c>
      <c r="AD88" s="1081">
        <v>2095</v>
      </c>
      <c r="AE88" s="1081">
        <v>2053</v>
      </c>
      <c r="AF88" s="1081">
        <v>1999</v>
      </c>
      <c r="AG88" s="1081">
        <v>1948</v>
      </c>
      <c r="AH88" s="1081">
        <v>1848</v>
      </c>
      <c r="AI88" s="1081">
        <v>1952</v>
      </c>
      <c r="AJ88" s="1081">
        <v>1860</v>
      </c>
      <c r="AK88" s="1303">
        <v>1833</v>
      </c>
      <c r="AL88" s="1304">
        <v>1775</v>
      </c>
      <c r="AM88" s="1699">
        <v>1756</v>
      </c>
      <c r="AN88" s="1699">
        <v>1716</v>
      </c>
      <c r="AO88" s="1532"/>
      <c r="AP88" s="1106">
        <f t="shared" si="36"/>
        <v>30.645921735030647</v>
      </c>
      <c r="AQ88" s="1107">
        <f t="shared" si="37"/>
        <v>25.689819219790675</v>
      </c>
      <c r="AR88" s="1107">
        <f t="shared" si="38"/>
        <v>27.916251246261215</v>
      </c>
      <c r="AS88" s="1107">
        <f t="shared" si="39"/>
        <v>28.58601327207759</v>
      </c>
      <c r="AT88" s="1107">
        <f t="shared" si="40"/>
        <v>29.037187977585329</v>
      </c>
      <c r="AU88" s="1107">
        <f t="shared" si="41"/>
        <v>36.518259129564782</v>
      </c>
      <c r="AV88" s="1107">
        <f t="shared" si="42"/>
        <v>19.441674975074775</v>
      </c>
      <c r="AW88" s="1107">
        <f t="shared" si="43"/>
        <v>27.207637231503579</v>
      </c>
      <c r="AX88" s="1107">
        <f t="shared" si="44"/>
        <v>28.251339503166101</v>
      </c>
      <c r="AY88" s="1107">
        <f t="shared" si="45"/>
        <v>35.017508754377189</v>
      </c>
      <c r="AZ88" s="1107">
        <f t="shared" si="46"/>
        <v>35.420944558521555</v>
      </c>
      <c r="BA88" s="1107">
        <f t="shared" si="47"/>
        <v>25.432900432900432</v>
      </c>
      <c r="BB88" s="1107">
        <f t="shared" si="48"/>
        <v>33.811475409836071</v>
      </c>
      <c r="BC88" s="1107">
        <f t="shared" si="49"/>
        <v>34.946236559139784</v>
      </c>
      <c r="BD88" s="1307">
        <f t="shared" si="50"/>
        <v>27.823240589198036</v>
      </c>
      <c r="BE88" s="1309">
        <f t="shared" si="51"/>
        <v>19.154929577464788</v>
      </c>
      <c r="BF88" s="1537">
        <f t="shared" si="52"/>
        <v>21.070615034168565</v>
      </c>
      <c r="BG88" s="1537">
        <f t="shared" si="53"/>
        <v>18.065268065268064</v>
      </c>
    </row>
    <row r="89" spans="1:59" s="142" customFormat="1" ht="15.75" customHeight="1" x14ac:dyDescent="0.2">
      <c r="A89" s="149" t="s">
        <v>216</v>
      </c>
      <c r="B89" s="186" t="s">
        <v>217</v>
      </c>
      <c r="C89" s="150" t="s">
        <v>264</v>
      </c>
      <c r="D89" s="1057">
        <v>28</v>
      </c>
      <c r="E89" s="1058">
        <v>24</v>
      </c>
      <c r="F89" s="1059">
        <v>29</v>
      </c>
      <c r="G89" s="1058">
        <v>31</v>
      </c>
      <c r="H89" s="1059">
        <v>23</v>
      </c>
      <c r="I89" s="1058">
        <v>19</v>
      </c>
      <c r="J89" s="1059">
        <v>20</v>
      </c>
      <c r="K89" s="1058">
        <v>19</v>
      </c>
      <c r="L89" s="1072">
        <v>23</v>
      </c>
      <c r="M89" s="1072">
        <v>26</v>
      </c>
      <c r="N89" s="1072">
        <v>25</v>
      </c>
      <c r="O89" s="1072">
        <v>21</v>
      </c>
      <c r="P89" s="1073">
        <v>14</v>
      </c>
      <c r="Q89" s="1073">
        <v>8</v>
      </c>
      <c r="R89" s="1300">
        <v>7</v>
      </c>
      <c r="S89" s="1301">
        <v>4</v>
      </c>
      <c r="T89" s="1531">
        <v>4</v>
      </c>
      <c r="U89" s="1708">
        <v>5</v>
      </c>
      <c r="V89" s="1531"/>
      <c r="W89" s="1080">
        <v>1004</v>
      </c>
      <c r="X89" s="1081">
        <v>996</v>
      </c>
      <c r="Y89" s="1081">
        <v>1115</v>
      </c>
      <c r="Z89" s="1081">
        <v>1123</v>
      </c>
      <c r="AA89" s="1081">
        <v>1099</v>
      </c>
      <c r="AB89" s="1081">
        <v>1084</v>
      </c>
      <c r="AC89" s="1081">
        <v>1089</v>
      </c>
      <c r="AD89" s="1081">
        <v>1101</v>
      </c>
      <c r="AE89" s="1081">
        <v>1086</v>
      </c>
      <c r="AF89" s="1081">
        <v>1058</v>
      </c>
      <c r="AG89" s="1081">
        <v>1026</v>
      </c>
      <c r="AH89" s="1081">
        <v>1062</v>
      </c>
      <c r="AI89" s="1081">
        <v>1116</v>
      </c>
      <c r="AJ89" s="1081">
        <v>1114</v>
      </c>
      <c r="AK89" s="1303">
        <v>1099</v>
      </c>
      <c r="AL89" s="1304">
        <v>1082</v>
      </c>
      <c r="AM89" s="1699">
        <v>1017</v>
      </c>
      <c r="AN89" s="1699">
        <v>1014</v>
      </c>
      <c r="AO89" s="1532"/>
      <c r="AP89" s="1106">
        <f t="shared" si="36"/>
        <v>27.888446215139442</v>
      </c>
      <c r="AQ89" s="1107">
        <f t="shared" si="37"/>
        <v>24.096385542168676</v>
      </c>
      <c r="AR89" s="1107">
        <f t="shared" si="38"/>
        <v>26.00896860986547</v>
      </c>
      <c r="AS89" s="1107">
        <f t="shared" si="39"/>
        <v>27.604630454140697</v>
      </c>
      <c r="AT89" s="1107">
        <f t="shared" si="40"/>
        <v>20.928116469517743</v>
      </c>
      <c r="AU89" s="1107">
        <f t="shared" si="41"/>
        <v>17.527675276752767</v>
      </c>
      <c r="AV89" s="1107">
        <f t="shared" si="42"/>
        <v>18.365472910927455</v>
      </c>
      <c r="AW89" s="1107">
        <f t="shared" si="43"/>
        <v>17.257039055404178</v>
      </c>
      <c r="AX89" s="1107">
        <f t="shared" si="44"/>
        <v>21.178637200736649</v>
      </c>
      <c r="AY89" s="1107">
        <f t="shared" si="45"/>
        <v>24.574669187145556</v>
      </c>
      <c r="AZ89" s="1107">
        <f t="shared" si="46"/>
        <v>24.366471734892787</v>
      </c>
      <c r="BA89" s="1107">
        <f t="shared" si="47"/>
        <v>19.774011299435031</v>
      </c>
      <c r="BB89" s="1107">
        <f t="shared" si="48"/>
        <v>12.544802867383513</v>
      </c>
      <c r="BC89" s="1107">
        <f t="shared" si="49"/>
        <v>7.1813285457809695</v>
      </c>
      <c r="BD89" s="1307">
        <f t="shared" si="50"/>
        <v>6.369426751592357</v>
      </c>
      <c r="BE89" s="1309">
        <f t="shared" si="51"/>
        <v>3.6968576709796674</v>
      </c>
      <c r="BF89" s="1537">
        <f t="shared" si="52"/>
        <v>3.9331366764995086</v>
      </c>
      <c r="BG89" s="1537">
        <f t="shared" si="53"/>
        <v>4.9309664694280082</v>
      </c>
    </row>
    <row r="90" spans="1:59" s="142" customFormat="1" ht="15.75" customHeight="1" x14ac:dyDescent="0.2">
      <c r="A90" s="149" t="s">
        <v>218</v>
      </c>
      <c r="B90" s="186" t="s">
        <v>219</v>
      </c>
      <c r="C90" s="150" t="s">
        <v>267</v>
      </c>
      <c r="D90" s="1057">
        <v>105</v>
      </c>
      <c r="E90" s="1058">
        <v>113</v>
      </c>
      <c r="F90" s="1059">
        <v>125</v>
      </c>
      <c r="G90" s="1058">
        <v>139</v>
      </c>
      <c r="H90" s="1059">
        <v>134</v>
      </c>
      <c r="I90" s="1058">
        <v>140</v>
      </c>
      <c r="J90" s="1059">
        <v>158</v>
      </c>
      <c r="K90" s="1058">
        <v>130</v>
      </c>
      <c r="L90" s="1072">
        <v>139</v>
      </c>
      <c r="M90" s="1072">
        <v>171</v>
      </c>
      <c r="N90" s="1072">
        <v>150</v>
      </c>
      <c r="O90" s="1072">
        <v>133</v>
      </c>
      <c r="P90" s="1073">
        <v>127</v>
      </c>
      <c r="Q90" s="1073">
        <v>107</v>
      </c>
      <c r="R90" s="1300">
        <v>100</v>
      </c>
      <c r="S90" s="1301">
        <v>94</v>
      </c>
      <c r="T90" s="1531">
        <v>75</v>
      </c>
      <c r="U90" s="1708">
        <v>64</v>
      </c>
      <c r="V90" s="1531"/>
      <c r="W90" s="1080">
        <v>5497</v>
      </c>
      <c r="X90" s="1081">
        <v>5632</v>
      </c>
      <c r="Y90" s="1081">
        <v>6964</v>
      </c>
      <c r="Z90" s="1081">
        <v>7535</v>
      </c>
      <c r="AA90" s="1081">
        <v>7898</v>
      </c>
      <c r="AB90" s="1081">
        <v>8256</v>
      </c>
      <c r="AC90" s="1081">
        <v>8502</v>
      </c>
      <c r="AD90" s="1081">
        <v>8705</v>
      </c>
      <c r="AE90" s="1081">
        <v>8634</v>
      </c>
      <c r="AF90" s="1081">
        <v>8566</v>
      </c>
      <c r="AG90" s="1081">
        <v>8507</v>
      </c>
      <c r="AH90" s="1081">
        <v>9462</v>
      </c>
      <c r="AI90" s="1081">
        <v>9560</v>
      </c>
      <c r="AJ90" s="1081">
        <v>9426</v>
      </c>
      <c r="AK90" s="1303">
        <v>9326</v>
      </c>
      <c r="AL90" s="1304">
        <v>9421</v>
      </c>
      <c r="AM90" s="1699">
        <v>9376</v>
      </c>
      <c r="AN90" s="1699">
        <v>9362</v>
      </c>
      <c r="AO90" s="1532"/>
      <c r="AP90" s="1106">
        <f t="shared" si="36"/>
        <v>19.101327997089321</v>
      </c>
      <c r="AQ90" s="1107">
        <f t="shared" si="37"/>
        <v>20.063920454545457</v>
      </c>
      <c r="AR90" s="1107">
        <f t="shared" si="38"/>
        <v>17.949454336588168</v>
      </c>
      <c r="AS90" s="1107">
        <f t="shared" si="39"/>
        <v>18.447246184472462</v>
      </c>
      <c r="AT90" s="1107">
        <f t="shared" si="40"/>
        <v>16.966320587490504</v>
      </c>
      <c r="AU90" s="1107">
        <f t="shared" si="41"/>
        <v>16.95736434108527</v>
      </c>
      <c r="AV90" s="1107">
        <f t="shared" si="42"/>
        <v>18.583862620559866</v>
      </c>
      <c r="AW90" s="1107">
        <f t="shared" si="43"/>
        <v>14.933946008041357</v>
      </c>
      <c r="AX90" s="1107">
        <f t="shared" si="44"/>
        <v>16.099142923326383</v>
      </c>
      <c r="AY90" s="1107">
        <f t="shared" si="45"/>
        <v>19.962643007237919</v>
      </c>
      <c r="AZ90" s="1107">
        <f t="shared" si="46"/>
        <v>17.632537909956508</v>
      </c>
      <c r="BA90" s="1107">
        <f t="shared" si="47"/>
        <v>14.056224899598392</v>
      </c>
      <c r="BB90" s="1107">
        <f t="shared" si="48"/>
        <v>13.284518828451882</v>
      </c>
      <c r="BC90" s="1107">
        <f t="shared" si="49"/>
        <v>11.351580734139613</v>
      </c>
      <c r="BD90" s="1307">
        <f t="shared" si="50"/>
        <v>10.72271070126528</v>
      </c>
      <c r="BE90" s="1309">
        <f t="shared" si="51"/>
        <v>9.9777093726780599</v>
      </c>
      <c r="BF90" s="1537">
        <f t="shared" si="52"/>
        <v>7.9991467576791804</v>
      </c>
      <c r="BG90" s="1537">
        <f t="shared" si="53"/>
        <v>6.8361461226233713</v>
      </c>
    </row>
    <row r="91" spans="1:59" s="142" customFormat="1" ht="15.75" customHeight="1" x14ac:dyDescent="0.2">
      <c r="A91" s="149" t="s">
        <v>220</v>
      </c>
      <c r="B91" s="186" t="s">
        <v>221</v>
      </c>
      <c r="C91" s="150" t="s">
        <v>267</v>
      </c>
      <c r="D91" s="1057">
        <v>131</v>
      </c>
      <c r="E91" s="1058">
        <v>123</v>
      </c>
      <c r="F91" s="1059">
        <v>99</v>
      </c>
      <c r="G91" s="1058">
        <v>112</v>
      </c>
      <c r="H91" s="1059">
        <v>118</v>
      </c>
      <c r="I91" s="1058">
        <v>134</v>
      </c>
      <c r="J91" s="1059">
        <v>119</v>
      </c>
      <c r="K91" s="1058">
        <v>124</v>
      </c>
      <c r="L91" s="1072">
        <v>134</v>
      </c>
      <c r="M91" s="1072">
        <v>133</v>
      </c>
      <c r="N91" s="1072">
        <v>120</v>
      </c>
      <c r="O91" s="1072">
        <v>111</v>
      </c>
      <c r="P91" s="1073">
        <v>82</v>
      </c>
      <c r="Q91" s="1073">
        <v>89</v>
      </c>
      <c r="R91" s="1300">
        <v>103</v>
      </c>
      <c r="S91" s="1301">
        <v>59</v>
      </c>
      <c r="T91" s="1531">
        <v>76</v>
      </c>
      <c r="U91" s="1708">
        <v>59</v>
      </c>
      <c r="V91" s="1531"/>
      <c r="W91" s="1080">
        <v>5888</v>
      </c>
      <c r="X91" s="1081">
        <v>6049</v>
      </c>
      <c r="Y91" s="1081">
        <v>7564</v>
      </c>
      <c r="Z91" s="1081">
        <v>8188</v>
      </c>
      <c r="AA91" s="1081">
        <v>8624</v>
      </c>
      <c r="AB91" s="1081">
        <v>9085</v>
      </c>
      <c r="AC91" s="1081">
        <v>9313</v>
      </c>
      <c r="AD91" s="1081">
        <v>9440</v>
      </c>
      <c r="AE91" s="1081">
        <v>9376</v>
      </c>
      <c r="AF91" s="1081">
        <v>9393</v>
      </c>
      <c r="AG91" s="1081">
        <v>9346</v>
      </c>
      <c r="AH91" s="1081">
        <v>10621</v>
      </c>
      <c r="AI91" s="1081">
        <v>10676</v>
      </c>
      <c r="AJ91" s="1081">
        <v>10874</v>
      </c>
      <c r="AK91" s="1303">
        <v>10966</v>
      </c>
      <c r="AL91" s="1304">
        <v>11025</v>
      </c>
      <c r="AM91" s="1699">
        <v>11120</v>
      </c>
      <c r="AN91" s="1699">
        <v>11073</v>
      </c>
      <c r="AO91" s="1532"/>
      <c r="AP91" s="1106">
        <f t="shared" si="36"/>
        <v>22.248641304347828</v>
      </c>
      <c r="AQ91" s="1107">
        <f t="shared" si="37"/>
        <v>20.333939494131261</v>
      </c>
      <c r="AR91" s="1107">
        <f t="shared" si="38"/>
        <v>13.088313061872025</v>
      </c>
      <c r="AS91" s="1107">
        <f t="shared" si="39"/>
        <v>13.678553981436249</v>
      </c>
      <c r="AT91" s="1107">
        <f t="shared" si="40"/>
        <v>13.68274582560297</v>
      </c>
      <c r="AU91" s="1107">
        <f t="shared" si="41"/>
        <v>14.749587231700605</v>
      </c>
      <c r="AV91" s="1107">
        <f t="shared" si="42"/>
        <v>12.777837431547299</v>
      </c>
      <c r="AW91" s="1107">
        <f t="shared" si="43"/>
        <v>13.135593220338983</v>
      </c>
      <c r="AX91" s="1107">
        <f t="shared" si="44"/>
        <v>14.291808873720136</v>
      </c>
      <c r="AY91" s="1107">
        <f t="shared" si="45"/>
        <v>14.15948046417545</v>
      </c>
      <c r="AZ91" s="1107">
        <f t="shared" si="46"/>
        <v>12.839717526214423</v>
      </c>
      <c r="BA91" s="1107">
        <f t="shared" si="47"/>
        <v>10.450993315130402</v>
      </c>
      <c r="BB91" s="1107">
        <f t="shared" si="48"/>
        <v>7.6807793180966657</v>
      </c>
      <c r="BC91" s="1107">
        <f t="shared" si="49"/>
        <v>8.184660658451353</v>
      </c>
      <c r="BD91" s="1307">
        <f t="shared" si="50"/>
        <v>9.3926682473098673</v>
      </c>
      <c r="BE91" s="1309">
        <f t="shared" si="51"/>
        <v>5.3514739229024944</v>
      </c>
      <c r="BF91" s="1537">
        <f t="shared" si="52"/>
        <v>6.8345323741007187</v>
      </c>
      <c r="BG91" s="1537">
        <f t="shared" si="53"/>
        <v>5.3282759866341554</v>
      </c>
    </row>
    <row r="92" spans="1:59" s="142" customFormat="1" ht="15.75" customHeight="1" x14ac:dyDescent="0.2">
      <c r="A92" s="149" t="s">
        <v>224</v>
      </c>
      <c r="B92" s="186" t="s">
        <v>225</v>
      </c>
      <c r="C92" s="150" t="s">
        <v>264</v>
      </c>
      <c r="D92" s="1057">
        <v>12</v>
      </c>
      <c r="E92" s="1058">
        <v>11</v>
      </c>
      <c r="F92" s="1059">
        <v>13</v>
      </c>
      <c r="G92" s="1058">
        <v>15</v>
      </c>
      <c r="H92" s="1059">
        <v>9</v>
      </c>
      <c r="I92" s="1058">
        <v>6</v>
      </c>
      <c r="J92" s="1059">
        <v>4</v>
      </c>
      <c r="K92" s="1058">
        <v>9</v>
      </c>
      <c r="L92" s="1072">
        <v>13</v>
      </c>
      <c r="M92" s="1072">
        <v>3</v>
      </c>
      <c r="N92" s="1072">
        <v>12</v>
      </c>
      <c r="O92" s="1072">
        <v>6</v>
      </c>
      <c r="P92" s="1073">
        <v>4</v>
      </c>
      <c r="Q92" s="1073">
        <v>5</v>
      </c>
      <c r="R92" s="1300">
        <v>1</v>
      </c>
      <c r="S92" s="1301">
        <v>2</v>
      </c>
      <c r="T92" s="1531">
        <v>3</v>
      </c>
      <c r="U92" s="1708">
        <v>5</v>
      </c>
      <c r="V92" s="1531"/>
      <c r="W92" s="1080">
        <v>465</v>
      </c>
      <c r="X92" s="1081">
        <v>466</v>
      </c>
      <c r="Y92" s="1081">
        <v>526</v>
      </c>
      <c r="Z92" s="1081">
        <v>530</v>
      </c>
      <c r="AA92" s="1081">
        <v>520</v>
      </c>
      <c r="AB92" s="1081">
        <v>522</v>
      </c>
      <c r="AC92" s="1081">
        <v>519</v>
      </c>
      <c r="AD92" s="1081">
        <v>484</v>
      </c>
      <c r="AE92" s="1081">
        <v>478</v>
      </c>
      <c r="AF92" s="1081">
        <v>459</v>
      </c>
      <c r="AG92" s="1081">
        <v>447</v>
      </c>
      <c r="AH92" s="1081">
        <v>412</v>
      </c>
      <c r="AI92" s="1081">
        <v>431</v>
      </c>
      <c r="AJ92" s="1081">
        <v>424</v>
      </c>
      <c r="AK92" s="1303">
        <v>410</v>
      </c>
      <c r="AL92" s="1304">
        <v>387</v>
      </c>
      <c r="AM92" s="1699">
        <v>379</v>
      </c>
      <c r="AN92" s="1699">
        <v>363</v>
      </c>
      <c r="AO92" s="1532"/>
      <c r="AP92" s="1106">
        <f t="shared" si="36"/>
        <v>25.806451612903224</v>
      </c>
      <c r="AQ92" s="1107">
        <f t="shared" si="37"/>
        <v>23.605150214592275</v>
      </c>
      <c r="AR92" s="1107">
        <f t="shared" si="38"/>
        <v>24.714828897338403</v>
      </c>
      <c r="AS92" s="1107">
        <f t="shared" si="39"/>
        <v>28.30188679245283</v>
      </c>
      <c r="AT92" s="1107">
        <f t="shared" si="40"/>
        <v>17.30769230769231</v>
      </c>
      <c r="AU92" s="1107">
        <f t="shared" si="41"/>
        <v>11.494252873563218</v>
      </c>
      <c r="AV92" s="1107">
        <f t="shared" si="42"/>
        <v>7.7071290944123314</v>
      </c>
      <c r="AW92" s="1107">
        <f t="shared" si="43"/>
        <v>18.595041322314049</v>
      </c>
      <c r="AX92" s="1107">
        <f t="shared" si="44"/>
        <v>27.196652719665273</v>
      </c>
      <c r="AY92" s="1107">
        <f t="shared" si="45"/>
        <v>6.5359477124183005</v>
      </c>
      <c r="AZ92" s="1107">
        <f t="shared" si="46"/>
        <v>26.845637583892618</v>
      </c>
      <c r="BA92" s="1107">
        <f t="shared" si="47"/>
        <v>14.563106796116505</v>
      </c>
      <c r="BB92" s="1107">
        <f t="shared" si="48"/>
        <v>9.2807424593967518</v>
      </c>
      <c r="BC92" s="1107">
        <f t="shared" si="49"/>
        <v>11.79245283018868</v>
      </c>
      <c r="BD92" s="1307">
        <f t="shared" si="50"/>
        <v>2.4390243902439024</v>
      </c>
      <c r="BE92" s="1309">
        <f t="shared" si="51"/>
        <v>5.1679586563307494</v>
      </c>
      <c r="BF92" s="1537">
        <f t="shared" si="52"/>
        <v>7.9155672823219003</v>
      </c>
      <c r="BG92" s="1537">
        <f t="shared" si="53"/>
        <v>13.774104683195592</v>
      </c>
    </row>
    <row r="93" spans="1:59" s="142" customFormat="1" ht="15.75" customHeight="1" x14ac:dyDescent="0.2">
      <c r="A93" s="149" t="s">
        <v>226</v>
      </c>
      <c r="B93" s="186" t="s">
        <v>227</v>
      </c>
      <c r="C93" s="150" t="s">
        <v>264</v>
      </c>
      <c r="D93" s="1057">
        <v>21</v>
      </c>
      <c r="E93" s="1058">
        <v>30</v>
      </c>
      <c r="F93" s="1059">
        <v>29</v>
      </c>
      <c r="G93" s="1058">
        <v>19</v>
      </c>
      <c r="H93" s="1059">
        <v>18</v>
      </c>
      <c r="I93" s="1058">
        <v>19</v>
      </c>
      <c r="J93" s="1059">
        <v>21</v>
      </c>
      <c r="K93" s="1058">
        <v>25</v>
      </c>
      <c r="L93" s="1072">
        <v>18</v>
      </c>
      <c r="M93" s="1072">
        <v>18</v>
      </c>
      <c r="N93" s="1072">
        <v>19</v>
      </c>
      <c r="O93" s="1072">
        <v>18</v>
      </c>
      <c r="P93" s="1073">
        <v>15</v>
      </c>
      <c r="Q93" s="1073">
        <v>18</v>
      </c>
      <c r="R93" s="1300">
        <v>10</v>
      </c>
      <c r="S93" s="1301">
        <v>12</v>
      </c>
      <c r="T93" s="1531">
        <v>6</v>
      </c>
      <c r="U93" s="1708">
        <v>9</v>
      </c>
      <c r="V93" s="1531"/>
      <c r="W93" s="1080">
        <v>696</v>
      </c>
      <c r="X93" s="1081">
        <v>696</v>
      </c>
      <c r="Y93" s="1081">
        <v>633</v>
      </c>
      <c r="Z93" s="1081">
        <v>641</v>
      </c>
      <c r="AA93" s="1081">
        <v>651</v>
      </c>
      <c r="AB93" s="1081">
        <v>645</v>
      </c>
      <c r="AC93" s="1081">
        <v>635</v>
      </c>
      <c r="AD93" s="1081">
        <v>600</v>
      </c>
      <c r="AE93" s="1081">
        <v>599</v>
      </c>
      <c r="AF93" s="1081">
        <v>561</v>
      </c>
      <c r="AG93" s="1081">
        <v>545</v>
      </c>
      <c r="AH93" s="1081">
        <v>539</v>
      </c>
      <c r="AI93" s="1081">
        <v>557</v>
      </c>
      <c r="AJ93" s="1081">
        <v>548</v>
      </c>
      <c r="AK93" s="1303">
        <v>541</v>
      </c>
      <c r="AL93" s="1304">
        <v>518</v>
      </c>
      <c r="AM93" s="1699">
        <v>524</v>
      </c>
      <c r="AN93" s="1699">
        <v>488</v>
      </c>
      <c r="AO93" s="1532"/>
      <c r="AP93" s="1106">
        <f t="shared" si="36"/>
        <v>30.172413793103448</v>
      </c>
      <c r="AQ93" s="1107">
        <f t="shared" si="37"/>
        <v>43.103448275862071</v>
      </c>
      <c r="AR93" s="1107">
        <f t="shared" si="38"/>
        <v>45.813586097946285</v>
      </c>
      <c r="AS93" s="1107">
        <f t="shared" si="39"/>
        <v>29.6411856474259</v>
      </c>
      <c r="AT93" s="1107">
        <f t="shared" si="40"/>
        <v>27.649769585253459</v>
      </c>
      <c r="AU93" s="1107">
        <f t="shared" si="41"/>
        <v>29.45736434108527</v>
      </c>
      <c r="AV93" s="1107">
        <f t="shared" si="42"/>
        <v>33.070866141732282</v>
      </c>
      <c r="AW93" s="1107">
        <f t="shared" si="43"/>
        <v>41.666666666666664</v>
      </c>
      <c r="AX93" s="1107">
        <f t="shared" si="44"/>
        <v>30.050083472454091</v>
      </c>
      <c r="AY93" s="1107">
        <f t="shared" si="45"/>
        <v>32.085561497326204</v>
      </c>
      <c r="AZ93" s="1107">
        <f t="shared" si="46"/>
        <v>34.862385321100916</v>
      </c>
      <c r="BA93" s="1107">
        <f t="shared" si="47"/>
        <v>33.395176252319111</v>
      </c>
      <c r="BB93" s="1107">
        <f t="shared" si="48"/>
        <v>26.929982046678635</v>
      </c>
      <c r="BC93" s="1107">
        <f t="shared" si="49"/>
        <v>32.846715328467155</v>
      </c>
      <c r="BD93" s="1307">
        <f t="shared" si="50"/>
        <v>18.484288354898339</v>
      </c>
      <c r="BE93" s="1309">
        <f t="shared" si="51"/>
        <v>23.166023166023166</v>
      </c>
      <c r="BF93" s="1537">
        <f t="shared" si="52"/>
        <v>11.450381679389313</v>
      </c>
      <c r="BG93" s="1537">
        <f t="shared" si="53"/>
        <v>18.442622950819672</v>
      </c>
    </row>
    <row r="94" spans="1:59" s="142" customFormat="1" ht="15.75" customHeight="1" x14ac:dyDescent="0.2">
      <c r="A94" s="149" t="s">
        <v>228</v>
      </c>
      <c r="B94" s="186" t="s">
        <v>229</v>
      </c>
      <c r="C94" s="150" t="s">
        <v>268</v>
      </c>
      <c r="D94" s="1057">
        <v>46</v>
      </c>
      <c r="E94" s="1058">
        <v>57</v>
      </c>
      <c r="F94" s="1059">
        <v>61</v>
      </c>
      <c r="G94" s="1058">
        <v>74</v>
      </c>
      <c r="H94" s="1059">
        <v>64</v>
      </c>
      <c r="I94" s="1058">
        <v>36</v>
      </c>
      <c r="J94" s="1059">
        <v>51</v>
      </c>
      <c r="K94" s="1058">
        <v>59</v>
      </c>
      <c r="L94" s="1072">
        <v>66</v>
      </c>
      <c r="M94" s="1072">
        <v>73</v>
      </c>
      <c r="N94" s="1072">
        <v>60</v>
      </c>
      <c r="O94" s="1072">
        <v>51</v>
      </c>
      <c r="P94" s="1073">
        <v>75</v>
      </c>
      <c r="Q94" s="1073">
        <v>42</v>
      </c>
      <c r="R94" s="1300">
        <v>54</v>
      </c>
      <c r="S94" s="1301">
        <v>55</v>
      </c>
      <c r="T94" s="1531">
        <v>60</v>
      </c>
      <c r="U94" s="1708">
        <v>55</v>
      </c>
      <c r="V94" s="1531"/>
      <c r="W94" s="1080">
        <v>2798</v>
      </c>
      <c r="X94" s="1081">
        <v>2713</v>
      </c>
      <c r="Y94" s="1081">
        <v>2798</v>
      </c>
      <c r="Z94" s="1081">
        <v>2725</v>
      </c>
      <c r="AA94" s="1081">
        <v>2606</v>
      </c>
      <c r="AB94" s="1081">
        <v>2598</v>
      </c>
      <c r="AC94" s="1081">
        <v>2582</v>
      </c>
      <c r="AD94" s="1081">
        <v>2632</v>
      </c>
      <c r="AE94" s="1081">
        <v>2610</v>
      </c>
      <c r="AF94" s="1081">
        <v>2571</v>
      </c>
      <c r="AG94" s="1081">
        <v>2548</v>
      </c>
      <c r="AH94" s="1081">
        <v>2629</v>
      </c>
      <c r="AI94" s="1081">
        <v>2609</v>
      </c>
      <c r="AJ94" s="1081">
        <v>2500</v>
      </c>
      <c r="AK94" s="1303">
        <v>2478</v>
      </c>
      <c r="AL94" s="1304">
        <v>2461</v>
      </c>
      <c r="AM94" s="1699">
        <v>2401</v>
      </c>
      <c r="AN94" s="1699">
        <v>2381</v>
      </c>
      <c r="AO94" s="1532"/>
      <c r="AP94" s="1106">
        <f t="shared" si="36"/>
        <v>16.440314510364548</v>
      </c>
      <c r="AQ94" s="1107">
        <f t="shared" si="37"/>
        <v>21.009952082565427</v>
      </c>
      <c r="AR94" s="1107">
        <f t="shared" si="38"/>
        <v>21.801286633309505</v>
      </c>
      <c r="AS94" s="1107">
        <f t="shared" si="39"/>
        <v>27.155963302752294</v>
      </c>
      <c r="AT94" s="1107">
        <f t="shared" si="40"/>
        <v>24.558710667689947</v>
      </c>
      <c r="AU94" s="1107">
        <f t="shared" si="41"/>
        <v>13.856812933025404</v>
      </c>
      <c r="AV94" s="1107">
        <f t="shared" si="42"/>
        <v>19.752130131680868</v>
      </c>
      <c r="AW94" s="1107">
        <f t="shared" si="43"/>
        <v>22.416413373860181</v>
      </c>
      <c r="AX94" s="1107">
        <f t="shared" si="44"/>
        <v>25.287356321839081</v>
      </c>
      <c r="AY94" s="1107">
        <f t="shared" si="45"/>
        <v>28.393621159082066</v>
      </c>
      <c r="AZ94" s="1107">
        <f t="shared" si="46"/>
        <v>23.547880690737834</v>
      </c>
      <c r="BA94" s="1107">
        <f t="shared" si="47"/>
        <v>19.399011030810197</v>
      </c>
      <c r="BB94" s="1107">
        <f t="shared" si="48"/>
        <v>28.746646224607129</v>
      </c>
      <c r="BC94" s="1107">
        <f t="shared" si="49"/>
        <v>16.8</v>
      </c>
      <c r="BD94" s="1307">
        <f t="shared" si="50"/>
        <v>21.791767554479417</v>
      </c>
      <c r="BE94" s="1309">
        <f t="shared" si="51"/>
        <v>22.348638764729785</v>
      </c>
      <c r="BF94" s="1537">
        <f t="shared" si="52"/>
        <v>24.989587671803417</v>
      </c>
      <c r="BG94" s="1537">
        <f t="shared" si="53"/>
        <v>23.099538009239815</v>
      </c>
    </row>
    <row r="95" spans="1:59" s="142" customFormat="1" ht="15.75" customHeight="1" x14ac:dyDescent="0.2">
      <c r="A95" s="149" t="s">
        <v>232</v>
      </c>
      <c r="B95" s="186" t="s">
        <v>233</v>
      </c>
      <c r="C95" s="150" t="s">
        <v>267</v>
      </c>
      <c r="D95" s="1057">
        <v>51</v>
      </c>
      <c r="E95" s="1058">
        <v>51</v>
      </c>
      <c r="F95" s="1059">
        <v>47</v>
      </c>
      <c r="G95" s="1058">
        <v>60</v>
      </c>
      <c r="H95" s="1059">
        <v>52</v>
      </c>
      <c r="I95" s="1058">
        <v>46</v>
      </c>
      <c r="J95" s="1059">
        <v>48</v>
      </c>
      <c r="K95" s="1058">
        <v>46</v>
      </c>
      <c r="L95" s="1072">
        <v>56</v>
      </c>
      <c r="M95" s="1072">
        <v>46</v>
      </c>
      <c r="N95" s="1072">
        <v>41</v>
      </c>
      <c r="O95" s="1072">
        <v>37</v>
      </c>
      <c r="P95" s="1073">
        <v>37</v>
      </c>
      <c r="Q95" s="1073">
        <v>35</v>
      </c>
      <c r="R95" s="1300">
        <v>33</v>
      </c>
      <c r="S95" s="1301">
        <v>39</v>
      </c>
      <c r="T95" s="1531">
        <v>47</v>
      </c>
      <c r="U95" s="1708">
        <v>30</v>
      </c>
      <c r="V95" s="1531"/>
      <c r="W95" s="1080">
        <v>2025</v>
      </c>
      <c r="X95" s="1081">
        <v>2079</v>
      </c>
      <c r="Y95" s="1081">
        <v>2168</v>
      </c>
      <c r="Z95" s="1081">
        <v>2268</v>
      </c>
      <c r="AA95" s="1081">
        <v>2342</v>
      </c>
      <c r="AB95" s="1081">
        <v>2429</v>
      </c>
      <c r="AC95" s="1081">
        <v>2472</v>
      </c>
      <c r="AD95" s="1081">
        <v>2476</v>
      </c>
      <c r="AE95" s="1081">
        <v>2428</v>
      </c>
      <c r="AF95" s="1081">
        <v>2370</v>
      </c>
      <c r="AG95" s="1081">
        <v>2360</v>
      </c>
      <c r="AH95" s="1081">
        <v>2336</v>
      </c>
      <c r="AI95" s="1081">
        <v>2588</v>
      </c>
      <c r="AJ95" s="1081">
        <v>2527</v>
      </c>
      <c r="AK95" s="1303">
        <v>2516</v>
      </c>
      <c r="AL95" s="1304">
        <v>2521</v>
      </c>
      <c r="AM95" s="1699">
        <v>2493</v>
      </c>
      <c r="AN95" s="1699">
        <v>2443</v>
      </c>
      <c r="AO95" s="1532"/>
      <c r="AP95" s="1106">
        <f t="shared" si="36"/>
        <v>25.185185185185187</v>
      </c>
      <c r="AQ95" s="1107">
        <f t="shared" si="37"/>
        <v>24.531024531024531</v>
      </c>
      <c r="AR95" s="1107">
        <f t="shared" si="38"/>
        <v>21.678966789667896</v>
      </c>
      <c r="AS95" s="1107">
        <f t="shared" si="39"/>
        <v>26.455026455026452</v>
      </c>
      <c r="AT95" s="1107">
        <f t="shared" si="40"/>
        <v>22.20324508966695</v>
      </c>
      <c r="AU95" s="1107">
        <f t="shared" si="41"/>
        <v>18.937834499794153</v>
      </c>
      <c r="AV95" s="1107">
        <f t="shared" si="42"/>
        <v>19.417475728155338</v>
      </c>
      <c r="AW95" s="1107">
        <f t="shared" si="43"/>
        <v>18.578352180936992</v>
      </c>
      <c r="AX95" s="1107">
        <f t="shared" si="44"/>
        <v>23.064250411861615</v>
      </c>
      <c r="AY95" s="1107">
        <f t="shared" si="45"/>
        <v>19.409282700421944</v>
      </c>
      <c r="AZ95" s="1107">
        <f t="shared" si="46"/>
        <v>17.372881355932204</v>
      </c>
      <c r="BA95" s="1107">
        <f t="shared" si="47"/>
        <v>15.839041095890412</v>
      </c>
      <c r="BB95" s="1107">
        <f t="shared" si="48"/>
        <v>14.2967542503864</v>
      </c>
      <c r="BC95" s="1107">
        <f t="shared" si="49"/>
        <v>13.850415512465373</v>
      </c>
      <c r="BD95" s="1307">
        <f t="shared" si="50"/>
        <v>13.116057233704293</v>
      </c>
      <c r="BE95" s="1309">
        <f t="shared" si="51"/>
        <v>15.470051566838556</v>
      </c>
      <c r="BF95" s="1537">
        <f t="shared" si="52"/>
        <v>18.852787805856398</v>
      </c>
      <c r="BG95" s="1537">
        <f t="shared" si="53"/>
        <v>12.279983626688498</v>
      </c>
    </row>
    <row r="96" spans="1:59" s="142" customFormat="1" ht="15.75" customHeight="1" x14ac:dyDescent="0.2">
      <c r="A96" s="149" t="s">
        <v>234</v>
      </c>
      <c r="B96" s="186" t="s">
        <v>235</v>
      </c>
      <c r="C96" s="150" t="s">
        <v>268</v>
      </c>
      <c r="D96" s="1057">
        <v>77</v>
      </c>
      <c r="E96" s="1058">
        <v>71</v>
      </c>
      <c r="F96" s="1059">
        <v>68</v>
      </c>
      <c r="G96" s="1058">
        <v>64</v>
      </c>
      <c r="H96" s="1059">
        <v>62</v>
      </c>
      <c r="I96" s="1058">
        <v>51</v>
      </c>
      <c r="J96" s="1059">
        <v>57</v>
      </c>
      <c r="K96" s="1058">
        <v>66</v>
      </c>
      <c r="L96" s="1072">
        <v>53</v>
      </c>
      <c r="M96" s="1072">
        <v>68</v>
      </c>
      <c r="N96" s="1072">
        <v>66</v>
      </c>
      <c r="O96" s="1072">
        <v>67</v>
      </c>
      <c r="P96" s="1073">
        <v>77</v>
      </c>
      <c r="Q96" s="1073">
        <v>56</v>
      </c>
      <c r="R96" s="1300">
        <v>54</v>
      </c>
      <c r="S96" s="1301">
        <v>52</v>
      </c>
      <c r="T96" s="1531">
        <v>35</v>
      </c>
      <c r="U96" s="1708">
        <v>48</v>
      </c>
      <c r="V96" s="1531"/>
      <c r="W96" s="1080">
        <v>2715</v>
      </c>
      <c r="X96" s="1081">
        <v>2658</v>
      </c>
      <c r="Y96" s="1081">
        <v>3179</v>
      </c>
      <c r="Z96" s="1081">
        <v>3116</v>
      </c>
      <c r="AA96" s="1081">
        <v>3070</v>
      </c>
      <c r="AB96" s="1081">
        <v>3058</v>
      </c>
      <c r="AC96" s="1081">
        <v>3083</v>
      </c>
      <c r="AD96" s="1081">
        <v>3109</v>
      </c>
      <c r="AE96" s="1081">
        <v>3007</v>
      </c>
      <c r="AF96" s="1081">
        <v>2971</v>
      </c>
      <c r="AG96" s="1081">
        <v>2937</v>
      </c>
      <c r="AH96" s="1081">
        <v>2948</v>
      </c>
      <c r="AI96" s="1081">
        <v>3083</v>
      </c>
      <c r="AJ96" s="1081">
        <v>3056</v>
      </c>
      <c r="AK96" s="1303">
        <v>3116</v>
      </c>
      <c r="AL96" s="1304">
        <v>3077</v>
      </c>
      <c r="AM96" s="1699">
        <v>3039</v>
      </c>
      <c r="AN96" s="1699">
        <v>3045</v>
      </c>
      <c r="AO96" s="1532"/>
      <c r="AP96" s="1106">
        <f t="shared" si="36"/>
        <v>28.360957642725598</v>
      </c>
      <c r="AQ96" s="1107">
        <f t="shared" si="37"/>
        <v>26.711813393528971</v>
      </c>
      <c r="AR96" s="1107">
        <f t="shared" si="38"/>
        <v>21.390374331550802</v>
      </c>
      <c r="AS96" s="1107">
        <f t="shared" si="39"/>
        <v>20.539152759948649</v>
      </c>
      <c r="AT96" s="1107">
        <f t="shared" si="40"/>
        <v>20.195439739413683</v>
      </c>
      <c r="AU96" s="1107">
        <f t="shared" si="41"/>
        <v>16.677567037279267</v>
      </c>
      <c r="AV96" s="1107">
        <f t="shared" si="42"/>
        <v>18.488485241647744</v>
      </c>
      <c r="AW96" s="1107">
        <f t="shared" si="43"/>
        <v>21.22869089739466</v>
      </c>
      <c r="AX96" s="1107">
        <f t="shared" si="44"/>
        <v>17.625540405719988</v>
      </c>
      <c r="AY96" s="1107">
        <f t="shared" si="45"/>
        <v>22.887916526422082</v>
      </c>
      <c r="AZ96" s="1107">
        <f t="shared" si="46"/>
        <v>22.471910112359549</v>
      </c>
      <c r="BA96" s="1107">
        <f t="shared" si="47"/>
        <v>22.727272727272727</v>
      </c>
      <c r="BB96" s="1107">
        <f t="shared" si="48"/>
        <v>24.975673045734673</v>
      </c>
      <c r="BC96" s="1107">
        <f t="shared" si="49"/>
        <v>18.32460732984293</v>
      </c>
      <c r="BD96" s="1307">
        <f t="shared" si="50"/>
        <v>17.329910141206675</v>
      </c>
      <c r="BE96" s="1309">
        <f t="shared" si="51"/>
        <v>16.899577510562239</v>
      </c>
      <c r="BF96" s="1537">
        <f t="shared" si="52"/>
        <v>11.516946363935505</v>
      </c>
      <c r="BG96" s="1537">
        <f t="shared" si="53"/>
        <v>15.763546798029555</v>
      </c>
    </row>
    <row r="97" spans="1:59" s="142" customFormat="1" ht="15.75" customHeight="1" x14ac:dyDescent="0.2">
      <c r="A97" s="149" t="s">
        <v>236</v>
      </c>
      <c r="B97" s="186" t="s">
        <v>237</v>
      </c>
      <c r="C97" s="150" t="s">
        <v>266</v>
      </c>
      <c r="D97" s="1057">
        <v>36</v>
      </c>
      <c r="E97" s="1058">
        <v>38</v>
      </c>
      <c r="F97" s="1059">
        <v>24</v>
      </c>
      <c r="G97" s="1058">
        <v>38</v>
      </c>
      <c r="H97" s="1059">
        <v>34</v>
      </c>
      <c r="I97" s="1058">
        <v>25</v>
      </c>
      <c r="J97" s="1059">
        <v>36</v>
      </c>
      <c r="K97" s="1058">
        <v>31</v>
      </c>
      <c r="L97" s="1072">
        <v>28</v>
      </c>
      <c r="M97" s="1072">
        <v>18</v>
      </c>
      <c r="N97" s="1072">
        <v>29</v>
      </c>
      <c r="O97" s="1072">
        <v>28</v>
      </c>
      <c r="P97" s="1073">
        <v>30</v>
      </c>
      <c r="Q97" s="1073">
        <v>22</v>
      </c>
      <c r="R97" s="1300">
        <v>14</v>
      </c>
      <c r="S97" s="1301">
        <v>20</v>
      </c>
      <c r="T97" s="1531">
        <v>13</v>
      </c>
      <c r="U97" s="1708">
        <v>16</v>
      </c>
      <c r="V97" s="1531"/>
      <c r="W97" s="1080">
        <v>915</v>
      </c>
      <c r="X97" s="1081">
        <v>914</v>
      </c>
      <c r="Y97" s="1081">
        <v>1097</v>
      </c>
      <c r="Z97" s="1081">
        <v>1110</v>
      </c>
      <c r="AA97" s="1081">
        <v>1129</v>
      </c>
      <c r="AB97" s="1081">
        <v>1125</v>
      </c>
      <c r="AC97" s="1081">
        <v>1118</v>
      </c>
      <c r="AD97" s="1081">
        <v>1073</v>
      </c>
      <c r="AE97" s="1081">
        <v>1026</v>
      </c>
      <c r="AF97" s="1081">
        <v>985</v>
      </c>
      <c r="AG97" s="1081">
        <v>993</v>
      </c>
      <c r="AH97" s="1081">
        <v>986</v>
      </c>
      <c r="AI97" s="1081">
        <v>996</v>
      </c>
      <c r="AJ97" s="1081">
        <v>948</v>
      </c>
      <c r="AK97" s="1303">
        <v>930</v>
      </c>
      <c r="AL97" s="1304">
        <v>902</v>
      </c>
      <c r="AM97" s="1699">
        <v>887</v>
      </c>
      <c r="AN97" s="1699">
        <v>877</v>
      </c>
      <c r="AO97" s="1532"/>
      <c r="AP97" s="1106">
        <f t="shared" si="36"/>
        <v>39.344262295081968</v>
      </c>
      <c r="AQ97" s="1107">
        <f t="shared" si="37"/>
        <v>41.575492341356671</v>
      </c>
      <c r="AR97" s="1107">
        <f t="shared" si="38"/>
        <v>21.877848678213311</v>
      </c>
      <c r="AS97" s="1107">
        <f t="shared" si="39"/>
        <v>34.234234234234229</v>
      </c>
      <c r="AT97" s="1107">
        <f t="shared" si="40"/>
        <v>30.115146147032775</v>
      </c>
      <c r="AU97" s="1107">
        <f t="shared" si="41"/>
        <v>22.222222222222221</v>
      </c>
      <c r="AV97" s="1107">
        <f t="shared" si="42"/>
        <v>32.200357781753134</v>
      </c>
      <c r="AW97" s="1107">
        <f t="shared" si="43"/>
        <v>28.890959925442687</v>
      </c>
      <c r="AX97" s="1107">
        <f t="shared" si="44"/>
        <v>27.29044834307992</v>
      </c>
      <c r="AY97" s="1107">
        <f t="shared" si="45"/>
        <v>18.274111675126903</v>
      </c>
      <c r="AZ97" s="1107">
        <f t="shared" si="46"/>
        <v>29.204431017119841</v>
      </c>
      <c r="BA97" s="1107">
        <f t="shared" si="47"/>
        <v>28.397565922920894</v>
      </c>
      <c r="BB97" s="1107">
        <f t="shared" si="48"/>
        <v>30.120481927710845</v>
      </c>
      <c r="BC97" s="1107">
        <f t="shared" si="49"/>
        <v>23.206751054852322</v>
      </c>
      <c r="BD97" s="1307">
        <f t="shared" si="50"/>
        <v>15.053763440860216</v>
      </c>
      <c r="BE97" s="1309">
        <f t="shared" si="51"/>
        <v>22.172949002217297</v>
      </c>
      <c r="BF97" s="1537">
        <f t="shared" si="52"/>
        <v>14.656144306651633</v>
      </c>
      <c r="BG97" s="1537">
        <f t="shared" si="53"/>
        <v>18.244013683010262</v>
      </c>
    </row>
    <row r="98" spans="1:59" s="142" customFormat="1" ht="15.75" customHeight="1" x14ac:dyDescent="0.2">
      <c r="A98" s="149" t="s">
        <v>242</v>
      </c>
      <c r="B98" s="186" t="s">
        <v>243</v>
      </c>
      <c r="C98" s="150" t="s">
        <v>268</v>
      </c>
      <c r="D98" s="1057">
        <v>107</v>
      </c>
      <c r="E98" s="1058">
        <v>80</v>
      </c>
      <c r="F98" s="1059">
        <v>95</v>
      </c>
      <c r="G98" s="1058">
        <v>79</v>
      </c>
      <c r="H98" s="1059">
        <v>83</v>
      </c>
      <c r="I98" s="1058">
        <v>65</v>
      </c>
      <c r="J98" s="1059">
        <v>80</v>
      </c>
      <c r="K98" s="1058">
        <v>66</v>
      </c>
      <c r="L98" s="1072">
        <v>81</v>
      </c>
      <c r="M98" s="1072">
        <v>78</v>
      </c>
      <c r="N98" s="1072">
        <v>83</v>
      </c>
      <c r="O98" s="1072">
        <v>98</v>
      </c>
      <c r="P98" s="1073">
        <v>94</v>
      </c>
      <c r="Q98" s="1073">
        <v>69</v>
      </c>
      <c r="R98" s="1300">
        <v>58</v>
      </c>
      <c r="S98" s="1301">
        <v>59</v>
      </c>
      <c r="T98" s="1531">
        <v>59</v>
      </c>
      <c r="U98" s="1708">
        <v>46</v>
      </c>
      <c r="V98" s="1531"/>
      <c r="W98" s="1080">
        <v>2668</v>
      </c>
      <c r="X98" s="1081">
        <v>2602</v>
      </c>
      <c r="Y98" s="1081">
        <v>2764</v>
      </c>
      <c r="Z98" s="1081">
        <v>2687</v>
      </c>
      <c r="AA98" s="1081">
        <v>2611</v>
      </c>
      <c r="AB98" s="1081">
        <v>2572</v>
      </c>
      <c r="AC98" s="1081">
        <v>2569</v>
      </c>
      <c r="AD98" s="1081">
        <v>2634</v>
      </c>
      <c r="AE98" s="1081">
        <v>2618</v>
      </c>
      <c r="AF98" s="1081">
        <v>2578</v>
      </c>
      <c r="AG98" s="1081">
        <v>2537</v>
      </c>
      <c r="AH98" s="1081">
        <v>2464</v>
      </c>
      <c r="AI98" s="1081">
        <v>2505</v>
      </c>
      <c r="AJ98" s="1081">
        <v>2418</v>
      </c>
      <c r="AK98" s="1303">
        <v>2410</v>
      </c>
      <c r="AL98" s="1304">
        <v>2376</v>
      </c>
      <c r="AM98" s="1699">
        <v>2257</v>
      </c>
      <c r="AN98" s="1699">
        <v>2172</v>
      </c>
      <c r="AO98" s="1532"/>
      <c r="AP98" s="1106">
        <f t="shared" si="36"/>
        <v>40.104947526236884</v>
      </c>
      <c r="AQ98" s="1107">
        <f t="shared" si="37"/>
        <v>30.745580322828591</v>
      </c>
      <c r="AR98" s="1107">
        <f t="shared" si="38"/>
        <v>34.370477568740952</v>
      </c>
      <c r="AS98" s="1107">
        <f t="shared" si="39"/>
        <v>29.40081875697804</v>
      </c>
      <c r="AT98" s="1107">
        <f t="shared" si="40"/>
        <v>31.788586748372275</v>
      </c>
      <c r="AU98" s="1107">
        <f t="shared" si="41"/>
        <v>25.272161741835145</v>
      </c>
      <c r="AV98" s="1107">
        <f t="shared" si="42"/>
        <v>31.140521603736865</v>
      </c>
      <c r="AW98" s="1107">
        <f t="shared" si="43"/>
        <v>25.056947608200456</v>
      </c>
      <c r="AX98" s="1107">
        <f t="shared" si="44"/>
        <v>30.939648586707413</v>
      </c>
      <c r="AY98" s="1107">
        <f t="shared" si="45"/>
        <v>30.256012412723042</v>
      </c>
      <c r="AZ98" s="1107">
        <f t="shared" si="46"/>
        <v>32.715806070161605</v>
      </c>
      <c r="BA98" s="1107">
        <f t="shared" si="47"/>
        <v>39.772727272727273</v>
      </c>
      <c r="BB98" s="1107">
        <f t="shared" si="48"/>
        <v>37.5249500998004</v>
      </c>
      <c r="BC98" s="1107">
        <f t="shared" si="49"/>
        <v>28.535980148883372</v>
      </c>
      <c r="BD98" s="1307">
        <f t="shared" si="50"/>
        <v>24.066390041493776</v>
      </c>
      <c r="BE98" s="1309">
        <f t="shared" si="51"/>
        <v>24.831649831649834</v>
      </c>
      <c r="BF98" s="1537">
        <f t="shared" si="52"/>
        <v>26.140894993354006</v>
      </c>
      <c r="BG98" s="1537">
        <f t="shared" si="53"/>
        <v>21.178637200736649</v>
      </c>
    </row>
    <row r="99" spans="1:59" s="142" customFormat="1" ht="15.75" customHeight="1" x14ac:dyDescent="0.2">
      <c r="A99" s="149" t="s">
        <v>244</v>
      </c>
      <c r="B99" s="186" t="s">
        <v>245</v>
      </c>
      <c r="C99" s="150" t="s">
        <v>268</v>
      </c>
      <c r="D99" s="1057">
        <v>33</v>
      </c>
      <c r="E99" s="1058">
        <v>45</v>
      </c>
      <c r="F99" s="1059">
        <v>46</v>
      </c>
      <c r="G99" s="1058">
        <v>40</v>
      </c>
      <c r="H99" s="1059">
        <v>38</v>
      </c>
      <c r="I99" s="1058">
        <v>36</v>
      </c>
      <c r="J99" s="1059">
        <v>43</v>
      </c>
      <c r="K99" s="1058">
        <v>38</v>
      </c>
      <c r="L99" s="1072">
        <v>33</v>
      </c>
      <c r="M99" s="1072">
        <v>36</v>
      </c>
      <c r="N99" s="1072">
        <v>34</v>
      </c>
      <c r="O99" s="1072">
        <v>42</v>
      </c>
      <c r="P99" s="1073">
        <v>33</v>
      </c>
      <c r="Q99" s="1073">
        <v>47</v>
      </c>
      <c r="R99" s="1300">
        <v>40</v>
      </c>
      <c r="S99" s="1301">
        <v>37</v>
      </c>
      <c r="T99" s="1531">
        <v>33</v>
      </c>
      <c r="U99" s="1708">
        <v>23</v>
      </c>
      <c r="V99" s="1531"/>
      <c r="W99" s="1080">
        <v>1626</v>
      </c>
      <c r="X99" s="1081">
        <v>1611</v>
      </c>
      <c r="Y99" s="1081">
        <v>1721</v>
      </c>
      <c r="Z99" s="1081">
        <v>1711</v>
      </c>
      <c r="AA99" s="1081">
        <v>1709</v>
      </c>
      <c r="AB99" s="1081">
        <v>1697</v>
      </c>
      <c r="AC99" s="1081">
        <v>1694</v>
      </c>
      <c r="AD99" s="1081">
        <v>1646</v>
      </c>
      <c r="AE99" s="1081">
        <v>1583</v>
      </c>
      <c r="AF99" s="1081">
        <v>1557</v>
      </c>
      <c r="AG99" s="1081">
        <v>1522</v>
      </c>
      <c r="AH99" s="1081">
        <v>1575</v>
      </c>
      <c r="AI99" s="1081">
        <v>1601</v>
      </c>
      <c r="AJ99" s="1081">
        <v>1590</v>
      </c>
      <c r="AK99" s="1303">
        <v>1620</v>
      </c>
      <c r="AL99" s="1304">
        <v>1581</v>
      </c>
      <c r="AM99" s="1699">
        <v>1549</v>
      </c>
      <c r="AN99" s="1699">
        <v>1562</v>
      </c>
      <c r="AO99" s="1532"/>
      <c r="AP99" s="1106">
        <f t="shared" si="36"/>
        <v>20.29520295202952</v>
      </c>
      <c r="AQ99" s="1107">
        <f t="shared" si="37"/>
        <v>27.932960893854748</v>
      </c>
      <c r="AR99" s="1107">
        <f t="shared" si="38"/>
        <v>26.728646135967463</v>
      </c>
      <c r="AS99" s="1107">
        <f t="shared" si="39"/>
        <v>23.378141437755698</v>
      </c>
      <c r="AT99" s="1107">
        <f t="shared" si="40"/>
        <v>22.235225277940316</v>
      </c>
      <c r="AU99" s="1107">
        <f t="shared" si="41"/>
        <v>21.213906894519742</v>
      </c>
      <c r="AV99" s="1107">
        <f t="shared" si="42"/>
        <v>25.38370720188902</v>
      </c>
      <c r="AW99" s="1107">
        <f t="shared" si="43"/>
        <v>23.086269744835967</v>
      </c>
      <c r="AX99" s="1107">
        <f t="shared" si="44"/>
        <v>20.846493998736577</v>
      </c>
      <c r="AY99" s="1107">
        <f t="shared" si="45"/>
        <v>23.121387283236992</v>
      </c>
      <c r="AZ99" s="1107">
        <f t="shared" si="46"/>
        <v>22.339027595269382</v>
      </c>
      <c r="BA99" s="1107">
        <f t="shared" si="47"/>
        <v>26.666666666666668</v>
      </c>
      <c r="BB99" s="1107">
        <f t="shared" si="48"/>
        <v>20.612117426608368</v>
      </c>
      <c r="BC99" s="1107">
        <f t="shared" si="49"/>
        <v>29.559748427672957</v>
      </c>
      <c r="BD99" s="1307">
        <f t="shared" si="50"/>
        <v>24.691358024691358</v>
      </c>
      <c r="BE99" s="1309">
        <f t="shared" si="51"/>
        <v>23.402909550917141</v>
      </c>
      <c r="BF99" s="1537">
        <f t="shared" si="52"/>
        <v>21.304067140090378</v>
      </c>
      <c r="BG99" s="1537">
        <f t="shared" si="53"/>
        <v>14.7247119078105</v>
      </c>
    </row>
    <row r="100" spans="1:59" s="142" customFormat="1" ht="15.75" customHeight="1" x14ac:dyDescent="0.2">
      <c r="A100" s="149" t="s">
        <v>246</v>
      </c>
      <c r="B100" s="186" t="s">
        <v>247</v>
      </c>
      <c r="C100" s="150" t="s">
        <v>264</v>
      </c>
      <c r="D100" s="1057">
        <v>46</v>
      </c>
      <c r="E100" s="1058">
        <v>59</v>
      </c>
      <c r="F100" s="1059">
        <v>66</v>
      </c>
      <c r="G100" s="1058">
        <v>49</v>
      </c>
      <c r="H100" s="1059">
        <v>44</v>
      </c>
      <c r="I100" s="1058">
        <v>48</v>
      </c>
      <c r="J100" s="1059">
        <v>52</v>
      </c>
      <c r="K100" s="1058">
        <v>34</v>
      </c>
      <c r="L100" s="1072">
        <v>33</v>
      </c>
      <c r="M100" s="1072">
        <v>41</v>
      </c>
      <c r="N100" s="1072">
        <v>36</v>
      </c>
      <c r="O100" s="1072">
        <v>37</v>
      </c>
      <c r="P100" s="1073">
        <v>30</v>
      </c>
      <c r="Q100" s="1073">
        <v>25</v>
      </c>
      <c r="R100" s="1300">
        <v>20</v>
      </c>
      <c r="S100" s="1301">
        <v>22</v>
      </c>
      <c r="T100" s="1531">
        <v>21</v>
      </c>
      <c r="U100" s="1708">
        <v>19</v>
      </c>
      <c r="V100" s="1531"/>
      <c r="W100" s="1080">
        <v>4874</v>
      </c>
      <c r="X100" s="1081">
        <v>4943</v>
      </c>
      <c r="Y100" s="1081">
        <v>5437</v>
      </c>
      <c r="Z100" s="1081">
        <v>5696</v>
      </c>
      <c r="AA100" s="1081">
        <v>5813</v>
      </c>
      <c r="AB100" s="1081">
        <v>5917</v>
      </c>
      <c r="AC100" s="1081">
        <v>5811</v>
      </c>
      <c r="AD100" s="1081">
        <v>5731</v>
      </c>
      <c r="AE100" s="1081">
        <v>5572</v>
      </c>
      <c r="AF100" s="1081">
        <v>5410</v>
      </c>
      <c r="AG100" s="1081">
        <v>5218</v>
      </c>
      <c r="AH100" s="1081">
        <v>5734</v>
      </c>
      <c r="AI100" s="1081">
        <v>5939</v>
      </c>
      <c r="AJ100" s="1081">
        <v>5929</v>
      </c>
      <c r="AK100" s="1303">
        <v>5779</v>
      </c>
      <c r="AL100" s="1304">
        <v>5707</v>
      </c>
      <c r="AM100" s="1699">
        <v>5620</v>
      </c>
      <c r="AN100" s="1699">
        <v>5742</v>
      </c>
      <c r="AO100" s="1532"/>
      <c r="AP100" s="1106">
        <f t="shared" si="36"/>
        <v>9.4378334017234309</v>
      </c>
      <c r="AQ100" s="1107">
        <f t="shared" si="37"/>
        <v>11.936071211814687</v>
      </c>
      <c r="AR100" s="1107">
        <f t="shared" si="38"/>
        <v>12.139047268714364</v>
      </c>
      <c r="AS100" s="1107">
        <f t="shared" si="39"/>
        <v>8.60252808988764</v>
      </c>
      <c r="AT100" s="1107">
        <f t="shared" si="40"/>
        <v>7.5692413555823155</v>
      </c>
      <c r="AU100" s="1107">
        <f t="shared" si="41"/>
        <v>8.1122190299138079</v>
      </c>
      <c r="AV100" s="1107">
        <f t="shared" si="42"/>
        <v>8.9485458612975393</v>
      </c>
      <c r="AW100" s="1107">
        <f t="shared" si="43"/>
        <v>5.9326470075030535</v>
      </c>
      <c r="AX100" s="1107">
        <f t="shared" si="44"/>
        <v>5.9224694903086865</v>
      </c>
      <c r="AY100" s="1107">
        <f t="shared" si="45"/>
        <v>7.5785582255083179</v>
      </c>
      <c r="AZ100" s="1107">
        <f t="shared" si="46"/>
        <v>6.8991950939057105</v>
      </c>
      <c r="BA100" s="1107">
        <f t="shared" si="47"/>
        <v>6.4527380537146843</v>
      </c>
      <c r="BB100" s="1107">
        <f t="shared" si="48"/>
        <v>5.0513554470449566</v>
      </c>
      <c r="BC100" s="1107">
        <f t="shared" si="49"/>
        <v>4.2165626581210995</v>
      </c>
      <c r="BD100" s="1307">
        <f t="shared" si="50"/>
        <v>3.4608063678837166</v>
      </c>
      <c r="BE100" s="1309">
        <f t="shared" si="51"/>
        <v>3.854915016646224</v>
      </c>
      <c r="BF100" s="1537">
        <f t="shared" si="52"/>
        <v>3.7366548042704624</v>
      </c>
      <c r="BG100" s="1537">
        <f t="shared" si="53"/>
        <v>3.3089515848136539</v>
      </c>
    </row>
    <row r="101" spans="1:59" s="142" customFormat="1" ht="15.75" customHeight="1" x14ac:dyDescent="0.2">
      <c r="A101" s="149" t="s">
        <v>14</v>
      </c>
      <c r="B101" s="186" t="s">
        <v>15</v>
      </c>
      <c r="C101" s="150" t="s">
        <v>267</v>
      </c>
      <c r="D101" s="1057">
        <v>111</v>
      </c>
      <c r="E101" s="1058">
        <v>123</v>
      </c>
      <c r="F101" s="1059">
        <v>122</v>
      </c>
      <c r="G101" s="1058">
        <v>113</v>
      </c>
      <c r="H101" s="1059">
        <v>107</v>
      </c>
      <c r="I101" s="1058">
        <v>121</v>
      </c>
      <c r="J101" s="1059">
        <v>105</v>
      </c>
      <c r="K101" s="1058">
        <v>135</v>
      </c>
      <c r="L101" s="1072">
        <v>102</v>
      </c>
      <c r="M101" s="1072">
        <v>117</v>
      </c>
      <c r="N101" s="1072">
        <v>100</v>
      </c>
      <c r="O101" s="1072">
        <v>86</v>
      </c>
      <c r="P101" s="1073">
        <v>106</v>
      </c>
      <c r="Q101" s="1073">
        <v>76</v>
      </c>
      <c r="R101" s="1300">
        <v>72</v>
      </c>
      <c r="S101" s="1301">
        <v>60</v>
      </c>
      <c r="T101" s="1531">
        <v>69</v>
      </c>
      <c r="U101" s="1708">
        <v>56</v>
      </c>
      <c r="V101" s="1531"/>
      <c r="W101" s="1080">
        <v>4716</v>
      </c>
      <c r="X101" s="1081">
        <v>4794</v>
      </c>
      <c r="Y101" s="1081">
        <v>4606</v>
      </c>
      <c r="Z101" s="1081">
        <v>4488</v>
      </c>
      <c r="AA101" s="1081">
        <v>4231</v>
      </c>
      <c r="AB101" s="1081">
        <v>3935</v>
      </c>
      <c r="AC101" s="1081">
        <v>4061</v>
      </c>
      <c r="AD101" s="1081">
        <v>4282</v>
      </c>
      <c r="AE101" s="1081">
        <v>4244</v>
      </c>
      <c r="AF101" s="1081">
        <v>4924</v>
      </c>
      <c r="AG101" s="1081">
        <v>5183</v>
      </c>
      <c r="AH101" s="1081">
        <v>4357</v>
      </c>
      <c r="AI101" s="1081">
        <v>4687</v>
      </c>
      <c r="AJ101" s="1081">
        <v>4707</v>
      </c>
      <c r="AK101" s="1303">
        <v>4789</v>
      </c>
      <c r="AL101" s="1304">
        <v>4840</v>
      </c>
      <c r="AM101" s="1699">
        <v>4983</v>
      </c>
      <c r="AN101" s="1699">
        <v>5159</v>
      </c>
      <c r="AO101" s="1532"/>
      <c r="AP101" s="1106">
        <f t="shared" si="36"/>
        <v>23.536895674300254</v>
      </c>
      <c r="AQ101" s="1107">
        <f t="shared" si="37"/>
        <v>25.657071339173967</v>
      </c>
      <c r="AR101" s="1107">
        <f t="shared" si="38"/>
        <v>26.487190620929223</v>
      </c>
      <c r="AS101" s="1107">
        <f t="shared" si="39"/>
        <v>25.178253119429588</v>
      </c>
      <c r="AT101" s="1107">
        <f t="shared" si="40"/>
        <v>25.289529662018435</v>
      </c>
      <c r="AU101" s="1107">
        <f t="shared" si="41"/>
        <v>30.749682337992379</v>
      </c>
      <c r="AV101" s="1107">
        <f t="shared" si="42"/>
        <v>25.855700566362966</v>
      </c>
      <c r="AW101" s="1107">
        <f t="shared" si="43"/>
        <v>31.527323680523121</v>
      </c>
      <c r="AX101" s="1107">
        <f t="shared" si="44"/>
        <v>24.03393025447691</v>
      </c>
      <c r="AY101" s="1107">
        <f t="shared" si="45"/>
        <v>23.761169780666123</v>
      </c>
      <c r="AZ101" s="1107">
        <f t="shared" si="46"/>
        <v>19.293845263360986</v>
      </c>
      <c r="BA101" s="1107">
        <f t="shared" si="47"/>
        <v>19.73835207711728</v>
      </c>
      <c r="BB101" s="1107">
        <f t="shared" si="48"/>
        <v>22.615745679539149</v>
      </c>
      <c r="BC101" s="1107">
        <f t="shared" si="49"/>
        <v>16.146165285744637</v>
      </c>
      <c r="BD101" s="1307">
        <f t="shared" si="50"/>
        <v>15.034453956984757</v>
      </c>
      <c r="BE101" s="1309">
        <f t="shared" si="51"/>
        <v>12.396694214876034</v>
      </c>
      <c r="BF101" s="1537">
        <f t="shared" si="52"/>
        <v>13.847080072245635</v>
      </c>
      <c r="BG101" s="1537">
        <f t="shared" si="53"/>
        <v>10.854816824966077</v>
      </c>
    </row>
    <row r="102" spans="1:59" s="142" customFormat="1" ht="15.75" customHeight="1" x14ac:dyDescent="0.2">
      <c r="A102" s="149" t="s">
        <v>34</v>
      </c>
      <c r="B102" s="186" t="s">
        <v>35</v>
      </c>
      <c r="C102" s="150" t="s">
        <v>268</v>
      </c>
      <c r="D102" s="1057">
        <v>30</v>
      </c>
      <c r="E102" s="1058">
        <v>43</v>
      </c>
      <c r="F102" s="1059">
        <v>25</v>
      </c>
      <c r="G102" s="1058">
        <v>29</v>
      </c>
      <c r="H102" s="1059">
        <v>27</v>
      </c>
      <c r="I102" s="1058">
        <v>22</v>
      </c>
      <c r="J102" s="1059">
        <v>24</v>
      </c>
      <c r="K102" s="1058">
        <v>20</v>
      </c>
      <c r="L102" s="1072">
        <v>20</v>
      </c>
      <c r="M102" s="1072">
        <v>37</v>
      </c>
      <c r="N102" s="1072">
        <v>30</v>
      </c>
      <c r="O102" s="1072">
        <v>39</v>
      </c>
      <c r="P102" s="1073">
        <v>34</v>
      </c>
      <c r="Q102" s="1073">
        <v>21</v>
      </c>
      <c r="R102" s="1300">
        <v>19</v>
      </c>
      <c r="S102" s="1301">
        <v>26</v>
      </c>
      <c r="T102" s="1531">
        <v>17</v>
      </c>
      <c r="U102" s="1708">
        <v>25</v>
      </c>
      <c r="V102" s="1531"/>
      <c r="W102" s="1080">
        <v>1235</v>
      </c>
      <c r="X102" s="1081">
        <v>1232</v>
      </c>
      <c r="Y102" s="1081">
        <v>1013</v>
      </c>
      <c r="Z102" s="1081">
        <v>978</v>
      </c>
      <c r="AA102" s="1081">
        <v>974</v>
      </c>
      <c r="AB102" s="1081">
        <v>985</v>
      </c>
      <c r="AC102" s="1081">
        <v>982</v>
      </c>
      <c r="AD102" s="1081">
        <v>974</v>
      </c>
      <c r="AE102" s="1081">
        <v>976</v>
      </c>
      <c r="AF102" s="1081">
        <v>949</v>
      </c>
      <c r="AG102" s="1081">
        <v>901</v>
      </c>
      <c r="AH102" s="1081">
        <v>921</v>
      </c>
      <c r="AI102" s="1081">
        <v>1006</v>
      </c>
      <c r="AJ102" s="1081">
        <v>970</v>
      </c>
      <c r="AK102" s="1303">
        <v>1013</v>
      </c>
      <c r="AL102" s="1304">
        <v>954</v>
      </c>
      <c r="AM102" s="1699">
        <v>911</v>
      </c>
      <c r="AN102" s="1699">
        <v>958</v>
      </c>
      <c r="AO102" s="1532"/>
      <c r="AP102" s="1106">
        <f t="shared" ref="AP102:AP125" si="54">IF(W102=0,"NA",(D102/W102)*1000)</f>
        <v>24.291497975708502</v>
      </c>
      <c r="AQ102" s="1107">
        <f t="shared" ref="AQ102:AQ125" si="55">IF(X102=0,"NA",(E102/X102)*1000)</f>
        <v>34.902597402597401</v>
      </c>
      <c r="AR102" s="1107">
        <f t="shared" ref="AR102:AR125" si="56">IF(Y102=0,"NA",(F102/Y102)*1000)</f>
        <v>24.679170779861796</v>
      </c>
      <c r="AS102" s="1107">
        <f t="shared" ref="AS102:AS125" si="57">IF(Z102=0,"NA",(G102/Z102)*1000)</f>
        <v>29.652351738241308</v>
      </c>
      <c r="AT102" s="1107">
        <f t="shared" ref="AT102:AT125" si="58">IF(AA102=0,"NA",(H102/AA102)*1000)</f>
        <v>27.720739219712527</v>
      </c>
      <c r="AU102" s="1107">
        <f t="shared" ref="AU102:AU125" si="59">IF(AB102=0,"NA",(I102/AB102)*1000)</f>
        <v>22.335025380710658</v>
      </c>
      <c r="AV102" s="1107">
        <f t="shared" ref="AV102:AV125" si="60">IF(AC102=0,"NA",(J102/AC102)*1000)</f>
        <v>24.439918533604889</v>
      </c>
      <c r="AW102" s="1107">
        <f t="shared" ref="AW102:AW125" si="61">IF(AD102=0,"NA",(K102/AD102)*1000)</f>
        <v>20.533880903490758</v>
      </c>
      <c r="AX102" s="1107">
        <f t="shared" ref="AX102:AX125" si="62">IF(AE102=0,"NA",(L102/AE102)*1000)</f>
        <v>20.491803278688522</v>
      </c>
      <c r="AY102" s="1107">
        <f t="shared" ref="AY102:AY125" si="63">IF(AF102=0,"NA",(M102/AF102)*1000)</f>
        <v>38.988408851422555</v>
      </c>
      <c r="AZ102" s="1107">
        <f t="shared" ref="AZ102:AZ125" si="64">IF(AG102=0,"NA",(N102/AG102)*1000)</f>
        <v>33.296337402885683</v>
      </c>
      <c r="BA102" s="1107">
        <f t="shared" ref="BA102:BA125" si="65">IF(AH102=0,"NA",(O102/AH102)*1000)</f>
        <v>42.34527687296417</v>
      </c>
      <c r="BB102" s="1107">
        <f t="shared" ref="BB102:BB125" si="66">IF(AI102=0,"NA",(P102/AI102)*1000)</f>
        <v>33.797216699801197</v>
      </c>
      <c r="BC102" s="1107">
        <f t="shared" ref="BC102:BC125" si="67">IF(AJ102=0,"NA",(Q102/AJ102)*1000)</f>
        <v>21.649484536082472</v>
      </c>
      <c r="BD102" s="1307">
        <f t="shared" ref="BD102:BD125" si="68">IF(AK102=0,"NA",(R102/AK102)*1000)</f>
        <v>18.756169792694966</v>
      </c>
      <c r="BE102" s="1309">
        <f t="shared" ref="BE102:BE125" si="69">IF(AL102=0,"NA",(S102/AL102)*1000)</f>
        <v>27.253668763102723</v>
      </c>
      <c r="BF102" s="1537">
        <f t="shared" ref="BF102:BF125" si="70">IF(AM102=0,"NA",(T102/AM102)*1000)</f>
        <v>18.660812294182215</v>
      </c>
      <c r="BG102" s="1537">
        <f t="shared" si="53"/>
        <v>26.096033402922757</v>
      </c>
    </row>
    <row r="103" spans="1:59" s="142" customFormat="1" ht="15.75" customHeight="1" x14ac:dyDescent="0.2">
      <c r="A103" s="149" t="s">
        <v>52</v>
      </c>
      <c r="B103" s="186" t="s">
        <v>53</v>
      </c>
      <c r="C103" s="150" t="s">
        <v>265</v>
      </c>
      <c r="D103" s="1057">
        <v>65</v>
      </c>
      <c r="E103" s="1058">
        <v>52</v>
      </c>
      <c r="F103" s="1059">
        <v>62</v>
      </c>
      <c r="G103" s="1058">
        <v>41</v>
      </c>
      <c r="H103" s="1059">
        <v>49</v>
      </c>
      <c r="I103" s="1058">
        <v>48</v>
      </c>
      <c r="J103" s="1059">
        <v>54</v>
      </c>
      <c r="K103" s="1058">
        <v>49</v>
      </c>
      <c r="L103" s="1072">
        <v>48</v>
      </c>
      <c r="M103" s="1072">
        <v>49</v>
      </c>
      <c r="N103" s="1072">
        <v>51</v>
      </c>
      <c r="O103" s="1072">
        <v>35</v>
      </c>
      <c r="P103" s="1073">
        <v>24</v>
      </c>
      <c r="Q103" s="1073">
        <v>25</v>
      </c>
      <c r="R103" s="1300">
        <v>30</v>
      </c>
      <c r="S103" s="1301">
        <v>24</v>
      </c>
      <c r="T103" s="1531">
        <v>16</v>
      </c>
      <c r="U103" s="1708">
        <v>10</v>
      </c>
      <c r="V103" s="1531"/>
      <c r="W103" s="1080">
        <v>2530</v>
      </c>
      <c r="X103" s="1081">
        <v>2564</v>
      </c>
      <c r="Y103" s="1081">
        <v>4348</v>
      </c>
      <c r="Z103" s="1081">
        <v>3394</v>
      </c>
      <c r="AA103" s="1081">
        <v>3349</v>
      </c>
      <c r="AB103" s="1081">
        <v>1751</v>
      </c>
      <c r="AC103" s="1081">
        <v>1639</v>
      </c>
      <c r="AD103" s="1081">
        <v>2076</v>
      </c>
      <c r="AE103" s="1081">
        <v>2259</v>
      </c>
      <c r="AF103" s="1081">
        <v>2303</v>
      </c>
      <c r="AG103" s="1081">
        <v>2317</v>
      </c>
      <c r="AH103" s="1081">
        <v>2342</v>
      </c>
      <c r="AI103" s="1081">
        <v>2175</v>
      </c>
      <c r="AJ103" s="1081">
        <v>2335</v>
      </c>
      <c r="AK103" s="1303">
        <v>2061</v>
      </c>
      <c r="AL103" s="1304">
        <v>1985</v>
      </c>
      <c r="AM103" s="1699">
        <v>2022</v>
      </c>
      <c r="AN103" s="1699">
        <v>1972</v>
      </c>
      <c r="AO103" s="1532"/>
      <c r="AP103" s="1106">
        <f t="shared" si="54"/>
        <v>25.691699604743082</v>
      </c>
      <c r="AQ103" s="1107">
        <f t="shared" si="55"/>
        <v>20.280811232449299</v>
      </c>
      <c r="AR103" s="1107">
        <f t="shared" si="56"/>
        <v>14.259429622815087</v>
      </c>
      <c r="AS103" s="1107">
        <f t="shared" si="57"/>
        <v>12.080141426045964</v>
      </c>
      <c r="AT103" s="1107">
        <f t="shared" si="58"/>
        <v>14.631233203941475</v>
      </c>
      <c r="AU103" s="1107">
        <f t="shared" si="59"/>
        <v>27.41290691033695</v>
      </c>
      <c r="AV103" s="1107">
        <f t="shared" si="60"/>
        <v>32.946918852959122</v>
      </c>
      <c r="AW103" s="1107">
        <f t="shared" si="61"/>
        <v>23.603082851637765</v>
      </c>
      <c r="AX103" s="1107">
        <f t="shared" si="62"/>
        <v>21.248339973439574</v>
      </c>
      <c r="AY103" s="1107">
        <f t="shared" si="63"/>
        <v>21.276595744680851</v>
      </c>
      <c r="AZ103" s="1107">
        <f t="shared" si="64"/>
        <v>22.011221406991798</v>
      </c>
      <c r="BA103" s="1107">
        <f t="shared" si="65"/>
        <v>14.944491887275833</v>
      </c>
      <c r="BB103" s="1107">
        <f t="shared" si="66"/>
        <v>11.034482758620689</v>
      </c>
      <c r="BC103" s="1107">
        <f t="shared" si="67"/>
        <v>10.706638115631691</v>
      </c>
      <c r="BD103" s="1307">
        <f t="shared" si="68"/>
        <v>14.556040756914118</v>
      </c>
      <c r="BE103" s="1309">
        <f t="shared" si="69"/>
        <v>12.090680100755668</v>
      </c>
      <c r="BF103" s="1537">
        <f t="shared" si="70"/>
        <v>7.9129574678536096</v>
      </c>
      <c r="BG103" s="1537">
        <f t="shared" si="53"/>
        <v>5.0709939148073024</v>
      </c>
    </row>
    <row r="104" spans="1:59" s="142" customFormat="1" ht="15.75" customHeight="1" x14ac:dyDescent="0.2">
      <c r="A104" s="149" t="s">
        <v>54</v>
      </c>
      <c r="B104" s="186" t="s">
        <v>55</v>
      </c>
      <c r="C104" s="150" t="s">
        <v>264</v>
      </c>
      <c r="D104" s="1057">
        <v>327</v>
      </c>
      <c r="E104" s="1058">
        <v>350</v>
      </c>
      <c r="F104" s="1059">
        <v>326</v>
      </c>
      <c r="G104" s="1058">
        <v>326</v>
      </c>
      <c r="H104" s="1059">
        <v>280</v>
      </c>
      <c r="I104" s="1058">
        <v>274</v>
      </c>
      <c r="J104" s="1059">
        <v>288</v>
      </c>
      <c r="K104" s="1058">
        <v>276</v>
      </c>
      <c r="L104" s="1072">
        <v>286</v>
      </c>
      <c r="M104" s="1072">
        <v>311</v>
      </c>
      <c r="N104" s="1072">
        <v>278</v>
      </c>
      <c r="O104" s="1072">
        <v>245</v>
      </c>
      <c r="P104" s="1073">
        <v>216</v>
      </c>
      <c r="Q104" s="1073">
        <v>209</v>
      </c>
      <c r="R104" s="1300">
        <v>165</v>
      </c>
      <c r="S104" s="1301">
        <v>131</v>
      </c>
      <c r="T104" s="1531">
        <v>139</v>
      </c>
      <c r="U104" s="1708">
        <v>122</v>
      </c>
      <c r="V104" s="1531"/>
      <c r="W104" s="1080">
        <v>13930</v>
      </c>
      <c r="X104" s="1081">
        <v>14290</v>
      </c>
      <c r="Y104" s="1081">
        <v>15678</v>
      </c>
      <c r="Z104" s="1081">
        <v>16061</v>
      </c>
      <c r="AA104" s="1081">
        <v>16243</v>
      </c>
      <c r="AB104" s="1081">
        <v>16526</v>
      </c>
      <c r="AC104" s="1081">
        <v>16631</v>
      </c>
      <c r="AD104" s="1081">
        <v>16618</v>
      </c>
      <c r="AE104" s="1081">
        <v>16437</v>
      </c>
      <c r="AF104" s="1081">
        <v>16067</v>
      </c>
      <c r="AG104" s="1081">
        <v>15790</v>
      </c>
      <c r="AH104" s="1081">
        <v>16550</v>
      </c>
      <c r="AI104" s="1081">
        <v>16318</v>
      </c>
      <c r="AJ104" s="1081">
        <v>16191</v>
      </c>
      <c r="AK104" s="1303">
        <v>15992</v>
      </c>
      <c r="AL104" s="1304">
        <v>15924</v>
      </c>
      <c r="AM104" s="1699">
        <v>15859</v>
      </c>
      <c r="AN104" s="1699">
        <v>15802</v>
      </c>
      <c r="AO104" s="1532"/>
      <c r="AP104" s="1106">
        <f t="shared" si="54"/>
        <v>23.47451543431443</v>
      </c>
      <c r="AQ104" s="1107">
        <f t="shared" si="55"/>
        <v>24.4926522043387</v>
      </c>
      <c r="AR104" s="1107">
        <f t="shared" si="56"/>
        <v>20.793468554662585</v>
      </c>
      <c r="AS104" s="1107">
        <f t="shared" si="57"/>
        <v>20.297615341510493</v>
      </c>
      <c r="AT104" s="1107">
        <f t="shared" si="58"/>
        <v>17.2381949147325</v>
      </c>
      <c r="AU104" s="1107">
        <f t="shared" si="59"/>
        <v>16.579934648432772</v>
      </c>
      <c r="AV104" s="1107">
        <f t="shared" si="60"/>
        <v>17.317058505201132</v>
      </c>
      <c r="AW104" s="1107">
        <f t="shared" si="61"/>
        <v>16.608496810687207</v>
      </c>
      <c r="AX104" s="1107">
        <f t="shared" si="62"/>
        <v>17.399768814260508</v>
      </c>
      <c r="AY104" s="1107">
        <f t="shared" si="63"/>
        <v>19.35644488703554</v>
      </c>
      <c r="AZ104" s="1107">
        <f t="shared" si="64"/>
        <v>17.60607979734009</v>
      </c>
      <c r="BA104" s="1107">
        <f t="shared" si="65"/>
        <v>14.803625377643504</v>
      </c>
      <c r="BB104" s="1107">
        <f t="shared" si="66"/>
        <v>13.236916288760877</v>
      </c>
      <c r="BC104" s="1107">
        <f t="shared" si="67"/>
        <v>12.908405904514852</v>
      </c>
      <c r="BD104" s="1307">
        <f t="shared" si="68"/>
        <v>10.317658829414707</v>
      </c>
      <c r="BE104" s="1309">
        <f t="shared" si="69"/>
        <v>8.2265762371263502</v>
      </c>
      <c r="BF104" s="1537">
        <f t="shared" si="70"/>
        <v>8.7647392647707925</v>
      </c>
      <c r="BG104" s="1537">
        <f t="shared" si="53"/>
        <v>7.7205417035818247</v>
      </c>
    </row>
    <row r="105" spans="1:59" s="142" customFormat="1" ht="15.75" customHeight="1" x14ac:dyDescent="0.2">
      <c r="A105" s="149" t="s">
        <v>66</v>
      </c>
      <c r="B105" s="186" t="s">
        <v>67</v>
      </c>
      <c r="C105" s="150" t="s">
        <v>265</v>
      </c>
      <c r="D105" s="1057">
        <v>126</v>
      </c>
      <c r="E105" s="1058">
        <v>123</v>
      </c>
      <c r="F105" s="1059">
        <v>120</v>
      </c>
      <c r="G105" s="1058">
        <v>111</v>
      </c>
      <c r="H105" s="1059">
        <v>103</v>
      </c>
      <c r="I105" s="1058">
        <v>114</v>
      </c>
      <c r="J105" s="1059">
        <v>109</v>
      </c>
      <c r="K105" s="1058">
        <v>80</v>
      </c>
      <c r="L105" s="1072">
        <v>116</v>
      </c>
      <c r="M105" s="1072">
        <v>100</v>
      </c>
      <c r="N105" s="1072">
        <v>103</v>
      </c>
      <c r="O105" s="1072">
        <v>109</v>
      </c>
      <c r="P105" s="1073">
        <v>79</v>
      </c>
      <c r="Q105" s="1073">
        <v>60</v>
      </c>
      <c r="R105" s="1300">
        <v>49</v>
      </c>
      <c r="S105" s="1301">
        <v>64</v>
      </c>
      <c r="T105" s="1531">
        <v>57</v>
      </c>
      <c r="U105" s="1708">
        <v>47</v>
      </c>
      <c r="V105" s="1531"/>
      <c r="W105" s="1080">
        <v>3290</v>
      </c>
      <c r="X105" s="1081">
        <v>3280</v>
      </c>
      <c r="Y105" s="1081">
        <v>3155</v>
      </c>
      <c r="Z105" s="1081">
        <v>3116</v>
      </c>
      <c r="AA105" s="1081">
        <v>3075</v>
      </c>
      <c r="AB105" s="1081">
        <v>3043</v>
      </c>
      <c r="AC105" s="1081">
        <v>2956</v>
      </c>
      <c r="AD105" s="1081">
        <v>2910</v>
      </c>
      <c r="AE105" s="1081">
        <v>2849</v>
      </c>
      <c r="AF105" s="1081">
        <v>2801</v>
      </c>
      <c r="AG105" s="1081">
        <v>2716</v>
      </c>
      <c r="AH105" s="1081">
        <v>2529</v>
      </c>
      <c r="AI105" s="1081">
        <v>2599</v>
      </c>
      <c r="AJ105" s="1081">
        <v>2511</v>
      </c>
      <c r="AK105" s="1303">
        <v>2486</v>
      </c>
      <c r="AL105" s="1304">
        <v>2415</v>
      </c>
      <c r="AM105" s="1699">
        <v>2377</v>
      </c>
      <c r="AN105" s="1699">
        <v>2336</v>
      </c>
      <c r="AO105" s="1532"/>
      <c r="AP105" s="1106">
        <f t="shared" si="54"/>
        <v>38.297872340425535</v>
      </c>
      <c r="AQ105" s="1107">
        <f t="shared" si="55"/>
        <v>37.5</v>
      </c>
      <c r="AR105" s="1107">
        <f t="shared" si="56"/>
        <v>38.034865293185419</v>
      </c>
      <c r="AS105" s="1107">
        <f t="shared" si="57"/>
        <v>35.622593068035947</v>
      </c>
      <c r="AT105" s="1107">
        <f t="shared" si="58"/>
        <v>33.49593495934959</v>
      </c>
      <c r="AU105" s="1107">
        <f t="shared" si="59"/>
        <v>37.463029904699312</v>
      </c>
      <c r="AV105" s="1107">
        <f t="shared" si="60"/>
        <v>36.874154262516917</v>
      </c>
      <c r="AW105" s="1107">
        <f t="shared" si="61"/>
        <v>27.491408934707902</v>
      </c>
      <c r="AX105" s="1107">
        <f t="shared" si="62"/>
        <v>40.716040716040716</v>
      </c>
      <c r="AY105" s="1107">
        <f t="shared" si="63"/>
        <v>35.701535166012142</v>
      </c>
      <c r="AZ105" s="1107">
        <f t="shared" si="64"/>
        <v>37.923416789396171</v>
      </c>
      <c r="BA105" s="1107">
        <f t="shared" si="65"/>
        <v>43.100039541320683</v>
      </c>
      <c r="BB105" s="1107">
        <f t="shared" si="66"/>
        <v>30.396306271642938</v>
      </c>
      <c r="BC105" s="1107">
        <f t="shared" si="67"/>
        <v>23.894862604540027</v>
      </c>
      <c r="BD105" s="1307">
        <f t="shared" si="68"/>
        <v>19.710378117457761</v>
      </c>
      <c r="BE105" s="1309">
        <f t="shared" si="69"/>
        <v>26.501035196687372</v>
      </c>
      <c r="BF105" s="1537">
        <f t="shared" si="70"/>
        <v>23.979806478754732</v>
      </c>
      <c r="BG105" s="1537">
        <f t="shared" si="53"/>
        <v>20.11986301369863</v>
      </c>
    </row>
    <row r="106" spans="1:59" s="142" customFormat="1" ht="15.75" customHeight="1" x14ac:dyDescent="0.2">
      <c r="A106" s="149" t="s">
        <v>82</v>
      </c>
      <c r="B106" s="186" t="s">
        <v>83</v>
      </c>
      <c r="C106" s="150" t="s">
        <v>264</v>
      </c>
      <c r="D106" s="1057">
        <v>20</v>
      </c>
      <c r="E106" s="1058">
        <v>15</v>
      </c>
      <c r="F106" s="1059">
        <v>22</v>
      </c>
      <c r="G106" s="1058">
        <v>15</v>
      </c>
      <c r="H106" s="1059">
        <v>22</v>
      </c>
      <c r="I106" s="1058">
        <v>24</v>
      </c>
      <c r="J106" s="1059">
        <v>30</v>
      </c>
      <c r="K106" s="1058">
        <v>21</v>
      </c>
      <c r="L106" s="1072">
        <v>26</v>
      </c>
      <c r="M106" s="1072">
        <v>23</v>
      </c>
      <c r="N106" s="1072">
        <v>20</v>
      </c>
      <c r="O106" s="1072">
        <v>12</v>
      </c>
      <c r="P106" s="1073">
        <v>11</v>
      </c>
      <c r="Q106" s="1073">
        <v>13</v>
      </c>
      <c r="R106" s="1300">
        <v>19</v>
      </c>
      <c r="S106" s="1301">
        <v>19</v>
      </c>
      <c r="T106" s="1531">
        <v>9</v>
      </c>
      <c r="U106" s="1708">
        <v>9</v>
      </c>
      <c r="V106" s="1531"/>
      <c r="W106" s="1080">
        <v>587</v>
      </c>
      <c r="X106" s="1081">
        <v>594</v>
      </c>
      <c r="Y106" s="1081">
        <v>648</v>
      </c>
      <c r="Z106" s="1081">
        <v>658</v>
      </c>
      <c r="AA106" s="1081">
        <v>633</v>
      </c>
      <c r="AB106" s="1081">
        <v>630</v>
      </c>
      <c r="AC106" s="1081">
        <v>632</v>
      </c>
      <c r="AD106" s="1081">
        <v>625</v>
      </c>
      <c r="AE106" s="1081">
        <v>598</v>
      </c>
      <c r="AF106" s="1081">
        <v>546</v>
      </c>
      <c r="AG106" s="1081">
        <v>503</v>
      </c>
      <c r="AH106" s="1081">
        <v>515</v>
      </c>
      <c r="AI106" s="1081">
        <v>550</v>
      </c>
      <c r="AJ106" s="1081">
        <v>509</v>
      </c>
      <c r="AK106" s="1303">
        <v>489</v>
      </c>
      <c r="AL106" s="1304">
        <v>539</v>
      </c>
      <c r="AM106" s="1699">
        <v>536</v>
      </c>
      <c r="AN106" s="1699">
        <v>505</v>
      </c>
      <c r="AO106" s="1532"/>
      <c r="AP106" s="1106">
        <f t="shared" si="54"/>
        <v>34.071550255536629</v>
      </c>
      <c r="AQ106" s="1107">
        <f t="shared" si="55"/>
        <v>25.252525252525253</v>
      </c>
      <c r="AR106" s="1107">
        <f t="shared" si="56"/>
        <v>33.950617283950614</v>
      </c>
      <c r="AS106" s="1107">
        <f t="shared" si="57"/>
        <v>22.796352583586625</v>
      </c>
      <c r="AT106" s="1107">
        <f t="shared" si="58"/>
        <v>34.755134281200633</v>
      </c>
      <c r="AU106" s="1107">
        <f t="shared" si="59"/>
        <v>38.095238095238102</v>
      </c>
      <c r="AV106" s="1107">
        <f t="shared" si="60"/>
        <v>47.468354430379748</v>
      </c>
      <c r="AW106" s="1107">
        <f t="shared" si="61"/>
        <v>33.6</v>
      </c>
      <c r="AX106" s="1107">
        <f t="shared" si="62"/>
        <v>43.478260869565219</v>
      </c>
      <c r="AY106" s="1107">
        <f t="shared" si="63"/>
        <v>42.124542124542124</v>
      </c>
      <c r="AZ106" s="1107">
        <f t="shared" si="64"/>
        <v>39.761431411530815</v>
      </c>
      <c r="BA106" s="1107">
        <f t="shared" si="65"/>
        <v>23.300970873786408</v>
      </c>
      <c r="BB106" s="1107">
        <f t="shared" si="66"/>
        <v>20</v>
      </c>
      <c r="BC106" s="1107">
        <f t="shared" si="67"/>
        <v>25.540275049115913</v>
      </c>
      <c r="BD106" s="1307">
        <f t="shared" si="68"/>
        <v>38.854805725971374</v>
      </c>
      <c r="BE106" s="1309">
        <f t="shared" si="69"/>
        <v>35.250463821892389</v>
      </c>
      <c r="BF106" s="1537">
        <f t="shared" si="70"/>
        <v>16.791044776119403</v>
      </c>
      <c r="BG106" s="1537">
        <f t="shared" si="53"/>
        <v>17.82178217821782</v>
      </c>
    </row>
    <row r="107" spans="1:59" s="142" customFormat="1" ht="15.75" customHeight="1" x14ac:dyDescent="0.2">
      <c r="A107" s="149" t="s">
        <v>88</v>
      </c>
      <c r="B107" s="186" t="s">
        <v>89</v>
      </c>
      <c r="C107" s="150" t="s">
        <v>267</v>
      </c>
      <c r="D107" s="1057">
        <v>46</v>
      </c>
      <c r="E107" s="1058">
        <v>53</v>
      </c>
      <c r="F107" s="1059">
        <v>43</v>
      </c>
      <c r="G107" s="1058">
        <v>38</v>
      </c>
      <c r="H107" s="1059">
        <v>45</v>
      </c>
      <c r="I107" s="1058">
        <v>50</v>
      </c>
      <c r="J107" s="1059">
        <v>49</v>
      </c>
      <c r="K107" s="1058">
        <v>48</v>
      </c>
      <c r="L107" s="1072">
        <v>60</v>
      </c>
      <c r="M107" s="1072">
        <v>44</v>
      </c>
      <c r="N107" s="1072">
        <v>37</v>
      </c>
      <c r="O107" s="1072">
        <v>37</v>
      </c>
      <c r="P107" s="1073">
        <v>34</v>
      </c>
      <c r="Q107" s="1073">
        <v>31</v>
      </c>
      <c r="R107" s="1300">
        <v>30</v>
      </c>
      <c r="S107" s="1301">
        <v>26</v>
      </c>
      <c r="T107" s="1531">
        <v>27</v>
      </c>
      <c r="U107" s="1708">
        <v>17</v>
      </c>
      <c r="V107" s="1531"/>
      <c r="W107" s="1080">
        <v>1725</v>
      </c>
      <c r="X107" s="1081">
        <v>1746</v>
      </c>
      <c r="Y107" s="1081">
        <v>1780</v>
      </c>
      <c r="Z107" s="1081">
        <v>1715</v>
      </c>
      <c r="AA107" s="1081">
        <v>1716</v>
      </c>
      <c r="AB107" s="1081">
        <v>1734</v>
      </c>
      <c r="AC107" s="1081">
        <v>1752</v>
      </c>
      <c r="AD107" s="1081">
        <v>1863</v>
      </c>
      <c r="AE107" s="1081">
        <v>1868</v>
      </c>
      <c r="AF107" s="1081">
        <v>1930</v>
      </c>
      <c r="AG107" s="1081">
        <v>1939</v>
      </c>
      <c r="AH107" s="1081">
        <v>1871</v>
      </c>
      <c r="AI107" s="1081">
        <v>1940</v>
      </c>
      <c r="AJ107" s="1081">
        <v>1972</v>
      </c>
      <c r="AK107" s="1303">
        <v>2134</v>
      </c>
      <c r="AL107" s="1304">
        <v>2208</v>
      </c>
      <c r="AM107" s="1699">
        <v>2167</v>
      </c>
      <c r="AN107" s="1699">
        <v>2137</v>
      </c>
      <c r="AO107" s="1532"/>
      <c r="AP107" s="1106">
        <f t="shared" si="54"/>
        <v>26.666666666666668</v>
      </c>
      <c r="AQ107" s="1107">
        <f t="shared" si="55"/>
        <v>30.355097365406642</v>
      </c>
      <c r="AR107" s="1107">
        <f t="shared" si="56"/>
        <v>24.157303370786519</v>
      </c>
      <c r="AS107" s="1107">
        <f t="shared" si="57"/>
        <v>22.157434402332363</v>
      </c>
      <c r="AT107" s="1107">
        <f t="shared" si="58"/>
        <v>26.223776223776223</v>
      </c>
      <c r="AU107" s="1107">
        <f t="shared" si="59"/>
        <v>28.83506343713956</v>
      </c>
      <c r="AV107" s="1107">
        <f t="shared" si="60"/>
        <v>27.968036529680365</v>
      </c>
      <c r="AW107" s="1107">
        <f t="shared" si="61"/>
        <v>25.764895330112722</v>
      </c>
      <c r="AX107" s="1107">
        <f t="shared" si="62"/>
        <v>32.119914346895072</v>
      </c>
      <c r="AY107" s="1107">
        <f t="shared" si="63"/>
        <v>22.797927461139896</v>
      </c>
      <c r="AZ107" s="1107">
        <f t="shared" si="64"/>
        <v>19.082001031459516</v>
      </c>
      <c r="BA107" s="1107">
        <f t="shared" si="65"/>
        <v>19.775521111704968</v>
      </c>
      <c r="BB107" s="1107">
        <f t="shared" si="66"/>
        <v>17.52577319587629</v>
      </c>
      <c r="BC107" s="1107">
        <f t="shared" si="67"/>
        <v>15.720081135902637</v>
      </c>
      <c r="BD107" s="1307">
        <f t="shared" si="68"/>
        <v>14.058106841611997</v>
      </c>
      <c r="BE107" s="1309">
        <f t="shared" si="69"/>
        <v>11.77536231884058</v>
      </c>
      <c r="BF107" s="1537">
        <f t="shared" si="70"/>
        <v>12.459621596677433</v>
      </c>
      <c r="BG107" s="1537">
        <f t="shared" si="53"/>
        <v>7.9550772110435188</v>
      </c>
    </row>
    <row r="108" spans="1:59" s="142" customFormat="1" ht="15.75" customHeight="1" x14ac:dyDescent="0.2">
      <c r="A108" s="149" t="s">
        <v>90</v>
      </c>
      <c r="B108" s="186" t="s">
        <v>91</v>
      </c>
      <c r="C108" s="150" t="s">
        <v>268</v>
      </c>
      <c r="D108" s="1057">
        <v>21</v>
      </c>
      <c r="E108" s="1058">
        <v>26</v>
      </c>
      <c r="F108" s="1059">
        <v>19</v>
      </c>
      <c r="G108" s="1058">
        <v>24</v>
      </c>
      <c r="H108" s="1059">
        <v>21</v>
      </c>
      <c r="I108" s="1058">
        <v>9</v>
      </c>
      <c r="J108" s="1059">
        <v>17</v>
      </c>
      <c r="K108" s="1058">
        <v>18</v>
      </c>
      <c r="L108" s="1072">
        <v>13</v>
      </c>
      <c r="M108" s="1072">
        <v>19</v>
      </c>
      <c r="N108" s="1072">
        <v>18</v>
      </c>
      <c r="O108" s="1072">
        <v>24</v>
      </c>
      <c r="P108" s="1073">
        <v>17</v>
      </c>
      <c r="Q108" s="1073">
        <v>18</v>
      </c>
      <c r="R108" s="1300">
        <v>20</v>
      </c>
      <c r="S108" s="1301">
        <v>16</v>
      </c>
      <c r="T108" s="1531">
        <v>11</v>
      </c>
      <c r="U108" s="1708">
        <v>9</v>
      </c>
      <c r="V108" s="1531"/>
      <c r="W108" s="1080">
        <v>422</v>
      </c>
      <c r="X108" s="1081">
        <v>428</v>
      </c>
      <c r="Y108" s="1081">
        <v>406</v>
      </c>
      <c r="Z108" s="1081">
        <v>387</v>
      </c>
      <c r="AA108" s="1081">
        <v>375</v>
      </c>
      <c r="AB108" s="1081">
        <v>359</v>
      </c>
      <c r="AC108" s="1081">
        <v>370</v>
      </c>
      <c r="AD108" s="1081">
        <v>360</v>
      </c>
      <c r="AE108" s="1081">
        <v>367</v>
      </c>
      <c r="AF108" s="1081">
        <v>364</v>
      </c>
      <c r="AG108" s="1081">
        <v>357</v>
      </c>
      <c r="AH108" s="1081">
        <v>344</v>
      </c>
      <c r="AI108" s="1081">
        <v>406</v>
      </c>
      <c r="AJ108" s="1081">
        <v>415</v>
      </c>
      <c r="AK108" s="1303">
        <v>435</v>
      </c>
      <c r="AL108" s="1304">
        <v>438</v>
      </c>
      <c r="AM108" s="1699">
        <v>440</v>
      </c>
      <c r="AN108" s="1699">
        <v>447</v>
      </c>
      <c r="AO108" s="1532"/>
      <c r="AP108" s="1106">
        <f t="shared" si="54"/>
        <v>49.763033175355453</v>
      </c>
      <c r="AQ108" s="1107">
        <f t="shared" si="55"/>
        <v>60.747663551401871</v>
      </c>
      <c r="AR108" s="1107">
        <f t="shared" si="56"/>
        <v>46.798029556650242</v>
      </c>
      <c r="AS108" s="1107">
        <f t="shared" si="57"/>
        <v>62.015503875968989</v>
      </c>
      <c r="AT108" s="1107">
        <f t="shared" si="58"/>
        <v>56</v>
      </c>
      <c r="AU108" s="1107">
        <f t="shared" si="59"/>
        <v>25.069637883008355</v>
      </c>
      <c r="AV108" s="1107">
        <f t="shared" si="60"/>
        <v>45.945945945945951</v>
      </c>
      <c r="AW108" s="1107">
        <f t="shared" si="61"/>
        <v>50</v>
      </c>
      <c r="AX108" s="1107">
        <f t="shared" si="62"/>
        <v>35.422343324250683</v>
      </c>
      <c r="AY108" s="1107">
        <f t="shared" si="63"/>
        <v>52.197802197802197</v>
      </c>
      <c r="AZ108" s="1107">
        <f t="shared" si="64"/>
        <v>50.420168067226889</v>
      </c>
      <c r="BA108" s="1107">
        <f t="shared" si="65"/>
        <v>69.767441860465112</v>
      </c>
      <c r="BB108" s="1107">
        <f t="shared" si="66"/>
        <v>41.871921182266007</v>
      </c>
      <c r="BC108" s="1107">
        <f t="shared" si="67"/>
        <v>43.373493975903614</v>
      </c>
      <c r="BD108" s="1307">
        <f t="shared" si="68"/>
        <v>45.977011494252871</v>
      </c>
      <c r="BE108" s="1309">
        <f t="shared" si="69"/>
        <v>36.529680365296798</v>
      </c>
      <c r="BF108" s="1537">
        <f t="shared" si="70"/>
        <v>25</v>
      </c>
      <c r="BG108" s="1537">
        <f t="shared" si="53"/>
        <v>20.134228187919462</v>
      </c>
    </row>
    <row r="109" spans="1:59" s="142" customFormat="1" ht="15.75" customHeight="1" x14ac:dyDescent="0.2">
      <c r="A109" s="149" t="s">
        <v>106</v>
      </c>
      <c r="B109" s="186" t="s">
        <v>107</v>
      </c>
      <c r="C109" s="150" t="s">
        <v>264</v>
      </c>
      <c r="D109" s="1057">
        <v>276</v>
      </c>
      <c r="E109" s="1058">
        <v>297</v>
      </c>
      <c r="F109" s="1059">
        <v>272</v>
      </c>
      <c r="G109" s="1058">
        <v>274</v>
      </c>
      <c r="H109" s="1059">
        <v>238</v>
      </c>
      <c r="I109" s="1058">
        <v>203</v>
      </c>
      <c r="J109" s="1059">
        <v>221</v>
      </c>
      <c r="K109" s="1058">
        <v>247</v>
      </c>
      <c r="L109" s="1072">
        <v>226</v>
      </c>
      <c r="M109" s="1072">
        <v>256</v>
      </c>
      <c r="N109" s="1072">
        <v>189</v>
      </c>
      <c r="O109" s="1072">
        <v>188</v>
      </c>
      <c r="P109" s="1073">
        <v>177</v>
      </c>
      <c r="Q109" s="1073">
        <v>144</v>
      </c>
      <c r="R109" s="1300">
        <v>145</v>
      </c>
      <c r="S109" s="1301">
        <v>122</v>
      </c>
      <c r="T109" s="1531">
        <v>123</v>
      </c>
      <c r="U109" s="1708">
        <v>93</v>
      </c>
      <c r="V109" s="1531"/>
      <c r="W109" s="1080">
        <v>10507</v>
      </c>
      <c r="X109" s="1081">
        <v>10640</v>
      </c>
      <c r="Y109" s="1081">
        <v>10952</v>
      </c>
      <c r="Z109" s="1081">
        <v>10727</v>
      </c>
      <c r="AA109" s="1081">
        <v>10660</v>
      </c>
      <c r="AB109" s="1081">
        <v>10790</v>
      </c>
      <c r="AC109" s="1081">
        <v>10593</v>
      </c>
      <c r="AD109" s="1081">
        <v>10346</v>
      </c>
      <c r="AE109" s="1081">
        <v>10181</v>
      </c>
      <c r="AF109" s="1081">
        <v>10345</v>
      </c>
      <c r="AG109" s="1081">
        <v>10046</v>
      </c>
      <c r="AH109" s="1081">
        <v>9446</v>
      </c>
      <c r="AI109" s="1081">
        <v>9459</v>
      </c>
      <c r="AJ109" s="1081">
        <v>9212</v>
      </c>
      <c r="AK109" s="1303">
        <v>8917</v>
      </c>
      <c r="AL109" s="1304">
        <v>8669</v>
      </c>
      <c r="AM109" s="1699">
        <v>8503</v>
      </c>
      <c r="AN109" s="1699">
        <v>8273</v>
      </c>
      <c r="AO109" s="1532"/>
      <c r="AP109" s="1106">
        <f t="shared" si="54"/>
        <v>26.268202150946987</v>
      </c>
      <c r="AQ109" s="1107">
        <f t="shared" si="55"/>
        <v>27.913533834586467</v>
      </c>
      <c r="AR109" s="1107">
        <f t="shared" si="56"/>
        <v>24.83564645726808</v>
      </c>
      <c r="AS109" s="1107">
        <f t="shared" si="57"/>
        <v>25.543022280227465</v>
      </c>
      <c r="AT109" s="1107">
        <f t="shared" si="58"/>
        <v>22.326454033771107</v>
      </c>
      <c r="AU109" s="1107">
        <f t="shared" si="59"/>
        <v>18.813716404077848</v>
      </c>
      <c r="AV109" s="1107">
        <f t="shared" si="60"/>
        <v>20.862833946946097</v>
      </c>
      <c r="AW109" s="1107">
        <f t="shared" si="61"/>
        <v>23.873960951092208</v>
      </c>
      <c r="AX109" s="1107">
        <f t="shared" si="62"/>
        <v>22.198212356350062</v>
      </c>
      <c r="AY109" s="1107">
        <f t="shared" si="63"/>
        <v>24.746254229096181</v>
      </c>
      <c r="AZ109" s="1107">
        <f t="shared" si="64"/>
        <v>18.813458092773242</v>
      </c>
      <c r="BA109" s="1107">
        <f t="shared" si="65"/>
        <v>19.902604276942622</v>
      </c>
      <c r="BB109" s="1107">
        <f t="shared" si="66"/>
        <v>18.712337456390742</v>
      </c>
      <c r="BC109" s="1107">
        <f t="shared" si="67"/>
        <v>15.631784628745114</v>
      </c>
      <c r="BD109" s="1307">
        <f t="shared" si="68"/>
        <v>16.261074352360659</v>
      </c>
      <c r="BE109" s="1309">
        <f t="shared" si="69"/>
        <v>14.073134156188718</v>
      </c>
      <c r="BF109" s="1537">
        <f t="shared" si="70"/>
        <v>14.465482770786782</v>
      </c>
      <c r="BG109" s="1537">
        <f t="shared" si="53"/>
        <v>11.241387646561101</v>
      </c>
    </row>
    <row r="110" spans="1:59" s="142" customFormat="1" ht="15.75" customHeight="1" x14ac:dyDescent="0.2">
      <c r="A110" s="149" t="s">
        <v>116</v>
      </c>
      <c r="B110" s="186" t="s">
        <v>117</v>
      </c>
      <c r="C110" s="150" t="s">
        <v>266</v>
      </c>
      <c r="D110" s="1057">
        <v>62</v>
      </c>
      <c r="E110" s="1058">
        <v>71</v>
      </c>
      <c r="F110" s="1059">
        <v>68</v>
      </c>
      <c r="G110" s="1058">
        <v>78</v>
      </c>
      <c r="H110" s="1059">
        <v>71</v>
      </c>
      <c r="I110" s="1058">
        <v>68</v>
      </c>
      <c r="J110" s="1059">
        <v>50</v>
      </c>
      <c r="K110" s="1058">
        <v>55</v>
      </c>
      <c r="L110" s="1072">
        <v>67</v>
      </c>
      <c r="M110" s="1072">
        <v>71</v>
      </c>
      <c r="N110" s="1072">
        <v>64</v>
      </c>
      <c r="O110" s="1072">
        <v>73</v>
      </c>
      <c r="P110" s="1073">
        <v>59</v>
      </c>
      <c r="Q110" s="1073">
        <v>48</v>
      </c>
      <c r="R110" s="1300">
        <v>47</v>
      </c>
      <c r="S110" s="1301">
        <v>35</v>
      </c>
      <c r="T110" s="1531">
        <v>39</v>
      </c>
      <c r="U110" s="1708">
        <v>30</v>
      </c>
      <c r="V110" s="1531"/>
      <c r="W110" s="1080">
        <v>1671</v>
      </c>
      <c r="X110" s="1081">
        <v>1686</v>
      </c>
      <c r="Y110" s="1081">
        <v>1503</v>
      </c>
      <c r="Z110" s="1081">
        <v>1509</v>
      </c>
      <c r="AA110" s="1081">
        <v>1523</v>
      </c>
      <c r="AB110" s="1081">
        <v>1543</v>
      </c>
      <c r="AC110" s="1081">
        <v>1556</v>
      </c>
      <c r="AD110" s="1081">
        <v>1590</v>
      </c>
      <c r="AE110" s="1081">
        <v>1579</v>
      </c>
      <c r="AF110" s="1081">
        <v>1638</v>
      </c>
      <c r="AG110" s="1081">
        <v>1629</v>
      </c>
      <c r="AH110" s="1081">
        <v>1483</v>
      </c>
      <c r="AI110" s="1081">
        <v>1489</v>
      </c>
      <c r="AJ110" s="1081">
        <v>1418</v>
      </c>
      <c r="AK110" s="1303">
        <v>1354</v>
      </c>
      <c r="AL110" s="1304">
        <v>1315</v>
      </c>
      <c r="AM110" s="1699">
        <v>1332</v>
      </c>
      <c r="AN110" s="1699">
        <v>1392</v>
      </c>
      <c r="AO110" s="1532"/>
      <c r="AP110" s="1106">
        <f t="shared" si="54"/>
        <v>37.10353081986834</v>
      </c>
      <c r="AQ110" s="1107">
        <f t="shared" si="55"/>
        <v>42.111506524317917</v>
      </c>
      <c r="AR110" s="1107">
        <f t="shared" si="56"/>
        <v>45.242847638057221</v>
      </c>
      <c r="AS110" s="1107">
        <f t="shared" si="57"/>
        <v>51.689860834990057</v>
      </c>
      <c r="AT110" s="1107">
        <f t="shared" si="58"/>
        <v>46.618516086671043</v>
      </c>
      <c r="AU110" s="1107">
        <f t="shared" si="59"/>
        <v>44.069993519118597</v>
      </c>
      <c r="AV110" s="1107">
        <f t="shared" si="60"/>
        <v>32.133676092544988</v>
      </c>
      <c r="AW110" s="1107">
        <f t="shared" si="61"/>
        <v>34.591194968553459</v>
      </c>
      <c r="AX110" s="1107">
        <f t="shared" si="62"/>
        <v>42.431918936035466</v>
      </c>
      <c r="AY110" s="1107">
        <f t="shared" si="63"/>
        <v>43.345543345543341</v>
      </c>
      <c r="AZ110" s="1107">
        <f t="shared" si="64"/>
        <v>39.287906691221608</v>
      </c>
      <c r="BA110" s="1107">
        <f t="shared" si="65"/>
        <v>49.224544841537423</v>
      </c>
      <c r="BB110" s="1107">
        <f t="shared" si="66"/>
        <v>39.623908663532575</v>
      </c>
      <c r="BC110" s="1107">
        <f t="shared" si="67"/>
        <v>33.850493653032444</v>
      </c>
      <c r="BD110" s="1307">
        <f t="shared" si="68"/>
        <v>34.711964549483014</v>
      </c>
      <c r="BE110" s="1309">
        <f t="shared" si="69"/>
        <v>26.615969581749049</v>
      </c>
      <c r="BF110" s="1537">
        <f t="shared" si="70"/>
        <v>29.27927927927928</v>
      </c>
      <c r="BG110" s="1537">
        <f t="shared" si="53"/>
        <v>21.551724137931036</v>
      </c>
    </row>
    <row r="111" spans="1:59" s="142" customFormat="1" ht="15.75" customHeight="1" x14ac:dyDescent="0.2">
      <c r="A111" s="149" t="s">
        <v>138</v>
      </c>
      <c r="B111" s="186" t="s">
        <v>139</v>
      </c>
      <c r="C111" s="150" t="s">
        <v>265</v>
      </c>
      <c r="D111" s="1057">
        <v>116</v>
      </c>
      <c r="E111" s="1058">
        <v>106</v>
      </c>
      <c r="F111" s="1059">
        <v>121</v>
      </c>
      <c r="G111" s="1058">
        <v>138</v>
      </c>
      <c r="H111" s="1059">
        <v>130</v>
      </c>
      <c r="I111" s="1059">
        <v>120</v>
      </c>
      <c r="J111" s="1059">
        <v>120</v>
      </c>
      <c r="K111" s="1058">
        <v>133</v>
      </c>
      <c r="L111" s="1072">
        <v>139</v>
      </c>
      <c r="M111" s="1072">
        <v>150</v>
      </c>
      <c r="N111" s="1072">
        <v>119</v>
      </c>
      <c r="O111" s="1072">
        <v>102</v>
      </c>
      <c r="P111" s="1073">
        <v>108</v>
      </c>
      <c r="Q111" s="1073">
        <v>78</v>
      </c>
      <c r="R111" s="1300">
        <v>61</v>
      </c>
      <c r="S111" s="1301">
        <v>66</v>
      </c>
      <c r="T111" s="1531">
        <v>76</v>
      </c>
      <c r="U111" s="1708">
        <v>65</v>
      </c>
      <c r="V111" s="1531"/>
      <c r="W111" s="1080">
        <v>5632</v>
      </c>
      <c r="X111" s="1081">
        <v>5669</v>
      </c>
      <c r="Y111" s="1081">
        <v>5181</v>
      </c>
      <c r="Z111" s="1081">
        <v>5080</v>
      </c>
      <c r="AA111" s="1081">
        <v>5057</v>
      </c>
      <c r="AB111" s="1081">
        <v>5232</v>
      </c>
      <c r="AC111" s="1081">
        <v>5208</v>
      </c>
      <c r="AD111" s="1081">
        <v>5575</v>
      </c>
      <c r="AE111" s="1081">
        <v>5500</v>
      </c>
      <c r="AF111" s="1081">
        <v>5895</v>
      </c>
      <c r="AG111" s="1081">
        <v>6014</v>
      </c>
      <c r="AH111" s="1081">
        <v>5921</v>
      </c>
      <c r="AI111" s="1081">
        <v>6221</v>
      </c>
      <c r="AJ111" s="1081">
        <v>6095</v>
      </c>
      <c r="AK111" s="1303">
        <v>6114</v>
      </c>
      <c r="AL111" s="1304">
        <v>6275</v>
      </c>
      <c r="AM111" s="1699">
        <v>6427</v>
      </c>
      <c r="AN111" s="1699">
        <v>6505</v>
      </c>
      <c r="AO111" s="1532"/>
      <c r="AP111" s="1106">
        <f t="shared" si="54"/>
        <v>20.596590909090907</v>
      </c>
      <c r="AQ111" s="1107">
        <f t="shared" si="55"/>
        <v>18.698183101076026</v>
      </c>
      <c r="AR111" s="1107">
        <f t="shared" si="56"/>
        <v>23.354564755838638</v>
      </c>
      <c r="AS111" s="1107">
        <f t="shared" si="57"/>
        <v>27.165354330708659</v>
      </c>
      <c r="AT111" s="1107">
        <f t="shared" si="58"/>
        <v>25.70694087403599</v>
      </c>
      <c r="AU111" s="1107">
        <f t="shared" si="59"/>
        <v>22.935779816513762</v>
      </c>
      <c r="AV111" s="1107">
        <f t="shared" si="60"/>
        <v>23.041474654377883</v>
      </c>
      <c r="AW111" s="1107">
        <f t="shared" si="61"/>
        <v>23.856502242152466</v>
      </c>
      <c r="AX111" s="1107">
        <f t="shared" si="62"/>
        <v>25.272727272727273</v>
      </c>
      <c r="AY111" s="1107">
        <f t="shared" si="63"/>
        <v>25.445292620865139</v>
      </c>
      <c r="AZ111" s="1107">
        <f t="shared" si="64"/>
        <v>19.787163285666779</v>
      </c>
      <c r="BA111" s="1107">
        <f t="shared" si="65"/>
        <v>17.226819793953723</v>
      </c>
      <c r="BB111" s="1107">
        <f t="shared" si="66"/>
        <v>17.360552965761133</v>
      </c>
      <c r="BC111" s="1107">
        <f t="shared" si="67"/>
        <v>12.797374897456931</v>
      </c>
      <c r="BD111" s="1307">
        <f t="shared" si="68"/>
        <v>9.9771017337258758</v>
      </c>
      <c r="BE111" s="1309">
        <f t="shared" si="69"/>
        <v>10.517928286852589</v>
      </c>
      <c r="BF111" s="1537">
        <f t="shared" si="70"/>
        <v>11.825112805352418</v>
      </c>
      <c r="BG111" s="1537">
        <f t="shared" si="53"/>
        <v>9.9923136049192927</v>
      </c>
    </row>
    <row r="112" spans="1:59" s="142" customFormat="1" ht="15.75" customHeight="1" x14ac:dyDescent="0.2">
      <c r="A112" s="149" t="s">
        <v>142</v>
      </c>
      <c r="B112" s="186" t="s">
        <v>273</v>
      </c>
      <c r="C112" s="150" t="s">
        <v>267</v>
      </c>
      <c r="D112" s="1057">
        <v>59</v>
      </c>
      <c r="E112" s="1058">
        <v>60</v>
      </c>
      <c r="F112" s="1059">
        <v>67</v>
      </c>
      <c r="G112" s="1058">
        <v>74</v>
      </c>
      <c r="H112" s="1059">
        <v>59</v>
      </c>
      <c r="I112" s="1058">
        <v>61</v>
      </c>
      <c r="J112" s="1059">
        <v>67</v>
      </c>
      <c r="K112" s="1058">
        <v>58</v>
      </c>
      <c r="L112" s="1072">
        <v>83</v>
      </c>
      <c r="M112" s="1072">
        <v>66</v>
      </c>
      <c r="N112" s="1072">
        <v>50</v>
      </c>
      <c r="O112" s="1072">
        <v>51</v>
      </c>
      <c r="P112" s="1073">
        <v>50</v>
      </c>
      <c r="Q112" s="1073">
        <v>78</v>
      </c>
      <c r="R112" s="1300">
        <v>59</v>
      </c>
      <c r="S112" s="1301">
        <v>50</v>
      </c>
      <c r="T112" s="1531">
        <v>50</v>
      </c>
      <c r="U112" s="1708">
        <v>51</v>
      </c>
      <c r="V112" s="1531"/>
      <c r="W112" s="1080">
        <v>2247</v>
      </c>
      <c r="X112" s="1081">
        <v>2305</v>
      </c>
      <c r="Y112" s="1081">
        <v>2531</v>
      </c>
      <c r="Z112" s="1081">
        <v>2608</v>
      </c>
      <c r="AA112" s="1081">
        <v>2647</v>
      </c>
      <c r="AB112" s="1081">
        <v>2679</v>
      </c>
      <c r="AC112" s="1081">
        <v>2737</v>
      </c>
      <c r="AD112" s="1081">
        <v>2758</v>
      </c>
      <c r="AE112" s="1081">
        <v>2631</v>
      </c>
      <c r="AF112" s="1081">
        <v>2565</v>
      </c>
      <c r="AG112" s="1081">
        <v>2502</v>
      </c>
      <c r="AH112" s="1081">
        <v>2429</v>
      </c>
      <c r="AI112" s="1081">
        <v>2665</v>
      </c>
      <c r="AJ112" s="1081">
        <v>2658</v>
      </c>
      <c r="AK112" s="1303">
        <v>2764</v>
      </c>
      <c r="AL112" s="1304">
        <v>2788</v>
      </c>
      <c r="AM112" s="1699">
        <v>2716</v>
      </c>
      <c r="AN112" s="1699">
        <v>2769</v>
      </c>
      <c r="AO112" s="1532"/>
      <c r="AP112" s="1106">
        <f t="shared" si="54"/>
        <v>26.257231864708501</v>
      </c>
      <c r="AQ112" s="1107">
        <f t="shared" si="55"/>
        <v>26.030368763557483</v>
      </c>
      <c r="AR112" s="1107">
        <f t="shared" si="56"/>
        <v>26.471750296325563</v>
      </c>
      <c r="AS112" s="1107">
        <f t="shared" si="57"/>
        <v>28.374233128834355</v>
      </c>
      <c r="AT112" s="1107">
        <f t="shared" si="58"/>
        <v>22.289384208537967</v>
      </c>
      <c r="AU112" s="1107">
        <f t="shared" si="59"/>
        <v>22.769690182904068</v>
      </c>
      <c r="AV112" s="1107">
        <f t="shared" si="60"/>
        <v>24.479356960175373</v>
      </c>
      <c r="AW112" s="1107">
        <f t="shared" si="61"/>
        <v>21.029731689630168</v>
      </c>
      <c r="AX112" s="1107">
        <f t="shared" si="62"/>
        <v>31.546940326871916</v>
      </c>
      <c r="AY112" s="1107">
        <f t="shared" si="63"/>
        <v>25.730994152046787</v>
      </c>
      <c r="AZ112" s="1107">
        <f t="shared" si="64"/>
        <v>19.984012789768183</v>
      </c>
      <c r="BA112" s="1107">
        <f t="shared" si="65"/>
        <v>20.996294771510911</v>
      </c>
      <c r="BB112" s="1107">
        <f t="shared" si="66"/>
        <v>18.761726078799253</v>
      </c>
      <c r="BC112" s="1107">
        <f t="shared" si="67"/>
        <v>29.345372460496616</v>
      </c>
      <c r="BD112" s="1307">
        <f t="shared" si="68"/>
        <v>21.345875542691751</v>
      </c>
      <c r="BE112" s="1309">
        <f t="shared" si="69"/>
        <v>17.934002869440459</v>
      </c>
      <c r="BF112" s="1537">
        <f t="shared" si="70"/>
        <v>18.409425625920473</v>
      </c>
      <c r="BG112" s="1537">
        <f t="shared" si="53"/>
        <v>18.418201516793065</v>
      </c>
    </row>
    <row r="113" spans="1:59" s="142" customFormat="1" ht="15.75" customHeight="1" x14ac:dyDescent="0.2">
      <c r="A113" s="149" t="s">
        <v>144</v>
      </c>
      <c r="B113" s="186" t="s">
        <v>145</v>
      </c>
      <c r="C113" s="150" t="s">
        <v>267</v>
      </c>
      <c r="D113" s="1057">
        <v>15</v>
      </c>
      <c r="E113" s="1058">
        <v>15</v>
      </c>
      <c r="F113" s="1059">
        <v>15</v>
      </c>
      <c r="G113" s="1058">
        <v>18</v>
      </c>
      <c r="H113" s="1059">
        <v>24</v>
      </c>
      <c r="I113" s="1058">
        <v>18</v>
      </c>
      <c r="J113" s="1059">
        <v>23</v>
      </c>
      <c r="K113" s="1058">
        <v>25</v>
      </c>
      <c r="L113" s="1072">
        <v>37</v>
      </c>
      <c r="M113" s="1072">
        <v>23</v>
      </c>
      <c r="N113" s="1072">
        <v>16</v>
      </c>
      <c r="O113" s="1072">
        <v>19</v>
      </c>
      <c r="P113" s="1073">
        <v>0</v>
      </c>
      <c r="Q113" s="1073">
        <v>1</v>
      </c>
      <c r="R113" s="1300">
        <v>3</v>
      </c>
      <c r="S113" s="1301">
        <v>1</v>
      </c>
      <c r="T113" s="1531">
        <v>0</v>
      </c>
      <c r="U113" s="1708">
        <v>10</v>
      </c>
      <c r="V113" s="1531"/>
      <c r="W113" s="1080">
        <v>595</v>
      </c>
      <c r="X113" s="1081">
        <v>609</v>
      </c>
      <c r="Y113" s="1081">
        <v>720</v>
      </c>
      <c r="Z113" s="1081">
        <v>759</v>
      </c>
      <c r="AA113" s="1081">
        <v>769</v>
      </c>
      <c r="AB113" s="1081">
        <v>791</v>
      </c>
      <c r="AC113" s="1081">
        <v>840</v>
      </c>
      <c r="AD113" s="1081">
        <v>849</v>
      </c>
      <c r="AE113" s="1081">
        <v>830</v>
      </c>
      <c r="AF113" s="1081">
        <v>830</v>
      </c>
      <c r="AG113" s="1081">
        <v>840</v>
      </c>
      <c r="AH113" s="1081">
        <v>773</v>
      </c>
      <c r="AI113" s="1081">
        <v>947</v>
      </c>
      <c r="AJ113" s="1081">
        <v>1047</v>
      </c>
      <c r="AK113" s="1303">
        <v>1073</v>
      </c>
      <c r="AL113" s="1304">
        <v>1047</v>
      </c>
      <c r="AM113" s="1699">
        <v>1022</v>
      </c>
      <c r="AN113" s="1699">
        <v>1113</v>
      </c>
      <c r="AO113" s="1532"/>
      <c r="AP113" s="1106">
        <f t="shared" si="54"/>
        <v>25.210084033613445</v>
      </c>
      <c r="AQ113" s="1107">
        <f t="shared" si="55"/>
        <v>24.630541871921185</v>
      </c>
      <c r="AR113" s="1107">
        <f t="shared" si="56"/>
        <v>20.833333333333332</v>
      </c>
      <c r="AS113" s="1107">
        <f t="shared" si="57"/>
        <v>23.715415019762844</v>
      </c>
      <c r="AT113" s="1107">
        <f t="shared" si="58"/>
        <v>31.209362808842652</v>
      </c>
      <c r="AU113" s="1107">
        <f t="shared" si="59"/>
        <v>22.756005056890015</v>
      </c>
      <c r="AV113" s="1107">
        <f t="shared" si="60"/>
        <v>27.38095238095238</v>
      </c>
      <c r="AW113" s="1107">
        <f t="shared" si="61"/>
        <v>29.446407538280329</v>
      </c>
      <c r="AX113" s="1107">
        <f t="shared" si="62"/>
        <v>44.578313253012048</v>
      </c>
      <c r="AY113" s="1107">
        <f t="shared" si="63"/>
        <v>27.710843373493976</v>
      </c>
      <c r="AZ113" s="1107">
        <f t="shared" si="64"/>
        <v>19.047619047619051</v>
      </c>
      <c r="BA113" s="1107">
        <f t="shared" si="65"/>
        <v>24.579560155239328</v>
      </c>
      <c r="BB113" s="1107">
        <f t="shared" si="66"/>
        <v>0</v>
      </c>
      <c r="BC113" s="1107">
        <f t="shared" si="67"/>
        <v>0.95510983763132762</v>
      </c>
      <c r="BD113" s="1307">
        <f t="shared" si="68"/>
        <v>2.7958993476234855</v>
      </c>
      <c r="BE113" s="1309">
        <f t="shared" si="69"/>
        <v>0.95510983763132762</v>
      </c>
      <c r="BF113" s="1537">
        <f t="shared" si="70"/>
        <v>0</v>
      </c>
      <c r="BG113" s="1537">
        <f t="shared" si="53"/>
        <v>8.9847259658580416</v>
      </c>
    </row>
    <row r="114" spans="1:59" s="142" customFormat="1" ht="15.75" customHeight="1" x14ac:dyDescent="0.2">
      <c r="A114" s="149" t="s">
        <v>158</v>
      </c>
      <c r="B114" s="186" t="s">
        <v>159</v>
      </c>
      <c r="C114" s="150" t="s">
        <v>264</v>
      </c>
      <c r="D114" s="1057">
        <v>468</v>
      </c>
      <c r="E114" s="1058">
        <v>452</v>
      </c>
      <c r="F114" s="1059">
        <v>447</v>
      </c>
      <c r="G114" s="1058">
        <v>421</v>
      </c>
      <c r="H114" s="1059">
        <v>407</v>
      </c>
      <c r="I114" s="1058">
        <v>409</v>
      </c>
      <c r="J114" s="1059">
        <v>373</v>
      </c>
      <c r="K114" s="1058">
        <v>363</v>
      </c>
      <c r="L114" s="1072">
        <v>392</v>
      </c>
      <c r="M114" s="1072">
        <v>344</v>
      </c>
      <c r="N114" s="1072">
        <v>382</v>
      </c>
      <c r="O114" s="1072">
        <v>326</v>
      </c>
      <c r="P114" s="1073">
        <v>280</v>
      </c>
      <c r="Q114" s="1073">
        <v>269</v>
      </c>
      <c r="R114" s="1300">
        <v>248</v>
      </c>
      <c r="S114" s="1301">
        <v>208</v>
      </c>
      <c r="T114" s="1531">
        <v>146</v>
      </c>
      <c r="U114" s="1708">
        <v>150</v>
      </c>
      <c r="V114" s="1531"/>
      <c r="W114" s="1080">
        <v>13646</v>
      </c>
      <c r="X114" s="1081">
        <v>13975</v>
      </c>
      <c r="Y114" s="1081">
        <v>12876</v>
      </c>
      <c r="Z114" s="1081">
        <v>12824</v>
      </c>
      <c r="AA114" s="1081">
        <v>12894</v>
      </c>
      <c r="AB114" s="1081">
        <v>13189</v>
      </c>
      <c r="AC114" s="1081">
        <v>13287</v>
      </c>
      <c r="AD114" s="1081">
        <v>13249</v>
      </c>
      <c r="AE114" s="1081">
        <v>13050</v>
      </c>
      <c r="AF114" s="1081">
        <v>13209</v>
      </c>
      <c r="AG114" s="1081">
        <v>13877</v>
      </c>
      <c r="AH114" s="1081">
        <v>13149</v>
      </c>
      <c r="AI114" s="1081">
        <v>12437</v>
      </c>
      <c r="AJ114" s="1081">
        <v>11955</v>
      </c>
      <c r="AK114" s="1303">
        <v>11781</v>
      </c>
      <c r="AL114" s="1304">
        <v>11695</v>
      </c>
      <c r="AM114" s="1699">
        <v>11545</v>
      </c>
      <c r="AN114" s="1699">
        <v>11526</v>
      </c>
      <c r="AO114" s="1532"/>
      <c r="AP114" s="1106">
        <f t="shared" si="54"/>
        <v>34.295764326542574</v>
      </c>
      <c r="AQ114" s="1107">
        <f t="shared" si="55"/>
        <v>32.343470483005362</v>
      </c>
      <c r="AR114" s="1107">
        <f t="shared" si="56"/>
        <v>34.715750232991617</v>
      </c>
      <c r="AS114" s="1107">
        <f t="shared" si="57"/>
        <v>32.829070492825949</v>
      </c>
      <c r="AT114" s="1107">
        <f t="shared" si="58"/>
        <v>31.565069024352411</v>
      </c>
      <c r="AU114" s="1107">
        <f t="shared" si="59"/>
        <v>31.010690727121087</v>
      </c>
      <c r="AV114" s="1107">
        <f t="shared" si="60"/>
        <v>28.072552118612176</v>
      </c>
      <c r="AW114" s="1107">
        <f t="shared" si="61"/>
        <v>27.39829421088384</v>
      </c>
      <c r="AX114" s="1107">
        <f t="shared" si="62"/>
        <v>30.038314176245208</v>
      </c>
      <c r="AY114" s="1107">
        <f t="shared" si="63"/>
        <v>26.042849572261336</v>
      </c>
      <c r="AZ114" s="1107">
        <f t="shared" si="64"/>
        <v>27.527563594436838</v>
      </c>
      <c r="BA114" s="1107">
        <f t="shared" si="65"/>
        <v>24.792759905696251</v>
      </c>
      <c r="BB114" s="1107">
        <f t="shared" si="66"/>
        <v>22.513467878105654</v>
      </c>
      <c r="BC114" s="1107">
        <f t="shared" si="67"/>
        <v>22.50104558762024</v>
      </c>
      <c r="BD114" s="1307">
        <f t="shared" si="68"/>
        <v>21.050844580256346</v>
      </c>
      <c r="BE114" s="1309">
        <f t="shared" si="69"/>
        <v>17.78537836682343</v>
      </c>
      <c r="BF114" s="1537">
        <f t="shared" si="70"/>
        <v>12.646167171935902</v>
      </c>
      <c r="BG114" s="1537">
        <f t="shared" si="53"/>
        <v>13.014055179593962</v>
      </c>
    </row>
    <row r="115" spans="1:59" s="142" customFormat="1" ht="15.75" customHeight="1" x14ac:dyDescent="0.2">
      <c r="A115" s="149" t="s">
        <v>160</v>
      </c>
      <c r="B115" s="186" t="s">
        <v>161</v>
      </c>
      <c r="C115" s="150" t="s">
        <v>264</v>
      </c>
      <c r="D115" s="1057">
        <v>715</v>
      </c>
      <c r="E115" s="1058">
        <v>696</v>
      </c>
      <c r="F115" s="1059">
        <v>634</v>
      </c>
      <c r="G115" s="1058">
        <v>616</v>
      </c>
      <c r="H115" s="1059">
        <v>626</v>
      </c>
      <c r="I115" s="1058">
        <v>550</v>
      </c>
      <c r="J115" s="1059">
        <v>545</v>
      </c>
      <c r="K115" s="1058">
        <v>535</v>
      </c>
      <c r="L115" s="1072">
        <v>498</v>
      </c>
      <c r="M115" s="1072">
        <v>534</v>
      </c>
      <c r="N115" s="1072">
        <v>498</v>
      </c>
      <c r="O115" s="1072">
        <v>473</v>
      </c>
      <c r="P115" s="1073">
        <v>425</v>
      </c>
      <c r="Q115" s="1073">
        <v>341</v>
      </c>
      <c r="R115" s="1300">
        <v>346</v>
      </c>
      <c r="S115" s="1301">
        <v>277</v>
      </c>
      <c r="T115" s="1531">
        <v>229</v>
      </c>
      <c r="U115" s="1708">
        <v>243</v>
      </c>
      <c r="V115" s="1531"/>
      <c r="W115" s="1080">
        <v>17404</v>
      </c>
      <c r="X115" s="1081">
        <v>17626</v>
      </c>
      <c r="Y115" s="1081">
        <v>16447</v>
      </c>
      <c r="Z115" s="1081">
        <v>15813</v>
      </c>
      <c r="AA115" s="1081">
        <v>15886</v>
      </c>
      <c r="AB115" s="1081">
        <v>16188</v>
      </c>
      <c r="AC115" s="1081">
        <v>16034</v>
      </c>
      <c r="AD115" s="1081">
        <v>16005</v>
      </c>
      <c r="AE115" s="1081">
        <v>16132</v>
      </c>
      <c r="AF115" s="1081">
        <v>17017</v>
      </c>
      <c r="AG115" s="1081">
        <v>16942</v>
      </c>
      <c r="AH115" s="1081">
        <v>15154</v>
      </c>
      <c r="AI115" s="1081">
        <v>15034</v>
      </c>
      <c r="AJ115" s="1081">
        <v>14379</v>
      </c>
      <c r="AK115" s="1303">
        <v>14100</v>
      </c>
      <c r="AL115" s="1304">
        <v>13561</v>
      </c>
      <c r="AM115" s="1699">
        <v>13379</v>
      </c>
      <c r="AN115" s="1699">
        <v>13140</v>
      </c>
      <c r="AO115" s="1532"/>
      <c r="AP115" s="1106">
        <f t="shared" si="54"/>
        <v>41.08250976786946</v>
      </c>
      <c r="AQ115" s="1107">
        <f t="shared" si="55"/>
        <v>39.487121298082378</v>
      </c>
      <c r="AR115" s="1107">
        <f t="shared" si="56"/>
        <v>38.548063476621877</v>
      </c>
      <c r="AS115" s="1107">
        <f t="shared" si="57"/>
        <v>38.955289951305886</v>
      </c>
      <c r="AT115" s="1107">
        <f t="shared" si="58"/>
        <v>39.405766083343828</v>
      </c>
      <c r="AU115" s="1107">
        <f t="shared" si="59"/>
        <v>33.975784531751913</v>
      </c>
      <c r="AV115" s="1107">
        <f t="shared" si="60"/>
        <v>33.990270674816017</v>
      </c>
      <c r="AW115" s="1107">
        <f t="shared" si="61"/>
        <v>33.427054045610745</v>
      </c>
      <c r="AX115" s="1107">
        <f t="shared" si="62"/>
        <v>30.87031986114555</v>
      </c>
      <c r="AY115" s="1107">
        <f t="shared" si="63"/>
        <v>31.38038432156079</v>
      </c>
      <c r="AZ115" s="1107">
        <f t="shared" si="64"/>
        <v>29.394404438673121</v>
      </c>
      <c r="BA115" s="1107">
        <f t="shared" si="65"/>
        <v>31.21288108750165</v>
      </c>
      <c r="BB115" s="1107">
        <f t="shared" si="66"/>
        <v>28.269256352268194</v>
      </c>
      <c r="BC115" s="1107">
        <f t="shared" si="67"/>
        <v>23.715140134918979</v>
      </c>
      <c r="BD115" s="1307">
        <f t="shared" si="68"/>
        <v>24.539007092198581</v>
      </c>
      <c r="BE115" s="1309">
        <f t="shared" si="69"/>
        <v>20.426222254995945</v>
      </c>
      <c r="BF115" s="1537">
        <f t="shared" si="70"/>
        <v>17.116376410793034</v>
      </c>
      <c r="BG115" s="1537">
        <f t="shared" si="53"/>
        <v>18.493150684931507</v>
      </c>
    </row>
    <row r="116" spans="1:59" s="142" customFormat="1" ht="15.75" customHeight="1" x14ac:dyDescent="0.2">
      <c r="A116" s="149" t="s">
        <v>166</v>
      </c>
      <c r="B116" s="186" t="s">
        <v>167</v>
      </c>
      <c r="C116" s="150" t="s">
        <v>268</v>
      </c>
      <c r="D116" s="1057">
        <v>7</v>
      </c>
      <c r="E116" s="1058">
        <v>13</v>
      </c>
      <c r="F116" s="1059">
        <v>12</v>
      </c>
      <c r="G116" s="1058">
        <v>6</v>
      </c>
      <c r="H116" s="1059">
        <v>5</v>
      </c>
      <c r="I116" s="1058">
        <v>7</v>
      </c>
      <c r="J116" s="1059">
        <v>11</v>
      </c>
      <c r="K116" s="1058">
        <v>4</v>
      </c>
      <c r="L116" s="1072">
        <v>5</v>
      </c>
      <c r="M116" s="1072">
        <v>7</v>
      </c>
      <c r="N116" s="1072">
        <v>4</v>
      </c>
      <c r="O116" s="1072">
        <v>11</v>
      </c>
      <c r="P116" s="1073">
        <v>10</v>
      </c>
      <c r="Q116" s="1073">
        <v>11</v>
      </c>
      <c r="R116" s="1300">
        <v>15</v>
      </c>
      <c r="S116" s="1301">
        <v>3</v>
      </c>
      <c r="T116" s="1531">
        <v>4</v>
      </c>
      <c r="U116" s="1708">
        <v>9</v>
      </c>
      <c r="V116" s="1531"/>
      <c r="W116" s="1080">
        <v>276</v>
      </c>
      <c r="X116" s="1081">
        <v>271</v>
      </c>
      <c r="Y116" s="1081">
        <v>247</v>
      </c>
      <c r="Z116" s="1081">
        <v>246</v>
      </c>
      <c r="AA116" s="1081">
        <v>246</v>
      </c>
      <c r="AB116" s="1081">
        <v>250</v>
      </c>
      <c r="AC116" s="1081">
        <v>246</v>
      </c>
      <c r="AD116" s="1081">
        <v>246</v>
      </c>
      <c r="AE116" s="1081">
        <v>241</v>
      </c>
      <c r="AF116" s="1081">
        <v>245</v>
      </c>
      <c r="AG116" s="1081">
        <v>243</v>
      </c>
      <c r="AH116" s="1081">
        <v>244</v>
      </c>
      <c r="AI116" s="1081">
        <v>263</v>
      </c>
      <c r="AJ116" s="1081">
        <v>273</v>
      </c>
      <c r="AK116" s="1303">
        <v>237</v>
      </c>
      <c r="AL116" s="1304">
        <v>242</v>
      </c>
      <c r="AM116" s="1699">
        <v>249</v>
      </c>
      <c r="AN116" s="1699">
        <v>235</v>
      </c>
      <c r="AO116" s="1532"/>
      <c r="AP116" s="1106">
        <f t="shared" si="54"/>
        <v>25.362318840579711</v>
      </c>
      <c r="AQ116" s="1107">
        <f t="shared" si="55"/>
        <v>47.97047970479705</v>
      </c>
      <c r="AR116" s="1107">
        <f t="shared" si="56"/>
        <v>48.582995951417004</v>
      </c>
      <c r="AS116" s="1107">
        <f t="shared" si="57"/>
        <v>24.390243902439025</v>
      </c>
      <c r="AT116" s="1107">
        <f t="shared" si="58"/>
        <v>20.325203252032519</v>
      </c>
      <c r="AU116" s="1107">
        <f t="shared" si="59"/>
        <v>28</v>
      </c>
      <c r="AV116" s="1107">
        <f t="shared" si="60"/>
        <v>44.715447154471548</v>
      </c>
      <c r="AW116" s="1107">
        <f t="shared" si="61"/>
        <v>16.260162601626018</v>
      </c>
      <c r="AX116" s="1107">
        <f t="shared" si="62"/>
        <v>20.74688796680498</v>
      </c>
      <c r="AY116" s="1107">
        <f t="shared" si="63"/>
        <v>28.571428571428569</v>
      </c>
      <c r="AZ116" s="1107">
        <f t="shared" si="64"/>
        <v>16.460905349794238</v>
      </c>
      <c r="BA116" s="1107">
        <f t="shared" si="65"/>
        <v>45.081967213114758</v>
      </c>
      <c r="BB116" s="1107">
        <f t="shared" si="66"/>
        <v>38.022813688212928</v>
      </c>
      <c r="BC116" s="1107">
        <f t="shared" si="67"/>
        <v>40.293040293040299</v>
      </c>
      <c r="BD116" s="1307">
        <f t="shared" si="68"/>
        <v>63.291139240506332</v>
      </c>
      <c r="BE116" s="1309">
        <f t="shared" si="69"/>
        <v>12.396694214876034</v>
      </c>
      <c r="BF116" s="1537">
        <f t="shared" si="70"/>
        <v>16.064257028112447</v>
      </c>
      <c r="BG116" s="1537">
        <f t="shared" si="53"/>
        <v>38.297872340425535</v>
      </c>
    </row>
    <row r="117" spans="1:59" s="142" customFormat="1" ht="15.75" customHeight="1" x14ac:dyDescent="0.2">
      <c r="A117" s="149" t="s">
        <v>176</v>
      </c>
      <c r="B117" s="186" t="s">
        <v>177</v>
      </c>
      <c r="C117" s="150" t="s">
        <v>266</v>
      </c>
      <c r="D117" s="1057">
        <v>133</v>
      </c>
      <c r="E117" s="1058">
        <v>117</v>
      </c>
      <c r="F117" s="1059">
        <v>120</v>
      </c>
      <c r="G117" s="1058">
        <v>144</v>
      </c>
      <c r="H117" s="1059">
        <v>127</v>
      </c>
      <c r="I117" s="1058">
        <v>111</v>
      </c>
      <c r="J117" s="1059">
        <v>105</v>
      </c>
      <c r="K117" s="1058">
        <v>102</v>
      </c>
      <c r="L117" s="1072">
        <v>104</v>
      </c>
      <c r="M117" s="1072">
        <v>108</v>
      </c>
      <c r="N117" s="1072">
        <v>110</v>
      </c>
      <c r="O117" s="1072">
        <v>116</v>
      </c>
      <c r="P117" s="1073">
        <v>119</v>
      </c>
      <c r="Q117" s="1073">
        <v>82</v>
      </c>
      <c r="R117" s="1300">
        <v>83</v>
      </c>
      <c r="S117" s="1301">
        <v>77</v>
      </c>
      <c r="T117" s="1531">
        <v>53</v>
      </c>
      <c r="U117" s="1708">
        <v>53</v>
      </c>
      <c r="V117" s="1531"/>
      <c r="W117" s="1080">
        <v>2434</v>
      </c>
      <c r="X117" s="1081">
        <v>2457</v>
      </c>
      <c r="Y117" s="1081">
        <v>2396</v>
      </c>
      <c r="Z117" s="1081">
        <v>2290</v>
      </c>
      <c r="AA117" s="1081">
        <v>2263</v>
      </c>
      <c r="AB117" s="1081">
        <v>2307</v>
      </c>
      <c r="AC117" s="1081">
        <v>2280</v>
      </c>
      <c r="AD117" s="1081">
        <v>2179</v>
      </c>
      <c r="AE117" s="1081">
        <v>2132</v>
      </c>
      <c r="AF117" s="1081">
        <v>2129</v>
      </c>
      <c r="AG117" s="1081">
        <v>2076</v>
      </c>
      <c r="AH117" s="1081">
        <v>1890</v>
      </c>
      <c r="AI117" s="1081">
        <v>1883</v>
      </c>
      <c r="AJ117" s="1081">
        <v>1757</v>
      </c>
      <c r="AK117" s="1303">
        <v>1708</v>
      </c>
      <c r="AL117" s="1304">
        <v>1586</v>
      </c>
      <c r="AM117" s="1699">
        <v>1588</v>
      </c>
      <c r="AN117" s="1699">
        <v>1564</v>
      </c>
      <c r="AO117" s="1532"/>
      <c r="AP117" s="1106">
        <f t="shared" si="54"/>
        <v>54.64256368118324</v>
      </c>
      <c r="AQ117" s="1107">
        <f t="shared" si="55"/>
        <v>47.619047619047613</v>
      </c>
      <c r="AR117" s="1107">
        <f t="shared" si="56"/>
        <v>50.083472454090149</v>
      </c>
      <c r="AS117" s="1107">
        <f t="shared" si="57"/>
        <v>62.882096069869</v>
      </c>
      <c r="AT117" s="1107">
        <f t="shared" si="58"/>
        <v>56.12019443216969</v>
      </c>
      <c r="AU117" s="1107">
        <f t="shared" si="59"/>
        <v>48.11443433029909</v>
      </c>
      <c r="AV117" s="1107">
        <f t="shared" si="60"/>
        <v>46.052631578947363</v>
      </c>
      <c r="AW117" s="1107">
        <f t="shared" si="61"/>
        <v>46.810463515374025</v>
      </c>
      <c r="AX117" s="1107">
        <f t="shared" si="62"/>
        <v>48.780487804878049</v>
      </c>
      <c r="AY117" s="1107">
        <f t="shared" si="63"/>
        <v>50.728041333959602</v>
      </c>
      <c r="AZ117" s="1107">
        <f t="shared" si="64"/>
        <v>52.986512524084773</v>
      </c>
      <c r="BA117" s="1107">
        <f t="shared" si="65"/>
        <v>61.375661375661373</v>
      </c>
      <c r="BB117" s="1107">
        <f t="shared" si="66"/>
        <v>63.197026022304826</v>
      </c>
      <c r="BC117" s="1107">
        <f t="shared" si="67"/>
        <v>46.670461013090495</v>
      </c>
      <c r="BD117" s="1307">
        <f t="shared" si="68"/>
        <v>48.594847775175644</v>
      </c>
      <c r="BE117" s="1309">
        <f t="shared" si="69"/>
        <v>48.549810844892811</v>
      </c>
      <c r="BF117" s="1537">
        <f t="shared" si="70"/>
        <v>33.375314861460957</v>
      </c>
      <c r="BG117" s="1537">
        <f t="shared" si="53"/>
        <v>33.887468030690535</v>
      </c>
    </row>
    <row r="118" spans="1:59" s="142" customFormat="1" ht="15.75" customHeight="1" x14ac:dyDescent="0.2">
      <c r="A118" s="149" t="s">
        <v>180</v>
      </c>
      <c r="B118" s="186" t="s">
        <v>181</v>
      </c>
      <c r="C118" s="150" t="s">
        <v>264</v>
      </c>
      <c r="D118" s="1057">
        <v>318</v>
      </c>
      <c r="E118" s="1058">
        <v>330</v>
      </c>
      <c r="F118" s="1059">
        <v>290</v>
      </c>
      <c r="G118" s="1058">
        <v>286</v>
      </c>
      <c r="H118" s="1059">
        <v>249</v>
      </c>
      <c r="I118" s="1058">
        <v>247</v>
      </c>
      <c r="J118" s="1059">
        <v>254</v>
      </c>
      <c r="K118" s="1058">
        <v>231</v>
      </c>
      <c r="L118" s="1072">
        <v>234</v>
      </c>
      <c r="M118" s="1072">
        <v>223</v>
      </c>
      <c r="N118" s="1072">
        <v>210</v>
      </c>
      <c r="O118" s="1072">
        <v>239</v>
      </c>
      <c r="P118" s="1073">
        <v>205</v>
      </c>
      <c r="Q118" s="1073">
        <v>178</v>
      </c>
      <c r="R118" s="1300">
        <v>133</v>
      </c>
      <c r="S118" s="1301">
        <v>129</v>
      </c>
      <c r="T118" s="1531">
        <v>109</v>
      </c>
      <c r="U118" s="1708">
        <v>111</v>
      </c>
      <c r="V118" s="1531"/>
      <c r="W118" s="1080">
        <v>7261</v>
      </c>
      <c r="X118" s="1081">
        <v>7292</v>
      </c>
      <c r="Y118" s="1081">
        <v>6914</v>
      </c>
      <c r="Z118" s="1081">
        <v>6795</v>
      </c>
      <c r="AA118" s="1081">
        <v>6803</v>
      </c>
      <c r="AB118" s="1081">
        <v>6839</v>
      </c>
      <c r="AC118" s="1081">
        <v>6876</v>
      </c>
      <c r="AD118" s="1081">
        <v>6907</v>
      </c>
      <c r="AE118" s="1081">
        <v>7040</v>
      </c>
      <c r="AF118" s="1081">
        <v>6990</v>
      </c>
      <c r="AG118" s="1081">
        <v>6907</v>
      </c>
      <c r="AH118" s="1081">
        <v>5985</v>
      </c>
      <c r="AI118" s="1081">
        <v>5730</v>
      </c>
      <c r="AJ118" s="1081">
        <v>5485</v>
      </c>
      <c r="AK118" s="1303">
        <v>5503</v>
      </c>
      <c r="AL118" s="1304">
        <v>5338</v>
      </c>
      <c r="AM118" s="1699">
        <v>5321</v>
      </c>
      <c r="AN118" s="1699">
        <v>5355</v>
      </c>
      <c r="AO118" s="1532"/>
      <c r="AP118" s="1106">
        <f t="shared" si="54"/>
        <v>43.79562043795621</v>
      </c>
      <c r="AQ118" s="1107">
        <f t="shared" si="55"/>
        <v>45.255074053757539</v>
      </c>
      <c r="AR118" s="1107">
        <f t="shared" si="56"/>
        <v>41.943881978594156</v>
      </c>
      <c r="AS118" s="1107">
        <f t="shared" si="57"/>
        <v>42.089771891096397</v>
      </c>
      <c r="AT118" s="1107">
        <f t="shared" si="58"/>
        <v>36.60149933852712</v>
      </c>
      <c r="AU118" s="1107">
        <f t="shared" si="59"/>
        <v>36.116391285275625</v>
      </c>
      <c r="AV118" s="1107">
        <f t="shared" si="60"/>
        <v>36.940081442699245</v>
      </c>
      <c r="AW118" s="1107">
        <f t="shared" si="61"/>
        <v>33.444331837266539</v>
      </c>
      <c r="AX118" s="1107">
        <f t="shared" si="62"/>
        <v>33.238636363636367</v>
      </c>
      <c r="AY118" s="1107">
        <f t="shared" si="63"/>
        <v>31.902718168812591</v>
      </c>
      <c r="AZ118" s="1107">
        <f t="shared" si="64"/>
        <v>30.403938033878674</v>
      </c>
      <c r="BA118" s="1107">
        <f t="shared" si="65"/>
        <v>39.933166248955722</v>
      </c>
      <c r="BB118" s="1107">
        <f t="shared" si="66"/>
        <v>35.776614310645719</v>
      </c>
      <c r="BC118" s="1107">
        <f t="shared" si="67"/>
        <v>32.452142206016411</v>
      </c>
      <c r="BD118" s="1307">
        <f t="shared" si="68"/>
        <v>24.168635289841905</v>
      </c>
      <c r="BE118" s="1309">
        <f t="shared" si="69"/>
        <v>24.166354439865117</v>
      </c>
      <c r="BF118" s="1537">
        <f t="shared" si="70"/>
        <v>20.48487126479985</v>
      </c>
      <c r="BG118" s="1537">
        <f t="shared" si="53"/>
        <v>20.728291316526612</v>
      </c>
    </row>
    <row r="119" spans="1:59" s="142" customFormat="1" ht="15.75" customHeight="1" x14ac:dyDescent="0.2">
      <c r="A119" s="149" t="s">
        <v>192</v>
      </c>
      <c r="B119" s="186" t="s">
        <v>193</v>
      </c>
      <c r="C119" s="150" t="s">
        <v>268</v>
      </c>
      <c r="D119" s="1057">
        <v>25</v>
      </c>
      <c r="E119" s="1058">
        <v>14</v>
      </c>
      <c r="F119" s="1059">
        <v>16</v>
      </c>
      <c r="G119" s="1058">
        <v>13</v>
      </c>
      <c r="H119" s="1059">
        <v>12</v>
      </c>
      <c r="I119" s="1058">
        <v>14</v>
      </c>
      <c r="J119" s="1059">
        <v>12</v>
      </c>
      <c r="K119" s="1058">
        <v>10</v>
      </c>
      <c r="L119" s="1072">
        <v>11</v>
      </c>
      <c r="M119" s="1072">
        <v>14</v>
      </c>
      <c r="N119" s="1072">
        <v>16</v>
      </c>
      <c r="O119" s="1072">
        <v>13</v>
      </c>
      <c r="P119" s="1073">
        <v>18</v>
      </c>
      <c r="Q119" s="1073">
        <v>17</v>
      </c>
      <c r="R119" s="1300">
        <v>19</v>
      </c>
      <c r="S119" s="1301">
        <v>14</v>
      </c>
      <c r="T119" s="1531">
        <v>13</v>
      </c>
      <c r="U119" s="1708">
        <v>6</v>
      </c>
      <c r="V119" s="1531"/>
      <c r="W119" s="1080">
        <v>2508</v>
      </c>
      <c r="X119" s="1081">
        <v>2528</v>
      </c>
      <c r="Y119" s="1081">
        <v>2020</v>
      </c>
      <c r="Z119" s="1081">
        <v>1821</v>
      </c>
      <c r="AA119" s="1081">
        <v>1783</v>
      </c>
      <c r="AB119" s="1081">
        <v>1632</v>
      </c>
      <c r="AC119" s="1081">
        <v>1623</v>
      </c>
      <c r="AD119" s="1081">
        <v>1675</v>
      </c>
      <c r="AE119" s="1081">
        <v>1759</v>
      </c>
      <c r="AF119" s="1081">
        <v>1859</v>
      </c>
      <c r="AG119" s="1081">
        <v>1860</v>
      </c>
      <c r="AH119" s="1081">
        <v>1885</v>
      </c>
      <c r="AI119" s="1081">
        <v>1775</v>
      </c>
      <c r="AJ119" s="1081">
        <v>1778</v>
      </c>
      <c r="AK119" s="1303">
        <v>1796</v>
      </c>
      <c r="AL119" s="1304">
        <v>1861</v>
      </c>
      <c r="AM119" s="1699">
        <v>1931</v>
      </c>
      <c r="AN119" s="1699">
        <v>1883</v>
      </c>
      <c r="AO119" s="1532"/>
      <c r="AP119" s="1106">
        <f t="shared" si="54"/>
        <v>9.9681020733652321</v>
      </c>
      <c r="AQ119" s="1107">
        <f t="shared" si="55"/>
        <v>5.537974683544304</v>
      </c>
      <c r="AR119" s="1107">
        <f t="shared" si="56"/>
        <v>7.9207920792079207</v>
      </c>
      <c r="AS119" s="1107">
        <f t="shared" si="57"/>
        <v>7.1389346512904996</v>
      </c>
      <c r="AT119" s="1107">
        <f t="shared" si="58"/>
        <v>6.7302299495232747</v>
      </c>
      <c r="AU119" s="1107">
        <f t="shared" si="59"/>
        <v>8.5784313725490211</v>
      </c>
      <c r="AV119" s="1107">
        <f t="shared" si="60"/>
        <v>7.3937153419593349</v>
      </c>
      <c r="AW119" s="1107">
        <f t="shared" si="61"/>
        <v>5.9701492537313436</v>
      </c>
      <c r="AX119" s="1107">
        <f t="shared" si="62"/>
        <v>6.2535531552018195</v>
      </c>
      <c r="AY119" s="1107">
        <f t="shared" si="63"/>
        <v>7.5309306078536844</v>
      </c>
      <c r="AZ119" s="1107">
        <f t="shared" si="64"/>
        <v>8.6021505376344081</v>
      </c>
      <c r="BA119" s="1107">
        <f t="shared" si="65"/>
        <v>6.8965517241379306</v>
      </c>
      <c r="BB119" s="1107">
        <f t="shared" si="66"/>
        <v>10.140845070422534</v>
      </c>
      <c r="BC119" s="1107">
        <f t="shared" si="67"/>
        <v>9.5613048368953883</v>
      </c>
      <c r="BD119" s="1307">
        <f t="shared" si="68"/>
        <v>10.579064587973273</v>
      </c>
      <c r="BE119" s="1309">
        <f t="shared" si="69"/>
        <v>7.5228371843095116</v>
      </c>
      <c r="BF119" s="1537">
        <f t="shared" si="70"/>
        <v>6.7322630761263591</v>
      </c>
      <c r="BG119" s="1537">
        <f t="shared" si="53"/>
        <v>3.186404673393521</v>
      </c>
    </row>
    <row r="120" spans="1:59" s="142" customFormat="1" ht="15.75" customHeight="1" x14ac:dyDescent="0.2">
      <c r="A120" s="149" t="s">
        <v>196</v>
      </c>
      <c r="B120" s="186" t="s">
        <v>197</v>
      </c>
      <c r="C120" s="150" t="s">
        <v>266</v>
      </c>
      <c r="D120" s="1057">
        <v>565</v>
      </c>
      <c r="E120" s="1058">
        <v>527</v>
      </c>
      <c r="F120" s="1059">
        <v>521</v>
      </c>
      <c r="G120" s="1058">
        <v>543</v>
      </c>
      <c r="H120" s="1059">
        <v>506</v>
      </c>
      <c r="I120" s="1058">
        <v>507</v>
      </c>
      <c r="J120" s="1059">
        <v>423</v>
      </c>
      <c r="K120" s="1058">
        <v>460</v>
      </c>
      <c r="L120" s="1072">
        <v>425</v>
      </c>
      <c r="M120" s="1072">
        <v>470</v>
      </c>
      <c r="N120" s="1072">
        <v>463</v>
      </c>
      <c r="O120" s="1072">
        <v>421</v>
      </c>
      <c r="P120" s="1073">
        <v>307</v>
      </c>
      <c r="Q120" s="1073">
        <v>285</v>
      </c>
      <c r="R120" s="1300">
        <v>264</v>
      </c>
      <c r="S120" s="1301">
        <v>278</v>
      </c>
      <c r="T120" s="1531">
        <v>215</v>
      </c>
      <c r="U120" s="1708">
        <v>231</v>
      </c>
      <c r="V120" s="1531"/>
      <c r="W120" s="1080">
        <v>12799</v>
      </c>
      <c r="X120" s="1081">
        <v>12922</v>
      </c>
      <c r="Y120" s="1081">
        <v>13167</v>
      </c>
      <c r="Z120" s="1081">
        <v>12890</v>
      </c>
      <c r="AA120" s="1081">
        <v>12807</v>
      </c>
      <c r="AB120" s="1081">
        <v>12710</v>
      </c>
      <c r="AC120" s="1081">
        <v>12716</v>
      </c>
      <c r="AD120" s="1081">
        <v>13004</v>
      </c>
      <c r="AE120" s="1081">
        <v>12887</v>
      </c>
      <c r="AF120" s="1081">
        <v>13451</v>
      </c>
      <c r="AG120" s="1081">
        <v>13423</v>
      </c>
      <c r="AH120" s="1081">
        <v>11733</v>
      </c>
      <c r="AI120" s="1081">
        <v>13057</v>
      </c>
      <c r="AJ120" s="1081">
        <v>12211</v>
      </c>
      <c r="AK120" s="1303">
        <v>12202</v>
      </c>
      <c r="AL120" s="1304">
        <v>11853</v>
      </c>
      <c r="AM120" s="1699">
        <v>12163</v>
      </c>
      <c r="AN120" s="1699">
        <v>12138</v>
      </c>
      <c r="AO120" s="1532"/>
      <c r="AP120" s="1106">
        <f t="shared" si="54"/>
        <v>44.144073755762165</v>
      </c>
      <c r="AQ120" s="1107">
        <f t="shared" si="55"/>
        <v>40.783160501470363</v>
      </c>
      <c r="AR120" s="1107">
        <f t="shared" si="56"/>
        <v>39.568618515986934</v>
      </c>
      <c r="AS120" s="1107">
        <f t="shared" si="57"/>
        <v>42.125678820791308</v>
      </c>
      <c r="AT120" s="1107">
        <f t="shared" si="58"/>
        <v>39.509643163894744</v>
      </c>
      <c r="AU120" s="1107">
        <f t="shared" si="59"/>
        <v>39.889850511408333</v>
      </c>
      <c r="AV120" s="1107">
        <f t="shared" si="60"/>
        <v>33.265177728845543</v>
      </c>
      <c r="AW120" s="1107">
        <f t="shared" si="61"/>
        <v>35.373731159643185</v>
      </c>
      <c r="AX120" s="1107">
        <f t="shared" si="62"/>
        <v>32.978971056103049</v>
      </c>
      <c r="AY120" s="1107">
        <f t="shared" si="63"/>
        <v>34.941640026763807</v>
      </c>
      <c r="AZ120" s="1107">
        <f t="shared" si="64"/>
        <v>34.493034344036353</v>
      </c>
      <c r="BA120" s="1107">
        <f t="shared" si="65"/>
        <v>35.881701184692751</v>
      </c>
      <c r="BB120" s="1107">
        <f t="shared" si="66"/>
        <v>23.512292257026882</v>
      </c>
      <c r="BC120" s="1107">
        <f t="shared" si="67"/>
        <v>23.339611825403324</v>
      </c>
      <c r="BD120" s="1307">
        <f t="shared" si="68"/>
        <v>21.635797410260611</v>
      </c>
      <c r="BE120" s="1309">
        <f t="shared" si="69"/>
        <v>23.453977895891335</v>
      </c>
      <c r="BF120" s="1537">
        <f t="shared" si="70"/>
        <v>17.676560059195925</v>
      </c>
      <c r="BG120" s="1537">
        <f t="shared" si="53"/>
        <v>19.031141868512112</v>
      </c>
    </row>
    <row r="121" spans="1:59" s="142" customFormat="1" ht="15.75" customHeight="1" x14ac:dyDescent="0.2">
      <c r="A121" s="149" t="s">
        <v>200</v>
      </c>
      <c r="B121" s="186" t="s">
        <v>201</v>
      </c>
      <c r="C121" s="150" t="s">
        <v>265</v>
      </c>
      <c r="D121" s="1057">
        <v>230</v>
      </c>
      <c r="E121" s="1058">
        <v>208</v>
      </c>
      <c r="F121" s="1059">
        <v>212</v>
      </c>
      <c r="G121" s="1058">
        <v>195</v>
      </c>
      <c r="H121" s="1059">
        <v>206</v>
      </c>
      <c r="I121" s="1058">
        <v>196</v>
      </c>
      <c r="J121" s="1059">
        <v>132</v>
      </c>
      <c r="K121" s="1058">
        <v>182</v>
      </c>
      <c r="L121" s="1072">
        <v>209</v>
      </c>
      <c r="M121" s="1072">
        <v>242</v>
      </c>
      <c r="N121" s="1072">
        <v>232</v>
      </c>
      <c r="O121" s="1072">
        <v>218</v>
      </c>
      <c r="P121" s="1073">
        <v>174</v>
      </c>
      <c r="Q121" s="1073">
        <v>173</v>
      </c>
      <c r="R121" s="1300">
        <v>148</v>
      </c>
      <c r="S121" s="1301">
        <v>133</v>
      </c>
      <c r="T121" s="1531">
        <v>118</v>
      </c>
      <c r="U121" s="1708">
        <v>108</v>
      </c>
      <c r="V121" s="1531"/>
      <c r="W121" s="1080">
        <v>5451</v>
      </c>
      <c r="X121" s="1081">
        <v>5442</v>
      </c>
      <c r="Y121" s="1081">
        <v>5381</v>
      </c>
      <c r="Z121" s="1081">
        <v>5373</v>
      </c>
      <c r="AA121" s="1081">
        <v>5375</v>
      </c>
      <c r="AB121" s="1081">
        <v>5400</v>
      </c>
      <c r="AC121" s="1081">
        <v>5540</v>
      </c>
      <c r="AD121" s="1081">
        <v>5485</v>
      </c>
      <c r="AE121" s="1081">
        <v>5341</v>
      </c>
      <c r="AF121" s="1081">
        <v>5432</v>
      </c>
      <c r="AG121" s="1081">
        <v>5441</v>
      </c>
      <c r="AH121" s="1081">
        <v>4992</v>
      </c>
      <c r="AI121" s="1081">
        <v>5235</v>
      </c>
      <c r="AJ121" s="1081">
        <v>5064</v>
      </c>
      <c r="AK121" s="1303">
        <v>5042</v>
      </c>
      <c r="AL121" s="1304">
        <v>4933</v>
      </c>
      <c r="AM121" s="1699">
        <v>5038</v>
      </c>
      <c r="AN121" s="1699">
        <v>5056</v>
      </c>
      <c r="AO121" s="1532"/>
      <c r="AP121" s="1106">
        <f t="shared" si="54"/>
        <v>42.194092827004219</v>
      </c>
      <c r="AQ121" s="1107">
        <f t="shared" si="55"/>
        <v>38.221242190371186</v>
      </c>
      <c r="AR121" s="1107">
        <f t="shared" si="56"/>
        <v>39.397881434677565</v>
      </c>
      <c r="AS121" s="1107">
        <f t="shared" si="57"/>
        <v>36.29257398101619</v>
      </c>
      <c r="AT121" s="1107">
        <f t="shared" si="58"/>
        <v>38.325581395348834</v>
      </c>
      <c r="AU121" s="1107">
        <f t="shared" si="59"/>
        <v>36.296296296296298</v>
      </c>
      <c r="AV121" s="1107">
        <f t="shared" si="60"/>
        <v>23.826714801444041</v>
      </c>
      <c r="AW121" s="1107">
        <f t="shared" si="61"/>
        <v>33.181403828623516</v>
      </c>
      <c r="AX121" s="1107">
        <f t="shared" si="62"/>
        <v>39.131248829807156</v>
      </c>
      <c r="AY121" s="1107">
        <f t="shared" si="63"/>
        <v>44.550810014727539</v>
      </c>
      <c r="AZ121" s="1107">
        <f t="shared" si="64"/>
        <v>42.639220731483185</v>
      </c>
      <c r="BA121" s="1107">
        <f t="shared" si="65"/>
        <v>43.669871794871796</v>
      </c>
      <c r="BB121" s="1107">
        <f t="shared" si="66"/>
        <v>33.237822349570202</v>
      </c>
      <c r="BC121" s="1107">
        <f t="shared" si="67"/>
        <v>34.162717219589261</v>
      </c>
      <c r="BD121" s="1307">
        <f t="shared" si="68"/>
        <v>29.353431178103925</v>
      </c>
      <c r="BE121" s="1309">
        <f t="shared" si="69"/>
        <v>26.961281167646462</v>
      </c>
      <c r="BF121" s="1537">
        <f t="shared" si="70"/>
        <v>23.421992854307266</v>
      </c>
      <c r="BG121" s="1537">
        <f t="shared" si="53"/>
        <v>21.360759493670887</v>
      </c>
    </row>
    <row r="122" spans="1:59" s="142" customFormat="1" ht="15.75" customHeight="1" x14ac:dyDescent="0.2">
      <c r="A122" s="149" t="s">
        <v>222</v>
      </c>
      <c r="B122" s="186" t="s">
        <v>223</v>
      </c>
      <c r="C122" s="150" t="s">
        <v>264</v>
      </c>
      <c r="D122" s="1057">
        <v>145</v>
      </c>
      <c r="E122" s="1058">
        <v>109</v>
      </c>
      <c r="F122" s="1059">
        <v>119</v>
      </c>
      <c r="G122" s="1058">
        <v>118</v>
      </c>
      <c r="H122" s="1059">
        <v>131</v>
      </c>
      <c r="I122" s="1058">
        <v>116</v>
      </c>
      <c r="J122" s="1059">
        <v>116</v>
      </c>
      <c r="K122" s="1058">
        <v>119</v>
      </c>
      <c r="L122" s="1072">
        <v>130</v>
      </c>
      <c r="M122" s="1072">
        <v>100</v>
      </c>
      <c r="N122" s="1072">
        <v>108</v>
      </c>
      <c r="O122" s="1072">
        <v>112</v>
      </c>
      <c r="P122" s="1073">
        <v>100</v>
      </c>
      <c r="Q122" s="1073">
        <v>77</v>
      </c>
      <c r="R122" s="1300">
        <v>70</v>
      </c>
      <c r="S122" s="1301">
        <v>60</v>
      </c>
      <c r="T122" s="1531">
        <v>51</v>
      </c>
      <c r="U122" s="1708">
        <v>44</v>
      </c>
      <c r="V122" s="1531"/>
      <c r="W122" s="1080">
        <v>4192</v>
      </c>
      <c r="X122" s="1081">
        <v>4244</v>
      </c>
      <c r="Y122" s="1081">
        <v>4696</v>
      </c>
      <c r="Z122" s="1081">
        <v>4974</v>
      </c>
      <c r="AA122" s="1081">
        <v>5198</v>
      </c>
      <c r="AB122" s="1081">
        <v>5477</v>
      </c>
      <c r="AC122" s="1081">
        <v>5604</v>
      </c>
      <c r="AD122" s="1081">
        <v>5733</v>
      </c>
      <c r="AE122" s="1081">
        <v>5787</v>
      </c>
      <c r="AF122" s="1081">
        <v>5712</v>
      </c>
      <c r="AG122" s="1081">
        <v>5717</v>
      </c>
      <c r="AH122" s="1081">
        <v>5817</v>
      </c>
      <c r="AI122" s="1081">
        <v>5914</v>
      </c>
      <c r="AJ122" s="1081">
        <v>5849</v>
      </c>
      <c r="AK122" s="1303">
        <v>5728</v>
      </c>
      <c r="AL122" s="1304">
        <v>5773</v>
      </c>
      <c r="AM122" s="1699">
        <v>5776</v>
      </c>
      <c r="AN122" s="1699">
        <v>5824</v>
      </c>
      <c r="AO122" s="1532"/>
      <c r="AP122" s="1106">
        <f t="shared" si="54"/>
        <v>34.589694656488547</v>
      </c>
      <c r="AQ122" s="1107">
        <f t="shared" si="55"/>
        <v>25.683317624882189</v>
      </c>
      <c r="AR122" s="1107">
        <f t="shared" si="56"/>
        <v>25.340715502555366</v>
      </c>
      <c r="AS122" s="1107">
        <f t="shared" si="57"/>
        <v>23.723361479694411</v>
      </c>
      <c r="AT122" s="1107">
        <f t="shared" si="58"/>
        <v>25.202000769526741</v>
      </c>
      <c r="AU122" s="1107">
        <f t="shared" si="59"/>
        <v>21.179477816322802</v>
      </c>
      <c r="AV122" s="1107">
        <f t="shared" si="60"/>
        <v>20.699500356887938</v>
      </c>
      <c r="AW122" s="1107">
        <f t="shared" si="61"/>
        <v>20.757020757020758</v>
      </c>
      <c r="AX122" s="1107">
        <f t="shared" si="62"/>
        <v>22.464143770520131</v>
      </c>
      <c r="AY122" s="1107">
        <f t="shared" si="63"/>
        <v>17.50700280112045</v>
      </c>
      <c r="AZ122" s="1107">
        <f t="shared" si="64"/>
        <v>18.891026762287911</v>
      </c>
      <c r="BA122" s="1107">
        <f t="shared" si="65"/>
        <v>19.253910950661854</v>
      </c>
      <c r="BB122" s="1107">
        <f t="shared" si="66"/>
        <v>16.909029421711192</v>
      </c>
      <c r="BC122" s="1107">
        <f t="shared" si="67"/>
        <v>13.164643528808343</v>
      </c>
      <c r="BD122" s="1307">
        <f t="shared" si="68"/>
        <v>12.220670391061452</v>
      </c>
      <c r="BE122" s="1309">
        <f t="shared" si="69"/>
        <v>10.393209769617183</v>
      </c>
      <c r="BF122" s="1537">
        <f t="shared" si="70"/>
        <v>8.8296398891966774</v>
      </c>
      <c r="BG122" s="1537">
        <f t="shared" si="53"/>
        <v>7.5549450549450547</v>
      </c>
    </row>
    <row r="123" spans="1:59" s="142" customFormat="1" ht="15.75" customHeight="1" x14ac:dyDescent="0.2">
      <c r="A123" s="149" t="s">
        <v>230</v>
      </c>
      <c r="B123" s="186" t="s">
        <v>231</v>
      </c>
      <c r="C123" s="150" t="s">
        <v>264</v>
      </c>
      <c r="D123" s="1057">
        <v>615</v>
      </c>
      <c r="E123" s="1058">
        <v>580</v>
      </c>
      <c r="F123" s="1059">
        <v>523</v>
      </c>
      <c r="G123" s="1058">
        <v>552</v>
      </c>
      <c r="H123" s="1059">
        <v>534</v>
      </c>
      <c r="I123" s="1058">
        <v>494</v>
      </c>
      <c r="J123" s="1059">
        <v>515</v>
      </c>
      <c r="K123" s="1058">
        <v>462</v>
      </c>
      <c r="L123" s="1072">
        <v>490</v>
      </c>
      <c r="M123" s="1072">
        <v>501</v>
      </c>
      <c r="N123" s="1072">
        <v>430</v>
      </c>
      <c r="O123" s="1072">
        <v>411</v>
      </c>
      <c r="P123" s="1073">
        <v>372</v>
      </c>
      <c r="Q123" s="1073">
        <v>301</v>
      </c>
      <c r="R123" s="1300">
        <v>313</v>
      </c>
      <c r="S123" s="1301">
        <v>246</v>
      </c>
      <c r="T123" s="1531">
        <v>207</v>
      </c>
      <c r="U123" s="1708">
        <v>179</v>
      </c>
      <c r="V123" s="1531"/>
      <c r="W123" s="1080">
        <v>35984</v>
      </c>
      <c r="X123" s="1081">
        <v>37114</v>
      </c>
      <c r="Y123" s="1081">
        <v>30982</v>
      </c>
      <c r="Z123" s="1081">
        <v>31402</v>
      </c>
      <c r="AA123" s="1081">
        <v>31633</v>
      </c>
      <c r="AB123" s="1081">
        <v>32181</v>
      </c>
      <c r="AC123" s="1081">
        <v>32033</v>
      </c>
      <c r="AD123" s="1081">
        <v>31657</v>
      </c>
      <c r="AE123" s="1081">
        <v>31107</v>
      </c>
      <c r="AF123" s="1081">
        <v>30831</v>
      </c>
      <c r="AG123" s="1081">
        <v>30355</v>
      </c>
      <c r="AH123" s="1081">
        <v>28652</v>
      </c>
      <c r="AI123" s="1081">
        <v>28857</v>
      </c>
      <c r="AJ123" s="1081">
        <v>28027</v>
      </c>
      <c r="AK123" s="1303">
        <v>27731</v>
      </c>
      <c r="AL123" s="1304">
        <v>27280</v>
      </c>
      <c r="AM123" s="1699">
        <v>26992</v>
      </c>
      <c r="AN123" s="1699">
        <v>26675</v>
      </c>
      <c r="AO123" s="1532"/>
      <c r="AP123" s="1106">
        <f t="shared" si="54"/>
        <v>17.090929301911963</v>
      </c>
      <c r="AQ123" s="1107">
        <f t="shared" si="55"/>
        <v>15.627526000969985</v>
      </c>
      <c r="AR123" s="1107">
        <f t="shared" si="56"/>
        <v>16.880769479052354</v>
      </c>
      <c r="AS123" s="1107">
        <f t="shared" si="57"/>
        <v>17.578498184828991</v>
      </c>
      <c r="AT123" s="1107">
        <f t="shared" si="58"/>
        <v>16.881105174975499</v>
      </c>
      <c r="AU123" s="1107">
        <f t="shared" si="59"/>
        <v>15.350672757216991</v>
      </c>
      <c r="AV123" s="1107">
        <f t="shared" si="60"/>
        <v>16.077170418006428</v>
      </c>
      <c r="AW123" s="1107">
        <f t="shared" si="61"/>
        <v>14.593928672963326</v>
      </c>
      <c r="AX123" s="1107">
        <f t="shared" si="62"/>
        <v>15.752081525058667</v>
      </c>
      <c r="AY123" s="1107">
        <f t="shared" si="63"/>
        <v>16.249878369173885</v>
      </c>
      <c r="AZ123" s="1107">
        <f t="shared" si="64"/>
        <v>14.165705814528085</v>
      </c>
      <c r="BA123" s="1107">
        <f t="shared" si="65"/>
        <v>14.344548373586488</v>
      </c>
      <c r="BB123" s="1107">
        <f t="shared" si="66"/>
        <v>12.891152926499636</v>
      </c>
      <c r="BC123" s="1107">
        <f t="shared" si="67"/>
        <v>10.739643914796448</v>
      </c>
      <c r="BD123" s="1307">
        <f t="shared" si="68"/>
        <v>11.287007320327431</v>
      </c>
      <c r="BE123" s="1309">
        <f t="shared" si="69"/>
        <v>9.0175953079178885</v>
      </c>
      <c r="BF123" s="1537">
        <f t="shared" si="70"/>
        <v>7.6689389448725542</v>
      </c>
      <c r="BG123" s="1537">
        <f t="shared" si="53"/>
        <v>6.7104029990627936</v>
      </c>
    </row>
    <row r="124" spans="1:59" s="142" customFormat="1" ht="15.75" customHeight="1" x14ac:dyDescent="0.2">
      <c r="A124" s="149" t="s">
        <v>238</v>
      </c>
      <c r="B124" s="186" t="s">
        <v>239</v>
      </c>
      <c r="C124" s="150" t="s">
        <v>264</v>
      </c>
      <c r="D124" s="1057">
        <v>17</v>
      </c>
      <c r="E124" s="1058">
        <v>7</v>
      </c>
      <c r="F124" s="1059">
        <v>3</v>
      </c>
      <c r="G124" s="1058">
        <v>8</v>
      </c>
      <c r="H124" s="1059">
        <v>8</v>
      </c>
      <c r="I124" s="1058">
        <v>13</v>
      </c>
      <c r="J124" s="1059">
        <v>17</v>
      </c>
      <c r="K124" s="1058">
        <v>21</v>
      </c>
      <c r="L124" s="1072">
        <v>18</v>
      </c>
      <c r="M124" s="1072">
        <v>12</v>
      </c>
      <c r="N124" s="1072">
        <v>10</v>
      </c>
      <c r="O124" s="1072">
        <v>16</v>
      </c>
      <c r="P124" s="1073">
        <v>2</v>
      </c>
      <c r="Q124" s="1073">
        <v>7</v>
      </c>
      <c r="R124" s="1300">
        <v>6</v>
      </c>
      <c r="S124" s="1301">
        <v>6</v>
      </c>
      <c r="T124" s="1531">
        <v>4</v>
      </c>
      <c r="U124" s="1708">
        <v>11</v>
      </c>
      <c r="V124" s="1531"/>
      <c r="W124" s="1080">
        <v>1407</v>
      </c>
      <c r="X124" s="1081">
        <v>1416</v>
      </c>
      <c r="Y124" s="1081">
        <v>1452</v>
      </c>
      <c r="Z124" s="1081">
        <v>1432</v>
      </c>
      <c r="AA124" s="1081">
        <v>1430</v>
      </c>
      <c r="AB124" s="1081">
        <v>1389</v>
      </c>
      <c r="AC124" s="1081">
        <v>1364</v>
      </c>
      <c r="AD124" s="1081">
        <v>1390</v>
      </c>
      <c r="AE124" s="1081">
        <v>1415</v>
      </c>
      <c r="AF124" s="1081">
        <v>1464</v>
      </c>
      <c r="AG124" s="1081">
        <v>1452</v>
      </c>
      <c r="AH124" s="1081">
        <v>1515</v>
      </c>
      <c r="AI124" s="1081">
        <v>1474</v>
      </c>
      <c r="AJ124" s="1081">
        <v>1518</v>
      </c>
      <c r="AK124" s="1303">
        <v>1505</v>
      </c>
      <c r="AL124" s="1304">
        <v>1495</v>
      </c>
      <c r="AM124" s="1699">
        <v>1561</v>
      </c>
      <c r="AN124" s="1699">
        <v>1596</v>
      </c>
      <c r="AO124" s="1532"/>
      <c r="AP124" s="1106">
        <f t="shared" si="54"/>
        <v>12.082444918265814</v>
      </c>
      <c r="AQ124" s="1107">
        <f t="shared" si="55"/>
        <v>4.9435028248587578</v>
      </c>
      <c r="AR124" s="1107">
        <f t="shared" si="56"/>
        <v>2.0661157024793391</v>
      </c>
      <c r="AS124" s="1107">
        <f t="shared" si="57"/>
        <v>5.5865921787709496</v>
      </c>
      <c r="AT124" s="1107">
        <f t="shared" si="58"/>
        <v>5.5944055944055942</v>
      </c>
      <c r="AU124" s="1107">
        <f t="shared" si="59"/>
        <v>9.3592512598992084</v>
      </c>
      <c r="AV124" s="1107">
        <f t="shared" si="60"/>
        <v>12.463343108504398</v>
      </c>
      <c r="AW124" s="1107">
        <f t="shared" si="61"/>
        <v>15.107913669064748</v>
      </c>
      <c r="AX124" s="1107">
        <f t="shared" si="62"/>
        <v>12.720848056537102</v>
      </c>
      <c r="AY124" s="1107">
        <f t="shared" si="63"/>
        <v>8.1967213114754109</v>
      </c>
      <c r="AZ124" s="1107">
        <f t="shared" si="64"/>
        <v>6.887052341597796</v>
      </c>
      <c r="BA124" s="1107">
        <f t="shared" si="65"/>
        <v>10.561056105610561</v>
      </c>
      <c r="BB124" s="1107">
        <f t="shared" si="66"/>
        <v>1.3568521031207597</v>
      </c>
      <c r="BC124" s="1107">
        <f t="shared" si="67"/>
        <v>4.6113306982872198</v>
      </c>
      <c r="BD124" s="1307">
        <f t="shared" si="68"/>
        <v>3.986710963455149</v>
      </c>
      <c r="BE124" s="1309">
        <f t="shared" si="69"/>
        <v>4.0133779264214047</v>
      </c>
      <c r="BF124" s="1537">
        <f t="shared" si="70"/>
        <v>2.5624599615631003</v>
      </c>
      <c r="BG124" s="1537">
        <f t="shared" si="53"/>
        <v>6.8922305764411025</v>
      </c>
    </row>
    <row r="125" spans="1:59" s="142" customFormat="1" ht="15.75" customHeight="1" x14ac:dyDescent="0.2">
      <c r="A125" s="155" t="s">
        <v>240</v>
      </c>
      <c r="B125" s="188" t="s">
        <v>241</v>
      </c>
      <c r="C125" s="156" t="s">
        <v>267</v>
      </c>
      <c r="D125" s="1710">
        <v>43</v>
      </c>
      <c r="E125" s="1711">
        <v>41</v>
      </c>
      <c r="F125" s="1712">
        <v>47</v>
      </c>
      <c r="G125" s="1711">
        <v>54</v>
      </c>
      <c r="H125" s="1712">
        <v>56</v>
      </c>
      <c r="I125" s="1711">
        <v>49</v>
      </c>
      <c r="J125" s="1712">
        <v>56</v>
      </c>
      <c r="K125" s="1711">
        <v>55</v>
      </c>
      <c r="L125" s="1713">
        <v>65</v>
      </c>
      <c r="M125" s="1713">
        <v>79</v>
      </c>
      <c r="N125" s="1713">
        <v>64</v>
      </c>
      <c r="O125" s="1713">
        <v>41</v>
      </c>
      <c r="P125" s="1714">
        <v>43</v>
      </c>
      <c r="Q125" s="1714">
        <v>38</v>
      </c>
      <c r="R125" s="1715">
        <v>42</v>
      </c>
      <c r="S125" s="1716">
        <v>25</v>
      </c>
      <c r="T125" s="1717">
        <v>34</v>
      </c>
      <c r="U125" s="1709">
        <v>25</v>
      </c>
      <c r="V125" s="1531"/>
      <c r="W125" s="1718">
        <v>1509</v>
      </c>
      <c r="X125" s="1719">
        <v>1534</v>
      </c>
      <c r="Y125" s="1719">
        <v>1589</v>
      </c>
      <c r="Z125" s="1719">
        <v>1584</v>
      </c>
      <c r="AA125" s="1719">
        <v>1540</v>
      </c>
      <c r="AB125" s="1719">
        <v>1510</v>
      </c>
      <c r="AC125" s="1719">
        <v>1513</v>
      </c>
      <c r="AD125" s="1719">
        <v>1491</v>
      </c>
      <c r="AE125" s="1719">
        <v>1480</v>
      </c>
      <c r="AF125" s="1719">
        <v>1532</v>
      </c>
      <c r="AG125" s="1719">
        <v>1516</v>
      </c>
      <c r="AH125" s="1719">
        <v>1451</v>
      </c>
      <c r="AI125" s="1719">
        <v>1685</v>
      </c>
      <c r="AJ125" s="1719">
        <v>1674</v>
      </c>
      <c r="AK125" s="1720">
        <v>1732</v>
      </c>
      <c r="AL125" s="1721">
        <v>1715</v>
      </c>
      <c r="AM125" s="1700">
        <v>1776</v>
      </c>
      <c r="AN125" s="1700">
        <v>1685</v>
      </c>
      <c r="AO125" s="1532"/>
      <c r="AP125" s="1703">
        <f t="shared" si="54"/>
        <v>28.495692511597085</v>
      </c>
      <c r="AQ125" s="1704">
        <f t="shared" si="55"/>
        <v>26.727509778357238</v>
      </c>
      <c r="AR125" s="1704">
        <f t="shared" si="56"/>
        <v>29.578351164254247</v>
      </c>
      <c r="AS125" s="1704">
        <f t="shared" si="57"/>
        <v>34.090909090909086</v>
      </c>
      <c r="AT125" s="1704">
        <f t="shared" si="58"/>
        <v>36.36363636363636</v>
      </c>
      <c r="AU125" s="1704">
        <f t="shared" si="59"/>
        <v>32.450331125827809</v>
      </c>
      <c r="AV125" s="1704">
        <f t="shared" si="60"/>
        <v>37.012557832121615</v>
      </c>
      <c r="AW125" s="1704">
        <f t="shared" si="61"/>
        <v>36.887994634473507</v>
      </c>
      <c r="AX125" s="1704">
        <f t="shared" si="62"/>
        <v>43.918918918918919</v>
      </c>
      <c r="AY125" s="1704">
        <f t="shared" si="63"/>
        <v>51.566579634464752</v>
      </c>
      <c r="AZ125" s="1704">
        <f t="shared" si="64"/>
        <v>42.21635883905013</v>
      </c>
      <c r="BA125" s="1704">
        <f t="shared" si="65"/>
        <v>28.256374913852515</v>
      </c>
      <c r="BB125" s="1704">
        <f t="shared" si="66"/>
        <v>25.519287833827892</v>
      </c>
      <c r="BC125" s="1704">
        <f t="shared" si="67"/>
        <v>22.700119474313023</v>
      </c>
      <c r="BD125" s="1705">
        <f t="shared" si="68"/>
        <v>24.24942263279446</v>
      </c>
      <c r="BE125" s="1706">
        <f t="shared" si="69"/>
        <v>14.577259475218659</v>
      </c>
      <c r="BF125" s="1702">
        <f t="shared" si="70"/>
        <v>19.144144144144143</v>
      </c>
      <c r="BG125" s="1702">
        <f t="shared" si="53"/>
        <v>14.836795252225519</v>
      </c>
    </row>
    <row r="126" spans="1:59" s="142" customFormat="1" ht="15.75" customHeight="1" x14ac:dyDescent="0.2">
      <c r="A126" s="277"/>
      <c r="B126" s="233"/>
      <c r="C126" s="278"/>
      <c r="D126" s="152"/>
      <c r="E126" s="151"/>
      <c r="F126" s="152"/>
      <c r="G126" s="279"/>
      <c r="H126" s="152"/>
      <c r="I126" s="151"/>
      <c r="J126" s="152"/>
      <c r="K126" s="151"/>
      <c r="L126" s="280"/>
      <c r="M126" s="280"/>
      <c r="N126" s="280"/>
      <c r="O126" s="280"/>
    </row>
    <row r="127" spans="1:59" s="142" customFormat="1" ht="15.75" customHeight="1" x14ac:dyDescent="0.2">
      <c r="A127" s="277" t="s">
        <v>266</v>
      </c>
      <c r="B127" s="233"/>
      <c r="C127" s="278"/>
      <c r="D127" s="1093">
        <v>1749</v>
      </c>
      <c r="E127" s="1094">
        <v>1740</v>
      </c>
      <c r="F127" s="1095">
        <v>1696</v>
      </c>
      <c r="G127" s="1094">
        <v>1685</v>
      </c>
      <c r="H127" s="1095">
        <v>1606</v>
      </c>
      <c r="I127" s="1094">
        <v>1592</v>
      </c>
      <c r="J127" s="1095">
        <v>1481</v>
      </c>
      <c r="K127" s="1094">
        <v>1559</v>
      </c>
      <c r="L127" s="1066">
        <v>1590</v>
      </c>
      <c r="M127" s="1066">
        <v>1573</v>
      </c>
      <c r="N127" s="1066">
        <v>1570</v>
      </c>
      <c r="O127" s="1066">
        <v>1559</v>
      </c>
      <c r="P127" s="1081">
        <v>1312</v>
      </c>
      <c r="Q127" s="1081">
        <v>1151</v>
      </c>
      <c r="R127" s="1303">
        <v>1076</v>
      </c>
      <c r="S127" s="1304">
        <v>964</v>
      </c>
      <c r="T127" s="1532">
        <v>855</v>
      </c>
      <c r="U127" s="1699">
        <v>811</v>
      </c>
      <c r="V127" s="1532"/>
      <c r="W127" s="1080">
        <v>72429</v>
      </c>
      <c r="X127" s="1081">
        <v>73349</v>
      </c>
      <c r="Y127" s="1081">
        <v>79212</v>
      </c>
      <c r="Z127" s="1081">
        <v>80732</v>
      </c>
      <c r="AA127" s="1081">
        <v>81792</v>
      </c>
      <c r="AB127" s="1081">
        <v>82810</v>
      </c>
      <c r="AC127" s="1081">
        <v>83782</v>
      </c>
      <c r="AD127" s="1081">
        <v>83985</v>
      </c>
      <c r="AE127" s="1081">
        <v>83370</v>
      </c>
      <c r="AF127" s="1081">
        <v>84088</v>
      </c>
      <c r="AG127" s="1081">
        <v>83494</v>
      </c>
      <c r="AH127" s="1081">
        <v>84177</v>
      </c>
      <c r="AI127" s="1081">
        <v>87440</v>
      </c>
      <c r="AJ127" s="1081">
        <v>86293</v>
      </c>
      <c r="AK127" s="1303">
        <v>86083</v>
      </c>
      <c r="AL127" s="1304">
        <f>'Teen births'!H127</f>
        <v>85357</v>
      </c>
      <c r="AM127" s="1532">
        <v>86083</v>
      </c>
      <c r="AN127" s="1699">
        <v>85357</v>
      </c>
      <c r="AO127" s="1532"/>
      <c r="AP127" s="1106">
        <f t="shared" ref="AP127:AP131" si="71">IF(W127=0,"NA",(D127/W127)*1000)</f>
        <v>24.147786107774508</v>
      </c>
      <c r="AQ127" s="1107">
        <f t="shared" ref="AQ127:AQ131" si="72">IF(X127=0,"NA",(E127/X127)*1000)</f>
        <v>23.722204801701455</v>
      </c>
      <c r="AR127" s="1107">
        <f t="shared" ref="AR127:AR131" si="73">IF(Y127=0,"NA",(F127/Y127)*1000)</f>
        <v>21.410897338787052</v>
      </c>
      <c r="AS127" s="1107">
        <f t="shared" ref="AS127:AS131" si="74">IF(Z127=0,"NA",(G127/Z127)*1000)</f>
        <v>20.871525541297132</v>
      </c>
      <c r="AT127" s="1107">
        <f t="shared" ref="AT127:AT131" si="75">IF(AA127=0,"NA",(H127/AA127)*1000)</f>
        <v>19.635172143974959</v>
      </c>
      <c r="AU127" s="1107">
        <f t="shared" ref="AU127:AU131" si="76">IF(AB127=0,"NA",(I127/AB127)*1000)</f>
        <v>19.224731312643399</v>
      </c>
      <c r="AV127" s="1107">
        <f t="shared" ref="AV127:AV131" si="77">IF(AC127=0,"NA",(J127/AC127)*1000)</f>
        <v>17.676827958272657</v>
      </c>
      <c r="AW127" s="1107">
        <f t="shared" ref="AW127:AW131" si="78">IF(AD127=0,"NA",(K127/AD127)*1000)</f>
        <v>18.562838602131333</v>
      </c>
      <c r="AX127" s="1107">
        <f t="shared" ref="AX127:AX131" si="79">IF(AE127=0,"NA",(L127/AE127)*1000)</f>
        <v>19.071608492263405</v>
      </c>
      <c r="AY127" s="1107">
        <f t="shared" ref="AY127:AY131" si="80">IF(AF127=0,"NA",(M127/AF127)*1000)</f>
        <v>18.706593092950243</v>
      </c>
      <c r="AZ127" s="1107">
        <f t="shared" ref="AZ127:AZ131" si="81">IF(AG127=0,"NA",(N127/AG127)*1000)</f>
        <v>18.80374637698517</v>
      </c>
      <c r="BA127" s="1107">
        <f t="shared" ref="BA127:BA131" si="82">IF(AH127=0,"NA",(O127/AH127)*1000)</f>
        <v>18.520498473454744</v>
      </c>
      <c r="BB127" s="1107">
        <f t="shared" ref="BB127:BB131" si="83">IF(AI127=0,"NA",(P127/AI127)*1000)</f>
        <v>15.004574565416284</v>
      </c>
      <c r="BC127" s="1107">
        <f t="shared" ref="BC127:BC131" si="84">IF(AJ127=0,"NA",(Q127/AJ127)*1000)</f>
        <v>13.338277728205068</v>
      </c>
      <c r="BD127" s="1538">
        <f t="shared" ref="BD127:BD131" si="85">IF(AK127=0,"NA",(R127/AK127)*1000)</f>
        <v>12.499564373918194</v>
      </c>
      <c r="BE127" s="1539">
        <f t="shared" ref="BE127:BE131" si="86">IF(AL127=0,"NA",(S127/AL127)*1000)</f>
        <v>11.293742751033895</v>
      </c>
      <c r="BF127" s="1540">
        <f t="shared" ref="BF127:BG131" si="87">IF(AM127=0,"NA",(T127/AM127)*1000)</f>
        <v>9.9322746651487517</v>
      </c>
      <c r="BG127" s="1537">
        <f t="shared" si="87"/>
        <v>9.50127113183453</v>
      </c>
    </row>
    <row r="128" spans="1:59" s="142" customFormat="1" ht="15.75" customHeight="1" x14ac:dyDescent="0.2">
      <c r="A128" s="277" t="s">
        <v>264</v>
      </c>
      <c r="B128" s="233"/>
      <c r="C128" s="278"/>
      <c r="D128" s="1093">
        <v>3368</v>
      </c>
      <c r="E128" s="1094">
        <v>3337</v>
      </c>
      <c r="F128" s="1095">
        <v>3147</v>
      </c>
      <c r="G128" s="1094">
        <v>3071</v>
      </c>
      <c r="H128" s="1095">
        <v>2976</v>
      </c>
      <c r="I128" s="1094">
        <v>2773</v>
      </c>
      <c r="J128" s="1095">
        <v>2805</v>
      </c>
      <c r="K128" s="1094">
        <v>2724</v>
      </c>
      <c r="L128" s="1066">
        <v>2741</v>
      </c>
      <c r="M128" s="1066">
        <v>2746</v>
      </c>
      <c r="N128" s="1066">
        <v>2561</v>
      </c>
      <c r="O128" s="1066">
        <v>2383</v>
      </c>
      <c r="P128" s="1081">
        <v>2157</v>
      </c>
      <c r="Q128" s="1081">
        <v>1863</v>
      </c>
      <c r="R128" s="1303">
        <v>1692</v>
      </c>
      <c r="S128" s="1304">
        <v>1419</v>
      </c>
      <c r="T128" s="1532">
        <v>1210</v>
      </c>
      <c r="U128" s="1699">
        <v>1162</v>
      </c>
      <c r="V128" s="1532"/>
      <c r="W128" s="1080">
        <v>128725</v>
      </c>
      <c r="X128" s="1081">
        <v>131262</v>
      </c>
      <c r="Y128" s="1081">
        <v>126168</v>
      </c>
      <c r="Z128" s="1081">
        <v>126899</v>
      </c>
      <c r="AA128" s="1081">
        <v>127924</v>
      </c>
      <c r="AB128" s="1081">
        <v>130166</v>
      </c>
      <c r="AC128" s="1081">
        <v>129942</v>
      </c>
      <c r="AD128" s="1081">
        <v>129032</v>
      </c>
      <c r="AE128" s="1081">
        <v>127717</v>
      </c>
      <c r="AF128" s="1081">
        <v>127702</v>
      </c>
      <c r="AG128" s="1081">
        <v>126592</v>
      </c>
      <c r="AH128" s="1081">
        <v>123427</v>
      </c>
      <c r="AI128" s="1081">
        <v>121689</v>
      </c>
      <c r="AJ128" s="1081">
        <v>118821</v>
      </c>
      <c r="AK128" s="1303">
        <v>116990</v>
      </c>
      <c r="AL128" s="1304">
        <f>'Teen births'!H128</f>
        <v>113543</v>
      </c>
      <c r="AM128" s="1532">
        <v>116990</v>
      </c>
      <c r="AN128" s="1699">
        <v>113543</v>
      </c>
      <c r="AO128" s="1532"/>
      <c r="AP128" s="1106">
        <f t="shared" si="71"/>
        <v>26.16430374830064</v>
      </c>
      <c r="AQ128" s="1107">
        <f t="shared" si="72"/>
        <v>25.422437567612867</v>
      </c>
      <c r="AR128" s="1107">
        <f t="shared" si="73"/>
        <v>24.942933231881302</v>
      </c>
      <c r="AS128" s="1107">
        <f t="shared" si="74"/>
        <v>24.200348308497308</v>
      </c>
      <c r="AT128" s="1107">
        <f t="shared" si="75"/>
        <v>23.263812888902788</v>
      </c>
      <c r="AU128" s="1107">
        <f t="shared" si="76"/>
        <v>21.303566215447969</v>
      </c>
      <c r="AV128" s="1107">
        <f t="shared" si="77"/>
        <v>21.586554001015838</v>
      </c>
      <c r="AW128" s="1107">
        <f t="shared" si="78"/>
        <v>21.111042222084446</v>
      </c>
      <c r="AX128" s="1107">
        <f t="shared" si="79"/>
        <v>21.461512562932111</v>
      </c>
      <c r="AY128" s="1107">
        <f t="shared" si="80"/>
        <v>21.50318710748461</v>
      </c>
      <c r="AZ128" s="1107">
        <f t="shared" si="81"/>
        <v>20.230346309403437</v>
      </c>
      <c r="BA128" s="1107">
        <f t="shared" si="82"/>
        <v>19.306958769150995</v>
      </c>
      <c r="BB128" s="1107">
        <f t="shared" si="83"/>
        <v>17.725513398910337</v>
      </c>
      <c r="BC128" s="1107">
        <f t="shared" si="84"/>
        <v>15.679046633170904</v>
      </c>
      <c r="BD128" s="1538">
        <f t="shared" si="85"/>
        <v>14.462774596119328</v>
      </c>
      <c r="BE128" s="1539">
        <f t="shared" si="86"/>
        <v>12.497467919642778</v>
      </c>
      <c r="BF128" s="1540">
        <f t="shared" si="87"/>
        <v>10.34276433883238</v>
      </c>
      <c r="BG128" s="1537">
        <f t="shared" si="87"/>
        <v>10.234008261187393</v>
      </c>
    </row>
    <row r="129" spans="1:59" s="142" customFormat="1" ht="15.75" customHeight="1" x14ac:dyDescent="0.2">
      <c r="A129" s="277" t="s">
        <v>267</v>
      </c>
      <c r="B129" s="233"/>
      <c r="C129" s="278"/>
      <c r="D129" s="1093">
        <v>2385</v>
      </c>
      <c r="E129" s="1094">
        <v>2477</v>
      </c>
      <c r="F129" s="1095">
        <v>2452</v>
      </c>
      <c r="G129" s="1094">
        <v>2490</v>
      </c>
      <c r="H129" s="1095">
        <v>2369</v>
      </c>
      <c r="I129" s="1094">
        <v>2347</v>
      </c>
      <c r="J129" s="1095">
        <v>2449</v>
      </c>
      <c r="K129" s="1094">
        <v>2459</v>
      </c>
      <c r="L129" s="1066">
        <v>2629</v>
      </c>
      <c r="M129" s="1066">
        <v>2585</v>
      </c>
      <c r="N129" s="1066">
        <v>2365</v>
      </c>
      <c r="O129" s="1066">
        <v>2112</v>
      </c>
      <c r="P129" s="1081">
        <v>1928</v>
      </c>
      <c r="Q129" s="1081">
        <v>1797</v>
      </c>
      <c r="R129" s="1303">
        <v>1724</v>
      </c>
      <c r="S129" s="1304">
        <v>1442</v>
      </c>
      <c r="T129" s="1532">
        <v>1437</v>
      </c>
      <c r="U129" s="1699">
        <v>1310</v>
      </c>
      <c r="V129" s="1532"/>
      <c r="W129" s="1080">
        <v>151287</v>
      </c>
      <c r="X129" s="1081">
        <v>154494</v>
      </c>
      <c r="Y129" s="1081">
        <v>161605</v>
      </c>
      <c r="Z129" s="1081">
        <v>169393</v>
      </c>
      <c r="AA129" s="1081">
        <v>173581</v>
      </c>
      <c r="AB129" s="1081">
        <v>177265</v>
      </c>
      <c r="AC129" s="1081">
        <v>180682</v>
      </c>
      <c r="AD129" s="1081">
        <v>183555</v>
      </c>
      <c r="AE129" s="1081">
        <v>183011</v>
      </c>
      <c r="AF129" s="1081">
        <v>186356</v>
      </c>
      <c r="AG129" s="1081">
        <v>186572</v>
      </c>
      <c r="AH129" s="1081">
        <v>190395</v>
      </c>
      <c r="AI129" s="1081">
        <v>198927</v>
      </c>
      <c r="AJ129" s="1081">
        <v>203315</v>
      </c>
      <c r="AK129" s="1303">
        <v>207128</v>
      </c>
      <c r="AL129" s="1304">
        <f>'Teen births'!H129</f>
        <v>215641</v>
      </c>
      <c r="AM129" s="1532">
        <v>207128</v>
      </c>
      <c r="AN129" s="1699">
        <v>215641</v>
      </c>
      <c r="AO129" s="1532"/>
      <c r="AP129" s="1106">
        <f t="shared" si="71"/>
        <v>15.764738543298501</v>
      </c>
      <c r="AQ129" s="1107">
        <f t="shared" si="72"/>
        <v>16.032985099744973</v>
      </c>
      <c r="AR129" s="1107">
        <f t="shared" si="73"/>
        <v>15.172797871352989</v>
      </c>
      <c r="AS129" s="1107">
        <f t="shared" si="74"/>
        <v>14.699544845418641</v>
      </c>
      <c r="AT129" s="1107">
        <f t="shared" si="75"/>
        <v>13.647807075659202</v>
      </c>
      <c r="AU129" s="1107">
        <f t="shared" si="76"/>
        <v>13.240064310495585</v>
      </c>
      <c r="AV129" s="1107">
        <f t="shared" si="77"/>
        <v>13.554200197031248</v>
      </c>
      <c r="AW129" s="1107">
        <f t="shared" si="78"/>
        <v>13.39652965051347</v>
      </c>
      <c r="AX129" s="1107">
        <f t="shared" si="79"/>
        <v>14.365256733201829</v>
      </c>
      <c r="AY129" s="1107">
        <f t="shared" si="80"/>
        <v>13.871300092296465</v>
      </c>
      <c r="AZ129" s="1107">
        <f t="shared" si="81"/>
        <v>12.676071436228373</v>
      </c>
      <c r="BA129" s="1107">
        <f t="shared" si="82"/>
        <v>11.092728275427401</v>
      </c>
      <c r="BB129" s="1107">
        <f t="shared" si="83"/>
        <v>9.6919975669466698</v>
      </c>
      <c r="BC129" s="1107">
        <f t="shared" si="84"/>
        <v>8.8385018321324047</v>
      </c>
      <c r="BD129" s="1538">
        <f t="shared" si="85"/>
        <v>8.3233556061952019</v>
      </c>
      <c r="BE129" s="1539">
        <f t="shared" si="86"/>
        <v>6.6870400341308009</v>
      </c>
      <c r="BF129" s="1540">
        <f t="shared" si="87"/>
        <v>6.9377389826580664</v>
      </c>
      <c r="BG129" s="1537">
        <f t="shared" si="87"/>
        <v>6.0749115427956646</v>
      </c>
    </row>
    <row r="130" spans="1:59" s="142" customFormat="1" ht="15.75" customHeight="1" x14ac:dyDescent="0.2">
      <c r="A130" s="277" t="s">
        <v>265</v>
      </c>
      <c r="B130" s="233"/>
      <c r="C130" s="278"/>
      <c r="D130" s="1093">
        <v>1689</v>
      </c>
      <c r="E130" s="1094">
        <v>1661</v>
      </c>
      <c r="F130" s="1095">
        <v>1644</v>
      </c>
      <c r="G130" s="1094">
        <v>1526</v>
      </c>
      <c r="H130" s="1095">
        <v>1504</v>
      </c>
      <c r="I130" s="1094">
        <v>1550</v>
      </c>
      <c r="J130" s="1095">
        <v>1469</v>
      </c>
      <c r="K130" s="1094">
        <v>1445</v>
      </c>
      <c r="L130" s="1066">
        <v>1512</v>
      </c>
      <c r="M130" s="1066">
        <v>1588</v>
      </c>
      <c r="N130" s="1066">
        <v>1564</v>
      </c>
      <c r="O130" s="1066">
        <v>1426</v>
      </c>
      <c r="P130" s="1081">
        <v>1225</v>
      </c>
      <c r="Q130" s="1081">
        <v>1084</v>
      </c>
      <c r="R130" s="1303">
        <v>967</v>
      </c>
      <c r="S130" s="1304">
        <v>877</v>
      </c>
      <c r="T130" s="1532">
        <v>845</v>
      </c>
      <c r="U130" s="1699">
        <v>741</v>
      </c>
      <c r="V130" s="1532"/>
      <c r="W130" s="1080">
        <v>68837</v>
      </c>
      <c r="X130" s="1081">
        <v>68970</v>
      </c>
      <c r="Y130" s="1081">
        <v>73005</v>
      </c>
      <c r="Z130" s="1081">
        <v>72374</v>
      </c>
      <c r="AA130" s="1081">
        <v>72580</v>
      </c>
      <c r="AB130" s="1081">
        <v>73084</v>
      </c>
      <c r="AC130" s="1081">
        <v>72997</v>
      </c>
      <c r="AD130" s="1081">
        <v>73368</v>
      </c>
      <c r="AE130" s="1081">
        <v>72167</v>
      </c>
      <c r="AF130" s="1081">
        <v>71830</v>
      </c>
      <c r="AG130" s="1081">
        <v>71046</v>
      </c>
      <c r="AH130" s="1081">
        <v>71941</v>
      </c>
      <c r="AI130" s="1081">
        <v>73968</v>
      </c>
      <c r="AJ130" s="1081">
        <v>73083</v>
      </c>
      <c r="AK130" s="1303">
        <v>72177</v>
      </c>
      <c r="AL130" s="1304">
        <f>'Teen births'!H130</f>
        <v>71052</v>
      </c>
      <c r="AM130" s="1532">
        <v>72177</v>
      </c>
      <c r="AN130" s="1699">
        <v>71052</v>
      </c>
      <c r="AO130" s="1532"/>
      <c r="AP130" s="1106">
        <f t="shared" si="71"/>
        <v>24.536223252030158</v>
      </c>
      <c r="AQ130" s="1107">
        <f t="shared" si="72"/>
        <v>24.082934609250401</v>
      </c>
      <c r="AR130" s="1107">
        <f t="shared" si="73"/>
        <v>22.519005547565236</v>
      </c>
      <c r="AS130" s="1107">
        <f t="shared" si="74"/>
        <v>21.08491999889463</v>
      </c>
      <c r="AT130" s="1107">
        <f t="shared" si="75"/>
        <v>20.721961972995317</v>
      </c>
      <c r="AU130" s="1107">
        <f t="shared" si="76"/>
        <v>21.208472442668711</v>
      </c>
      <c r="AV130" s="1107">
        <f t="shared" si="77"/>
        <v>20.124114689644781</v>
      </c>
      <c r="AW130" s="1107">
        <f t="shared" si="78"/>
        <v>19.695234979827717</v>
      </c>
      <c r="AX130" s="1107">
        <f t="shared" si="79"/>
        <v>20.951404381504013</v>
      </c>
      <c r="AY130" s="1107">
        <f t="shared" si="80"/>
        <v>22.107754420158706</v>
      </c>
      <c r="AZ130" s="1107">
        <f t="shared" si="81"/>
        <v>22.013906483123609</v>
      </c>
      <c r="BA130" s="1107">
        <f t="shared" si="82"/>
        <v>19.821798418148205</v>
      </c>
      <c r="BB130" s="1107">
        <f t="shared" si="83"/>
        <v>16.561215660826303</v>
      </c>
      <c r="BC130" s="1107">
        <f t="shared" si="84"/>
        <v>14.832450775146068</v>
      </c>
      <c r="BD130" s="1538">
        <f t="shared" si="85"/>
        <v>13.397619740360504</v>
      </c>
      <c r="BE130" s="1539">
        <f t="shared" si="86"/>
        <v>12.343072679164557</v>
      </c>
      <c r="BF130" s="1540">
        <f t="shared" si="87"/>
        <v>11.707330590077172</v>
      </c>
      <c r="BG130" s="1537">
        <f t="shared" si="87"/>
        <v>10.428981590947476</v>
      </c>
    </row>
    <row r="131" spans="1:59" s="142" customFormat="1" ht="15.75" customHeight="1" x14ac:dyDescent="0.2">
      <c r="A131" s="277" t="s">
        <v>268</v>
      </c>
      <c r="B131" s="233"/>
      <c r="C131" s="278"/>
      <c r="D131" s="1093">
        <v>911</v>
      </c>
      <c r="E131" s="1094">
        <v>875</v>
      </c>
      <c r="F131" s="1095">
        <v>864</v>
      </c>
      <c r="G131" s="1094">
        <v>805</v>
      </c>
      <c r="H131" s="1095">
        <v>740</v>
      </c>
      <c r="I131" s="1094">
        <v>679</v>
      </c>
      <c r="J131" s="1095">
        <v>710</v>
      </c>
      <c r="K131" s="1094">
        <v>718</v>
      </c>
      <c r="L131" s="1066">
        <v>724</v>
      </c>
      <c r="M131" s="1066">
        <v>814</v>
      </c>
      <c r="N131" s="1066">
        <v>842</v>
      </c>
      <c r="O131" s="1066">
        <v>804</v>
      </c>
      <c r="P131" s="1081">
        <v>822</v>
      </c>
      <c r="Q131" s="1081">
        <v>677</v>
      </c>
      <c r="R131" s="1303">
        <v>675</v>
      </c>
      <c r="S131" s="1304">
        <v>614</v>
      </c>
      <c r="T131" s="1532">
        <v>543</v>
      </c>
      <c r="U131" s="1699">
        <v>520</v>
      </c>
      <c r="V131" s="1532"/>
      <c r="W131" s="1080">
        <v>38047</v>
      </c>
      <c r="X131" s="1081">
        <v>37494</v>
      </c>
      <c r="Y131" s="1081">
        <v>38250</v>
      </c>
      <c r="Z131" s="1081">
        <v>37027</v>
      </c>
      <c r="AA131" s="1081">
        <v>36507</v>
      </c>
      <c r="AB131" s="1081">
        <v>36073</v>
      </c>
      <c r="AC131" s="1081">
        <v>36009</v>
      </c>
      <c r="AD131" s="1081">
        <v>36265</v>
      </c>
      <c r="AE131" s="1081">
        <v>36079</v>
      </c>
      <c r="AF131" s="1081">
        <v>35872</v>
      </c>
      <c r="AG131" s="1081">
        <v>35506</v>
      </c>
      <c r="AH131" s="1081">
        <v>36036</v>
      </c>
      <c r="AI131" s="1081">
        <v>37061</v>
      </c>
      <c r="AJ131" s="1081">
        <v>35880</v>
      </c>
      <c r="AK131" s="1303">
        <v>35415</v>
      </c>
      <c r="AL131" s="1304">
        <f>'Teen births'!H131</f>
        <v>34608</v>
      </c>
      <c r="AM131" s="1532">
        <v>35415</v>
      </c>
      <c r="AN131" s="1699">
        <v>34608</v>
      </c>
      <c r="AO131" s="1532"/>
      <c r="AP131" s="1106">
        <f t="shared" si="71"/>
        <v>23.944069177596131</v>
      </c>
      <c r="AQ131" s="1107">
        <f t="shared" si="72"/>
        <v>23.337067264095587</v>
      </c>
      <c r="AR131" s="1107">
        <f t="shared" si="73"/>
        <v>22.588235294117649</v>
      </c>
      <c r="AS131" s="1107">
        <f t="shared" si="74"/>
        <v>21.740891781672833</v>
      </c>
      <c r="AT131" s="1107">
        <f t="shared" si="75"/>
        <v>20.27008518914181</v>
      </c>
      <c r="AU131" s="1107">
        <f t="shared" si="76"/>
        <v>18.822942366867185</v>
      </c>
      <c r="AV131" s="1107">
        <f t="shared" si="77"/>
        <v>19.717292898997474</v>
      </c>
      <c r="AW131" s="1107">
        <f t="shared" si="78"/>
        <v>19.798703984558113</v>
      </c>
      <c r="AX131" s="1107">
        <f t="shared" si="79"/>
        <v>20.067075029795724</v>
      </c>
      <c r="AY131" s="1107">
        <f t="shared" si="80"/>
        <v>22.691793041926854</v>
      </c>
      <c r="AZ131" s="1107">
        <f t="shared" si="81"/>
        <v>23.714301808145102</v>
      </c>
      <c r="BA131" s="1107">
        <f t="shared" si="82"/>
        <v>22.311022311022313</v>
      </c>
      <c r="BB131" s="1107">
        <f t="shared" si="83"/>
        <v>22.179649766601006</v>
      </c>
      <c r="BC131" s="1107">
        <f t="shared" si="84"/>
        <v>18.868450390189523</v>
      </c>
      <c r="BD131" s="1538">
        <f t="shared" si="85"/>
        <v>19.05972045743329</v>
      </c>
      <c r="BE131" s="1539">
        <f t="shared" si="86"/>
        <v>17.741562644475266</v>
      </c>
      <c r="BF131" s="1540">
        <f t="shared" si="87"/>
        <v>15.332486234646336</v>
      </c>
      <c r="BG131" s="1537">
        <f t="shared" si="87"/>
        <v>15.02542764678687</v>
      </c>
    </row>
    <row r="132" spans="1:59" s="142" customFormat="1" ht="15.75" customHeight="1" x14ac:dyDescent="0.2">
      <c r="A132" s="277"/>
      <c r="B132" s="233"/>
      <c r="C132" s="278"/>
      <c r="D132" s="152"/>
      <c r="E132" s="151"/>
      <c r="F132" s="152"/>
      <c r="G132" s="279"/>
      <c r="H132" s="152"/>
      <c r="I132" s="151"/>
      <c r="J132" s="152"/>
      <c r="K132" s="151"/>
      <c r="L132" s="280"/>
      <c r="M132" s="280"/>
      <c r="N132" s="280"/>
      <c r="O132" s="280"/>
    </row>
    <row r="133" spans="1:59" ht="18" customHeight="1" x14ac:dyDescent="0.25">
      <c r="A133" s="2719" t="s">
        <v>658</v>
      </c>
      <c r="B133" s="2719"/>
      <c r="C133" s="2719"/>
      <c r="D133" s="2719"/>
      <c r="E133" s="2719"/>
      <c r="F133" s="2719"/>
      <c r="G133" s="2719"/>
    </row>
    <row r="134" spans="1:59" s="182" customFormat="1" ht="12.75" x14ac:dyDescent="0.2">
      <c r="A134" s="182" t="s">
        <v>248</v>
      </c>
    </row>
    <row r="135" spans="1:59" s="182" customFormat="1" ht="12.75" x14ac:dyDescent="0.2">
      <c r="A135" s="189" t="s">
        <v>249</v>
      </c>
      <c r="B135" s="167" t="s">
        <v>250</v>
      </c>
    </row>
  </sheetData>
  <autoFilter ref="A4:C125"/>
  <sortState ref="A6:BD125">
    <sortCondition ref="A6:A125"/>
  </sortState>
  <mergeCells count="5">
    <mergeCell ref="E2:G2"/>
    <mergeCell ref="AP3:BD3"/>
    <mergeCell ref="A133:G133"/>
    <mergeCell ref="D3:T3"/>
    <mergeCell ref="W3:AM3"/>
  </mergeCells>
  <hyperlinks>
    <hyperlink ref="B135" r:id="rId1"/>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134"/>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RowHeight="15.75" x14ac:dyDescent="0.25"/>
  <cols>
    <col min="1" max="1" width="7.75" style="134" customWidth="1"/>
    <col min="2" max="2" width="28.625" style="158" customWidth="1"/>
    <col min="3" max="3" width="10" style="158" customWidth="1"/>
    <col min="4" max="4" width="14.375" customWidth="1"/>
    <col min="5" max="8" width="13" customWidth="1"/>
    <col min="9" max="9" width="1.625" customWidth="1"/>
    <col min="10" max="13" width="11" customWidth="1"/>
    <col min="14" max="14" width="4.375" customWidth="1"/>
    <col min="15" max="15" width="11.125" bestFit="1" customWidth="1"/>
    <col min="20" max="20" width="2.375" customWidth="1"/>
  </cols>
  <sheetData>
    <row r="1" spans="1:24" x14ac:dyDescent="0.25">
      <c r="A1" s="307" t="s">
        <v>1325</v>
      </c>
      <c r="B1" s="307"/>
      <c r="C1" s="307"/>
    </row>
    <row r="2" spans="1:24" x14ac:dyDescent="0.25">
      <c r="A2" s="96"/>
      <c r="B2" s="136"/>
      <c r="C2" s="136"/>
    </row>
    <row r="3" spans="1:24" ht="64.5" x14ac:dyDescent="0.25">
      <c r="A3" s="1164" t="s">
        <v>4</v>
      </c>
      <c r="B3" s="1165" t="s">
        <v>5</v>
      </c>
      <c r="C3" s="1165" t="s">
        <v>251</v>
      </c>
      <c r="D3" s="908" t="s">
        <v>878</v>
      </c>
      <c r="E3" s="908" t="s">
        <v>879</v>
      </c>
      <c r="F3" s="908" t="s">
        <v>880</v>
      </c>
      <c r="G3" s="908" t="s">
        <v>881</v>
      </c>
      <c r="H3" s="908" t="s">
        <v>882</v>
      </c>
      <c r="I3" s="908"/>
      <c r="J3" s="908" t="s">
        <v>883</v>
      </c>
      <c r="K3" s="908" t="s">
        <v>884</v>
      </c>
      <c r="L3" s="908" t="s">
        <v>885</v>
      </c>
      <c r="M3" s="908" t="s">
        <v>886</v>
      </c>
      <c r="O3" s="908" t="s">
        <v>887</v>
      </c>
      <c r="P3" s="908" t="s">
        <v>888</v>
      </c>
      <c r="Q3" s="908" t="s">
        <v>889</v>
      </c>
      <c r="R3" s="908" t="s">
        <v>890</v>
      </c>
      <c r="S3" s="908" t="s">
        <v>891</v>
      </c>
      <c r="T3" s="908"/>
      <c r="U3" s="908" t="s">
        <v>892</v>
      </c>
      <c r="V3" s="908" t="s">
        <v>893</v>
      </c>
      <c r="W3" s="908" t="s">
        <v>894</v>
      </c>
      <c r="X3" s="908" t="s">
        <v>895</v>
      </c>
    </row>
    <row r="4" spans="1:24" x14ac:dyDescent="0.25">
      <c r="A4" s="146" t="s">
        <v>8</v>
      </c>
      <c r="B4" s="147" t="s">
        <v>9</v>
      </c>
      <c r="C4" s="148"/>
      <c r="D4" s="1158">
        <f>SUM(D5:D124)</f>
        <v>1652877</v>
      </c>
      <c r="E4" s="1158">
        <f t="shared" ref="E4:H4" si="0">SUM(E5:E124)</f>
        <v>1199642</v>
      </c>
      <c r="F4" s="1158">
        <f t="shared" si="0"/>
        <v>453235</v>
      </c>
      <c r="G4" s="1158">
        <f t="shared" si="0"/>
        <v>96245</v>
      </c>
      <c r="H4" s="1158">
        <f t="shared" si="0"/>
        <v>356990</v>
      </c>
      <c r="I4" s="1159"/>
      <c r="J4" s="1160">
        <f t="shared" ref="J4" si="1">E4/D4</f>
        <v>0.72579024331514086</v>
      </c>
      <c r="K4" s="1160">
        <f t="shared" ref="K4" si="2">F4/D4</f>
        <v>0.2742097566848592</v>
      </c>
      <c r="L4" s="1160">
        <f t="shared" ref="L4" si="3">G4/D4</f>
        <v>5.8228773223899903E-2</v>
      </c>
      <c r="M4" s="1160">
        <f t="shared" ref="M4" si="4">H4/D4</f>
        <v>0.21598098346095929</v>
      </c>
      <c r="N4" s="1161"/>
      <c r="O4" s="1162">
        <f t="shared" ref="O4" si="5">SUM(O5:O124)</f>
        <v>530537</v>
      </c>
      <c r="P4" s="1162">
        <f t="shared" ref="P4" si="6">SUM(P5:P124)</f>
        <v>392991</v>
      </c>
      <c r="Q4" s="1162">
        <f t="shared" ref="Q4" si="7">SUM(Q5:Q124)</f>
        <v>137546</v>
      </c>
      <c r="R4" s="1162">
        <f t="shared" ref="R4" si="8">SUM(R5:R124)</f>
        <v>32733</v>
      </c>
      <c r="S4" s="1162">
        <f t="shared" ref="S4" si="9">SUM(S5:S124)</f>
        <v>104813</v>
      </c>
      <c r="T4" s="1163"/>
      <c r="U4" s="1160">
        <f t="shared" ref="U4" si="10">P4/O4</f>
        <v>0.74074192751872159</v>
      </c>
      <c r="V4" s="1160">
        <f t="shared" ref="V4" si="11">Q4/O4</f>
        <v>0.25925807248127841</v>
      </c>
      <c r="W4" s="1160">
        <f t="shared" ref="W4" si="12">R4/O4</f>
        <v>6.169786461641695E-2</v>
      </c>
      <c r="X4" s="1160">
        <f t="shared" ref="X4" si="13">S4/O4</f>
        <v>0.19756020786486145</v>
      </c>
    </row>
    <row r="5" spans="1:24" ht="13.5" customHeight="1" x14ac:dyDescent="0.25">
      <c r="A5" s="149" t="s">
        <v>10</v>
      </c>
      <c r="B5" s="185" t="s">
        <v>11</v>
      </c>
      <c r="C5" s="150" t="s">
        <v>264</v>
      </c>
      <c r="D5" s="240">
        <v>5804</v>
      </c>
      <c r="E5" s="240">
        <v>3576</v>
      </c>
      <c r="F5" s="240">
        <v>2228</v>
      </c>
      <c r="G5" s="240">
        <v>397</v>
      </c>
      <c r="H5" s="240">
        <v>1831</v>
      </c>
      <c r="I5" s="240"/>
      <c r="J5" s="1155">
        <f t="shared" ref="J5:J36" si="14">E5/D5</f>
        <v>0.61612680909717432</v>
      </c>
      <c r="K5" s="1155">
        <f t="shared" ref="K5:K36" si="15">F5/D5</f>
        <v>0.38387319090282562</v>
      </c>
      <c r="L5" s="1155">
        <f t="shared" ref="L5:L36" si="16">G5/D5</f>
        <v>6.8401102687801515E-2</v>
      </c>
      <c r="M5" s="1155">
        <f t="shared" ref="M5:M36" si="17">H5/D5</f>
        <v>0.31547208821502415</v>
      </c>
      <c r="O5" s="1156">
        <f t="shared" ref="O5:O36" si="18">P5+Q5</f>
        <v>1718</v>
      </c>
      <c r="P5" s="1156">
        <v>1164</v>
      </c>
      <c r="Q5" s="1156">
        <v>554</v>
      </c>
      <c r="R5" s="1156">
        <v>73</v>
      </c>
      <c r="S5" s="1156">
        <v>481</v>
      </c>
      <c r="U5" s="1157">
        <f t="shared" ref="U5:U36" si="19">P5/O5</f>
        <v>0.67753201396973228</v>
      </c>
      <c r="V5" s="1157">
        <f t="shared" ref="V5:V36" si="20">Q5/O5</f>
        <v>0.32246798603026777</v>
      </c>
      <c r="W5" s="1157">
        <f t="shared" ref="W5:W36" si="21">R5/O5</f>
        <v>4.2491268917345754E-2</v>
      </c>
      <c r="X5" s="1157">
        <f t="shared" ref="X5:X36" si="22">S5/O5</f>
        <v>0.27997671711292199</v>
      </c>
    </row>
    <row r="6" spans="1:24" ht="13.5" customHeight="1" x14ac:dyDescent="0.25">
      <c r="A6" s="149" t="s">
        <v>12</v>
      </c>
      <c r="B6" s="186" t="s">
        <v>13</v>
      </c>
      <c r="C6" s="150" t="s">
        <v>265</v>
      </c>
      <c r="D6" s="240">
        <v>19967</v>
      </c>
      <c r="E6" s="240">
        <v>16270</v>
      </c>
      <c r="F6" s="240">
        <v>3697</v>
      </c>
      <c r="G6" s="240">
        <v>711</v>
      </c>
      <c r="H6" s="240">
        <v>2986</v>
      </c>
      <c r="I6" s="240"/>
      <c r="J6" s="1155">
        <f t="shared" si="14"/>
        <v>0.81484449341413334</v>
      </c>
      <c r="K6" s="1155">
        <f t="shared" si="15"/>
        <v>0.18515550658586669</v>
      </c>
      <c r="L6" s="1155">
        <f t="shared" si="16"/>
        <v>3.5608754444833975E-2</v>
      </c>
      <c r="M6" s="1155">
        <f t="shared" si="17"/>
        <v>0.14954675214103269</v>
      </c>
      <c r="O6" s="1156">
        <f t="shared" si="18"/>
        <v>6175</v>
      </c>
      <c r="P6" s="1156">
        <v>5088</v>
      </c>
      <c r="Q6" s="1156">
        <v>1087</v>
      </c>
      <c r="R6" s="1156">
        <v>158</v>
      </c>
      <c r="S6" s="1156">
        <v>929</v>
      </c>
      <c r="U6" s="1157">
        <f t="shared" si="19"/>
        <v>0.82396761133603236</v>
      </c>
      <c r="V6" s="1157">
        <f t="shared" si="20"/>
        <v>0.17603238866396761</v>
      </c>
      <c r="W6" s="1157">
        <f t="shared" si="21"/>
        <v>2.5587044534412955E-2</v>
      </c>
      <c r="X6" s="1157">
        <f t="shared" si="22"/>
        <v>0.15044534412955465</v>
      </c>
    </row>
    <row r="7" spans="1:24" ht="13.5" customHeight="1" x14ac:dyDescent="0.25">
      <c r="A7" s="149" t="s">
        <v>16</v>
      </c>
      <c r="B7" s="186" t="s">
        <v>297</v>
      </c>
      <c r="C7" s="150" t="s">
        <v>265</v>
      </c>
      <c r="D7" s="240">
        <v>3458</v>
      </c>
      <c r="E7" s="240">
        <v>2523</v>
      </c>
      <c r="F7" s="240">
        <v>935</v>
      </c>
      <c r="G7" s="240">
        <v>218</v>
      </c>
      <c r="H7" s="240">
        <v>717</v>
      </c>
      <c r="I7" s="240"/>
      <c r="J7" s="1155">
        <f t="shared" si="14"/>
        <v>0.72961249277038753</v>
      </c>
      <c r="K7" s="1155">
        <f t="shared" si="15"/>
        <v>0.27038750722961247</v>
      </c>
      <c r="L7" s="1155">
        <f t="shared" si="16"/>
        <v>6.3042220936957785E-2</v>
      </c>
      <c r="M7" s="1155">
        <f t="shared" si="17"/>
        <v>0.20734528629265472</v>
      </c>
      <c r="O7" s="1156">
        <f t="shared" si="18"/>
        <v>980</v>
      </c>
      <c r="P7" s="1156">
        <v>748</v>
      </c>
      <c r="Q7" s="1156">
        <v>232</v>
      </c>
      <c r="R7" s="1156">
        <v>94</v>
      </c>
      <c r="S7" s="1156">
        <v>138</v>
      </c>
      <c r="U7" s="1157">
        <f t="shared" si="19"/>
        <v>0.76326530612244903</v>
      </c>
      <c r="V7" s="1157">
        <f t="shared" si="20"/>
        <v>0.23673469387755103</v>
      </c>
      <c r="W7" s="1157">
        <f t="shared" si="21"/>
        <v>9.5918367346938774E-2</v>
      </c>
      <c r="X7" s="1157">
        <f t="shared" si="22"/>
        <v>0.14081632653061224</v>
      </c>
    </row>
    <row r="8" spans="1:24" ht="13.5" customHeight="1" x14ac:dyDescent="0.25">
      <c r="A8" s="149" t="s">
        <v>18</v>
      </c>
      <c r="B8" s="186" t="s">
        <v>19</v>
      </c>
      <c r="C8" s="150" t="s">
        <v>266</v>
      </c>
      <c r="D8" s="240">
        <v>2416</v>
      </c>
      <c r="E8" s="240">
        <v>1613</v>
      </c>
      <c r="F8" s="240">
        <v>803</v>
      </c>
      <c r="G8" s="240">
        <v>181</v>
      </c>
      <c r="H8" s="240">
        <v>622</v>
      </c>
      <c r="I8" s="240"/>
      <c r="J8" s="1155">
        <f t="shared" si="14"/>
        <v>0.66763245033112584</v>
      </c>
      <c r="K8" s="1155">
        <f t="shared" si="15"/>
        <v>0.33236754966887416</v>
      </c>
      <c r="L8" s="1155">
        <f t="shared" si="16"/>
        <v>7.4917218543046352E-2</v>
      </c>
      <c r="M8" s="1155">
        <f t="shared" si="17"/>
        <v>0.25745033112582782</v>
      </c>
      <c r="O8" s="1156">
        <f t="shared" si="18"/>
        <v>826</v>
      </c>
      <c r="P8" s="1156">
        <v>512</v>
      </c>
      <c r="Q8" s="1156">
        <v>314</v>
      </c>
      <c r="R8" s="1156">
        <v>93</v>
      </c>
      <c r="S8" s="1156">
        <v>221</v>
      </c>
      <c r="U8" s="1157">
        <f t="shared" si="19"/>
        <v>0.61985472154963683</v>
      </c>
      <c r="V8" s="1157">
        <f t="shared" si="20"/>
        <v>0.38014527845036322</v>
      </c>
      <c r="W8" s="1157">
        <f t="shared" si="21"/>
        <v>0.11259079903147699</v>
      </c>
      <c r="X8" s="1157">
        <f t="shared" si="22"/>
        <v>0.26755447941888622</v>
      </c>
    </row>
    <row r="9" spans="1:24" ht="13.5" customHeight="1" x14ac:dyDescent="0.25">
      <c r="A9" s="149" t="s">
        <v>20</v>
      </c>
      <c r="B9" s="186" t="s">
        <v>21</v>
      </c>
      <c r="C9" s="150" t="s">
        <v>265</v>
      </c>
      <c r="D9" s="240">
        <v>5610</v>
      </c>
      <c r="E9" s="240">
        <v>3999</v>
      </c>
      <c r="F9" s="240">
        <v>1611</v>
      </c>
      <c r="G9" s="240">
        <v>426</v>
      </c>
      <c r="H9" s="240">
        <v>1185</v>
      </c>
      <c r="I9" s="240"/>
      <c r="J9" s="1155">
        <f t="shared" si="14"/>
        <v>0.71283422459893053</v>
      </c>
      <c r="K9" s="1155">
        <f t="shared" si="15"/>
        <v>0.28716577540106952</v>
      </c>
      <c r="L9" s="1155">
        <f t="shared" si="16"/>
        <v>7.5935828877005354E-2</v>
      </c>
      <c r="M9" s="1155">
        <f t="shared" si="17"/>
        <v>0.21122994652406418</v>
      </c>
      <c r="O9" s="1156">
        <f t="shared" si="18"/>
        <v>1753</v>
      </c>
      <c r="P9" s="1156">
        <v>1331</v>
      </c>
      <c r="Q9" s="1156">
        <v>422</v>
      </c>
      <c r="R9" s="1156">
        <v>126</v>
      </c>
      <c r="S9" s="1156">
        <v>296</v>
      </c>
      <c r="U9" s="1157">
        <f t="shared" si="19"/>
        <v>0.75926982316029668</v>
      </c>
      <c r="V9" s="1157">
        <f t="shared" si="20"/>
        <v>0.24073017683970335</v>
      </c>
      <c r="W9" s="1157">
        <f t="shared" si="21"/>
        <v>7.1876782658300054E-2</v>
      </c>
      <c r="X9" s="1157">
        <f t="shared" si="22"/>
        <v>0.1688533941814033</v>
      </c>
    </row>
    <row r="10" spans="1:24" ht="13.5" customHeight="1" x14ac:dyDescent="0.25">
      <c r="A10" s="149" t="s">
        <v>22</v>
      </c>
      <c r="B10" s="186" t="s">
        <v>23</v>
      </c>
      <c r="C10" s="150" t="s">
        <v>265</v>
      </c>
      <c r="D10" s="240">
        <v>2761</v>
      </c>
      <c r="E10" s="240">
        <v>1909</v>
      </c>
      <c r="F10" s="240">
        <v>852</v>
      </c>
      <c r="G10" s="240">
        <v>174</v>
      </c>
      <c r="H10" s="240">
        <v>678</v>
      </c>
      <c r="I10" s="240"/>
      <c r="J10" s="1155">
        <f t="shared" si="14"/>
        <v>0.69141615356754804</v>
      </c>
      <c r="K10" s="1155">
        <f t="shared" si="15"/>
        <v>0.30858384643245201</v>
      </c>
      <c r="L10" s="1155">
        <f t="shared" si="16"/>
        <v>6.3020644693951466E-2</v>
      </c>
      <c r="M10" s="1155">
        <f t="shared" si="17"/>
        <v>0.24556320173850055</v>
      </c>
      <c r="O10" s="1156">
        <f t="shared" si="18"/>
        <v>764</v>
      </c>
      <c r="P10" s="1156">
        <v>590</v>
      </c>
      <c r="Q10" s="1156">
        <v>174</v>
      </c>
      <c r="R10" s="1156">
        <v>34</v>
      </c>
      <c r="S10" s="1156">
        <v>140</v>
      </c>
      <c r="U10" s="1157">
        <f t="shared" si="19"/>
        <v>0.77225130890052351</v>
      </c>
      <c r="V10" s="1157">
        <f t="shared" si="20"/>
        <v>0.22774869109947643</v>
      </c>
      <c r="W10" s="1157">
        <f t="shared" si="21"/>
        <v>4.4502617801047119E-2</v>
      </c>
      <c r="X10" s="1157">
        <f t="shared" si="22"/>
        <v>0.18324607329842932</v>
      </c>
    </row>
    <row r="11" spans="1:24" ht="13.5" customHeight="1" x14ac:dyDescent="0.25">
      <c r="A11" s="149" t="s">
        <v>24</v>
      </c>
      <c r="B11" s="186" t="s">
        <v>25</v>
      </c>
      <c r="C11" s="150" t="s">
        <v>267</v>
      </c>
      <c r="D11" s="240">
        <v>36008</v>
      </c>
      <c r="E11" s="240">
        <v>29477</v>
      </c>
      <c r="F11" s="240">
        <v>6531</v>
      </c>
      <c r="G11" s="240">
        <v>1496</v>
      </c>
      <c r="H11" s="240">
        <v>5035</v>
      </c>
      <c r="I11" s="240"/>
      <c r="J11" s="1155">
        <f t="shared" si="14"/>
        <v>0.81862363919129078</v>
      </c>
      <c r="K11" s="1155">
        <f t="shared" si="15"/>
        <v>0.18137636080870917</v>
      </c>
      <c r="L11" s="1155">
        <f t="shared" si="16"/>
        <v>4.1546323039324595E-2</v>
      </c>
      <c r="M11" s="1155">
        <f t="shared" si="17"/>
        <v>0.13983003776938457</v>
      </c>
      <c r="O11" s="1156">
        <f t="shared" si="18"/>
        <v>14946</v>
      </c>
      <c r="P11" s="1156">
        <v>12775</v>
      </c>
      <c r="Q11" s="1156">
        <v>2171</v>
      </c>
      <c r="R11" s="1156">
        <v>505</v>
      </c>
      <c r="S11" s="1156">
        <v>1666</v>
      </c>
      <c r="U11" s="1157">
        <f t="shared" si="19"/>
        <v>0.85474374414559084</v>
      </c>
      <c r="V11" s="1157">
        <f t="shared" si="20"/>
        <v>0.14525625585440921</v>
      </c>
      <c r="W11" s="1157">
        <f t="shared" si="21"/>
        <v>3.3788304563093806E-2</v>
      </c>
      <c r="X11" s="1157">
        <f t="shared" si="22"/>
        <v>0.1114679512913154</v>
      </c>
    </row>
    <row r="12" spans="1:24" ht="13.5" customHeight="1" x14ac:dyDescent="0.25">
      <c r="A12" s="149" t="s">
        <v>26</v>
      </c>
      <c r="B12" s="186" t="s">
        <v>298</v>
      </c>
      <c r="C12" s="150" t="s">
        <v>265</v>
      </c>
      <c r="D12" s="240">
        <v>20997</v>
      </c>
      <c r="E12" s="240">
        <v>14302</v>
      </c>
      <c r="F12" s="240">
        <v>6695</v>
      </c>
      <c r="G12" s="240">
        <v>1554</v>
      </c>
      <c r="H12" s="240">
        <v>5141</v>
      </c>
      <c r="I12" s="240"/>
      <c r="J12" s="1155">
        <f t="shared" si="14"/>
        <v>0.68114492546554273</v>
      </c>
      <c r="K12" s="1155">
        <f t="shared" si="15"/>
        <v>0.31885507453445733</v>
      </c>
      <c r="L12" s="1155">
        <f t="shared" si="16"/>
        <v>7.4010572938991284E-2</v>
      </c>
      <c r="M12" s="1155">
        <f t="shared" si="17"/>
        <v>0.24484450159546603</v>
      </c>
      <c r="O12" s="1156">
        <f t="shared" si="18"/>
        <v>6509</v>
      </c>
      <c r="P12" s="1156">
        <v>4589</v>
      </c>
      <c r="Q12" s="1156">
        <v>1920</v>
      </c>
      <c r="R12" s="1156">
        <v>414</v>
      </c>
      <c r="S12" s="1156">
        <v>1506</v>
      </c>
      <c r="U12" s="1157">
        <f t="shared" si="19"/>
        <v>0.70502381318174834</v>
      </c>
      <c r="V12" s="1157">
        <f t="shared" si="20"/>
        <v>0.29497618681825166</v>
      </c>
      <c r="W12" s="1157">
        <f t="shared" si="21"/>
        <v>6.3604240282685506E-2</v>
      </c>
      <c r="X12" s="1157">
        <f t="shared" si="22"/>
        <v>0.23137194653556614</v>
      </c>
    </row>
    <row r="13" spans="1:24" ht="13.5" customHeight="1" x14ac:dyDescent="0.25">
      <c r="A13" s="149" t="s">
        <v>27</v>
      </c>
      <c r="B13" s="186" t="s">
        <v>28</v>
      </c>
      <c r="C13" s="150" t="s">
        <v>265</v>
      </c>
      <c r="D13" s="240">
        <v>774</v>
      </c>
      <c r="E13" s="240">
        <v>584</v>
      </c>
      <c r="F13" s="240">
        <v>190</v>
      </c>
      <c r="G13" s="240">
        <v>122</v>
      </c>
      <c r="H13" s="240">
        <v>68</v>
      </c>
      <c r="I13" s="240"/>
      <c r="J13" s="1155">
        <f t="shared" si="14"/>
        <v>0.75452196382428938</v>
      </c>
      <c r="K13" s="1155">
        <f t="shared" si="15"/>
        <v>0.2454780361757106</v>
      </c>
      <c r="L13" s="1155">
        <f t="shared" si="16"/>
        <v>0.15762273901808785</v>
      </c>
      <c r="M13" s="1155">
        <f t="shared" si="17"/>
        <v>8.7855297157622733E-2</v>
      </c>
      <c r="O13" s="1156">
        <f t="shared" si="18"/>
        <v>219</v>
      </c>
      <c r="P13" s="1156">
        <v>164</v>
      </c>
      <c r="Q13" s="1156">
        <v>55</v>
      </c>
      <c r="R13" s="1156">
        <v>43</v>
      </c>
      <c r="S13" s="1156">
        <v>12</v>
      </c>
      <c r="U13" s="1157">
        <f t="shared" si="19"/>
        <v>0.74885844748858443</v>
      </c>
      <c r="V13" s="1157">
        <f t="shared" si="20"/>
        <v>0.25114155251141551</v>
      </c>
      <c r="W13" s="1157">
        <f t="shared" si="21"/>
        <v>0.19634703196347031</v>
      </c>
      <c r="X13" s="1157">
        <f t="shared" si="22"/>
        <v>5.4794520547945202E-2</v>
      </c>
    </row>
    <row r="14" spans="1:24" ht="13.5" customHeight="1" x14ac:dyDescent="0.25">
      <c r="A14" s="149" t="s">
        <v>29</v>
      </c>
      <c r="B14" s="186" t="s">
        <v>901</v>
      </c>
      <c r="C14" s="150" t="s">
        <v>265</v>
      </c>
      <c r="D14" s="240">
        <v>14384</v>
      </c>
      <c r="E14" s="240">
        <v>11623</v>
      </c>
      <c r="F14" s="240">
        <v>2761</v>
      </c>
      <c r="G14" s="240">
        <v>510</v>
      </c>
      <c r="H14" s="240">
        <v>2251</v>
      </c>
      <c r="I14" s="240"/>
      <c r="J14" s="1155">
        <f t="shared" si="14"/>
        <v>0.80805061179087878</v>
      </c>
      <c r="K14" s="1155">
        <f t="shared" si="15"/>
        <v>0.19194938820912125</v>
      </c>
      <c r="L14" s="1155">
        <f t="shared" si="16"/>
        <v>3.5456062291434928E-2</v>
      </c>
      <c r="M14" s="1155">
        <f t="shared" si="17"/>
        <v>0.1564933259176863</v>
      </c>
      <c r="O14" s="1156">
        <f t="shared" si="18"/>
        <v>4035</v>
      </c>
      <c r="P14" s="1156">
        <v>3373</v>
      </c>
      <c r="Q14" s="1156">
        <v>662</v>
      </c>
      <c r="R14" s="1156">
        <v>231</v>
      </c>
      <c r="S14" s="1156">
        <v>431</v>
      </c>
      <c r="U14" s="1157">
        <f t="shared" si="19"/>
        <v>0.83593556381660472</v>
      </c>
      <c r="V14" s="1157">
        <f t="shared" si="20"/>
        <v>0.16406443618339528</v>
      </c>
      <c r="W14" s="1157">
        <f t="shared" si="21"/>
        <v>5.724907063197026E-2</v>
      </c>
      <c r="X14" s="1157">
        <f t="shared" si="22"/>
        <v>0.10681536555142503</v>
      </c>
    </row>
    <row r="15" spans="1:24" ht="13.5" customHeight="1" x14ac:dyDescent="0.25">
      <c r="A15" s="149" t="s">
        <v>30</v>
      </c>
      <c r="B15" s="186" t="s">
        <v>31</v>
      </c>
      <c r="C15" s="150" t="s">
        <v>268</v>
      </c>
      <c r="D15" s="240">
        <v>949</v>
      </c>
      <c r="E15" s="240">
        <v>800</v>
      </c>
      <c r="F15" s="240">
        <v>149</v>
      </c>
      <c r="G15" s="240">
        <v>4</v>
      </c>
      <c r="H15" s="240">
        <v>145</v>
      </c>
      <c r="I15" s="240"/>
      <c r="J15" s="1155">
        <f t="shared" si="14"/>
        <v>0.84299262381454165</v>
      </c>
      <c r="K15" s="1155">
        <f t="shared" si="15"/>
        <v>0.15700737618545837</v>
      </c>
      <c r="L15" s="1155">
        <f t="shared" si="16"/>
        <v>4.2149631190727078E-3</v>
      </c>
      <c r="M15" s="1155">
        <f t="shared" si="17"/>
        <v>0.15279241306638566</v>
      </c>
      <c r="O15" s="1156">
        <f t="shared" si="18"/>
        <v>239</v>
      </c>
      <c r="P15" s="1156">
        <v>164</v>
      </c>
      <c r="Q15" s="1156">
        <v>75</v>
      </c>
      <c r="R15" s="1156">
        <v>0</v>
      </c>
      <c r="S15" s="1156">
        <v>75</v>
      </c>
      <c r="U15" s="1157">
        <f t="shared" si="19"/>
        <v>0.68619246861924688</v>
      </c>
      <c r="V15" s="1157">
        <f t="shared" si="20"/>
        <v>0.31380753138075312</v>
      </c>
      <c r="W15" s="1157">
        <f t="shared" si="21"/>
        <v>0</v>
      </c>
      <c r="X15" s="1157">
        <f t="shared" si="22"/>
        <v>0.31380753138075312</v>
      </c>
    </row>
    <row r="16" spans="1:24" ht="13.5" customHeight="1" x14ac:dyDescent="0.25">
      <c r="A16" s="149" t="s">
        <v>32</v>
      </c>
      <c r="B16" s="186" t="s">
        <v>33</v>
      </c>
      <c r="C16" s="150" t="s">
        <v>265</v>
      </c>
      <c r="D16" s="240">
        <v>6139</v>
      </c>
      <c r="E16" s="240">
        <v>5009</v>
      </c>
      <c r="F16" s="240">
        <v>1130</v>
      </c>
      <c r="G16" s="240">
        <v>253</v>
      </c>
      <c r="H16" s="240">
        <v>877</v>
      </c>
      <c r="I16" s="240"/>
      <c r="J16" s="1155">
        <f t="shared" si="14"/>
        <v>0.81593093337677147</v>
      </c>
      <c r="K16" s="1155">
        <f t="shared" si="15"/>
        <v>0.18406906662322853</v>
      </c>
      <c r="L16" s="1155">
        <f t="shared" si="16"/>
        <v>4.1211923766085679E-2</v>
      </c>
      <c r="M16" s="1155">
        <f t="shared" si="17"/>
        <v>0.14285714285714285</v>
      </c>
      <c r="O16" s="1156">
        <f t="shared" si="18"/>
        <v>1495</v>
      </c>
      <c r="P16" s="1156">
        <v>1261</v>
      </c>
      <c r="Q16" s="1156">
        <v>234</v>
      </c>
      <c r="R16" s="1156">
        <v>97</v>
      </c>
      <c r="S16" s="1156">
        <v>137</v>
      </c>
      <c r="U16" s="1157">
        <f t="shared" si="19"/>
        <v>0.84347826086956523</v>
      </c>
      <c r="V16" s="1157">
        <f t="shared" si="20"/>
        <v>0.15652173913043479</v>
      </c>
      <c r="W16" s="1157">
        <f t="shared" si="21"/>
        <v>6.488294314381271E-2</v>
      </c>
      <c r="X16" s="1157">
        <f t="shared" si="22"/>
        <v>9.1638795986622071E-2</v>
      </c>
    </row>
    <row r="17" spans="1:24" ht="13.5" customHeight="1" x14ac:dyDescent="0.25">
      <c r="A17" s="149" t="s">
        <v>36</v>
      </c>
      <c r="B17" s="186" t="s">
        <v>37</v>
      </c>
      <c r="C17" s="150" t="s">
        <v>264</v>
      </c>
      <c r="D17" s="240">
        <v>2325</v>
      </c>
      <c r="E17" s="240">
        <v>991</v>
      </c>
      <c r="F17" s="240">
        <v>1334</v>
      </c>
      <c r="G17" s="240">
        <v>224</v>
      </c>
      <c r="H17" s="240">
        <v>1110</v>
      </c>
      <c r="I17" s="240"/>
      <c r="J17" s="1155">
        <f t="shared" si="14"/>
        <v>0.42623655913978492</v>
      </c>
      <c r="K17" s="1155">
        <f t="shared" si="15"/>
        <v>0.57376344086021502</v>
      </c>
      <c r="L17" s="1155">
        <f t="shared" si="16"/>
        <v>9.6344086021505376E-2</v>
      </c>
      <c r="M17" s="1155">
        <f t="shared" si="17"/>
        <v>0.47741935483870968</v>
      </c>
      <c r="O17" s="1156">
        <f t="shared" si="18"/>
        <v>711</v>
      </c>
      <c r="P17" s="1156">
        <v>313</v>
      </c>
      <c r="Q17" s="1156">
        <v>398</v>
      </c>
      <c r="R17" s="1156">
        <v>71</v>
      </c>
      <c r="S17" s="1156">
        <v>327</v>
      </c>
      <c r="U17" s="1157">
        <f t="shared" si="19"/>
        <v>0.44022503516174405</v>
      </c>
      <c r="V17" s="1157">
        <f t="shared" si="20"/>
        <v>0.55977496483825595</v>
      </c>
      <c r="W17" s="1157">
        <f t="shared" si="21"/>
        <v>9.9859353023909983E-2</v>
      </c>
      <c r="X17" s="1157">
        <f t="shared" si="22"/>
        <v>0.45991561181434598</v>
      </c>
    </row>
    <row r="18" spans="1:24" ht="13.5" customHeight="1" x14ac:dyDescent="0.25">
      <c r="A18" s="149" t="s">
        <v>38</v>
      </c>
      <c r="B18" s="186" t="s">
        <v>39</v>
      </c>
      <c r="C18" s="150" t="s">
        <v>268</v>
      </c>
      <c r="D18" s="240">
        <v>3336</v>
      </c>
      <c r="E18" s="240">
        <v>2345</v>
      </c>
      <c r="F18" s="240">
        <v>991</v>
      </c>
      <c r="G18" s="240">
        <v>264</v>
      </c>
      <c r="H18" s="240">
        <v>727</v>
      </c>
      <c r="I18" s="240"/>
      <c r="J18" s="1155">
        <f t="shared" si="14"/>
        <v>0.70293764988009588</v>
      </c>
      <c r="K18" s="1155">
        <f t="shared" si="15"/>
        <v>0.29706235011990406</v>
      </c>
      <c r="L18" s="1155">
        <f t="shared" si="16"/>
        <v>7.9136690647482008E-2</v>
      </c>
      <c r="M18" s="1155">
        <f t="shared" si="17"/>
        <v>0.21792565947242207</v>
      </c>
      <c r="O18" s="1156">
        <f t="shared" si="18"/>
        <v>860</v>
      </c>
      <c r="P18" s="1156">
        <v>692</v>
      </c>
      <c r="Q18" s="1156">
        <v>168</v>
      </c>
      <c r="R18" s="1156">
        <v>75</v>
      </c>
      <c r="S18" s="1156">
        <v>93</v>
      </c>
      <c r="U18" s="1157">
        <f t="shared" si="19"/>
        <v>0.8046511627906977</v>
      </c>
      <c r="V18" s="1157">
        <f t="shared" si="20"/>
        <v>0.19534883720930232</v>
      </c>
      <c r="W18" s="1157">
        <f t="shared" si="21"/>
        <v>8.7209302325581398E-2</v>
      </c>
      <c r="X18" s="1157">
        <f t="shared" si="22"/>
        <v>0.10813953488372093</v>
      </c>
    </row>
    <row r="19" spans="1:24" ht="13.5" customHeight="1" x14ac:dyDescent="0.25">
      <c r="A19" s="149" t="s">
        <v>40</v>
      </c>
      <c r="B19" s="186" t="s">
        <v>41</v>
      </c>
      <c r="C19" s="150" t="s">
        <v>266</v>
      </c>
      <c r="D19" s="240">
        <v>2779</v>
      </c>
      <c r="E19" s="240">
        <v>1774</v>
      </c>
      <c r="F19" s="240">
        <v>1005</v>
      </c>
      <c r="G19" s="240">
        <v>316</v>
      </c>
      <c r="H19" s="240">
        <v>689</v>
      </c>
      <c r="I19" s="240"/>
      <c r="J19" s="1155">
        <f t="shared" si="14"/>
        <v>0.63835912198632605</v>
      </c>
      <c r="K19" s="1155">
        <f t="shared" si="15"/>
        <v>0.36164087801367401</v>
      </c>
      <c r="L19" s="1155">
        <f t="shared" si="16"/>
        <v>0.11370996761424973</v>
      </c>
      <c r="M19" s="1155">
        <f t="shared" si="17"/>
        <v>0.24793091039942425</v>
      </c>
      <c r="O19" s="1156">
        <f t="shared" si="18"/>
        <v>855</v>
      </c>
      <c r="P19" s="1156">
        <v>489</v>
      </c>
      <c r="Q19" s="1156">
        <v>366</v>
      </c>
      <c r="R19" s="1156">
        <v>135</v>
      </c>
      <c r="S19" s="1156">
        <v>231</v>
      </c>
      <c r="U19" s="1157">
        <f t="shared" si="19"/>
        <v>0.57192982456140351</v>
      </c>
      <c r="V19" s="1157">
        <f t="shared" si="20"/>
        <v>0.42807017543859649</v>
      </c>
      <c r="W19" s="1157">
        <f t="shared" si="21"/>
        <v>0.15789473684210525</v>
      </c>
      <c r="X19" s="1157">
        <f t="shared" si="22"/>
        <v>0.27017543859649124</v>
      </c>
    </row>
    <row r="20" spans="1:24" ht="13.5" customHeight="1" x14ac:dyDescent="0.25">
      <c r="A20" s="149" t="s">
        <v>42</v>
      </c>
      <c r="B20" s="186" t="s">
        <v>43</v>
      </c>
      <c r="C20" s="150" t="s">
        <v>265</v>
      </c>
      <c r="D20" s="240">
        <v>9701</v>
      </c>
      <c r="E20" s="240">
        <v>7234</v>
      </c>
      <c r="F20" s="240">
        <v>2467</v>
      </c>
      <c r="G20" s="240">
        <v>568</v>
      </c>
      <c r="H20" s="240">
        <v>1899</v>
      </c>
      <c r="I20" s="240"/>
      <c r="J20" s="1155">
        <f t="shared" si="14"/>
        <v>0.74569631996701369</v>
      </c>
      <c r="K20" s="1155">
        <f t="shared" si="15"/>
        <v>0.25430368003298631</v>
      </c>
      <c r="L20" s="1155">
        <f t="shared" si="16"/>
        <v>5.8550664879909287E-2</v>
      </c>
      <c r="M20" s="1155">
        <f t="shared" si="17"/>
        <v>0.195753015153077</v>
      </c>
      <c r="O20" s="1156">
        <f t="shared" si="18"/>
        <v>2958</v>
      </c>
      <c r="P20" s="1156">
        <v>2162</v>
      </c>
      <c r="Q20" s="1156">
        <v>796</v>
      </c>
      <c r="R20" s="1156">
        <v>345</v>
      </c>
      <c r="S20" s="1156">
        <v>451</v>
      </c>
      <c r="U20" s="1157">
        <f t="shared" si="19"/>
        <v>0.7308992562542258</v>
      </c>
      <c r="V20" s="1157">
        <f t="shared" si="20"/>
        <v>0.2691007437457742</v>
      </c>
      <c r="W20" s="1157">
        <f t="shared" si="21"/>
        <v>0.11663286004056796</v>
      </c>
      <c r="X20" s="1157">
        <f t="shared" si="22"/>
        <v>0.15246788370520623</v>
      </c>
    </row>
    <row r="21" spans="1:24" ht="13.5" customHeight="1" x14ac:dyDescent="0.25">
      <c r="A21" s="149" t="s">
        <v>44</v>
      </c>
      <c r="B21" s="186" t="s">
        <v>45</v>
      </c>
      <c r="C21" s="150" t="s">
        <v>266</v>
      </c>
      <c r="D21" s="240">
        <v>5470</v>
      </c>
      <c r="E21" s="240">
        <v>3083</v>
      </c>
      <c r="F21" s="240">
        <v>2387</v>
      </c>
      <c r="G21" s="240">
        <v>545</v>
      </c>
      <c r="H21" s="240">
        <v>1842</v>
      </c>
      <c r="I21" s="240"/>
      <c r="J21" s="1155">
        <f t="shared" si="14"/>
        <v>0.5636197440585009</v>
      </c>
      <c r="K21" s="1155">
        <f t="shared" si="15"/>
        <v>0.4363802559414991</v>
      </c>
      <c r="L21" s="1155">
        <f t="shared" si="16"/>
        <v>9.9634369287020116E-2</v>
      </c>
      <c r="M21" s="1155">
        <f t="shared" si="17"/>
        <v>0.33674588665447897</v>
      </c>
      <c r="O21" s="1156">
        <f t="shared" si="18"/>
        <v>1937</v>
      </c>
      <c r="P21" s="1156">
        <v>1006</v>
      </c>
      <c r="Q21" s="1156">
        <v>931</v>
      </c>
      <c r="R21" s="1156">
        <v>423</v>
      </c>
      <c r="S21" s="1156">
        <v>508</v>
      </c>
      <c r="U21" s="1157">
        <f t="shared" si="19"/>
        <v>0.51935983479607639</v>
      </c>
      <c r="V21" s="1157">
        <f t="shared" si="20"/>
        <v>0.48064016520392361</v>
      </c>
      <c r="W21" s="1157">
        <f t="shared" si="21"/>
        <v>0.21837893649974188</v>
      </c>
      <c r="X21" s="1157">
        <f t="shared" si="22"/>
        <v>0.26226122870418173</v>
      </c>
    </row>
    <row r="22" spans="1:24" ht="13.5" customHeight="1" x14ac:dyDescent="0.25">
      <c r="A22" s="149" t="s">
        <v>46</v>
      </c>
      <c r="B22" s="186" t="s">
        <v>47</v>
      </c>
      <c r="C22" s="150" t="s">
        <v>268</v>
      </c>
      <c r="D22" s="240">
        <v>4979</v>
      </c>
      <c r="E22" s="240">
        <v>3319</v>
      </c>
      <c r="F22" s="240">
        <v>1660</v>
      </c>
      <c r="G22" s="240">
        <v>383</v>
      </c>
      <c r="H22" s="240">
        <v>1277</v>
      </c>
      <c r="I22" s="240"/>
      <c r="J22" s="1155">
        <f t="shared" si="14"/>
        <v>0.66659971881904001</v>
      </c>
      <c r="K22" s="1155">
        <f t="shared" si="15"/>
        <v>0.33340028118096005</v>
      </c>
      <c r="L22" s="1155">
        <f t="shared" si="16"/>
        <v>7.6923076923076927E-2</v>
      </c>
      <c r="M22" s="1155">
        <f t="shared" si="17"/>
        <v>0.25647720425788312</v>
      </c>
      <c r="O22" s="1156">
        <f t="shared" si="18"/>
        <v>1591</v>
      </c>
      <c r="P22" s="1156">
        <v>981</v>
      </c>
      <c r="Q22" s="1156">
        <v>610</v>
      </c>
      <c r="R22" s="1156">
        <v>155</v>
      </c>
      <c r="S22" s="1156">
        <v>455</v>
      </c>
      <c r="U22" s="1157">
        <f t="shared" si="19"/>
        <v>0.61659333752357004</v>
      </c>
      <c r="V22" s="1157">
        <f t="shared" si="20"/>
        <v>0.3834066624764299</v>
      </c>
      <c r="W22" s="1157">
        <f t="shared" si="21"/>
        <v>9.7423004399748589E-2</v>
      </c>
      <c r="X22" s="1157">
        <f t="shared" si="22"/>
        <v>0.28598365807668136</v>
      </c>
    </row>
    <row r="23" spans="1:24" ht="13.5" customHeight="1" x14ac:dyDescent="0.25">
      <c r="A23" s="149" t="s">
        <v>48</v>
      </c>
      <c r="B23" s="186" t="s">
        <v>269</v>
      </c>
      <c r="C23" s="150" t="s">
        <v>266</v>
      </c>
      <c r="D23" s="240">
        <v>891</v>
      </c>
      <c r="E23" s="240">
        <v>554</v>
      </c>
      <c r="F23" s="240">
        <v>337</v>
      </c>
      <c r="G23" s="240">
        <v>66</v>
      </c>
      <c r="H23" s="240">
        <v>271</v>
      </c>
      <c r="I23" s="240"/>
      <c r="J23" s="1155">
        <f t="shared" si="14"/>
        <v>0.62177328843995505</v>
      </c>
      <c r="K23" s="1155">
        <f t="shared" si="15"/>
        <v>0.37822671156004489</v>
      </c>
      <c r="L23" s="1155">
        <f t="shared" si="16"/>
        <v>7.407407407407407E-2</v>
      </c>
      <c r="M23" s="1155">
        <f t="shared" si="17"/>
        <v>0.30415263748597082</v>
      </c>
      <c r="O23" s="1156">
        <f t="shared" si="18"/>
        <v>240</v>
      </c>
      <c r="P23" s="1156">
        <v>148</v>
      </c>
      <c r="Q23" s="1156">
        <v>92</v>
      </c>
      <c r="R23" s="1156">
        <v>33</v>
      </c>
      <c r="S23" s="1156">
        <v>59</v>
      </c>
      <c r="U23" s="1157">
        <f t="shared" si="19"/>
        <v>0.6166666666666667</v>
      </c>
      <c r="V23" s="1157">
        <f t="shared" si="20"/>
        <v>0.38333333333333336</v>
      </c>
      <c r="W23" s="1157">
        <f t="shared" si="21"/>
        <v>0.13750000000000001</v>
      </c>
      <c r="X23" s="1157">
        <f t="shared" si="22"/>
        <v>0.24583333333333332</v>
      </c>
    </row>
    <row r="24" spans="1:24" ht="13.5" customHeight="1" x14ac:dyDescent="0.25">
      <c r="A24" s="149" t="s">
        <v>50</v>
      </c>
      <c r="B24" s="186" t="s">
        <v>51</v>
      </c>
      <c r="C24" s="150" t="s">
        <v>265</v>
      </c>
      <c r="D24" s="240">
        <v>2306</v>
      </c>
      <c r="E24" s="240">
        <v>1147</v>
      </c>
      <c r="F24" s="240">
        <v>1159</v>
      </c>
      <c r="G24" s="240">
        <v>240</v>
      </c>
      <c r="H24" s="240">
        <v>919</v>
      </c>
      <c r="I24" s="240"/>
      <c r="J24" s="1155">
        <f t="shared" si="14"/>
        <v>0.49739809193408502</v>
      </c>
      <c r="K24" s="1155">
        <f t="shared" si="15"/>
        <v>0.50260190806591498</v>
      </c>
      <c r="L24" s="1155">
        <f t="shared" si="16"/>
        <v>0.10407632263660017</v>
      </c>
      <c r="M24" s="1155">
        <f t="shared" si="17"/>
        <v>0.39852558542931482</v>
      </c>
      <c r="O24" s="1156">
        <f t="shared" si="18"/>
        <v>646</v>
      </c>
      <c r="P24" s="1156">
        <v>284</v>
      </c>
      <c r="Q24" s="1156">
        <v>362</v>
      </c>
      <c r="R24" s="1156">
        <v>72</v>
      </c>
      <c r="S24" s="1156">
        <v>290</v>
      </c>
      <c r="U24" s="1157">
        <f t="shared" si="19"/>
        <v>0.43962848297213625</v>
      </c>
      <c r="V24" s="1157">
        <f t="shared" si="20"/>
        <v>0.56037151702786381</v>
      </c>
      <c r="W24" s="1157">
        <f t="shared" si="21"/>
        <v>0.11145510835913312</v>
      </c>
      <c r="X24" s="1157">
        <f t="shared" si="22"/>
        <v>0.44891640866873067</v>
      </c>
    </row>
    <row r="25" spans="1:24" ht="13.5" customHeight="1" x14ac:dyDescent="0.25">
      <c r="A25" s="149" t="s">
        <v>56</v>
      </c>
      <c r="B25" s="186" t="s">
        <v>295</v>
      </c>
      <c r="C25" s="150" t="s">
        <v>266</v>
      </c>
      <c r="D25" s="240">
        <v>75307</v>
      </c>
      <c r="E25" s="240">
        <v>55089</v>
      </c>
      <c r="F25" s="240">
        <v>20218</v>
      </c>
      <c r="G25" s="240">
        <v>4326</v>
      </c>
      <c r="H25" s="240">
        <v>15892</v>
      </c>
      <c r="I25" s="240"/>
      <c r="J25" s="1155">
        <f t="shared" si="14"/>
        <v>0.73152562178814717</v>
      </c>
      <c r="K25" s="1155">
        <f t="shared" si="15"/>
        <v>0.26847437821185283</v>
      </c>
      <c r="L25" s="1155">
        <f t="shared" si="16"/>
        <v>5.7444859043648003E-2</v>
      </c>
      <c r="M25" s="1155">
        <f t="shared" si="17"/>
        <v>0.21102951916820481</v>
      </c>
      <c r="O25" s="1156">
        <f t="shared" si="18"/>
        <v>21287</v>
      </c>
      <c r="P25" s="1156">
        <v>15963</v>
      </c>
      <c r="Q25" s="1156">
        <v>5324</v>
      </c>
      <c r="R25" s="1156">
        <v>1248</v>
      </c>
      <c r="S25" s="1156">
        <v>4076</v>
      </c>
      <c r="U25" s="1157">
        <f t="shared" si="19"/>
        <v>0.74989430168647531</v>
      </c>
      <c r="V25" s="1157">
        <f t="shared" si="20"/>
        <v>0.25010569831352469</v>
      </c>
      <c r="W25" s="1157">
        <f t="shared" si="21"/>
        <v>5.8627331235026073E-2</v>
      </c>
      <c r="X25" s="1157">
        <f t="shared" si="22"/>
        <v>0.19147836707849861</v>
      </c>
    </row>
    <row r="26" spans="1:24" ht="13.5" customHeight="1" x14ac:dyDescent="0.25">
      <c r="A26" s="149" t="s">
        <v>58</v>
      </c>
      <c r="B26" s="186" t="s">
        <v>59</v>
      </c>
      <c r="C26" s="150" t="s">
        <v>267</v>
      </c>
      <c r="D26" s="240">
        <v>2599</v>
      </c>
      <c r="E26" s="240">
        <v>1616</v>
      </c>
      <c r="F26" s="240">
        <v>983</v>
      </c>
      <c r="G26" s="240">
        <v>149</v>
      </c>
      <c r="H26" s="240">
        <v>834</v>
      </c>
      <c r="I26" s="240"/>
      <c r="J26" s="1155">
        <f t="shared" si="14"/>
        <v>0.62177760677183536</v>
      </c>
      <c r="K26" s="1155">
        <f t="shared" si="15"/>
        <v>0.3782223932281647</v>
      </c>
      <c r="L26" s="1155">
        <f t="shared" si="16"/>
        <v>5.7329742208541749E-2</v>
      </c>
      <c r="M26" s="1155">
        <f t="shared" si="17"/>
        <v>0.32089265101962294</v>
      </c>
      <c r="O26" s="1156">
        <f t="shared" si="18"/>
        <v>719</v>
      </c>
      <c r="P26" s="1156">
        <v>408</v>
      </c>
      <c r="Q26" s="1156">
        <v>311</v>
      </c>
      <c r="R26" s="1156">
        <v>2</v>
      </c>
      <c r="S26" s="1156">
        <v>309</v>
      </c>
      <c r="U26" s="1157">
        <f t="shared" si="19"/>
        <v>0.56745479833101531</v>
      </c>
      <c r="V26" s="1157">
        <f t="shared" si="20"/>
        <v>0.43254520166898469</v>
      </c>
      <c r="W26" s="1157">
        <f t="shared" si="21"/>
        <v>2.7816411682892906E-3</v>
      </c>
      <c r="X26" s="1157">
        <f t="shared" si="22"/>
        <v>0.42976356050069542</v>
      </c>
    </row>
    <row r="27" spans="1:24" ht="13.5" customHeight="1" x14ac:dyDescent="0.25">
      <c r="A27" s="149" t="s">
        <v>60</v>
      </c>
      <c r="B27" s="186" t="s">
        <v>61</v>
      </c>
      <c r="C27" s="150" t="s">
        <v>265</v>
      </c>
      <c r="D27" s="240">
        <v>771</v>
      </c>
      <c r="E27" s="240">
        <v>629</v>
      </c>
      <c r="F27" s="240">
        <v>142</v>
      </c>
      <c r="G27" s="240">
        <v>23</v>
      </c>
      <c r="H27" s="240">
        <v>119</v>
      </c>
      <c r="I27" s="240"/>
      <c r="J27" s="1155">
        <f t="shared" si="14"/>
        <v>0.81582360570687418</v>
      </c>
      <c r="K27" s="1155">
        <f t="shared" si="15"/>
        <v>0.18417639429312582</v>
      </c>
      <c r="L27" s="1155">
        <f t="shared" si="16"/>
        <v>2.9831387808041506E-2</v>
      </c>
      <c r="M27" s="1155">
        <f t="shared" si="17"/>
        <v>0.15434500648508431</v>
      </c>
      <c r="O27" s="1156">
        <f t="shared" si="18"/>
        <v>214</v>
      </c>
      <c r="P27" s="1156">
        <v>210</v>
      </c>
      <c r="Q27" s="1156">
        <v>4</v>
      </c>
      <c r="R27" s="1156">
        <v>0</v>
      </c>
      <c r="S27" s="1156">
        <v>4</v>
      </c>
      <c r="U27" s="1157">
        <f t="shared" si="19"/>
        <v>0.98130841121495327</v>
      </c>
      <c r="V27" s="1157">
        <f t="shared" si="20"/>
        <v>1.8691588785046728E-2</v>
      </c>
      <c r="W27" s="1157">
        <f t="shared" si="21"/>
        <v>0</v>
      </c>
      <c r="X27" s="1157">
        <f t="shared" si="22"/>
        <v>1.8691588785046728E-2</v>
      </c>
    </row>
    <row r="28" spans="1:24" ht="13.5" customHeight="1" x14ac:dyDescent="0.25">
      <c r="A28" s="149" t="s">
        <v>62</v>
      </c>
      <c r="B28" s="186" t="s">
        <v>63</v>
      </c>
      <c r="C28" s="150" t="s">
        <v>267</v>
      </c>
      <c r="D28" s="240">
        <v>10421</v>
      </c>
      <c r="E28" s="240">
        <v>7774</v>
      </c>
      <c r="F28" s="240">
        <v>2647</v>
      </c>
      <c r="G28" s="240">
        <v>887</v>
      </c>
      <c r="H28" s="240">
        <v>1760</v>
      </c>
      <c r="I28" s="240"/>
      <c r="J28" s="1155">
        <f t="shared" si="14"/>
        <v>0.74599366663467992</v>
      </c>
      <c r="K28" s="1155">
        <f t="shared" si="15"/>
        <v>0.25400633336532003</v>
      </c>
      <c r="L28" s="1155">
        <f t="shared" si="16"/>
        <v>8.5116591497936864E-2</v>
      </c>
      <c r="M28" s="1155">
        <f t="shared" si="17"/>
        <v>0.16888974186738318</v>
      </c>
      <c r="O28" s="1156">
        <f t="shared" si="18"/>
        <v>2824</v>
      </c>
      <c r="P28" s="1156">
        <v>1882</v>
      </c>
      <c r="Q28" s="1156">
        <v>942</v>
      </c>
      <c r="R28" s="1156">
        <v>369</v>
      </c>
      <c r="S28" s="1156">
        <v>573</v>
      </c>
      <c r="U28" s="1157">
        <f t="shared" si="19"/>
        <v>0.66643059490084988</v>
      </c>
      <c r="V28" s="1157">
        <f t="shared" si="20"/>
        <v>0.33356940509915012</v>
      </c>
      <c r="W28" s="1157">
        <f t="shared" si="21"/>
        <v>0.13066572237960339</v>
      </c>
      <c r="X28" s="1157">
        <f t="shared" si="22"/>
        <v>0.20290368271954673</v>
      </c>
    </row>
    <row r="29" spans="1:24" ht="13.5" customHeight="1" x14ac:dyDescent="0.25">
      <c r="A29" s="149" t="s">
        <v>64</v>
      </c>
      <c r="B29" s="186" t="s">
        <v>65</v>
      </c>
      <c r="C29" s="150" t="s">
        <v>266</v>
      </c>
      <c r="D29" s="240">
        <v>1627</v>
      </c>
      <c r="E29" s="240">
        <v>903</v>
      </c>
      <c r="F29" s="240">
        <v>724</v>
      </c>
      <c r="G29" s="240">
        <v>226</v>
      </c>
      <c r="H29" s="240">
        <v>498</v>
      </c>
      <c r="I29" s="240"/>
      <c r="J29" s="1155">
        <f t="shared" si="14"/>
        <v>0.55500921942224957</v>
      </c>
      <c r="K29" s="1155">
        <f t="shared" si="15"/>
        <v>0.44499078057775043</v>
      </c>
      <c r="L29" s="1155">
        <f t="shared" si="16"/>
        <v>0.13890596189305471</v>
      </c>
      <c r="M29" s="1155">
        <f t="shared" si="17"/>
        <v>0.30608481868469578</v>
      </c>
      <c r="O29" s="1156">
        <f t="shared" si="18"/>
        <v>530</v>
      </c>
      <c r="P29" s="1156">
        <v>254</v>
      </c>
      <c r="Q29" s="1156">
        <v>276</v>
      </c>
      <c r="R29" s="1156">
        <v>69</v>
      </c>
      <c r="S29" s="1156">
        <v>207</v>
      </c>
      <c r="U29" s="1157">
        <f t="shared" si="19"/>
        <v>0.47924528301886793</v>
      </c>
      <c r="V29" s="1157">
        <f t="shared" si="20"/>
        <v>0.52075471698113207</v>
      </c>
      <c r="W29" s="1157">
        <f t="shared" si="21"/>
        <v>0.13018867924528302</v>
      </c>
      <c r="X29" s="1157">
        <f t="shared" si="22"/>
        <v>0.39056603773584908</v>
      </c>
    </row>
    <row r="30" spans="1:24" ht="13.5" customHeight="1" x14ac:dyDescent="0.25">
      <c r="A30" s="149" t="s">
        <v>68</v>
      </c>
      <c r="B30" s="186" t="s">
        <v>69</v>
      </c>
      <c r="C30" s="150" t="s">
        <v>268</v>
      </c>
      <c r="D30" s="240">
        <v>2733</v>
      </c>
      <c r="E30" s="240">
        <v>2010</v>
      </c>
      <c r="F30" s="240">
        <v>723</v>
      </c>
      <c r="G30" s="240">
        <v>253</v>
      </c>
      <c r="H30" s="240">
        <v>470</v>
      </c>
      <c r="I30" s="240"/>
      <c r="J30" s="1155">
        <f t="shared" si="14"/>
        <v>0.73545554335894625</v>
      </c>
      <c r="K30" s="1155">
        <f t="shared" si="15"/>
        <v>0.2645444566410538</v>
      </c>
      <c r="L30" s="1155">
        <f t="shared" si="16"/>
        <v>9.2572264910354918E-2</v>
      </c>
      <c r="M30" s="1155">
        <f t="shared" si="17"/>
        <v>0.17197219173069886</v>
      </c>
      <c r="O30" s="1156">
        <f t="shared" si="18"/>
        <v>900</v>
      </c>
      <c r="P30" s="1156">
        <v>511</v>
      </c>
      <c r="Q30" s="1156">
        <v>389</v>
      </c>
      <c r="R30" s="1156">
        <v>117</v>
      </c>
      <c r="S30" s="1156">
        <v>272</v>
      </c>
      <c r="U30" s="1157">
        <f t="shared" si="19"/>
        <v>0.56777777777777783</v>
      </c>
      <c r="V30" s="1157">
        <f t="shared" si="20"/>
        <v>0.43222222222222223</v>
      </c>
      <c r="W30" s="1157">
        <f t="shared" si="21"/>
        <v>0.13</v>
      </c>
      <c r="X30" s="1157">
        <f t="shared" si="22"/>
        <v>0.30222222222222223</v>
      </c>
    </row>
    <row r="31" spans="1:24" ht="13.5" customHeight="1" x14ac:dyDescent="0.25">
      <c r="A31" s="149" t="s">
        <v>70</v>
      </c>
      <c r="B31" s="186" t="s">
        <v>71</v>
      </c>
      <c r="C31" s="150" t="s">
        <v>264</v>
      </c>
      <c r="D31" s="240">
        <v>4917</v>
      </c>
      <c r="E31" s="240">
        <v>3039</v>
      </c>
      <c r="F31" s="240">
        <v>1878</v>
      </c>
      <c r="G31" s="240">
        <v>392</v>
      </c>
      <c r="H31" s="240">
        <v>1486</v>
      </c>
      <c r="I31" s="240"/>
      <c r="J31" s="1155">
        <f t="shared" si="14"/>
        <v>0.61805979255643684</v>
      </c>
      <c r="K31" s="1155">
        <f t="shared" si="15"/>
        <v>0.38194020744356316</v>
      </c>
      <c r="L31" s="1155">
        <f t="shared" si="16"/>
        <v>7.9723408582468985E-2</v>
      </c>
      <c r="M31" s="1155">
        <f t="shared" si="17"/>
        <v>0.30221679886109415</v>
      </c>
      <c r="O31" s="1156">
        <f t="shared" si="18"/>
        <v>1450</v>
      </c>
      <c r="P31" s="1156">
        <v>937</v>
      </c>
      <c r="Q31" s="1156">
        <v>513</v>
      </c>
      <c r="R31" s="1156">
        <v>130</v>
      </c>
      <c r="S31" s="1156">
        <v>383</v>
      </c>
      <c r="U31" s="1157">
        <f t="shared" si="19"/>
        <v>0.64620689655172414</v>
      </c>
      <c r="V31" s="1157">
        <f t="shared" si="20"/>
        <v>0.35379310344827586</v>
      </c>
      <c r="W31" s="1157">
        <f t="shared" si="21"/>
        <v>8.9655172413793102E-2</v>
      </c>
      <c r="X31" s="1157">
        <f t="shared" si="22"/>
        <v>0.26413793103448274</v>
      </c>
    </row>
    <row r="32" spans="1:24" ht="13.5" customHeight="1" x14ac:dyDescent="0.25">
      <c r="A32" s="149" t="s">
        <v>72</v>
      </c>
      <c r="B32" s="186" t="s">
        <v>73</v>
      </c>
      <c r="C32" s="150" t="s">
        <v>266</v>
      </c>
      <c r="D32" s="240">
        <v>1946</v>
      </c>
      <c r="E32" s="240">
        <v>1202</v>
      </c>
      <c r="F32" s="240">
        <v>744</v>
      </c>
      <c r="G32" s="240">
        <v>337</v>
      </c>
      <c r="H32" s="240">
        <v>407</v>
      </c>
      <c r="I32" s="240"/>
      <c r="J32" s="1155">
        <f t="shared" si="14"/>
        <v>0.61767728674203493</v>
      </c>
      <c r="K32" s="1155">
        <f t="shared" si="15"/>
        <v>0.38232271325796507</v>
      </c>
      <c r="L32" s="1155">
        <f t="shared" si="16"/>
        <v>0.17317574511819117</v>
      </c>
      <c r="M32" s="1155">
        <f t="shared" si="17"/>
        <v>0.2091469681397739</v>
      </c>
      <c r="O32" s="1156">
        <f t="shared" si="18"/>
        <v>543</v>
      </c>
      <c r="P32" s="1156">
        <v>356</v>
      </c>
      <c r="Q32" s="1156">
        <v>187</v>
      </c>
      <c r="R32" s="1156">
        <v>99</v>
      </c>
      <c r="S32" s="1156">
        <v>88</v>
      </c>
      <c r="U32" s="1157">
        <f t="shared" si="19"/>
        <v>0.65561694290976058</v>
      </c>
      <c r="V32" s="1157">
        <f t="shared" si="20"/>
        <v>0.34438305709023942</v>
      </c>
      <c r="W32" s="1157">
        <f t="shared" si="21"/>
        <v>0.18232044198895028</v>
      </c>
      <c r="X32" s="1157">
        <f t="shared" si="22"/>
        <v>0.16206261510128914</v>
      </c>
    </row>
    <row r="33" spans="1:24" ht="13.5" customHeight="1" x14ac:dyDescent="0.25">
      <c r="A33" s="149" t="s">
        <v>74</v>
      </c>
      <c r="B33" s="186" t="s">
        <v>609</v>
      </c>
      <c r="C33" s="150" t="s">
        <v>267</v>
      </c>
      <c r="D33" s="240">
        <v>259214</v>
      </c>
      <c r="E33" s="240">
        <v>215138</v>
      </c>
      <c r="F33" s="240">
        <v>44076</v>
      </c>
      <c r="G33" s="240">
        <v>11176</v>
      </c>
      <c r="H33" s="240">
        <v>32900</v>
      </c>
      <c r="I33" s="240"/>
      <c r="J33" s="1155">
        <f t="shared" si="14"/>
        <v>0.82996288780698568</v>
      </c>
      <c r="K33" s="1155">
        <f t="shared" si="15"/>
        <v>0.17003711219301426</v>
      </c>
      <c r="L33" s="1155">
        <f t="shared" si="16"/>
        <v>4.3114955210752502E-2</v>
      </c>
      <c r="M33" s="1155">
        <f t="shared" si="17"/>
        <v>0.12692215698226175</v>
      </c>
      <c r="O33" s="1156">
        <f t="shared" si="18"/>
        <v>84362</v>
      </c>
      <c r="P33" s="1156">
        <v>71922</v>
      </c>
      <c r="Q33" s="1156">
        <v>12440</v>
      </c>
      <c r="R33" s="1156">
        <v>3981</v>
      </c>
      <c r="S33" s="1156">
        <v>8459</v>
      </c>
      <c r="U33" s="1157">
        <f t="shared" si="19"/>
        <v>0.85254024323747657</v>
      </c>
      <c r="V33" s="1157">
        <f t="shared" si="20"/>
        <v>0.1474597567625234</v>
      </c>
      <c r="W33" s="1157">
        <f t="shared" si="21"/>
        <v>4.7189492899646759E-2</v>
      </c>
      <c r="X33" s="1157">
        <f t="shared" si="22"/>
        <v>0.10027026386287666</v>
      </c>
    </row>
    <row r="34" spans="1:24" ht="13.5" customHeight="1" x14ac:dyDescent="0.25">
      <c r="A34" s="149" t="s">
        <v>76</v>
      </c>
      <c r="B34" s="186" t="s">
        <v>77</v>
      </c>
      <c r="C34" s="150" t="s">
        <v>267</v>
      </c>
      <c r="D34" s="240">
        <v>14337</v>
      </c>
      <c r="E34" s="240">
        <v>11863</v>
      </c>
      <c r="F34" s="240">
        <v>2474</v>
      </c>
      <c r="G34" s="240">
        <v>667</v>
      </c>
      <c r="H34" s="240">
        <v>1807</v>
      </c>
      <c r="I34" s="240"/>
      <c r="J34" s="1155">
        <f t="shared" si="14"/>
        <v>0.82743949222291968</v>
      </c>
      <c r="K34" s="1155">
        <f t="shared" si="15"/>
        <v>0.17256050777708029</v>
      </c>
      <c r="L34" s="1155">
        <f t="shared" si="16"/>
        <v>4.6522982492850667E-2</v>
      </c>
      <c r="M34" s="1155">
        <f t="shared" si="17"/>
        <v>0.12603752528422962</v>
      </c>
      <c r="O34" s="1156">
        <f t="shared" si="18"/>
        <v>3575</v>
      </c>
      <c r="P34" s="1156">
        <v>3001</v>
      </c>
      <c r="Q34" s="1156">
        <v>574</v>
      </c>
      <c r="R34" s="1156">
        <v>181</v>
      </c>
      <c r="S34" s="1156">
        <v>393</v>
      </c>
      <c r="U34" s="1157">
        <f t="shared" si="19"/>
        <v>0.8394405594405594</v>
      </c>
      <c r="V34" s="1157">
        <f t="shared" si="20"/>
        <v>0.16055944055944055</v>
      </c>
      <c r="W34" s="1157">
        <f t="shared" si="21"/>
        <v>5.0629370629370632E-2</v>
      </c>
      <c r="X34" s="1157">
        <f t="shared" si="22"/>
        <v>0.10993006993006993</v>
      </c>
    </row>
    <row r="35" spans="1:24" ht="13.5" customHeight="1" x14ac:dyDescent="0.25">
      <c r="A35" s="149" t="s">
        <v>78</v>
      </c>
      <c r="B35" s="186" t="s">
        <v>79</v>
      </c>
      <c r="C35" s="150" t="s">
        <v>268</v>
      </c>
      <c r="D35" s="240">
        <v>2985</v>
      </c>
      <c r="E35" s="240">
        <v>2486</v>
      </c>
      <c r="F35" s="240">
        <v>499</v>
      </c>
      <c r="G35" s="240">
        <v>91</v>
      </c>
      <c r="H35" s="240">
        <v>408</v>
      </c>
      <c r="I35" s="240"/>
      <c r="J35" s="1155">
        <f t="shared" si="14"/>
        <v>0.83283082077051929</v>
      </c>
      <c r="K35" s="1155">
        <f t="shared" si="15"/>
        <v>0.16716917922948074</v>
      </c>
      <c r="L35" s="1155">
        <f t="shared" si="16"/>
        <v>3.0485762144053602E-2</v>
      </c>
      <c r="M35" s="1155">
        <f t="shared" si="17"/>
        <v>0.13668341708542714</v>
      </c>
      <c r="O35" s="1156">
        <f t="shared" si="18"/>
        <v>792</v>
      </c>
      <c r="P35" s="1156">
        <v>728</v>
      </c>
      <c r="Q35" s="1156">
        <v>64</v>
      </c>
      <c r="R35" s="1156">
        <v>43</v>
      </c>
      <c r="S35" s="1156">
        <v>21</v>
      </c>
      <c r="U35" s="1157">
        <f t="shared" si="19"/>
        <v>0.91919191919191923</v>
      </c>
      <c r="V35" s="1157">
        <f t="shared" si="20"/>
        <v>8.0808080808080815E-2</v>
      </c>
      <c r="W35" s="1157">
        <f t="shared" si="21"/>
        <v>5.4292929292929296E-2</v>
      </c>
      <c r="X35" s="1157">
        <f t="shared" si="22"/>
        <v>2.6515151515151516E-2</v>
      </c>
    </row>
    <row r="36" spans="1:24" ht="13.5" customHeight="1" x14ac:dyDescent="0.25">
      <c r="A36" s="149" t="s">
        <v>80</v>
      </c>
      <c r="B36" s="186" t="s">
        <v>81</v>
      </c>
      <c r="C36" s="150" t="s">
        <v>266</v>
      </c>
      <c r="D36" s="240">
        <v>4760</v>
      </c>
      <c r="E36" s="240">
        <v>3693</v>
      </c>
      <c r="F36" s="240">
        <v>1067</v>
      </c>
      <c r="G36" s="240">
        <v>531</v>
      </c>
      <c r="H36" s="240">
        <v>536</v>
      </c>
      <c r="I36" s="240"/>
      <c r="J36" s="1155">
        <f t="shared" si="14"/>
        <v>0.7758403361344538</v>
      </c>
      <c r="K36" s="1155">
        <f t="shared" si="15"/>
        <v>0.22415966386554623</v>
      </c>
      <c r="L36" s="1155">
        <f t="shared" si="16"/>
        <v>0.1115546218487395</v>
      </c>
      <c r="M36" s="1155">
        <f t="shared" si="17"/>
        <v>0.11260504201680673</v>
      </c>
      <c r="O36" s="1156">
        <f t="shared" si="18"/>
        <v>1461</v>
      </c>
      <c r="P36" s="1156">
        <v>1164</v>
      </c>
      <c r="Q36" s="1156">
        <v>297</v>
      </c>
      <c r="R36" s="1156">
        <v>179</v>
      </c>
      <c r="S36" s="1156">
        <v>118</v>
      </c>
      <c r="U36" s="1157">
        <f t="shared" si="19"/>
        <v>0.79671457905544152</v>
      </c>
      <c r="V36" s="1157">
        <f t="shared" si="20"/>
        <v>0.20328542094455851</v>
      </c>
      <c r="W36" s="1157">
        <f t="shared" si="21"/>
        <v>0.12251882272416154</v>
      </c>
      <c r="X36" s="1157">
        <f t="shared" si="22"/>
        <v>8.0766598220396987E-2</v>
      </c>
    </row>
    <row r="37" spans="1:24" ht="13.5" customHeight="1" x14ac:dyDescent="0.25">
      <c r="A37" s="149" t="s">
        <v>84</v>
      </c>
      <c r="B37" s="186" t="s">
        <v>85</v>
      </c>
      <c r="C37" s="150" t="s">
        <v>265</v>
      </c>
      <c r="D37" s="240">
        <v>9743</v>
      </c>
      <c r="E37" s="240">
        <v>6978</v>
      </c>
      <c r="F37" s="240">
        <v>2765</v>
      </c>
      <c r="G37" s="240">
        <v>600</v>
      </c>
      <c r="H37" s="240">
        <v>2165</v>
      </c>
      <c r="I37" s="240"/>
      <c r="J37" s="1155">
        <f t="shared" ref="J37:J68" si="23">E37/D37</f>
        <v>0.71620650723596424</v>
      </c>
      <c r="K37" s="1155">
        <f t="shared" ref="K37:K68" si="24">F37/D37</f>
        <v>0.2837934927640357</v>
      </c>
      <c r="L37" s="1155">
        <f t="shared" ref="L37:L68" si="25">G37/D37</f>
        <v>6.1582674740839574E-2</v>
      </c>
      <c r="M37" s="1155">
        <f t="shared" ref="M37:M68" si="26">H37/D37</f>
        <v>0.22221081802319614</v>
      </c>
      <c r="O37" s="1156">
        <f t="shared" ref="O37:O68" si="27">P37+Q37</f>
        <v>2752</v>
      </c>
      <c r="P37" s="1156">
        <v>1826</v>
      </c>
      <c r="Q37" s="1156">
        <v>926</v>
      </c>
      <c r="R37" s="1156">
        <v>272</v>
      </c>
      <c r="S37" s="1156">
        <v>654</v>
      </c>
      <c r="U37" s="1157">
        <f t="shared" ref="U37:U68" si="28">P37/O37</f>
        <v>0.66351744186046513</v>
      </c>
      <c r="V37" s="1157">
        <f t="shared" ref="V37:V68" si="29">Q37/O37</f>
        <v>0.33648255813953487</v>
      </c>
      <c r="W37" s="1157">
        <f t="shared" ref="W37:W68" si="30">R37/O37</f>
        <v>9.8837209302325577E-2</v>
      </c>
      <c r="X37" s="1157">
        <f t="shared" ref="X37:X68" si="31">S37/O37</f>
        <v>0.23764534883720931</v>
      </c>
    </row>
    <row r="38" spans="1:24" ht="13.5" customHeight="1" x14ac:dyDescent="0.25">
      <c r="A38" s="149" t="s">
        <v>86</v>
      </c>
      <c r="B38" s="186" t="s">
        <v>87</v>
      </c>
      <c r="C38" s="150" t="s">
        <v>267</v>
      </c>
      <c r="D38" s="240">
        <v>17417</v>
      </c>
      <c r="E38" s="240">
        <v>13824</v>
      </c>
      <c r="F38" s="240">
        <v>3593</v>
      </c>
      <c r="G38" s="240">
        <v>1230</v>
      </c>
      <c r="H38" s="240">
        <v>2363</v>
      </c>
      <c r="I38" s="240"/>
      <c r="J38" s="1155">
        <f t="shared" si="23"/>
        <v>0.79370729746799107</v>
      </c>
      <c r="K38" s="1155">
        <f t="shared" si="24"/>
        <v>0.20629270253200896</v>
      </c>
      <c r="L38" s="1155">
        <f t="shared" si="25"/>
        <v>7.0620657977837745E-2</v>
      </c>
      <c r="M38" s="1155">
        <f t="shared" si="26"/>
        <v>0.1356720445541712</v>
      </c>
      <c r="O38" s="1156">
        <f t="shared" si="27"/>
        <v>5386</v>
      </c>
      <c r="P38" s="1156">
        <v>4313</v>
      </c>
      <c r="Q38" s="1156">
        <v>1073</v>
      </c>
      <c r="R38" s="1156">
        <v>407</v>
      </c>
      <c r="S38" s="1156">
        <v>666</v>
      </c>
      <c r="U38" s="1157">
        <f t="shared" si="28"/>
        <v>0.80077979948013367</v>
      </c>
      <c r="V38" s="1157">
        <f t="shared" si="29"/>
        <v>0.19922020051986633</v>
      </c>
      <c r="W38" s="1157">
        <f t="shared" si="30"/>
        <v>7.5566282955811359E-2</v>
      </c>
      <c r="X38" s="1157">
        <f t="shared" si="31"/>
        <v>0.12365391756405496</v>
      </c>
    </row>
    <row r="39" spans="1:24" ht="13.5" customHeight="1" x14ac:dyDescent="0.25">
      <c r="A39" s="149" t="s">
        <v>92</v>
      </c>
      <c r="B39" s="186" t="s">
        <v>93</v>
      </c>
      <c r="C39" s="150" t="s">
        <v>268</v>
      </c>
      <c r="D39" s="240">
        <v>2796</v>
      </c>
      <c r="E39" s="240">
        <v>1960</v>
      </c>
      <c r="F39" s="240">
        <v>836</v>
      </c>
      <c r="G39" s="240">
        <v>370</v>
      </c>
      <c r="H39" s="240">
        <v>466</v>
      </c>
      <c r="I39" s="240"/>
      <c r="J39" s="1155">
        <f t="shared" si="23"/>
        <v>0.70100143061516451</v>
      </c>
      <c r="K39" s="1155">
        <f t="shared" si="24"/>
        <v>0.29899856938483549</v>
      </c>
      <c r="L39" s="1155">
        <f t="shared" si="25"/>
        <v>0.1323319027181688</v>
      </c>
      <c r="M39" s="1155">
        <f t="shared" si="26"/>
        <v>0.16666666666666666</v>
      </c>
      <c r="O39" s="1156">
        <f t="shared" si="27"/>
        <v>824</v>
      </c>
      <c r="P39" s="1156">
        <v>626</v>
      </c>
      <c r="Q39" s="1156">
        <v>198</v>
      </c>
      <c r="R39" s="1156">
        <v>81</v>
      </c>
      <c r="S39" s="1156">
        <v>117</v>
      </c>
      <c r="U39" s="1157">
        <f t="shared" si="28"/>
        <v>0.75970873786407767</v>
      </c>
      <c r="V39" s="1157">
        <f t="shared" si="29"/>
        <v>0.24029126213592233</v>
      </c>
      <c r="W39" s="1157">
        <f t="shared" si="30"/>
        <v>9.8300970873786406E-2</v>
      </c>
      <c r="X39" s="1157">
        <f t="shared" si="31"/>
        <v>0.14199029126213591</v>
      </c>
    </row>
    <row r="40" spans="1:24" ht="13.5" customHeight="1" x14ac:dyDescent="0.25">
      <c r="A40" s="149" t="s">
        <v>94</v>
      </c>
      <c r="B40" s="186" t="s">
        <v>95</v>
      </c>
      <c r="C40" s="150" t="s">
        <v>264</v>
      </c>
      <c r="D40" s="240">
        <v>6841</v>
      </c>
      <c r="E40" s="240">
        <v>5266</v>
      </c>
      <c r="F40" s="240">
        <v>1575</v>
      </c>
      <c r="G40" s="240">
        <v>428</v>
      </c>
      <c r="H40" s="240">
        <v>1147</v>
      </c>
      <c r="I40" s="240"/>
      <c r="J40" s="1155">
        <f t="shared" si="23"/>
        <v>0.76977050138868586</v>
      </c>
      <c r="K40" s="1155">
        <f t="shared" si="24"/>
        <v>0.23022949861131414</v>
      </c>
      <c r="L40" s="1155">
        <f t="shared" si="25"/>
        <v>6.2563952638503145E-2</v>
      </c>
      <c r="M40" s="1155">
        <f t="shared" si="26"/>
        <v>0.167665545972811</v>
      </c>
      <c r="O40" s="1156">
        <f t="shared" si="27"/>
        <v>2017</v>
      </c>
      <c r="P40" s="1156">
        <v>1569</v>
      </c>
      <c r="Q40" s="1156">
        <v>448</v>
      </c>
      <c r="R40" s="1156">
        <v>134</v>
      </c>
      <c r="S40" s="1156">
        <v>314</v>
      </c>
      <c r="U40" s="1157">
        <f t="shared" si="28"/>
        <v>0.77788795240456121</v>
      </c>
      <c r="V40" s="1157">
        <f t="shared" si="29"/>
        <v>0.22211204759543876</v>
      </c>
      <c r="W40" s="1157">
        <f t="shared" si="30"/>
        <v>6.6435299950421411E-2</v>
      </c>
      <c r="X40" s="1157">
        <f t="shared" si="31"/>
        <v>0.15567674764501735</v>
      </c>
    </row>
    <row r="41" spans="1:24" ht="13.5" customHeight="1" x14ac:dyDescent="0.25">
      <c r="A41" s="149" t="s">
        <v>96</v>
      </c>
      <c r="B41" s="186" t="s">
        <v>97</v>
      </c>
      <c r="C41" s="150" t="s">
        <v>266</v>
      </c>
      <c r="D41" s="240">
        <v>3338</v>
      </c>
      <c r="E41" s="240">
        <v>2883</v>
      </c>
      <c r="F41" s="240">
        <v>455</v>
      </c>
      <c r="G41" s="240">
        <v>153</v>
      </c>
      <c r="H41" s="240">
        <v>302</v>
      </c>
      <c r="I41" s="240"/>
      <c r="J41" s="1155">
        <f t="shared" si="23"/>
        <v>0.86369083283403236</v>
      </c>
      <c r="K41" s="1155">
        <f t="shared" si="24"/>
        <v>0.13630916716596764</v>
      </c>
      <c r="L41" s="1155">
        <f t="shared" si="25"/>
        <v>4.5835829838226483E-2</v>
      </c>
      <c r="M41" s="1155">
        <f t="shared" si="26"/>
        <v>9.0473337327741168E-2</v>
      </c>
      <c r="O41" s="1156">
        <f t="shared" si="27"/>
        <v>820</v>
      </c>
      <c r="P41" s="1156">
        <v>735</v>
      </c>
      <c r="Q41" s="1156">
        <v>85</v>
      </c>
      <c r="R41" s="1156">
        <v>24</v>
      </c>
      <c r="S41" s="1156">
        <v>61</v>
      </c>
      <c r="U41" s="1157">
        <f t="shared" si="28"/>
        <v>0.89634146341463417</v>
      </c>
      <c r="V41" s="1157">
        <f t="shared" si="29"/>
        <v>0.10365853658536585</v>
      </c>
      <c r="W41" s="1157">
        <f t="shared" si="30"/>
        <v>2.9268292682926831E-2</v>
      </c>
      <c r="X41" s="1157">
        <f t="shared" si="31"/>
        <v>7.4390243902439021E-2</v>
      </c>
    </row>
    <row r="42" spans="1:24" ht="13.5" customHeight="1" x14ac:dyDescent="0.25">
      <c r="A42" s="149" t="s">
        <v>98</v>
      </c>
      <c r="B42" s="186" t="s">
        <v>99</v>
      </c>
      <c r="C42" s="150" t="s">
        <v>268</v>
      </c>
      <c r="D42" s="240">
        <v>2248</v>
      </c>
      <c r="E42" s="240">
        <v>1482</v>
      </c>
      <c r="F42" s="240">
        <v>766</v>
      </c>
      <c r="G42" s="240">
        <v>254</v>
      </c>
      <c r="H42" s="240">
        <v>512</v>
      </c>
      <c r="I42" s="240"/>
      <c r="J42" s="1155">
        <f t="shared" si="23"/>
        <v>0.65925266903914592</v>
      </c>
      <c r="K42" s="1155">
        <f t="shared" si="24"/>
        <v>0.34074733096085408</v>
      </c>
      <c r="L42" s="1155">
        <f t="shared" si="25"/>
        <v>0.11298932384341637</v>
      </c>
      <c r="M42" s="1155">
        <f t="shared" si="26"/>
        <v>0.22775800711743771</v>
      </c>
      <c r="O42" s="1156">
        <f t="shared" si="27"/>
        <v>718</v>
      </c>
      <c r="P42" s="1156">
        <v>501</v>
      </c>
      <c r="Q42" s="1156">
        <v>217</v>
      </c>
      <c r="R42" s="1156">
        <v>39</v>
      </c>
      <c r="S42" s="1156">
        <v>178</v>
      </c>
      <c r="U42" s="1157">
        <f t="shared" si="28"/>
        <v>0.6977715877437326</v>
      </c>
      <c r="V42" s="1157">
        <f t="shared" si="29"/>
        <v>0.3022284122562674</v>
      </c>
      <c r="W42" s="1157">
        <f t="shared" si="30"/>
        <v>5.4317548746518104E-2</v>
      </c>
      <c r="X42" s="1157">
        <f t="shared" si="31"/>
        <v>0.24791086350974931</v>
      </c>
    </row>
    <row r="43" spans="1:24" ht="13.5" customHeight="1" x14ac:dyDescent="0.25">
      <c r="A43" s="149" t="s">
        <v>100</v>
      </c>
      <c r="B43" s="186" t="s">
        <v>101</v>
      </c>
      <c r="C43" s="150" t="s">
        <v>267</v>
      </c>
      <c r="D43" s="240">
        <v>4035</v>
      </c>
      <c r="E43" s="240">
        <v>3223</v>
      </c>
      <c r="F43" s="240">
        <v>812</v>
      </c>
      <c r="G43" s="240">
        <v>204</v>
      </c>
      <c r="H43" s="240">
        <v>608</v>
      </c>
      <c r="I43" s="240"/>
      <c r="J43" s="1155">
        <f t="shared" si="23"/>
        <v>0.79876084262701363</v>
      </c>
      <c r="K43" s="1155">
        <f t="shared" si="24"/>
        <v>0.20123915737298637</v>
      </c>
      <c r="L43" s="1155">
        <f t="shared" si="25"/>
        <v>5.0557620817843867E-2</v>
      </c>
      <c r="M43" s="1155">
        <f t="shared" si="26"/>
        <v>0.15068153655514249</v>
      </c>
      <c r="O43" s="1156">
        <f t="shared" si="27"/>
        <v>1240</v>
      </c>
      <c r="P43" s="1156">
        <v>1042</v>
      </c>
      <c r="Q43" s="1156">
        <v>198</v>
      </c>
      <c r="R43" s="1156">
        <v>105</v>
      </c>
      <c r="S43" s="1156">
        <v>93</v>
      </c>
      <c r="U43" s="1157">
        <f t="shared" si="28"/>
        <v>0.8403225806451613</v>
      </c>
      <c r="V43" s="1157">
        <f t="shared" si="29"/>
        <v>0.1596774193548387</v>
      </c>
      <c r="W43" s="1157">
        <f t="shared" si="30"/>
        <v>8.4677419354838704E-2</v>
      </c>
      <c r="X43" s="1157">
        <f t="shared" si="31"/>
        <v>7.4999999999999997E-2</v>
      </c>
    </row>
    <row r="44" spans="1:24" ht="13.5" customHeight="1" x14ac:dyDescent="0.25">
      <c r="A44" s="149" t="s">
        <v>102</v>
      </c>
      <c r="B44" s="186" t="s">
        <v>282</v>
      </c>
      <c r="C44" s="150" t="s">
        <v>264</v>
      </c>
      <c r="D44" s="240">
        <v>2823</v>
      </c>
      <c r="E44" s="240">
        <v>1474</v>
      </c>
      <c r="F44" s="240">
        <v>1349</v>
      </c>
      <c r="G44" s="240">
        <v>151</v>
      </c>
      <c r="H44" s="240">
        <v>1198</v>
      </c>
      <c r="I44" s="240"/>
      <c r="J44" s="1155">
        <f t="shared" si="23"/>
        <v>0.52213956783563586</v>
      </c>
      <c r="K44" s="1155">
        <f t="shared" si="24"/>
        <v>0.47786043216436414</v>
      </c>
      <c r="L44" s="1155">
        <f t="shared" si="25"/>
        <v>5.3489195890896207E-2</v>
      </c>
      <c r="M44" s="1155">
        <f t="shared" si="26"/>
        <v>0.42437123627346796</v>
      </c>
      <c r="O44" s="1156">
        <f t="shared" si="27"/>
        <v>828</v>
      </c>
      <c r="P44" s="1156">
        <v>495</v>
      </c>
      <c r="Q44" s="1156">
        <v>333</v>
      </c>
      <c r="R44" s="1156">
        <v>64</v>
      </c>
      <c r="S44" s="1156">
        <v>269</v>
      </c>
      <c r="U44" s="1157">
        <f t="shared" si="28"/>
        <v>0.59782608695652173</v>
      </c>
      <c r="V44" s="1157">
        <f t="shared" si="29"/>
        <v>0.40217391304347827</v>
      </c>
      <c r="W44" s="1157">
        <f t="shared" si="30"/>
        <v>7.7294685990338161E-2</v>
      </c>
      <c r="X44" s="1157">
        <f t="shared" si="31"/>
        <v>0.3248792270531401</v>
      </c>
    </row>
    <row r="45" spans="1:24" ht="13.5" customHeight="1" x14ac:dyDescent="0.25">
      <c r="A45" s="149" t="s">
        <v>104</v>
      </c>
      <c r="B45" s="186" t="s">
        <v>105</v>
      </c>
      <c r="C45" s="150" t="s">
        <v>265</v>
      </c>
      <c r="D45" s="240">
        <v>6348</v>
      </c>
      <c r="E45" s="240">
        <v>4177</v>
      </c>
      <c r="F45" s="240">
        <v>2171</v>
      </c>
      <c r="G45" s="240">
        <v>529</v>
      </c>
      <c r="H45" s="240">
        <v>1642</v>
      </c>
      <c r="I45" s="240"/>
      <c r="J45" s="1155">
        <f t="shared" si="23"/>
        <v>0.65800252047889096</v>
      </c>
      <c r="K45" s="1155">
        <f t="shared" si="24"/>
        <v>0.34199747952110904</v>
      </c>
      <c r="L45" s="1155">
        <f t="shared" si="25"/>
        <v>8.3333333333333329E-2</v>
      </c>
      <c r="M45" s="1155">
        <f t="shared" si="26"/>
        <v>0.25866414618777567</v>
      </c>
      <c r="O45" s="1156">
        <f t="shared" si="27"/>
        <v>1587</v>
      </c>
      <c r="P45" s="1156">
        <v>951</v>
      </c>
      <c r="Q45" s="1156">
        <v>636</v>
      </c>
      <c r="R45" s="1156">
        <v>159</v>
      </c>
      <c r="S45" s="1156">
        <v>477</v>
      </c>
      <c r="U45" s="1157">
        <f t="shared" si="28"/>
        <v>0.59924385633270316</v>
      </c>
      <c r="V45" s="1157">
        <f t="shared" si="29"/>
        <v>0.40075614366729678</v>
      </c>
      <c r="W45" s="1157">
        <f t="shared" si="30"/>
        <v>0.1001890359168242</v>
      </c>
      <c r="X45" s="1157">
        <f t="shared" si="31"/>
        <v>0.30056710775047257</v>
      </c>
    </row>
    <row r="46" spans="1:24" ht="13.5" customHeight="1" x14ac:dyDescent="0.25">
      <c r="A46" s="149" t="s">
        <v>108</v>
      </c>
      <c r="B46" s="186" t="s">
        <v>109</v>
      </c>
      <c r="C46" s="150" t="s">
        <v>266</v>
      </c>
      <c r="D46" s="240">
        <v>21235</v>
      </c>
      <c r="E46" s="240">
        <v>17508</v>
      </c>
      <c r="F46" s="240">
        <v>3727</v>
      </c>
      <c r="G46" s="240">
        <v>930</v>
      </c>
      <c r="H46" s="240">
        <v>2797</v>
      </c>
      <c r="I46" s="240"/>
      <c r="J46" s="1155">
        <f t="shared" si="23"/>
        <v>0.82448787379326582</v>
      </c>
      <c r="K46" s="1155">
        <f t="shared" si="24"/>
        <v>0.17551212620673418</v>
      </c>
      <c r="L46" s="1155">
        <f t="shared" si="25"/>
        <v>4.3795620437956206E-2</v>
      </c>
      <c r="M46" s="1155">
        <f t="shared" si="26"/>
        <v>0.13171650576877797</v>
      </c>
      <c r="O46" s="1156">
        <f t="shared" si="27"/>
        <v>5308</v>
      </c>
      <c r="P46" s="1156">
        <v>4449</v>
      </c>
      <c r="Q46" s="1156">
        <v>859</v>
      </c>
      <c r="R46" s="1156">
        <v>197</v>
      </c>
      <c r="S46" s="1156">
        <v>662</v>
      </c>
      <c r="U46" s="1157">
        <f t="shared" si="28"/>
        <v>0.83816880180859077</v>
      </c>
      <c r="V46" s="1157">
        <f t="shared" si="29"/>
        <v>0.1618311981914092</v>
      </c>
      <c r="W46" s="1157">
        <f t="shared" si="30"/>
        <v>3.711379050489827E-2</v>
      </c>
      <c r="X46" s="1157">
        <f t="shared" si="31"/>
        <v>0.12471740768651093</v>
      </c>
    </row>
    <row r="47" spans="1:24" ht="13.5" customHeight="1" x14ac:dyDescent="0.25">
      <c r="A47" s="149" t="s">
        <v>110</v>
      </c>
      <c r="B47" s="186" t="s">
        <v>111</v>
      </c>
      <c r="C47" s="150" t="s">
        <v>266</v>
      </c>
      <c r="D47" s="240">
        <v>67843</v>
      </c>
      <c r="E47" s="240">
        <v>46080</v>
      </c>
      <c r="F47" s="240">
        <v>21763</v>
      </c>
      <c r="G47" s="240">
        <v>3825</v>
      </c>
      <c r="H47" s="240">
        <v>17938</v>
      </c>
      <c r="I47" s="240"/>
      <c r="J47" s="1155">
        <f t="shared" si="23"/>
        <v>0.67921524696726265</v>
      </c>
      <c r="K47" s="1155">
        <f t="shared" si="24"/>
        <v>0.32078475303273735</v>
      </c>
      <c r="L47" s="1155">
        <f t="shared" si="25"/>
        <v>5.6380171867399735E-2</v>
      </c>
      <c r="M47" s="1155">
        <f t="shared" si="26"/>
        <v>0.2644045811653376</v>
      </c>
      <c r="O47" s="1156">
        <f t="shared" si="27"/>
        <v>21605</v>
      </c>
      <c r="P47" s="1156">
        <v>15231</v>
      </c>
      <c r="Q47" s="1156">
        <v>6374</v>
      </c>
      <c r="R47" s="1156">
        <v>1458</v>
      </c>
      <c r="S47" s="1156">
        <v>4916</v>
      </c>
      <c r="U47" s="1157">
        <f t="shared" si="28"/>
        <v>0.70497570006942833</v>
      </c>
      <c r="V47" s="1157">
        <f t="shared" si="29"/>
        <v>0.29502429993057161</v>
      </c>
      <c r="W47" s="1157">
        <f t="shared" si="30"/>
        <v>6.7484378616061103E-2</v>
      </c>
      <c r="X47" s="1157">
        <f t="shared" si="31"/>
        <v>0.22753992131451053</v>
      </c>
    </row>
    <row r="48" spans="1:24" ht="13.5" customHeight="1" x14ac:dyDescent="0.25">
      <c r="A48" s="149" t="s">
        <v>112</v>
      </c>
      <c r="B48" s="186" t="s">
        <v>300</v>
      </c>
      <c r="C48" s="150" t="s">
        <v>265</v>
      </c>
      <c r="D48" s="240">
        <v>11807</v>
      </c>
      <c r="E48" s="240">
        <v>6846</v>
      </c>
      <c r="F48" s="240">
        <v>4961</v>
      </c>
      <c r="G48" s="240">
        <v>727</v>
      </c>
      <c r="H48" s="240">
        <v>4234</v>
      </c>
      <c r="I48" s="240"/>
      <c r="J48" s="1155">
        <f t="shared" si="23"/>
        <v>0.57982552722960956</v>
      </c>
      <c r="K48" s="1155">
        <f t="shared" si="24"/>
        <v>0.42017447277039044</v>
      </c>
      <c r="L48" s="1155">
        <f t="shared" si="25"/>
        <v>6.1573642754298295E-2</v>
      </c>
      <c r="M48" s="1155">
        <f t="shared" si="26"/>
        <v>0.35860083001609216</v>
      </c>
      <c r="O48" s="1156">
        <f t="shared" si="27"/>
        <v>3698</v>
      </c>
      <c r="P48" s="1156">
        <v>2076</v>
      </c>
      <c r="Q48" s="1156">
        <v>1622</v>
      </c>
      <c r="R48" s="1156">
        <v>187</v>
      </c>
      <c r="S48" s="1156">
        <v>1435</v>
      </c>
      <c r="U48" s="1157">
        <f t="shared" si="28"/>
        <v>0.56138453217955653</v>
      </c>
      <c r="V48" s="1157">
        <f t="shared" si="29"/>
        <v>0.43861546782044347</v>
      </c>
      <c r="W48" s="1157">
        <f t="shared" si="30"/>
        <v>5.056787452677123E-2</v>
      </c>
      <c r="X48" s="1157">
        <f t="shared" si="31"/>
        <v>0.38804759329367228</v>
      </c>
    </row>
    <row r="49" spans="1:24" ht="13.5" customHeight="1" x14ac:dyDescent="0.25">
      <c r="A49" s="149" t="s">
        <v>114</v>
      </c>
      <c r="B49" s="186" t="s">
        <v>115</v>
      </c>
      <c r="C49" s="150" t="s">
        <v>265</v>
      </c>
      <c r="D49" s="240">
        <v>213</v>
      </c>
      <c r="E49" s="240">
        <v>172</v>
      </c>
      <c r="F49" s="240">
        <v>41</v>
      </c>
      <c r="G49" s="240">
        <v>9</v>
      </c>
      <c r="H49" s="240">
        <v>32</v>
      </c>
      <c r="I49" s="240"/>
      <c r="J49" s="1155">
        <f t="shared" si="23"/>
        <v>0.80751173708920188</v>
      </c>
      <c r="K49" s="1155">
        <f t="shared" si="24"/>
        <v>0.19248826291079812</v>
      </c>
      <c r="L49" s="1155">
        <f t="shared" si="25"/>
        <v>4.2253521126760563E-2</v>
      </c>
      <c r="M49" s="1155">
        <f t="shared" si="26"/>
        <v>0.15023474178403756</v>
      </c>
      <c r="O49" s="1156">
        <f t="shared" si="27"/>
        <v>76</v>
      </c>
      <c r="P49" s="1156">
        <v>51</v>
      </c>
      <c r="Q49" s="1156">
        <v>25</v>
      </c>
      <c r="R49" s="1156">
        <v>0</v>
      </c>
      <c r="S49" s="1156">
        <v>25</v>
      </c>
      <c r="U49" s="1157">
        <f t="shared" si="28"/>
        <v>0.67105263157894735</v>
      </c>
      <c r="V49" s="1157">
        <f t="shared" si="29"/>
        <v>0.32894736842105265</v>
      </c>
      <c r="W49" s="1157">
        <f t="shared" si="30"/>
        <v>0</v>
      </c>
      <c r="X49" s="1157">
        <f t="shared" si="31"/>
        <v>0.32894736842105265</v>
      </c>
    </row>
    <row r="50" spans="1:24" ht="13.5" customHeight="1" x14ac:dyDescent="0.25">
      <c r="A50" s="149" t="s">
        <v>118</v>
      </c>
      <c r="B50" s="186" t="s">
        <v>270</v>
      </c>
      <c r="C50" s="150" t="s">
        <v>264</v>
      </c>
      <c r="D50" s="240">
        <v>6836</v>
      </c>
      <c r="E50" s="240">
        <v>5142</v>
      </c>
      <c r="F50" s="240">
        <v>1694</v>
      </c>
      <c r="G50" s="240">
        <v>366</v>
      </c>
      <c r="H50" s="240">
        <v>1328</v>
      </c>
      <c r="I50" s="240"/>
      <c r="J50" s="1155">
        <f t="shared" si="23"/>
        <v>0.75219426565242831</v>
      </c>
      <c r="K50" s="1155">
        <f t="shared" si="24"/>
        <v>0.24780573434757167</v>
      </c>
      <c r="L50" s="1155">
        <f t="shared" si="25"/>
        <v>5.3540081919251026E-2</v>
      </c>
      <c r="M50" s="1155">
        <f t="shared" si="26"/>
        <v>0.19426565242832067</v>
      </c>
      <c r="O50" s="1156">
        <f t="shared" si="27"/>
        <v>1927</v>
      </c>
      <c r="P50" s="1156">
        <v>1436</v>
      </c>
      <c r="Q50" s="1156">
        <v>491</v>
      </c>
      <c r="R50" s="1156">
        <v>102</v>
      </c>
      <c r="S50" s="1156">
        <v>389</v>
      </c>
      <c r="U50" s="1157">
        <f t="shared" si="28"/>
        <v>0.74519979242345613</v>
      </c>
      <c r="V50" s="1157">
        <f t="shared" si="29"/>
        <v>0.25480020757654387</v>
      </c>
      <c r="W50" s="1157">
        <f t="shared" si="30"/>
        <v>5.2932018681888945E-2</v>
      </c>
      <c r="X50" s="1157">
        <f t="shared" si="31"/>
        <v>0.20186818889465491</v>
      </c>
    </row>
    <row r="51" spans="1:24" ht="13.5" customHeight="1" x14ac:dyDescent="0.25">
      <c r="A51" s="149" t="s">
        <v>120</v>
      </c>
      <c r="B51" s="186" t="s">
        <v>121</v>
      </c>
      <c r="C51" s="150" t="s">
        <v>264</v>
      </c>
      <c r="D51" s="240">
        <v>13381</v>
      </c>
      <c r="E51" s="240">
        <v>10233</v>
      </c>
      <c r="F51" s="240">
        <v>3148</v>
      </c>
      <c r="G51" s="240">
        <v>852</v>
      </c>
      <c r="H51" s="240">
        <v>2296</v>
      </c>
      <c r="I51" s="240"/>
      <c r="J51" s="1155">
        <f t="shared" si="23"/>
        <v>0.76474105074359167</v>
      </c>
      <c r="K51" s="1155">
        <f t="shared" si="24"/>
        <v>0.23525894925640833</v>
      </c>
      <c r="L51" s="1155">
        <f t="shared" si="25"/>
        <v>6.3672371272700104E-2</v>
      </c>
      <c r="M51" s="1155">
        <f t="shared" si="26"/>
        <v>0.17158657798370824</v>
      </c>
      <c r="O51" s="1156">
        <f t="shared" si="27"/>
        <v>3912</v>
      </c>
      <c r="P51" s="1156">
        <v>2822</v>
      </c>
      <c r="Q51" s="1156">
        <v>1090</v>
      </c>
      <c r="R51" s="1156">
        <v>361</v>
      </c>
      <c r="S51" s="1156">
        <v>729</v>
      </c>
      <c r="U51" s="1157">
        <f t="shared" si="28"/>
        <v>0.72137014314928427</v>
      </c>
      <c r="V51" s="1157">
        <f t="shared" si="29"/>
        <v>0.27862985685071573</v>
      </c>
      <c r="W51" s="1157">
        <f t="shared" si="30"/>
        <v>9.2280163599182008E-2</v>
      </c>
      <c r="X51" s="1157">
        <f t="shared" si="31"/>
        <v>0.18634969325153375</v>
      </c>
    </row>
    <row r="52" spans="1:24" ht="13.5" customHeight="1" x14ac:dyDescent="0.25">
      <c r="A52" s="149" t="s">
        <v>122</v>
      </c>
      <c r="B52" s="186" t="s">
        <v>271</v>
      </c>
      <c r="C52" s="150" t="s">
        <v>266</v>
      </c>
      <c r="D52" s="240">
        <v>1043</v>
      </c>
      <c r="E52" s="240">
        <v>647</v>
      </c>
      <c r="F52" s="240">
        <v>396</v>
      </c>
      <c r="G52" s="240">
        <v>0</v>
      </c>
      <c r="H52" s="240">
        <v>396</v>
      </c>
      <c r="I52" s="240"/>
      <c r="J52" s="1155">
        <f t="shared" si="23"/>
        <v>0.62032598274209017</v>
      </c>
      <c r="K52" s="1155">
        <f t="shared" si="24"/>
        <v>0.37967401725790989</v>
      </c>
      <c r="L52" s="1155">
        <f t="shared" si="25"/>
        <v>0</v>
      </c>
      <c r="M52" s="1155">
        <f t="shared" si="26"/>
        <v>0.37967401725790989</v>
      </c>
      <c r="O52" s="1156">
        <f t="shared" si="27"/>
        <v>317</v>
      </c>
      <c r="P52" s="1156">
        <v>259</v>
      </c>
      <c r="Q52" s="1156">
        <v>58</v>
      </c>
      <c r="R52" s="1156">
        <v>0</v>
      </c>
      <c r="S52" s="1156">
        <v>58</v>
      </c>
      <c r="U52" s="1157">
        <f t="shared" si="28"/>
        <v>0.81703470031545744</v>
      </c>
      <c r="V52" s="1157">
        <f t="shared" si="29"/>
        <v>0.18296529968454259</v>
      </c>
      <c r="W52" s="1157">
        <f t="shared" si="30"/>
        <v>0</v>
      </c>
      <c r="X52" s="1157">
        <f t="shared" si="31"/>
        <v>0.18296529968454259</v>
      </c>
    </row>
    <row r="53" spans="1:24" ht="13.5" customHeight="1" x14ac:dyDescent="0.25">
      <c r="A53" s="149" t="s">
        <v>124</v>
      </c>
      <c r="B53" s="186" t="s">
        <v>125</v>
      </c>
      <c r="C53" s="150" t="s">
        <v>267</v>
      </c>
      <c r="D53" s="240">
        <v>5508</v>
      </c>
      <c r="E53" s="240">
        <v>4416</v>
      </c>
      <c r="F53" s="240">
        <v>1092</v>
      </c>
      <c r="G53" s="240">
        <v>517</v>
      </c>
      <c r="H53" s="240">
        <v>575</v>
      </c>
      <c r="I53" s="240"/>
      <c r="J53" s="1155">
        <f t="shared" si="23"/>
        <v>0.80174291938997821</v>
      </c>
      <c r="K53" s="1155">
        <f t="shared" si="24"/>
        <v>0.19825708061002179</v>
      </c>
      <c r="L53" s="1155">
        <f t="shared" si="25"/>
        <v>9.3863471314451705E-2</v>
      </c>
      <c r="M53" s="1155">
        <f t="shared" si="26"/>
        <v>0.10439360929557008</v>
      </c>
      <c r="O53" s="1156">
        <f t="shared" si="27"/>
        <v>1712</v>
      </c>
      <c r="P53" s="1156">
        <v>1425</v>
      </c>
      <c r="Q53" s="1156">
        <v>287</v>
      </c>
      <c r="R53" s="1156">
        <v>105</v>
      </c>
      <c r="S53" s="1156">
        <v>182</v>
      </c>
      <c r="U53" s="1157">
        <f t="shared" si="28"/>
        <v>0.83235981308411211</v>
      </c>
      <c r="V53" s="1157">
        <f t="shared" si="29"/>
        <v>0.16764018691588786</v>
      </c>
      <c r="W53" s="1157">
        <f t="shared" si="30"/>
        <v>6.1331775700934579E-2</v>
      </c>
      <c r="X53" s="1157">
        <f t="shared" si="31"/>
        <v>0.10630841121495327</v>
      </c>
    </row>
    <row r="54" spans="1:24" ht="13.5" customHeight="1" x14ac:dyDescent="0.25">
      <c r="A54" s="149" t="s">
        <v>126</v>
      </c>
      <c r="B54" s="186" t="s">
        <v>127</v>
      </c>
      <c r="C54" s="150" t="s">
        <v>266</v>
      </c>
      <c r="D54" s="240">
        <v>3489</v>
      </c>
      <c r="E54" s="240">
        <v>2538</v>
      </c>
      <c r="F54" s="240">
        <v>951</v>
      </c>
      <c r="G54" s="240">
        <v>320</v>
      </c>
      <c r="H54" s="240">
        <v>631</v>
      </c>
      <c r="I54" s="240"/>
      <c r="J54" s="1155">
        <f t="shared" si="23"/>
        <v>0.72742906276870167</v>
      </c>
      <c r="K54" s="1155">
        <f t="shared" si="24"/>
        <v>0.27257093723129838</v>
      </c>
      <c r="L54" s="1155">
        <f t="shared" si="25"/>
        <v>9.1716824304958436E-2</v>
      </c>
      <c r="M54" s="1155">
        <f t="shared" si="26"/>
        <v>0.18085411292633993</v>
      </c>
      <c r="O54" s="1156">
        <f t="shared" si="27"/>
        <v>982</v>
      </c>
      <c r="P54" s="1156">
        <v>733</v>
      </c>
      <c r="Q54" s="1156">
        <v>249</v>
      </c>
      <c r="R54" s="1156">
        <v>99</v>
      </c>
      <c r="S54" s="1156">
        <v>150</v>
      </c>
      <c r="U54" s="1157">
        <f t="shared" si="28"/>
        <v>0.74643584521384931</v>
      </c>
      <c r="V54" s="1157">
        <f t="shared" si="29"/>
        <v>0.25356415478615069</v>
      </c>
      <c r="W54" s="1157">
        <f t="shared" si="30"/>
        <v>0.10081466395112017</v>
      </c>
      <c r="X54" s="1157">
        <f t="shared" si="31"/>
        <v>0.15274949083503056</v>
      </c>
    </row>
    <row r="55" spans="1:24" ht="13.5" customHeight="1" x14ac:dyDescent="0.25">
      <c r="A55" s="149" t="s">
        <v>128</v>
      </c>
      <c r="B55" s="186" t="s">
        <v>129</v>
      </c>
      <c r="C55" s="150" t="s">
        <v>266</v>
      </c>
      <c r="D55" s="240">
        <v>1428</v>
      </c>
      <c r="E55" s="240">
        <v>815</v>
      </c>
      <c r="F55" s="240">
        <v>613</v>
      </c>
      <c r="G55" s="240">
        <v>183</v>
      </c>
      <c r="H55" s="240">
        <v>430</v>
      </c>
      <c r="I55" s="240"/>
      <c r="J55" s="1155">
        <f t="shared" si="23"/>
        <v>0.57072829131652658</v>
      </c>
      <c r="K55" s="1155">
        <f t="shared" si="24"/>
        <v>0.42927170868347336</v>
      </c>
      <c r="L55" s="1155">
        <f t="shared" si="25"/>
        <v>0.12815126050420167</v>
      </c>
      <c r="M55" s="1155">
        <f t="shared" si="26"/>
        <v>0.30112044817927169</v>
      </c>
      <c r="O55" s="1156">
        <f t="shared" si="27"/>
        <v>381</v>
      </c>
      <c r="P55" s="1156">
        <v>156</v>
      </c>
      <c r="Q55" s="1156">
        <v>225</v>
      </c>
      <c r="R55" s="1156">
        <v>76</v>
      </c>
      <c r="S55" s="1156">
        <v>149</v>
      </c>
      <c r="U55" s="1157">
        <f t="shared" si="28"/>
        <v>0.40944881889763779</v>
      </c>
      <c r="V55" s="1157">
        <f t="shared" si="29"/>
        <v>0.59055118110236215</v>
      </c>
      <c r="W55" s="1157">
        <f t="shared" si="30"/>
        <v>0.1994750656167979</v>
      </c>
      <c r="X55" s="1157">
        <f t="shared" si="31"/>
        <v>0.39107611548556431</v>
      </c>
    </row>
    <row r="56" spans="1:24" ht="13.5" customHeight="1" x14ac:dyDescent="0.25">
      <c r="A56" s="149" t="s">
        <v>130</v>
      </c>
      <c r="B56" s="186" t="s">
        <v>131</v>
      </c>
      <c r="C56" s="150" t="s">
        <v>268</v>
      </c>
      <c r="D56" s="240">
        <v>4049</v>
      </c>
      <c r="E56" s="240">
        <v>2950</v>
      </c>
      <c r="F56" s="240">
        <v>1099</v>
      </c>
      <c r="G56" s="240">
        <v>397</v>
      </c>
      <c r="H56" s="240">
        <v>702</v>
      </c>
      <c r="I56" s="240"/>
      <c r="J56" s="1155">
        <f t="shared" si="23"/>
        <v>0.72857495677945172</v>
      </c>
      <c r="K56" s="1155">
        <f t="shared" si="24"/>
        <v>0.27142504322054828</v>
      </c>
      <c r="L56" s="1155">
        <f t="shared" si="25"/>
        <v>9.8048900963200791E-2</v>
      </c>
      <c r="M56" s="1155">
        <f t="shared" si="26"/>
        <v>0.17337614225734749</v>
      </c>
      <c r="O56" s="1156">
        <f t="shared" si="27"/>
        <v>1129</v>
      </c>
      <c r="P56" s="1156">
        <v>763</v>
      </c>
      <c r="Q56" s="1156">
        <v>366</v>
      </c>
      <c r="R56" s="1156">
        <v>194</v>
      </c>
      <c r="S56" s="1156">
        <v>172</v>
      </c>
      <c r="U56" s="1157">
        <f t="shared" si="28"/>
        <v>0.67581930912311783</v>
      </c>
      <c r="V56" s="1157">
        <f t="shared" si="29"/>
        <v>0.32418069087688217</v>
      </c>
      <c r="W56" s="1157">
        <f t="shared" si="30"/>
        <v>0.17183348095659876</v>
      </c>
      <c r="X56" s="1157">
        <f t="shared" si="31"/>
        <v>0.15234720992028344</v>
      </c>
    </row>
    <row r="57" spans="1:24" ht="13.5" customHeight="1" x14ac:dyDescent="0.25">
      <c r="A57" s="149" t="s">
        <v>132</v>
      </c>
      <c r="B57" s="186" t="s">
        <v>133</v>
      </c>
      <c r="C57" s="150" t="s">
        <v>267</v>
      </c>
      <c r="D57" s="240">
        <v>100108</v>
      </c>
      <c r="E57" s="240">
        <v>87087</v>
      </c>
      <c r="F57" s="240">
        <v>13021</v>
      </c>
      <c r="G57" s="240">
        <v>3383</v>
      </c>
      <c r="H57" s="240">
        <v>9638</v>
      </c>
      <c r="I57" s="240"/>
      <c r="J57" s="1155">
        <f t="shared" si="23"/>
        <v>0.86993047508690613</v>
      </c>
      <c r="K57" s="1155">
        <f t="shared" si="24"/>
        <v>0.13006952491309387</v>
      </c>
      <c r="L57" s="1155">
        <f t="shared" si="25"/>
        <v>3.3793503016741916E-2</v>
      </c>
      <c r="M57" s="1155">
        <f t="shared" si="26"/>
        <v>9.627602189635194E-2</v>
      </c>
      <c r="O57" s="1156">
        <f t="shared" si="27"/>
        <v>31363</v>
      </c>
      <c r="P57" s="1156">
        <v>28556</v>
      </c>
      <c r="Q57" s="1156">
        <v>2807</v>
      </c>
      <c r="R57" s="1156">
        <v>774</v>
      </c>
      <c r="S57" s="1156">
        <v>2033</v>
      </c>
      <c r="U57" s="1157">
        <f t="shared" si="28"/>
        <v>0.91049963332589356</v>
      </c>
      <c r="V57" s="1157">
        <f t="shared" si="29"/>
        <v>8.9500366674106435E-2</v>
      </c>
      <c r="W57" s="1157">
        <f t="shared" si="30"/>
        <v>2.467876159806141E-2</v>
      </c>
      <c r="X57" s="1157">
        <f t="shared" si="31"/>
        <v>6.4821605076045022E-2</v>
      </c>
    </row>
    <row r="58" spans="1:24" ht="13.5" customHeight="1" x14ac:dyDescent="0.25">
      <c r="A58" s="149" t="s">
        <v>134</v>
      </c>
      <c r="B58" s="186" t="s">
        <v>135</v>
      </c>
      <c r="C58" s="150" t="s">
        <v>267</v>
      </c>
      <c r="D58" s="240">
        <v>6324</v>
      </c>
      <c r="E58" s="240">
        <v>4629</v>
      </c>
      <c r="F58" s="240">
        <v>1695</v>
      </c>
      <c r="G58" s="240">
        <v>487</v>
      </c>
      <c r="H58" s="240">
        <v>1208</v>
      </c>
      <c r="I58" s="240"/>
      <c r="J58" s="1155">
        <f t="shared" si="23"/>
        <v>0.73197343453510433</v>
      </c>
      <c r="K58" s="1155">
        <f t="shared" si="24"/>
        <v>0.26802656546489562</v>
      </c>
      <c r="L58" s="1155">
        <f t="shared" si="25"/>
        <v>7.7008222643896271E-2</v>
      </c>
      <c r="M58" s="1155">
        <f t="shared" si="26"/>
        <v>0.19101834282099936</v>
      </c>
      <c r="O58" s="1156">
        <f t="shared" si="27"/>
        <v>1856</v>
      </c>
      <c r="P58" s="1156">
        <v>1391</v>
      </c>
      <c r="Q58" s="1156">
        <v>465</v>
      </c>
      <c r="R58" s="1156">
        <v>104</v>
      </c>
      <c r="S58" s="1156">
        <v>361</v>
      </c>
      <c r="U58" s="1157">
        <f t="shared" si="28"/>
        <v>0.74946120689655171</v>
      </c>
      <c r="V58" s="1157">
        <f t="shared" si="29"/>
        <v>0.25053879310344829</v>
      </c>
      <c r="W58" s="1157">
        <f t="shared" si="30"/>
        <v>5.6034482758620691E-2</v>
      </c>
      <c r="X58" s="1157">
        <f t="shared" si="31"/>
        <v>0.1945043103448276</v>
      </c>
    </row>
    <row r="59" spans="1:24" ht="13.5" customHeight="1" x14ac:dyDescent="0.25">
      <c r="A59" s="149" t="s">
        <v>136</v>
      </c>
      <c r="B59" s="186" t="s">
        <v>137</v>
      </c>
      <c r="C59" s="150" t="s">
        <v>266</v>
      </c>
      <c r="D59" s="240">
        <v>1893</v>
      </c>
      <c r="E59" s="240">
        <v>1052</v>
      </c>
      <c r="F59" s="240">
        <v>841</v>
      </c>
      <c r="G59" s="240">
        <v>260</v>
      </c>
      <c r="H59" s="240">
        <v>581</v>
      </c>
      <c r="I59" s="240"/>
      <c r="J59" s="1155">
        <f t="shared" si="23"/>
        <v>0.55573164289487587</v>
      </c>
      <c r="K59" s="1155">
        <f t="shared" si="24"/>
        <v>0.44426835710512413</v>
      </c>
      <c r="L59" s="1155">
        <f t="shared" si="25"/>
        <v>0.13734812466983623</v>
      </c>
      <c r="M59" s="1155">
        <f t="shared" si="26"/>
        <v>0.30692023243528788</v>
      </c>
      <c r="O59" s="1156">
        <f t="shared" si="27"/>
        <v>668</v>
      </c>
      <c r="P59" s="1156">
        <v>348</v>
      </c>
      <c r="Q59" s="1156">
        <v>320</v>
      </c>
      <c r="R59" s="1156">
        <v>143</v>
      </c>
      <c r="S59" s="1156">
        <v>177</v>
      </c>
      <c r="U59" s="1157">
        <f t="shared" si="28"/>
        <v>0.52095808383233533</v>
      </c>
      <c r="V59" s="1157">
        <f t="shared" si="29"/>
        <v>0.47904191616766467</v>
      </c>
      <c r="W59" s="1157">
        <f t="shared" si="30"/>
        <v>0.21407185628742514</v>
      </c>
      <c r="X59" s="1157">
        <f t="shared" si="31"/>
        <v>0.26497005988023953</v>
      </c>
    </row>
    <row r="60" spans="1:24" ht="13.5" customHeight="1" x14ac:dyDescent="0.25">
      <c r="A60" s="149" t="s">
        <v>140</v>
      </c>
      <c r="B60" s="186" t="s">
        <v>141</v>
      </c>
      <c r="C60" s="150" t="s">
        <v>267</v>
      </c>
      <c r="D60" s="240">
        <v>2533</v>
      </c>
      <c r="E60" s="240">
        <v>1626</v>
      </c>
      <c r="F60" s="240">
        <v>907</v>
      </c>
      <c r="G60" s="240">
        <v>145</v>
      </c>
      <c r="H60" s="240">
        <v>762</v>
      </c>
      <c r="I60" s="240"/>
      <c r="J60" s="1155">
        <f t="shared" si="23"/>
        <v>0.64192656928543235</v>
      </c>
      <c r="K60" s="1155">
        <f t="shared" si="24"/>
        <v>0.35807343071456771</v>
      </c>
      <c r="L60" s="1155">
        <f t="shared" si="25"/>
        <v>5.7244374259771025E-2</v>
      </c>
      <c r="M60" s="1155">
        <f t="shared" si="26"/>
        <v>0.30082905645479668</v>
      </c>
      <c r="O60" s="1156">
        <f t="shared" si="27"/>
        <v>685</v>
      </c>
      <c r="P60" s="1156">
        <v>512</v>
      </c>
      <c r="Q60" s="1156">
        <v>173</v>
      </c>
      <c r="R60" s="1156">
        <v>18</v>
      </c>
      <c r="S60" s="1156">
        <v>155</v>
      </c>
      <c r="U60" s="1157">
        <f t="shared" si="28"/>
        <v>0.74744525547445251</v>
      </c>
      <c r="V60" s="1157">
        <f t="shared" si="29"/>
        <v>0.25255474452554744</v>
      </c>
      <c r="W60" s="1157">
        <f t="shared" si="30"/>
        <v>2.6277372262773723E-2</v>
      </c>
      <c r="X60" s="1157">
        <f t="shared" si="31"/>
        <v>0.22627737226277372</v>
      </c>
    </row>
    <row r="61" spans="1:24" ht="13.5" customHeight="1" x14ac:dyDescent="0.25">
      <c r="A61" s="149" t="s">
        <v>146</v>
      </c>
      <c r="B61" s="186" t="s">
        <v>147</v>
      </c>
      <c r="C61" s="150" t="s">
        <v>264</v>
      </c>
      <c r="D61" s="240">
        <v>1359</v>
      </c>
      <c r="E61" s="240">
        <v>968</v>
      </c>
      <c r="F61" s="240">
        <v>391</v>
      </c>
      <c r="G61" s="240">
        <v>78</v>
      </c>
      <c r="H61" s="240">
        <v>313</v>
      </c>
      <c r="I61" s="240"/>
      <c r="J61" s="1155">
        <f t="shared" si="23"/>
        <v>0.71228844738778518</v>
      </c>
      <c r="K61" s="1155">
        <f t="shared" si="24"/>
        <v>0.28771155261221487</v>
      </c>
      <c r="L61" s="1155">
        <f t="shared" si="25"/>
        <v>5.7395143487858721E-2</v>
      </c>
      <c r="M61" s="1155">
        <f t="shared" si="26"/>
        <v>0.23031640912435614</v>
      </c>
      <c r="O61" s="1156">
        <f t="shared" si="27"/>
        <v>260</v>
      </c>
      <c r="P61" s="1156">
        <v>174</v>
      </c>
      <c r="Q61" s="1156">
        <v>86</v>
      </c>
      <c r="R61" s="1156">
        <v>33</v>
      </c>
      <c r="S61" s="1156">
        <v>53</v>
      </c>
      <c r="U61" s="1157">
        <f t="shared" si="28"/>
        <v>0.66923076923076918</v>
      </c>
      <c r="V61" s="1157">
        <f t="shared" si="29"/>
        <v>0.33076923076923076</v>
      </c>
      <c r="W61" s="1157">
        <f t="shared" si="30"/>
        <v>0.12692307692307692</v>
      </c>
      <c r="X61" s="1157">
        <f t="shared" si="31"/>
        <v>0.20384615384615384</v>
      </c>
    </row>
    <row r="62" spans="1:24" ht="13.5" customHeight="1" x14ac:dyDescent="0.25">
      <c r="A62" s="149" t="s">
        <v>148</v>
      </c>
      <c r="B62" s="186" t="s">
        <v>149</v>
      </c>
      <c r="C62" s="150" t="s">
        <v>265</v>
      </c>
      <c r="D62" s="240">
        <v>4657</v>
      </c>
      <c r="E62" s="240">
        <v>2934</v>
      </c>
      <c r="F62" s="240">
        <v>1723</v>
      </c>
      <c r="G62" s="240">
        <v>245</v>
      </c>
      <c r="H62" s="240">
        <v>1478</v>
      </c>
      <c r="I62" s="240"/>
      <c r="J62" s="1155">
        <f t="shared" si="23"/>
        <v>0.63001932574618857</v>
      </c>
      <c r="K62" s="1155">
        <f t="shared" si="24"/>
        <v>0.36998067425381148</v>
      </c>
      <c r="L62" s="1155">
        <f t="shared" si="25"/>
        <v>5.2608975735452007E-2</v>
      </c>
      <c r="M62" s="1155">
        <f t="shared" si="26"/>
        <v>0.31737169851835945</v>
      </c>
      <c r="O62" s="1156">
        <f t="shared" si="27"/>
        <v>1141</v>
      </c>
      <c r="P62" s="1156">
        <v>617</v>
      </c>
      <c r="Q62" s="1156">
        <v>524</v>
      </c>
      <c r="R62" s="1156">
        <v>142</v>
      </c>
      <c r="S62" s="1156">
        <v>382</v>
      </c>
      <c r="U62" s="1157">
        <f t="shared" si="28"/>
        <v>0.54075372480280459</v>
      </c>
      <c r="V62" s="1157">
        <f t="shared" si="29"/>
        <v>0.45924627519719546</v>
      </c>
      <c r="W62" s="1157">
        <f t="shared" si="30"/>
        <v>0.12445223488168274</v>
      </c>
      <c r="X62" s="1157">
        <f t="shared" si="31"/>
        <v>0.33479404031551269</v>
      </c>
    </row>
    <row r="63" spans="1:24" ht="13.5" customHeight="1" x14ac:dyDescent="0.25">
      <c r="A63" s="149" t="s">
        <v>150</v>
      </c>
      <c r="B63" s="186" t="s">
        <v>151</v>
      </c>
      <c r="C63" s="150" t="s">
        <v>266</v>
      </c>
      <c r="D63" s="240">
        <v>1224</v>
      </c>
      <c r="E63" s="240">
        <v>918</v>
      </c>
      <c r="F63" s="240">
        <v>306</v>
      </c>
      <c r="G63" s="240">
        <v>57</v>
      </c>
      <c r="H63" s="240">
        <v>249</v>
      </c>
      <c r="I63" s="240"/>
      <c r="J63" s="1155">
        <f t="shared" si="23"/>
        <v>0.75</v>
      </c>
      <c r="K63" s="1155">
        <f t="shared" si="24"/>
        <v>0.25</v>
      </c>
      <c r="L63" s="1155">
        <f t="shared" si="25"/>
        <v>4.6568627450980393E-2</v>
      </c>
      <c r="M63" s="1155">
        <f t="shared" si="26"/>
        <v>0.20343137254901961</v>
      </c>
      <c r="O63" s="1156">
        <f t="shared" si="27"/>
        <v>379</v>
      </c>
      <c r="P63" s="1156">
        <v>282</v>
      </c>
      <c r="Q63" s="1156">
        <v>97</v>
      </c>
      <c r="R63" s="1156">
        <v>52</v>
      </c>
      <c r="S63" s="1156">
        <v>45</v>
      </c>
      <c r="U63" s="1157">
        <f t="shared" si="28"/>
        <v>0.74406332453825863</v>
      </c>
      <c r="V63" s="1157">
        <f t="shared" si="29"/>
        <v>0.25593667546174143</v>
      </c>
      <c r="W63" s="1157">
        <f t="shared" si="30"/>
        <v>0.13720316622691292</v>
      </c>
      <c r="X63" s="1157">
        <f t="shared" si="31"/>
        <v>0.11873350923482849</v>
      </c>
    </row>
    <row r="64" spans="1:24" ht="13.5" customHeight="1" x14ac:dyDescent="0.25">
      <c r="A64" s="149" t="s">
        <v>152</v>
      </c>
      <c r="B64" s="186" t="s">
        <v>153</v>
      </c>
      <c r="C64" s="150" t="s">
        <v>268</v>
      </c>
      <c r="D64" s="240">
        <v>14523</v>
      </c>
      <c r="E64" s="240">
        <v>11349</v>
      </c>
      <c r="F64" s="240">
        <v>3174</v>
      </c>
      <c r="G64" s="240">
        <v>1173</v>
      </c>
      <c r="H64" s="240">
        <v>2001</v>
      </c>
      <c r="I64" s="240"/>
      <c r="J64" s="1155">
        <f t="shared" si="23"/>
        <v>0.78145011361288985</v>
      </c>
      <c r="K64" s="1155">
        <f t="shared" si="24"/>
        <v>0.21854988638711009</v>
      </c>
      <c r="L64" s="1155">
        <f t="shared" si="25"/>
        <v>8.076843627349721E-2</v>
      </c>
      <c r="M64" s="1155">
        <f t="shared" si="26"/>
        <v>0.1377814501136129</v>
      </c>
      <c r="O64" s="1156">
        <f t="shared" si="27"/>
        <v>4931</v>
      </c>
      <c r="P64" s="1156">
        <v>4198</v>
      </c>
      <c r="Q64" s="1156">
        <v>733</v>
      </c>
      <c r="R64" s="1156">
        <v>255</v>
      </c>
      <c r="S64" s="1156">
        <v>478</v>
      </c>
      <c r="U64" s="1157">
        <f t="shared" si="28"/>
        <v>0.85134861082944635</v>
      </c>
      <c r="V64" s="1157">
        <f t="shared" si="29"/>
        <v>0.14865138917055365</v>
      </c>
      <c r="W64" s="1157">
        <f t="shared" si="30"/>
        <v>5.1713648347191242E-2</v>
      </c>
      <c r="X64" s="1157">
        <f t="shared" si="31"/>
        <v>9.69377408233624E-2</v>
      </c>
    </row>
    <row r="65" spans="1:24" ht="13.5" customHeight="1" x14ac:dyDescent="0.25">
      <c r="A65" s="149" t="s">
        <v>154</v>
      </c>
      <c r="B65" s="186" t="s">
        <v>155</v>
      </c>
      <c r="C65" s="150" t="s">
        <v>265</v>
      </c>
      <c r="D65" s="240">
        <v>2180</v>
      </c>
      <c r="E65" s="240">
        <v>1012</v>
      </c>
      <c r="F65" s="240">
        <v>1168</v>
      </c>
      <c r="G65" s="240">
        <v>154</v>
      </c>
      <c r="H65" s="240">
        <v>1014</v>
      </c>
      <c r="I65" s="240"/>
      <c r="J65" s="1155">
        <f t="shared" si="23"/>
        <v>0.46422018348623856</v>
      </c>
      <c r="K65" s="1155">
        <f t="shared" si="24"/>
        <v>0.5357798165137615</v>
      </c>
      <c r="L65" s="1155">
        <f t="shared" si="25"/>
        <v>7.0642201834862389E-2</v>
      </c>
      <c r="M65" s="1155">
        <f t="shared" si="26"/>
        <v>0.46513761467889908</v>
      </c>
      <c r="O65" s="1156">
        <f t="shared" si="27"/>
        <v>581</v>
      </c>
      <c r="P65" s="1156">
        <v>416</v>
      </c>
      <c r="Q65" s="1156">
        <v>165</v>
      </c>
      <c r="R65" s="1156">
        <v>32</v>
      </c>
      <c r="S65" s="1156">
        <v>133</v>
      </c>
      <c r="U65" s="1157">
        <f t="shared" si="28"/>
        <v>0.71600688468158347</v>
      </c>
      <c r="V65" s="1157">
        <f t="shared" si="29"/>
        <v>0.28399311531841653</v>
      </c>
      <c r="W65" s="1157">
        <f t="shared" si="30"/>
        <v>5.5077452667814115E-2</v>
      </c>
      <c r="X65" s="1157">
        <f t="shared" si="31"/>
        <v>0.2289156626506024</v>
      </c>
    </row>
    <row r="66" spans="1:24" ht="13.5" customHeight="1" x14ac:dyDescent="0.25">
      <c r="A66" s="149" t="s">
        <v>156</v>
      </c>
      <c r="B66" s="186" t="s">
        <v>157</v>
      </c>
      <c r="C66" s="150" t="s">
        <v>266</v>
      </c>
      <c r="D66" s="240">
        <v>3840</v>
      </c>
      <c r="E66" s="240">
        <v>3074</v>
      </c>
      <c r="F66" s="240">
        <v>766</v>
      </c>
      <c r="G66" s="240">
        <v>56</v>
      </c>
      <c r="H66" s="240">
        <v>710</v>
      </c>
      <c r="I66" s="240"/>
      <c r="J66" s="1155">
        <f t="shared" si="23"/>
        <v>0.80052083333333335</v>
      </c>
      <c r="K66" s="1155">
        <f t="shared" si="24"/>
        <v>0.19947916666666668</v>
      </c>
      <c r="L66" s="1155">
        <f t="shared" si="25"/>
        <v>1.4583333333333334E-2</v>
      </c>
      <c r="M66" s="1155">
        <f t="shared" si="26"/>
        <v>0.18489583333333334</v>
      </c>
      <c r="O66" s="1156">
        <f t="shared" si="27"/>
        <v>1174</v>
      </c>
      <c r="P66" s="1156">
        <v>962</v>
      </c>
      <c r="Q66" s="1156">
        <v>212</v>
      </c>
      <c r="R66" s="1156">
        <v>39</v>
      </c>
      <c r="S66" s="1156">
        <v>173</v>
      </c>
      <c r="U66" s="1157">
        <f t="shared" si="28"/>
        <v>0.81942078364565585</v>
      </c>
      <c r="V66" s="1157">
        <f t="shared" si="29"/>
        <v>0.18057921635434412</v>
      </c>
      <c r="W66" s="1157">
        <f t="shared" si="30"/>
        <v>3.3219761499148209E-2</v>
      </c>
      <c r="X66" s="1157">
        <f t="shared" si="31"/>
        <v>0.14735945485519591</v>
      </c>
    </row>
    <row r="67" spans="1:24" ht="13.5" customHeight="1" x14ac:dyDescent="0.25">
      <c r="A67" s="149" t="s">
        <v>162</v>
      </c>
      <c r="B67" s="186" t="s">
        <v>163</v>
      </c>
      <c r="C67" s="150" t="s">
        <v>264</v>
      </c>
      <c r="D67" s="240">
        <v>1882</v>
      </c>
      <c r="E67" s="240">
        <v>933</v>
      </c>
      <c r="F67" s="240">
        <v>949</v>
      </c>
      <c r="G67" s="240">
        <v>138</v>
      </c>
      <c r="H67" s="240">
        <v>811</v>
      </c>
      <c r="I67" s="240"/>
      <c r="J67" s="1155">
        <f t="shared" si="23"/>
        <v>0.49574920297555791</v>
      </c>
      <c r="K67" s="1155">
        <f t="shared" si="24"/>
        <v>0.50425079702444209</v>
      </c>
      <c r="L67" s="1155">
        <f t="shared" si="25"/>
        <v>7.3326248671625932E-2</v>
      </c>
      <c r="M67" s="1155">
        <f t="shared" si="26"/>
        <v>0.43092454835281613</v>
      </c>
      <c r="O67" s="1156">
        <f t="shared" si="27"/>
        <v>699</v>
      </c>
      <c r="P67" s="1156">
        <v>235</v>
      </c>
      <c r="Q67" s="1156">
        <v>464</v>
      </c>
      <c r="R67" s="1156">
        <v>94</v>
      </c>
      <c r="S67" s="1156">
        <v>370</v>
      </c>
      <c r="U67" s="1157">
        <f t="shared" si="28"/>
        <v>0.33619456366237482</v>
      </c>
      <c r="V67" s="1157">
        <f t="shared" si="29"/>
        <v>0.66380543633762523</v>
      </c>
      <c r="W67" s="1157">
        <f t="shared" si="30"/>
        <v>0.13447782546494993</v>
      </c>
      <c r="X67" s="1157">
        <f t="shared" si="31"/>
        <v>0.52932761087267521</v>
      </c>
    </row>
    <row r="68" spans="1:24" ht="13.5" customHeight="1" x14ac:dyDescent="0.25">
      <c r="A68" s="149" t="s">
        <v>164</v>
      </c>
      <c r="B68" s="186" t="s">
        <v>165</v>
      </c>
      <c r="C68" s="150" t="s">
        <v>266</v>
      </c>
      <c r="D68" s="240">
        <v>1330</v>
      </c>
      <c r="E68" s="240">
        <v>884</v>
      </c>
      <c r="F68" s="240">
        <v>446</v>
      </c>
      <c r="G68" s="240">
        <v>258</v>
      </c>
      <c r="H68" s="240">
        <v>188</v>
      </c>
      <c r="I68" s="240"/>
      <c r="J68" s="1155">
        <f t="shared" si="23"/>
        <v>0.6646616541353384</v>
      </c>
      <c r="K68" s="1155">
        <f t="shared" si="24"/>
        <v>0.33533834586466166</v>
      </c>
      <c r="L68" s="1155">
        <f t="shared" si="25"/>
        <v>0.19398496240601504</v>
      </c>
      <c r="M68" s="1155">
        <f t="shared" si="26"/>
        <v>0.14135338345864662</v>
      </c>
      <c r="O68" s="1156">
        <f t="shared" si="27"/>
        <v>326</v>
      </c>
      <c r="P68" s="1156">
        <v>266</v>
      </c>
      <c r="Q68" s="1156">
        <v>60</v>
      </c>
      <c r="R68" s="1156">
        <v>0</v>
      </c>
      <c r="S68" s="1156">
        <v>60</v>
      </c>
      <c r="U68" s="1157">
        <f t="shared" si="28"/>
        <v>0.81595092024539873</v>
      </c>
      <c r="V68" s="1157">
        <f t="shared" si="29"/>
        <v>0.18404907975460122</v>
      </c>
      <c r="W68" s="1157">
        <f t="shared" si="30"/>
        <v>0</v>
      </c>
      <c r="X68" s="1157">
        <f t="shared" si="31"/>
        <v>0.18404907975460122</v>
      </c>
    </row>
    <row r="69" spans="1:24" ht="13.5" customHeight="1" x14ac:dyDescent="0.25">
      <c r="A69" s="149" t="s">
        <v>168</v>
      </c>
      <c r="B69" s="186" t="s">
        <v>169</v>
      </c>
      <c r="C69" s="150" t="s">
        <v>266</v>
      </c>
      <c r="D69" s="240">
        <v>2545</v>
      </c>
      <c r="E69" s="240">
        <v>1619</v>
      </c>
      <c r="F69" s="240">
        <v>926</v>
      </c>
      <c r="G69" s="240">
        <v>151</v>
      </c>
      <c r="H69" s="240">
        <v>775</v>
      </c>
      <c r="I69" s="240"/>
      <c r="J69" s="1155">
        <f t="shared" ref="J69:J100" si="32">E69/D69</f>
        <v>0.63614931237721017</v>
      </c>
      <c r="K69" s="1155">
        <f t="shared" ref="K69:K100" si="33">F69/D69</f>
        <v>0.36385068762278977</v>
      </c>
      <c r="L69" s="1155">
        <f t="shared" ref="L69:L100" si="34">G69/D69</f>
        <v>5.9332023575638507E-2</v>
      </c>
      <c r="M69" s="1155">
        <f t="shared" ref="M69:M100" si="35">H69/D69</f>
        <v>0.30451866404715128</v>
      </c>
      <c r="O69" s="1156">
        <f t="shared" ref="O69:O100" si="36">P69+Q69</f>
        <v>804</v>
      </c>
      <c r="P69" s="1156">
        <v>466</v>
      </c>
      <c r="Q69" s="1156">
        <v>338</v>
      </c>
      <c r="R69" s="1156">
        <v>8</v>
      </c>
      <c r="S69" s="1156">
        <v>330</v>
      </c>
      <c r="U69" s="1157">
        <f t="shared" ref="U69:U100" si="37">P69/O69</f>
        <v>0.57960199004975121</v>
      </c>
      <c r="V69" s="1157">
        <f t="shared" ref="V69:V100" si="38">Q69/O69</f>
        <v>0.42039800995024873</v>
      </c>
      <c r="W69" s="1157">
        <f t="shared" ref="W69:W100" si="39">R69/O69</f>
        <v>9.9502487562189053E-3</v>
      </c>
      <c r="X69" s="1157">
        <f t="shared" ref="X69:X100" si="40">S69/O69</f>
        <v>0.41044776119402987</v>
      </c>
    </row>
    <row r="70" spans="1:24" ht="13.5" customHeight="1" x14ac:dyDescent="0.25">
      <c r="A70" s="149" t="s">
        <v>170</v>
      </c>
      <c r="B70" s="186" t="s">
        <v>171</v>
      </c>
      <c r="C70" s="150" t="s">
        <v>267</v>
      </c>
      <c r="D70" s="240">
        <v>6907</v>
      </c>
      <c r="E70" s="240">
        <v>4580</v>
      </c>
      <c r="F70" s="240">
        <v>2327</v>
      </c>
      <c r="G70" s="240">
        <v>914</v>
      </c>
      <c r="H70" s="240">
        <v>1413</v>
      </c>
      <c r="I70" s="240"/>
      <c r="J70" s="1155">
        <f t="shared" si="32"/>
        <v>0.66309541045316345</v>
      </c>
      <c r="K70" s="1155">
        <f t="shared" si="33"/>
        <v>0.33690458954683655</v>
      </c>
      <c r="L70" s="1155">
        <f t="shared" si="34"/>
        <v>0.13232952077602433</v>
      </c>
      <c r="M70" s="1155">
        <f t="shared" si="35"/>
        <v>0.20457506877081222</v>
      </c>
      <c r="O70" s="1156">
        <f t="shared" si="36"/>
        <v>2244</v>
      </c>
      <c r="P70" s="1156">
        <v>1476</v>
      </c>
      <c r="Q70" s="1156">
        <v>768</v>
      </c>
      <c r="R70" s="1156">
        <v>276</v>
      </c>
      <c r="S70" s="1156">
        <v>492</v>
      </c>
      <c r="U70" s="1157">
        <f t="shared" si="37"/>
        <v>0.65775401069518713</v>
      </c>
      <c r="V70" s="1157">
        <f t="shared" si="38"/>
        <v>0.34224598930481281</v>
      </c>
      <c r="W70" s="1157">
        <f t="shared" si="39"/>
        <v>0.12299465240641712</v>
      </c>
      <c r="X70" s="1157">
        <f t="shared" si="40"/>
        <v>0.21925133689839571</v>
      </c>
    </row>
    <row r="71" spans="1:24" ht="13.5" customHeight="1" x14ac:dyDescent="0.25">
      <c r="A71" s="149" t="s">
        <v>172</v>
      </c>
      <c r="B71" s="186" t="s">
        <v>173</v>
      </c>
      <c r="C71" s="150" t="s">
        <v>267</v>
      </c>
      <c r="D71" s="240">
        <v>4129</v>
      </c>
      <c r="E71" s="240">
        <v>2768</v>
      </c>
      <c r="F71" s="240">
        <v>1361</v>
      </c>
      <c r="G71" s="240">
        <v>688</v>
      </c>
      <c r="H71" s="240">
        <v>673</v>
      </c>
      <c r="I71" s="240"/>
      <c r="J71" s="1155">
        <f t="shared" si="32"/>
        <v>0.67038023734560426</v>
      </c>
      <c r="K71" s="1155">
        <f t="shared" si="33"/>
        <v>0.32961976265439574</v>
      </c>
      <c r="L71" s="1155">
        <f t="shared" si="34"/>
        <v>0.16662630176798257</v>
      </c>
      <c r="M71" s="1155">
        <f t="shared" si="35"/>
        <v>0.16299346088641317</v>
      </c>
      <c r="O71" s="1156">
        <f t="shared" si="36"/>
        <v>1156</v>
      </c>
      <c r="P71" s="1156">
        <v>668</v>
      </c>
      <c r="Q71" s="1156">
        <v>488</v>
      </c>
      <c r="R71" s="1156">
        <v>191</v>
      </c>
      <c r="S71" s="1156">
        <v>297</v>
      </c>
      <c r="U71" s="1157">
        <f t="shared" si="37"/>
        <v>0.57785467128027679</v>
      </c>
      <c r="V71" s="1157">
        <f t="shared" si="38"/>
        <v>0.42214532871972316</v>
      </c>
      <c r="W71" s="1157">
        <f t="shared" si="39"/>
        <v>0.16522491349480969</v>
      </c>
      <c r="X71" s="1157">
        <f t="shared" si="40"/>
        <v>0.25692041522491349</v>
      </c>
    </row>
    <row r="72" spans="1:24" ht="13.5" customHeight="1" x14ac:dyDescent="0.25">
      <c r="A72" s="149" t="s">
        <v>174</v>
      </c>
      <c r="B72" s="186" t="s">
        <v>175</v>
      </c>
      <c r="C72" s="150" t="s">
        <v>268</v>
      </c>
      <c r="D72" s="240">
        <v>2827</v>
      </c>
      <c r="E72" s="240">
        <v>2017</v>
      </c>
      <c r="F72" s="240">
        <v>810</v>
      </c>
      <c r="G72" s="240">
        <v>121</v>
      </c>
      <c r="H72" s="240">
        <v>689</v>
      </c>
      <c r="I72" s="240"/>
      <c r="J72" s="1155">
        <f t="shared" si="32"/>
        <v>0.71347718429430496</v>
      </c>
      <c r="K72" s="1155">
        <f t="shared" si="33"/>
        <v>0.2865228157056951</v>
      </c>
      <c r="L72" s="1155">
        <f t="shared" si="34"/>
        <v>4.2801556420233464E-2</v>
      </c>
      <c r="M72" s="1155">
        <f t="shared" si="35"/>
        <v>0.24372125928546162</v>
      </c>
      <c r="O72" s="1156">
        <f t="shared" si="36"/>
        <v>757</v>
      </c>
      <c r="P72" s="1156">
        <v>564</v>
      </c>
      <c r="Q72" s="1156">
        <v>193</v>
      </c>
      <c r="R72" s="1156">
        <v>21</v>
      </c>
      <c r="S72" s="1156">
        <v>172</v>
      </c>
      <c r="U72" s="1157">
        <f t="shared" si="37"/>
        <v>0.74504623513870538</v>
      </c>
      <c r="V72" s="1157">
        <f t="shared" si="38"/>
        <v>0.25495376486129456</v>
      </c>
      <c r="W72" s="1157">
        <f t="shared" si="39"/>
        <v>2.7741083223249668E-2</v>
      </c>
      <c r="X72" s="1157">
        <f t="shared" si="40"/>
        <v>0.22721268163804492</v>
      </c>
    </row>
    <row r="73" spans="1:24" ht="13.5" customHeight="1" x14ac:dyDescent="0.25">
      <c r="A73" s="149" t="s">
        <v>178</v>
      </c>
      <c r="B73" s="186" t="s">
        <v>179</v>
      </c>
      <c r="C73" s="150" t="s">
        <v>265</v>
      </c>
      <c r="D73" s="240">
        <v>10726</v>
      </c>
      <c r="E73" s="240">
        <v>7259</v>
      </c>
      <c r="F73" s="240">
        <v>3467</v>
      </c>
      <c r="G73" s="240">
        <v>571</v>
      </c>
      <c r="H73" s="240">
        <v>2896</v>
      </c>
      <c r="I73" s="240"/>
      <c r="J73" s="1155">
        <f t="shared" si="32"/>
        <v>0.6767667350363602</v>
      </c>
      <c r="K73" s="1155">
        <f t="shared" si="33"/>
        <v>0.32323326496363974</v>
      </c>
      <c r="L73" s="1155">
        <f t="shared" si="34"/>
        <v>5.3235129591646467E-2</v>
      </c>
      <c r="M73" s="1155">
        <f t="shared" si="35"/>
        <v>0.2699981353719933</v>
      </c>
      <c r="O73" s="1156">
        <f t="shared" si="36"/>
        <v>2932</v>
      </c>
      <c r="P73" s="1156">
        <v>1871</v>
      </c>
      <c r="Q73" s="1156">
        <v>1061</v>
      </c>
      <c r="R73" s="1156">
        <v>173</v>
      </c>
      <c r="S73" s="1156">
        <v>888</v>
      </c>
      <c r="U73" s="1157">
        <f t="shared" si="37"/>
        <v>0.63813096862210095</v>
      </c>
      <c r="V73" s="1157">
        <f t="shared" si="38"/>
        <v>0.36186903137789905</v>
      </c>
      <c r="W73" s="1157">
        <f t="shared" si="39"/>
        <v>5.9004092769440658E-2</v>
      </c>
      <c r="X73" s="1157">
        <f t="shared" si="40"/>
        <v>0.30286493860845837</v>
      </c>
    </row>
    <row r="74" spans="1:24" ht="13.5" customHeight="1" x14ac:dyDescent="0.25">
      <c r="A74" s="149" t="s">
        <v>182</v>
      </c>
      <c r="B74" s="186" t="s">
        <v>183</v>
      </c>
      <c r="C74" s="150" t="s">
        <v>266</v>
      </c>
      <c r="D74" s="240">
        <v>5029</v>
      </c>
      <c r="E74" s="240">
        <v>4186</v>
      </c>
      <c r="F74" s="240">
        <v>843</v>
      </c>
      <c r="G74" s="240">
        <v>238</v>
      </c>
      <c r="H74" s="240">
        <v>605</v>
      </c>
      <c r="I74" s="240"/>
      <c r="J74" s="1155">
        <f t="shared" si="32"/>
        <v>0.83237224100218732</v>
      </c>
      <c r="K74" s="1155">
        <f t="shared" si="33"/>
        <v>0.16762775899781268</v>
      </c>
      <c r="L74" s="1155">
        <f t="shared" si="34"/>
        <v>4.7325512030224698E-2</v>
      </c>
      <c r="M74" s="1155">
        <f t="shared" si="35"/>
        <v>0.12030224696758798</v>
      </c>
      <c r="O74" s="1156">
        <f t="shared" si="36"/>
        <v>1311</v>
      </c>
      <c r="P74" s="1156">
        <v>1079</v>
      </c>
      <c r="Q74" s="1156">
        <v>232</v>
      </c>
      <c r="R74" s="1156">
        <v>146</v>
      </c>
      <c r="S74" s="1156">
        <v>86</v>
      </c>
      <c r="U74" s="1157">
        <f t="shared" si="37"/>
        <v>0.82303585049580474</v>
      </c>
      <c r="V74" s="1157">
        <f t="shared" si="38"/>
        <v>0.17696414950419528</v>
      </c>
      <c r="W74" s="1157">
        <f t="shared" si="39"/>
        <v>0.11136536994660565</v>
      </c>
      <c r="X74" s="1157">
        <f t="shared" si="40"/>
        <v>6.5598779557589623E-2</v>
      </c>
    </row>
    <row r="75" spans="1:24" ht="13.5" customHeight="1" x14ac:dyDescent="0.25">
      <c r="A75" s="149" t="s">
        <v>184</v>
      </c>
      <c r="B75" s="186" t="s">
        <v>185</v>
      </c>
      <c r="C75" s="150" t="s">
        <v>266</v>
      </c>
      <c r="D75" s="240">
        <v>2850</v>
      </c>
      <c r="E75" s="240">
        <v>1925</v>
      </c>
      <c r="F75" s="240">
        <v>925</v>
      </c>
      <c r="G75" s="240">
        <v>269</v>
      </c>
      <c r="H75" s="240">
        <v>656</v>
      </c>
      <c r="I75" s="240"/>
      <c r="J75" s="1155">
        <f t="shared" si="32"/>
        <v>0.67543859649122806</v>
      </c>
      <c r="K75" s="1155">
        <f t="shared" si="33"/>
        <v>0.32456140350877194</v>
      </c>
      <c r="L75" s="1155">
        <f t="shared" si="34"/>
        <v>9.4385964912280698E-2</v>
      </c>
      <c r="M75" s="1155">
        <f t="shared" si="35"/>
        <v>0.23017543859649123</v>
      </c>
      <c r="O75" s="1156">
        <f t="shared" si="36"/>
        <v>914</v>
      </c>
      <c r="P75" s="1156">
        <v>702</v>
      </c>
      <c r="Q75" s="1156">
        <v>212</v>
      </c>
      <c r="R75" s="1156">
        <v>0</v>
      </c>
      <c r="S75" s="1156">
        <v>212</v>
      </c>
      <c r="U75" s="1157">
        <f t="shared" si="37"/>
        <v>0.76805251641137851</v>
      </c>
      <c r="V75" s="1157">
        <f t="shared" si="38"/>
        <v>0.23194748358862144</v>
      </c>
      <c r="W75" s="1157">
        <f t="shared" si="39"/>
        <v>0</v>
      </c>
      <c r="X75" s="1157">
        <f t="shared" si="40"/>
        <v>0.23194748358862144</v>
      </c>
    </row>
    <row r="76" spans="1:24" ht="13.5" customHeight="1" x14ac:dyDescent="0.25">
      <c r="A76" s="149" t="s">
        <v>186</v>
      </c>
      <c r="B76" s="186" t="s">
        <v>187</v>
      </c>
      <c r="C76" s="150" t="s">
        <v>264</v>
      </c>
      <c r="D76" s="240">
        <v>7335</v>
      </c>
      <c r="E76" s="240">
        <v>5495</v>
      </c>
      <c r="F76" s="240">
        <v>1840</v>
      </c>
      <c r="G76" s="240">
        <v>447</v>
      </c>
      <c r="H76" s="240">
        <v>1393</v>
      </c>
      <c r="I76" s="240"/>
      <c r="J76" s="1155">
        <f t="shared" si="32"/>
        <v>0.74914792092706206</v>
      </c>
      <c r="K76" s="1155">
        <f t="shared" si="33"/>
        <v>0.25085207907293799</v>
      </c>
      <c r="L76" s="1155">
        <f t="shared" si="34"/>
        <v>6.0940695296523517E-2</v>
      </c>
      <c r="M76" s="1155">
        <f t="shared" si="35"/>
        <v>0.18991138377641445</v>
      </c>
      <c r="O76" s="1156">
        <f t="shared" si="36"/>
        <v>2012</v>
      </c>
      <c r="P76" s="1156">
        <v>1638</v>
      </c>
      <c r="Q76" s="1156">
        <v>374</v>
      </c>
      <c r="R76" s="1156">
        <v>83</v>
      </c>
      <c r="S76" s="1156">
        <v>291</v>
      </c>
      <c r="U76" s="1157">
        <f t="shared" si="37"/>
        <v>0.81411530815109345</v>
      </c>
      <c r="V76" s="1157">
        <f t="shared" si="38"/>
        <v>0.18588469184890655</v>
      </c>
      <c r="W76" s="1157">
        <f t="shared" si="39"/>
        <v>4.125248508946322E-2</v>
      </c>
      <c r="X76" s="1157">
        <f t="shared" si="40"/>
        <v>0.14463220675944333</v>
      </c>
    </row>
    <row r="77" spans="1:24" ht="13.5" customHeight="1" x14ac:dyDescent="0.25">
      <c r="A77" s="149" t="s">
        <v>188</v>
      </c>
      <c r="B77" s="186" t="s">
        <v>189</v>
      </c>
      <c r="C77" s="150" t="s">
        <v>267</v>
      </c>
      <c r="D77" s="240">
        <v>111033</v>
      </c>
      <c r="E77" s="240">
        <v>88454</v>
      </c>
      <c r="F77" s="240">
        <v>22579</v>
      </c>
      <c r="G77" s="240">
        <v>6013</v>
      </c>
      <c r="H77" s="240">
        <v>16566</v>
      </c>
      <c r="I77" s="240"/>
      <c r="J77" s="1155">
        <f t="shared" si="32"/>
        <v>0.7966460421676439</v>
      </c>
      <c r="K77" s="1155">
        <f t="shared" si="33"/>
        <v>0.20335395783235616</v>
      </c>
      <c r="L77" s="1155">
        <f t="shared" si="34"/>
        <v>5.4155071014923492E-2</v>
      </c>
      <c r="M77" s="1155">
        <f t="shared" si="35"/>
        <v>0.14919888681743265</v>
      </c>
      <c r="O77" s="1156">
        <f t="shared" si="36"/>
        <v>36430</v>
      </c>
      <c r="P77" s="1156">
        <v>29975</v>
      </c>
      <c r="Q77" s="1156">
        <v>6455</v>
      </c>
      <c r="R77" s="1156">
        <v>2030</v>
      </c>
      <c r="S77" s="1156">
        <v>4425</v>
      </c>
      <c r="U77" s="1157">
        <f t="shared" si="37"/>
        <v>0.82281087016195442</v>
      </c>
      <c r="V77" s="1157">
        <f t="shared" si="38"/>
        <v>0.17718912983804558</v>
      </c>
      <c r="W77" s="1157">
        <f t="shared" si="39"/>
        <v>5.5723304968432613E-2</v>
      </c>
      <c r="X77" s="1157">
        <f t="shared" si="40"/>
        <v>0.12146582486961295</v>
      </c>
    </row>
    <row r="78" spans="1:24" ht="13.5" customHeight="1" x14ac:dyDescent="0.25">
      <c r="A78" s="149" t="s">
        <v>190</v>
      </c>
      <c r="B78" s="186" t="s">
        <v>191</v>
      </c>
      <c r="C78" s="150" t="s">
        <v>268</v>
      </c>
      <c r="D78" s="240">
        <v>5428</v>
      </c>
      <c r="E78" s="240">
        <v>3753</v>
      </c>
      <c r="F78" s="240">
        <v>1675</v>
      </c>
      <c r="G78" s="240">
        <v>325</v>
      </c>
      <c r="H78" s="240">
        <v>1350</v>
      </c>
      <c r="I78" s="240"/>
      <c r="J78" s="1155">
        <f t="shared" si="32"/>
        <v>0.69141488577745025</v>
      </c>
      <c r="K78" s="1155">
        <f t="shared" si="33"/>
        <v>0.30858511422254975</v>
      </c>
      <c r="L78" s="1155">
        <f t="shared" si="34"/>
        <v>5.9874723655121594E-2</v>
      </c>
      <c r="M78" s="1155">
        <f t="shared" si="35"/>
        <v>0.24871039056742816</v>
      </c>
      <c r="O78" s="1156">
        <f t="shared" si="36"/>
        <v>1568</v>
      </c>
      <c r="P78" s="1156">
        <v>1089</v>
      </c>
      <c r="Q78" s="1156">
        <v>479</v>
      </c>
      <c r="R78" s="1156">
        <v>62</v>
      </c>
      <c r="S78" s="1156">
        <v>417</v>
      </c>
      <c r="U78" s="1157">
        <f t="shared" si="37"/>
        <v>0.69451530612244894</v>
      </c>
      <c r="V78" s="1157">
        <f t="shared" si="38"/>
        <v>0.30548469387755101</v>
      </c>
      <c r="W78" s="1157">
        <f t="shared" si="39"/>
        <v>3.9540816326530615E-2</v>
      </c>
      <c r="X78" s="1157">
        <f t="shared" si="40"/>
        <v>0.26594387755102039</v>
      </c>
    </row>
    <row r="79" spans="1:24" ht="13.5" customHeight="1" x14ac:dyDescent="0.25">
      <c r="A79" s="149" t="s">
        <v>194</v>
      </c>
      <c r="B79" s="186" t="s">
        <v>195</v>
      </c>
      <c r="C79" s="150" t="s">
        <v>267</v>
      </c>
      <c r="D79" s="240">
        <v>1228</v>
      </c>
      <c r="E79" s="240">
        <v>976</v>
      </c>
      <c r="F79" s="240">
        <v>252</v>
      </c>
      <c r="G79" s="240">
        <v>135</v>
      </c>
      <c r="H79" s="240">
        <v>117</v>
      </c>
      <c r="I79" s="240"/>
      <c r="J79" s="1155">
        <f t="shared" si="32"/>
        <v>0.7947882736156352</v>
      </c>
      <c r="K79" s="1155">
        <f t="shared" si="33"/>
        <v>0.20521172638436483</v>
      </c>
      <c r="L79" s="1155">
        <f t="shared" si="34"/>
        <v>0.10993485342019543</v>
      </c>
      <c r="M79" s="1155">
        <f t="shared" si="35"/>
        <v>9.5276872964169382E-2</v>
      </c>
      <c r="O79" s="1156">
        <f t="shared" si="36"/>
        <v>358</v>
      </c>
      <c r="P79" s="1156">
        <v>297</v>
      </c>
      <c r="Q79" s="1156">
        <v>61</v>
      </c>
      <c r="R79" s="1156">
        <v>61</v>
      </c>
      <c r="S79" s="1156">
        <v>0</v>
      </c>
      <c r="U79" s="1157">
        <f t="shared" si="37"/>
        <v>0.82960893854748607</v>
      </c>
      <c r="V79" s="1157">
        <f t="shared" si="38"/>
        <v>0.17039106145251395</v>
      </c>
      <c r="W79" s="1157">
        <f t="shared" si="39"/>
        <v>0.17039106145251395</v>
      </c>
      <c r="X79" s="1157">
        <f t="shared" si="40"/>
        <v>0</v>
      </c>
    </row>
    <row r="80" spans="1:24" ht="13.5" customHeight="1" x14ac:dyDescent="0.25">
      <c r="A80" s="149" t="s">
        <v>198</v>
      </c>
      <c r="B80" s="186" t="s">
        <v>272</v>
      </c>
      <c r="C80" s="150" t="s">
        <v>266</v>
      </c>
      <c r="D80" s="240">
        <v>1267</v>
      </c>
      <c r="E80" s="240">
        <v>968</v>
      </c>
      <c r="F80" s="240">
        <v>299</v>
      </c>
      <c r="G80" s="240">
        <v>43</v>
      </c>
      <c r="H80" s="240">
        <v>256</v>
      </c>
      <c r="I80" s="240"/>
      <c r="J80" s="1155">
        <f t="shared" si="32"/>
        <v>0.76400947119179163</v>
      </c>
      <c r="K80" s="1155">
        <f t="shared" si="33"/>
        <v>0.23599052880820837</v>
      </c>
      <c r="L80" s="1155">
        <f t="shared" si="34"/>
        <v>3.3938437253354381E-2</v>
      </c>
      <c r="M80" s="1155">
        <f t="shared" si="35"/>
        <v>0.20205209155485399</v>
      </c>
      <c r="O80" s="1156">
        <f t="shared" si="36"/>
        <v>326</v>
      </c>
      <c r="P80" s="1156">
        <v>199</v>
      </c>
      <c r="Q80" s="1156">
        <v>127</v>
      </c>
      <c r="R80" s="1156">
        <v>0</v>
      </c>
      <c r="S80" s="1156">
        <v>127</v>
      </c>
      <c r="U80" s="1157">
        <f t="shared" si="37"/>
        <v>0.61042944785276076</v>
      </c>
      <c r="V80" s="1157">
        <f t="shared" si="38"/>
        <v>0.38957055214723929</v>
      </c>
      <c r="W80" s="1157">
        <f t="shared" si="39"/>
        <v>0</v>
      </c>
      <c r="X80" s="1157">
        <f t="shared" si="40"/>
        <v>0.38957055214723929</v>
      </c>
    </row>
    <row r="81" spans="1:24" ht="13.5" customHeight="1" x14ac:dyDescent="0.25">
      <c r="A81" s="149" t="s">
        <v>202</v>
      </c>
      <c r="B81" s="186" t="s">
        <v>301</v>
      </c>
      <c r="C81" s="150" t="s">
        <v>265</v>
      </c>
      <c r="D81" s="240">
        <v>21162</v>
      </c>
      <c r="E81" s="240">
        <v>15649</v>
      </c>
      <c r="F81" s="240">
        <v>5513</v>
      </c>
      <c r="G81" s="240">
        <v>1702</v>
      </c>
      <c r="H81" s="240">
        <v>3811</v>
      </c>
      <c r="I81" s="240"/>
      <c r="J81" s="1155">
        <f t="shared" si="32"/>
        <v>0.73948587090067097</v>
      </c>
      <c r="K81" s="1155">
        <f t="shared" si="33"/>
        <v>0.26051412909932897</v>
      </c>
      <c r="L81" s="1155">
        <f t="shared" si="34"/>
        <v>8.0427180795765996E-2</v>
      </c>
      <c r="M81" s="1155">
        <f t="shared" si="35"/>
        <v>0.18008694830356298</v>
      </c>
      <c r="O81" s="1156">
        <f t="shared" si="36"/>
        <v>6191</v>
      </c>
      <c r="P81" s="1156">
        <v>4681</v>
      </c>
      <c r="Q81" s="1156">
        <v>1510</v>
      </c>
      <c r="R81" s="1156">
        <v>539</v>
      </c>
      <c r="S81" s="1156">
        <v>971</v>
      </c>
      <c r="U81" s="1157">
        <f t="shared" si="37"/>
        <v>0.75609756097560976</v>
      </c>
      <c r="V81" s="1157">
        <f t="shared" si="38"/>
        <v>0.24390243902439024</v>
      </c>
      <c r="W81" s="1157">
        <f t="shared" si="39"/>
        <v>8.7061863996123409E-2</v>
      </c>
      <c r="X81" s="1157">
        <f t="shared" si="40"/>
        <v>0.15684057502826684</v>
      </c>
    </row>
    <row r="82" spans="1:24" ht="13.5" customHeight="1" x14ac:dyDescent="0.25">
      <c r="A82" s="149" t="s">
        <v>204</v>
      </c>
      <c r="B82" s="186" t="s">
        <v>293</v>
      </c>
      <c r="C82" s="150" t="s">
        <v>265</v>
      </c>
      <c r="D82" s="240">
        <v>5137</v>
      </c>
      <c r="E82" s="240">
        <v>3768</v>
      </c>
      <c r="F82" s="240">
        <v>1369</v>
      </c>
      <c r="G82" s="240">
        <v>539</v>
      </c>
      <c r="H82" s="240">
        <v>830</v>
      </c>
      <c r="I82" s="240"/>
      <c r="J82" s="1155">
        <f t="shared" si="32"/>
        <v>0.73350204399454932</v>
      </c>
      <c r="K82" s="1155">
        <f t="shared" si="33"/>
        <v>0.26649795600545068</v>
      </c>
      <c r="L82" s="1155">
        <f t="shared" si="34"/>
        <v>0.10492505353319058</v>
      </c>
      <c r="M82" s="1155">
        <f t="shared" si="35"/>
        <v>0.16157290247226008</v>
      </c>
      <c r="O82" s="1156">
        <f t="shared" si="36"/>
        <v>1683</v>
      </c>
      <c r="P82" s="1156">
        <v>1365</v>
      </c>
      <c r="Q82" s="1156">
        <v>318</v>
      </c>
      <c r="R82" s="1156">
        <v>101</v>
      </c>
      <c r="S82" s="1156">
        <v>217</v>
      </c>
      <c r="U82" s="1157">
        <f t="shared" si="37"/>
        <v>0.81105169340463457</v>
      </c>
      <c r="V82" s="1157">
        <f t="shared" si="38"/>
        <v>0.18894830659536541</v>
      </c>
      <c r="W82" s="1157">
        <f t="shared" si="39"/>
        <v>6.0011883541295309E-2</v>
      </c>
      <c r="X82" s="1157">
        <f t="shared" si="40"/>
        <v>0.1289364230540701</v>
      </c>
    </row>
    <row r="83" spans="1:24" ht="13.5" customHeight="1" x14ac:dyDescent="0.25">
      <c r="A83" s="149" t="s">
        <v>206</v>
      </c>
      <c r="B83" s="186" t="s">
        <v>294</v>
      </c>
      <c r="C83" s="150" t="s">
        <v>267</v>
      </c>
      <c r="D83" s="240">
        <v>23090</v>
      </c>
      <c r="E83" s="240">
        <v>17555</v>
      </c>
      <c r="F83" s="240">
        <v>5535</v>
      </c>
      <c r="G83" s="240">
        <v>1496</v>
      </c>
      <c r="H83" s="240">
        <v>4039</v>
      </c>
      <c r="I83" s="240"/>
      <c r="J83" s="1155">
        <f t="shared" si="32"/>
        <v>0.76028583802511907</v>
      </c>
      <c r="K83" s="1155">
        <f t="shared" si="33"/>
        <v>0.23971416197488091</v>
      </c>
      <c r="L83" s="1155">
        <f t="shared" si="34"/>
        <v>6.4789952360329153E-2</v>
      </c>
      <c r="M83" s="1155">
        <f t="shared" si="35"/>
        <v>0.17492420961455177</v>
      </c>
      <c r="O83" s="1156">
        <f t="shared" si="36"/>
        <v>7138</v>
      </c>
      <c r="P83" s="1156">
        <v>5240</v>
      </c>
      <c r="Q83" s="1156">
        <v>1898</v>
      </c>
      <c r="R83" s="1156">
        <v>485</v>
      </c>
      <c r="S83" s="1156">
        <v>1413</v>
      </c>
      <c r="U83" s="1157">
        <f t="shared" si="37"/>
        <v>0.73409918744746427</v>
      </c>
      <c r="V83" s="1157">
        <f t="shared" si="38"/>
        <v>0.26590081255253573</v>
      </c>
      <c r="W83" s="1157">
        <f t="shared" si="39"/>
        <v>6.7946203418324455E-2</v>
      </c>
      <c r="X83" s="1157">
        <f t="shared" si="40"/>
        <v>0.19795460913421126</v>
      </c>
    </row>
    <row r="84" spans="1:24" ht="13.5" customHeight="1" x14ac:dyDescent="0.25">
      <c r="A84" s="149" t="s">
        <v>208</v>
      </c>
      <c r="B84" s="186" t="s">
        <v>209</v>
      </c>
      <c r="C84" s="150" t="s">
        <v>268</v>
      </c>
      <c r="D84" s="240">
        <v>4445</v>
      </c>
      <c r="E84" s="240">
        <v>3331</v>
      </c>
      <c r="F84" s="240">
        <v>1114</v>
      </c>
      <c r="G84" s="240">
        <v>369</v>
      </c>
      <c r="H84" s="240">
        <v>745</v>
      </c>
      <c r="I84" s="240"/>
      <c r="J84" s="1155">
        <f t="shared" si="32"/>
        <v>0.74938132733408325</v>
      </c>
      <c r="K84" s="1155">
        <f t="shared" si="33"/>
        <v>0.25061867266591675</v>
      </c>
      <c r="L84" s="1155">
        <f t="shared" si="34"/>
        <v>8.3014623172103494E-2</v>
      </c>
      <c r="M84" s="1155">
        <f t="shared" si="35"/>
        <v>0.16760404949381327</v>
      </c>
      <c r="O84" s="1156">
        <f t="shared" si="36"/>
        <v>1281</v>
      </c>
      <c r="P84" s="1156">
        <v>931</v>
      </c>
      <c r="Q84" s="1156">
        <v>350</v>
      </c>
      <c r="R84" s="1156">
        <v>239</v>
      </c>
      <c r="S84" s="1156">
        <v>111</v>
      </c>
      <c r="U84" s="1157">
        <f t="shared" si="37"/>
        <v>0.72677595628415304</v>
      </c>
      <c r="V84" s="1157">
        <f t="shared" si="38"/>
        <v>0.27322404371584702</v>
      </c>
      <c r="W84" s="1157">
        <f t="shared" si="39"/>
        <v>0.18657298985167839</v>
      </c>
      <c r="X84" s="1157">
        <f t="shared" si="40"/>
        <v>8.6651053864168617E-2</v>
      </c>
    </row>
    <row r="85" spans="1:24" ht="13.5" customHeight="1" x14ac:dyDescent="0.25">
      <c r="A85" s="149" t="s">
        <v>210</v>
      </c>
      <c r="B85" s="186" t="s">
        <v>211</v>
      </c>
      <c r="C85" s="150" t="s">
        <v>268</v>
      </c>
      <c r="D85" s="240">
        <v>3341</v>
      </c>
      <c r="E85" s="240">
        <v>2593</v>
      </c>
      <c r="F85" s="240">
        <v>748</v>
      </c>
      <c r="G85" s="240">
        <v>173</v>
      </c>
      <c r="H85" s="240">
        <v>575</v>
      </c>
      <c r="I85" s="240"/>
      <c r="J85" s="1155">
        <f t="shared" si="32"/>
        <v>0.7761149356480096</v>
      </c>
      <c r="K85" s="1155">
        <f t="shared" si="33"/>
        <v>0.22388506435199043</v>
      </c>
      <c r="L85" s="1155">
        <f t="shared" si="34"/>
        <v>5.1780903920981745E-2</v>
      </c>
      <c r="M85" s="1155">
        <f t="shared" si="35"/>
        <v>0.17210416043100868</v>
      </c>
      <c r="O85" s="1156">
        <f t="shared" si="36"/>
        <v>1027</v>
      </c>
      <c r="P85" s="1156">
        <v>710</v>
      </c>
      <c r="Q85" s="1156">
        <v>317</v>
      </c>
      <c r="R85" s="1156">
        <v>84</v>
      </c>
      <c r="S85" s="1156">
        <v>233</v>
      </c>
      <c r="U85" s="1157">
        <f t="shared" si="37"/>
        <v>0.69133398247322297</v>
      </c>
      <c r="V85" s="1157">
        <f t="shared" si="38"/>
        <v>0.30866601752677703</v>
      </c>
      <c r="W85" s="1157">
        <f t="shared" si="39"/>
        <v>8.1791626095423564E-2</v>
      </c>
      <c r="X85" s="1157">
        <f t="shared" si="40"/>
        <v>0.22687439143135346</v>
      </c>
    </row>
    <row r="86" spans="1:24" ht="13.5" customHeight="1" x14ac:dyDescent="0.25">
      <c r="A86" s="149" t="s">
        <v>212</v>
      </c>
      <c r="B86" s="186" t="s">
        <v>213</v>
      </c>
      <c r="C86" s="150" t="s">
        <v>267</v>
      </c>
      <c r="D86" s="240">
        <v>7880</v>
      </c>
      <c r="E86" s="240">
        <v>5914</v>
      </c>
      <c r="F86" s="240">
        <v>1966</v>
      </c>
      <c r="G86" s="240">
        <v>460</v>
      </c>
      <c r="H86" s="240">
        <v>1506</v>
      </c>
      <c r="I86" s="240"/>
      <c r="J86" s="1155">
        <f t="shared" si="32"/>
        <v>0.750507614213198</v>
      </c>
      <c r="K86" s="1155">
        <f t="shared" si="33"/>
        <v>0.24949238578680202</v>
      </c>
      <c r="L86" s="1155">
        <f t="shared" si="34"/>
        <v>5.8375634517766499E-2</v>
      </c>
      <c r="M86" s="1155">
        <f t="shared" si="35"/>
        <v>0.19111675126903555</v>
      </c>
      <c r="O86" s="1156">
        <f t="shared" si="36"/>
        <v>2453</v>
      </c>
      <c r="P86" s="1156">
        <v>1941</v>
      </c>
      <c r="Q86" s="1156">
        <v>512</v>
      </c>
      <c r="R86" s="1156">
        <v>198</v>
      </c>
      <c r="S86" s="1156">
        <v>314</v>
      </c>
      <c r="U86" s="1157">
        <f t="shared" si="37"/>
        <v>0.7912759885854056</v>
      </c>
      <c r="V86" s="1157">
        <f t="shared" si="38"/>
        <v>0.20872401141459437</v>
      </c>
      <c r="W86" s="1157">
        <f t="shared" si="39"/>
        <v>8.0717488789237665E-2</v>
      </c>
      <c r="X86" s="1157">
        <f t="shared" si="40"/>
        <v>0.12800652262535669</v>
      </c>
    </row>
    <row r="87" spans="1:24" ht="13.5" customHeight="1" x14ac:dyDescent="0.25">
      <c r="A87" s="149" t="s">
        <v>214</v>
      </c>
      <c r="B87" s="186" t="s">
        <v>215</v>
      </c>
      <c r="C87" s="150" t="s">
        <v>268</v>
      </c>
      <c r="D87" s="240">
        <v>5243</v>
      </c>
      <c r="E87" s="240">
        <v>3528</v>
      </c>
      <c r="F87" s="240">
        <v>1715</v>
      </c>
      <c r="G87" s="240">
        <v>588</v>
      </c>
      <c r="H87" s="240">
        <v>1127</v>
      </c>
      <c r="I87" s="240"/>
      <c r="J87" s="1155">
        <f t="shared" si="32"/>
        <v>0.67289719626168221</v>
      </c>
      <c r="K87" s="1155">
        <f t="shared" si="33"/>
        <v>0.32710280373831774</v>
      </c>
      <c r="L87" s="1155">
        <f t="shared" si="34"/>
        <v>0.11214953271028037</v>
      </c>
      <c r="M87" s="1155">
        <f t="shared" si="35"/>
        <v>0.21495327102803738</v>
      </c>
      <c r="O87" s="1156">
        <f t="shared" si="36"/>
        <v>1615</v>
      </c>
      <c r="P87" s="1156">
        <v>974</v>
      </c>
      <c r="Q87" s="1156">
        <v>641</v>
      </c>
      <c r="R87" s="1156">
        <v>201</v>
      </c>
      <c r="S87" s="1156">
        <v>440</v>
      </c>
      <c r="U87" s="1157">
        <f t="shared" si="37"/>
        <v>0.60309597523219816</v>
      </c>
      <c r="V87" s="1157">
        <f t="shared" si="38"/>
        <v>0.39690402476780184</v>
      </c>
      <c r="W87" s="1157">
        <f t="shared" si="39"/>
        <v>0.12445820433436533</v>
      </c>
      <c r="X87" s="1157">
        <f t="shared" si="40"/>
        <v>0.27244582043343651</v>
      </c>
    </row>
    <row r="88" spans="1:24" ht="13.5" customHeight="1" x14ac:dyDescent="0.25">
      <c r="A88" s="149" t="s">
        <v>216</v>
      </c>
      <c r="B88" s="186" t="s">
        <v>217</v>
      </c>
      <c r="C88" s="150" t="s">
        <v>264</v>
      </c>
      <c r="D88" s="240">
        <v>3198</v>
      </c>
      <c r="E88" s="240">
        <v>1918</v>
      </c>
      <c r="F88" s="240">
        <v>1280</v>
      </c>
      <c r="G88" s="240">
        <v>201</v>
      </c>
      <c r="H88" s="240">
        <v>1079</v>
      </c>
      <c r="I88" s="240"/>
      <c r="J88" s="1155">
        <f t="shared" si="32"/>
        <v>0.59974984365228268</v>
      </c>
      <c r="K88" s="1155">
        <f t="shared" si="33"/>
        <v>0.40025015634771732</v>
      </c>
      <c r="L88" s="1155">
        <f t="shared" si="34"/>
        <v>6.2851782363977482E-2</v>
      </c>
      <c r="M88" s="1155">
        <f t="shared" si="35"/>
        <v>0.33739837398373984</v>
      </c>
      <c r="O88" s="1156">
        <f t="shared" si="36"/>
        <v>952</v>
      </c>
      <c r="P88" s="1156">
        <v>560</v>
      </c>
      <c r="Q88" s="1156">
        <v>392</v>
      </c>
      <c r="R88" s="1156">
        <v>104</v>
      </c>
      <c r="S88" s="1156">
        <v>288</v>
      </c>
      <c r="U88" s="1157">
        <f t="shared" si="37"/>
        <v>0.58823529411764708</v>
      </c>
      <c r="V88" s="1157">
        <f t="shared" si="38"/>
        <v>0.41176470588235292</v>
      </c>
      <c r="W88" s="1157">
        <f t="shared" si="39"/>
        <v>0.1092436974789916</v>
      </c>
      <c r="X88" s="1157">
        <f t="shared" si="40"/>
        <v>0.30252100840336132</v>
      </c>
    </row>
    <row r="89" spans="1:24" ht="13.5" customHeight="1" x14ac:dyDescent="0.25">
      <c r="A89" s="149" t="s">
        <v>218</v>
      </c>
      <c r="B89" s="186" t="s">
        <v>219</v>
      </c>
      <c r="C89" s="150" t="s">
        <v>267</v>
      </c>
      <c r="D89" s="240">
        <v>29655</v>
      </c>
      <c r="E89" s="240">
        <v>23233</v>
      </c>
      <c r="F89" s="240">
        <v>6422</v>
      </c>
      <c r="G89" s="240">
        <v>1275</v>
      </c>
      <c r="H89" s="240">
        <v>5147</v>
      </c>
      <c r="I89" s="240"/>
      <c r="J89" s="1155">
        <f t="shared" si="32"/>
        <v>0.78344292699376161</v>
      </c>
      <c r="K89" s="1155">
        <f t="shared" si="33"/>
        <v>0.21655707300623842</v>
      </c>
      <c r="L89" s="1155">
        <f t="shared" si="34"/>
        <v>4.2994436014162876E-2</v>
      </c>
      <c r="M89" s="1155">
        <f t="shared" si="35"/>
        <v>0.17356263699207553</v>
      </c>
      <c r="O89" s="1156">
        <f t="shared" si="36"/>
        <v>8707</v>
      </c>
      <c r="P89" s="1156">
        <v>6894</v>
      </c>
      <c r="Q89" s="1156">
        <v>1813</v>
      </c>
      <c r="R89" s="1156">
        <v>451</v>
      </c>
      <c r="S89" s="1156">
        <v>1362</v>
      </c>
      <c r="U89" s="1157">
        <f t="shared" si="37"/>
        <v>0.79177673136556792</v>
      </c>
      <c r="V89" s="1157">
        <f t="shared" si="38"/>
        <v>0.20822326863443208</v>
      </c>
      <c r="W89" s="1157">
        <f t="shared" si="39"/>
        <v>5.1797404387274606E-2</v>
      </c>
      <c r="X89" s="1157">
        <f t="shared" si="40"/>
        <v>0.15642586424715746</v>
      </c>
    </row>
    <row r="90" spans="1:24" ht="13.5" customHeight="1" x14ac:dyDescent="0.25">
      <c r="A90" s="149" t="s">
        <v>220</v>
      </c>
      <c r="B90" s="186" t="s">
        <v>221</v>
      </c>
      <c r="C90" s="150" t="s">
        <v>267</v>
      </c>
      <c r="D90" s="240">
        <v>33584</v>
      </c>
      <c r="E90" s="240">
        <v>26982</v>
      </c>
      <c r="F90" s="240">
        <v>6602</v>
      </c>
      <c r="G90" s="240">
        <v>1651</v>
      </c>
      <c r="H90" s="240">
        <v>4951</v>
      </c>
      <c r="I90" s="240"/>
      <c r="J90" s="1155">
        <f t="shared" si="32"/>
        <v>0.80341829442591706</v>
      </c>
      <c r="K90" s="1155">
        <f t="shared" si="33"/>
        <v>0.19658170557408289</v>
      </c>
      <c r="L90" s="1155">
        <f t="shared" si="34"/>
        <v>4.9160314435445447E-2</v>
      </c>
      <c r="M90" s="1155">
        <f t="shared" si="35"/>
        <v>0.14742139113863745</v>
      </c>
      <c r="O90" s="1156">
        <f t="shared" si="36"/>
        <v>9041</v>
      </c>
      <c r="P90" s="1156">
        <v>7511</v>
      </c>
      <c r="Q90" s="1156">
        <v>1530</v>
      </c>
      <c r="R90" s="1156">
        <v>517</v>
      </c>
      <c r="S90" s="1156">
        <v>1013</v>
      </c>
      <c r="U90" s="1157">
        <f t="shared" si="37"/>
        <v>0.83077093241898015</v>
      </c>
      <c r="V90" s="1157">
        <f t="shared" si="38"/>
        <v>0.1692290675810198</v>
      </c>
      <c r="W90" s="1157">
        <f t="shared" si="39"/>
        <v>5.7183939829664861E-2</v>
      </c>
      <c r="X90" s="1157">
        <f t="shared" si="40"/>
        <v>0.11204512775135494</v>
      </c>
    </row>
    <row r="91" spans="1:24" ht="13.5" customHeight="1" x14ac:dyDescent="0.25">
      <c r="A91" s="149" t="s">
        <v>224</v>
      </c>
      <c r="B91" s="186" t="s">
        <v>225</v>
      </c>
      <c r="C91" s="150" t="s">
        <v>264</v>
      </c>
      <c r="D91" s="240">
        <v>940</v>
      </c>
      <c r="E91" s="240">
        <v>668</v>
      </c>
      <c r="F91" s="240">
        <v>272</v>
      </c>
      <c r="G91" s="240">
        <v>53</v>
      </c>
      <c r="H91" s="240">
        <v>219</v>
      </c>
      <c r="I91" s="240"/>
      <c r="J91" s="1155">
        <f t="shared" si="32"/>
        <v>0.71063829787234045</v>
      </c>
      <c r="K91" s="1155">
        <f t="shared" si="33"/>
        <v>0.28936170212765955</v>
      </c>
      <c r="L91" s="1155">
        <f t="shared" si="34"/>
        <v>5.6382978723404253E-2</v>
      </c>
      <c r="M91" s="1155">
        <f t="shared" si="35"/>
        <v>0.23297872340425532</v>
      </c>
      <c r="O91" s="1156">
        <f t="shared" si="36"/>
        <v>312</v>
      </c>
      <c r="P91" s="1156">
        <v>184</v>
      </c>
      <c r="Q91" s="1156">
        <v>128</v>
      </c>
      <c r="R91" s="1156">
        <v>35</v>
      </c>
      <c r="S91" s="1156">
        <v>93</v>
      </c>
      <c r="U91" s="1157">
        <f t="shared" si="37"/>
        <v>0.58974358974358976</v>
      </c>
      <c r="V91" s="1157">
        <f t="shared" si="38"/>
        <v>0.41025641025641024</v>
      </c>
      <c r="W91" s="1157">
        <f t="shared" si="39"/>
        <v>0.11217948717948718</v>
      </c>
      <c r="X91" s="1157">
        <f t="shared" si="40"/>
        <v>0.29807692307692307</v>
      </c>
    </row>
    <row r="92" spans="1:24" ht="13.5" customHeight="1" x14ac:dyDescent="0.25">
      <c r="A92" s="149" t="s">
        <v>226</v>
      </c>
      <c r="B92" s="186" t="s">
        <v>227</v>
      </c>
      <c r="C92" s="150" t="s">
        <v>264</v>
      </c>
      <c r="D92" s="240">
        <v>829</v>
      </c>
      <c r="E92" s="240">
        <v>604</v>
      </c>
      <c r="F92" s="240">
        <v>225</v>
      </c>
      <c r="G92" s="240">
        <v>44</v>
      </c>
      <c r="H92" s="240">
        <v>181</v>
      </c>
      <c r="I92" s="240"/>
      <c r="J92" s="1155">
        <f t="shared" si="32"/>
        <v>0.7285886610373945</v>
      </c>
      <c r="K92" s="1155">
        <f t="shared" si="33"/>
        <v>0.27141133896260555</v>
      </c>
      <c r="L92" s="1155">
        <f t="shared" si="34"/>
        <v>5.3075995174909532E-2</v>
      </c>
      <c r="M92" s="1155">
        <f t="shared" si="35"/>
        <v>0.21833534378769601</v>
      </c>
      <c r="O92" s="1156">
        <f t="shared" si="36"/>
        <v>350</v>
      </c>
      <c r="P92" s="1156">
        <v>200</v>
      </c>
      <c r="Q92" s="1156">
        <v>150</v>
      </c>
      <c r="R92" s="1156">
        <v>31</v>
      </c>
      <c r="S92" s="1156">
        <v>119</v>
      </c>
      <c r="U92" s="1157">
        <f t="shared" si="37"/>
        <v>0.5714285714285714</v>
      </c>
      <c r="V92" s="1157">
        <f t="shared" si="38"/>
        <v>0.42857142857142855</v>
      </c>
      <c r="W92" s="1157">
        <f t="shared" si="39"/>
        <v>8.8571428571428565E-2</v>
      </c>
      <c r="X92" s="1157">
        <f t="shared" si="40"/>
        <v>0.34</v>
      </c>
    </row>
    <row r="93" spans="1:24" ht="13.5" customHeight="1" x14ac:dyDescent="0.25">
      <c r="A93" s="149" t="s">
        <v>228</v>
      </c>
      <c r="B93" s="186" t="s">
        <v>229</v>
      </c>
      <c r="C93" s="150" t="s">
        <v>268</v>
      </c>
      <c r="D93" s="240">
        <v>6864</v>
      </c>
      <c r="E93" s="240">
        <v>5514</v>
      </c>
      <c r="F93" s="240">
        <v>1350</v>
      </c>
      <c r="G93" s="240">
        <v>436</v>
      </c>
      <c r="H93" s="240">
        <v>914</v>
      </c>
      <c r="I93" s="240"/>
      <c r="J93" s="1155">
        <f t="shared" si="32"/>
        <v>0.80332167832167833</v>
      </c>
      <c r="K93" s="1155">
        <f t="shared" si="33"/>
        <v>0.19667832167832167</v>
      </c>
      <c r="L93" s="1155">
        <f t="shared" si="34"/>
        <v>6.351981351981352E-2</v>
      </c>
      <c r="M93" s="1155">
        <f t="shared" si="35"/>
        <v>0.13315850815850816</v>
      </c>
      <c r="O93" s="1156">
        <f t="shared" si="36"/>
        <v>2060</v>
      </c>
      <c r="P93" s="1156">
        <v>1643</v>
      </c>
      <c r="Q93" s="1156">
        <v>417</v>
      </c>
      <c r="R93" s="1156">
        <v>141</v>
      </c>
      <c r="S93" s="1156">
        <v>276</v>
      </c>
      <c r="U93" s="1157">
        <f t="shared" si="37"/>
        <v>0.79757281553398063</v>
      </c>
      <c r="V93" s="1157">
        <f t="shared" si="38"/>
        <v>0.20242718446601943</v>
      </c>
      <c r="W93" s="1157">
        <f t="shared" si="39"/>
        <v>6.8446601941747579E-2</v>
      </c>
      <c r="X93" s="1157">
        <f t="shared" si="40"/>
        <v>0.13398058252427184</v>
      </c>
    </row>
    <row r="94" spans="1:24" ht="13.5" customHeight="1" x14ac:dyDescent="0.25">
      <c r="A94" s="149" t="s">
        <v>232</v>
      </c>
      <c r="B94" s="186" t="s">
        <v>233</v>
      </c>
      <c r="C94" s="150" t="s">
        <v>267</v>
      </c>
      <c r="D94" s="240">
        <v>7546</v>
      </c>
      <c r="E94" s="240">
        <v>5414</v>
      </c>
      <c r="F94" s="240">
        <v>2132</v>
      </c>
      <c r="G94" s="240">
        <v>319</v>
      </c>
      <c r="H94" s="240">
        <v>1813</v>
      </c>
      <c r="I94" s="240"/>
      <c r="J94" s="1155">
        <f t="shared" si="32"/>
        <v>0.71746620726212562</v>
      </c>
      <c r="K94" s="1155">
        <f t="shared" si="33"/>
        <v>0.28253379273787438</v>
      </c>
      <c r="L94" s="1155">
        <f t="shared" si="34"/>
        <v>4.2274052478134108E-2</v>
      </c>
      <c r="M94" s="1155">
        <f t="shared" si="35"/>
        <v>0.24025974025974026</v>
      </c>
      <c r="O94" s="1156">
        <f t="shared" si="36"/>
        <v>2237</v>
      </c>
      <c r="P94" s="1156">
        <v>1708</v>
      </c>
      <c r="Q94" s="1156">
        <v>529</v>
      </c>
      <c r="R94" s="1156">
        <v>89</v>
      </c>
      <c r="S94" s="1156">
        <v>440</v>
      </c>
      <c r="U94" s="1157">
        <f t="shared" si="37"/>
        <v>0.76352257487706754</v>
      </c>
      <c r="V94" s="1157">
        <f t="shared" si="38"/>
        <v>0.23647742512293249</v>
      </c>
      <c r="W94" s="1157">
        <f t="shared" si="39"/>
        <v>3.9785426911041574E-2</v>
      </c>
      <c r="X94" s="1157">
        <f t="shared" si="40"/>
        <v>0.19669199821189093</v>
      </c>
    </row>
    <row r="95" spans="1:24" ht="13.5" customHeight="1" x14ac:dyDescent="0.25">
      <c r="A95" s="149" t="s">
        <v>234</v>
      </c>
      <c r="B95" s="186" t="s">
        <v>235</v>
      </c>
      <c r="C95" s="150" t="s">
        <v>268</v>
      </c>
      <c r="D95" s="240">
        <v>8583</v>
      </c>
      <c r="E95" s="240">
        <v>6792</v>
      </c>
      <c r="F95" s="240">
        <v>1791</v>
      </c>
      <c r="G95" s="240">
        <v>335</v>
      </c>
      <c r="H95" s="240">
        <v>1456</v>
      </c>
      <c r="I95" s="240"/>
      <c r="J95" s="1155">
        <f t="shared" si="32"/>
        <v>0.79133170220202731</v>
      </c>
      <c r="K95" s="1155">
        <f t="shared" si="33"/>
        <v>0.20866829779797275</v>
      </c>
      <c r="L95" s="1155">
        <f t="shared" si="34"/>
        <v>3.9030641966678319E-2</v>
      </c>
      <c r="M95" s="1155">
        <f t="shared" si="35"/>
        <v>0.16963765583129442</v>
      </c>
      <c r="O95" s="1156">
        <f t="shared" si="36"/>
        <v>2424</v>
      </c>
      <c r="P95" s="1156">
        <v>2031</v>
      </c>
      <c r="Q95" s="1156">
        <v>393</v>
      </c>
      <c r="R95" s="1156">
        <v>130</v>
      </c>
      <c r="S95" s="1156">
        <v>263</v>
      </c>
      <c r="U95" s="1157">
        <f t="shared" si="37"/>
        <v>0.83787128712871284</v>
      </c>
      <c r="V95" s="1157">
        <f t="shared" si="38"/>
        <v>0.16212871287128713</v>
      </c>
      <c r="W95" s="1157">
        <f t="shared" si="39"/>
        <v>5.3630363036303627E-2</v>
      </c>
      <c r="X95" s="1157">
        <f t="shared" si="40"/>
        <v>0.10849834983498349</v>
      </c>
    </row>
    <row r="96" spans="1:24" ht="13.5" customHeight="1" x14ac:dyDescent="0.25">
      <c r="A96" s="149" t="s">
        <v>236</v>
      </c>
      <c r="B96" s="186" t="s">
        <v>237</v>
      </c>
      <c r="C96" s="150" t="s">
        <v>266</v>
      </c>
      <c r="D96" s="240">
        <v>2951</v>
      </c>
      <c r="E96" s="240">
        <v>1873</v>
      </c>
      <c r="F96" s="240">
        <v>1078</v>
      </c>
      <c r="G96" s="240">
        <v>361</v>
      </c>
      <c r="H96" s="240">
        <v>717</v>
      </c>
      <c r="I96" s="240"/>
      <c r="J96" s="1155">
        <f t="shared" si="32"/>
        <v>0.6347001016604541</v>
      </c>
      <c r="K96" s="1155">
        <f t="shared" si="33"/>
        <v>0.3652998983395459</v>
      </c>
      <c r="L96" s="1155">
        <f t="shared" si="34"/>
        <v>0.12233141308031176</v>
      </c>
      <c r="M96" s="1155">
        <f t="shared" si="35"/>
        <v>0.24296848525923415</v>
      </c>
      <c r="O96" s="1156">
        <f t="shared" si="36"/>
        <v>949</v>
      </c>
      <c r="P96" s="1156">
        <v>693</v>
      </c>
      <c r="Q96" s="1156">
        <v>256</v>
      </c>
      <c r="R96" s="1156">
        <v>123</v>
      </c>
      <c r="S96" s="1156">
        <v>133</v>
      </c>
      <c r="U96" s="1157">
        <f t="shared" si="37"/>
        <v>0.73024236037934664</v>
      </c>
      <c r="V96" s="1157">
        <f t="shared" si="38"/>
        <v>0.2697576396206533</v>
      </c>
      <c r="W96" s="1157">
        <f t="shared" si="39"/>
        <v>0.12961011591148577</v>
      </c>
      <c r="X96" s="1157">
        <f t="shared" si="40"/>
        <v>0.14014752370916755</v>
      </c>
    </row>
    <row r="97" spans="1:24" ht="13.5" customHeight="1" x14ac:dyDescent="0.25">
      <c r="A97" s="149" t="s">
        <v>242</v>
      </c>
      <c r="B97" s="186" t="s">
        <v>243</v>
      </c>
      <c r="C97" s="150" t="s">
        <v>268</v>
      </c>
      <c r="D97" s="240">
        <v>6854</v>
      </c>
      <c r="E97" s="240">
        <v>4757</v>
      </c>
      <c r="F97" s="240">
        <v>2097</v>
      </c>
      <c r="G97" s="240">
        <v>182</v>
      </c>
      <c r="H97" s="240">
        <v>1915</v>
      </c>
      <c r="I97" s="240"/>
      <c r="J97" s="1155">
        <f t="shared" si="32"/>
        <v>0.6940472716661803</v>
      </c>
      <c r="K97" s="1155">
        <f t="shared" si="33"/>
        <v>0.30595272833381965</v>
      </c>
      <c r="L97" s="1155">
        <f t="shared" si="34"/>
        <v>2.6553837175372047E-2</v>
      </c>
      <c r="M97" s="1155">
        <f t="shared" si="35"/>
        <v>0.27939889115844763</v>
      </c>
      <c r="O97" s="1156">
        <f t="shared" si="36"/>
        <v>2188</v>
      </c>
      <c r="P97" s="1156">
        <v>1506</v>
      </c>
      <c r="Q97" s="1156">
        <v>682</v>
      </c>
      <c r="R97" s="1156">
        <v>34</v>
      </c>
      <c r="S97" s="1156">
        <v>648</v>
      </c>
      <c r="U97" s="1157">
        <f t="shared" si="37"/>
        <v>0.6882998171846435</v>
      </c>
      <c r="V97" s="1157">
        <f t="shared" si="38"/>
        <v>0.3117001828153565</v>
      </c>
      <c r="W97" s="1157">
        <f t="shared" si="39"/>
        <v>1.5539305301645339E-2</v>
      </c>
      <c r="X97" s="1157">
        <f t="shared" si="40"/>
        <v>0.29616087751371117</v>
      </c>
    </row>
    <row r="98" spans="1:24" ht="13.5" customHeight="1" x14ac:dyDescent="0.25">
      <c r="A98" s="149" t="s">
        <v>244</v>
      </c>
      <c r="B98" s="186" t="s">
        <v>245</v>
      </c>
      <c r="C98" s="150" t="s">
        <v>268</v>
      </c>
      <c r="D98" s="240">
        <v>5265</v>
      </c>
      <c r="E98" s="240">
        <v>3970</v>
      </c>
      <c r="F98" s="240">
        <v>1295</v>
      </c>
      <c r="G98" s="240">
        <v>485</v>
      </c>
      <c r="H98" s="240">
        <v>810</v>
      </c>
      <c r="I98" s="240"/>
      <c r="J98" s="1155">
        <f t="shared" si="32"/>
        <v>0.75403608736942074</v>
      </c>
      <c r="K98" s="1155">
        <f t="shared" si="33"/>
        <v>0.24596391263057929</v>
      </c>
      <c r="L98" s="1155">
        <f t="shared" si="34"/>
        <v>9.2117758784425449E-2</v>
      </c>
      <c r="M98" s="1155">
        <f t="shared" si="35"/>
        <v>0.15384615384615385</v>
      </c>
      <c r="O98" s="1156">
        <f t="shared" si="36"/>
        <v>1427</v>
      </c>
      <c r="P98" s="1156">
        <v>1066</v>
      </c>
      <c r="Q98" s="1156">
        <v>361</v>
      </c>
      <c r="R98" s="1156">
        <v>218</v>
      </c>
      <c r="S98" s="1156">
        <v>143</v>
      </c>
      <c r="U98" s="1157">
        <f t="shared" si="37"/>
        <v>0.74702172389628596</v>
      </c>
      <c r="V98" s="1157">
        <f t="shared" si="38"/>
        <v>0.25297827610371409</v>
      </c>
      <c r="W98" s="1157">
        <f t="shared" si="39"/>
        <v>0.15276804484933426</v>
      </c>
      <c r="X98" s="1157">
        <f t="shared" si="40"/>
        <v>0.10021023125437982</v>
      </c>
    </row>
    <row r="99" spans="1:24" ht="13.5" customHeight="1" x14ac:dyDescent="0.25">
      <c r="A99" s="149" t="s">
        <v>246</v>
      </c>
      <c r="B99" s="186" t="s">
        <v>247</v>
      </c>
      <c r="C99" s="150" t="s">
        <v>264</v>
      </c>
      <c r="D99" s="240">
        <v>17482</v>
      </c>
      <c r="E99" s="240">
        <v>14094</v>
      </c>
      <c r="F99" s="240">
        <v>3388</v>
      </c>
      <c r="G99" s="240">
        <v>706</v>
      </c>
      <c r="H99" s="240">
        <v>2682</v>
      </c>
      <c r="I99" s="240"/>
      <c r="J99" s="1155">
        <f t="shared" si="32"/>
        <v>0.80620066353964082</v>
      </c>
      <c r="K99" s="1155">
        <f t="shared" si="33"/>
        <v>0.19379933646035924</v>
      </c>
      <c r="L99" s="1155">
        <f t="shared" si="34"/>
        <v>4.0384395378103191E-2</v>
      </c>
      <c r="M99" s="1155">
        <f t="shared" si="35"/>
        <v>0.15341494108225603</v>
      </c>
      <c r="O99" s="1156">
        <f t="shared" si="36"/>
        <v>4616</v>
      </c>
      <c r="P99" s="1156">
        <v>3778</v>
      </c>
      <c r="Q99" s="1156">
        <v>838</v>
      </c>
      <c r="R99" s="1156">
        <v>185</v>
      </c>
      <c r="S99" s="1156">
        <v>653</v>
      </c>
      <c r="U99" s="1157">
        <f t="shared" si="37"/>
        <v>0.81845753899480067</v>
      </c>
      <c r="V99" s="1157">
        <f t="shared" si="38"/>
        <v>0.1815424610051993</v>
      </c>
      <c r="W99" s="1157">
        <f t="shared" si="39"/>
        <v>4.0077989601386484E-2</v>
      </c>
      <c r="X99" s="1157">
        <f t="shared" si="40"/>
        <v>0.14146447140381282</v>
      </c>
    </row>
    <row r="100" spans="1:24" ht="13.5" customHeight="1" x14ac:dyDescent="0.25">
      <c r="A100" s="149" t="s">
        <v>14</v>
      </c>
      <c r="B100" s="186" t="s">
        <v>15</v>
      </c>
      <c r="C100" s="150" t="s">
        <v>267</v>
      </c>
      <c r="D100" s="240">
        <v>25258</v>
      </c>
      <c r="E100" s="240">
        <v>17605</v>
      </c>
      <c r="F100" s="240">
        <v>7653</v>
      </c>
      <c r="G100" s="240">
        <v>1825</v>
      </c>
      <c r="H100" s="240">
        <v>5828</v>
      </c>
      <c r="I100" s="240"/>
      <c r="J100" s="1155">
        <f t="shared" si="32"/>
        <v>0.6970068889064851</v>
      </c>
      <c r="K100" s="1155">
        <f t="shared" si="33"/>
        <v>0.3029931110935149</v>
      </c>
      <c r="L100" s="1155">
        <f t="shared" si="34"/>
        <v>7.2254335260115612E-2</v>
      </c>
      <c r="M100" s="1155">
        <f t="shared" si="35"/>
        <v>0.23073877583339933</v>
      </c>
      <c r="O100" s="1156">
        <f t="shared" si="36"/>
        <v>11611</v>
      </c>
      <c r="P100" s="1156">
        <v>8944</v>
      </c>
      <c r="Q100" s="1156">
        <v>2667</v>
      </c>
      <c r="R100" s="1156">
        <v>703</v>
      </c>
      <c r="S100" s="1156">
        <v>1964</v>
      </c>
      <c r="U100" s="1157">
        <f t="shared" si="37"/>
        <v>0.77030402204805792</v>
      </c>
      <c r="V100" s="1157">
        <f t="shared" si="38"/>
        <v>0.22969597795194213</v>
      </c>
      <c r="W100" s="1157">
        <f t="shared" si="39"/>
        <v>6.0546033933339072E-2</v>
      </c>
      <c r="X100" s="1157">
        <f t="shared" si="40"/>
        <v>0.16914994401860306</v>
      </c>
    </row>
    <row r="101" spans="1:24" ht="13.5" customHeight="1" x14ac:dyDescent="0.25">
      <c r="A101" s="149" t="s">
        <v>34</v>
      </c>
      <c r="B101" s="186" t="s">
        <v>35</v>
      </c>
      <c r="C101" s="150" t="s">
        <v>268</v>
      </c>
      <c r="D101" s="240">
        <v>3052</v>
      </c>
      <c r="E101" s="240">
        <v>1728</v>
      </c>
      <c r="F101" s="240">
        <v>1324</v>
      </c>
      <c r="G101" s="240">
        <v>171</v>
      </c>
      <c r="H101" s="240">
        <v>1153</v>
      </c>
      <c r="I101" s="240"/>
      <c r="J101" s="1155">
        <f t="shared" ref="J101:J124" si="41">E101/D101</f>
        <v>0.56618610747051112</v>
      </c>
      <c r="K101" s="1155">
        <f t="shared" ref="K101:K124" si="42">F101/D101</f>
        <v>0.43381389252948888</v>
      </c>
      <c r="L101" s="1155">
        <f t="shared" ref="L101:L124" si="43">G101/D101</f>
        <v>5.6028833551769332E-2</v>
      </c>
      <c r="M101" s="1155">
        <f t="shared" ref="M101:M124" si="44">H101/D101</f>
        <v>0.37778505897771952</v>
      </c>
      <c r="O101" s="1156">
        <f t="shared" ref="O101:O124" si="45">P101+Q101</f>
        <v>901</v>
      </c>
      <c r="P101" s="1156">
        <v>388</v>
      </c>
      <c r="Q101" s="1156">
        <v>513</v>
      </c>
      <c r="R101" s="1156">
        <v>98</v>
      </c>
      <c r="S101" s="1156">
        <v>415</v>
      </c>
      <c r="U101" s="1157">
        <f t="shared" ref="U101:U124" si="46">P101/O101</f>
        <v>0.4306326304106548</v>
      </c>
      <c r="V101" s="1157">
        <f t="shared" ref="V101:V124" si="47">Q101/O101</f>
        <v>0.5693673695893452</v>
      </c>
      <c r="W101" s="1157">
        <f t="shared" ref="W101:W124" si="48">R101/O101</f>
        <v>0.10876803551609324</v>
      </c>
      <c r="X101" s="1157">
        <f t="shared" ref="X101:X124" si="49">S101/O101</f>
        <v>0.46059933407325193</v>
      </c>
    </row>
    <row r="102" spans="1:24" ht="13.5" customHeight="1" x14ac:dyDescent="0.25">
      <c r="A102" s="149" t="s">
        <v>52</v>
      </c>
      <c r="B102" s="186" t="s">
        <v>53</v>
      </c>
      <c r="C102" s="150" t="s">
        <v>265</v>
      </c>
      <c r="D102" s="240">
        <v>6390</v>
      </c>
      <c r="E102" s="240">
        <v>4350</v>
      </c>
      <c r="F102" s="240">
        <v>2040</v>
      </c>
      <c r="G102" s="240">
        <v>495</v>
      </c>
      <c r="H102" s="240">
        <v>1545</v>
      </c>
      <c r="I102" s="240"/>
      <c r="J102" s="1155">
        <f t="shared" si="41"/>
        <v>0.68075117370892024</v>
      </c>
      <c r="K102" s="1155">
        <f t="shared" si="42"/>
        <v>0.31924882629107981</v>
      </c>
      <c r="L102" s="1155">
        <f t="shared" si="43"/>
        <v>7.746478873239436E-2</v>
      </c>
      <c r="M102" s="1155">
        <f t="shared" si="44"/>
        <v>0.24178403755868544</v>
      </c>
      <c r="O102" s="1156">
        <f t="shared" si="45"/>
        <v>2676</v>
      </c>
      <c r="P102" s="1156">
        <v>1874</v>
      </c>
      <c r="Q102" s="1156">
        <v>802</v>
      </c>
      <c r="R102" s="1156">
        <v>281</v>
      </c>
      <c r="S102" s="1156">
        <v>521</v>
      </c>
      <c r="U102" s="1157">
        <f t="shared" si="46"/>
        <v>0.70029895366218231</v>
      </c>
      <c r="V102" s="1157">
        <f t="shared" si="47"/>
        <v>0.29970104633781763</v>
      </c>
      <c r="W102" s="1157">
        <f t="shared" si="48"/>
        <v>0.10500747384155455</v>
      </c>
      <c r="X102" s="1157">
        <f t="shared" si="49"/>
        <v>0.19469357249626307</v>
      </c>
    </row>
    <row r="103" spans="1:24" ht="13.5" customHeight="1" x14ac:dyDescent="0.25">
      <c r="A103" s="149" t="s">
        <v>54</v>
      </c>
      <c r="B103" s="186" t="s">
        <v>55</v>
      </c>
      <c r="C103" s="150" t="s">
        <v>264</v>
      </c>
      <c r="D103" s="240">
        <v>49085</v>
      </c>
      <c r="E103" s="240">
        <v>33809</v>
      </c>
      <c r="F103" s="240">
        <v>15276</v>
      </c>
      <c r="G103" s="240">
        <v>2914</v>
      </c>
      <c r="H103" s="240">
        <v>12362</v>
      </c>
      <c r="I103" s="240"/>
      <c r="J103" s="1155">
        <f t="shared" si="41"/>
        <v>0.68878476112865439</v>
      </c>
      <c r="K103" s="1155">
        <f t="shared" si="42"/>
        <v>0.31121523887134561</v>
      </c>
      <c r="L103" s="1155">
        <f t="shared" si="43"/>
        <v>5.9366405215442598E-2</v>
      </c>
      <c r="M103" s="1155">
        <f t="shared" si="44"/>
        <v>0.25184883365590305</v>
      </c>
      <c r="O103" s="1156">
        <f t="shared" si="45"/>
        <v>14148</v>
      </c>
      <c r="P103" s="1156">
        <v>9661</v>
      </c>
      <c r="Q103" s="1156">
        <v>4487</v>
      </c>
      <c r="R103" s="1156">
        <v>1010</v>
      </c>
      <c r="S103" s="1156">
        <v>3477</v>
      </c>
      <c r="U103" s="1157">
        <f t="shared" si="46"/>
        <v>0.68285270002827259</v>
      </c>
      <c r="V103" s="1157">
        <f t="shared" si="47"/>
        <v>0.31714729997172747</v>
      </c>
      <c r="W103" s="1157">
        <f t="shared" si="48"/>
        <v>7.1388182075204976E-2</v>
      </c>
      <c r="X103" s="1157">
        <f t="shared" si="49"/>
        <v>0.24575911789652247</v>
      </c>
    </row>
    <row r="104" spans="1:24" ht="13.5" customHeight="1" x14ac:dyDescent="0.25">
      <c r="A104" s="149" t="s">
        <v>66</v>
      </c>
      <c r="B104" s="186" t="s">
        <v>67</v>
      </c>
      <c r="C104" s="150" t="s">
        <v>265</v>
      </c>
      <c r="D104" s="240">
        <v>7677</v>
      </c>
      <c r="E104" s="240">
        <v>3633</v>
      </c>
      <c r="F104" s="240">
        <v>4044</v>
      </c>
      <c r="G104" s="240">
        <v>499</v>
      </c>
      <c r="H104" s="240">
        <v>3545</v>
      </c>
      <c r="I104" s="240"/>
      <c r="J104" s="1155">
        <f t="shared" si="41"/>
        <v>0.47323173114497852</v>
      </c>
      <c r="K104" s="1155">
        <f t="shared" si="42"/>
        <v>0.52676826885502148</v>
      </c>
      <c r="L104" s="1155">
        <f t="shared" si="43"/>
        <v>6.4999348703920809E-2</v>
      </c>
      <c r="M104" s="1155">
        <f t="shared" si="44"/>
        <v>0.46176892015110071</v>
      </c>
      <c r="O104" s="1156">
        <f t="shared" si="45"/>
        <v>2655</v>
      </c>
      <c r="P104" s="1156">
        <v>1253</v>
      </c>
      <c r="Q104" s="1156">
        <v>1402</v>
      </c>
      <c r="R104" s="1156">
        <v>191</v>
      </c>
      <c r="S104" s="1156">
        <v>1211</v>
      </c>
      <c r="U104" s="1157">
        <f t="shared" si="46"/>
        <v>0.47193973634651598</v>
      </c>
      <c r="V104" s="1157">
        <f t="shared" si="47"/>
        <v>0.52806026365348402</v>
      </c>
      <c r="W104" s="1157">
        <f t="shared" si="48"/>
        <v>7.1939736346516014E-2</v>
      </c>
      <c r="X104" s="1157">
        <f t="shared" si="49"/>
        <v>0.456120527306968</v>
      </c>
    </row>
    <row r="105" spans="1:24" ht="13.5" customHeight="1" x14ac:dyDescent="0.25">
      <c r="A105" s="149" t="s">
        <v>82</v>
      </c>
      <c r="B105" s="186" t="s">
        <v>83</v>
      </c>
      <c r="C105" s="150" t="s">
        <v>264</v>
      </c>
      <c r="D105" s="240">
        <v>1674</v>
      </c>
      <c r="E105" s="240">
        <v>799</v>
      </c>
      <c r="F105" s="240">
        <v>875</v>
      </c>
      <c r="G105" s="240">
        <v>0</v>
      </c>
      <c r="H105" s="240">
        <v>875</v>
      </c>
      <c r="I105" s="240"/>
      <c r="J105" s="1155">
        <f t="shared" si="41"/>
        <v>0.477299880525687</v>
      </c>
      <c r="K105" s="1155">
        <f t="shared" si="42"/>
        <v>0.52270011947431305</v>
      </c>
      <c r="L105" s="1155">
        <f t="shared" si="43"/>
        <v>0</v>
      </c>
      <c r="M105" s="1155">
        <f t="shared" si="44"/>
        <v>0.52270011947431305</v>
      </c>
      <c r="O105" s="1156">
        <f t="shared" si="45"/>
        <v>467</v>
      </c>
      <c r="P105" s="1156">
        <v>208</v>
      </c>
      <c r="Q105" s="1156">
        <v>259</v>
      </c>
      <c r="R105" s="1156">
        <v>0</v>
      </c>
      <c r="S105" s="1156">
        <v>259</v>
      </c>
      <c r="U105" s="1157">
        <f t="shared" si="46"/>
        <v>0.44539614561027835</v>
      </c>
      <c r="V105" s="1157">
        <f t="shared" si="47"/>
        <v>0.5546038543897216</v>
      </c>
      <c r="W105" s="1157">
        <f t="shared" si="48"/>
        <v>0</v>
      </c>
      <c r="X105" s="1157">
        <f t="shared" si="49"/>
        <v>0.5546038543897216</v>
      </c>
    </row>
    <row r="106" spans="1:24" ht="13.5" customHeight="1" x14ac:dyDescent="0.25">
      <c r="A106" s="149" t="s">
        <v>88</v>
      </c>
      <c r="B106" s="186" t="s">
        <v>89</v>
      </c>
      <c r="C106" s="150" t="s">
        <v>267</v>
      </c>
      <c r="D106" s="240">
        <v>5283</v>
      </c>
      <c r="E106" s="240">
        <v>2682</v>
      </c>
      <c r="F106" s="240">
        <v>2601</v>
      </c>
      <c r="G106" s="240">
        <v>97</v>
      </c>
      <c r="H106" s="240">
        <v>2504</v>
      </c>
      <c r="I106" s="240"/>
      <c r="J106" s="1155">
        <f t="shared" si="41"/>
        <v>0.50766609880749569</v>
      </c>
      <c r="K106" s="1155">
        <f t="shared" si="42"/>
        <v>0.49233390119250425</v>
      </c>
      <c r="L106" s="1155">
        <f t="shared" si="43"/>
        <v>1.836077985992807E-2</v>
      </c>
      <c r="M106" s="1155">
        <f t="shared" si="44"/>
        <v>0.47397312133257619</v>
      </c>
      <c r="O106" s="1156">
        <f t="shared" si="45"/>
        <v>2166</v>
      </c>
      <c r="P106" s="1156">
        <v>1218</v>
      </c>
      <c r="Q106" s="1156">
        <v>948</v>
      </c>
      <c r="R106" s="1156">
        <v>25</v>
      </c>
      <c r="S106" s="1156">
        <v>923</v>
      </c>
      <c r="U106" s="1157">
        <f t="shared" si="46"/>
        <v>0.56232686980609414</v>
      </c>
      <c r="V106" s="1157">
        <f t="shared" si="47"/>
        <v>0.4376731301939058</v>
      </c>
      <c r="W106" s="1157">
        <f t="shared" si="48"/>
        <v>1.1542012927054479E-2</v>
      </c>
      <c r="X106" s="1157">
        <f t="shared" si="49"/>
        <v>0.42613111726685132</v>
      </c>
    </row>
    <row r="107" spans="1:24" ht="13.5" customHeight="1" x14ac:dyDescent="0.25">
      <c r="A107" s="149" t="s">
        <v>90</v>
      </c>
      <c r="B107" s="186" t="s">
        <v>91</v>
      </c>
      <c r="C107" s="150" t="s">
        <v>268</v>
      </c>
      <c r="D107" s="240">
        <v>1308</v>
      </c>
      <c r="E107" s="240">
        <v>740</v>
      </c>
      <c r="F107" s="240">
        <v>568</v>
      </c>
      <c r="G107" s="240">
        <v>186</v>
      </c>
      <c r="H107" s="240">
        <v>382</v>
      </c>
      <c r="I107" s="240"/>
      <c r="J107" s="1155">
        <f t="shared" si="41"/>
        <v>0.56574923547400613</v>
      </c>
      <c r="K107" s="1155">
        <f t="shared" si="42"/>
        <v>0.43425076452599387</v>
      </c>
      <c r="L107" s="1155">
        <f t="shared" si="43"/>
        <v>0.14220183486238533</v>
      </c>
      <c r="M107" s="1155">
        <f t="shared" si="44"/>
        <v>0.29204892966360857</v>
      </c>
      <c r="O107" s="1156">
        <f t="shared" si="45"/>
        <v>333</v>
      </c>
      <c r="P107" s="1156">
        <v>178</v>
      </c>
      <c r="Q107" s="1156">
        <v>155</v>
      </c>
      <c r="R107" s="1156">
        <v>15</v>
      </c>
      <c r="S107" s="1156">
        <v>140</v>
      </c>
      <c r="U107" s="1157">
        <f t="shared" si="46"/>
        <v>0.53453453453453459</v>
      </c>
      <c r="V107" s="1157">
        <f t="shared" si="47"/>
        <v>0.46546546546546547</v>
      </c>
      <c r="W107" s="1157">
        <f t="shared" si="48"/>
        <v>4.5045045045045043E-2</v>
      </c>
      <c r="X107" s="1157">
        <f t="shared" si="49"/>
        <v>0.42042042042042044</v>
      </c>
    </row>
    <row r="108" spans="1:24" ht="13.5" customHeight="1" x14ac:dyDescent="0.25">
      <c r="A108" s="149" t="s">
        <v>106</v>
      </c>
      <c r="B108" s="186" t="s">
        <v>107</v>
      </c>
      <c r="C108" s="150" t="s">
        <v>264</v>
      </c>
      <c r="D108" s="240">
        <v>25153</v>
      </c>
      <c r="E108" s="240">
        <v>13097</v>
      </c>
      <c r="F108" s="240">
        <v>12056</v>
      </c>
      <c r="G108" s="240">
        <v>1532</v>
      </c>
      <c r="H108" s="240">
        <v>10524</v>
      </c>
      <c r="I108" s="240"/>
      <c r="J108" s="1155">
        <f t="shared" si="41"/>
        <v>0.52069335665725758</v>
      </c>
      <c r="K108" s="1155">
        <f t="shared" si="42"/>
        <v>0.47930664334274242</v>
      </c>
      <c r="L108" s="1155">
        <f t="shared" si="43"/>
        <v>6.0907247644416171E-2</v>
      </c>
      <c r="M108" s="1155">
        <f t="shared" si="44"/>
        <v>0.41839939569832624</v>
      </c>
      <c r="O108" s="1156">
        <f t="shared" si="45"/>
        <v>8464</v>
      </c>
      <c r="P108" s="1156">
        <v>4883</v>
      </c>
      <c r="Q108" s="1156">
        <v>3581</v>
      </c>
      <c r="R108" s="1156">
        <v>468</v>
      </c>
      <c r="S108" s="1156">
        <v>3113</v>
      </c>
      <c r="U108" s="1157">
        <f t="shared" si="46"/>
        <v>0.57691398865784504</v>
      </c>
      <c r="V108" s="1157">
        <f t="shared" si="47"/>
        <v>0.42308601134215501</v>
      </c>
      <c r="W108" s="1157">
        <f t="shared" si="48"/>
        <v>5.5293005671077505E-2</v>
      </c>
      <c r="X108" s="1157">
        <f t="shared" si="49"/>
        <v>0.36779300567107748</v>
      </c>
    </row>
    <row r="109" spans="1:24" ht="13.5" customHeight="1" x14ac:dyDescent="0.25">
      <c r="A109" s="149" t="s">
        <v>116</v>
      </c>
      <c r="B109" s="186" t="s">
        <v>117</v>
      </c>
      <c r="C109" s="150" t="s">
        <v>266</v>
      </c>
      <c r="D109" s="240">
        <v>4973</v>
      </c>
      <c r="E109" s="240">
        <v>2477</v>
      </c>
      <c r="F109" s="240">
        <v>2496</v>
      </c>
      <c r="G109" s="240">
        <v>455</v>
      </c>
      <c r="H109" s="240">
        <v>2041</v>
      </c>
      <c r="I109" s="240"/>
      <c r="J109" s="1155">
        <f t="shared" si="41"/>
        <v>0.49808968429519407</v>
      </c>
      <c r="K109" s="1155">
        <f t="shared" si="42"/>
        <v>0.50191031570480593</v>
      </c>
      <c r="L109" s="1155">
        <f t="shared" si="43"/>
        <v>9.1494067967021919E-2</v>
      </c>
      <c r="M109" s="1155">
        <f t="shared" si="44"/>
        <v>0.41041624773778401</v>
      </c>
      <c r="O109" s="1156">
        <f t="shared" si="45"/>
        <v>1619</v>
      </c>
      <c r="P109" s="1156">
        <v>815</v>
      </c>
      <c r="Q109" s="1156">
        <v>804</v>
      </c>
      <c r="R109" s="1156">
        <v>261</v>
      </c>
      <c r="S109" s="1156">
        <v>543</v>
      </c>
      <c r="U109" s="1157">
        <f t="shared" si="46"/>
        <v>0.50339715873996294</v>
      </c>
      <c r="V109" s="1157">
        <f t="shared" si="47"/>
        <v>0.49660284126003706</v>
      </c>
      <c r="W109" s="1157">
        <f t="shared" si="48"/>
        <v>0.1612106238418777</v>
      </c>
      <c r="X109" s="1157">
        <f t="shared" si="49"/>
        <v>0.33539221741815933</v>
      </c>
    </row>
    <row r="110" spans="1:24" ht="13.5" customHeight="1" x14ac:dyDescent="0.25">
      <c r="A110" s="149" t="s">
        <v>138</v>
      </c>
      <c r="B110" s="186" t="s">
        <v>139</v>
      </c>
      <c r="C110" s="150" t="s">
        <v>265</v>
      </c>
      <c r="D110" s="240">
        <v>13455</v>
      </c>
      <c r="E110" s="240">
        <v>7530</v>
      </c>
      <c r="F110" s="240">
        <v>5925</v>
      </c>
      <c r="G110" s="240">
        <v>870</v>
      </c>
      <c r="H110" s="240">
        <v>5055</v>
      </c>
      <c r="I110" s="240"/>
      <c r="J110" s="1155">
        <f t="shared" si="41"/>
        <v>0.55964325529542924</v>
      </c>
      <c r="K110" s="1155">
        <f t="shared" si="42"/>
        <v>0.44035674470457081</v>
      </c>
      <c r="L110" s="1155">
        <f t="shared" si="43"/>
        <v>6.4659977703455968E-2</v>
      </c>
      <c r="M110" s="1155">
        <f t="shared" si="44"/>
        <v>0.37569676700111482</v>
      </c>
      <c r="O110" s="1156">
        <f t="shared" si="45"/>
        <v>4766</v>
      </c>
      <c r="P110" s="1156">
        <v>3081</v>
      </c>
      <c r="Q110" s="1156">
        <v>1685</v>
      </c>
      <c r="R110" s="1156">
        <v>231</v>
      </c>
      <c r="S110" s="1156">
        <v>1454</v>
      </c>
      <c r="U110" s="1157">
        <f t="shared" si="46"/>
        <v>0.64645404951741503</v>
      </c>
      <c r="V110" s="1157">
        <f t="shared" si="47"/>
        <v>0.35354595048258497</v>
      </c>
      <c r="W110" s="1157">
        <f t="shared" si="48"/>
        <v>4.8468317247167436E-2</v>
      </c>
      <c r="X110" s="1157">
        <f t="shared" si="49"/>
        <v>0.30507763323541753</v>
      </c>
    </row>
    <row r="111" spans="1:24" ht="13.5" customHeight="1" x14ac:dyDescent="0.25">
      <c r="A111" s="149" t="s">
        <v>142</v>
      </c>
      <c r="B111" s="186" t="s">
        <v>273</v>
      </c>
      <c r="C111" s="150" t="s">
        <v>267</v>
      </c>
      <c r="D111" s="240">
        <v>9737</v>
      </c>
      <c r="E111" s="240">
        <v>7606</v>
      </c>
      <c r="F111" s="240">
        <v>2131</v>
      </c>
      <c r="G111" s="240">
        <v>493</v>
      </c>
      <c r="H111" s="240">
        <v>1638</v>
      </c>
      <c r="I111" s="240"/>
      <c r="J111" s="1155">
        <f t="shared" si="41"/>
        <v>0.78114408955530445</v>
      </c>
      <c r="K111" s="1155">
        <f t="shared" si="42"/>
        <v>0.21885591044469549</v>
      </c>
      <c r="L111" s="1155">
        <f t="shared" si="43"/>
        <v>5.0631611379274931E-2</v>
      </c>
      <c r="M111" s="1155">
        <f t="shared" si="44"/>
        <v>0.16822429906542055</v>
      </c>
      <c r="O111" s="1156">
        <f t="shared" si="45"/>
        <v>3449</v>
      </c>
      <c r="P111" s="1156">
        <v>2814</v>
      </c>
      <c r="Q111" s="1156">
        <v>635</v>
      </c>
      <c r="R111" s="1156">
        <v>131</v>
      </c>
      <c r="S111" s="1156">
        <v>504</v>
      </c>
      <c r="U111" s="1157">
        <f t="shared" si="46"/>
        <v>0.8158886633806901</v>
      </c>
      <c r="V111" s="1157">
        <f t="shared" si="47"/>
        <v>0.18411133661930995</v>
      </c>
      <c r="W111" s="1157">
        <f t="shared" si="48"/>
        <v>3.798202377500725E-2</v>
      </c>
      <c r="X111" s="1157">
        <f t="shared" si="49"/>
        <v>0.14612931284430269</v>
      </c>
    </row>
    <row r="112" spans="1:24" ht="13.5" customHeight="1" x14ac:dyDescent="0.25">
      <c r="A112" s="149" t="s">
        <v>144</v>
      </c>
      <c r="B112" s="186" t="s">
        <v>145</v>
      </c>
      <c r="C112" s="150" t="s">
        <v>267</v>
      </c>
      <c r="D112" s="240">
        <v>3709</v>
      </c>
      <c r="E112" s="240">
        <v>2925</v>
      </c>
      <c r="F112" s="240">
        <v>784</v>
      </c>
      <c r="G112" s="240">
        <v>183</v>
      </c>
      <c r="H112" s="240">
        <v>601</v>
      </c>
      <c r="I112" s="240"/>
      <c r="J112" s="1155">
        <f t="shared" si="41"/>
        <v>0.78862227015368025</v>
      </c>
      <c r="K112" s="1155">
        <f t="shared" si="42"/>
        <v>0.21137772984631975</v>
      </c>
      <c r="L112" s="1155">
        <f t="shared" si="43"/>
        <v>4.9339444594230251E-2</v>
      </c>
      <c r="M112" s="1155">
        <f t="shared" si="44"/>
        <v>0.16203828525208952</v>
      </c>
      <c r="O112" s="1156">
        <f t="shared" si="45"/>
        <v>1295</v>
      </c>
      <c r="P112" s="1156">
        <v>1042</v>
      </c>
      <c r="Q112" s="1156">
        <v>253</v>
      </c>
      <c r="R112" s="1156">
        <v>31</v>
      </c>
      <c r="S112" s="1156">
        <v>222</v>
      </c>
      <c r="U112" s="1157">
        <f t="shared" si="46"/>
        <v>0.80463320463320465</v>
      </c>
      <c r="V112" s="1157">
        <f t="shared" si="47"/>
        <v>0.19536679536679535</v>
      </c>
      <c r="W112" s="1157">
        <f t="shared" si="48"/>
        <v>2.3938223938223938E-2</v>
      </c>
      <c r="X112" s="1157">
        <f t="shared" si="49"/>
        <v>0.17142857142857143</v>
      </c>
    </row>
    <row r="113" spans="1:24" ht="13.5" customHeight="1" x14ac:dyDescent="0.25">
      <c r="A113" s="149" t="s">
        <v>158</v>
      </c>
      <c r="B113" s="186" t="s">
        <v>159</v>
      </c>
      <c r="C113" s="150" t="s">
        <v>264</v>
      </c>
      <c r="D113" s="240">
        <v>36617</v>
      </c>
      <c r="E113" s="240">
        <v>20384</v>
      </c>
      <c r="F113" s="240">
        <v>16233</v>
      </c>
      <c r="G113" s="240">
        <v>2509</v>
      </c>
      <c r="H113" s="240">
        <v>13724</v>
      </c>
      <c r="I113" s="240"/>
      <c r="J113" s="1155">
        <f t="shared" si="41"/>
        <v>0.55668132288281402</v>
      </c>
      <c r="K113" s="1155">
        <f t="shared" si="42"/>
        <v>0.44331867711718603</v>
      </c>
      <c r="L113" s="1155">
        <f t="shared" si="43"/>
        <v>6.8520086298713714E-2</v>
      </c>
      <c r="M113" s="1155">
        <f t="shared" si="44"/>
        <v>0.37479859081847228</v>
      </c>
      <c r="O113" s="1156">
        <f t="shared" si="45"/>
        <v>13862</v>
      </c>
      <c r="P113" s="1156">
        <v>7850</v>
      </c>
      <c r="Q113" s="1156">
        <v>6012</v>
      </c>
      <c r="R113" s="1156">
        <v>830</v>
      </c>
      <c r="S113" s="1156">
        <v>5182</v>
      </c>
      <c r="U113" s="1157">
        <f t="shared" si="46"/>
        <v>0.56629634973308329</v>
      </c>
      <c r="V113" s="1157">
        <f t="shared" si="47"/>
        <v>0.43370365026691676</v>
      </c>
      <c r="W113" s="1157">
        <f t="shared" si="48"/>
        <v>5.9875919780695425E-2</v>
      </c>
      <c r="X113" s="1157">
        <f t="shared" si="49"/>
        <v>0.37382773048622131</v>
      </c>
    </row>
    <row r="114" spans="1:24" ht="13.5" customHeight="1" x14ac:dyDescent="0.25">
      <c r="A114" s="149" t="s">
        <v>160</v>
      </c>
      <c r="B114" s="186" t="s">
        <v>161</v>
      </c>
      <c r="C114" s="150" t="s">
        <v>264</v>
      </c>
      <c r="D114" s="240">
        <v>42190</v>
      </c>
      <c r="E114" s="240">
        <v>21896</v>
      </c>
      <c r="F114" s="240">
        <v>20294</v>
      </c>
      <c r="G114" s="240">
        <v>2957</v>
      </c>
      <c r="H114" s="240">
        <v>17337</v>
      </c>
      <c r="I114" s="240"/>
      <c r="J114" s="1155">
        <f t="shared" si="41"/>
        <v>0.51898554159753496</v>
      </c>
      <c r="K114" s="1155">
        <f t="shared" si="42"/>
        <v>0.48101445840246504</v>
      </c>
      <c r="L114" s="1155">
        <f t="shared" si="43"/>
        <v>7.0087698506755156E-2</v>
      </c>
      <c r="M114" s="1155">
        <f t="shared" si="44"/>
        <v>0.41092675989570987</v>
      </c>
      <c r="O114" s="1156">
        <f t="shared" si="45"/>
        <v>17167</v>
      </c>
      <c r="P114" s="1156">
        <v>9585</v>
      </c>
      <c r="Q114" s="1156">
        <v>7582</v>
      </c>
      <c r="R114" s="1156">
        <v>1060</v>
      </c>
      <c r="S114" s="1156">
        <v>6522</v>
      </c>
      <c r="U114" s="1157">
        <f t="shared" si="46"/>
        <v>0.55833867303547502</v>
      </c>
      <c r="V114" s="1157">
        <f t="shared" si="47"/>
        <v>0.44166132696452498</v>
      </c>
      <c r="W114" s="1157">
        <f t="shared" si="48"/>
        <v>6.1746373856818311E-2</v>
      </c>
      <c r="X114" s="1157">
        <f t="shared" si="49"/>
        <v>0.37991495310770662</v>
      </c>
    </row>
    <row r="115" spans="1:24" ht="13.5" customHeight="1" x14ac:dyDescent="0.25">
      <c r="A115" s="149" t="s">
        <v>166</v>
      </c>
      <c r="B115" s="186" t="s">
        <v>167</v>
      </c>
      <c r="C115" s="150" t="s">
        <v>268</v>
      </c>
      <c r="D115" s="240">
        <v>708</v>
      </c>
      <c r="E115" s="240">
        <v>401</v>
      </c>
      <c r="F115" s="240">
        <v>307</v>
      </c>
      <c r="G115" s="240">
        <v>56</v>
      </c>
      <c r="H115" s="240">
        <v>251</v>
      </c>
      <c r="I115" s="240"/>
      <c r="J115" s="1155">
        <f t="shared" si="41"/>
        <v>0.56638418079096042</v>
      </c>
      <c r="K115" s="1155">
        <f t="shared" si="42"/>
        <v>0.43361581920903952</v>
      </c>
      <c r="L115" s="1155">
        <f t="shared" si="43"/>
        <v>7.909604519774012E-2</v>
      </c>
      <c r="M115" s="1155">
        <f t="shared" si="44"/>
        <v>0.35451977401129942</v>
      </c>
      <c r="O115" s="1156">
        <f t="shared" si="45"/>
        <v>315</v>
      </c>
      <c r="P115" s="1156">
        <v>140</v>
      </c>
      <c r="Q115" s="1156">
        <v>175</v>
      </c>
      <c r="R115" s="1156">
        <v>33</v>
      </c>
      <c r="S115" s="1156">
        <v>142</v>
      </c>
      <c r="U115" s="1157">
        <f t="shared" si="46"/>
        <v>0.44444444444444442</v>
      </c>
      <c r="V115" s="1157">
        <f t="shared" si="47"/>
        <v>0.55555555555555558</v>
      </c>
      <c r="W115" s="1157">
        <f t="shared" si="48"/>
        <v>0.10476190476190476</v>
      </c>
      <c r="X115" s="1157">
        <f t="shared" si="49"/>
        <v>0.4507936507936508</v>
      </c>
    </row>
    <row r="116" spans="1:24" ht="13.5" customHeight="1" x14ac:dyDescent="0.25">
      <c r="A116" s="149" t="s">
        <v>176</v>
      </c>
      <c r="B116" s="186" t="s">
        <v>177</v>
      </c>
      <c r="C116" s="150" t="s">
        <v>266</v>
      </c>
      <c r="D116" s="240">
        <v>5583</v>
      </c>
      <c r="E116" s="240">
        <v>1940</v>
      </c>
      <c r="F116" s="240">
        <v>3643</v>
      </c>
      <c r="G116" s="240">
        <v>321</v>
      </c>
      <c r="H116" s="240">
        <v>3322</v>
      </c>
      <c r="I116" s="240"/>
      <c r="J116" s="1155">
        <f t="shared" si="41"/>
        <v>0.3474834318466774</v>
      </c>
      <c r="K116" s="1155">
        <f t="shared" si="42"/>
        <v>0.6525165681533226</v>
      </c>
      <c r="L116" s="1155">
        <f t="shared" si="43"/>
        <v>5.7495969908651259E-2</v>
      </c>
      <c r="M116" s="1155">
        <f t="shared" si="44"/>
        <v>0.59502059824467135</v>
      </c>
      <c r="O116" s="1156">
        <f t="shared" si="45"/>
        <v>2057</v>
      </c>
      <c r="P116" s="1156">
        <v>760</v>
      </c>
      <c r="Q116" s="1156">
        <v>1297</v>
      </c>
      <c r="R116" s="1156">
        <v>142</v>
      </c>
      <c r="S116" s="1156">
        <v>1155</v>
      </c>
      <c r="U116" s="1157">
        <f t="shared" si="46"/>
        <v>0.36947010209042297</v>
      </c>
      <c r="V116" s="1157">
        <f t="shared" si="47"/>
        <v>0.63052989790957703</v>
      </c>
      <c r="W116" s="1157">
        <f t="shared" si="48"/>
        <v>6.9032571706368492E-2</v>
      </c>
      <c r="X116" s="1157">
        <f t="shared" si="49"/>
        <v>0.56149732620320858</v>
      </c>
    </row>
    <row r="117" spans="1:24" ht="13.5" customHeight="1" x14ac:dyDescent="0.25">
      <c r="A117" s="149" t="s">
        <v>180</v>
      </c>
      <c r="B117" s="186" t="s">
        <v>181</v>
      </c>
      <c r="C117" s="150" t="s">
        <v>264</v>
      </c>
      <c r="D117" s="240">
        <v>18291</v>
      </c>
      <c r="E117" s="240">
        <v>8198</v>
      </c>
      <c r="F117" s="240">
        <v>10093</v>
      </c>
      <c r="G117" s="240">
        <v>1526</v>
      </c>
      <c r="H117" s="240">
        <v>8567</v>
      </c>
      <c r="I117" s="240"/>
      <c r="J117" s="1155">
        <f t="shared" si="41"/>
        <v>0.44819856760155269</v>
      </c>
      <c r="K117" s="1155">
        <f t="shared" si="42"/>
        <v>0.55180143239844737</v>
      </c>
      <c r="L117" s="1155">
        <f t="shared" si="43"/>
        <v>8.3429008802143129E-2</v>
      </c>
      <c r="M117" s="1155">
        <f t="shared" si="44"/>
        <v>0.46837242359630421</v>
      </c>
      <c r="O117" s="1156">
        <f t="shared" si="45"/>
        <v>6785</v>
      </c>
      <c r="P117" s="1156">
        <v>3145</v>
      </c>
      <c r="Q117" s="1156">
        <v>3640</v>
      </c>
      <c r="R117" s="1156">
        <v>596</v>
      </c>
      <c r="S117" s="1156">
        <v>3044</v>
      </c>
      <c r="U117" s="1157">
        <f t="shared" si="46"/>
        <v>0.46352247605011054</v>
      </c>
      <c r="V117" s="1157">
        <f t="shared" si="47"/>
        <v>0.53647752394988946</v>
      </c>
      <c r="W117" s="1157">
        <f t="shared" si="48"/>
        <v>8.7840825350036844E-2</v>
      </c>
      <c r="X117" s="1157">
        <f t="shared" si="49"/>
        <v>0.44863669859985261</v>
      </c>
    </row>
    <row r="118" spans="1:24" ht="13.5" customHeight="1" x14ac:dyDescent="0.25">
      <c r="A118" s="149" t="s">
        <v>192</v>
      </c>
      <c r="B118" s="186" t="s">
        <v>193</v>
      </c>
      <c r="C118" s="150" t="s">
        <v>268</v>
      </c>
      <c r="D118" s="240">
        <v>1771</v>
      </c>
      <c r="E118" s="240">
        <v>1151</v>
      </c>
      <c r="F118" s="240">
        <v>620</v>
      </c>
      <c r="G118" s="240">
        <v>58</v>
      </c>
      <c r="H118" s="240">
        <v>562</v>
      </c>
      <c r="I118" s="240"/>
      <c r="J118" s="1155">
        <f t="shared" si="41"/>
        <v>0.64991530208921511</v>
      </c>
      <c r="K118" s="1155">
        <f t="shared" si="42"/>
        <v>0.35008469791078489</v>
      </c>
      <c r="L118" s="1155">
        <f t="shared" si="43"/>
        <v>3.274985883681536E-2</v>
      </c>
      <c r="M118" s="1155">
        <f t="shared" si="44"/>
        <v>0.31733483907396953</v>
      </c>
      <c r="O118" s="1156">
        <f t="shared" si="45"/>
        <v>487</v>
      </c>
      <c r="P118" s="1156">
        <v>383</v>
      </c>
      <c r="Q118" s="1156">
        <v>104</v>
      </c>
      <c r="R118" s="1156">
        <v>0</v>
      </c>
      <c r="S118" s="1156">
        <v>104</v>
      </c>
      <c r="U118" s="1157">
        <f t="shared" si="46"/>
        <v>0.78644763860369615</v>
      </c>
      <c r="V118" s="1157">
        <f t="shared" si="47"/>
        <v>0.2135523613963039</v>
      </c>
      <c r="W118" s="1157">
        <f t="shared" si="48"/>
        <v>0</v>
      </c>
      <c r="X118" s="1157">
        <f t="shared" si="49"/>
        <v>0.2135523613963039</v>
      </c>
    </row>
    <row r="119" spans="1:24" ht="13.5" customHeight="1" x14ac:dyDescent="0.25">
      <c r="A119" s="149" t="s">
        <v>196</v>
      </c>
      <c r="B119" s="186" t="s">
        <v>197</v>
      </c>
      <c r="C119" s="150" t="s">
        <v>266</v>
      </c>
      <c r="D119" s="240">
        <v>33202</v>
      </c>
      <c r="E119" s="240">
        <v>12727</v>
      </c>
      <c r="F119" s="240">
        <v>20475</v>
      </c>
      <c r="G119" s="240">
        <v>2644</v>
      </c>
      <c r="H119" s="240">
        <v>17831</v>
      </c>
      <c r="I119" s="240"/>
      <c r="J119" s="1155">
        <f t="shared" si="41"/>
        <v>0.38332028191072826</v>
      </c>
      <c r="K119" s="1155">
        <f t="shared" si="42"/>
        <v>0.61667971808927169</v>
      </c>
      <c r="L119" s="1155">
        <f t="shared" si="43"/>
        <v>7.9633757002590205E-2</v>
      </c>
      <c r="M119" s="1155">
        <f t="shared" si="44"/>
        <v>0.53704596108668157</v>
      </c>
      <c r="O119" s="1156">
        <f t="shared" si="45"/>
        <v>13808</v>
      </c>
      <c r="P119" s="1156">
        <v>6060</v>
      </c>
      <c r="Q119" s="1156">
        <v>7748</v>
      </c>
      <c r="R119" s="1156">
        <v>1286</v>
      </c>
      <c r="S119" s="1156">
        <v>6462</v>
      </c>
      <c r="U119" s="1157">
        <f t="shared" si="46"/>
        <v>0.4388760139049826</v>
      </c>
      <c r="V119" s="1157">
        <f t="shared" si="47"/>
        <v>0.56112398609501735</v>
      </c>
      <c r="W119" s="1157">
        <f t="shared" si="48"/>
        <v>9.3134414831981455E-2</v>
      </c>
      <c r="X119" s="1157">
        <f t="shared" si="49"/>
        <v>0.46798957126303592</v>
      </c>
    </row>
    <row r="120" spans="1:24" ht="13.5" customHeight="1" x14ac:dyDescent="0.25">
      <c r="A120" s="149" t="s">
        <v>200</v>
      </c>
      <c r="B120" s="186" t="s">
        <v>201</v>
      </c>
      <c r="C120" s="150" t="s">
        <v>265</v>
      </c>
      <c r="D120" s="240">
        <v>18839</v>
      </c>
      <c r="E120" s="240">
        <v>10062</v>
      </c>
      <c r="F120" s="240">
        <v>8777</v>
      </c>
      <c r="G120" s="240">
        <v>1775</v>
      </c>
      <c r="H120" s="240">
        <v>7002</v>
      </c>
      <c r="I120" s="240"/>
      <c r="J120" s="1155">
        <f t="shared" si="41"/>
        <v>0.53410478263177452</v>
      </c>
      <c r="K120" s="1155">
        <f t="shared" si="42"/>
        <v>0.46589521736822548</v>
      </c>
      <c r="L120" s="1155">
        <f t="shared" si="43"/>
        <v>9.4219438399065769E-2</v>
      </c>
      <c r="M120" s="1155">
        <f t="shared" si="44"/>
        <v>0.37167577896915971</v>
      </c>
      <c r="O120" s="1156">
        <f t="shared" si="45"/>
        <v>6908</v>
      </c>
      <c r="P120" s="1156">
        <v>3895</v>
      </c>
      <c r="Q120" s="1156">
        <v>3013</v>
      </c>
      <c r="R120" s="1156">
        <v>630</v>
      </c>
      <c r="S120" s="1156">
        <v>2383</v>
      </c>
      <c r="U120" s="1157">
        <f t="shared" si="46"/>
        <v>0.56383902721482337</v>
      </c>
      <c r="V120" s="1157">
        <f t="shared" si="47"/>
        <v>0.43616097278517663</v>
      </c>
      <c r="W120" s="1157">
        <f t="shared" si="48"/>
        <v>9.1198610306890568E-2</v>
      </c>
      <c r="X120" s="1157">
        <f t="shared" si="49"/>
        <v>0.34496236247828604</v>
      </c>
    </row>
    <row r="121" spans="1:24" ht="13.5" customHeight="1" x14ac:dyDescent="0.25">
      <c r="A121" s="149" t="s">
        <v>222</v>
      </c>
      <c r="B121" s="186" t="s">
        <v>223</v>
      </c>
      <c r="C121" s="150" t="s">
        <v>264</v>
      </c>
      <c r="D121" s="240">
        <v>18566</v>
      </c>
      <c r="E121" s="240">
        <v>12183</v>
      </c>
      <c r="F121" s="240">
        <v>6383</v>
      </c>
      <c r="G121" s="240">
        <v>971</v>
      </c>
      <c r="H121" s="240">
        <v>5412</v>
      </c>
      <c r="I121" s="240"/>
      <c r="J121" s="1155">
        <f t="shared" si="41"/>
        <v>0.65619950447053754</v>
      </c>
      <c r="K121" s="1155">
        <f t="shared" si="42"/>
        <v>0.34380049552946246</v>
      </c>
      <c r="L121" s="1155">
        <f t="shared" si="43"/>
        <v>5.2299903048583431E-2</v>
      </c>
      <c r="M121" s="1155">
        <f t="shared" si="44"/>
        <v>0.29150059248087901</v>
      </c>
      <c r="O121" s="1156">
        <f t="shared" si="45"/>
        <v>5584</v>
      </c>
      <c r="P121" s="1156">
        <v>3681</v>
      </c>
      <c r="Q121" s="1156">
        <v>1903</v>
      </c>
      <c r="R121" s="1156">
        <v>369</v>
      </c>
      <c r="S121" s="1156">
        <v>1534</v>
      </c>
      <c r="U121" s="1157">
        <f t="shared" si="46"/>
        <v>0.65920487106017189</v>
      </c>
      <c r="V121" s="1157">
        <f t="shared" si="47"/>
        <v>0.34079512893982811</v>
      </c>
      <c r="W121" s="1157">
        <f t="shared" si="48"/>
        <v>6.6081661891117485E-2</v>
      </c>
      <c r="X121" s="1157">
        <f t="shared" si="49"/>
        <v>0.27471346704871058</v>
      </c>
    </row>
    <row r="122" spans="1:24" ht="13.5" customHeight="1" x14ac:dyDescent="0.25">
      <c r="A122" s="149" t="s">
        <v>230</v>
      </c>
      <c r="B122" s="186" t="s">
        <v>231</v>
      </c>
      <c r="C122" s="150" t="s">
        <v>264</v>
      </c>
      <c r="D122" s="240">
        <v>91112</v>
      </c>
      <c r="E122" s="240">
        <v>62562</v>
      </c>
      <c r="F122" s="240">
        <v>28550</v>
      </c>
      <c r="G122" s="240">
        <v>5510</v>
      </c>
      <c r="H122" s="240">
        <v>23040</v>
      </c>
      <c r="I122" s="240"/>
      <c r="J122" s="1155">
        <f t="shared" si="41"/>
        <v>0.68664939854245322</v>
      </c>
      <c r="K122" s="1155">
        <f t="shared" si="42"/>
        <v>0.31335060145754673</v>
      </c>
      <c r="L122" s="1155">
        <f t="shared" si="43"/>
        <v>6.0475019755904823E-2</v>
      </c>
      <c r="M122" s="1155">
        <f t="shared" si="44"/>
        <v>0.25287558170164193</v>
      </c>
      <c r="O122" s="1156">
        <f t="shared" si="45"/>
        <v>29829</v>
      </c>
      <c r="P122" s="1156">
        <v>21444</v>
      </c>
      <c r="Q122" s="1156">
        <v>8385</v>
      </c>
      <c r="R122" s="1156">
        <v>1661</v>
      </c>
      <c r="S122" s="1156">
        <v>6724</v>
      </c>
      <c r="U122" s="1157">
        <f t="shared" si="46"/>
        <v>0.71889771698682492</v>
      </c>
      <c r="V122" s="1157">
        <f t="shared" si="47"/>
        <v>0.28110228301317508</v>
      </c>
      <c r="W122" s="1157">
        <f t="shared" si="48"/>
        <v>5.568406584196587E-2</v>
      </c>
      <c r="X122" s="1157">
        <f t="shared" si="49"/>
        <v>0.22541821717120922</v>
      </c>
    </row>
    <row r="123" spans="1:24" ht="13.5" customHeight="1" x14ac:dyDescent="0.25">
      <c r="A123" s="149" t="s">
        <v>238</v>
      </c>
      <c r="B123" s="186" t="s">
        <v>239</v>
      </c>
      <c r="C123" s="150" t="s">
        <v>264</v>
      </c>
      <c r="D123" s="240">
        <v>1350</v>
      </c>
      <c r="E123" s="240">
        <v>969</v>
      </c>
      <c r="F123" s="240">
        <v>381</v>
      </c>
      <c r="G123" s="240">
        <v>163</v>
      </c>
      <c r="H123" s="240">
        <v>218</v>
      </c>
      <c r="I123" s="240"/>
      <c r="J123" s="1155">
        <f t="shared" si="41"/>
        <v>0.71777777777777774</v>
      </c>
      <c r="K123" s="1155">
        <f t="shared" si="42"/>
        <v>0.28222222222222221</v>
      </c>
      <c r="L123" s="1155">
        <f t="shared" si="43"/>
        <v>0.12074074074074075</v>
      </c>
      <c r="M123" s="1155">
        <f t="shared" si="44"/>
        <v>0.16148148148148148</v>
      </c>
      <c r="O123" s="1156">
        <f t="shared" si="45"/>
        <v>511</v>
      </c>
      <c r="P123" s="1156">
        <v>372</v>
      </c>
      <c r="Q123" s="1156">
        <v>139</v>
      </c>
      <c r="R123" s="1156">
        <v>50</v>
      </c>
      <c r="S123" s="1156">
        <v>89</v>
      </c>
      <c r="U123" s="1157">
        <f t="shared" si="46"/>
        <v>0.72798434442270055</v>
      </c>
      <c r="V123" s="1157">
        <f t="shared" si="47"/>
        <v>0.2720156555772994</v>
      </c>
      <c r="W123" s="1157">
        <f t="shared" si="48"/>
        <v>9.7847358121330719E-2</v>
      </c>
      <c r="X123" s="1157">
        <f t="shared" si="49"/>
        <v>0.17416829745596868</v>
      </c>
    </row>
    <row r="124" spans="1:24" ht="13.5" customHeight="1" x14ac:dyDescent="0.25">
      <c r="A124" s="155" t="s">
        <v>240</v>
      </c>
      <c r="B124" s="188" t="s">
        <v>241</v>
      </c>
      <c r="C124" s="156" t="s">
        <v>267</v>
      </c>
      <c r="D124" s="240">
        <v>5596</v>
      </c>
      <c r="E124" s="240">
        <v>3377</v>
      </c>
      <c r="F124" s="240">
        <v>2219</v>
      </c>
      <c r="G124" s="240">
        <v>556</v>
      </c>
      <c r="H124" s="240">
        <v>1663</v>
      </c>
      <c r="I124" s="240"/>
      <c r="J124" s="1155">
        <f t="shared" si="41"/>
        <v>0.60346676197283777</v>
      </c>
      <c r="K124" s="1155">
        <f t="shared" si="42"/>
        <v>0.39653323802716228</v>
      </c>
      <c r="L124" s="1155">
        <f t="shared" si="43"/>
        <v>9.935668334524661E-2</v>
      </c>
      <c r="M124" s="1155">
        <f t="shared" si="44"/>
        <v>0.29717655468191567</v>
      </c>
      <c r="O124" s="1156">
        <f t="shared" si="45"/>
        <v>1815</v>
      </c>
      <c r="P124" s="1156">
        <v>1091</v>
      </c>
      <c r="Q124" s="1156">
        <v>724</v>
      </c>
      <c r="R124" s="1156">
        <v>330</v>
      </c>
      <c r="S124" s="1156">
        <v>394</v>
      </c>
      <c r="U124" s="1157">
        <f t="shared" si="46"/>
        <v>0.60110192837465559</v>
      </c>
      <c r="V124" s="1157">
        <f t="shared" si="47"/>
        <v>0.39889807162534435</v>
      </c>
      <c r="W124" s="1157">
        <f t="shared" si="48"/>
        <v>0.18181818181818182</v>
      </c>
      <c r="X124" s="1157">
        <f t="shared" si="49"/>
        <v>0.21707988980716253</v>
      </c>
    </row>
    <row r="125" spans="1:24" x14ac:dyDescent="0.25">
      <c r="A125" s="277"/>
      <c r="B125" s="233"/>
      <c r="C125" s="278"/>
    </row>
    <row r="126" spans="1:24" x14ac:dyDescent="0.25">
      <c r="A126" s="277" t="s">
        <v>266</v>
      </c>
      <c r="B126" s="233"/>
      <c r="C126" s="278"/>
      <c r="D126" s="1167">
        <v>260259</v>
      </c>
      <c r="E126" s="1168">
        <v>172025</v>
      </c>
      <c r="F126" s="909">
        <v>88234</v>
      </c>
      <c r="G126" s="1617">
        <v>17052</v>
      </c>
      <c r="H126" s="1168">
        <v>71182</v>
      </c>
      <c r="J126" s="1155">
        <f t="shared" ref="J126:J130" si="50">E126/D126</f>
        <v>0.6609761814192785</v>
      </c>
      <c r="K126" s="1155">
        <f t="shared" ref="K126:K130" si="51">F126/D126</f>
        <v>0.3390238185807215</v>
      </c>
      <c r="L126" s="1155">
        <f t="shared" ref="L126:L130" si="52">G126/D126</f>
        <v>6.5519348034073749E-2</v>
      </c>
      <c r="M126" s="1155">
        <f t="shared" ref="M126:M130" si="53">H126/D126</f>
        <v>0.27350447054664778</v>
      </c>
      <c r="O126" s="909">
        <f t="shared" ref="O126:O130" si="54">P126+Q126</f>
        <v>81427</v>
      </c>
      <c r="P126" s="909">
        <v>54087</v>
      </c>
      <c r="Q126" s="1468">
        <v>27340</v>
      </c>
      <c r="R126" s="909">
        <v>6333</v>
      </c>
      <c r="S126" s="909">
        <v>21007</v>
      </c>
      <c r="U126" s="1157">
        <f t="shared" ref="U126:U130" si="55">P126/O126</f>
        <v>0.6642391344394365</v>
      </c>
      <c r="V126" s="1157">
        <f t="shared" ref="V126:V130" si="56">Q126/O126</f>
        <v>0.33576086556056345</v>
      </c>
      <c r="W126" s="1157">
        <f t="shared" ref="W126:W130" si="57">R126/O126</f>
        <v>7.7775185135151734E-2</v>
      </c>
      <c r="X126" s="1157">
        <f t="shared" ref="X126:X130" si="58">S126/O126</f>
        <v>0.2579856804254117</v>
      </c>
    </row>
    <row r="127" spans="1:24" x14ac:dyDescent="0.25">
      <c r="A127" s="277" t="s">
        <v>264</v>
      </c>
      <c r="B127" s="233"/>
      <c r="C127" s="278"/>
      <c r="D127" s="1468">
        <v>359990</v>
      </c>
      <c r="E127" s="909">
        <v>228298</v>
      </c>
      <c r="F127" s="909">
        <v>131692</v>
      </c>
      <c r="G127" s="1468">
        <v>22559</v>
      </c>
      <c r="H127" s="909">
        <v>109133</v>
      </c>
      <c r="J127" s="1155">
        <f t="shared" si="50"/>
        <v>0.6341787271868663</v>
      </c>
      <c r="K127" s="1155">
        <f t="shared" si="51"/>
        <v>0.3658212728131337</v>
      </c>
      <c r="L127" s="1155">
        <f t="shared" si="52"/>
        <v>6.266562960082224E-2</v>
      </c>
      <c r="M127" s="1155">
        <f t="shared" si="53"/>
        <v>0.30315564321231148</v>
      </c>
      <c r="O127" s="909">
        <f t="shared" si="54"/>
        <v>118581</v>
      </c>
      <c r="P127" s="909">
        <v>76334</v>
      </c>
      <c r="Q127" s="1468">
        <v>42247</v>
      </c>
      <c r="R127" s="909">
        <v>7544</v>
      </c>
      <c r="S127" s="909">
        <v>34703</v>
      </c>
      <c r="U127" s="1157">
        <f t="shared" si="55"/>
        <v>0.64372875924473572</v>
      </c>
      <c r="V127" s="1157">
        <f t="shared" si="56"/>
        <v>0.35627124075526434</v>
      </c>
      <c r="W127" s="1157">
        <f t="shared" si="57"/>
        <v>6.3618960879061576E-2</v>
      </c>
      <c r="X127" s="1157">
        <f t="shared" si="58"/>
        <v>0.29265227987620274</v>
      </c>
    </row>
    <row r="128" spans="1:24" x14ac:dyDescent="0.25">
      <c r="A128" s="277" t="s">
        <v>267</v>
      </c>
      <c r="B128" s="233"/>
      <c r="C128" s="278"/>
      <c r="D128" s="1468">
        <v>733139</v>
      </c>
      <c r="E128" s="909">
        <v>590744</v>
      </c>
      <c r="F128" s="909">
        <v>142395</v>
      </c>
      <c r="G128" s="1468">
        <v>36446</v>
      </c>
      <c r="H128" s="909">
        <v>105949</v>
      </c>
      <c r="J128" s="1155">
        <f t="shared" si="50"/>
        <v>0.80577352998544616</v>
      </c>
      <c r="K128" s="1155">
        <f t="shared" si="51"/>
        <v>0.19422647001455387</v>
      </c>
      <c r="L128" s="1155">
        <f t="shared" si="52"/>
        <v>4.9712264659225604E-2</v>
      </c>
      <c r="M128" s="1155">
        <f t="shared" si="53"/>
        <v>0.14451420535532825</v>
      </c>
      <c r="O128" s="909">
        <f t="shared" si="54"/>
        <v>238768</v>
      </c>
      <c r="P128" s="909">
        <v>198046</v>
      </c>
      <c r="Q128" s="1468">
        <v>40722</v>
      </c>
      <c r="R128" s="909">
        <v>12069</v>
      </c>
      <c r="S128" s="909">
        <v>28653</v>
      </c>
      <c r="U128" s="1157">
        <f t="shared" si="55"/>
        <v>0.829449507471688</v>
      </c>
      <c r="V128" s="1157">
        <f t="shared" si="56"/>
        <v>0.170550492528312</v>
      </c>
      <c r="W128" s="1157">
        <f t="shared" si="57"/>
        <v>5.0546974468940561E-2</v>
      </c>
      <c r="X128" s="1157">
        <f t="shared" si="58"/>
        <v>0.12000351805937144</v>
      </c>
    </row>
    <row r="129" spans="1:24" x14ac:dyDescent="0.25">
      <c r="A129" s="277" t="s">
        <v>265</v>
      </c>
      <c r="B129" s="233"/>
      <c r="C129" s="278"/>
      <c r="D129" s="1468">
        <v>205202</v>
      </c>
      <c r="E129" s="909">
        <v>139599</v>
      </c>
      <c r="F129" s="909">
        <v>65603</v>
      </c>
      <c r="G129" s="1468">
        <v>13514</v>
      </c>
      <c r="H129" s="909">
        <v>52089</v>
      </c>
      <c r="J129" s="1155">
        <f t="shared" si="50"/>
        <v>0.68030038693579986</v>
      </c>
      <c r="K129" s="1155">
        <f t="shared" si="51"/>
        <v>0.31969961306420014</v>
      </c>
      <c r="L129" s="1155">
        <f t="shared" si="52"/>
        <v>6.5857057923412052E-2</v>
      </c>
      <c r="M129" s="1155">
        <f t="shared" si="53"/>
        <v>0.25384255514078813</v>
      </c>
      <c r="O129" s="909">
        <f t="shared" si="54"/>
        <v>63394</v>
      </c>
      <c r="P129" s="909">
        <v>43757</v>
      </c>
      <c r="Q129" s="1468">
        <v>19637</v>
      </c>
      <c r="R129" s="909">
        <v>4552</v>
      </c>
      <c r="S129" s="909">
        <v>15085</v>
      </c>
      <c r="U129" s="1157">
        <f t="shared" si="55"/>
        <v>0.69023882386345714</v>
      </c>
      <c r="V129" s="1157">
        <f t="shared" si="56"/>
        <v>0.30976117613654292</v>
      </c>
      <c r="W129" s="1157">
        <f t="shared" si="57"/>
        <v>7.1804902672177179E-2</v>
      </c>
      <c r="X129" s="1157">
        <f t="shared" si="58"/>
        <v>0.23795627346436571</v>
      </c>
    </row>
    <row r="130" spans="1:24" x14ac:dyDescent="0.25">
      <c r="A130" s="277" t="s">
        <v>268</v>
      </c>
      <c r="B130" s="233"/>
      <c r="C130" s="278"/>
      <c r="D130" s="1468">
        <v>94287</v>
      </c>
      <c r="E130" s="909">
        <v>68976</v>
      </c>
      <c r="F130" s="909">
        <v>25311</v>
      </c>
      <c r="G130" s="1468">
        <v>6674</v>
      </c>
      <c r="H130" s="909">
        <v>18637</v>
      </c>
      <c r="J130" s="1155">
        <f t="shared" si="50"/>
        <v>0.73155366063190053</v>
      </c>
      <c r="K130" s="1155">
        <f t="shared" si="51"/>
        <v>0.26844633936809953</v>
      </c>
      <c r="L130" s="1155">
        <f t="shared" si="52"/>
        <v>7.0783883250076896E-2</v>
      </c>
      <c r="M130" s="1155">
        <f t="shared" si="53"/>
        <v>0.19766245611802263</v>
      </c>
      <c r="O130" s="909">
        <f t="shared" si="54"/>
        <v>28367</v>
      </c>
      <c r="P130" s="909">
        <v>20767</v>
      </c>
      <c r="Q130" s="1468">
        <v>7600</v>
      </c>
      <c r="R130" s="909">
        <v>2235</v>
      </c>
      <c r="S130" s="909">
        <v>5365</v>
      </c>
      <c r="U130" s="1157">
        <f t="shared" si="55"/>
        <v>0.73208305425318154</v>
      </c>
      <c r="V130" s="1157">
        <f t="shared" si="56"/>
        <v>0.26791694574681851</v>
      </c>
      <c r="W130" s="1157">
        <f t="shared" si="57"/>
        <v>7.8788733387386747E-2</v>
      </c>
      <c r="X130" s="1157">
        <f t="shared" si="58"/>
        <v>0.18912821235943172</v>
      </c>
    </row>
    <row r="131" spans="1:24" x14ac:dyDescent="0.25">
      <c r="A131" s="277"/>
      <c r="B131" s="233"/>
      <c r="C131" s="278"/>
    </row>
    <row r="132" spans="1:24" x14ac:dyDescent="0.25">
      <c r="A132" s="1166" t="s">
        <v>1326</v>
      </c>
      <c r="B132"/>
      <c r="C132"/>
    </row>
    <row r="133" spans="1:24" x14ac:dyDescent="0.25">
      <c r="A133" s="182" t="s">
        <v>248</v>
      </c>
      <c r="B133" s="182"/>
      <c r="C133" s="182"/>
    </row>
    <row r="134" spans="1:24" x14ac:dyDescent="0.25">
      <c r="A134" s="189" t="s">
        <v>249</v>
      </c>
      <c r="B134" s="167" t="s">
        <v>250</v>
      </c>
      <c r="C134" s="182"/>
    </row>
  </sheetData>
  <autoFilter ref="A3:C124"/>
  <sortState ref="A5:X124">
    <sortCondition ref="A5:A124"/>
  </sortState>
  <hyperlinks>
    <hyperlink ref="B134"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129"/>
  <sheetViews>
    <sheetView topLeftCell="C1" workbookViewId="0">
      <pane ySplit="4" topLeftCell="A106" activePane="bottomLeft" state="frozen"/>
      <selection pane="bottomLeft" activeCell="C1" sqref="A1:XFD1048576"/>
    </sheetView>
  </sheetViews>
  <sheetFormatPr defaultRowHeight="12.75" customHeight="1" x14ac:dyDescent="0.25"/>
  <cols>
    <col min="1" max="1" width="9" style="505"/>
    <col min="2" max="2" width="33.375" style="505" customWidth="1"/>
    <col min="3" max="3" width="16.75" style="505" customWidth="1"/>
    <col min="4" max="14" width="8.875" style="505" customWidth="1"/>
    <col min="15" max="15" width="4.625" style="505" customWidth="1"/>
    <col min="16" max="16" width="10.5" style="505" customWidth="1"/>
    <col min="17" max="16384" width="9" style="505"/>
  </cols>
  <sheetData>
    <row r="1" spans="1:21" ht="12.75" customHeight="1" x14ac:dyDescent="0.25">
      <c r="A1" s="255" t="s">
        <v>1064</v>
      </c>
    </row>
    <row r="3" spans="1:21" ht="53.25" customHeight="1" x14ac:dyDescent="0.25">
      <c r="A3" s="510" t="s">
        <v>4</v>
      </c>
      <c r="B3" s="511" t="s">
        <v>5</v>
      </c>
      <c r="C3" s="567" t="s">
        <v>251</v>
      </c>
      <c r="D3" s="531" t="s">
        <v>530</v>
      </c>
      <c r="E3" s="531" t="s">
        <v>531</v>
      </c>
      <c r="F3" s="531" t="s">
        <v>532</v>
      </c>
      <c r="G3" s="531" t="s">
        <v>533</v>
      </c>
      <c r="H3" s="531" t="s">
        <v>534</v>
      </c>
      <c r="I3" s="531" t="s">
        <v>535</v>
      </c>
      <c r="J3" s="531" t="s">
        <v>731</v>
      </c>
      <c r="K3" s="531" t="s">
        <v>724</v>
      </c>
      <c r="L3" s="613" t="s">
        <v>813</v>
      </c>
      <c r="M3" s="613" t="s">
        <v>856</v>
      </c>
      <c r="N3" s="613" t="s">
        <v>1072</v>
      </c>
      <c r="O3" s="507"/>
      <c r="P3" s="507" t="s">
        <v>1066</v>
      </c>
      <c r="Q3" s="507" t="s">
        <v>1056</v>
      </c>
      <c r="R3" s="507" t="s">
        <v>1057</v>
      </c>
      <c r="S3" s="507"/>
      <c r="T3" s="507"/>
      <c r="U3" s="507"/>
    </row>
    <row r="4" spans="1:21" ht="15.75" x14ac:dyDescent="0.25">
      <c r="A4" s="599">
        <v>999</v>
      </c>
      <c r="B4" s="571" t="s">
        <v>9</v>
      </c>
      <c r="C4" s="600"/>
      <c r="D4" s="508">
        <f t="shared" ref="D4:L4" si="0">SUM(D5:D124)</f>
        <v>751272</v>
      </c>
      <c r="E4" s="508">
        <f t="shared" si="0"/>
        <v>788458</v>
      </c>
      <c r="F4" s="508">
        <f t="shared" si="0"/>
        <v>802040</v>
      </c>
      <c r="G4" s="508">
        <f t="shared" si="0"/>
        <v>843341</v>
      </c>
      <c r="H4" s="508">
        <f t="shared" si="0"/>
        <v>976493</v>
      </c>
      <c r="I4" s="508">
        <f t="shared" si="0"/>
        <v>1149555</v>
      </c>
      <c r="J4" s="509">
        <f t="shared" si="0"/>
        <v>1261099</v>
      </c>
      <c r="K4" s="509">
        <f t="shared" si="0"/>
        <v>1343272</v>
      </c>
      <c r="L4" s="886">
        <f t="shared" si="0"/>
        <v>1402476</v>
      </c>
      <c r="M4" s="886">
        <v>1359367</v>
      </c>
      <c r="N4" s="1333">
        <v>1287689</v>
      </c>
      <c r="O4" s="507"/>
      <c r="P4" s="507"/>
      <c r="Q4" s="507"/>
      <c r="R4" s="507"/>
      <c r="S4" s="507"/>
      <c r="T4" s="507"/>
      <c r="U4" s="507"/>
    </row>
    <row r="5" spans="1:21" ht="15.75" x14ac:dyDescent="0.25">
      <c r="A5" s="512" t="s">
        <v>10</v>
      </c>
      <c r="B5" s="515" t="s">
        <v>11</v>
      </c>
      <c r="C5" s="569" t="s">
        <v>264</v>
      </c>
      <c r="D5" s="518">
        <v>5982</v>
      </c>
      <c r="E5" s="518">
        <v>6196</v>
      </c>
      <c r="F5" s="518">
        <v>6487</v>
      </c>
      <c r="G5" s="518">
        <v>6764</v>
      </c>
      <c r="H5" s="518">
        <v>7393</v>
      </c>
      <c r="I5" s="518">
        <v>8490</v>
      </c>
      <c r="J5" s="518">
        <v>9362</v>
      </c>
      <c r="K5" s="519">
        <v>10046</v>
      </c>
      <c r="L5" s="887">
        <v>10332</v>
      </c>
      <c r="M5" s="887">
        <v>10088</v>
      </c>
      <c r="N5" s="1334">
        <v>9291</v>
      </c>
      <c r="P5" s="267">
        <f t="shared" ref="P5:P36" si="1">(M5-N5)/M5</f>
        <v>7.9004758128469466E-2</v>
      </c>
      <c r="Q5" s="267">
        <f t="shared" ref="Q5:Q36" si="2">(L5-M5)/L5</f>
        <v>2.3615950445218737E-2</v>
      </c>
      <c r="R5" s="267">
        <f t="shared" ref="R5:R36" si="3">(L5-K5)/K5</f>
        <v>2.8469042404937289E-2</v>
      </c>
    </row>
    <row r="6" spans="1:21" ht="15.75" x14ac:dyDescent="0.25">
      <c r="A6" s="513" t="s">
        <v>12</v>
      </c>
      <c r="B6" s="516" t="s">
        <v>13</v>
      </c>
      <c r="C6" s="570" t="s">
        <v>265</v>
      </c>
      <c r="D6" s="520">
        <v>4580</v>
      </c>
      <c r="E6" s="520">
        <v>5076</v>
      </c>
      <c r="F6" s="520">
        <v>5231</v>
      </c>
      <c r="G6" s="520">
        <v>5708</v>
      </c>
      <c r="H6" s="520">
        <v>7052</v>
      </c>
      <c r="I6" s="520">
        <v>8838</v>
      </c>
      <c r="J6" s="520">
        <v>9931</v>
      </c>
      <c r="K6" s="521">
        <v>10527</v>
      </c>
      <c r="L6" s="887">
        <v>10776</v>
      </c>
      <c r="M6" s="887">
        <v>10403</v>
      </c>
      <c r="N6" s="1334">
        <v>9833</v>
      </c>
      <c r="P6" s="267">
        <f t="shared" si="1"/>
        <v>5.4791886955685862E-2</v>
      </c>
      <c r="Q6" s="267">
        <f t="shared" si="2"/>
        <v>3.4613956941351151E-2</v>
      </c>
      <c r="R6" s="267">
        <f t="shared" si="3"/>
        <v>2.365346252493588E-2</v>
      </c>
    </row>
    <row r="7" spans="1:21" ht="15.75" x14ac:dyDescent="0.25">
      <c r="A7" s="513" t="s">
        <v>16</v>
      </c>
      <c r="B7" s="516" t="s">
        <v>297</v>
      </c>
      <c r="C7" s="570" t="s">
        <v>265</v>
      </c>
      <c r="D7" s="520">
        <v>3621</v>
      </c>
      <c r="E7" s="520">
        <v>3696</v>
      </c>
      <c r="F7" s="520">
        <v>3868</v>
      </c>
      <c r="G7" s="520">
        <v>4048</v>
      </c>
      <c r="H7" s="520">
        <v>4527</v>
      </c>
      <c r="I7" s="520">
        <v>4745</v>
      </c>
      <c r="J7" s="520">
        <v>4987</v>
      </c>
      <c r="K7" s="521">
        <v>5413</v>
      </c>
      <c r="L7" s="887">
        <v>5618</v>
      </c>
      <c r="M7" s="887">
        <v>5278</v>
      </c>
      <c r="N7" s="1334">
        <v>5000</v>
      </c>
      <c r="P7" s="267">
        <f t="shared" si="1"/>
        <v>5.267146646456991E-2</v>
      </c>
      <c r="Q7" s="1267">
        <f t="shared" si="2"/>
        <v>6.0519757920968316E-2</v>
      </c>
      <c r="R7" s="1267">
        <f t="shared" si="3"/>
        <v>3.7871790134860521E-2</v>
      </c>
    </row>
    <row r="8" spans="1:21" ht="15.75" x14ac:dyDescent="0.25">
      <c r="A8" s="513" t="s">
        <v>18</v>
      </c>
      <c r="B8" s="516" t="s">
        <v>19</v>
      </c>
      <c r="C8" s="570" t="s">
        <v>266</v>
      </c>
      <c r="D8" s="520">
        <v>1509</v>
      </c>
      <c r="E8" s="520">
        <v>1696</v>
      </c>
      <c r="F8" s="520">
        <v>1683</v>
      </c>
      <c r="G8" s="520">
        <v>1729</v>
      </c>
      <c r="H8" s="520">
        <v>2278</v>
      </c>
      <c r="I8" s="520">
        <v>2779</v>
      </c>
      <c r="J8" s="520">
        <v>2928</v>
      </c>
      <c r="K8" s="521">
        <v>3096</v>
      </c>
      <c r="L8" s="887">
        <v>3000</v>
      </c>
      <c r="M8" s="887">
        <v>2803</v>
      </c>
      <c r="N8" s="1334">
        <v>2546</v>
      </c>
      <c r="P8" s="267">
        <f t="shared" si="1"/>
        <v>9.1687477702461648E-2</v>
      </c>
      <c r="Q8" s="267">
        <f t="shared" si="2"/>
        <v>6.5666666666666665E-2</v>
      </c>
      <c r="R8" s="267">
        <f t="shared" si="3"/>
        <v>-3.1007751937984496E-2</v>
      </c>
    </row>
    <row r="9" spans="1:21" ht="15.75" x14ac:dyDescent="0.25">
      <c r="A9" s="513" t="s">
        <v>20</v>
      </c>
      <c r="B9" s="516" t="s">
        <v>21</v>
      </c>
      <c r="C9" s="570" t="s">
        <v>265</v>
      </c>
      <c r="D9" s="520">
        <v>4148</v>
      </c>
      <c r="E9" s="520">
        <v>4347</v>
      </c>
      <c r="F9" s="520">
        <v>4122</v>
      </c>
      <c r="G9" s="520">
        <v>4158</v>
      </c>
      <c r="H9" s="520">
        <v>4754</v>
      </c>
      <c r="I9" s="520">
        <v>5718</v>
      </c>
      <c r="J9" s="520">
        <v>5979</v>
      </c>
      <c r="K9" s="521">
        <v>6082</v>
      </c>
      <c r="L9" s="887">
        <v>6250</v>
      </c>
      <c r="M9" s="887">
        <v>5848</v>
      </c>
      <c r="N9" s="1334">
        <v>5298</v>
      </c>
      <c r="P9" s="267">
        <f t="shared" si="1"/>
        <v>9.4049247606019154E-2</v>
      </c>
      <c r="Q9" s="267">
        <f t="shared" si="2"/>
        <v>6.4320000000000002E-2</v>
      </c>
      <c r="R9" s="267">
        <f t="shared" si="3"/>
        <v>2.7622492601118053E-2</v>
      </c>
    </row>
    <row r="10" spans="1:21" ht="15.75" x14ac:dyDescent="0.25">
      <c r="A10" s="513" t="s">
        <v>22</v>
      </c>
      <c r="B10" s="516" t="s">
        <v>23</v>
      </c>
      <c r="C10" s="570" t="s">
        <v>265</v>
      </c>
      <c r="D10" s="520">
        <v>2212</v>
      </c>
      <c r="E10" s="520">
        <v>2324</v>
      </c>
      <c r="F10" s="520">
        <v>2356</v>
      </c>
      <c r="G10" s="520">
        <v>2555</v>
      </c>
      <c r="H10" s="520">
        <v>2809</v>
      </c>
      <c r="I10" s="520">
        <v>3211</v>
      </c>
      <c r="J10" s="520">
        <v>3456</v>
      </c>
      <c r="K10" s="521">
        <v>3681</v>
      </c>
      <c r="L10" s="887">
        <v>3788</v>
      </c>
      <c r="M10" s="887">
        <v>3667</v>
      </c>
      <c r="N10" s="1334">
        <v>3487</v>
      </c>
      <c r="P10" s="267">
        <f t="shared" si="1"/>
        <v>4.9086446686664849E-2</v>
      </c>
      <c r="Q10" s="267">
        <f t="shared" si="2"/>
        <v>3.1942977824709611E-2</v>
      </c>
      <c r="R10" s="267">
        <f t="shared" si="3"/>
        <v>2.9068187992393371E-2</v>
      </c>
    </row>
    <row r="11" spans="1:21" ht="15.75" x14ac:dyDescent="0.25">
      <c r="A11" s="513" t="s">
        <v>24</v>
      </c>
      <c r="B11" s="516" t="s">
        <v>25</v>
      </c>
      <c r="C11" s="570" t="s">
        <v>267</v>
      </c>
      <c r="D11" s="520">
        <v>7066</v>
      </c>
      <c r="E11" s="520">
        <v>6991</v>
      </c>
      <c r="F11" s="520">
        <v>6532</v>
      </c>
      <c r="G11" s="520">
        <v>6865</v>
      </c>
      <c r="H11" s="520">
        <v>8392</v>
      </c>
      <c r="I11" s="520">
        <v>10038</v>
      </c>
      <c r="J11" s="520">
        <v>11526</v>
      </c>
      <c r="K11" s="521">
        <v>12781</v>
      </c>
      <c r="L11" s="887">
        <v>13822</v>
      </c>
      <c r="M11" s="887">
        <v>13840</v>
      </c>
      <c r="N11" s="1334">
        <v>13383</v>
      </c>
      <c r="P11" s="267">
        <f t="shared" si="1"/>
        <v>3.3020231213872833E-2</v>
      </c>
      <c r="Q11" s="267">
        <f t="shared" si="2"/>
        <v>-1.3022717407032266E-3</v>
      </c>
      <c r="R11" s="267">
        <f t="shared" si="3"/>
        <v>8.1449025897817079E-2</v>
      </c>
    </row>
    <row r="12" spans="1:21" ht="15.75" x14ac:dyDescent="0.25">
      <c r="A12" s="513" t="s">
        <v>26</v>
      </c>
      <c r="B12" s="516" t="s">
        <v>685</v>
      </c>
      <c r="C12" s="570" t="s">
        <v>265</v>
      </c>
      <c r="D12" s="520">
        <v>11894</v>
      </c>
      <c r="E12" s="520">
        <v>12791</v>
      </c>
      <c r="F12" s="520">
        <v>13054</v>
      </c>
      <c r="G12" s="520">
        <v>14389</v>
      </c>
      <c r="H12" s="520">
        <v>17153</v>
      </c>
      <c r="I12" s="520">
        <v>20080</v>
      </c>
      <c r="J12" s="520">
        <v>22221</v>
      </c>
      <c r="K12" s="521">
        <v>23384</v>
      </c>
      <c r="L12" s="887">
        <v>25492</v>
      </c>
      <c r="M12" s="887">
        <v>22640</v>
      </c>
      <c r="N12" s="1334">
        <v>20472</v>
      </c>
      <c r="P12" s="267">
        <f t="shared" si="1"/>
        <v>9.5759717314487638E-2</v>
      </c>
      <c r="Q12" s="1267">
        <f t="shared" si="2"/>
        <v>0.1118782363094304</v>
      </c>
      <c r="R12" s="1267">
        <f t="shared" si="3"/>
        <v>9.0147109134450912E-2</v>
      </c>
    </row>
    <row r="13" spans="1:21" ht="15.75" x14ac:dyDescent="0.25">
      <c r="A13" s="513" t="s">
        <v>27</v>
      </c>
      <c r="B13" s="516" t="s">
        <v>28</v>
      </c>
      <c r="C13" s="570" t="s">
        <v>265</v>
      </c>
      <c r="D13" s="520">
        <v>285</v>
      </c>
      <c r="E13" s="520">
        <v>275</v>
      </c>
      <c r="F13" s="520">
        <v>306</v>
      </c>
      <c r="G13" s="520">
        <v>400</v>
      </c>
      <c r="H13" s="520">
        <v>470</v>
      </c>
      <c r="I13" s="520">
        <v>573</v>
      </c>
      <c r="J13" s="520">
        <v>579</v>
      </c>
      <c r="K13" s="521">
        <v>693</v>
      </c>
      <c r="L13" s="887">
        <v>750</v>
      </c>
      <c r="M13" s="887">
        <v>665</v>
      </c>
      <c r="N13" s="1334">
        <v>589</v>
      </c>
      <c r="P13" s="267">
        <f t="shared" si="1"/>
        <v>0.11428571428571428</v>
      </c>
      <c r="Q13" s="267">
        <f t="shared" si="2"/>
        <v>0.11333333333333333</v>
      </c>
      <c r="R13" s="267">
        <f t="shared" si="3"/>
        <v>8.2251082251082255E-2</v>
      </c>
    </row>
    <row r="14" spans="1:21" ht="15.75" x14ac:dyDescent="0.25">
      <c r="A14" s="513" t="s">
        <v>29</v>
      </c>
      <c r="B14" s="516" t="s">
        <v>901</v>
      </c>
      <c r="C14" s="570" t="s">
        <v>265</v>
      </c>
      <c r="D14" s="520">
        <v>6198</v>
      </c>
      <c r="E14" s="520">
        <v>6521</v>
      </c>
      <c r="F14" s="520">
        <v>6761</v>
      </c>
      <c r="G14" s="520">
        <v>6795</v>
      </c>
      <c r="H14" s="520">
        <v>8037</v>
      </c>
      <c r="I14" s="520">
        <v>9464</v>
      </c>
      <c r="J14" s="520">
        <v>10370</v>
      </c>
      <c r="K14" s="521">
        <v>10717</v>
      </c>
      <c r="L14" s="887">
        <v>11077</v>
      </c>
      <c r="M14" s="887">
        <v>11387</v>
      </c>
      <c r="N14" s="1334">
        <v>9512</v>
      </c>
      <c r="P14" s="267">
        <f t="shared" si="1"/>
        <v>0.16466145604636867</v>
      </c>
      <c r="Q14" s="267">
        <f t="shared" si="2"/>
        <v>-2.7985916764466913E-2</v>
      </c>
      <c r="R14" s="267">
        <f t="shared" si="3"/>
        <v>3.3591490155827193E-2</v>
      </c>
    </row>
    <row r="15" spans="1:21" ht="15.75" x14ac:dyDescent="0.25">
      <c r="A15" s="513" t="s">
        <v>30</v>
      </c>
      <c r="B15" s="603" t="s">
        <v>31</v>
      </c>
      <c r="C15" s="570" t="s">
        <v>268</v>
      </c>
      <c r="D15" s="520">
        <v>720</v>
      </c>
      <c r="E15" s="520">
        <v>758</v>
      </c>
      <c r="F15" s="520">
        <v>760</v>
      </c>
      <c r="G15" s="520">
        <v>762</v>
      </c>
      <c r="H15" s="520">
        <v>807</v>
      </c>
      <c r="I15" s="520">
        <v>875</v>
      </c>
      <c r="J15" s="520">
        <v>970</v>
      </c>
      <c r="K15" s="521">
        <v>953</v>
      </c>
      <c r="L15" s="887">
        <v>993</v>
      </c>
      <c r="M15" s="887">
        <v>923</v>
      </c>
      <c r="N15" s="1334">
        <v>826</v>
      </c>
      <c r="P15" s="267">
        <f t="shared" si="1"/>
        <v>0.10509209100758396</v>
      </c>
      <c r="Q15" s="267">
        <f t="shared" si="2"/>
        <v>7.0493454179254789E-2</v>
      </c>
      <c r="R15" s="267">
        <f t="shared" si="3"/>
        <v>4.197271773347324E-2</v>
      </c>
    </row>
    <row r="16" spans="1:21" ht="15.75" x14ac:dyDescent="0.25">
      <c r="A16" s="513" t="s">
        <v>32</v>
      </c>
      <c r="B16" s="516" t="s">
        <v>33</v>
      </c>
      <c r="C16" s="570" t="s">
        <v>265</v>
      </c>
      <c r="D16" s="520">
        <v>1372</v>
      </c>
      <c r="E16" s="520">
        <v>1459</v>
      </c>
      <c r="F16" s="520">
        <v>1481</v>
      </c>
      <c r="G16" s="520">
        <v>1634</v>
      </c>
      <c r="H16" s="520">
        <v>1929</v>
      </c>
      <c r="I16" s="520">
        <v>2461</v>
      </c>
      <c r="J16" s="520">
        <v>2522</v>
      </c>
      <c r="K16" s="521">
        <v>2764</v>
      </c>
      <c r="L16" s="887">
        <v>2819</v>
      </c>
      <c r="M16" s="887">
        <v>2794</v>
      </c>
      <c r="N16" s="1334">
        <v>2734</v>
      </c>
      <c r="P16" s="267">
        <f t="shared" si="1"/>
        <v>2.1474588403722263E-2</v>
      </c>
      <c r="Q16" s="267">
        <f t="shared" si="2"/>
        <v>8.8683930471798508E-3</v>
      </c>
      <c r="R16" s="267">
        <f t="shared" si="3"/>
        <v>1.9898697539797394E-2</v>
      </c>
    </row>
    <row r="17" spans="1:18" ht="15.75" x14ac:dyDescent="0.25">
      <c r="A17" s="513" t="s">
        <v>36</v>
      </c>
      <c r="B17" s="516" t="s">
        <v>37</v>
      </c>
      <c r="C17" s="570" t="s">
        <v>264</v>
      </c>
      <c r="D17" s="520">
        <v>3608</v>
      </c>
      <c r="E17" s="520">
        <v>3766</v>
      </c>
      <c r="F17" s="520">
        <v>3888</v>
      </c>
      <c r="G17" s="520">
        <v>3948</v>
      </c>
      <c r="H17" s="520">
        <v>4353</v>
      </c>
      <c r="I17" s="520">
        <v>4710</v>
      </c>
      <c r="J17" s="520">
        <v>5056</v>
      </c>
      <c r="K17" s="521">
        <v>5222</v>
      </c>
      <c r="L17" s="887">
        <v>5261</v>
      </c>
      <c r="M17" s="887">
        <v>5136</v>
      </c>
      <c r="N17" s="1334">
        <v>4806</v>
      </c>
      <c r="P17" s="267">
        <f t="shared" si="1"/>
        <v>6.4252336448598124E-2</v>
      </c>
      <c r="Q17" s="267">
        <f t="shared" si="2"/>
        <v>2.3759741494012544E-2</v>
      </c>
      <c r="R17" s="267">
        <f t="shared" si="3"/>
        <v>7.46840291076216E-3</v>
      </c>
    </row>
    <row r="18" spans="1:18" ht="15.75" x14ac:dyDescent="0.25">
      <c r="A18" s="513" t="s">
        <v>38</v>
      </c>
      <c r="B18" s="516" t="s">
        <v>39</v>
      </c>
      <c r="C18" s="570" t="s">
        <v>268</v>
      </c>
      <c r="D18" s="520">
        <v>5892</v>
      </c>
      <c r="E18" s="520">
        <v>5754</v>
      </c>
      <c r="F18" s="520">
        <v>5594</v>
      </c>
      <c r="G18" s="520">
        <v>5580</v>
      </c>
      <c r="H18" s="520">
        <v>5768</v>
      </c>
      <c r="I18" s="520">
        <v>6066</v>
      </c>
      <c r="J18" s="520">
        <v>6035</v>
      </c>
      <c r="K18" s="521">
        <v>6166</v>
      </c>
      <c r="L18" s="887">
        <v>6567</v>
      </c>
      <c r="M18" s="887">
        <v>6367</v>
      </c>
      <c r="N18" s="1334">
        <v>6262</v>
      </c>
      <c r="P18" s="267">
        <f t="shared" si="1"/>
        <v>1.6491283178891158E-2</v>
      </c>
      <c r="Q18" s="267">
        <f t="shared" si="2"/>
        <v>3.0455306837216384E-2</v>
      </c>
      <c r="R18" s="267">
        <f t="shared" si="3"/>
        <v>6.5034057735971457E-2</v>
      </c>
    </row>
    <row r="19" spans="1:18" ht="15.75" x14ac:dyDescent="0.25">
      <c r="A19" s="513" t="s">
        <v>40</v>
      </c>
      <c r="B19" s="516" t="s">
        <v>41</v>
      </c>
      <c r="C19" s="570" t="s">
        <v>266</v>
      </c>
      <c r="D19" s="520">
        <v>2763</v>
      </c>
      <c r="E19" s="520">
        <v>2828</v>
      </c>
      <c r="F19" s="520">
        <v>2954</v>
      </c>
      <c r="G19" s="520">
        <v>3089</v>
      </c>
      <c r="H19" s="520">
        <v>3524</v>
      </c>
      <c r="I19" s="520">
        <v>4135</v>
      </c>
      <c r="J19" s="520">
        <v>4476</v>
      </c>
      <c r="K19" s="521">
        <v>4756</v>
      </c>
      <c r="L19" s="887">
        <v>4849</v>
      </c>
      <c r="M19" s="887">
        <v>4470</v>
      </c>
      <c r="N19" s="1334">
        <v>4312</v>
      </c>
      <c r="P19" s="267">
        <f t="shared" si="1"/>
        <v>3.5346756152125278E-2</v>
      </c>
      <c r="Q19" s="267">
        <f t="shared" si="2"/>
        <v>7.816044545267066E-2</v>
      </c>
      <c r="R19" s="267">
        <f t="shared" si="3"/>
        <v>1.9554247266610598E-2</v>
      </c>
    </row>
    <row r="20" spans="1:18" ht="15.75" x14ac:dyDescent="0.25">
      <c r="A20" s="513" t="s">
        <v>42</v>
      </c>
      <c r="B20" s="516" t="s">
        <v>43</v>
      </c>
      <c r="C20" s="570" t="s">
        <v>265</v>
      </c>
      <c r="D20" s="520">
        <v>6928</v>
      </c>
      <c r="E20" s="520">
        <v>7181</v>
      </c>
      <c r="F20" s="520">
        <v>7315</v>
      </c>
      <c r="G20" s="520">
        <v>7596</v>
      </c>
      <c r="H20" s="520">
        <v>8550</v>
      </c>
      <c r="I20" s="520">
        <v>10067</v>
      </c>
      <c r="J20" s="520">
        <v>10878</v>
      </c>
      <c r="K20" s="521">
        <v>11338</v>
      </c>
      <c r="L20" s="887">
        <v>11586</v>
      </c>
      <c r="M20" s="887">
        <v>11206</v>
      </c>
      <c r="N20" s="1334">
        <v>10862</v>
      </c>
      <c r="P20" s="267">
        <f t="shared" si="1"/>
        <v>3.0697840442620025E-2</v>
      </c>
      <c r="Q20" s="267">
        <f t="shared" si="2"/>
        <v>3.2798204729846368E-2</v>
      </c>
      <c r="R20" s="267">
        <f t="shared" si="3"/>
        <v>2.1873346269183278E-2</v>
      </c>
    </row>
    <row r="21" spans="1:18" ht="15.75" x14ac:dyDescent="0.25">
      <c r="A21" s="513" t="s">
        <v>44</v>
      </c>
      <c r="B21" s="516" t="s">
        <v>45</v>
      </c>
      <c r="C21" s="570" t="s">
        <v>266</v>
      </c>
      <c r="D21" s="520">
        <v>3702</v>
      </c>
      <c r="E21" s="520">
        <v>3805</v>
      </c>
      <c r="F21" s="520">
        <v>4025</v>
      </c>
      <c r="G21" s="520">
        <v>4534</v>
      </c>
      <c r="H21" s="520">
        <v>5612</v>
      </c>
      <c r="I21" s="520">
        <v>6487</v>
      </c>
      <c r="J21" s="520">
        <v>6917</v>
      </c>
      <c r="K21" s="521">
        <v>7318</v>
      </c>
      <c r="L21" s="887">
        <v>7516</v>
      </c>
      <c r="M21" s="887">
        <v>7062</v>
      </c>
      <c r="N21" s="1334">
        <v>6873</v>
      </c>
      <c r="P21" s="267">
        <f t="shared" si="1"/>
        <v>2.6762956669498725E-2</v>
      </c>
      <c r="Q21" s="267">
        <f t="shared" si="2"/>
        <v>6.0404470463012241E-2</v>
      </c>
      <c r="R21" s="267">
        <f t="shared" si="3"/>
        <v>2.705657283410768E-2</v>
      </c>
    </row>
    <row r="22" spans="1:18" ht="15.75" x14ac:dyDescent="0.25">
      <c r="A22" s="513" t="s">
        <v>46</v>
      </c>
      <c r="B22" s="516" t="s">
        <v>47</v>
      </c>
      <c r="C22" s="570" t="s">
        <v>268</v>
      </c>
      <c r="D22" s="520">
        <v>4883</v>
      </c>
      <c r="E22" s="520">
        <v>5103</v>
      </c>
      <c r="F22" s="520">
        <v>5345</v>
      </c>
      <c r="G22" s="520">
        <v>5657</v>
      </c>
      <c r="H22" s="520">
        <v>6429</v>
      </c>
      <c r="I22" s="520">
        <v>7118</v>
      </c>
      <c r="J22" s="520">
        <v>7552</v>
      </c>
      <c r="K22" s="521">
        <v>7844</v>
      </c>
      <c r="L22" s="887">
        <v>8008</v>
      </c>
      <c r="M22" s="887">
        <v>7687</v>
      </c>
      <c r="N22" s="1334">
        <v>7132</v>
      </c>
      <c r="P22" s="267">
        <f t="shared" si="1"/>
        <v>7.2199817874333286E-2</v>
      </c>
      <c r="Q22" s="267">
        <f t="shared" si="2"/>
        <v>4.0084915084915088E-2</v>
      </c>
      <c r="R22" s="267">
        <f t="shared" si="3"/>
        <v>2.0907700152983173E-2</v>
      </c>
    </row>
    <row r="23" spans="1:18" ht="15.75" x14ac:dyDescent="0.25">
      <c r="A23" s="513" t="s">
        <v>48</v>
      </c>
      <c r="B23" s="516" t="s">
        <v>269</v>
      </c>
      <c r="C23" s="570" t="s">
        <v>266</v>
      </c>
      <c r="D23" s="520">
        <v>765</v>
      </c>
      <c r="E23" s="520">
        <v>824</v>
      </c>
      <c r="F23" s="520">
        <v>890</v>
      </c>
      <c r="G23" s="520">
        <v>970</v>
      </c>
      <c r="H23" s="520">
        <v>1174</v>
      </c>
      <c r="I23" s="520">
        <v>1318</v>
      </c>
      <c r="J23" s="520">
        <v>1361</v>
      </c>
      <c r="K23" s="521">
        <v>1455</v>
      </c>
      <c r="L23" s="887">
        <v>1544</v>
      </c>
      <c r="M23" s="887">
        <v>1458</v>
      </c>
      <c r="N23" s="1334">
        <v>1369</v>
      </c>
      <c r="P23" s="267">
        <f t="shared" si="1"/>
        <v>6.1042524005486966E-2</v>
      </c>
      <c r="Q23" s="267">
        <f t="shared" si="2"/>
        <v>5.5699481865284971E-2</v>
      </c>
      <c r="R23" s="267">
        <f t="shared" si="3"/>
        <v>6.1168384879725084E-2</v>
      </c>
    </row>
    <row r="24" spans="1:18" ht="15.75" x14ac:dyDescent="0.25">
      <c r="A24" s="513" t="s">
        <v>50</v>
      </c>
      <c r="B24" s="516" t="s">
        <v>51</v>
      </c>
      <c r="C24" s="570" t="s">
        <v>265</v>
      </c>
      <c r="D24" s="520">
        <v>2244</v>
      </c>
      <c r="E24" s="520">
        <v>2370</v>
      </c>
      <c r="F24" s="520">
        <v>2538</v>
      </c>
      <c r="G24" s="520">
        <v>2585</v>
      </c>
      <c r="H24" s="520">
        <v>2950</v>
      </c>
      <c r="I24" s="520">
        <v>3231</v>
      </c>
      <c r="J24" s="520">
        <v>3392</v>
      </c>
      <c r="K24" s="521">
        <v>3552</v>
      </c>
      <c r="L24" s="887">
        <v>3509</v>
      </c>
      <c r="M24" s="887">
        <v>3211</v>
      </c>
      <c r="N24" s="1334">
        <v>3084</v>
      </c>
      <c r="P24" s="267">
        <f t="shared" si="1"/>
        <v>3.9551541575833071E-2</v>
      </c>
      <c r="Q24" s="267">
        <f t="shared" si="2"/>
        <v>8.492447990880593E-2</v>
      </c>
      <c r="R24" s="267">
        <f t="shared" si="3"/>
        <v>-1.2105855855855855E-2</v>
      </c>
    </row>
    <row r="25" spans="1:18" ht="15.75" x14ac:dyDescent="0.25">
      <c r="A25" s="513" t="s">
        <v>56</v>
      </c>
      <c r="B25" s="516" t="s">
        <v>295</v>
      </c>
      <c r="C25" s="570" t="s">
        <v>266</v>
      </c>
      <c r="D25" s="520">
        <v>21320</v>
      </c>
      <c r="E25" s="520">
        <v>22790</v>
      </c>
      <c r="F25" s="520">
        <v>23749</v>
      </c>
      <c r="G25" s="520">
        <v>26017</v>
      </c>
      <c r="H25" s="520">
        <v>32304</v>
      </c>
      <c r="I25" s="520">
        <v>40766</v>
      </c>
      <c r="J25" s="520">
        <v>45795</v>
      </c>
      <c r="K25" s="521">
        <v>49220</v>
      </c>
      <c r="L25" s="887">
        <v>51844</v>
      </c>
      <c r="M25" s="887">
        <v>50895</v>
      </c>
      <c r="N25" s="1334">
        <v>48169</v>
      </c>
      <c r="P25" s="267">
        <f t="shared" si="1"/>
        <v>5.3561253561253561E-2</v>
      </c>
      <c r="Q25" s="267">
        <f t="shared" si="2"/>
        <v>1.8304914744232698E-2</v>
      </c>
      <c r="R25" s="267">
        <f t="shared" si="3"/>
        <v>5.3311661926046319E-2</v>
      </c>
    </row>
    <row r="26" spans="1:18" ht="15.75" x14ac:dyDescent="0.25">
      <c r="A26" s="513" t="s">
        <v>58</v>
      </c>
      <c r="B26" s="516" t="s">
        <v>59</v>
      </c>
      <c r="C26" s="570" t="s">
        <v>267</v>
      </c>
      <c r="D26" s="520">
        <v>550</v>
      </c>
      <c r="E26" s="520">
        <v>553</v>
      </c>
      <c r="F26" s="520">
        <v>690</v>
      </c>
      <c r="G26" s="520">
        <v>760</v>
      </c>
      <c r="H26" s="520">
        <v>1050</v>
      </c>
      <c r="I26" s="520">
        <v>1190</v>
      </c>
      <c r="J26" s="520">
        <v>1289</v>
      </c>
      <c r="K26" s="521">
        <v>1315</v>
      </c>
      <c r="L26" s="887">
        <v>1310</v>
      </c>
      <c r="M26" s="887">
        <v>1219</v>
      </c>
      <c r="N26" s="1334">
        <v>1008</v>
      </c>
      <c r="P26" s="267">
        <f t="shared" si="1"/>
        <v>0.17309269893355209</v>
      </c>
      <c r="Q26" s="267">
        <f t="shared" si="2"/>
        <v>6.9465648854961828E-2</v>
      </c>
      <c r="R26" s="267">
        <f t="shared" si="3"/>
        <v>-3.8022813688212928E-3</v>
      </c>
    </row>
    <row r="27" spans="1:18" ht="15.75" x14ac:dyDescent="0.25">
      <c r="A27" s="513" t="s">
        <v>60</v>
      </c>
      <c r="B27" s="516" t="s">
        <v>61</v>
      </c>
      <c r="C27" s="570" t="s">
        <v>265</v>
      </c>
      <c r="D27" s="520">
        <v>517</v>
      </c>
      <c r="E27" s="520">
        <v>542</v>
      </c>
      <c r="F27" s="520">
        <v>533</v>
      </c>
      <c r="G27" s="520">
        <v>578</v>
      </c>
      <c r="H27" s="520">
        <v>662</v>
      </c>
      <c r="I27" s="520">
        <v>800</v>
      </c>
      <c r="J27" s="520">
        <v>829</v>
      </c>
      <c r="K27" s="521">
        <v>911</v>
      </c>
      <c r="L27" s="887">
        <v>927</v>
      </c>
      <c r="M27" s="887">
        <v>851</v>
      </c>
      <c r="N27" s="1334">
        <v>853</v>
      </c>
      <c r="P27" s="267">
        <f t="shared" si="1"/>
        <v>-2.3501762632197414E-3</v>
      </c>
      <c r="Q27" s="267">
        <f t="shared" si="2"/>
        <v>8.1984897518878108E-2</v>
      </c>
      <c r="R27" s="267">
        <f t="shared" si="3"/>
        <v>1.756311745334797E-2</v>
      </c>
    </row>
    <row r="28" spans="1:18" ht="15.75" x14ac:dyDescent="0.25">
      <c r="A28" s="513" t="s">
        <v>62</v>
      </c>
      <c r="B28" s="516" t="s">
        <v>63</v>
      </c>
      <c r="C28" s="570" t="s">
        <v>267</v>
      </c>
      <c r="D28" s="520">
        <v>3359</v>
      </c>
      <c r="E28" s="520">
        <v>3705</v>
      </c>
      <c r="F28" s="520">
        <v>3982</v>
      </c>
      <c r="G28" s="520">
        <v>4656</v>
      </c>
      <c r="H28" s="520">
        <v>6257</v>
      </c>
      <c r="I28" s="520">
        <v>7702</v>
      </c>
      <c r="J28" s="520">
        <v>8297</v>
      </c>
      <c r="K28" s="521">
        <v>8619</v>
      </c>
      <c r="L28" s="887">
        <v>9095</v>
      </c>
      <c r="M28" s="887">
        <v>8623</v>
      </c>
      <c r="N28" s="1334">
        <v>8207</v>
      </c>
      <c r="P28" s="267">
        <f t="shared" si="1"/>
        <v>4.8243070857010323E-2</v>
      </c>
      <c r="Q28" s="267">
        <f t="shared" si="2"/>
        <v>5.1896646509070915E-2</v>
      </c>
      <c r="R28" s="267">
        <f t="shared" si="3"/>
        <v>5.5226824457593686E-2</v>
      </c>
    </row>
    <row r="29" spans="1:18" ht="15.75" x14ac:dyDescent="0.25">
      <c r="A29" s="513" t="s">
        <v>64</v>
      </c>
      <c r="B29" s="516" t="s">
        <v>65</v>
      </c>
      <c r="C29" s="570" t="s">
        <v>266</v>
      </c>
      <c r="D29" s="520">
        <v>1905</v>
      </c>
      <c r="E29" s="520">
        <v>1918</v>
      </c>
      <c r="F29" s="520">
        <v>2027</v>
      </c>
      <c r="G29" s="520">
        <v>2146</v>
      </c>
      <c r="H29" s="520">
        <v>2481</v>
      </c>
      <c r="I29" s="520">
        <v>2793</v>
      </c>
      <c r="J29" s="520">
        <v>2986</v>
      </c>
      <c r="K29" s="521">
        <v>3186</v>
      </c>
      <c r="L29" s="887">
        <v>3218</v>
      </c>
      <c r="M29" s="887">
        <v>3142</v>
      </c>
      <c r="N29" s="1334">
        <v>2949</v>
      </c>
      <c r="P29" s="267">
        <f t="shared" si="1"/>
        <v>6.1425843411839591E-2</v>
      </c>
      <c r="Q29" s="267">
        <f t="shared" si="2"/>
        <v>2.3617153511497825E-2</v>
      </c>
      <c r="R29" s="267">
        <f t="shared" si="3"/>
        <v>1.0043942247332079E-2</v>
      </c>
    </row>
    <row r="30" spans="1:18" ht="15.75" x14ac:dyDescent="0.25">
      <c r="A30" s="513" t="s">
        <v>68</v>
      </c>
      <c r="B30" s="516" t="s">
        <v>69</v>
      </c>
      <c r="C30" s="570" t="s">
        <v>268</v>
      </c>
      <c r="D30" s="520">
        <v>3875</v>
      </c>
      <c r="E30" s="520">
        <v>3908</v>
      </c>
      <c r="F30" s="520">
        <v>3822</v>
      </c>
      <c r="G30" s="520">
        <v>3878</v>
      </c>
      <c r="H30" s="520">
        <v>4017</v>
      </c>
      <c r="I30" s="520">
        <v>4315</v>
      </c>
      <c r="J30" s="520">
        <v>4437</v>
      </c>
      <c r="K30" s="521">
        <v>4585</v>
      </c>
      <c r="L30" s="887">
        <v>4838</v>
      </c>
      <c r="M30" s="887">
        <v>4598</v>
      </c>
      <c r="N30" s="1334">
        <v>4372</v>
      </c>
      <c r="P30" s="267">
        <f t="shared" si="1"/>
        <v>4.9151805132666378E-2</v>
      </c>
      <c r="Q30" s="267">
        <f t="shared" si="2"/>
        <v>4.9607275733774284E-2</v>
      </c>
      <c r="R30" s="267">
        <f t="shared" si="3"/>
        <v>5.5179934569247545E-2</v>
      </c>
    </row>
    <row r="31" spans="1:18" ht="15.75" x14ac:dyDescent="0.25">
      <c r="A31" s="513" t="s">
        <v>70</v>
      </c>
      <c r="B31" s="516" t="s">
        <v>71</v>
      </c>
      <c r="C31" s="570" t="s">
        <v>264</v>
      </c>
      <c r="D31" s="520">
        <v>3893</v>
      </c>
      <c r="E31" s="520">
        <v>4152</v>
      </c>
      <c r="F31" s="520">
        <v>4203</v>
      </c>
      <c r="G31" s="520">
        <v>4383</v>
      </c>
      <c r="H31" s="520">
        <v>5090</v>
      </c>
      <c r="I31" s="520">
        <v>6023</v>
      </c>
      <c r="J31" s="520">
        <v>6350</v>
      </c>
      <c r="K31" s="521">
        <v>6753</v>
      </c>
      <c r="L31" s="887">
        <v>6809</v>
      </c>
      <c r="M31" s="887">
        <v>6500</v>
      </c>
      <c r="N31" s="1334">
        <v>6326</v>
      </c>
      <c r="P31" s="267">
        <f t="shared" si="1"/>
        <v>2.6769230769230771E-2</v>
      </c>
      <c r="Q31" s="267">
        <f t="shared" si="2"/>
        <v>4.5381113232486413E-2</v>
      </c>
      <c r="R31" s="267">
        <f t="shared" si="3"/>
        <v>8.2926106915444994E-3</v>
      </c>
    </row>
    <row r="32" spans="1:18" ht="15.75" x14ac:dyDescent="0.25">
      <c r="A32" s="513" t="s">
        <v>72</v>
      </c>
      <c r="B32" s="516" t="s">
        <v>73</v>
      </c>
      <c r="C32" s="570" t="s">
        <v>266</v>
      </c>
      <c r="D32" s="520">
        <v>1985</v>
      </c>
      <c r="E32" s="520">
        <v>2061</v>
      </c>
      <c r="F32" s="520">
        <v>2062</v>
      </c>
      <c r="G32" s="520">
        <v>2206</v>
      </c>
      <c r="H32" s="520">
        <v>2628</v>
      </c>
      <c r="I32" s="520">
        <v>2960</v>
      </c>
      <c r="J32" s="520">
        <v>3207</v>
      </c>
      <c r="K32" s="521">
        <v>3507</v>
      </c>
      <c r="L32" s="887">
        <v>3536</v>
      </c>
      <c r="M32" s="887">
        <v>3358</v>
      </c>
      <c r="N32" s="1334">
        <v>3162</v>
      </c>
      <c r="P32" s="267">
        <f t="shared" si="1"/>
        <v>5.8368076235854674E-2</v>
      </c>
      <c r="Q32" s="267">
        <f t="shared" si="2"/>
        <v>5.0339366515837106E-2</v>
      </c>
      <c r="R32" s="267">
        <f t="shared" si="3"/>
        <v>8.2691759338465922E-3</v>
      </c>
    </row>
    <row r="33" spans="1:18" ht="15.75" x14ac:dyDescent="0.25">
      <c r="A33" s="513" t="s">
        <v>74</v>
      </c>
      <c r="B33" s="516" t="s">
        <v>296</v>
      </c>
      <c r="C33" s="570" t="s">
        <v>267</v>
      </c>
      <c r="D33" s="520">
        <v>30107</v>
      </c>
      <c r="E33" s="520">
        <v>32481</v>
      </c>
      <c r="F33" s="520">
        <v>33617</v>
      </c>
      <c r="G33" s="520">
        <v>36644</v>
      </c>
      <c r="H33" s="520">
        <v>46502</v>
      </c>
      <c r="I33" s="520">
        <v>59952</v>
      </c>
      <c r="J33" s="520">
        <v>70182</v>
      </c>
      <c r="K33" s="521">
        <v>78782</v>
      </c>
      <c r="L33" s="887">
        <v>85543</v>
      </c>
      <c r="M33" s="887">
        <v>85323</v>
      </c>
      <c r="N33" s="1334">
        <v>81349</v>
      </c>
      <c r="P33" s="267">
        <f t="shared" si="1"/>
        <v>4.6575952556754917E-2</v>
      </c>
      <c r="Q33" s="267">
        <f t="shared" si="2"/>
        <v>2.5718059923079623E-3</v>
      </c>
      <c r="R33" s="267">
        <f t="shared" si="3"/>
        <v>8.5819095732527731E-2</v>
      </c>
    </row>
    <row r="34" spans="1:18" ht="15.75" x14ac:dyDescent="0.25">
      <c r="A34" s="513" t="s">
        <v>76</v>
      </c>
      <c r="B34" s="516" t="s">
        <v>77</v>
      </c>
      <c r="C34" s="570" t="s">
        <v>267</v>
      </c>
      <c r="D34" s="520">
        <v>2873</v>
      </c>
      <c r="E34" s="520">
        <v>3091</v>
      </c>
      <c r="F34" s="520">
        <v>3341</v>
      </c>
      <c r="G34" s="520">
        <v>4012</v>
      </c>
      <c r="H34" s="520">
        <v>5197</v>
      </c>
      <c r="I34" s="520">
        <v>6214</v>
      </c>
      <c r="J34" s="520">
        <v>6501</v>
      </c>
      <c r="K34" s="521">
        <v>6922</v>
      </c>
      <c r="L34" s="887">
        <v>7049</v>
      </c>
      <c r="M34" s="887">
        <v>6553</v>
      </c>
      <c r="N34" s="1334">
        <v>5924</v>
      </c>
      <c r="P34" s="267">
        <f t="shared" si="1"/>
        <v>9.5986571036166646E-2</v>
      </c>
      <c r="Q34" s="267">
        <f t="shared" si="2"/>
        <v>7.0364590722088241E-2</v>
      </c>
      <c r="R34" s="267">
        <f t="shared" si="3"/>
        <v>1.8347298468650679E-2</v>
      </c>
    </row>
    <row r="35" spans="1:18" ht="15.75" x14ac:dyDescent="0.25">
      <c r="A35" s="513" t="s">
        <v>78</v>
      </c>
      <c r="B35" s="516" t="s">
        <v>79</v>
      </c>
      <c r="C35" s="570" t="s">
        <v>268</v>
      </c>
      <c r="D35" s="520">
        <v>1729</v>
      </c>
      <c r="E35" s="520">
        <v>1857</v>
      </c>
      <c r="F35" s="520">
        <v>1883</v>
      </c>
      <c r="G35" s="520">
        <v>1981</v>
      </c>
      <c r="H35" s="520">
        <v>2249</v>
      </c>
      <c r="I35" s="520">
        <v>2672</v>
      </c>
      <c r="J35" s="520">
        <v>2937</v>
      </c>
      <c r="K35" s="521">
        <v>3093</v>
      </c>
      <c r="L35" s="887">
        <v>3085</v>
      </c>
      <c r="M35" s="887">
        <v>2879</v>
      </c>
      <c r="N35" s="1334">
        <v>2646</v>
      </c>
      <c r="P35" s="267">
        <f t="shared" si="1"/>
        <v>8.0930878777353249E-2</v>
      </c>
      <c r="Q35" s="267">
        <f t="shared" si="2"/>
        <v>6.6774716369529988E-2</v>
      </c>
      <c r="R35" s="267">
        <f t="shared" si="3"/>
        <v>-2.5864856126737797E-3</v>
      </c>
    </row>
    <row r="36" spans="1:18" ht="15.75" x14ac:dyDescent="0.25">
      <c r="A36" s="513" t="s">
        <v>80</v>
      </c>
      <c r="B36" s="516" t="s">
        <v>81</v>
      </c>
      <c r="C36" s="570" t="s">
        <v>266</v>
      </c>
      <c r="D36" s="520">
        <v>1197</v>
      </c>
      <c r="E36" s="520">
        <v>1281</v>
      </c>
      <c r="F36" s="520">
        <v>1385</v>
      </c>
      <c r="G36" s="520">
        <v>1374</v>
      </c>
      <c r="H36" s="520">
        <v>1805</v>
      </c>
      <c r="I36" s="520">
        <v>2186</v>
      </c>
      <c r="J36" s="520">
        <v>2547</v>
      </c>
      <c r="K36" s="521">
        <v>2908</v>
      </c>
      <c r="L36" s="887">
        <v>2886</v>
      </c>
      <c r="M36" s="887">
        <v>2767</v>
      </c>
      <c r="N36" s="1334">
        <v>2569</v>
      </c>
      <c r="P36" s="267">
        <f t="shared" si="1"/>
        <v>7.1557643657390674E-2</v>
      </c>
      <c r="Q36" s="267">
        <f t="shared" si="2"/>
        <v>4.1233541233541234E-2</v>
      </c>
      <c r="R36" s="267">
        <f t="shared" si="3"/>
        <v>-7.5653370013755161E-3</v>
      </c>
    </row>
    <row r="37" spans="1:18" ht="15.75" x14ac:dyDescent="0.25">
      <c r="A37" s="513" t="s">
        <v>84</v>
      </c>
      <c r="B37" s="516" t="s">
        <v>85</v>
      </c>
      <c r="C37" s="570" t="s">
        <v>265</v>
      </c>
      <c r="D37" s="520">
        <v>6550</v>
      </c>
      <c r="E37" s="520">
        <v>6928</v>
      </c>
      <c r="F37" s="520">
        <v>7163</v>
      </c>
      <c r="G37" s="520">
        <v>8091</v>
      </c>
      <c r="H37" s="520">
        <v>9582</v>
      </c>
      <c r="I37" s="520">
        <v>10818</v>
      </c>
      <c r="J37" s="520">
        <v>11442</v>
      </c>
      <c r="K37" s="521">
        <v>11872</v>
      </c>
      <c r="L37" s="887">
        <v>11963</v>
      </c>
      <c r="M37" s="887">
        <v>11430</v>
      </c>
      <c r="N37" s="1334">
        <v>10616</v>
      </c>
      <c r="P37" s="267">
        <f t="shared" ref="P37:P68" si="4">(M37-N37)/M37</f>
        <v>7.1216097987751525E-2</v>
      </c>
      <c r="Q37" s="267">
        <f t="shared" ref="Q37:Q68" si="5">(L37-M37)/L37</f>
        <v>4.4554041628354094E-2</v>
      </c>
      <c r="R37" s="267">
        <f t="shared" ref="R37:R68" si="6">(L37-K37)/K37</f>
        <v>7.6650943396226415E-3</v>
      </c>
    </row>
    <row r="38" spans="1:18" ht="15.75" x14ac:dyDescent="0.25">
      <c r="A38" s="513" t="s">
        <v>86</v>
      </c>
      <c r="B38" s="516" t="s">
        <v>87</v>
      </c>
      <c r="C38" s="570" t="s">
        <v>267</v>
      </c>
      <c r="D38" s="520">
        <v>3824</v>
      </c>
      <c r="E38" s="520">
        <v>4185</v>
      </c>
      <c r="F38" s="520">
        <v>4735</v>
      </c>
      <c r="G38" s="520">
        <v>5839</v>
      </c>
      <c r="H38" s="520">
        <v>7765</v>
      </c>
      <c r="I38" s="520">
        <v>9789</v>
      </c>
      <c r="J38" s="520">
        <v>11003</v>
      </c>
      <c r="K38" s="521">
        <v>11618</v>
      </c>
      <c r="L38" s="887">
        <v>11979</v>
      </c>
      <c r="M38" s="887">
        <v>10590</v>
      </c>
      <c r="N38" s="1334">
        <v>9714</v>
      </c>
      <c r="P38" s="267">
        <f t="shared" si="4"/>
        <v>8.2719546742209632E-2</v>
      </c>
      <c r="Q38" s="267">
        <f t="shared" si="5"/>
        <v>0.11595291760581017</v>
      </c>
      <c r="R38" s="267">
        <f t="shared" si="6"/>
        <v>3.1072473747632983E-2</v>
      </c>
    </row>
    <row r="39" spans="1:18" ht="15.75" x14ac:dyDescent="0.25">
      <c r="A39" s="513" t="s">
        <v>92</v>
      </c>
      <c r="B39" s="516" t="s">
        <v>93</v>
      </c>
      <c r="C39" s="570" t="s">
        <v>268</v>
      </c>
      <c r="D39" s="520">
        <v>2334</v>
      </c>
      <c r="E39" s="520">
        <v>2397</v>
      </c>
      <c r="F39" s="520">
        <v>2460</v>
      </c>
      <c r="G39" s="520">
        <v>2619</v>
      </c>
      <c r="H39" s="520">
        <v>2961</v>
      </c>
      <c r="I39" s="520">
        <v>3399</v>
      </c>
      <c r="J39" s="520">
        <v>3645</v>
      </c>
      <c r="K39" s="521">
        <v>3547</v>
      </c>
      <c r="L39" s="887">
        <v>3510</v>
      </c>
      <c r="M39" s="887">
        <v>3507</v>
      </c>
      <c r="N39" s="1334">
        <v>3238</v>
      </c>
      <c r="P39" s="267">
        <f t="shared" si="4"/>
        <v>7.6703735386370112E-2</v>
      </c>
      <c r="Q39" s="267">
        <f t="shared" si="5"/>
        <v>8.547008547008547E-4</v>
      </c>
      <c r="R39" s="267">
        <f t="shared" si="6"/>
        <v>-1.0431350436989005E-2</v>
      </c>
    </row>
    <row r="40" spans="1:18" ht="15.75" x14ac:dyDescent="0.25">
      <c r="A40" s="513" t="s">
        <v>94</v>
      </c>
      <c r="B40" s="516" t="s">
        <v>95</v>
      </c>
      <c r="C40" s="570" t="s">
        <v>264</v>
      </c>
      <c r="D40" s="520">
        <v>3167</v>
      </c>
      <c r="E40" s="520">
        <v>3308</v>
      </c>
      <c r="F40" s="520">
        <v>3482</v>
      </c>
      <c r="G40" s="520">
        <v>3519</v>
      </c>
      <c r="H40" s="520">
        <v>4442</v>
      </c>
      <c r="I40" s="520">
        <v>5594</v>
      </c>
      <c r="J40" s="520">
        <v>6079</v>
      </c>
      <c r="K40" s="521">
        <v>6513</v>
      </c>
      <c r="L40" s="887">
        <v>6498</v>
      </c>
      <c r="M40" s="887">
        <v>6251</v>
      </c>
      <c r="N40" s="1334">
        <v>5851</v>
      </c>
      <c r="P40" s="267">
        <f t="shared" si="4"/>
        <v>6.3989761638137896E-2</v>
      </c>
      <c r="Q40" s="267">
        <f t="shared" si="5"/>
        <v>3.8011695906432746E-2</v>
      </c>
      <c r="R40" s="267">
        <f t="shared" si="6"/>
        <v>-2.3030861354214646E-3</v>
      </c>
    </row>
    <row r="41" spans="1:18" ht="15.75" x14ac:dyDescent="0.25">
      <c r="A41" s="513" t="s">
        <v>96</v>
      </c>
      <c r="B41" s="516" t="s">
        <v>97</v>
      </c>
      <c r="C41" s="570" t="s">
        <v>266</v>
      </c>
      <c r="D41" s="520">
        <v>951</v>
      </c>
      <c r="E41" s="520">
        <v>946</v>
      </c>
      <c r="F41" s="520">
        <v>882</v>
      </c>
      <c r="G41" s="520">
        <v>1069</v>
      </c>
      <c r="H41" s="520">
        <v>1359</v>
      </c>
      <c r="I41" s="520">
        <v>1734</v>
      </c>
      <c r="J41" s="520">
        <v>1946</v>
      </c>
      <c r="K41" s="521">
        <v>1931</v>
      </c>
      <c r="L41" s="887">
        <v>1969</v>
      </c>
      <c r="M41" s="887">
        <v>1959</v>
      </c>
      <c r="N41" s="1334">
        <v>1859</v>
      </c>
      <c r="P41" s="267">
        <f t="shared" si="4"/>
        <v>5.1046452271567129E-2</v>
      </c>
      <c r="Q41" s="267">
        <f t="shared" si="5"/>
        <v>5.0787201625190452E-3</v>
      </c>
      <c r="R41" s="267">
        <f t="shared" si="6"/>
        <v>1.9678922837907821E-2</v>
      </c>
    </row>
    <row r="42" spans="1:18" ht="15.75" x14ac:dyDescent="0.25">
      <c r="A42" s="513" t="s">
        <v>98</v>
      </c>
      <c r="B42" s="516" t="s">
        <v>99</v>
      </c>
      <c r="C42" s="570" t="s">
        <v>268</v>
      </c>
      <c r="D42" s="520">
        <v>2860</v>
      </c>
      <c r="E42" s="520">
        <v>3054</v>
      </c>
      <c r="F42" s="520">
        <v>3118</v>
      </c>
      <c r="G42" s="520">
        <v>3173</v>
      </c>
      <c r="H42" s="520">
        <v>3473</v>
      </c>
      <c r="I42" s="520">
        <v>3767</v>
      </c>
      <c r="J42" s="520">
        <v>3953</v>
      </c>
      <c r="K42" s="521">
        <v>4075</v>
      </c>
      <c r="L42" s="887">
        <v>4222</v>
      </c>
      <c r="M42" s="887">
        <v>4027</v>
      </c>
      <c r="N42" s="1334">
        <v>3788</v>
      </c>
      <c r="P42" s="267">
        <f t="shared" si="4"/>
        <v>5.9349391606655082E-2</v>
      </c>
      <c r="Q42" s="267">
        <f t="shared" si="5"/>
        <v>4.6186641402179061E-2</v>
      </c>
      <c r="R42" s="267">
        <f t="shared" si="6"/>
        <v>3.6073619631901838E-2</v>
      </c>
    </row>
    <row r="43" spans="1:18" ht="15.75" x14ac:dyDescent="0.25">
      <c r="A43" s="513" t="s">
        <v>100</v>
      </c>
      <c r="B43" s="516" t="s">
        <v>101</v>
      </c>
      <c r="C43" s="570" t="s">
        <v>267</v>
      </c>
      <c r="D43" s="520">
        <v>1644</v>
      </c>
      <c r="E43" s="520">
        <v>1718</v>
      </c>
      <c r="F43" s="520">
        <v>1673</v>
      </c>
      <c r="G43" s="520">
        <v>1748</v>
      </c>
      <c r="H43" s="520">
        <v>2141</v>
      </c>
      <c r="I43" s="520">
        <v>2648</v>
      </c>
      <c r="J43" s="520">
        <v>2924</v>
      </c>
      <c r="K43" s="521">
        <v>3162</v>
      </c>
      <c r="L43" s="887">
        <v>3242</v>
      </c>
      <c r="M43" s="887">
        <v>3160</v>
      </c>
      <c r="N43" s="1334">
        <v>3085</v>
      </c>
      <c r="P43" s="267">
        <f t="shared" si="4"/>
        <v>2.3734177215189875E-2</v>
      </c>
      <c r="Q43" s="267">
        <f t="shared" si="5"/>
        <v>2.5293028994447873E-2</v>
      </c>
      <c r="R43" s="267">
        <f t="shared" si="6"/>
        <v>2.5300442757748259E-2</v>
      </c>
    </row>
    <row r="44" spans="1:18" ht="15.75" x14ac:dyDescent="0.25">
      <c r="A44" s="513" t="s">
        <v>102</v>
      </c>
      <c r="B44" s="516" t="s">
        <v>282</v>
      </c>
      <c r="C44" s="570" t="s">
        <v>264</v>
      </c>
      <c r="D44" s="520">
        <v>3212</v>
      </c>
      <c r="E44" s="520">
        <v>3626</v>
      </c>
      <c r="F44" s="520">
        <v>3815</v>
      </c>
      <c r="G44" s="520">
        <v>4082</v>
      </c>
      <c r="H44" s="520">
        <v>4638</v>
      </c>
      <c r="I44" s="520">
        <v>5139</v>
      </c>
      <c r="J44" s="520">
        <v>5557</v>
      </c>
      <c r="K44" s="521">
        <v>5787</v>
      </c>
      <c r="L44" s="887">
        <v>6359</v>
      </c>
      <c r="M44" s="887">
        <v>5833</v>
      </c>
      <c r="N44" s="1334">
        <v>5772</v>
      </c>
      <c r="P44" s="267">
        <f t="shared" si="4"/>
        <v>1.045774044231099E-2</v>
      </c>
      <c r="Q44" s="1267">
        <f t="shared" si="5"/>
        <v>8.2717408397546779E-2</v>
      </c>
      <c r="R44" s="1267">
        <f t="shared" si="6"/>
        <v>9.8842232590288584E-2</v>
      </c>
    </row>
    <row r="45" spans="1:18" ht="15.75" x14ac:dyDescent="0.25">
      <c r="A45" s="513" t="s">
        <v>104</v>
      </c>
      <c r="B45" s="516" t="s">
        <v>105</v>
      </c>
      <c r="C45" s="570" t="s">
        <v>265</v>
      </c>
      <c r="D45" s="520">
        <v>6445</v>
      </c>
      <c r="E45" s="520">
        <v>6867</v>
      </c>
      <c r="F45" s="520">
        <v>7252</v>
      </c>
      <c r="G45" s="520">
        <v>7474</v>
      </c>
      <c r="H45" s="520">
        <v>8078</v>
      </c>
      <c r="I45" s="520">
        <v>8899</v>
      </c>
      <c r="J45" s="520">
        <v>9324</v>
      </c>
      <c r="K45" s="521">
        <v>9589</v>
      </c>
      <c r="L45" s="887">
        <v>9559</v>
      </c>
      <c r="M45" s="887">
        <v>9288</v>
      </c>
      <c r="N45" s="1334">
        <v>8959</v>
      </c>
      <c r="P45" s="267">
        <f t="shared" si="4"/>
        <v>3.5422049956933675E-2</v>
      </c>
      <c r="Q45" s="267">
        <f t="shared" si="5"/>
        <v>2.8350245841615232E-2</v>
      </c>
      <c r="R45" s="267">
        <f t="shared" si="6"/>
        <v>-3.1285848367921575E-3</v>
      </c>
    </row>
    <row r="46" spans="1:18" ht="15.75" x14ac:dyDescent="0.25">
      <c r="A46" s="513" t="s">
        <v>108</v>
      </c>
      <c r="B46" s="516" t="s">
        <v>109</v>
      </c>
      <c r="C46" s="570" t="s">
        <v>266</v>
      </c>
      <c r="D46" s="520">
        <v>4065</v>
      </c>
      <c r="E46" s="520">
        <v>4363</v>
      </c>
      <c r="F46" s="520">
        <v>4369</v>
      </c>
      <c r="G46" s="520">
        <v>4871</v>
      </c>
      <c r="H46" s="520">
        <v>5988</v>
      </c>
      <c r="I46" s="520">
        <v>7440</v>
      </c>
      <c r="J46" s="520">
        <v>8354</v>
      </c>
      <c r="K46" s="521">
        <v>8944</v>
      </c>
      <c r="L46" s="887">
        <v>9119</v>
      </c>
      <c r="M46" s="887">
        <v>8763</v>
      </c>
      <c r="N46" s="1334">
        <v>8161</v>
      </c>
      <c r="P46" s="267">
        <f t="shared" si="4"/>
        <v>6.8697934497318272E-2</v>
      </c>
      <c r="Q46" s="267">
        <f t="shared" si="5"/>
        <v>3.9039368351792961E-2</v>
      </c>
      <c r="R46" s="267">
        <f t="shared" si="6"/>
        <v>1.9566189624329159E-2</v>
      </c>
    </row>
    <row r="47" spans="1:18" ht="15.75" x14ac:dyDescent="0.25">
      <c r="A47" s="513" t="s">
        <v>110</v>
      </c>
      <c r="B47" s="516" t="s">
        <v>111</v>
      </c>
      <c r="C47" s="570" t="s">
        <v>266</v>
      </c>
      <c r="D47" s="520">
        <v>21918</v>
      </c>
      <c r="E47" s="520">
        <v>24148</v>
      </c>
      <c r="F47" s="520">
        <v>25085</v>
      </c>
      <c r="G47" s="520">
        <v>25969</v>
      </c>
      <c r="H47" s="520">
        <v>32264</v>
      </c>
      <c r="I47" s="520">
        <v>41200</v>
      </c>
      <c r="J47" s="520">
        <v>46417</v>
      </c>
      <c r="K47" s="521">
        <v>50139</v>
      </c>
      <c r="L47" s="887">
        <v>52765</v>
      </c>
      <c r="M47" s="887">
        <v>50799</v>
      </c>
      <c r="N47" s="1334">
        <v>48369</v>
      </c>
      <c r="P47" s="267">
        <f t="shared" si="4"/>
        <v>4.7835587314710923E-2</v>
      </c>
      <c r="Q47" s="267">
        <f t="shared" si="5"/>
        <v>3.7259547048232727E-2</v>
      </c>
      <c r="R47" s="267">
        <f t="shared" si="6"/>
        <v>5.2374399170306549E-2</v>
      </c>
    </row>
    <row r="48" spans="1:18" ht="15.75" x14ac:dyDescent="0.25">
      <c r="A48" s="513" t="s">
        <v>112</v>
      </c>
      <c r="B48" s="516" t="s">
        <v>300</v>
      </c>
      <c r="C48" s="570" t="s">
        <v>265</v>
      </c>
      <c r="D48" s="520">
        <v>14177</v>
      </c>
      <c r="E48" s="520">
        <v>14929</v>
      </c>
      <c r="F48" s="520">
        <v>15461</v>
      </c>
      <c r="G48" s="520">
        <v>16717</v>
      </c>
      <c r="H48" s="520">
        <v>19301</v>
      </c>
      <c r="I48" s="520">
        <v>21250</v>
      </c>
      <c r="J48" s="520">
        <v>22307</v>
      </c>
      <c r="K48" s="521">
        <v>23602</v>
      </c>
      <c r="L48" s="887">
        <v>24417</v>
      </c>
      <c r="M48" s="887">
        <v>22661</v>
      </c>
      <c r="N48" s="1334">
        <v>21507</v>
      </c>
      <c r="P48" s="267">
        <f t="shared" si="4"/>
        <v>5.0924495829839815E-2</v>
      </c>
      <c r="Q48" s="1267">
        <f t="shared" si="5"/>
        <v>7.1917106933693742E-2</v>
      </c>
      <c r="R48" s="1267">
        <f t="shared" si="6"/>
        <v>3.4530971951529529E-2</v>
      </c>
    </row>
    <row r="49" spans="1:18" ht="15.75" x14ac:dyDescent="0.25">
      <c r="A49" s="513" t="s">
        <v>114</v>
      </c>
      <c r="B49" s="516" t="s">
        <v>115</v>
      </c>
      <c r="C49" s="570" t="s">
        <v>265</v>
      </c>
      <c r="D49" s="520">
        <v>205</v>
      </c>
      <c r="E49" s="520">
        <v>214</v>
      </c>
      <c r="F49" s="520">
        <v>195</v>
      </c>
      <c r="G49" s="520">
        <v>206</v>
      </c>
      <c r="H49" s="520">
        <v>239</v>
      </c>
      <c r="I49" s="520">
        <v>226</v>
      </c>
      <c r="J49" s="520">
        <v>248</v>
      </c>
      <c r="K49" s="521">
        <v>261</v>
      </c>
      <c r="L49" s="887">
        <v>246</v>
      </c>
      <c r="M49" s="887">
        <v>244</v>
      </c>
      <c r="N49" s="1334">
        <v>221</v>
      </c>
      <c r="P49" s="267">
        <f t="shared" si="4"/>
        <v>9.4262295081967207E-2</v>
      </c>
      <c r="Q49" s="267">
        <f t="shared" si="5"/>
        <v>8.130081300813009E-3</v>
      </c>
      <c r="R49" s="267">
        <f t="shared" si="6"/>
        <v>-5.7471264367816091E-2</v>
      </c>
    </row>
    <row r="50" spans="1:18" ht="15.75" x14ac:dyDescent="0.25">
      <c r="A50" s="513" t="s">
        <v>118</v>
      </c>
      <c r="B50" s="516" t="s">
        <v>270</v>
      </c>
      <c r="C50" s="570" t="s">
        <v>264</v>
      </c>
      <c r="D50" s="520">
        <v>3593</v>
      </c>
      <c r="E50" s="520">
        <v>3643</v>
      </c>
      <c r="F50" s="520">
        <v>3663</v>
      </c>
      <c r="G50" s="520">
        <v>3884</v>
      </c>
      <c r="H50" s="520">
        <v>4484</v>
      </c>
      <c r="I50" s="520">
        <v>5248</v>
      </c>
      <c r="J50" s="520">
        <v>5686</v>
      </c>
      <c r="K50" s="521">
        <v>5940</v>
      </c>
      <c r="L50" s="887">
        <v>6119</v>
      </c>
      <c r="M50" s="887">
        <v>5727</v>
      </c>
      <c r="N50" s="1334">
        <v>5598</v>
      </c>
      <c r="P50" s="267">
        <f t="shared" si="4"/>
        <v>2.2524882137244632E-2</v>
      </c>
      <c r="Q50" s="267">
        <f t="shared" si="5"/>
        <v>6.4062755352181727E-2</v>
      </c>
      <c r="R50" s="267">
        <f t="shared" si="6"/>
        <v>3.0134680134680136E-2</v>
      </c>
    </row>
    <row r="51" spans="1:18" ht="15.75" x14ac:dyDescent="0.25">
      <c r="A51" s="513" t="s">
        <v>120</v>
      </c>
      <c r="B51" s="516" t="s">
        <v>121</v>
      </c>
      <c r="C51" s="570" t="s">
        <v>264</v>
      </c>
      <c r="D51" s="520">
        <v>3331</v>
      </c>
      <c r="E51" s="520">
        <v>3645</v>
      </c>
      <c r="F51" s="520">
        <v>3614</v>
      </c>
      <c r="G51" s="520">
        <v>3762</v>
      </c>
      <c r="H51" s="520">
        <v>4927</v>
      </c>
      <c r="I51" s="520">
        <v>5918</v>
      </c>
      <c r="J51" s="520">
        <v>6615</v>
      </c>
      <c r="K51" s="521">
        <v>7233</v>
      </c>
      <c r="L51" s="887">
        <v>7634</v>
      </c>
      <c r="M51" s="887">
        <v>7368</v>
      </c>
      <c r="N51" s="1334">
        <v>7058</v>
      </c>
      <c r="P51" s="267">
        <f t="shared" si="4"/>
        <v>4.2073832790445166E-2</v>
      </c>
      <c r="Q51" s="267">
        <f t="shared" si="5"/>
        <v>3.4844118417605451E-2</v>
      </c>
      <c r="R51" s="267">
        <f t="shared" si="6"/>
        <v>5.544034287294345E-2</v>
      </c>
    </row>
    <row r="52" spans="1:18" ht="15.75" x14ac:dyDescent="0.25">
      <c r="A52" s="513" t="s">
        <v>122</v>
      </c>
      <c r="B52" s="516" t="s">
        <v>287</v>
      </c>
      <c r="C52" s="570" t="s">
        <v>266</v>
      </c>
      <c r="D52" s="520">
        <v>1078</v>
      </c>
      <c r="E52" s="520">
        <v>1110</v>
      </c>
      <c r="F52" s="520">
        <v>1125</v>
      </c>
      <c r="G52" s="520">
        <v>1121</v>
      </c>
      <c r="H52" s="520">
        <v>1267</v>
      </c>
      <c r="I52" s="520">
        <v>1484</v>
      </c>
      <c r="J52" s="520">
        <v>1617</v>
      </c>
      <c r="K52" s="521">
        <v>1696</v>
      </c>
      <c r="L52" s="887">
        <v>1853</v>
      </c>
      <c r="M52" s="887">
        <v>1790</v>
      </c>
      <c r="N52" s="1334">
        <v>1705</v>
      </c>
      <c r="P52" s="267">
        <f t="shared" si="4"/>
        <v>4.7486033519553071E-2</v>
      </c>
      <c r="Q52" s="267">
        <f t="shared" si="5"/>
        <v>3.3998920669185105E-2</v>
      </c>
      <c r="R52" s="267">
        <f t="shared" si="6"/>
        <v>9.2570754716981132E-2</v>
      </c>
    </row>
    <row r="53" spans="1:18" ht="15.75" x14ac:dyDescent="0.25">
      <c r="A53" s="513" t="s">
        <v>124</v>
      </c>
      <c r="B53" s="516" t="s">
        <v>125</v>
      </c>
      <c r="C53" s="570" t="s">
        <v>267</v>
      </c>
      <c r="D53" s="520">
        <v>1828</v>
      </c>
      <c r="E53" s="520">
        <v>1830</v>
      </c>
      <c r="F53" s="520">
        <v>1926</v>
      </c>
      <c r="G53" s="520">
        <v>2242</v>
      </c>
      <c r="H53" s="520">
        <v>2832</v>
      </c>
      <c r="I53" s="520">
        <v>3315</v>
      </c>
      <c r="J53" s="520">
        <v>3822</v>
      </c>
      <c r="K53" s="521">
        <v>4260</v>
      </c>
      <c r="L53" s="887">
        <v>4467</v>
      </c>
      <c r="M53" s="887">
        <v>4417</v>
      </c>
      <c r="N53" s="1334">
        <v>4091</v>
      </c>
      <c r="P53" s="267">
        <f t="shared" si="4"/>
        <v>7.3805750509395515E-2</v>
      </c>
      <c r="Q53" s="267">
        <f t="shared" si="5"/>
        <v>1.1193194537721066E-2</v>
      </c>
      <c r="R53" s="267">
        <f t="shared" si="6"/>
        <v>4.8591549295774646E-2</v>
      </c>
    </row>
    <row r="54" spans="1:18" ht="15.75" x14ac:dyDescent="0.25">
      <c r="A54" s="513" t="s">
        <v>126</v>
      </c>
      <c r="B54" s="516" t="s">
        <v>127</v>
      </c>
      <c r="C54" s="570" t="s">
        <v>266</v>
      </c>
      <c r="D54" s="520">
        <v>1259</v>
      </c>
      <c r="E54" s="520">
        <v>1362</v>
      </c>
      <c r="F54" s="520">
        <v>1392</v>
      </c>
      <c r="G54" s="520">
        <v>1457</v>
      </c>
      <c r="H54" s="520">
        <v>1795</v>
      </c>
      <c r="I54" s="520">
        <v>2337</v>
      </c>
      <c r="J54" s="520">
        <v>2603</v>
      </c>
      <c r="K54" s="521">
        <v>2831</v>
      </c>
      <c r="L54" s="887">
        <v>2847</v>
      </c>
      <c r="M54" s="887">
        <v>2672</v>
      </c>
      <c r="N54" s="1334">
        <v>2497</v>
      </c>
      <c r="P54" s="267">
        <f t="shared" si="4"/>
        <v>6.54940119760479E-2</v>
      </c>
      <c r="Q54" s="267">
        <f t="shared" si="5"/>
        <v>6.1468212153143659E-2</v>
      </c>
      <c r="R54" s="267">
        <f t="shared" si="6"/>
        <v>5.6517131755563403E-3</v>
      </c>
    </row>
    <row r="55" spans="1:18" ht="15.75" x14ac:dyDescent="0.25">
      <c r="A55" s="513" t="s">
        <v>128</v>
      </c>
      <c r="B55" s="516" t="s">
        <v>129</v>
      </c>
      <c r="C55" s="570" t="s">
        <v>266</v>
      </c>
      <c r="D55" s="520">
        <v>1757</v>
      </c>
      <c r="E55" s="520">
        <v>1835</v>
      </c>
      <c r="F55" s="520">
        <v>1717</v>
      </c>
      <c r="G55" s="520">
        <v>1682</v>
      </c>
      <c r="H55" s="520">
        <v>1887</v>
      </c>
      <c r="I55" s="520">
        <v>2164</v>
      </c>
      <c r="J55" s="520">
        <v>2306</v>
      </c>
      <c r="K55" s="521">
        <v>2430</v>
      </c>
      <c r="L55" s="887">
        <v>2500</v>
      </c>
      <c r="M55" s="887">
        <v>2362</v>
      </c>
      <c r="N55" s="1334">
        <v>2233</v>
      </c>
      <c r="P55" s="267">
        <f t="shared" si="4"/>
        <v>5.4614733276883994E-2</v>
      </c>
      <c r="Q55" s="267">
        <f t="shared" si="5"/>
        <v>5.5199999999999999E-2</v>
      </c>
      <c r="R55" s="267">
        <f t="shared" si="6"/>
        <v>2.8806584362139918E-2</v>
      </c>
    </row>
    <row r="56" spans="1:18" ht="15.75" x14ac:dyDescent="0.25">
      <c r="A56" s="513" t="s">
        <v>130</v>
      </c>
      <c r="B56" s="516" t="s">
        <v>131</v>
      </c>
      <c r="C56" s="570" t="s">
        <v>268</v>
      </c>
      <c r="D56" s="520">
        <v>6577</v>
      </c>
      <c r="E56" s="520">
        <v>6638</v>
      </c>
      <c r="F56" s="520">
        <v>6627</v>
      </c>
      <c r="G56" s="520">
        <v>6715</v>
      </c>
      <c r="H56" s="520">
        <v>7032</v>
      </c>
      <c r="I56" s="520">
        <v>7489</v>
      </c>
      <c r="J56" s="520">
        <v>7843</v>
      </c>
      <c r="K56" s="521">
        <v>8103</v>
      </c>
      <c r="L56" s="887">
        <v>8338</v>
      </c>
      <c r="M56" s="887">
        <v>8222</v>
      </c>
      <c r="N56" s="1334">
        <v>7708</v>
      </c>
      <c r="P56" s="267">
        <f t="shared" si="4"/>
        <v>6.2515203113597664E-2</v>
      </c>
      <c r="Q56" s="267">
        <f t="shared" si="5"/>
        <v>1.3912209162868793E-2</v>
      </c>
      <c r="R56" s="267">
        <f t="shared" si="6"/>
        <v>2.9001604344070099E-2</v>
      </c>
    </row>
    <row r="57" spans="1:18" ht="15.75" x14ac:dyDescent="0.25">
      <c r="A57" s="513" t="s">
        <v>132</v>
      </c>
      <c r="B57" s="516" t="s">
        <v>133</v>
      </c>
      <c r="C57" s="570" t="s">
        <v>267</v>
      </c>
      <c r="D57" s="520">
        <v>5415</v>
      </c>
      <c r="E57" s="520">
        <v>5994</v>
      </c>
      <c r="F57" s="520">
        <v>6245</v>
      </c>
      <c r="G57" s="520">
        <v>6936</v>
      </c>
      <c r="H57" s="520">
        <v>9274</v>
      </c>
      <c r="I57" s="520">
        <v>12054</v>
      </c>
      <c r="J57" s="520">
        <v>14047</v>
      </c>
      <c r="K57" s="521">
        <v>15346</v>
      </c>
      <c r="L57" s="887">
        <v>16591</v>
      </c>
      <c r="M57" s="887">
        <v>16628</v>
      </c>
      <c r="N57" s="1334">
        <v>15764</v>
      </c>
      <c r="P57" s="267">
        <f t="shared" si="4"/>
        <v>5.1960548472456097E-2</v>
      </c>
      <c r="Q57" s="267">
        <f t="shared" si="5"/>
        <v>-2.2301247664396361E-3</v>
      </c>
      <c r="R57" s="267">
        <f t="shared" si="6"/>
        <v>8.1128632868499931E-2</v>
      </c>
    </row>
    <row r="58" spans="1:18" ht="15.75" x14ac:dyDescent="0.25">
      <c r="A58" s="513" t="s">
        <v>134</v>
      </c>
      <c r="B58" s="516" t="s">
        <v>135</v>
      </c>
      <c r="C58" s="570" t="s">
        <v>267</v>
      </c>
      <c r="D58" s="520">
        <v>3067</v>
      </c>
      <c r="E58" s="520">
        <v>3288</v>
      </c>
      <c r="F58" s="520">
        <v>3284</v>
      </c>
      <c r="G58" s="520">
        <v>3448</v>
      </c>
      <c r="H58" s="520">
        <v>4394</v>
      </c>
      <c r="I58" s="520">
        <v>5443</v>
      </c>
      <c r="J58" s="520">
        <v>6131</v>
      </c>
      <c r="K58" s="521">
        <v>6446</v>
      </c>
      <c r="L58" s="887">
        <v>6825</v>
      </c>
      <c r="M58" s="887">
        <v>6696</v>
      </c>
      <c r="N58" s="1334">
        <v>6371</v>
      </c>
      <c r="P58" s="267">
        <f t="shared" si="4"/>
        <v>4.8536439665471921E-2</v>
      </c>
      <c r="Q58" s="267">
        <f t="shared" si="5"/>
        <v>1.8901098901098902E-2</v>
      </c>
      <c r="R58" s="267">
        <f t="shared" si="6"/>
        <v>5.8796152652807944E-2</v>
      </c>
    </row>
    <row r="59" spans="1:18" ht="15.75" x14ac:dyDescent="0.25">
      <c r="A59" s="513" t="s">
        <v>136</v>
      </c>
      <c r="B59" s="516" t="s">
        <v>137</v>
      </c>
      <c r="C59" s="570" t="s">
        <v>266</v>
      </c>
      <c r="D59" s="520">
        <v>2340</v>
      </c>
      <c r="E59" s="520">
        <v>2500</v>
      </c>
      <c r="F59" s="520">
        <v>2477</v>
      </c>
      <c r="G59" s="520">
        <v>2636</v>
      </c>
      <c r="H59" s="520">
        <v>2906</v>
      </c>
      <c r="I59" s="520">
        <v>3282</v>
      </c>
      <c r="J59" s="520">
        <v>3460</v>
      </c>
      <c r="K59" s="521">
        <v>3575</v>
      </c>
      <c r="L59" s="887">
        <v>3562</v>
      </c>
      <c r="M59" s="887">
        <v>3523</v>
      </c>
      <c r="N59" s="1334">
        <v>3374</v>
      </c>
      <c r="P59" s="267">
        <f t="shared" si="4"/>
        <v>4.2293499858075505E-2</v>
      </c>
      <c r="Q59" s="267">
        <f t="shared" si="5"/>
        <v>1.0948905109489052E-2</v>
      </c>
      <c r="R59" s="267">
        <f t="shared" si="6"/>
        <v>-3.6363636363636364E-3</v>
      </c>
    </row>
    <row r="60" spans="1:18" ht="15.75" x14ac:dyDescent="0.25">
      <c r="A60" s="513" t="s">
        <v>140</v>
      </c>
      <c r="B60" s="516" t="s">
        <v>141</v>
      </c>
      <c r="C60" s="570" t="s">
        <v>267</v>
      </c>
      <c r="D60" s="520">
        <v>1043</v>
      </c>
      <c r="E60" s="520">
        <v>1023</v>
      </c>
      <c r="F60" s="520">
        <v>1067</v>
      </c>
      <c r="G60" s="520">
        <v>1191</v>
      </c>
      <c r="H60" s="520">
        <v>1572</v>
      </c>
      <c r="I60" s="520">
        <v>1991</v>
      </c>
      <c r="J60" s="520">
        <v>2203</v>
      </c>
      <c r="K60" s="521">
        <v>2360</v>
      </c>
      <c r="L60" s="887">
        <v>2566</v>
      </c>
      <c r="M60" s="887">
        <v>2452</v>
      </c>
      <c r="N60" s="1334">
        <v>2309</v>
      </c>
      <c r="P60" s="267">
        <f t="shared" si="4"/>
        <v>5.8319738988580748E-2</v>
      </c>
      <c r="Q60" s="267">
        <f t="shared" si="5"/>
        <v>4.4427123928293066E-2</v>
      </c>
      <c r="R60" s="267">
        <f t="shared" si="6"/>
        <v>8.7288135593220337E-2</v>
      </c>
    </row>
    <row r="61" spans="1:18" ht="15.75" x14ac:dyDescent="0.25">
      <c r="A61" s="513" t="s">
        <v>146</v>
      </c>
      <c r="B61" s="516" t="s">
        <v>147</v>
      </c>
      <c r="C61" s="570" t="s">
        <v>264</v>
      </c>
      <c r="D61" s="520">
        <v>839</v>
      </c>
      <c r="E61" s="520">
        <v>889</v>
      </c>
      <c r="F61" s="520">
        <v>881</v>
      </c>
      <c r="G61" s="520">
        <v>918</v>
      </c>
      <c r="H61" s="520">
        <v>1057</v>
      </c>
      <c r="I61" s="520">
        <v>1286</v>
      </c>
      <c r="J61" s="520">
        <v>1413</v>
      </c>
      <c r="K61" s="521">
        <v>1458</v>
      </c>
      <c r="L61" s="887">
        <v>1524</v>
      </c>
      <c r="M61" s="887">
        <v>1435</v>
      </c>
      <c r="N61" s="1334">
        <v>1360</v>
      </c>
      <c r="P61" s="267">
        <f t="shared" si="4"/>
        <v>5.2264808362369339E-2</v>
      </c>
      <c r="Q61" s="267">
        <f t="shared" si="5"/>
        <v>5.8398950131233598E-2</v>
      </c>
      <c r="R61" s="267">
        <f t="shared" si="6"/>
        <v>4.5267489711934158E-2</v>
      </c>
    </row>
    <row r="62" spans="1:18" ht="15.75" x14ac:dyDescent="0.25">
      <c r="A62" s="513" t="s">
        <v>148</v>
      </c>
      <c r="B62" s="516" t="s">
        <v>149</v>
      </c>
      <c r="C62" s="570" t="s">
        <v>265</v>
      </c>
      <c r="D62" s="520">
        <v>4961</v>
      </c>
      <c r="E62" s="520">
        <v>5123</v>
      </c>
      <c r="F62" s="520">
        <v>5061</v>
      </c>
      <c r="G62" s="520">
        <v>5189</v>
      </c>
      <c r="H62" s="520">
        <v>5792</v>
      </c>
      <c r="I62" s="520">
        <v>6849</v>
      </c>
      <c r="J62" s="520">
        <v>7227</v>
      </c>
      <c r="K62" s="521">
        <v>7611</v>
      </c>
      <c r="L62" s="887">
        <v>7939</v>
      </c>
      <c r="M62" s="887">
        <v>7635</v>
      </c>
      <c r="N62" s="1334">
        <v>7203</v>
      </c>
      <c r="P62" s="267">
        <f t="shared" si="4"/>
        <v>5.6581532416502947E-2</v>
      </c>
      <c r="Q62" s="267">
        <f t="shared" si="5"/>
        <v>3.8291976319435699E-2</v>
      </c>
      <c r="R62" s="267">
        <f t="shared" si="6"/>
        <v>4.3095519642622523E-2</v>
      </c>
    </row>
    <row r="63" spans="1:18" ht="15.75" x14ac:dyDescent="0.25">
      <c r="A63" s="513" t="s">
        <v>150</v>
      </c>
      <c r="B63" s="516" t="s">
        <v>151</v>
      </c>
      <c r="C63" s="570" t="s">
        <v>266</v>
      </c>
      <c r="D63" s="520">
        <v>1263</v>
      </c>
      <c r="E63" s="520">
        <v>1345</v>
      </c>
      <c r="F63" s="520">
        <v>1301</v>
      </c>
      <c r="G63" s="520">
        <v>1324</v>
      </c>
      <c r="H63" s="520">
        <v>1549</v>
      </c>
      <c r="I63" s="520">
        <v>1867</v>
      </c>
      <c r="J63" s="520">
        <v>2041</v>
      </c>
      <c r="K63" s="521">
        <v>2294</v>
      </c>
      <c r="L63" s="887">
        <v>2363</v>
      </c>
      <c r="M63" s="887">
        <v>2299</v>
      </c>
      <c r="N63" s="1334">
        <v>2204</v>
      </c>
      <c r="P63" s="267">
        <f t="shared" si="4"/>
        <v>4.1322314049586778E-2</v>
      </c>
      <c r="Q63" s="267">
        <f t="shared" si="5"/>
        <v>2.7084214980956412E-2</v>
      </c>
      <c r="R63" s="267">
        <f t="shared" si="6"/>
        <v>3.007846556233653E-2</v>
      </c>
    </row>
    <row r="64" spans="1:18" ht="15.75" x14ac:dyDescent="0.25">
      <c r="A64" s="513" t="s">
        <v>152</v>
      </c>
      <c r="B64" s="516" t="s">
        <v>153</v>
      </c>
      <c r="C64" s="570" t="s">
        <v>268</v>
      </c>
      <c r="D64" s="520">
        <v>7069</v>
      </c>
      <c r="E64" s="520">
        <v>7516</v>
      </c>
      <c r="F64" s="520">
        <v>7813</v>
      </c>
      <c r="G64" s="520">
        <v>8317</v>
      </c>
      <c r="H64" s="520">
        <v>9107</v>
      </c>
      <c r="I64" s="520">
        <v>10238</v>
      </c>
      <c r="J64" s="520">
        <v>10993</v>
      </c>
      <c r="K64" s="521">
        <v>11445</v>
      </c>
      <c r="L64" s="887">
        <v>11861</v>
      </c>
      <c r="M64" s="887">
        <v>11199</v>
      </c>
      <c r="N64" s="1334">
        <v>10381</v>
      </c>
      <c r="P64" s="267">
        <f t="shared" si="4"/>
        <v>7.304223591392088E-2</v>
      </c>
      <c r="Q64" s="267">
        <f t="shared" si="5"/>
        <v>5.5813169210016021E-2</v>
      </c>
      <c r="R64" s="267">
        <f t="shared" si="6"/>
        <v>3.6347750109218001E-2</v>
      </c>
    </row>
    <row r="65" spans="1:18" ht="15.75" x14ac:dyDescent="0.25">
      <c r="A65" s="513" t="s">
        <v>154</v>
      </c>
      <c r="B65" s="516" t="s">
        <v>155</v>
      </c>
      <c r="C65" s="570" t="s">
        <v>265</v>
      </c>
      <c r="D65" s="520">
        <v>1493</v>
      </c>
      <c r="E65" s="520">
        <v>1609</v>
      </c>
      <c r="F65" s="520">
        <v>1895</v>
      </c>
      <c r="G65" s="520">
        <v>2047</v>
      </c>
      <c r="H65" s="520">
        <v>2516</v>
      </c>
      <c r="I65" s="520">
        <v>2912</v>
      </c>
      <c r="J65" s="520">
        <v>3081</v>
      </c>
      <c r="K65" s="521">
        <v>3318</v>
      </c>
      <c r="L65" s="887">
        <v>3409</v>
      </c>
      <c r="M65" s="887">
        <v>3290</v>
      </c>
      <c r="N65" s="1334">
        <v>3046</v>
      </c>
      <c r="P65" s="267">
        <f t="shared" si="4"/>
        <v>7.4164133738601826E-2</v>
      </c>
      <c r="Q65" s="267">
        <f t="shared" si="5"/>
        <v>3.4907597535934289E-2</v>
      </c>
      <c r="R65" s="267">
        <f t="shared" si="6"/>
        <v>2.7426160337552744E-2</v>
      </c>
    </row>
    <row r="66" spans="1:18" ht="15.75" x14ac:dyDescent="0.25">
      <c r="A66" s="513" t="s">
        <v>156</v>
      </c>
      <c r="B66" s="516" t="s">
        <v>157</v>
      </c>
      <c r="C66" s="570" t="s">
        <v>266</v>
      </c>
      <c r="D66" s="520">
        <v>791</v>
      </c>
      <c r="E66" s="520">
        <v>819</v>
      </c>
      <c r="F66" s="520">
        <v>772</v>
      </c>
      <c r="G66" s="520">
        <v>898</v>
      </c>
      <c r="H66" s="520">
        <v>1097</v>
      </c>
      <c r="I66" s="520">
        <v>1427</v>
      </c>
      <c r="J66" s="520">
        <v>1722</v>
      </c>
      <c r="K66" s="521">
        <v>1932</v>
      </c>
      <c r="L66" s="887">
        <v>1969</v>
      </c>
      <c r="M66" s="887">
        <v>1872</v>
      </c>
      <c r="N66" s="1334">
        <v>1936</v>
      </c>
      <c r="P66" s="267">
        <f t="shared" si="4"/>
        <v>-3.4188034188034191E-2</v>
      </c>
      <c r="Q66" s="267">
        <f t="shared" si="5"/>
        <v>4.9263585576434739E-2</v>
      </c>
      <c r="R66" s="267">
        <f t="shared" si="6"/>
        <v>1.9151138716356108E-2</v>
      </c>
    </row>
    <row r="67" spans="1:18" ht="15.75" x14ac:dyDescent="0.25">
      <c r="A67" s="513" t="s">
        <v>162</v>
      </c>
      <c r="B67" s="516" t="s">
        <v>163</v>
      </c>
      <c r="C67" s="570" t="s">
        <v>264</v>
      </c>
      <c r="D67" s="520">
        <v>2991</v>
      </c>
      <c r="E67" s="520">
        <v>3211</v>
      </c>
      <c r="F67" s="520">
        <v>3193</v>
      </c>
      <c r="G67" s="520">
        <v>3131</v>
      </c>
      <c r="H67" s="520">
        <v>3392</v>
      </c>
      <c r="I67" s="520">
        <v>3682</v>
      </c>
      <c r="J67" s="520">
        <v>4028</v>
      </c>
      <c r="K67" s="521">
        <v>4062</v>
      </c>
      <c r="L67" s="887">
        <v>4139</v>
      </c>
      <c r="M67" s="887">
        <v>3992</v>
      </c>
      <c r="N67" s="1334">
        <v>3786</v>
      </c>
      <c r="P67" s="267">
        <f t="shared" si="4"/>
        <v>5.1603206412825654E-2</v>
      </c>
      <c r="Q67" s="267">
        <f t="shared" si="5"/>
        <v>3.5515825078521385E-2</v>
      </c>
      <c r="R67" s="267">
        <f t="shared" si="6"/>
        <v>1.8956179222058101E-2</v>
      </c>
    </row>
    <row r="68" spans="1:18" ht="15.75" x14ac:dyDescent="0.25">
      <c r="A68" s="513" t="s">
        <v>164</v>
      </c>
      <c r="B68" s="516" t="s">
        <v>165</v>
      </c>
      <c r="C68" s="570" t="s">
        <v>266</v>
      </c>
      <c r="D68" s="520">
        <v>1609</v>
      </c>
      <c r="E68" s="520">
        <v>1582</v>
      </c>
      <c r="F68" s="520">
        <v>1580</v>
      </c>
      <c r="G68" s="520">
        <v>1609</v>
      </c>
      <c r="H68" s="520">
        <v>1759</v>
      </c>
      <c r="I68" s="520">
        <v>2043</v>
      </c>
      <c r="J68" s="520">
        <v>2243</v>
      </c>
      <c r="K68" s="521">
        <v>2371</v>
      </c>
      <c r="L68" s="887">
        <v>2611</v>
      </c>
      <c r="M68" s="887">
        <v>2574</v>
      </c>
      <c r="N68" s="1334">
        <v>2461</v>
      </c>
      <c r="P68" s="267">
        <f t="shared" si="4"/>
        <v>4.3900543900543904E-2</v>
      </c>
      <c r="Q68" s="267">
        <f t="shared" si="5"/>
        <v>1.4170815779394868E-2</v>
      </c>
      <c r="R68" s="267">
        <f t="shared" si="6"/>
        <v>0.10122311261071278</v>
      </c>
    </row>
    <row r="69" spans="1:18" ht="15.75" x14ac:dyDescent="0.25">
      <c r="A69" s="513" t="s">
        <v>168</v>
      </c>
      <c r="B69" s="516" t="s">
        <v>169</v>
      </c>
      <c r="C69" s="570" t="s">
        <v>266</v>
      </c>
      <c r="D69" s="520">
        <v>2913</v>
      </c>
      <c r="E69" s="520">
        <v>3042</v>
      </c>
      <c r="F69" s="520">
        <v>3026</v>
      </c>
      <c r="G69" s="520">
        <v>3238</v>
      </c>
      <c r="H69" s="520">
        <v>3771</v>
      </c>
      <c r="I69" s="520">
        <v>4257</v>
      </c>
      <c r="J69" s="520">
        <v>4696</v>
      </c>
      <c r="K69" s="521">
        <v>5003</v>
      </c>
      <c r="L69" s="887">
        <v>5060</v>
      </c>
      <c r="M69" s="887">
        <v>4992</v>
      </c>
      <c r="N69" s="1334">
        <v>4682</v>
      </c>
      <c r="P69" s="267">
        <f t="shared" ref="P69:P100" si="7">(M69-N69)/M69</f>
        <v>6.2099358974358976E-2</v>
      </c>
      <c r="Q69" s="267">
        <f t="shared" ref="Q69:Q100" si="8">(L69-M69)/L69</f>
        <v>1.3438735177865613E-2</v>
      </c>
      <c r="R69" s="267">
        <f t="shared" ref="R69:R100" si="9">(L69-K69)/K69</f>
        <v>1.1393164101539077E-2</v>
      </c>
    </row>
    <row r="70" spans="1:18" ht="15.75" x14ac:dyDescent="0.25">
      <c r="A70" s="513" t="s">
        <v>170</v>
      </c>
      <c r="B70" s="516" t="s">
        <v>171</v>
      </c>
      <c r="C70" s="570" t="s">
        <v>267</v>
      </c>
      <c r="D70" s="520">
        <v>2459</v>
      </c>
      <c r="E70" s="520">
        <v>2480</v>
      </c>
      <c r="F70" s="520">
        <v>2549</v>
      </c>
      <c r="G70" s="520">
        <v>2966</v>
      </c>
      <c r="H70" s="520">
        <v>3782</v>
      </c>
      <c r="I70" s="520">
        <v>4511</v>
      </c>
      <c r="J70" s="520">
        <v>4983</v>
      </c>
      <c r="K70" s="521">
        <v>5279</v>
      </c>
      <c r="L70" s="887">
        <v>5384</v>
      </c>
      <c r="M70" s="887">
        <v>5248</v>
      </c>
      <c r="N70" s="1334">
        <v>4969</v>
      </c>
      <c r="P70" s="267">
        <f t="shared" si="7"/>
        <v>5.316310975609756E-2</v>
      </c>
      <c r="Q70" s="267">
        <f t="shared" si="8"/>
        <v>2.5260029717682021E-2</v>
      </c>
      <c r="R70" s="267">
        <f t="shared" si="9"/>
        <v>1.9890130706573216E-2</v>
      </c>
    </row>
    <row r="71" spans="1:18" ht="15.75" x14ac:dyDescent="0.25">
      <c r="A71" s="513" t="s">
        <v>172</v>
      </c>
      <c r="B71" s="516" t="s">
        <v>173</v>
      </c>
      <c r="C71" s="570" t="s">
        <v>267</v>
      </c>
      <c r="D71" s="520">
        <v>2891</v>
      </c>
      <c r="E71" s="520">
        <v>3166</v>
      </c>
      <c r="F71" s="520">
        <v>3418</v>
      </c>
      <c r="G71" s="520">
        <v>3698</v>
      </c>
      <c r="H71" s="520">
        <v>4426</v>
      </c>
      <c r="I71" s="520">
        <v>5111</v>
      </c>
      <c r="J71" s="520">
        <v>5336</v>
      </c>
      <c r="K71" s="521">
        <v>5652</v>
      </c>
      <c r="L71" s="887">
        <v>5766</v>
      </c>
      <c r="M71" s="887">
        <v>5558</v>
      </c>
      <c r="N71" s="1334">
        <v>5303</v>
      </c>
      <c r="P71" s="267">
        <f t="shared" si="7"/>
        <v>4.5879812882331776E-2</v>
      </c>
      <c r="Q71" s="267">
        <f t="shared" si="8"/>
        <v>3.6073534512660425E-2</v>
      </c>
      <c r="R71" s="267">
        <f t="shared" si="9"/>
        <v>2.0169851380042462E-2</v>
      </c>
    </row>
    <row r="72" spans="1:18" ht="15.75" x14ac:dyDescent="0.25">
      <c r="A72" s="513" t="s">
        <v>174</v>
      </c>
      <c r="B72" s="516" t="s">
        <v>175</v>
      </c>
      <c r="C72" s="570" t="s">
        <v>268</v>
      </c>
      <c r="D72" s="520">
        <v>3537</v>
      </c>
      <c r="E72" s="520">
        <v>3620</v>
      </c>
      <c r="F72" s="520">
        <v>3705</v>
      </c>
      <c r="G72" s="520">
        <v>3966</v>
      </c>
      <c r="H72" s="520">
        <v>4407</v>
      </c>
      <c r="I72" s="520">
        <v>4742</v>
      </c>
      <c r="J72" s="520">
        <v>4999</v>
      </c>
      <c r="K72" s="521">
        <v>5094</v>
      </c>
      <c r="L72" s="887">
        <v>4929</v>
      </c>
      <c r="M72" s="887">
        <v>4566</v>
      </c>
      <c r="N72" s="1334">
        <v>4264</v>
      </c>
      <c r="P72" s="267">
        <f t="shared" si="7"/>
        <v>6.6141042487954452E-2</v>
      </c>
      <c r="Q72" s="267">
        <f t="shared" si="8"/>
        <v>7.3645769933049304E-2</v>
      </c>
      <c r="R72" s="267">
        <f t="shared" si="9"/>
        <v>-3.2391048292108364E-2</v>
      </c>
    </row>
    <row r="73" spans="1:18" ht="15.75" x14ac:dyDescent="0.25">
      <c r="A73" s="513" t="s">
        <v>178</v>
      </c>
      <c r="B73" s="516" t="s">
        <v>179</v>
      </c>
      <c r="C73" s="570" t="s">
        <v>265</v>
      </c>
      <c r="D73" s="520">
        <v>8896</v>
      </c>
      <c r="E73" s="520">
        <v>9645</v>
      </c>
      <c r="F73" s="520">
        <v>10085</v>
      </c>
      <c r="G73" s="520">
        <v>10607</v>
      </c>
      <c r="H73" s="520">
        <v>11901</v>
      </c>
      <c r="I73" s="520">
        <v>13191</v>
      </c>
      <c r="J73" s="520">
        <v>13999</v>
      </c>
      <c r="K73" s="521">
        <v>14314</v>
      </c>
      <c r="L73" s="887">
        <v>14682</v>
      </c>
      <c r="M73" s="887">
        <v>14498</v>
      </c>
      <c r="N73" s="1334">
        <v>13584</v>
      </c>
      <c r="P73" s="267">
        <f t="shared" si="7"/>
        <v>6.3043178369430269E-2</v>
      </c>
      <c r="Q73" s="267">
        <f t="shared" si="8"/>
        <v>1.2532352540525813E-2</v>
      </c>
      <c r="R73" s="267">
        <f t="shared" si="9"/>
        <v>2.5709095989939919E-2</v>
      </c>
    </row>
    <row r="74" spans="1:18" ht="15.75" x14ac:dyDescent="0.25">
      <c r="A74" s="513" t="s">
        <v>182</v>
      </c>
      <c r="B74" s="516" t="s">
        <v>183</v>
      </c>
      <c r="C74" s="570" t="s">
        <v>266</v>
      </c>
      <c r="D74" s="520">
        <v>903</v>
      </c>
      <c r="E74" s="520">
        <v>932</v>
      </c>
      <c r="F74" s="520">
        <v>1049</v>
      </c>
      <c r="G74" s="520">
        <v>1120</v>
      </c>
      <c r="H74" s="520">
        <v>1409</v>
      </c>
      <c r="I74" s="520">
        <v>1829</v>
      </c>
      <c r="J74" s="520">
        <v>2061</v>
      </c>
      <c r="K74" s="521">
        <v>2295</v>
      </c>
      <c r="L74" s="887">
        <v>2354</v>
      </c>
      <c r="M74" s="887">
        <v>2244</v>
      </c>
      <c r="N74" s="1334">
        <v>2036</v>
      </c>
      <c r="P74" s="267">
        <f t="shared" si="7"/>
        <v>9.2691622103386814E-2</v>
      </c>
      <c r="Q74" s="267">
        <f t="shared" si="8"/>
        <v>4.6728971962616821E-2</v>
      </c>
      <c r="R74" s="267">
        <f t="shared" si="9"/>
        <v>2.570806100217865E-2</v>
      </c>
    </row>
    <row r="75" spans="1:18" ht="15.75" x14ac:dyDescent="0.25">
      <c r="A75" s="513" t="s">
        <v>184</v>
      </c>
      <c r="B75" s="516" t="s">
        <v>185</v>
      </c>
      <c r="C75" s="570" t="s">
        <v>266</v>
      </c>
      <c r="D75" s="520">
        <v>3363</v>
      </c>
      <c r="E75" s="520">
        <v>3633</v>
      </c>
      <c r="F75" s="520">
        <v>3631</v>
      </c>
      <c r="G75" s="520">
        <v>3814</v>
      </c>
      <c r="H75" s="520">
        <v>4162</v>
      </c>
      <c r="I75" s="520">
        <v>4684</v>
      </c>
      <c r="J75" s="520">
        <v>5034</v>
      </c>
      <c r="K75" s="521">
        <v>5286</v>
      </c>
      <c r="L75" s="887">
        <v>5421</v>
      </c>
      <c r="M75" s="887">
        <v>5208</v>
      </c>
      <c r="N75" s="1334">
        <v>4869</v>
      </c>
      <c r="P75" s="267">
        <f t="shared" si="7"/>
        <v>6.5092165898617507E-2</v>
      </c>
      <c r="Q75" s="267">
        <f t="shared" si="8"/>
        <v>3.9291643608190374E-2</v>
      </c>
      <c r="R75" s="267">
        <f t="shared" si="9"/>
        <v>2.553916004540295E-2</v>
      </c>
    </row>
    <row r="76" spans="1:18" ht="15.75" x14ac:dyDescent="0.25">
      <c r="A76" s="513" t="s">
        <v>186</v>
      </c>
      <c r="B76" s="516" t="s">
        <v>187</v>
      </c>
      <c r="C76" s="570" t="s">
        <v>264</v>
      </c>
      <c r="D76" s="520">
        <v>2279</v>
      </c>
      <c r="E76" s="520">
        <v>2452</v>
      </c>
      <c r="F76" s="520">
        <v>2648</v>
      </c>
      <c r="G76" s="520">
        <v>2805</v>
      </c>
      <c r="H76" s="520">
        <v>3044</v>
      </c>
      <c r="I76" s="520">
        <v>3637</v>
      </c>
      <c r="J76" s="520">
        <v>4023</v>
      </c>
      <c r="K76" s="521">
        <v>4340</v>
      </c>
      <c r="L76" s="887">
        <v>4688</v>
      </c>
      <c r="M76" s="887">
        <v>4725</v>
      </c>
      <c r="N76" s="1334">
        <v>4685</v>
      </c>
      <c r="P76" s="267">
        <f t="shared" si="7"/>
        <v>8.4656084656084662E-3</v>
      </c>
      <c r="Q76" s="267">
        <f t="shared" si="8"/>
        <v>-7.8924914675767913E-3</v>
      </c>
      <c r="R76" s="267">
        <f t="shared" si="9"/>
        <v>8.0184331797235026E-2</v>
      </c>
    </row>
    <row r="77" spans="1:18" ht="15.75" x14ac:dyDescent="0.25">
      <c r="A77" s="513" t="s">
        <v>188</v>
      </c>
      <c r="B77" s="516" t="s">
        <v>189</v>
      </c>
      <c r="C77" s="570" t="s">
        <v>267</v>
      </c>
      <c r="D77" s="520">
        <v>18234</v>
      </c>
      <c r="E77" s="520">
        <v>20079</v>
      </c>
      <c r="F77" s="520">
        <v>21242</v>
      </c>
      <c r="G77" s="520">
        <v>23240</v>
      </c>
      <c r="H77" s="520">
        <v>29717</v>
      </c>
      <c r="I77" s="520">
        <v>37357</v>
      </c>
      <c r="J77" s="520">
        <v>42476</v>
      </c>
      <c r="K77" s="521">
        <v>46591</v>
      </c>
      <c r="L77" s="887">
        <v>49867</v>
      </c>
      <c r="M77" s="887">
        <v>48721</v>
      </c>
      <c r="N77" s="1334">
        <v>46899</v>
      </c>
      <c r="P77" s="267">
        <f t="shared" si="7"/>
        <v>3.7396605159992609E-2</v>
      </c>
      <c r="Q77" s="267">
        <f t="shared" si="8"/>
        <v>2.2981129805282049E-2</v>
      </c>
      <c r="R77" s="267">
        <f t="shared" si="9"/>
        <v>7.0314009143396791E-2</v>
      </c>
    </row>
    <row r="78" spans="1:18" ht="15.75" x14ac:dyDescent="0.25">
      <c r="A78" s="513" t="s">
        <v>190</v>
      </c>
      <c r="B78" s="516" t="s">
        <v>191</v>
      </c>
      <c r="C78" s="570" t="s">
        <v>268</v>
      </c>
      <c r="D78" s="520">
        <v>5607</v>
      </c>
      <c r="E78" s="520">
        <v>5931</v>
      </c>
      <c r="F78" s="520">
        <v>6074</v>
      </c>
      <c r="G78" s="520">
        <v>6296</v>
      </c>
      <c r="H78" s="520">
        <v>7096</v>
      </c>
      <c r="I78" s="520">
        <v>8075</v>
      </c>
      <c r="J78" s="520">
        <v>8499</v>
      </c>
      <c r="K78" s="521">
        <v>8385</v>
      </c>
      <c r="L78" s="887">
        <v>8521</v>
      </c>
      <c r="M78" s="887">
        <v>8309</v>
      </c>
      <c r="N78" s="1334">
        <v>7764</v>
      </c>
      <c r="P78" s="267">
        <f t="shared" si="7"/>
        <v>6.559152725959802E-2</v>
      </c>
      <c r="Q78" s="267">
        <f t="shared" si="8"/>
        <v>2.487970895434808E-2</v>
      </c>
      <c r="R78" s="267">
        <f t="shared" si="9"/>
        <v>1.6219439475253429E-2</v>
      </c>
    </row>
    <row r="79" spans="1:18" ht="15.75" x14ac:dyDescent="0.25">
      <c r="A79" s="513" t="s">
        <v>194</v>
      </c>
      <c r="B79" s="516" t="s">
        <v>195</v>
      </c>
      <c r="C79" s="570" t="s">
        <v>267</v>
      </c>
      <c r="D79" s="520">
        <v>288</v>
      </c>
      <c r="E79" s="520">
        <v>339</v>
      </c>
      <c r="F79" s="520">
        <v>355</v>
      </c>
      <c r="G79" s="520">
        <v>407</v>
      </c>
      <c r="H79" s="520">
        <v>583</v>
      </c>
      <c r="I79" s="520">
        <v>706</v>
      </c>
      <c r="J79" s="520">
        <v>793</v>
      </c>
      <c r="K79" s="521">
        <v>894</v>
      </c>
      <c r="L79" s="887">
        <v>797</v>
      </c>
      <c r="M79" s="887">
        <v>750</v>
      </c>
      <c r="N79" s="1334">
        <v>648</v>
      </c>
      <c r="P79" s="267">
        <f t="shared" si="7"/>
        <v>0.13600000000000001</v>
      </c>
      <c r="Q79" s="267">
        <f t="shared" si="8"/>
        <v>5.8971141781681308E-2</v>
      </c>
      <c r="R79" s="267">
        <f t="shared" si="9"/>
        <v>-0.10850111856823266</v>
      </c>
    </row>
    <row r="80" spans="1:18" ht="15.75" x14ac:dyDescent="0.25">
      <c r="A80" s="513" t="s">
        <v>198</v>
      </c>
      <c r="B80" s="516" t="s">
        <v>272</v>
      </c>
      <c r="C80" s="570" t="s">
        <v>266</v>
      </c>
      <c r="D80" s="520">
        <v>1300</v>
      </c>
      <c r="E80" s="520">
        <v>1399</v>
      </c>
      <c r="F80" s="520">
        <v>1351</v>
      </c>
      <c r="G80" s="520">
        <v>1395</v>
      </c>
      <c r="H80" s="520">
        <v>1642</v>
      </c>
      <c r="I80" s="520">
        <v>1911</v>
      </c>
      <c r="J80" s="520">
        <v>2044</v>
      </c>
      <c r="K80" s="521">
        <v>2144</v>
      </c>
      <c r="L80" s="887">
        <v>2218</v>
      </c>
      <c r="M80" s="887">
        <v>2195</v>
      </c>
      <c r="N80" s="1334">
        <v>2120</v>
      </c>
      <c r="P80" s="267">
        <f t="shared" si="7"/>
        <v>3.4168564920273349E-2</v>
      </c>
      <c r="Q80" s="267">
        <f t="shared" si="8"/>
        <v>1.0369702434625788E-2</v>
      </c>
      <c r="R80" s="267">
        <f t="shared" si="9"/>
        <v>3.4514925373134331E-2</v>
      </c>
    </row>
    <row r="81" spans="1:18" ht="15.75" x14ac:dyDescent="0.25">
      <c r="A81" s="513" t="s">
        <v>202</v>
      </c>
      <c r="B81" s="516" t="s">
        <v>301</v>
      </c>
      <c r="C81" s="570" t="s">
        <v>265</v>
      </c>
      <c r="D81" s="520">
        <v>6822</v>
      </c>
      <c r="E81" s="520">
        <v>7586</v>
      </c>
      <c r="F81" s="520">
        <v>7840</v>
      </c>
      <c r="G81" s="520">
        <v>7974</v>
      </c>
      <c r="H81" s="520">
        <v>9054</v>
      </c>
      <c r="I81" s="520">
        <v>11142</v>
      </c>
      <c r="J81" s="520">
        <v>12248</v>
      </c>
      <c r="K81" s="521">
        <v>12726</v>
      </c>
      <c r="L81" s="887">
        <v>13189</v>
      </c>
      <c r="M81" s="887">
        <v>12926</v>
      </c>
      <c r="N81" s="1334">
        <v>12436</v>
      </c>
      <c r="P81" s="267">
        <f t="shared" si="7"/>
        <v>3.790809221723658E-2</v>
      </c>
      <c r="Q81" s="267">
        <f t="shared" si="8"/>
        <v>1.9940859807415272E-2</v>
      </c>
      <c r="R81" s="267">
        <f t="shared" si="9"/>
        <v>3.6382209649536382E-2</v>
      </c>
    </row>
    <row r="82" spans="1:18" ht="15.75" x14ac:dyDescent="0.25">
      <c r="A82" s="513" t="s">
        <v>204</v>
      </c>
      <c r="B82" s="516" t="s">
        <v>293</v>
      </c>
      <c r="C82" s="570" t="s">
        <v>265</v>
      </c>
      <c r="D82" s="520">
        <v>3053</v>
      </c>
      <c r="E82" s="520">
        <v>3199</v>
      </c>
      <c r="F82" s="520">
        <v>3305</v>
      </c>
      <c r="G82" s="520">
        <v>3568</v>
      </c>
      <c r="H82" s="520">
        <v>4480</v>
      </c>
      <c r="I82" s="520">
        <v>5243</v>
      </c>
      <c r="J82" s="520">
        <v>5700</v>
      </c>
      <c r="K82" s="521">
        <v>5967</v>
      </c>
      <c r="L82" s="887">
        <v>6522</v>
      </c>
      <c r="M82" s="887">
        <v>6176</v>
      </c>
      <c r="N82" s="1334">
        <v>5764</v>
      </c>
      <c r="P82" s="267">
        <f t="shared" si="7"/>
        <v>6.6709844559585493E-2</v>
      </c>
      <c r="Q82" s="1471">
        <f t="shared" si="8"/>
        <v>5.3051211284881938E-2</v>
      </c>
      <c r="R82" s="1471">
        <f t="shared" si="9"/>
        <v>9.3011563599798897E-2</v>
      </c>
    </row>
    <row r="83" spans="1:18" ht="15.75" x14ac:dyDescent="0.25">
      <c r="A83" s="513" t="s">
        <v>206</v>
      </c>
      <c r="B83" s="516" t="s">
        <v>294</v>
      </c>
      <c r="C83" s="570" t="s">
        <v>267</v>
      </c>
      <c r="D83" s="520">
        <v>10200</v>
      </c>
      <c r="E83" s="520">
        <v>10962</v>
      </c>
      <c r="F83" s="520">
        <v>11116</v>
      </c>
      <c r="G83" s="520">
        <v>11547</v>
      </c>
      <c r="H83" s="520">
        <v>13415</v>
      </c>
      <c r="I83" s="520">
        <v>16262</v>
      </c>
      <c r="J83" s="520">
        <v>18232</v>
      </c>
      <c r="K83" s="521">
        <v>19010</v>
      </c>
      <c r="L83" s="887">
        <v>20329</v>
      </c>
      <c r="M83" s="887">
        <v>18812</v>
      </c>
      <c r="N83" s="1334">
        <v>17316</v>
      </c>
      <c r="P83" s="267">
        <f t="shared" si="7"/>
        <v>7.9523708271316176E-2</v>
      </c>
      <c r="Q83" s="1471">
        <f t="shared" si="8"/>
        <v>7.4622460524374046E-2</v>
      </c>
      <c r="R83" s="1471">
        <f t="shared" si="9"/>
        <v>6.9384534455549707E-2</v>
      </c>
    </row>
    <row r="84" spans="1:18" ht="15.75" x14ac:dyDescent="0.25">
      <c r="A84" s="513" t="s">
        <v>208</v>
      </c>
      <c r="B84" s="516" t="s">
        <v>209</v>
      </c>
      <c r="C84" s="570" t="s">
        <v>268</v>
      </c>
      <c r="D84" s="520">
        <v>6442</v>
      </c>
      <c r="E84" s="520">
        <v>6448</v>
      </c>
      <c r="F84" s="520">
        <v>6597</v>
      </c>
      <c r="G84" s="520">
        <v>6759</v>
      </c>
      <c r="H84" s="520">
        <v>7059</v>
      </c>
      <c r="I84" s="520">
        <v>7694</v>
      </c>
      <c r="J84" s="520">
        <v>7896</v>
      </c>
      <c r="K84" s="521">
        <v>7958</v>
      </c>
      <c r="L84" s="887">
        <v>8237</v>
      </c>
      <c r="M84" s="887">
        <v>8253</v>
      </c>
      <c r="N84" s="1334">
        <v>7934</v>
      </c>
      <c r="P84" s="267">
        <f t="shared" si="7"/>
        <v>3.8652611171695141E-2</v>
      </c>
      <c r="Q84" s="267">
        <f t="shared" si="8"/>
        <v>-1.9424547772247177E-3</v>
      </c>
      <c r="R84" s="267">
        <f t="shared" si="9"/>
        <v>3.5059060065343053E-2</v>
      </c>
    </row>
    <row r="85" spans="1:18" ht="15.75" x14ac:dyDescent="0.25">
      <c r="A85" s="513" t="s">
        <v>210</v>
      </c>
      <c r="B85" s="516" t="s">
        <v>211</v>
      </c>
      <c r="C85" s="570" t="s">
        <v>268</v>
      </c>
      <c r="D85" s="520">
        <v>3591</v>
      </c>
      <c r="E85" s="520">
        <v>3779</v>
      </c>
      <c r="F85" s="520">
        <v>3886</v>
      </c>
      <c r="G85" s="520">
        <v>3856</v>
      </c>
      <c r="H85" s="520">
        <v>4327</v>
      </c>
      <c r="I85" s="520">
        <v>4929</v>
      </c>
      <c r="J85" s="520">
        <v>5312</v>
      </c>
      <c r="K85" s="521">
        <v>5580</v>
      </c>
      <c r="L85" s="887">
        <v>5790</v>
      </c>
      <c r="M85" s="887">
        <v>5664</v>
      </c>
      <c r="N85" s="1334">
        <v>5172</v>
      </c>
      <c r="P85" s="267">
        <f t="shared" si="7"/>
        <v>8.6864406779661021E-2</v>
      </c>
      <c r="Q85" s="267">
        <f t="shared" si="8"/>
        <v>2.1761658031088083E-2</v>
      </c>
      <c r="R85" s="267">
        <f t="shared" si="9"/>
        <v>3.7634408602150539E-2</v>
      </c>
    </row>
    <row r="86" spans="1:18" ht="15.75" x14ac:dyDescent="0.25">
      <c r="A86" s="513" t="s">
        <v>212</v>
      </c>
      <c r="B86" s="516" t="s">
        <v>213</v>
      </c>
      <c r="C86" s="570" t="s">
        <v>267</v>
      </c>
      <c r="D86" s="520">
        <v>3450</v>
      </c>
      <c r="E86" s="520">
        <v>3711</v>
      </c>
      <c r="F86" s="520">
        <v>3919</v>
      </c>
      <c r="G86" s="520">
        <v>4544</v>
      </c>
      <c r="H86" s="520">
        <v>5893</v>
      </c>
      <c r="I86" s="520">
        <v>7133</v>
      </c>
      <c r="J86" s="520">
        <v>7536</v>
      </c>
      <c r="K86" s="521">
        <v>8245</v>
      </c>
      <c r="L86" s="887">
        <v>8511</v>
      </c>
      <c r="M86" s="887">
        <v>8165</v>
      </c>
      <c r="N86" s="1334">
        <v>7606</v>
      </c>
      <c r="P86" s="267">
        <f t="shared" si="7"/>
        <v>6.8462951622780155E-2</v>
      </c>
      <c r="Q86" s="267">
        <f t="shared" si="8"/>
        <v>4.0653272235929974E-2</v>
      </c>
      <c r="R86" s="267">
        <f t="shared" si="9"/>
        <v>3.2261976955730749E-2</v>
      </c>
    </row>
    <row r="87" spans="1:18" ht="15.75" x14ac:dyDescent="0.25">
      <c r="A87" s="513" t="s">
        <v>214</v>
      </c>
      <c r="B87" s="516" t="s">
        <v>215</v>
      </c>
      <c r="C87" s="570" t="s">
        <v>268</v>
      </c>
      <c r="D87" s="520">
        <v>5860</v>
      </c>
      <c r="E87" s="520">
        <v>6278</v>
      </c>
      <c r="F87" s="520">
        <v>6640</v>
      </c>
      <c r="G87" s="520">
        <v>7005</v>
      </c>
      <c r="H87" s="520">
        <v>7745</v>
      </c>
      <c r="I87" s="520">
        <v>8433</v>
      </c>
      <c r="J87" s="520">
        <v>8932</v>
      </c>
      <c r="K87" s="521">
        <v>9201</v>
      </c>
      <c r="L87" s="887">
        <v>9350</v>
      </c>
      <c r="M87" s="887">
        <v>8924</v>
      </c>
      <c r="N87" s="1334">
        <v>8508</v>
      </c>
      <c r="P87" s="267">
        <f t="shared" si="7"/>
        <v>4.6615867324069922E-2</v>
      </c>
      <c r="Q87" s="267">
        <f t="shared" si="8"/>
        <v>4.556149732620321E-2</v>
      </c>
      <c r="R87" s="267">
        <f t="shared" si="9"/>
        <v>1.6193891968264318E-2</v>
      </c>
    </row>
    <row r="88" spans="1:18" ht="15.75" x14ac:dyDescent="0.25">
      <c r="A88" s="513" t="s">
        <v>216</v>
      </c>
      <c r="B88" s="516" t="s">
        <v>217</v>
      </c>
      <c r="C88" s="570" t="s">
        <v>264</v>
      </c>
      <c r="D88" s="520">
        <v>2811</v>
      </c>
      <c r="E88" s="520">
        <v>3041</v>
      </c>
      <c r="F88" s="520">
        <v>3172</v>
      </c>
      <c r="G88" s="520">
        <v>3318</v>
      </c>
      <c r="H88" s="520">
        <v>3549</v>
      </c>
      <c r="I88" s="520">
        <v>3784</v>
      </c>
      <c r="J88" s="520">
        <v>3972</v>
      </c>
      <c r="K88" s="521">
        <v>4294</v>
      </c>
      <c r="L88" s="887">
        <v>4406</v>
      </c>
      <c r="M88" s="887">
        <v>4273</v>
      </c>
      <c r="N88" s="1334">
        <v>4034</v>
      </c>
      <c r="P88" s="267">
        <f t="shared" si="7"/>
        <v>5.5932600046805524E-2</v>
      </c>
      <c r="Q88" s="267">
        <f t="shared" si="8"/>
        <v>3.0186109850204267E-2</v>
      </c>
      <c r="R88" s="267">
        <f t="shared" si="9"/>
        <v>2.6082906380996741E-2</v>
      </c>
    </row>
    <row r="89" spans="1:18" ht="15.75" x14ac:dyDescent="0.25">
      <c r="A89" s="513" t="s">
        <v>218</v>
      </c>
      <c r="B89" s="516" t="s">
        <v>219</v>
      </c>
      <c r="C89" s="570" t="s">
        <v>267</v>
      </c>
      <c r="D89" s="520">
        <v>6868</v>
      </c>
      <c r="E89" s="520">
        <v>7494</v>
      </c>
      <c r="F89" s="520">
        <v>8348</v>
      </c>
      <c r="G89" s="520">
        <v>9931</v>
      </c>
      <c r="H89" s="520">
        <v>12903</v>
      </c>
      <c r="I89" s="520">
        <v>15463</v>
      </c>
      <c r="J89" s="520">
        <v>17402</v>
      </c>
      <c r="K89" s="521">
        <v>18439</v>
      </c>
      <c r="L89" s="887">
        <v>19075</v>
      </c>
      <c r="M89" s="887">
        <v>18892</v>
      </c>
      <c r="N89" s="1334">
        <v>17924</v>
      </c>
      <c r="P89" s="267">
        <f t="shared" si="7"/>
        <v>5.1238619521490579E-2</v>
      </c>
      <c r="Q89" s="267">
        <f t="shared" si="8"/>
        <v>9.5937090432503275E-3</v>
      </c>
      <c r="R89" s="267">
        <f t="shared" si="9"/>
        <v>3.4492109116546453E-2</v>
      </c>
    </row>
    <row r="90" spans="1:18" ht="15.75" x14ac:dyDescent="0.25">
      <c r="A90" s="513" t="s">
        <v>220</v>
      </c>
      <c r="B90" s="516" t="s">
        <v>221</v>
      </c>
      <c r="C90" s="570" t="s">
        <v>267</v>
      </c>
      <c r="D90" s="520">
        <v>6097</v>
      </c>
      <c r="E90" s="520">
        <v>6771</v>
      </c>
      <c r="F90" s="520">
        <v>7609</v>
      </c>
      <c r="G90" s="520">
        <v>8638</v>
      </c>
      <c r="H90" s="520">
        <v>10384</v>
      </c>
      <c r="I90" s="520">
        <v>12571</v>
      </c>
      <c r="J90" s="520">
        <v>13924</v>
      </c>
      <c r="K90" s="521">
        <v>14744</v>
      </c>
      <c r="L90" s="887">
        <v>15696</v>
      </c>
      <c r="M90" s="887">
        <v>15456</v>
      </c>
      <c r="N90" s="1334">
        <v>14707</v>
      </c>
      <c r="P90" s="267">
        <f t="shared" si="7"/>
        <v>4.8460144927536232E-2</v>
      </c>
      <c r="Q90" s="267">
        <f t="shared" si="8"/>
        <v>1.5290519877675841E-2</v>
      </c>
      <c r="R90" s="267">
        <f t="shared" si="9"/>
        <v>6.4568638090070532E-2</v>
      </c>
    </row>
    <row r="91" spans="1:18" ht="15.75" x14ac:dyDescent="0.25">
      <c r="A91" s="513" t="s">
        <v>224</v>
      </c>
      <c r="B91" s="516" t="s">
        <v>225</v>
      </c>
      <c r="C91" s="570" t="s">
        <v>264</v>
      </c>
      <c r="D91" s="520">
        <v>957</v>
      </c>
      <c r="E91" s="520">
        <v>1028</v>
      </c>
      <c r="F91" s="520">
        <v>1009</v>
      </c>
      <c r="G91" s="520">
        <v>952</v>
      </c>
      <c r="H91" s="520">
        <v>1083</v>
      </c>
      <c r="I91" s="520">
        <v>1345</v>
      </c>
      <c r="J91" s="520">
        <v>1412</v>
      </c>
      <c r="K91" s="521">
        <v>1421</v>
      </c>
      <c r="L91" s="887">
        <v>1594</v>
      </c>
      <c r="M91" s="887">
        <v>1518</v>
      </c>
      <c r="N91" s="1334">
        <v>1420</v>
      </c>
      <c r="P91" s="267">
        <f t="shared" si="7"/>
        <v>6.4558629776021087E-2</v>
      </c>
      <c r="Q91" s="267">
        <f t="shared" si="8"/>
        <v>4.7678795483061483E-2</v>
      </c>
      <c r="R91" s="267">
        <f t="shared" si="9"/>
        <v>0.12174524982406756</v>
      </c>
    </row>
    <row r="92" spans="1:18" ht="15.75" x14ac:dyDescent="0.25">
      <c r="A92" s="513" t="s">
        <v>226</v>
      </c>
      <c r="B92" s="516" t="s">
        <v>227</v>
      </c>
      <c r="C92" s="570" t="s">
        <v>264</v>
      </c>
      <c r="D92" s="520">
        <v>1873</v>
      </c>
      <c r="E92" s="520">
        <v>2072</v>
      </c>
      <c r="F92" s="520">
        <v>2049</v>
      </c>
      <c r="G92" s="520">
        <v>2029</v>
      </c>
      <c r="H92" s="520">
        <v>2222</v>
      </c>
      <c r="I92" s="520">
        <v>2521</v>
      </c>
      <c r="J92" s="520">
        <v>2666</v>
      </c>
      <c r="K92" s="521">
        <v>2746</v>
      </c>
      <c r="L92" s="887">
        <v>2854</v>
      </c>
      <c r="M92" s="887">
        <v>2851</v>
      </c>
      <c r="N92" s="1334">
        <v>2777</v>
      </c>
      <c r="P92" s="267">
        <f t="shared" si="7"/>
        <v>2.5955804980708524E-2</v>
      </c>
      <c r="Q92" s="267">
        <f t="shared" si="8"/>
        <v>1.0511562718990891E-3</v>
      </c>
      <c r="R92" s="267">
        <f t="shared" si="9"/>
        <v>3.9329934450109252E-2</v>
      </c>
    </row>
    <row r="93" spans="1:18" ht="15.75" x14ac:dyDescent="0.25">
      <c r="A93" s="513" t="s">
        <v>228</v>
      </c>
      <c r="B93" s="516" t="s">
        <v>229</v>
      </c>
      <c r="C93" s="570" t="s">
        <v>268</v>
      </c>
      <c r="D93" s="520">
        <v>8509</v>
      </c>
      <c r="E93" s="520">
        <v>8628</v>
      </c>
      <c r="F93" s="520">
        <v>8828</v>
      </c>
      <c r="G93" s="520">
        <v>8512</v>
      </c>
      <c r="H93" s="520">
        <v>8652</v>
      </c>
      <c r="I93" s="520">
        <v>9800</v>
      </c>
      <c r="J93" s="520">
        <v>10221</v>
      </c>
      <c r="K93" s="521">
        <v>10664</v>
      </c>
      <c r="L93" s="887">
        <v>11590</v>
      </c>
      <c r="M93" s="887">
        <v>11636</v>
      </c>
      <c r="N93" s="1334">
        <v>11404</v>
      </c>
      <c r="P93" s="267">
        <f t="shared" si="7"/>
        <v>1.9938123066345823E-2</v>
      </c>
      <c r="Q93" s="267">
        <f t="shared" si="8"/>
        <v>-3.9689387402933561E-3</v>
      </c>
      <c r="R93" s="267">
        <f t="shared" si="9"/>
        <v>8.683420855213804E-2</v>
      </c>
    </row>
    <row r="94" spans="1:18" ht="15.75" x14ac:dyDescent="0.25">
      <c r="A94" s="513" t="s">
        <v>232</v>
      </c>
      <c r="B94" s="516" t="s">
        <v>233</v>
      </c>
      <c r="C94" s="570" t="s">
        <v>267</v>
      </c>
      <c r="D94" s="520">
        <v>3306</v>
      </c>
      <c r="E94" s="520">
        <v>3409</v>
      </c>
      <c r="F94" s="520">
        <v>3630</v>
      </c>
      <c r="G94" s="520">
        <v>4186</v>
      </c>
      <c r="H94" s="520">
        <v>5407</v>
      </c>
      <c r="I94" s="520">
        <v>6542</v>
      </c>
      <c r="J94" s="520">
        <v>7176</v>
      </c>
      <c r="K94" s="521">
        <v>7403</v>
      </c>
      <c r="L94" s="887">
        <v>7736</v>
      </c>
      <c r="M94" s="887">
        <v>7323</v>
      </c>
      <c r="N94" s="1334">
        <v>6890</v>
      </c>
      <c r="P94" s="267">
        <f t="shared" si="7"/>
        <v>5.912877236105421E-2</v>
      </c>
      <c r="Q94" s="267">
        <f t="shared" si="8"/>
        <v>5.3386763185108585E-2</v>
      </c>
      <c r="R94" s="267">
        <f t="shared" si="9"/>
        <v>4.4981764149669055E-2</v>
      </c>
    </row>
    <row r="95" spans="1:18" ht="15.75" x14ac:dyDescent="0.25">
      <c r="A95" s="513" t="s">
        <v>234</v>
      </c>
      <c r="B95" s="516" t="s">
        <v>235</v>
      </c>
      <c r="C95" s="570" t="s">
        <v>268</v>
      </c>
      <c r="D95" s="520">
        <v>6606</v>
      </c>
      <c r="E95" s="520">
        <v>7053</v>
      </c>
      <c r="F95" s="520">
        <v>7290</v>
      </c>
      <c r="G95" s="520">
        <v>7722</v>
      </c>
      <c r="H95" s="520">
        <v>8728</v>
      </c>
      <c r="I95" s="520">
        <v>9895</v>
      </c>
      <c r="J95" s="520">
        <v>10532</v>
      </c>
      <c r="K95" s="521">
        <v>10928</v>
      </c>
      <c r="L95" s="887">
        <v>11262</v>
      </c>
      <c r="M95" s="887">
        <v>11084</v>
      </c>
      <c r="N95" s="1334">
        <v>10665</v>
      </c>
      <c r="P95" s="267">
        <f t="shared" si="7"/>
        <v>3.7802237459400936E-2</v>
      </c>
      <c r="Q95" s="267">
        <f t="shared" si="8"/>
        <v>1.5805363168176167E-2</v>
      </c>
      <c r="R95" s="267">
        <f t="shared" si="9"/>
        <v>3.0563689604685213E-2</v>
      </c>
    </row>
    <row r="96" spans="1:18" ht="15.75" x14ac:dyDescent="0.25">
      <c r="A96" s="513" t="s">
        <v>236</v>
      </c>
      <c r="B96" s="516" t="s">
        <v>237</v>
      </c>
      <c r="C96" s="570" t="s">
        <v>266</v>
      </c>
      <c r="D96" s="520">
        <v>2827</v>
      </c>
      <c r="E96" s="520">
        <v>2759</v>
      </c>
      <c r="F96" s="520">
        <v>2667</v>
      </c>
      <c r="G96" s="520">
        <v>2810</v>
      </c>
      <c r="H96" s="520">
        <v>3374</v>
      </c>
      <c r="I96" s="520">
        <v>3969</v>
      </c>
      <c r="J96" s="520">
        <v>4431</v>
      </c>
      <c r="K96" s="521">
        <v>4655</v>
      </c>
      <c r="L96" s="887">
        <v>4874</v>
      </c>
      <c r="M96" s="887">
        <v>4677</v>
      </c>
      <c r="N96" s="1334">
        <v>4648</v>
      </c>
      <c r="P96" s="267">
        <f t="shared" si="7"/>
        <v>6.200555911909344E-3</v>
      </c>
      <c r="Q96" s="267">
        <f t="shared" si="8"/>
        <v>4.0418547394337298E-2</v>
      </c>
      <c r="R96" s="267">
        <f t="shared" si="9"/>
        <v>4.7046186895810957E-2</v>
      </c>
    </row>
    <row r="97" spans="1:18" ht="15.75" x14ac:dyDescent="0.25">
      <c r="A97" s="513" t="s">
        <v>242</v>
      </c>
      <c r="B97" s="516" t="s">
        <v>243</v>
      </c>
      <c r="C97" s="570" t="s">
        <v>268</v>
      </c>
      <c r="D97" s="520">
        <v>10226</v>
      </c>
      <c r="E97" s="520">
        <v>10129</v>
      </c>
      <c r="F97" s="520">
        <v>10211</v>
      </c>
      <c r="G97" s="520">
        <v>10166</v>
      </c>
      <c r="H97" s="520">
        <v>10486</v>
      </c>
      <c r="I97" s="520">
        <v>11048</v>
      </c>
      <c r="J97" s="520">
        <v>11480</v>
      </c>
      <c r="K97" s="521">
        <v>12027</v>
      </c>
      <c r="L97" s="887">
        <v>12550</v>
      </c>
      <c r="M97" s="887">
        <v>12467</v>
      </c>
      <c r="N97" s="1334">
        <v>11428</v>
      </c>
      <c r="P97" s="267">
        <f t="shared" si="7"/>
        <v>8.3340017646586995E-2</v>
      </c>
      <c r="Q97" s="267">
        <f t="shared" si="8"/>
        <v>6.6135458167330676E-3</v>
      </c>
      <c r="R97" s="267">
        <f t="shared" si="9"/>
        <v>4.3485490978631414E-2</v>
      </c>
    </row>
    <row r="98" spans="1:18" ht="15.75" x14ac:dyDescent="0.25">
      <c r="A98" s="513" t="s">
        <v>244</v>
      </c>
      <c r="B98" s="516" t="s">
        <v>245</v>
      </c>
      <c r="C98" s="570" t="s">
        <v>268</v>
      </c>
      <c r="D98" s="520">
        <v>4160</v>
      </c>
      <c r="E98" s="520">
        <v>4403</v>
      </c>
      <c r="F98" s="520">
        <v>4582</v>
      </c>
      <c r="G98" s="520">
        <v>4900</v>
      </c>
      <c r="H98" s="520">
        <v>5560</v>
      </c>
      <c r="I98" s="520">
        <v>6315</v>
      </c>
      <c r="J98" s="520">
        <v>6660</v>
      </c>
      <c r="K98" s="521">
        <v>6687</v>
      </c>
      <c r="L98" s="887">
        <v>6643</v>
      </c>
      <c r="M98" s="887">
        <v>6373</v>
      </c>
      <c r="N98" s="1334">
        <v>5967</v>
      </c>
      <c r="P98" s="267">
        <f t="shared" si="7"/>
        <v>6.3706260787698102E-2</v>
      </c>
      <c r="Q98" s="267">
        <f t="shared" si="8"/>
        <v>4.0644287219629684E-2</v>
      </c>
      <c r="R98" s="267">
        <f t="shared" si="9"/>
        <v>-6.5799312098100788E-3</v>
      </c>
    </row>
    <row r="99" spans="1:18" ht="15.75" x14ac:dyDescent="0.25">
      <c r="A99" s="513" t="s">
        <v>246</v>
      </c>
      <c r="B99" s="603" t="s">
        <v>247</v>
      </c>
      <c r="C99" s="603" t="s">
        <v>264</v>
      </c>
      <c r="D99" s="604">
        <v>2531</v>
      </c>
      <c r="E99" s="604">
        <v>2706</v>
      </c>
      <c r="F99" s="604">
        <v>2733</v>
      </c>
      <c r="G99" s="604">
        <v>2796</v>
      </c>
      <c r="H99" s="604">
        <v>3473</v>
      </c>
      <c r="I99" s="604">
        <v>4195</v>
      </c>
      <c r="J99" s="604">
        <v>4936</v>
      </c>
      <c r="K99" s="521">
        <v>5297</v>
      </c>
      <c r="L99" s="887">
        <v>5494</v>
      </c>
      <c r="M99" s="887">
        <v>5501</v>
      </c>
      <c r="N99" s="1334">
        <v>5213</v>
      </c>
      <c r="P99" s="267">
        <f t="shared" si="7"/>
        <v>5.2354117433193965E-2</v>
      </c>
      <c r="Q99" s="267">
        <f t="shared" si="8"/>
        <v>-1.2741172187841281E-3</v>
      </c>
      <c r="R99" s="267">
        <f t="shared" si="9"/>
        <v>3.7190862752501413E-2</v>
      </c>
    </row>
    <row r="100" spans="1:18" ht="15.75" x14ac:dyDescent="0.25">
      <c r="A100" s="513" t="s">
        <v>14</v>
      </c>
      <c r="B100" s="516" t="s">
        <v>15</v>
      </c>
      <c r="C100" s="570" t="s">
        <v>267</v>
      </c>
      <c r="D100" s="520">
        <v>8617</v>
      </c>
      <c r="E100" s="520">
        <v>8531</v>
      </c>
      <c r="F100" s="520">
        <v>8415</v>
      </c>
      <c r="G100" s="520">
        <v>8784</v>
      </c>
      <c r="H100" s="520">
        <v>10382</v>
      </c>
      <c r="I100" s="520">
        <v>12462</v>
      </c>
      <c r="J100" s="520">
        <v>13844</v>
      </c>
      <c r="K100" s="521">
        <v>14794</v>
      </c>
      <c r="L100" s="887">
        <v>15448</v>
      </c>
      <c r="M100" s="887">
        <v>14854</v>
      </c>
      <c r="N100" s="1334">
        <v>14548</v>
      </c>
      <c r="P100" s="267">
        <f t="shared" si="7"/>
        <v>2.0600511646694492E-2</v>
      </c>
      <c r="Q100" s="267">
        <f t="shared" si="8"/>
        <v>3.8451579492490937E-2</v>
      </c>
      <c r="R100" s="267">
        <f t="shared" si="9"/>
        <v>4.4207110990942274E-2</v>
      </c>
    </row>
    <row r="101" spans="1:18" ht="15.75" x14ac:dyDescent="0.25">
      <c r="A101" s="513" t="s">
        <v>34</v>
      </c>
      <c r="B101" s="516" t="s">
        <v>35</v>
      </c>
      <c r="C101" s="570" t="s">
        <v>268</v>
      </c>
      <c r="D101" s="520">
        <v>4478</v>
      </c>
      <c r="E101" s="520">
        <v>4811</v>
      </c>
      <c r="F101" s="520">
        <v>4980</v>
      </c>
      <c r="G101" s="520">
        <v>5320</v>
      </c>
      <c r="H101" s="520">
        <v>6079</v>
      </c>
      <c r="I101" s="520">
        <v>6477</v>
      </c>
      <c r="J101" s="520">
        <v>6655</v>
      </c>
      <c r="K101" s="521">
        <v>6821</v>
      </c>
      <c r="L101" s="887">
        <v>7127</v>
      </c>
      <c r="M101" s="887">
        <v>6775</v>
      </c>
      <c r="N101" s="1334">
        <v>6307</v>
      </c>
      <c r="P101" s="267">
        <f t="shared" ref="P101:P124" si="10">(M101-N101)/M101</f>
        <v>6.9077490774907754E-2</v>
      </c>
      <c r="Q101" s="267">
        <f t="shared" ref="Q101:Q124" si="11">(L101-M101)/L101</f>
        <v>4.9389645011926477E-2</v>
      </c>
      <c r="R101" s="267">
        <f t="shared" ref="R101:R124" si="12">(L101-K101)/K101</f>
        <v>4.4861457264330745E-2</v>
      </c>
    </row>
    <row r="102" spans="1:18" ht="15.75" x14ac:dyDescent="0.25">
      <c r="A102" s="513" t="s">
        <v>52</v>
      </c>
      <c r="B102" s="516" t="s">
        <v>53</v>
      </c>
      <c r="C102" s="570" t="s">
        <v>265</v>
      </c>
      <c r="D102" s="520">
        <v>6119</v>
      </c>
      <c r="E102" s="520">
        <v>6225</v>
      </c>
      <c r="F102" s="520">
        <v>6016</v>
      </c>
      <c r="G102" s="520">
        <v>6105</v>
      </c>
      <c r="H102" s="520">
        <v>6948</v>
      </c>
      <c r="I102" s="520">
        <v>7945</v>
      </c>
      <c r="J102" s="520">
        <v>8336</v>
      </c>
      <c r="K102" s="521">
        <v>8600</v>
      </c>
      <c r="L102" s="887">
        <v>8645</v>
      </c>
      <c r="M102" s="887">
        <v>7934</v>
      </c>
      <c r="N102" s="1334">
        <v>7480</v>
      </c>
      <c r="P102" s="267">
        <f t="shared" si="10"/>
        <v>5.7222082177968238E-2</v>
      </c>
      <c r="Q102" s="267">
        <f t="shared" si="11"/>
        <v>8.2244071717755926E-2</v>
      </c>
      <c r="R102" s="267">
        <f t="shared" si="12"/>
        <v>5.2325581395348836E-3</v>
      </c>
    </row>
    <row r="103" spans="1:18" ht="15.75" x14ac:dyDescent="0.25">
      <c r="A103" s="513" t="s">
        <v>54</v>
      </c>
      <c r="B103" s="516" t="s">
        <v>55</v>
      </c>
      <c r="C103" s="570" t="s">
        <v>264</v>
      </c>
      <c r="D103" s="520">
        <v>18719</v>
      </c>
      <c r="E103" s="520">
        <v>19669</v>
      </c>
      <c r="F103" s="520">
        <v>19177</v>
      </c>
      <c r="G103" s="520">
        <v>20156</v>
      </c>
      <c r="H103" s="520">
        <v>23810</v>
      </c>
      <c r="I103" s="520">
        <v>28721</v>
      </c>
      <c r="J103" s="520">
        <v>31946</v>
      </c>
      <c r="K103" s="521">
        <v>34474</v>
      </c>
      <c r="L103" s="887">
        <v>36392</v>
      </c>
      <c r="M103" s="887">
        <v>35735</v>
      </c>
      <c r="N103" s="1334">
        <v>33945</v>
      </c>
      <c r="P103" s="267">
        <f t="shared" si="10"/>
        <v>5.0090947250594653E-2</v>
      </c>
      <c r="Q103" s="267">
        <f t="shared" si="11"/>
        <v>1.8053418333699715E-2</v>
      </c>
      <c r="R103" s="267">
        <f t="shared" si="12"/>
        <v>5.5636131577420665E-2</v>
      </c>
    </row>
    <row r="104" spans="1:18" ht="15.75" x14ac:dyDescent="0.25">
      <c r="A104" s="513" t="s">
        <v>66</v>
      </c>
      <c r="B104" s="516" t="s">
        <v>67</v>
      </c>
      <c r="C104" s="570" t="s">
        <v>265</v>
      </c>
      <c r="D104" s="520">
        <v>12334</v>
      </c>
      <c r="E104" s="520">
        <v>13141</v>
      </c>
      <c r="F104" s="520">
        <v>13765</v>
      </c>
      <c r="G104" s="520">
        <v>14215</v>
      </c>
      <c r="H104" s="520">
        <v>15223</v>
      </c>
      <c r="I104" s="520">
        <v>16775</v>
      </c>
      <c r="J104" s="520">
        <v>17556</v>
      </c>
      <c r="K104" s="521">
        <v>18260</v>
      </c>
      <c r="L104" s="887">
        <v>18517</v>
      </c>
      <c r="M104" s="887">
        <v>18039</v>
      </c>
      <c r="N104" s="1334">
        <v>17323</v>
      </c>
      <c r="P104" s="267">
        <f t="shared" si="10"/>
        <v>3.9691778923443652E-2</v>
      </c>
      <c r="Q104" s="267">
        <f t="shared" si="11"/>
        <v>2.581411675757412E-2</v>
      </c>
      <c r="R104" s="267">
        <f t="shared" si="12"/>
        <v>1.407447973713034E-2</v>
      </c>
    </row>
    <row r="105" spans="1:18" ht="15.75" x14ac:dyDescent="0.25">
      <c r="A105" s="513" t="s">
        <v>82</v>
      </c>
      <c r="B105" s="516" t="s">
        <v>83</v>
      </c>
      <c r="C105" s="570" t="s">
        <v>264</v>
      </c>
      <c r="D105" s="520">
        <v>2389</v>
      </c>
      <c r="E105" s="520">
        <v>2571</v>
      </c>
      <c r="F105" s="520">
        <v>2429</v>
      </c>
      <c r="G105" s="520">
        <v>2414</v>
      </c>
      <c r="H105" s="520">
        <v>2663</v>
      </c>
      <c r="I105" s="520">
        <v>3097</v>
      </c>
      <c r="J105" s="520">
        <v>3422</v>
      </c>
      <c r="K105" s="521">
        <v>3686</v>
      </c>
      <c r="L105" s="887">
        <v>3792</v>
      </c>
      <c r="M105" s="887">
        <v>3557</v>
      </c>
      <c r="N105" s="1334">
        <v>3448</v>
      </c>
      <c r="P105" s="267">
        <f t="shared" si="10"/>
        <v>3.064380095586168E-2</v>
      </c>
      <c r="Q105" s="267">
        <f t="shared" si="11"/>
        <v>6.1972573839662447E-2</v>
      </c>
      <c r="R105" s="267">
        <f t="shared" si="12"/>
        <v>2.875746066196419E-2</v>
      </c>
    </row>
    <row r="106" spans="1:18" ht="15.75" x14ac:dyDescent="0.25">
      <c r="A106" s="513" t="s">
        <v>88</v>
      </c>
      <c r="B106" s="516" t="s">
        <v>89</v>
      </c>
      <c r="C106" s="570" t="s">
        <v>267</v>
      </c>
      <c r="D106" s="520">
        <v>3824</v>
      </c>
      <c r="E106" s="520">
        <v>4088</v>
      </c>
      <c r="F106" s="520">
        <v>4156</v>
      </c>
      <c r="G106" s="520">
        <v>4570</v>
      </c>
      <c r="H106" s="520">
        <v>5232</v>
      </c>
      <c r="I106" s="520">
        <v>6129</v>
      </c>
      <c r="J106" s="520">
        <v>6956</v>
      </c>
      <c r="K106" s="521">
        <v>7545</v>
      </c>
      <c r="L106" s="887">
        <v>7664</v>
      </c>
      <c r="M106" s="887">
        <v>7338</v>
      </c>
      <c r="N106" s="1334">
        <v>6982</v>
      </c>
      <c r="P106" s="267">
        <f t="shared" si="10"/>
        <v>4.8514581629871899E-2</v>
      </c>
      <c r="Q106" s="267">
        <f t="shared" si="11"/>
        <v>4.2536534446764092E-2</v>
      </c>
      <c r="R106" s="267">
        <f t="shared" si="12"/>
        <v>1.5772034459907224E-2</v>
      </c>
    </row>
    <row r="107" spans="1:18" ht="15.75" x14ac:dyDescent="0.25">
      <c r="A107" s="513" t="s">
        <v>90</v>
      </c>
      <c r="B107" s="516" t="s">
        <v>91</v>
      </c>
      <c r="C107" s="570" t="s">
        <v>268</v>
      </c>
      <c r="D107" s="520">
        <v>1984</v>
      </c>
      <c r="E107" s="520">
        <v>2105</v>
      </c>
      <c r="F107" s="520">
        <v>2157</v>
      </c>
      <c r="G107" s="520">
        <v>2353</v>
      </c>
      <c r="H107" s="520">
        <v>2567</v>
      </c>
      <c r="I107" s="520">
        <v>2723</v>
      </c>
      <c r="J107" s="520">
        <v>2793</v>
      </c>
      <c r="K107" s="521">
        <v>2935</v>
      </c>
      <c r="L107" s="887">
        <v>2975</v>
      </c>
      <c r="M107" s="887">
        <v>2964</v>
      </c>
      <c r="N107" s="1334">
        <v>2735</v>
      </c>
      <c r="P107" s="267">
        <f t="shared" si="10"/>
        <v>7.7260458839406201E-2</v>
      </c>
      <c r="Q107" s="267">
        <f t="shared" si="11"/>
        <v>3.6974789915966387E-3</v>
      </c>
      <c r="R107" s="267">
        <f t="shared" si="12"/>
        <v>1.3628620102214651E-2</v>
      </c>
    </row>
    <row r="108" spans="1:18" ht="15.75" x14ac:dyDescent="0.25">
      <c r="A108" s="513" t="s">
        <v>106</v>
      </c>
      <c r="B108" s="516" t="s">
        <v>107</v>
      </c>
      <c r="C108" s="570" t="s">
        <v>264</v>
      </c>
      <c r="D108" s="520">
        <v>20801</v>
      </c>
      <c r="E108" s="520">
        <v>21510</v>
      </c>
      <c r="F108" s="520">
        <v>20751</v>
      </c>
      <c r="G108" s="520">
        <v>20617</v>
      </c>
      <c r="H108" s="520">
        <v>22561</v>
      </c>
      <c r="I108" s="520">
        <v>25894</v>
      </c>
      <c r="J108" s="520">
        <v>29642</v>
      </c>
      <c r="K108" s="521">
        <v>32577</v>
      </c>
      <c r="L108" s="887">
        <v>34257</v>
      </c>
      <c r="M108" s="887">
        <v>33529</v>
      </c>
      <c r="N108" s="1334">
        <v>31534</v>
      </c>
      <c r="P108" s="267">
        <f t="shared" si="10"/>
        <v>5.9500730710728027E-2</v>
      </c>
      <c r="Q108" s="267">
        <f t="shared" si="11"/>
        <v>2.1251131155676211E-2</v>
      </c>
      <c r="R108" s="267">
        <f t="shared" si="12"/>
        <v>5.1570126162630077E-2</v>
      </c>
    </row>
    <row r="109" spans="1:18" ht="15.75" x14ac:dyDescent="0.25">
      <c r="A109" s="513" t="s">
        <v>116</v>
      </c>
      <c r="B109" s="516" t="s">
        <v>117</v>
      </c>
      <c r="C109" s="570" t="s">
        <v>266</v>
      </c>
      <c r="D109" s="520">
        <v>6080</v>
      </c>
      <c r="E109" s="520">
        <v>6473</v>
      </c>
      <c r="F109" s="520">
        <v>6519</v>
      </c>
      <c r="G109" s="520">
        <v>6980</v>
      </c>
      <c r="H109" s="520">
        <v>7634</v>
      </c>
      <c r="I109" s="520">
        <v>8487</v>
      </c>
      <c r="J109" s="520">
        <v>9238</v>
      </c>
      <c r="K109" s="521">
        <v>9773</v>
      </c>
      <c r="L109" s="887">
        <v>10047</v>
      </c>
      <c r="M109" s="887">
        <v>9954</v>
      </c>
      <c r="N109" s="1334">
        <v>9803</v>
      </c>
      <c r="P109" s="267">
        <f t="shared" si="10"/>
        <v>1.5169780992565803E-2</v>
      </c>
      <c r="Q109" s="267">
        <f t="shared" si="11"/>
        <v>9.2564944759629744E-3</v>
      </c>
      <c r="R109" s="267">
        <f t="shared" si="12"/>
        <v>2.8036426890412362E-2</v>
      </c>
    </row>
    <row r="110" spans="1:18" ht="15.75" x14ac:dyDescent="0.25">
      <c r="A110" s="513" t="s">
        <v>138</v>
      </c>
      <c r="B110" s="516" t="s">
        <v>139</v>
      </c>
      <c r="C110" s="570" t="s">
        <v>265</v>
      </c>
      <c r="D110" s="520">
        <v>11871</v>
      </c>
      <c r="E110" s="520">
        <v>12443</v>
      </c>
      <c r="F110" s="520">
        <v>12733</v>
      </c>
      <c r="G110" s="520">
        <v>12854</v>
      </c>
      <c r="H110" s="520">
        <v>14308</v>
      </c>
      <c r="I110" s="520">
        <v>16187</v>
      </c>
      <c r="J110" s="520">
        <v>17521</v>
      </c>
      <c r="K110" s="521">
        <v>18989</v>
      </c>
      <c r="L110" s="887">
        <v>19833</v>
      </c>
      <c r="M110" s="887">
        <v>19438</v>
      </c>
      <c r="N110" s="1334">
        <v>18329</v>
      </c>
      <c r="P110" s="267">
        <f t="shared" si="10"/>
        <v>5.7053194773124809E-2</v>
      </c>
      <c r="Q110" s="267">
        <f t="shared" si="11"/>
        <v>1.9916301114304442E-2</v>
      </c>
      <c r="R110" s="267">
        <f t="shared" si="12"/>
        <v>4.4446784980778344E-2</v>
      </c>
    </row>
    <row r="111" spans="1:18" ht="15.75" x14ac:dyDescent="0.25">
      <c r="A111" s="513" t="s">
        <v>142</v>
      </c>
      <c r="B111" s="516" t="s">
        <v>143</v>
      </c>
      <c r="C111" s="570" t="s">
        <v>267</v>
      </c>
      <c r="D111" s="520">
        <v>2747</v>
      </c>
      <c r="E111" s="520">
        <v>2921</v>
      </c>
      <c r="F111" s="520">
        <v>3291</v>
      </c>
      <c r="G111" s="520">
        <v>3873</v>
      </c>
      <c r="H111" s="520">
        <v>5113</v>
      </c>
      <c r="I111" s="520">
        <v>6487</v>
      </c>
      <c r="J111" s="520">
        <v>7188</v>
      </c>
      <c r="K111" s="521">
        <v>7479</v>
      </c>
      <c r="L111" s="887">
        <v>7916</v>
      </c>
      <c r="M111" s="887">
        <v>7794</v>
      </c>
      <c r="N111" s="1334">
        <v>7520</v>
      </c>
      <c r="P111" s="267">
        <f t="shared" si="10"/>
        <v>3.5155247626379268E-2</v>
      </c>
      <c r="Q111" s="267">
        <f t="shared" si="11"/>
        <v>1.5411824153612936E-2</v>
      </c>
      <c r="R111" s="267">
        <f t="shared" si="12"/>
        <v>5.8430271426661316E-2</v>
      </c>
    </row>
    <row r="112" spans="1:18" ht="15.75" x14ac:dyDescent="0.25">
      <c r="A112" s="513" t="s">
        <v>144</v>
      </c>
      <c r="B112" s="516" t="s">
        <v>145</v>
      </c>
      <c r="C112" s="570" t="s">
        <v>267</v>
      </c>
      <c r="D112" s="520">
        <v>764</v>
      </c>
      <c r="E112" s="520">
        <v>1055</v>
      </c>
      <c r="F112" s="520">
        <v>1218</v>
      </c>
      <c r="G112" s="520">
        <v>1456</v>
      </c>
      <c r="H112" s="520">
        <v>1865</v>
      </c>
      <c r="I112" s="520">
        <v>2197</v>
      </c>
      <c r="J112" s="520">
        <v>2241</v>
      </c>
      <c r="K112" s="521">
        <v>2221</v>
      </c>
      <c r="L112" s="887">
        <v>2342</v>
      </c>
      <c r="M112" s="887">
        <v>2223</v>
      </c>
      <c r="N112" s="1334">
        <v>2188</v>
      </c>
      <c r="P112" s="267">
        <f t="shared" si="10"/>
        <v>1.5744489428699954E-2</v>
      </c>
      <c r="Q112" s="267">
        <f t="shared" si="11"/>
        <v>5.0811272416737829E-2</v>
      </c>
      <c r="R112" s="267">
        <f t="shared" si="12"/>
        <v>5.4479963980189103E-2</v>
      </c>
    </row>
    <row r="113" spans="1:18" ht="15.75" x14ac:dyDescent="0.25">
      <c r="A113" s="513" t="s">
        <v>158</v>
      </c>
      <c r="B113" s="516" t="s">
        <v>159</v>
      </c>
      <c r="C113" s="570" t="s">
        <v>264</v>
      </c>
      <c r="D113" s="520">
        <v>31185</v>
      </c>
      <c r="E113" s="520">
        <v>32205</v>
      </c>
      <c r="F113" s="520">
        <v>31668</v>
      </c>
      <c r="G113" s="520">
        <v>32874</v>
      </c>
      <c r="H113" s="520">
        <v>37456</v>
      </c>
      <c r="I113" s="520">
        <v>43763</v>
      </c>
      <c r="J113" s="520">
        <v>48328</v>
      </c>
      <c r="K113" s="521">
        <v>50910</v>
      </c>
      <c r="L113" s="887">
        <v>53108</v>
      </c>
      <c r="M113" s="887">
        <v>51766</v>
      </c>
      <c r="N113" s="1334">
        <v>49407</v>
      </c>
      <c r="P113" s="267">
        <f t="shared" si="10"/>
        <v>4.5570451647799715E-2</v>
      </c>
      <c r="Q113" s="267">
        <f t="shared" si="11"/>
        <v>2.5269262634631317E-2</v>
      </c>
      <c r="R113" s="267">
        <f t="shared" si="12"/>
        <v>4.3174229031624434E-2</v>
      </c>
    </row>
    <row r="114" spans="1:18" ht="15.75" x14ac:dyDescent="0.25">
      <c r="A114" s="513" t="s">
        <v>160</v>
      </c>
      <c r="B114" s="516" t="s">
        <v>161</v>
      </c>
      <c r="C114" s="570" t="s">
        <v>264</v>
      </c>
      <c r="D114" s="520">
        <v>46884</v>
      </c>
      <c r="E114" s="520">
        <v>47455</v>
      </c>
      <c r="F114" s="520">
        <v>46778</v>
      </c>
      <c r="G114" s="520">
        <v>47861</v>
      </c>
      <c r="H114" s="520">
        <v>52022</v>
      </c>
      <c r="I114" s="520">
        <v>59459</v>
      </c>
      <c r="J114" s="520">
        <v>64233</v>
      </c>
      <c r="K114" s="521">
        <v>68281</v>
      </c>
      <c r="L114" s="887">
        <v>70790</v>
      </c>
      <c r="M114" s="887">
        <v>68640</v>
      </c>
      <c r="N114" s="1334">
        <v>64601</v>
      </c>
      <c r="P114" s="267">
        <f t="shared" si="10"/>
        <v>5.8843240093240094E-2</v>
      </c>
      <c r="Q114" s="267">
        <f t="shared" si="11"/>
        <v>3.0371521401327872E-2</v>
      </c>
      <c r="R114" s="267">
        <f t="shared" si="12"/>
        <v>3.6745214627788111E-2</v>
      </c>
    </row>
    <row r="115" spans="1:18" ht="15.75" x14ac:dyDescent="0.25">
      <c r="A115" s="513" t="s">
        <v>166</v>
      </c>
      <c r="B115" s="516" t="s">
        <v>167</v>
      </c>
      <c r="C115" s="570" t="s">
        <v>268</v>
      </c>
      <c r="D115" s="520">
        <v>1214</v>
      </c>
      <c r="E115" s="520">
        <v>1273</v>
      </c>
      <c r="F115" s="520">
        <v>1341</v>
      </c>
      <c r="G115" s="520">
        <v>1371</v>
      </c>
      <c r="H115" s="520">
        <v>1414</v>
      </c>
      <c r="I115" s="520">
        <v>1412</v>
      </c>
      <c r="J115" s="520">
        <v>1477</v>
      </c>
      <c r="K115" s="521">
        <v>1593</v>
      </c>
      <c r="L115" s="887">
        <v>1594</v>
      </c>
      <c r="M115" s="887">
        <v>1533</v>
      </c>
      <c r="N115" s="1334">
        <v>1448</v>
      </c>
      <c r="P115" s="267">
        <f t="shared" si="10"/>
        <v>5.5446836268754074E-2</v>
      </c>
      <c r="Q115" s="267">
        <f t="shared" si="11"/>
        <v>3.8268506900878296E-2</v>
      </c>
      <c r="R115" s="267">
        <f t="shared" si="12"/>
        <v>6.2774639045825491E-4</v>
      </c>
    </row>
    <row r="116" spans="1:18" ht="15.75" x14ac:dyDescent="0.25">
      <c r="A116" s="513" t="s">
        <v>176</v>
      </c>
      <c r="B116" s="516" t="s">
        <v>177</v>
      </c>
      <c r="C116" s="570" t="s">
        <v>266</v>
      </c>
      <c r="D116" s="520">
        <v>9981</v>
      </c>
      <c r="E116" s="520">
        <v>10336</v>
      </c>
      <c r="F116" s="520">
        <v>10560</v>
      </c>
      <c r="G116" s="520">
        <v>10768</v>
      </c>
      <c r="H116" s="520">
        <v>11898</v>
      </c>
      <c r="I116" s="520">
        <v>13458</v>
      </c>
      <c r="J116" s="520">
        <v>14705</v>
      </c>
      <c r="K116" s="521">
        <v>15321</v>
      </c>
      <c r="L116" s="887">
        <v>15672</v>
      </c>
      <c r="M116" s="887">
        <v>15347</v>
      </c>
      <c r="N116" s="1334">
        <v>14696</v>
      </c>
      <c r="P116" s="267">
        <f t="shared" si="10"/>
        <v>4.2418713755131295E-2</v>
      </c>
      <c r="Q116" s="267">
        <f t="shared" si="11"/>
        <v>2.0737621235324143E-2</v>
      </c>
      <c r="R116" s="267">
        <f t="shared" si="12"/>
        <v>2.2909731740747993E-2</v>
      </c>
    </row>
    <row r="117" spans="1:18" ht="15.75" x14ac:dyDescent="0.25">
      <c r="A117" s="513" t="s">
        <v>180</v>
      </c>
      <c r="B117" s="516" t="s">
        <v>181</v>
      </c>
      <c r="C117" s="570" t="s">
        <v>264</v>
      </c>
      <c r="D117" s="520">
        <v>20721</v>
      </c>
      <c r="E117" s="520">
        <v>21598</v>
      </c>
      <c r="F117" s="520">
        <v>21494</v>
      </c>
      <c r="G117" s="520">
        <v>21648</v>
      </c>
      <c r="H117" s="520">
        <v>23784</v>
      </c>
      <c r="I117" s="520">
        <v>27393</v>
      </c>
      <c r="J117" s="520">
        <v>29895</v>
      </c>
      <c r="K117" s="521">
        <v>32370</v>
      </c>
      <c r="L117" s="887">
        <v>33997</v>
      </c>
      <c r="M117" s="887">
        <v>32765</v>
      </c>
      <c r="N117" s="1334">
        <v>31226</v>
      </c>
      <c r="P117" s="267">
        <f t="shared" si="10"/>
        <v>4.6970853044407145E-2</v>
      </c>
      <c r="Q117" s="267">
        <f t="shared" si="11"/>
        <v>3.6238491631614557E-2</v>
      </c>
      <c r="R117" s="267">
        <f t="shared" si="12"/>
        <v>5.0262588816805683E-2</v>
      </c>
    </row>
    <row r="118" spans="1:18" ht="15.75" x14ac:dyDescent="0.25">
      <c r="A118" s="513" t="s">
        <v>192</v>
      </c>
      <c r="B118" s="516" t="s">
        <v>193</v>
      </c>
      <c r="C118" s="570" t="s">
        <v>268</v>
      </c>
      <c r="D118" s="520">
        <v>1823</v>
      </c>
      <c r="E118" s="520">
        <v>1952</v>
      </c>
      <c r="F118" s="520">
        <v>1993</v>
      </c>
      <c r="G118" s="520">
        <v>2066</v>
      </c>
      <c r="H118" s="520">
        <v>2353</v>
      </c>
      <c r="I118" s="520">
        <v>2553</v>
      </c>
      <c r="J118" s="520">
        <v>2647</v>
      </c>
      <c r="K118" s="521">
        <v>2701</v>
      </c>
      <c r="L118" s="887">
        <v>2788</v>
      </c>
      <c r="M118" s="887">
        <v>2756</v>
      </c>
      <c r="N118" s="1334">
        <v>2609</v>
      </c>
      <c r="P118" s="267">
        <f t="shared" si="10"/>
        <v>5.3338171262699567E-2</v>
      </c>
      <c r="Q118" s="267">
        <f t="shared" si="11"/>
        <v>1.1477761836441894E-2</v>
      </c>
      <c r="R118" s="267">
        <f t="shared" si="12"/>
        <v>3.2210292484265088E-2</v>
      </c>
    </row>
    <row r="119" spans="1:18" ht="15.75" x14ac:dyDescent="0.25">
      <c r="A119" s="513" t="s">
        <v>196</v>
      </c>
      <c r="B119" s="516" t="s">
        <v>197</v>
      </c>
      <c r="C119" s="570" t="s">
        <v>266</v>
      </c>
      <c r="D119" s="520">
        <v>49423</v>
      </c>
      <c r="E119" s="520">
        <v>50881</v>
      </c>
      <c r="F119" s="520">
        <v>51055</v>
      </c>
      <c r="G119" s="520">
        <v>51410</v>
      </c>
      <c r="H119" s="520">
        <v>54502</v>
      </c>
      <c r="I119" s="520">
        <v>62670</v>
      </c>
      <c r="J119" s="520">
        <v>67983</v>
      </c>
      <c r="K119" s="521">
        <v>72851</v>
      </c>
      <c r="L119" s="887">
        <v>75700</v>
      </c>
      <c r="M119" s="887">
        <v>72640</v>
      </c>
      <c r="N119" s="1334">
        <v>68448</v>
      </c>
      <c r="P119" s="267">
        <f t="shared" si="10"/>
        <v>5.7709251101321586E-2</v>
      </c>
      <c r="Q119" s="267">
        <f t="shared" si="11"/>
        <v>4.0422721268163805E-2</v>
      </c>
      <c r="R119" s="267">
        <f t="shared" si="12"/>
        <v>3.9107218843941742E-2</v>
      </c>
    </row>
    <row r="120" spans="1:18" ht="15.75" x14ac:dyDescent="0.25">
      <c r="A120" s="513" t="s">
        <v>200</v>
      </c>
      <c r="B120" s="516" t="s">
        <v>201</v>
      </c>
      <c r="C120" s="570" t="s">
        <v>265</v>
      </c>
      <c r="D120" s="520">
        <v>19436</v>
      </c>
      <c r="E120" s="520">
        <v>20626</v>
      </c>
      <c r="F120" s="520">
        <v>21476</v>
      </c>
      <c r="G120" s="520">
        <v>22766</v>
      </c>
      <c r="H120" s="520">
        <v>25844</v>
      </c>
      <c r="I120" s="520">
        <v>29554</v>
      </c>
      <c r="J120" s="520">
        <v>31980</v>
      </c>
      <c r="K120" s="521">
        <v>34163</v>
      </c>
      <c r="L120" s="887">
        <v>36216</v>
      </c>
      <c r="M120" s="887">
        <v>35249</v>
      </c>
      <c r="N120" s="1334">
        <v>33600</v>
      </c>
      <c r="P120" s="267">
        <f t="shared" si="10"/>
        <v>4.6781468977843341E-2</v>
      </c>
      <c r="Q120" s="267">
        <f t="shared" si="11"/>
        <v>2.6700905677048817E-2</v>
      </c>
      <c r="R120" s="267">
        <f t="shared" si="12"/>
        <v>6.0094254017504317E-2</v>
      </c>
    </row>
    <row r="121" spans="1:18" ht="15.75" x14ac:dyDescent="0.25">
      <c r="A121" s="513" t="s">
        <v>222</v>
      </c>
      <c r="B121" s="603" t="s">
        <v>223</v>
      </c>
      <c r="C121" s="603" t="s">
        <v>264</v>
      </c>
      <c r="D121" s="604">
        <v>11261</v>
      </c>
      <c r="E121" s="604">
        <v>11423</v>
      </c>
      <c r="F121" s="604">
        <v>11272</v>
      </c>
      <c r="G121" s="604">
        <v>11546</v>
      </c>
      <c r="H121" s="604">
        <v>12901</v>
      </c>
      <c r="I121" s="604">
        <v>14825</v>
      </c>
      <c r="J121" s="604">
        <v>16549</v>
      </c>
      <c r="K121" s="887">
        <v>17699</v>
      </c>
      <c r="L121" s="887">
        <v>18547</v>
      </c>
      <c r="M121" s="887">
        <v>18249</v>
      </c>
      <c r="N121" s="1334">
        <v>17471</v>
      </c>
      <c r="P121" s="267">
        <f t="shared" si="10"/>
        <v>4.2632473012219847E-2</v>
      </c>
      <c r="Q121" s="267">
        <f t="shared" si="11"/>
        <v>1.6067288510271203E-2</v>
      </c>
      <c r="R121" s="267">
        <f t="shared" si="12"/>
        <v>4.7912311430024293E-2</v>
      </c>
    </row>
    <row r="122" spans="1:18" ht="15.75" x14ac:dyDescent="0.25">
      <c r="A122" s="513" t="s">
        <v>230</v>
      </c>
      <c r="B122" s="516" t="s">
        <v>231</v>
      </c>
      <c r="C122" s="570" t="s">
        <v>264</v>
      </c>
      <c r="D122" s="520">
        <v>28215</v>
      </c>
      <c r="E122" s="520">
        <v>28835</v>
      </c>
      <c r="F122" s="520">
        <v>27798</v>
      </c>
      <c r="G122" s="520">
        <v>29065</v>
      </c>
      <c r="H122" s="520">
        <v>34362</v>
      </c>
      <c r="I122" s="520">
        <v>43390</v>
      </c>
      <c r="J122" s="520">
        <v>48823</v>
      </c>
      <c r="K122" s="521">
        <v>53010</v>
      </c>
      <c r="L122" s="887">
        <v>54998</v>
      </c>
      <c r="M122" s="887">
        <v>54484</v>
      </c>
      <c r="N122" s="1334">
        <v>52144</v>
      </c>
      <c r="P122" s="267">
        <f t="shared" si="10"/>
        <v>4.2948388517729974E-2</v>
      </c>
      <c r="Q122" s="267">
        <f t="shared" si="11"/>
        <v>9.3457943925233638E-3</v>
      </c>
      <c r="R122" s="267">
        <f t="shared" si="12"/>
        <v>3.7502358045651767E-2</v>
      </c>
    </row>
    <row r="123" spans="1:18" ht="15.75" x14ac:dyDescent="0.25">
      <c r="A123" s="513" t="s">
        <v>238</v>
      </c>
      <c r="B123" s="516" t="s">
        <v>239</v>
      </c>
      <c r="C123" s="570" t="s">
        <v>264</v>
      </c>
      <c r="D123" s="520">
        <v>857</v>
      </c>
      <c r="E123" s="520">
        <v>991</v>
      </c>
      <c r="F123" s="520">
        <v>953</v>
      </c>
      <c r="G123" s="520">
        <v>1015</v>
      </c>
      <c r="H123" s="520">
        <v>1223</v>
      </c>
      <c r="I123" s="520">
        <v>1515</v>
      </c>
      <c r="J123" s="520">
        <v>1885</v>
      </c>
      <c r="K123" s="521">
        <v>1929</v>
      </c>
      <c r="L123" s="887">
        <v>2096</v>
      </c>
      <c r="M123" s="887">
        <v>2072</v>
      </c>
      <c r="N123" s="1334">
        <v>2012</v>
      </c>
      <c r="P123" s="267">
        <f t="shared" si="10"/>
        <v>2.8957528957528959E-2</v>
      </c>
      <c r="Q123" s="267">
        <f t="shared" si="11"/>
        <v>1.1450381679389313E-2</v>
      </c>
      <c r="R123" s="267">
        <f t="shared" si="12"/>
        <v>8.6573354069466049E-2</v>
      </c>
    </row>
    <row r="124" spans="1:18" ht="15.75" x14ac:dyDescent="0.25">
      <c r="A124" s="514" t="s">
        <v>240</v>
      </c>
      <c r="B124" s="517" t="s">
        <v>241</v>
      </c>
      <c r="C124" s="517" t="s">
        <v>267</v>
      </c>
      <c r="D124" s="522">
        <v>3348</v>
      </c>
      <c r="E124" s="522">
        <v>3421</v>
      </c>
      <c r="F124" s="522">
        <v>3674</v>
      </c>
      <c r="G124" s="522">
        <v>4204</v>
      </c>
      <c r="H124" s="522">
        <v>5542</v>
      </c>
      <c r="I124" s="522">
        <v>6778</v>
      </c>
      <c r="J124" s="522">
        <v>7510</v>
      </c>
      <c r="K124" s="888">
        <v>7681</v>
      </c>
      <c r="L124" s="888">
        <v>7964</v>
      </c>
      <c r="M124" s="888">
        <v>7441</v>
      </c>
      <c r="N124" s="1334">
        <v>6819</v>
      </c>
      <c r="P124" s="267">
        <f t="shared" si="10"/>
        <v>8.3590915199569946E-2</v>
      </c>
      <c r="Q124" s="267">
        <f t="shared" si="11"/>
        <v>6.5670517327975894E-2</v>
      </c>
      <c r="R124" s="267">
        <f t="shared" si="12"/>
        <v>3.6844160916547325E-2</v>
      </c>
    </row>
    <row r="126" spans="1:18" ht="34.5" customHeight="1" x14ac:dyDescent="0.25">
      <c r="A126" s="2737" t="s">
        <v>1065</v>
      </c>
      <c r="B126" s="2737"/>
      <c r="C126" s="2737"/>
      <c r="D126" s="2737"/>
      <c r="E126" s="2737"/>
      <c r="F126" s="2737"/>
      <c r="G126" s="2737"/>
      <c r="H126" s="2737"/>
      <c r="I126" s="2737"/>
      <c r="J126" s="2737"/>
      <c r="K126" s="2737"/>
      <c r="L126" s="2737"/>
      <c r="M126" s="998"/>
      <c r="N126" s="1310"/>
    </row>
    <row r="128" spans="1:18" s="389" customFormat="1" ht="15.75" x14ac:dyDescent="0.25">
      <c r="A128" s="389" t="s">
        <v>248</v>
      </c>
    </row>
    <row r="129" spans="1:3" s="389" customFormat="1" ht="15.75" x14ac:dyDescent="0.25">
      <c r="A129" s="390" t="s">
        <v>249</v>
      </c>
      <c r="B129" s="391" t="s">
        <v>250</v>
      </c>
      <c r="C129" s="391"/>
    </row>
  </sheetData>
  <autoFilter ref="A3:C3"/>
  <sortState ref="A5:U124">
    <sortCondition ref="A5:A124"/>
  </sortState>
  <mergeCells count="1">
    <mergeCell ref="A126:L126"/>
  </mergeCells>
  <hyperlinks>
    <hyperlink ref="B129" r:id="rId1"/>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129"/>
  <sheetViews>
    <sheetView workbookViewId="0">
      <pane xSplit="3" ySplit="4" topLeftCell="D111" activePane="bottomRight" state="frozen"/>
      <selection pane="topRight" activeCell="D1" sqref="D1"/>
      <selection pane="bottomLeft" activeCell="A5" sqref="A5"/>
      <selection pane="bottomRight" activeCell="A124" sqref="A5:XFD124"/>
    </sheetView>
  </sheetViews>
  <sheetFormatPr defaultRowHeight="15.75" x14ac:dyDescent="0.25"/>
  <cols>
    <col min="1" max="1" width="9" style="505"/>
    <col min="2" max="2" width="33.375" style="505" customWidth="1"/>
    <col min="3" max="3" width="16.75" style="505" customWidth="1"/>
    <col min="4" max="4" width="7.25" style="505" customWidth="1"/>
    <col min="5" max="6" width="9.125" style="505" bestFit="1" customWidth="1"/>
    <col min="7" max="7" width="9.875" style="505" bestFit="1" customWidth="1"/>
    <col min="8" max="15" width="10.125" style="505" bestFit="1" customWidth="1"/>
    <col min="16" max="21" width="10.125" style="505" customWidth="1"/>
    <col min="22" max="22" width="11.125" style="505" bestFit="1" customWidth="1"/>
    <col min="23" max="23" width="11.125" style="505" customWidth="1"/>
    <col min="24" max="16384" width="9" style="505"/>
  </cols>
  <sheetData>
    <row r="1" spans="1:23" ht="12.75" customHeight="1" x14ac:dyDescent="0.25">
      <c r="A1" s="255" t="s">
        <v>1366</v>
      </c>
    </row>
    <row r="3" spans="1:23" ht="53.25" customHeight="1" x14ac:dyDescent="0.25">
      <c r="A3" s="510" t="s">
        <v>4</v>
      </c>
      <c r="B3" s="567" t="s">
        <v>5</v>
      </c>
      <c r="C3" s="567" t="s">
        <v>251</v>
      </c>
      <c r="D3" s="1675">
        <v>42552</v>
      </c>
      <c r="E3" s="1675">
        <v>42583</v>
      </c>
      <c r="F3" s="1675">
        <v>42614</v>
      </c>
      <c r="G3" s="1675">
        <v>42644</v>
      </c>
      <c r="H3" s="1676">
        <v>42675</v>
      </c>
      <c r="I3" s="1676">
        <v>42705</v>
      </c>
      <c r="J3" s="1676">
        <v>42736</v>
      </c>
      <c r="K3" s="1676">
        <v>42767</v>
      </c>
      <c r="L3" s="1676">
        <v>42795</v>
      </c>
      <c r="M3" s="1676">
        <v>42826</v>
      </c>
      <c r="N3" s="1676">
        <v>42856</v>
      </c>
      <c r="O3" s="1676">
        <v>42887</v>
      </c>
      <c r="P3" s="1676">
        <v>42917</v>
      </c>
      <c r="Q3" s="1676">
        <v>42948</v>
      </c>
      <c r="R3" s="1676">
        <v>42979</v>
      </c>
      <c r="S3" s="1676">
        <v>43009</v>
      </c>
      <c r="T3" s="1676">
        <v>43040</v>
      </c>
      <c r="U3" s="1676">
        <v>43070</v>
      </c>
      <c r="V3" s="1677" t="s">
        <v>1216</v>
      </c>
      <c r="W3" s="1677" t="s">
        <v>1365</v>
      </c>
    </row>
    <row r="4" spans="1:23" x14ac:dyDescent="0.25">
      <c r="A4" s="599">
        <v>999</v>
      </c>
      <c r="B4" s="600" t="s">
        <v>9</v>
      </c>
      <c r="C4" s="600"/>
      <c r="D4" s="1678">
        <f>SUM(D5:D124)</f>
        <v>2178</v>
      </c>
      <c r="E4" s="1679">
        <f t="shared" ref="E4:W4" si="0">SUM(E5:E124)</f>
        <v>2645</v>
      </c>
      <c r="F4" s="1679">
        <f t="shared" si="0"/>
        <v>3206</v>
      </c>
      <c r="G4" s="1679">
        <f t="shared" si="0"/>
        <v>27378</v>
      </c>
      <c r="H4" s="1680">
        <f t="shared" si="0"/>
        <v>23872</v>
      </c>
      <c r="I4" s="1680">
        <f t="shared" si="0"/>
        <v>21468</v>
      </c>
      <c r="J4" s="1680">
        <f t="shared" si="0"/>
        <v>27765</v>
      </c>
      <c r="K4" s="1680">
        <f t="shared" si="0"/>
        <v>23082</v>
      </c>
      <c r="L4" s="1680">
        <f t="shared" si="0"/>
        <v>21829</v>
      </c>
      <c r="M4" s="1680">
        <f t="shared" si="0"/>
        <v>19538</v>
      </c>
      <c r="N4" s="1680">
        <f t="shared" si="0"/>
        <v>23204</v>
      </c>
      <c r="O4" s="1680">
        <f t="shared" si="0"/>
        <v>23123</v>
      </c>
      <c r="P4" s="2357">
        <f t="shared" si="0"/>
        <v>23241</v>
      </c>
      <c r="Q4" s="2357">
        <f t="shared" si="0"/>
        <v>26417</v>
      </c>
      <c r="R4" s="2357">
        <f t="shared" si="0"/>
        <v>23659</v>
      </c>
      <c r="S4" s="2357">
        <f t="shared" si="0"/>
        <v>25098</v>
      </c>
      <c r="T4" s="2357">
        <f t="shared" si="0"/>
        <v>23041</v>
      </c>
      <c r="U4" s="2357">
        <f t="shared" si="0"/>
        <v>19133</v>
      </c>
      <c r="V4" s="1680">
        <f t="shared" si="0"/>
        <v>219288</v>
      </c>
      <c r="W4" s="1680">
        <f t="shared" si="0"/>
        <v>279130</v>
      </c>
    </row>
    <row r="5" spans="1:23" x14ac:dyDescent="0.25">
      <c r="A5" s="512" t="s">
        <v>10</v>
      </c>
      <c r="B5" s="569" t="s">
        <v>11</v>
      </c>
      <c r="C5" s="569" t="s">
        <v>264</v>
      </c>
      <c r="D5" s="268"/>
      <c r="E5" s="268"/>
      <c r="F5" s="268">
        <v>13</v>
      </c>
      <c r="G5" s="268">
        <v>192</v>
      </c>
      <c r="H5" s="268">
        <v>169</v>
      </c>
      <c r="I5" s="268">
        <v>143</v>
      </c>
      <c r="J5" s="268">
        <v>149</v>
      </c>
      <c r="K5" s="268">
        <v>127</v>
      </c>
      <c r="L5" s="268">
        <v>125</v>
      </c>
      <c r="M5" s="268">
        <v>122</v>
      </c>
      <c r="N5" s="268">
        <v>145</v>
      </c>
      <c r="O5" s="268">
        <v>151</v>
      </c>
      <c r="P5" s="268">
        <v>140</v>
      </c>
      <c r="Q5" s="268">
        <v>133</v>
      </c>
      <c r="R5" s="268">
        <v>160</v>
      </c>
      <c r="S5" s="268">
        <v>153</v>
      </c>
      <c r="T5" s="268">
        <v>173</v>
      </c>
      <c r="U5" s="268">
        <v>127</v>
      </c>
      <c r="V5" s="268">
        <f>SUM(D5:O5)</f>
        <v>1336</v>
      </c>
      <c r="W5" s="268">
        <f>SUM(J5:U5)</f>
        <v>1705</v>
      </c>
    </row>
    <row r="6" spans="1:23" x14ac:dyDescent="0.25">
      <c r="A6" s="513" t="s">
        <v>12</v>
      </c>
      <c r="B6" s="603" t="s">
        <v>13</v>
      </c>
      <c r="C6" s="603" t="s">
        <v>265</v>
      </c>
      <c r="D6" s="268">
        <v>124</v>
      </c>
      <c r="E6" s="268">
        <v>174</v>
      </c>
      <c r="F6" s="268">
        <v>155</v>
      </c>
      <c r="G6" s="268">
        <v>151</v>
      </c>
      <c r="H6" s="268">
        <v>141</v>
      </c>
      <c r="I6" s="268">
        <v>139</v>
      </c>
      <c r="J6" s="268">
        <v>221</v>
      </c>
      <c r="K6" s="268">
        <v>132</v>
      </c>
      <c r="L6" s="268">
        <v>159</v>
      </c>
      <c r="M6" s="268">
        <v>120</v>
      </c>
      <c r="N6" s="268">
        <v>161</v>
      </c>
      <c r="O6" s="268">
        <v>168</v>
      </c>
      <c r="P6" s="268">
        <v>171</v>
      </c>
      <c r="Q6" s="268">
        <v>177</v>
      </c>
      <c r="R6" s="268">
        <v>153</v>
      </c>
      <c r="S6" s="268">
        <v>172</v>
      </c>
      <c r="T6" s="268">
        <v>171</v>
      </c>
      <c r="U6" s="268">
        <v>135</v>
      </c>
      <c r="V6" s="268">
        <f>SUM(D6:O6)</f>
        <v>1845</v>
      </c>
      <c r="W6" s="268">
        <f>SUM(J6:U6)</f>
        <v>1940</v>
      </c>
    </row>
    <row r="7" spans="1:23" x14ac:dyDescent="0.25">
      <c r="A7" s="513" t="s">
        <v>16</v>
      </c>
      <c r="B7" s="603" t="s">
        <v>297</v>
      </c>
      <c r="C7" s="603" t="s">
        <v>265</v>
      </c>
      <c r="D7" s="268"/>
      <c r="E7" s="268"/>
      <c r="F7" s="268"/>
      <c r="G7" s="268">
        <v>74</v>
      </c>
      <c r="H7" s="268">
        <v>71</v>
      </c>
      <c r="I7" s="268">
        <v>58</v>
      </c>
      <c r="J7" s="268">
        <v>90</v>
      </c>
      <c r="K7" s="268">
        <v>59</v>
      </c>
      <c r="L7" s="268">
        <v>68</v>
      </c>
      <c r="M7" s="268">
        <v>48</v>
      </c>
      <c r="N7" s="268">
        <v>55</v>
      </c>
      <c r="O7" s="268">
        <v>69</v>
      </c>
      <c r="P7" s="268">
        <v>75</v>
      </c>
      <c r="Q7" s="268">
        <v>76</v>
      </c>
      <c r="R7" s="268">
        <v>64</v>
      </c>
      <c r="S7" s="268">
        <v>82</v>
      </c>
      <c r="T7" s="268">
        <v>72</v>
      </c>
      <c r="U7" s="268">
        <v>49</v>
      </c>
      <c r="V7" s="268">
        <f>SUM(D7:O7)</f>
        <v>592</v>
      </c>
      <c r="W7" s="268">
        <f>SUM(J7:U7)</f>
        <v>807</v>
      </c>
    </row>
    <row r="8" spans="1:23" x14ac:dyDescent="0.25">
      <c r="A8" s="513" t="s">
        <v>18</v>
      </c>
      <c r="B8" s="603" t="s">
        <v>19</v>
      </c>
      <c r="C8" s="603" t="s">
        <v>266</v>
      </c>
      <c r="D8" s="268"/>
      <c r="E8" s="268"/>
      <c r="F8" s="268"/>
      <c r="G8" s="268">
        <v>45</v>
      </c>
      <c r="H8" s="268">
        <v>46</v>
      </c>
      <c r="I8" s="268">
        <v>37</v>
      </c>
      <c r="J8" s="268">
        <v>46</v>
      </c>
      <c r="K8" s="268">
        <v>39</v>
      </c>
      <c r="L8" s="268">
        <v>26</v>
      </c>
      <c r="M8" s="268">
        <v>32</v>
      </c>
      <c r="N8" s="268">
        <v>41</v>
      </c>
      <c r="O8" s="268">
        <v>25</v>
      </c>
      <c r="P8" s="268">
        <v>28</v>
      </c>
      <c r="Q8" s="268">
        <v>53</v>
      </c>
      <c r="R8" s="268">
        <v>37</v>
      </c>
      <c r="S8" s="268">
        <v>43</v>
      </c>
      <c r="T8" s="268">
        <v>31</v>
      </c>
      <c r="U8" s="268">
        <v>28</v>
      </c>
      <c r="V8" s="268">
        <f>SUM(D8:O8)</f>
        <v>337</v>
      </c>
      <c r="W8" s="268">
        <f>SUM(J8:U8)</f>
        <v>429</v>
      </c>
    </row>
    <row r="9" spans="1:23" x14ac:dyDescent="0.25">
      <c r="A9" s="513" t="s">
        <v>20</v>
      </c>
      <c r="B9" s="603" t="s">
        <v>21</v>
      </c>
      <c r="C9" s="603" t="s">
        <v>265</v>
      </c>
      <c r="D9" s="268"/>
      <c r="E9" s="268"/>
      <c r="F9" s="268">
        <v>1</v>
      </c>
      <c r="G9" s="268">
        <v>118</v>
      </c>
      <c r="H9" s="268">
        <v>98</v>
      </c>
      <c r="I9" s="268">
        <v>74</v>
      </c>
      <c r="J9" s="268">
        <v>86</v>
      </c>
      <c r="K9" s="268">
        <v>86</v>
      </c>
      <c r="L9" s="268">
        <v>80</v>
      </c>
      <c r="M9" s="268">
        <v>78</v>
      </c>
      <c r="N9" s="268">
        <v>85</v>
      </c>
      <c r="O9" s="268">
        <v>110</v>
      </c>
      <c r="P9" s="268">
        <v>84</v>
      </c>
      <c r="Q9" s="268">
        <v>97</v>
      </c>
      <c r="R9" s="268">
        <v>95</v>
      </c>
      <c r="S9" s="268">
        <v>113</v>
      </c>
      <c r="T9" s="268">
        <v>105</v>
      </c>
      <c r="U9" s="268">
        <v>87</v>
      </c>
      <c r="V9" s="268">
        <f>SUM(D9:O9)</f>
        <v>816</v>
      </c>
      <c r="W9" s="268">
        <f>SUM(J9:U9)</f>
        <v>1106</v>
      </c>
    </row>
    <row r="10" spans="1:23" x14ac:dyDescent="0.25">
      <c r="A10" s="513" t="s">
        <v>22</v>
      </c>
      <c r="B10" s="603" t="s">
        <v>23</v>
      </c>
      <c r="C10" s="603" t="s">
        <v>265</v>
      </c>
      <c r="D10" s="268"/>
      <c r="E10" s="268"/>
      <c r="F10" s="268">
        <v>3</v>
      </c>
      <c r="G10" s="268">
        <v>48</v>
      </c>
      <c r="H10" s="268">
        <v>62</v>
      </c>
      <c r="I10" s="268">
        <v>30</v>
      </c>
      <c r="J10" s="268">
        <v>54</v>
      </c>
      <c r="K10" s="268">
        <v>48</v>
      </c>
      <c r="L10" s="268">
        <v>35</v>
      </c>
      <c r="M10" s="268">
        <v>46</v>
      </c>
      <c r="N10" s="268">
        <v>53</v>
      </c>
      <c r="O10" s="268">
        <v>47</v>
      </c>
      <c r="P10" s="268">
        <v>44</v>
      </c>
      <c r="Q10" s="268">
        <v>45</v>
      </c>
      <c r="R10" s="268">
        <v>63</v>
      </c>
      <c r="S10" s="268">
        <v>58</v>
      </c>
      <c r="T10" s="268">
        <v>57</v>
      </c>
      <c r="U10" s="268">
        <v>42</v>
      </c>
      <c r="V10" s="268">
        <f>SUM(D10:O10)</f>
        <v>426</v>
      </c>
      <c r="W10" s="268">
        <f>SUM(J10:U10)</f>
        <v>592</v>
      </c>
    </row>
    <row r="11" spans="1:23" x14ac:dyDescent="0.25">
      <c r="A11" s="513" t="s">
        <v>24</v>
      </c>
      <c r="B11" s="603" t="s">
        <v>25</v>
      </c>
      <c r="C11" s="603" t="s">
        <v>267</v>
      </c>
      <c r="D11" s="268"/>
      <c r="E11" s="268"/>
      <c r="F11" s="268">
        <v>21</v>
      </c>
      <c r="G11" s="268">
        <v>293</v>
      </c>
      <c r="H11" s="268">
        <v>255</v>
      </c>
      <c r="I11" s="268">
        <v>225</v>
      </c>
      <c r="J11" s="268">
        <v>241</v>
      </c>
      <c r="K11" s="268">
        <v>235</v>
      </c>
      <c r="L11" s="268">
        <v>234</v>
      </c>
      <c r="M11" s="268">
        <v>177</v>
      </c>
      <c r="N11" s="268">
        <v>227</v>
      </c>
      <c r="O11" s="268">
        <v>208</v>
      </c>
      <c r="P11" s="268">
        <v>202</v>
      </c>
      <c r="Q11" s="268">
        <v>249</v>
      </c>
      <c r="R11" s="268">
        <v>285</v>
      </c>
      <c r="S11" s="268">
        <v>219</v>
      </c>
      <c r="T11" s="268">
        <v>198</v>
      </c>
      <c r="U11" s="268">
        <v>182</v>
      </c>
      <c r="V11" s="268">
        <f>SUM(D11:O11)</f>
        <v>2116</v>
      </c>
      <c r="W11" s="268">
        <f>SUM(J11:U11)</f>
        <v>2657</v>
      </c>
    </row>
    <row r="12" spans="1:23" x14ac:dyDescent="0.25">
      <c r="A12" s="513" t="s">
        <v>26</v>
      </c>
      <c r="B12" s="603" t="s">
        <v>685</v>
      </c>
      <c r="C12" s="603" t="s">
        <v>265</v>
      </c>
      <c r="D12" s="268"/>
      <c r="E12" s="268"/>
      <c r="F12" s="268">
        <v>19</v>
      </c>
      <c r="G12" s="268">
        <v>398</v>
      </c>
      <c r="H12" s="268">
        <v>345</v>
      </c>
      <c r="I12" s="268">
        <v>302</v>
      </c>
      <c r="J12" s="268">
        <v>449</v>
      </c>
      <c r="K12" s="268">
        <v>376</v>
      </c>
      <c r="L12" s="268">
        <v>304</v>
      </c>
      <c r="M12" s="268">
        <v>296</v>
      </c>
      <c r="N12" s="268">
        <v>340</v>
      </c>
      <c r="O12" s="268">
        <v>360</v>
      </c>
      <c r="P12" s="268">
        <v>347</v>
      </c>
      <c r="Q12" s="268">
        <v>427</v>
      </c>
      <c r="R12" s="268">
        <v>364</v>
      </c>
      <c r="S12" s="268">
        <v>431</v>
      </c>
      <c r="T12" s="268">
        <v>373</v>
      </c>
      <c r="U12" s="268">
        <v>281</v>
      </c>
      <c r="V12" s="268">
        <f>SUM(D12:O12)</f>
        <v>3189</v>
      </c>
      <c r="W12" s="268">
        <f>SUM(J12:U12)</f>
        <v>4348</v>
      </c>
    </row>
    <row r="13" spans="1:23" x14ac:dyDescent="0.25">
      <c r="A13" s="513" t="s">
        <v>27</v>
      </c>
      <c r="B13" s="603" t="s">
        <v>28</v>
      </c>
      <c r="C13" s="603" t="s">
        <v>265</v>
      </c>
      <c r="D13" s="268"/>
      <c r="E13" s="268"/>
      <c r="F13" s="268"/>
      <c r="G13" s="268">
        <v>13</v>
      </c>
      <c r="H13" s="268">
        <v>7</v>
      </c>
      <c r="I13" s="268">
        <v>7</v>
      </c>
      <c r="J13" s="268">
        <v>8</v>
      </c>
      <c r="K13" s="268">
        <v>5</v>
      </c>
      <c r="L13" s="268">
        <v>1</v>
      </c>
      <c r="M13" s="268">
        <v>1</v>
      </c>
      <c r="N13" s="268">
        <v>7</v>
      </c>
      <c r="O13" s="268">
        <v>4</v>
      </c>
      <c r="P13" s="268">
        <v>10</v>
      </c>
      <c r="Q13" s="268">
        <v>14</v>
      </c>
      <c r="R13" s="268">
        <v>8</v>
      </c>
      <c r="S13" s="268">
        <v>11</v>
      </c>
      <c r="T13" s="268">
        <v>11</v>
      </c>
      <c r="U13" s="268">
        <v>5</v>
      </c>
      <c r="V13" s="268">
        <f>SUM(D13:O13)</f>
        <v>53</v>
      </c>
      <c r="W13" s="268">
        <f>SUM(J13:U13)</f>
        <v>85</v>
      </c>
    </row>
    <row r="14" spans="1:23" x14ac:dyDescent="0.25">
      <c r="A14" s="513" t="s">
        <v>29</v>
      </c>
      <c r="B14" s="603" t="s">
        <v>901</v>
      </c>
      <c r="C14" s="603" t="s">
        <v>265</v>
      </c>
      <c r="D14" s="268">
        <v>124</v>
      </c>
      <c r="E14" s="268">
        <v>164</v>
      </c>
      <c r="F14" s="268">
        <v>148</v>
      </c>
      <c r="G14" s="268">
        <v>162</v>
      </c>
      <c r="H14" s="268">
        <v>171</v>
      </c>
      <c r="I14" s="268">
        <v>149</v>
      </c>
      <c r="J14" s="268">
        <v>188</v>
      </c>
      <c r="K14" s="268">
        <v>116</v>
      </c>
      <c r="L14" s="268">
        <v>156</v>
      </c>
      <c r="M14" s="268">
        <v>140</v>
      </c>
      <c r="N14" s="268">
        <v>158</v>
      </c>
      <c r="O14" s="268">
        <v>153</v>
      </c>
      <c r="P14" s="268">
        <v>167</v>
      </c>
      <c r="Q14" s="268">
        <v>182</v>
      </c>
      <c r="R14" s="268">
        <v>178</v>
      </c>
      <c r="S14" s="268">
        <v>190</v>
      </c>
      <c r="T14" s="268">
        <v>160</v>
      </c>
      <c r="U14" s="268">
        <v>143</v>
      </c>
      <c r="V14" s="268">
        <f>SUM(D14:O14)</f>
        <v>1829</v>
      </c>
      <c r="W14" s="268">
        <f>SUM(J14:U14)</f>
        <v>1931</v>
      </c>
    </row>
    <row r="15" spans="1:23" x14ac:dyDescent="0.25">
      <c r="A15" s="513" t="s">
        <v>30</v>
      </c>
      <c r="B15" s="603" t="s">
        <v>31</v>
      </c>
      <c r="C15" s="603" t="s">
        <v>268</v>
      </c>
      <c r="D15" s="268"/>
      <c r="E15" s="268"/>
      <c r="F15" s="268">
        <v>1</v>
      </c>
      <c r="G15" s="268">
        <v>19</v>
      </c>
      <c r="H15" s="268">
        <v>13</v>
      </c>
      <c r="I15" s="268">
        <v>11</v>
      </c>
      <c r="J15" s="268">
        <v>19</v>
      </c>
      <c r="K15" s="268">
        <v>16</v>
      </c>
      <c r="L15" s="268">
        <v>11</v>
      </c>
      <c r="M15" s="268">
        <v>6</v>
      </c>
      <c r="N15" s="268">
        <v>15</v>
      </c>
      <c r="O15" s="268">
        <v>10</v>
      </c>
      <c r="P15" s="268">
        <v>16</v>
      </c>
      <c r="Q15" s="268">
        <v>18</v>
      </c>
      <c r="R15" s="268">
        <v>8</v>
      </c>
      <c r="S15" s="268">
        <v>15</v>
      </c>
      <c r="T15" s="268">
        <v>19</v>
      </c>
      <c r="U15" s="268">
        <v>6</v>
      </c>
      <c r="V15" s="268">
        <f>SUM(D15:O15)</f>
        <v>121</v>
      </c>
      <c r="W15" s="268">
        <f>SUM(J15:U15)</f>
        <v>159</v>
      </c>
    </row>
    <row r="16" spans="1:23" x14ac:dyDescent="0.25">
      <c r="A16" s="513" t="s">
        <v>32</v>
      </c>
      <c r="B16" s="603" t="s">
        <v>33</v>
      </c>
      <c r="C16" s="603" t="s">
        <v>265</v>
      </c>
      <c r="D16" s="268"/>
      <c r="E16" s="268">
        <v>1</v>
      </c>
      <c r="F16" s="268">
        <v>4</v>
      </c>
      <c r="G16" s="268">
        <v>53</v>
      </c>
      <c r="H16" s="268">
        <v>45</v>
      </c>
      <c r="I16" s="268">
        <v>44</v>
      </c>
      <c r="J16" s="268">
        <v>54</v>
      </c>
      <c r="K16" s="268">
        <v>49</v>
      </c>
      <c r="L16" s="268">
        <v>37</v>
      </c>
      <c r="M16" s="268">
        <v>36</v>
      </c>
      <c r="N16" s="268">
        <v>53</v>
      </c>
      <c r="O16" s="268">
        <v>41</v>
      </c>
      <c r="P16" s="268">
        <v>52</v>
      </c>
      <c r="Q16" s="268">
        <v>56</v>
      </c>
      <c r="R16" s="268">
        <v>59</v>
      </c>
      <c r="S16" s="268">
        <v>44</v>
      </c>
      <c r="T16" s="268">
        <v>48</v>
      </c>
      <c r="U16" s="268">
        <v>39</v>
      </c>
      <c r="V16" s="268">
        <f>SUM(D16:O16)</f>
        <v>417</v>
      </c>
      <c r="W16" s="268">
        <f>SUM(J16:U16)</f>
        <v>568</v>
      </c>
    </row>
    <row r="17" spans="1:23" x14ac:dyDescent="0.25">
      <c r="A17" s="513" t="s">
        <v>36</v>
      </c>
      <c r="B17" s="603" t="s">
        <v>37</v>
      </c>
      <c r="C17" s="603" t="s">
        <v>264</v>
      </c>
      <c r="D17" s="268"/>
      <c r="E17" s="268"/>
      <c r="F17" s="268">
        <v>1</v>
      </c>
      <c r="G17" s="268">
        <v>77</v>
      </c>
      <c r="H17" s="268">
        <v>72</v>
      </c>
      <c r="I17" s="268">
        <v>57</v>
      </c>
      <c r="J17" s="268">
        <v>111</v>
      </c>
      <c r="K17" s="268">
        <v>69</v>
      </c>
      <c r="L17" s="268">
        <v>66</v>
      </c>
      <c r="M17" s="268">
        <v>56</v>
      </c>
      <c r="N17" s="268">
        <v>83</v>
      </c>
      <c r="O17" s="268">
        <v>110</v>
      </c>
      <c r="P17" s="268">
        <v>63</v>
      </c>
      <c r="Q17" s="268">
        <v>69</v>
      </c>
      <c r="R17" s="268">
        <v>82</v>
      </c>
      <c r="S17" s="268">
        <v>69</v>
      </c>
      <c r="T17" s="268">
        <v>61</v>
      </c>
      <c r="U17" s="268">
        <v>52</v>
      </c>
      <c r="V17" s="268">
        <f>SUM(D17:O17)</f>
        <v>702</v>
      </c>
      <c r="W17" s="268">
        <f>SUM(J17:U17)</f>
        <v>891</v>
      </c>
    </row>
    <row r="18" spans="1:23" x14ac:dyDescent="0.25">
      <c r="A18" s="513" t="s">
        <v>38</v>
      </c>
      <c r="B18" s="603" t="s">
        <v>39</v>
      </c>
      <c r="C18" s="603" t="s">
        <v>268</v>
      </c>
      <c r="D18" s="268"/>
      <c r="E18" s="268"/>
      <c r="F18" s="268">
        <v>1</v>
      </c>
      <c r="G18" s="268">
        <v>75</v>
      </c>
      <c r="H18" s="268">
        <v>77</v>
      </c>
      <c r="I18" s="268">
        <v>63</v>
      </c>
      <c r="J18" s="268">
        <v>68</v>
      </c>
      <c r="K18" s="268">
        <v>66</v>
      </c>
      <c r="L18" s="268">
        <v>68</v>
      </c>
      <c r="M18" s="268">
        <v>53</v>
      </c>
      <c r="N18" s="268">
        <v>73</v>
      </c>
      <c r="O18" s="268">
        <v>78</v>
      </c>
      <c r="P18" s="268">
        <v>56</v>
      </c>
      <c r="Q18" s="268">
        <v>85</v>
      </c>
      <c r="R18" s="268">
        <v>75</v>
      </c>
      <c r="S18" s="268">
        <v>96</v>
      </c>
      <c r="T18" s="268">
        <v>75</v>
      </c>
      <c r="U18" s="268">
        <v>84</v>
      </c>
      <c r="V18" s="268">
        <f>SUM(D18:O18)</f>
        <v>622</v>
      </c>
      <c r="W18" s="268">
        <f>SUM(J18:U18)</f>
        <v>877</v>
      </c>
    </row>
    <row r="19" spans="1:23" x14ac:dyDescent="0.25">
      <c r="A19" s="513" t="s">
        <v>40</v>
      </c>
      <c r="B19" s="603" t="s">
        <v>41</v>
      </c>
      <c r="C19" s="603" t="s">
        <v>266</v>
      </c>
      <c r="D19" s="268"/>
      <c r="E19" s="268"/>
      <c r="F19" s="268">
        <v>5</v>
      </c>
      <c r="G19" s="268">
        <v>68</v>
      </c>
      <c r="H19" s="268">
        <v>70</v>
      </c>
      <c r="I19" s="268">
        <v>41</v>
      </c>
      <c r="J19" s="268">
        <v>83</v>
      </c>
      <c r="K19" s="268">
        <v>60</v>
      </c>
      <c r="L19" s="268">
        <v>45</v>
      </c>
      <c r="M19" s="268">
        <v>41</v>
      </c>
      <c r="N19" s="268">
        <v>63</v>
      </c>
      <c r="O19" s="268">
        <v>63</v>
      </c>
      <c r="P19" s="268">
        <v>56</v>
      </c>
      <c r="Q19" s="268">
        <v>68</v>
      </c>
      <c r="R19" s="268">
        <v>64</v>
      </c>
      <c r="S19" s="268">
        <v>57</v>
      </c>
      <c r="T19" s="268">
        <v>66</v>
      </c>
      <c r="U19" s="268">
        <v>48</v>
      </c>
      <c r="V19" s="268">
        <f>SUM(D19:O19)</f>
        <v>539</v>
      </c>
      <c r="W19" s="268">
        <f>SUM(J19:U19)</f>
        <v>714</v>
      </c>
    </row>
    <row r="20" spans="1:23" x14ac:dyDescent="0.25">
      <c r="A20" s="513" t="s">
        <v>42</v>
      </c>
      <c r="B20" s="603" t="s">
        <v>43</v>
      </c>
      <c r="C20" s="603" t="s">
        <v>265</v>
      </c>
      <c r="D20" s="268"/>
      <c r="E20" s="268"/>
      <c r="F20" s="268">
        <v>9</v>
      </c>
      <c r="G20" s="268">
        <v>157</v>
      </c>
      <c r="H20" s="268">
        <v>162</v>
      </c>
      <c r="I20" s="268">
        <v>132</v>
      </c>
      <c r="J20" s="268">
        <v>198</v>
      </c>
      <c r="K20" s="268">
        <v>174</v>
      </c>
      <c r="L20" s="268">
        <v>147</v>
      </c>
      <c r="M20" s="268">
        <v>144</v>
      </c>
      <c r="N20" s="268">
        <v>131</v>
      </c>
      <c r="O20" s="268">
        <v>146</v>
      </c>
      <c r="P20" s="268">
        <v>172</v>
      </c>
      <c r="Q20" s="268">
        <v>185</v>
      </c>
      <c r="R20" s="268">
        <v>139</v>
      </c>
      <c r="S20" s="268">
        <v>198</v>
      </c>
      <c r="T20" s="268">
        <v>165</v>
      </c>
      <c r="U20" s="268">
        <v>118</v>
      </c>
      <c r="V20" s="268">
        <f>SUM(D20:O20)</f>
        <v>1400</v>
      </c>
      <c r="W20" s="268">
        <f>SUM(J20:U20)</f>
        <v>1917</v>
      </c>
    </row>
    <row r="21" spans="1:23" x14ac:dyDescent="0.25">
      <c r="A21" s="513" t="s">
        <v>44</v>
      </c>
      <c r="B21" s="603" t="s">
        <v>45</v>
      </c>
      <c r="C21" s="603" t="s">
        <v>266</v>
      </c>
      <c r="D21" s="268"/>
      <c r="E21" s="268"/>
      <c r="F21" s="268">
        <v>9</v>
      </c>
      <c r="G21" s="268">
        <v>149</v>
      </c>
      <c r="H21" s="268">
        <v>127</v>
      </c>
      <c r="I21" s="268">
        <v>71</v>
      </c>
      <c r="J21" s="268">
        <v>120</v>
      </c>
      <c r="K21" s="268">
        <v>106</v>
      </c>
      <c r="L21" s="268">
        <v>107</v>
      </c>
      <c r="M21" s="268">
        <v>69</v>
      </c>
      <c r="N21" s="268">
        <v>88</v>
      </c>
      <c r="O21" s="268">
        <v>93</v>
      </c>
      <c r="P21" s="268">
        <v>101</v>
      </c>
      <c r="Q21" s="268">
        <v>122</v>
      </c>
      <c r="R21" s="268">
        <v>79</v>
      </c>
      <c r="S21" s="268">
        <v>123</v>
      </c>
      <c r="T21" s="268">
        <v>108</v>
      </c>
      <c r="U21" s="268">
        <v>78</v>
      </c>
      <c r="V21" s="268">
        <f>SUM(D21:O21)</f>
        <v>939</v>
      </c>
      <c r="W21" s="268">
        <f>SUM(J21:U21)</f>
        <v>1194</v>
      </c>
    </row>
    <row r="22" spans="1:23" x14ac:dyDescent="0.25">
      <c r="A22" s="513" t="s">
        <v>46</v>
      </c>
      <c r="B22" s="603" t="s">
        <v>47</v>
      </c>
      <c r="C22" s="603" t="s">
        <v>268</v>
      </c>
      <c r="D22" s="268"/>
      <c r="E22" s="268"/>
      <c r="F22" s="268">
        <v>12</v>
      </c>
      <c r="G22" s="268">
        <v>138</v>
      </c>
      <c r="H22" s="268">
        <v>134</v>
      </c>
      <c r="I22" s="268">
        <v>104</v>
      </c>
      <c r="J22" s="268">
        <v>123</v>
      </c>
      <c r="K22" s="268">
        <v>111</v>
      </c>
      <c r="L22" s="268">
        <v>103</v>
      </c>
      <c r="M22" s="268">
        <v>77</v>
      </c>
      <c r="N22" s="268">
        <v>102</v>
      </c>
      <c r="O22" s="268">
        <v>108</v>
      </c>
      <c r="P22" s="268">
        <v>104</v>
      </c>
      <c r="Q22" s="268">
        <v>120</v>
      </c>
      <c r="R22" s="268">
        <v>101</v>
      </c>
      <c r="S22" s="268">
        <v>125</v>
      </c>
      <c r="T22" s="268">
        <v>143</v>
      </c>
      <c r="U22" s="268">
        <v>96</v>
      </c>
      <c r="V22" s="268">
        <f>SUM(D22:O22)</f>
        <v>1012</v>
      </c>
      <c r="W22" s="268">
        <f>SUM(J22:U22)</f>
        <v>1313</v>
      </c>
    </row>
    <row r="23" spans="1:23" x14ac:dyDescent="0.25">
      <c r="A23" s="513" t="s">
        <v>48</v>
      </c>
      <c r="B23" s="603" t="s">
        <v>269</v>
      </c>
      <c r="C23" s="603" t="s">
        <v>266</v>
      </c>
      <c r="D23" s="268"/>
      <c r="E23" s="268"/>
      <c r="F23" s="268"/>
      <c r="G23" s="268">
        <v>24</v>
      </c>
      <c r="H23" s="268">
        <v>15</v>
      </c>
      <c r="I23" s="268">
        <v>14</v>
      </c>
      <c r="J23" s="268">
        <v>20</v>
      </c>
      <c r="K23" s="268">
        <v>22</v>
      </c>
      <c r="L23" s="268">
        <v>25</v>
      </c>
      <c r="M23" s="268">
        <v>15</v>
      </c>
      <c r="N23" s="268">
        <v>20</v>
      </c>
      <c r="O23" s="268">
        <v>14</v>
      </c>
      <c r="P23" s="268">
        <v>26</v>
      </c>
      <c r="Q23" s="268">
        <v>24</v>
      </c>
      <c r="R23" s="268">
        <v>18</v>
      </c>
      <c r="S23" s="268">
        <v>28</v>
      </c>
      <c r="T23" s="268">
        <v>18</v>
      </c>
      <c r="U23" s="268">
        <v>16</v>
      </c>
      <c r="V23" s="268">
        <f>SUM(D23:O23)</f>
        <v>169</v>
      </c>
      <c r="W23" s="268">
        <f>SUM(J23:U23)</f>
        <v>246</v>
      </c>
    </row>
    <row r="24" spans="1:23" x14ac:dyDescent="0.25">
      <c r="A24" s="513" t="s">
        <v>50</v>
      </c>
      <c r="B24" s="603" t="s">
        <v>51</v>
      </c>
      <c r="C24" s="603" t="s">
        <v>265</v>
      </c>
      <c r="D24" s="268"/>
      <c r="E24" s="268"/>
      <c r="F24" s="268"/>
      <c r="G24" s="268">
        <v>42</v>
      </c>
      <c r="H24" s="268">
        <v>37</v>
      </c>
      <c r="I24" s="268">
        <v>23</v>
      </c>
      <c r="J24" s="268">
        <v>33</v>
      </c>
      <c r="K24" s="268">
        <v>36</v>
      </c>
      <c r="L24" s="268">
        <v>40</v>
      </c>
      <c r="M24" s="268">
        <v>36</v>
      </c>
      <c r="N24" s="268">
        <v>47</v>
      </c>
      <c r="O24" s="268">
        <v>33</v>
      </c>
      <c r="P24" s="268">
        <v>31</v>
      </c>
      <c r="Q24" s="268">
        <v>50</v>
      </c>
      <c r="R24" s="268">
        <v>47</v>
      </c>
      <c r="S24" s="268">
        <v>35</v>
      </c>
      <c r="T24" s="268">
        <v>40</v>
      </c>
      <c r="U24" s="268">
        <v>29</v>
      </c>
      <c r="V24" s="268">
        <f>SUM(D24:O24)</f>
        <v>327</v>
      </c>
      <c r="W24" s="268">
        <f>SUM(J24:U24)</f>
        <v>457</v>
      </c>
    </row>
    <row r="25" spans="1:23" x14ac:dyDescent="0.25">
      <c r="A25" s="513" t="s">
        <v>56</v>
      </c>
      <c r="B25" s="603" t="s">
        <v>295</v>
      </c>
      <c r="C25" s="603" t="s">
        <v>266</v>
      </c>
      <c r="D25" s="268"/>
      <c r="E25" s="268"/>
      <c r="F25" s="268">
        <v>30</v>
      </c>
      <c r="G25" s="268">
        <v>967</v>
      </c>
      <c r="H25" s="268">
        <v>789</v>
      </c>
      <c r="I25" s="268">
        <v>763</v>
      </c>
      <c r="J25" s="268">
        <v>1015</v>
      </c>
      <c r="K25" s="268">
        <v>905</v>
      </c>
      <c r="L25" s="268">
        <v>807</v>
      </c>
      <c r="M25" s="268">
        <v>718</v>
      </c>
      <c r="N25" s="268">
        <v>876</v>
      </c>
      <c r="O25" s="268">
        <v>844</v>
      </c>
      <c r="P25" s="268">
        <v>861</v>
      </c>
      <c r="Q25" s="268">
        <v>1007</v>
      </c>
      <c r="R25" s="268">
        <v>970</v>
      </c>
      <c r="S25" s="268">
        <v>906</v>
      </c>
      <c r="T25" s="268">
        <v>835</v>
      </c>
      <c r="U25" s="268">
        <v>720</v>
      </c>
      <c r="V25" s="268">
        <f>SUM(D25:O25)</f>
        <v>7714</v>
      </c>
      <c r="W25" s="268">
        <f>SUM(J25:U25)</f>
        <v>10464</v>
      </c>
    </row>
    <row r="26" spans="1:23" x14ac:dyDescent="0.25">
      <c r="A26" s="513" t="s">
        <v>58</v>
      </c>
      <c r="B26" s="603" t="s">
        <v>59</v>
      </c>
      <c r="C26" s="603" t="s">
        <v>267</v>
      </c>
      <c r="D26" s="268"/>
      <c r="E26" s="268"/>
      <c r="F26" s="268"/>
      <c r="G26" s="268">
        <v>19</v>
      </c>
      <c r="H26" s="268">
        <v>22</v>
      </c>
      <c r="I26" s="268">
        <v>10</v>
      </c>
      <c r="J26" s="268">
        <v>21</v>
      </c>
      <c r="K26" s="268">
        <v>19</v>
      </c>
      <c r="L26" s="268">
        <v>13</v>
      </c>
      <c r="M26" s="268">
        <v>26</v>
      </c>
      <c r="N26" s="268">
        <v>24</v>
      </c>
      <c r="O26" s="268">
        <v>18</v>
      </c>
      <c r="P26" s="268">
        <v>22</v>
      </c>
      <c r="Q26" s="268">
        <v>20</v>
      </c>
      <c r="R26" s="268">
        <v>13</v>
      </c>
      <c r="S26" s="268">
        <v>23</v>
      </c>
      <c r="T26" s="268">
        <v>22</v>
      </c>
      <c r="U26" s="268">
        <v>14</v>
      </c>
      <c r="V26" s="268">
        <f>SUM(D26:O26)</f>
        <v>172</v>
      </c>
      <c r="W26" s="268">
        <f>SUM(J26:U26)</f>
        <v>235</v>
      </c>
    </row>
    <row r="27" spans="1:23" x14ac:dyDescent="0.25">
      <c r="A27" s="513" t="s">
        <v>60</v>
      </c>
      <c r="B27" s="603" t="s">
        <v>61</v>
      </c>
      <c r="C27" s="603" t="s">
        <v>265</v>
      </c>
      <c r="D27" s="268"/>
      <c r="E27" s="268"/>
      <c r="F27" s="268">
        <v>1</v>
      </c>
      <c r="G27" s="268">
        <v>27</v>
      </c>
      <c r="H27" s="268">
        <v>16</v>
      </c>
      <c r="I27" s="268">
        <v>21</v>
      </c>
      <c r="J27" s="268">
        <v>18</v>
      </c>
      <c r="K27" s="268">
        <v>22</v>
      </c>
      <c r="L27" s="268">
        <v>9</v>
      </c>
      <c r="M27" s="268">
        <v>12</v>
      </c>
      <c r="N27" s="268">
        <v>21</v>
      </c>
      <c r="O27" s="268">
        <v>10</v>
      </c>
      <c r="P27" s="268">
        <v>17</v>
      </c>
      <c r="Q27" s="268">
        <v>25</v>
      </c>
      <c r="R27" s="268">
        <v>26</v>
      </c>
      <c r="S27" s="268">
        <v>15</v>
      </c>
      <c r="T27" s="268">
        <v>16</v>
      </c>
      <c r="U27" s="268">
        <v>13</v>
      </c>
      <c r="V27" s="268">
        <f>SUM(D27:O27)</f>
        <v>157</v>
      </c>
      <c r="W27" s="268">
        <f>SUM(J27:U27)</f>
        <v>204</v>
      </c>
    </row>
    <row r="28" spans="1:23" x14ac:dyDescent="0.25">
      <c r="A28" s="513" t="s">
        <v>62</v>
      </c>
      <c r="B28" s="603" t="s">
        <v>63</v>
      </c>
      <c r="C28" s="603" t="s">
        <v>267</v>
      </c>
      <c r="D28" s="268"/>
      <c r="E28" s="268"/>
      <c r="F28" s="268">
        <v>24</v>
      </c>
      <c r="G28" s="268">
        <v>169</v>
      </c>
      <c r="H28" s="268">
        <v>143</v>
      </c>
      <c r="I28" s="268">
        <v>154</v>
      </c>
      <c r="J28" s="268">
        <v>170</v>
      </c>
      <c r="K28" s="268">
        <v>149</v>
      </c>
      <c r="L28" s="268">
        <v>95</v>
      </c>
      <c r="M28" s="268">
        <v>133</v>
      </c>
      <c r="N28" s="268">
        <v>115</v>
      </c>
      <c r="O28" s="268">
        <v>128</v>
      </c>
      <c r="P28" s="268">
        <v>120</v>
      </c>
      <c r="Q28" s="268">
        <v>163</v>
      </c>
      <c r="R28" s="268">
        <v>159</v>
      </c>
      <c r="S28" s="268">
        <v>155</v>
      </c>
      <c r="T28" s="268">
        <v>123</v>
      </c>
      <c r="U28" s="268">
        <v>118</v>
      </c>
      <c r="V28" s="268">
        <f>SUM(D28:O28)</f>
        <v>1280</v>
      </c>
      <c r="W28" s="268">
        <f>SUM(J28:U28)</f>
        <v>1628</v>
      </c>
    </row>
    <row r="29" spans="1:23" x14ac:dyDescent="0.25">
      <c r="A29" s="513" t="s">
        <v>64</v>
      </c>
      <c r="B29" s="603" t="s">
        <v>65</v>
      </c>
      <c r="C29" s="603" t="s">
        <v>266</v>
      </c>
      <c r="D29" s="268"/>
      <c r="E29" s="268"/>
      <c r="F29" s="268">
        <v>5</v>
      </c>
      <c r="G29" s="268">
        <v>53</v>
      </c>
      <c r="H29" s="268">
        <v>48</v>
      </c>
      <c r="I29" s="268">
        <v>47</v>
      </c>
      <c r="J29" s="268">
        <v>31</v>
      </c>
      <c r="K29" s="268">
        <v>46</v>
      </c>
      <c r="L29" s="268">
        <v>36</v>
      </c>
      <c r="M29" s="268">
        <v>37</v>
      </c>
      <c r="N29" s="268">
        <v>37</v>
      </c>
      <c r="O29" s="268">
        <v>33</v>
      </c>
      <c r="P29" s="268">
        <v>34</v>
      </c>
      <c r="Q29" s="268">
        <v>50</v>
      </c>
      <c r="R29" s="268">
        <v>30</v>
      </c>
      <c r="S29" s="268">
        <v>42</v>
      </c>
      <c r="T29" s="268">
        <v>35</v>
      </c>
      <c r="U29" s="268">
        <v>37</v>
      </c>
      <c r="V29" s="268">
        <f>SUM(D29:O29)</f>
        <v>373</v>
      </c>
      <c r="W29" s="268">
        <f>SUM(J29:U29)</f>
        <v>448</v>
      </c>
    </row>
    <row r="30" spans="1:23" x14ac:dyDescent="0.25">
      <c r="A30" s="513" t="s">
        <v>68</v>
      </c>
      <c r="B30" s="603" t="s">
        <v>69</v>
      </c>
      <c r="C30" s="603" t="s">
        <v>268</v>
      </c>
      <c r="D30" s="268"/>
      <c r="E30" s="268"/>
      <c r="F30" s="268"/>
      <c r="G30" s="268">
        <v>69</v>
      </c>
      <c r="H30" s="268">
        <v>74</v>
      </c>
      <c r="I30" s="268">
        <v>55</v>
      </c>
      <c r="J30" s="268">
        <v>60</v>
      </c>
      <c r="K30" s="268">
        <v>52</v>
      </c>
      <c r="L30" s="268">
        <v>63</v>
      </c>
      <c r="M30" s="268">
        <v>56</v>
      </c>
      <c r="N30" s="268">
        <v>55</v>
      </c>
      <c r="O30" s="268">
        <v>55</v>
      </c>
      <c r="P30" s="268">
        <v>52</v>
      </c>
      <c r="Q30" s="268">
        <v>60</v>
      </c>
      <c r="R30" s="268">
        <v>52</v>
      </c>
      <c r="S30" s="268">
        <v>64</v>
      </c>
      <c r="T30" s="268">
        <v>50</v>
      </c>
      <c r="U30" s="268">
        <v>55</v>
      </c>
      <c r="V30" s="268">
        <f>SUM(D30:O30)</f>
        <v>539</v>
      </c>
      <c r="W30" s="268">
        <f>SUM(J30:U30)</f>
        <v>674</v>
      </c>
    </row>
    <row r="31" spans="1:23" x14ac:dyDescent="0.25">
      <c r="A31" s="513" t="s">
        <v>70</v>
      </c>
      <c r="B31" s="603" t="s">
        <v>71</v>
      </c>
      <c r="C31" s="603" t="s">
        <v>264</v>
      </c>
      <c r="D31" s="268"/>
      <c r="E31" s="268"/>
      <c r="F31" s="268"/>
      <c r="G31" s="268">
        <v>112</v>
      </c>
      <c r="H31" s="268">
        <v>103</v>
      </c>
      <c r="I31" s="268">
        <v>73</v>
      </c>
      <c r="J31" s="268">
        <v>104</v>
      </c>
      <c r="K31" s="268">
        <v>102</v>
      </c>
      <c r="L31" s="268">
        <v>95</v>
      </c>
      <c r="M31" s="268">
        <v>89</v>
      </c>
      <c r="N31" s="268">
        <v>85</v>
      </c>
      <c r="O31" s="268">
        <v>106</v>
      </c>
      <c r="P31" s="268">
        <v>84</v>
      </c>
      <c r="Q31" s="268">
        <v>124</v>
      </c>
      <c r="R31" s="268">
        <v>88</v>
      </c>
      <c r="S31" s="268">
        <v>107</v>
      </c>
      <c r="T31" s="268">
        <v>101</v>
      </c>
      <c r="U31" s="268">
        <v>80</v>
      </c>
      <c r="V31" s="268">
        <f>SUM(D31:O31)</f>
        <v>869</v>
      </c>
      <c r="W31" s="268">
        <f>SUM(J31:U31)</f>
        <v>1165</v>
      </c>
    </row>
    <row r="32" spans="1:23" x14ac:dyDescent="0.25">
      <c r="A32" s="513" t="s">
        <v>72</v>
      </c>
      <c r="B32" s="603" t="s">
        <v>73</v>
      </c>
      <c r="C32" s="603" t="s">
        <v>266</v>
      </c>
      <c r="D32" s="268"/>
      <c r="E32" s="268"/>
      <c r="F32" s="268">
        <v>1</v>
      </c>
      <c r="G32" s="268">
        <v>46</v>
      </c>
      <c r="H32" s="268">
        <v>43</v>
      </c>
      <c r="I32" s="268">
        <v>42</v>
      </c>
      <c r="J32" s="268">
        <v>63</v>
      </c>
      <c r="K32" s="268">
        <v>35</v>
      </c>
      <c r="L32" s="268">
        <v>36</v>
      </c>
      <c r="M32" s="268">
        <v>32</v>
      </c>
      <c r="N32" s="268">
        <v>39</v>
      </c>
      <c r="O32" s="268">
        <v>43</v>
      </c>
      <c r="P32" s="268">
        <v>38</v>
      </c>
      <c r="Q32" s="268">
        <v>55</v>
      </c>
      <c r="R32" s="268">
        <v>27</v>
      </c>
      <c r="S32" s="268">
        <v>48</v>
      </c>
      <c r="T32" s="268">
        <v>44</v>
      </c>
      <c r="U32" s="268">
        <v>27</v>
      </c>
      <c r="V32" s="268">
        <f>SUM(D32:O32)</f>
        <v>380</v>
      </c>
      <c r="W32" s="268">
        <f>SUM(J32:U32)</f>
        <v>487</v>
      </c>
    </row>
    <row r="33" spans="1:23" x14ac:dyDescent="0.25">
      <c r="A33" s="513" t="s">
        <v>74</v>
      </c>
      <c r="B33" s="603" t="s">
        <v>296</v>
      </c>
      <c r="C33" s="603" t="s">
        <v>267</v>
      </c>
      <c r="D33" s="268"/>
      <c r="E33" s="268"/>
      <c r="F33" s="268">
        <v>52</v>
      </c>
      <c r="G33" s="268">
        <v>2186</v>
      </c>
      <c r="H33" s="268">
        <v>1859</v>
      </c>
      <c r="I33" s="268">
        <v>1851</v>
      </c>
      <c r="J33" s="268">
        <v>2218</v>
      </c>
      <c r="K33" s="268">
        <v>1499</v>
      </c>
      <c r="L33" s="268">
        <v>1623</v>
      </c>
      <c r="M33" s="268">
        <v>1503</v>
      </c>
      <c r="N33" s="268">
        <v>1681</v>
      </c>
      <c r="O33" s="268">
        <v>1811</v>
      </c>
      <c r="P33" s="268">
        <v>1708</v>
      </c>
      <c r="Q33" s="268">
        <v>2020</v>
      </c>
      <c r="R33" s="268">
        <v>1796</v>
      </c>
      <c r="S33" s="268">
        <v>1812</v>
      </c>
      <c r="T33" s="268">
        <v>1691</v>
      </c>
      <c r="U33" s="268">
        <v>1510</v>
      </c>
      <c r="V33" s="268">
        <f>SUM(D33:O33)</f>
        <v>16283</v>
      </c>
      <c r="W33" s="268">
        <f>SUM(J33:U33)</f>
        <v>20872</v>
      </c>
    </row>
    <row r="34" spans="1:23" x14ac:dyDescent="0.25">
      <c r="A34" s="513" t="s">
        <v>76</v>
      </c>
      <c r="B34" s="603" t="s">
        <v>77</v>
      </c>
      <c r="C34" s="603" t="s">
        <v>267</v>
      </c>
      <c r="D34" s="268"/>
      <c r="E34" s="268"/>
      <c r="F34" s="268">
        <v>3</v>
      </c>
      <c r="G34" s="268">
        <v>140</v>
      </c>
      <c r="H34" s="268">
        <v>118</v>
      </c>
      <c r="I34" s="268">
        <v>89</v>
      </c>
      <c r="J34" s="268">
        <v>118</v>
      </c>
      <c r="K34" s="268">
        <v>99</v>
      </c>
      <c r="L34" s="268">
        <v>85</v>
      </c>
      <c r="M34" s="268">
        <v>87</v>
      </c>
      <c r="N34" s="268">
        <v>109</v>
      </c>
      <c r="O34" s="268">
        <v>89</v>
      </c>
      <c r="P34" s="268">
        <v>94</v>
      </c>
      <c r="Q34" s="268">
        <v>129</v>
      </c>
      <c r="R34" s="268">
        <v>92</v>
      </c>
      <c r="S34" s="268">
        <v>120</v>
      </c>
      <c r="T34" s="268">
        <v>123</v>
      </c>
      <c r="U34" s="268">
        <v>89</v>
      </c>
      <c r="V34" s="268">
        <f>SUM(D34:O34)</f>
        <v>937</v>
      </c>
      <c r="W34" s="268">
        <f>SUM(J34:U34)</f>
        <v>1234</v>
      </c>
    </row>
    <row r="35" spans="1:23" x14ac:dyDescent="0.25">
      <c r="A35" s="513" t="s">
        <v>78</v>
      </c>
      <c r="B35" s="603" t="s">
        <v>79</v>
      </c>
      <c r="C35" s="603" t="s">
        <v>268</v>
      </c>
      <c r="D35" s="268"/>
      <c r="E35" s="268"/>
      <c r="F35" s="268"/>
      <c r="G35" s="268">
        <v>53</v>
      </c>
      <c r="H35" s="268">
        <v>39</v>
      </c>
      <c r="I35" s="268">
        <v>35</v>
      </c>
      <c r="J35" s="268">
        <v>44</v>
      </c>
      <c r="K35" s="268">
        <v>54</v>
      </c>
      <c r="L35" s="268">
        <v>56</v>
      </c>
      <c r="M35" s="268">
        <v>43</v>
      </c>
      <c r="N35" s="268">
        <v>58</v>
      </c>
      <c r="O35" s="268">
        <v>48</v>
      </c>
      <c r="P35" s="268">
        <v>70</v>
      </c>
      <c r="Q35" s="268">
        <v>55</v>
      </c>
      <c r="R35" s="268">
        <v>49</v>
      </c>
      <c r="S35" s="268">
        <v>41</v>
      </c>
      <c r="T35" s="268">
        <v>62</v>
      </c>
      <c r="U35" s="268">
        <v>34</v>
      </c>
      <c r="V35" s="268">
        <f>SUM(D35:O35)</f>
        <v>430</v>
      </c>
      <c r="W35" s="268">
        <f>SUM(J35:U35)</f>
        <v>614</v>
      </c>
    </row>
    <row r="36" spans="1:23" x14ac:dyDescent="0.25">
      <c r="A36" s="513" t="s">
        <v>80</v>
      </c>
      <c r="B36" s="603" t="s">
        <v>81</v>
      </c>
      <c r="C36" s="603" t="s">
        <v>266</v>
      </c>
      <c r="D36" s="268"/>
      <c r="E36" s="268"/>
      <c r="F36" s="268"/>
      <c r="G36" s="268">
        <v>49</v>
      </c>
      <c r="H36" s="268">
        <v>45</v>
      </c>
      <c r="I36" s="268">
        <v>37</v>
      </c>
      <c r="J36" s="268">
        <v>58</v>
      </c>
      <c r="K36" s="268">
        <v>48</v>
      </c>
      <c r="L36" s="268">
        <v>50</v>
      </c>
      <c r="M36" s="268">
        <v>38</v>
      </c>
      <c r="N36" s="268">
        <v>43</v>
      </c>
      <c r="O36" s="268">
        <v>54</v>
      </c>
      <c r="P36" s="268">
        <v>41</v>
      </c>
      <c r="Q36" s="268">
        <v>56</v>
      </c>
      <c r="R36" s="268">
        <v>46</v>
      </c>
      <c r="S36" s="268">
        <v>60</v>
      </c>
      <c r="T36" s="268">
        <v>45</v>
      </c>
      <c r="U36" s="268">
        <v>38</v>
      </c>
      <c r="V36" s="268">
        <f>SUM(D36:O36)</f>
        <v>422</v>
      </c>
      <c r="W36" s="268">
        <f>SUM(J36:U36)</f>
        <v>577</v>
      </c>
    </row>
    <row r="37" spans="1:23" x14ac:dyDescent="0.25">
      <c r="A37" s="513" t="s">
        <v>84</v>
      </c>
      <c r="B37" s="603" t="s">
        <v>85</v>
      </c>
      <c r="C37" s="603" t="s">
        <v>265</v>
      </c>
      <c r="D37" s="268"/>
      <c r="E37" s="268"/>
      <c r="F37" s="268"/>
      <c r="G37" s="268">
        <v>177</v>
      </c>
      <c r="H37" s="268">
        <v>161</v>
      </c>
      <c r="I37" s="268">
        <v>132</v>
      </c>
      <c r="J37" s="268">
        <v>182</v>
      </c>
      <c r="K37" s="268">
        <v>166</v>
      </c>
      <c r="L37" s="268">
        <v>149</v>
      </c>
      <c r="M37" s="268">
        <v>132</v>
      </c>
      <c r="N37" s="268">
        <v>151</v>
      </c>
      <c r="O37" s="268">
        <v>167</v>
      </c>
      <c r="P37" s="268">
        <v>152</v>
      </c>
      <c r="Q37" s="268">
        <v>186</v>
      </c>
      <c r="R37" s="268">
        <v>149</v>
      </c>
      <c r="S37" s="268">
        <v>162</v>
      </c>
      <c r="T37" s="268">
        <v>155</v>
      </c>
      <c r="U37" s="268">
        <v>132</v>
      </c>
      <c r="V37" s="268">
        <f>SUM(D37:O37)</f>
        <v>1417</v>
      </c>
      <c r="W37" s="268">
        <f>SUM(J37:U37)</f>
        <v>1883</v>
      </c>
    </row>
    <row r="38" spans="1:23" x14ac:dyDescent="0.25">
      <c r="A38" s="513" t="s">
        <v>86</v>
      </c>
      <c r="B38" s="603" t="s">
        <v>87</v>
      </c>
      <c r="C38" s="603" t="s">
        <v>267</v>
      </c>
      <c r="D38" s="268"/>
      <c r="E38" s="268"/>
      <c r="F38" s="268">
        <v>1</v>
      </c>
      <c r="G38" s="268">
        <v>192</v>
      </c>
      <c r="H38" s="268">
        <v>172</v>
      </c>
      <c r="I38" s="268">
        <v>148</v>
      </c>
      <c r="J38" s="268">
        <v>218</v>
      </c>
      <c r="K38" s="268">
        <v>152</v>
      </c>
      <c r="L38" s="268">
        <v>178</v>
      </c>
      <c r="M38" s="268">
        <v>163</v>
      </c>
      <c r="N38" s="268">
        <v>154</v>
      </c>
      <c r="O38" s="268">
        <v>183</v>
      </c>
      <c r="P38" s="268">
        <v>155</v>
      </c>
      <c r="Q38" s="268">
        <v>229</v>
      </c>
      <c r="R38" s="268">
        <v>173</v>
      </c>
      <c r="S38" s="268">
        <v>179</v>
      </c>
      <c r="T38" s="268">
        <v>169</v>
      </c>
      <c r="U38" s="268">
        <v>136</v>
      </c>
      <c r="V38" s="268">
        <f>SUM(D38:O38)</f>
        <v>1561</v>
      </c>
      <c r="W38" s="268">
        <f>SUM(J38:U38)</f>
        <v>2089</v>
      </c>
    </row>
    <row r="39" spans="1:23" x14ac:dyDescent="0.25">
      <c r="A39" s="513" t="s">
        <v>92</v>
      </c>
      <c r="B39" s="603" t="s">
        <v>93</v>
      </c>
      <c r="C39" s="603" t="s">
        <v>268</v>
      </c>
      <c r="D39" s="268"/>
      <c r="E39" s="268"/>
      <c r="F39" s="268"/>
      <c r="G39" s="268">
        <v>77</v>
      </c>
      <c r="H39" s="268">
        <v>58</v>
      </c>
      <c r="I39" s="268">
        <v>34</v>
      </c>
      <c r="J39" s="268">
        <v>57</v>
      </c>
      <c r="K39" s="268">
        <v>69</v>
      </c>
      <c r="L39" s="268">
        <v>45</v>
      </c>
      <c r="M39" s="268">
        <v>54</v>
      </c>
      <c r="N39" s="268">
        <v>59</v>
      </c>
      <c r="O39" s="268">
        <v>54</v>
      </c>
      <c r="P39" s="268">
        <v>50</v>
      </c>
      <c r="Q39" s="268">
        <v>53</v>
      </c>
      <c r="R39" s="268">
        <v>46</v>
      </c>
      <c r="S39" s="268">
        <v>63</v>
      </c>
      <c r="T39" s="268">
        <v>56</v>
      </c>
      <c r="U39" s="268">
        <v>38</v>
      </c>
      <c r="V39" s="268">
        <f>SUM(D39:O39)</f>
        <v>507</v>
      </c>
      <c r="W39" s="268">
        <f>SUM(J39:U39)</f>
        <v>644</v>
      </c>
    </row>
    <row r="40" spans="1:23" x14ac:dyDescent="0.25">
      <c r="A40" s="513" t="s">
        <v>94</v>
      </c>
      <c r="B40" s="603" t="s">
        <v>95</v>
      </c>
      <c r="C40" s="603" t="s">
        <v>264</v>
      </c>
      <c r="D40" s="268"/>
      <c r="E40" s="268"/>
      <c r="F40" s="268">
        <v>33</v>
      </c>
      <c r="G40" s="268">
        <v>130</v>
      </c>
      <c r="H40" s="268">
        <v>92</v>
      </c>
      <c r="I40" s="268">
        <v>91</v>
      </c>
      <c r="J40" s="268">
        <v>103</v>
      </c>
      <c r="K40" s="268">
        <v>113</v>
      </c>
      <c r="L40" s="268">
        <v>101</v>
      </c>
      <c r="M40" s="268">
        <v>86</v>
      </c>
      <c r="N40" s="268">
        <v>90</v>
      </c>
      <c r="O40" s="268">
        <v>100</v>
      </c>
      <c r="P40" s="268">
        <v>89</v>
      </c>
      <c r="Q40" s="268">
        <v>85</v>
      </c>
      <c r="R40" s="268">
        <v>115</v>
      </c>
      <c r="S40" s="268">
        <v>116</v>
      </c>
      <c r="T40" s="268">
        <v>90</v>
      </c>
      <c r="U40" s="268">
        <v>74</v>
      </c>
      <c r="V40" s="268">
        <f>SUM(D40:O40)</f>
        <v>939</v>
      </c>
      <c r="W40" s="268">
        <f>SUM(J40:U40)</f>
        <v>1162</v>
      </c>
    </row>
    <row r="41" spans="1:23" x14ac:dyDescent="0.25">
      <c r="A41" s="513" t="s">
        <v>96</v>
      </c>
      <c r="B41" s="603" t="s">
        <v>97</v>
      </c>
      <c r="C41" s="603" t="s">
        <v>266</v>
      </c>
      <c r="D41" s="268"/>
      <c r="E41" s="268"/>
      <c r="F41" s="268"/>
      <c r="G41" s="268">
        <v>29</v>
      </c>
      <c r="H41" s="268">
        <v>33</v>
      </c>
      <c r="I41" s="268">
        <v>24</v>
      </c>
      <c r="J41" s="268">
        <v>20</v>
      </c>
      <c r="K41" s="268">
        <v>24</v>
      </c>
      <c r="L41" s="268">
        <v>26</v>
      </c>
      <c r="M41" s="268">
        <v>16</v>
      </c>
      <c r="N41" s="268">
        <v>30</v>
      </c>
      <c r="O41" s="268">
        <v>27</v>
      </c>
      <c r="P41" s="268">
        <v>30</v>
      </c>
      <c r="Q41" s="268">
        <v>26</v>
      </c>
      <c r="R41" s="268">
        <v>36</v>
      </c>
      <c r="S41" s="268">
        <v>28</v>
      </c>
      <c r="T41" s="268">
        <v>34</v>
      </c>
      <c r="U41" s="268">
        <v>21</v>
      </c>
      <c r="V41" s="268">
        <f>SUM(D41:O41)</f>
        <v>229</v>
      </c>
      <c r="W41" s="268">
        <f>SUM(J41:U41)</f>
        <v>318</v>
      </c>
    </row>
    <row r="42" spans="1:23" x14ac:dyDescent="0.25">
      <c r="A42" s="513" t="s">
        <v>98</v>
      </c>
      <c r="B42" s="603" t="s">
        <v>99</v>
      </c>
      <c r="C42" s="603" t="s">
        <v>268</v>
      </c>
      <c r="D42" s="268"/>
      <c r="E42" s="268"/>
      <c r="F42" s="268"/>
      <c r="G42" s="268">
        <v>64</v>
      </c>
      <c r="H42" s="268">
        <v>48</v>
      </c>
      <c r="I42" s="268">
        <v>42</v>
      </c>
      <c r="J42" s="268">
        <v>53</v>
      </c>
      <c r="K42" s="268">
        <v>43</v>
      </c>
      <c r="L42" s="268">
        <v>26</v>
      </c>
      <c r="M42" s="268">
        <v>52</v>
      </c>
      <c r="N42" s="268">
        <v>43</v>
      </c>
      <c r="O42" s="268">
        <v>47</v>
      </c>
      <c r="P42" s="268">
        <v>65</v>
      </c>
      <c r="Q42" s="268">
        <v>61</v>
      </c>
      <c r="R42" s="268">
        <v>37</v>
      </c>
      <c r="S42" s="268">
        <v>52</v>
      </c>
      <c r="T42" s="268">
        <v>42</v>
      </c>
      <c r="U42" s="268">
        <v>40</v>
      </c>
      <c r="V42" s="268">
        <f>SUM(D42:O42)</f>
        <v>418</v>
      </c>
      <c r="W42" s="268">
        <f>SUM(J42:U42)</f>
        <v>561</v>
      </c>
    </row>
    <row r="43" spans="1:23" x14ac:dyDescent="0.25">
      <c r="A43" s="513" t="s">
        <v>100</v>
      </c>
      <c r="B43" s="603" t="s">
        <v>101</v>
      </c>
      <c r="C43" s="603" t="s">
        <v>267</v>
      </c>
      <c r="D43" s="268"/>
      <c r="E43" s="268"/>
      <c r="F43" s="268">
        <v>1</v>
      </c>
      <c r="G43" s="268">
        <v>40</v>
      </c>
      <c r="H43" s="268">
        <v>37</v>
      </c>
      <c r="I43" s="268">
        <v>37</v>
      </c>
      <c r="J43" s="268">
        <v>48</v>
      </c>
      <c r="K43" s="268">
        <v>33</v>
      </c>
      <c r="L43" s="268">
        <v>36</v>
      </c>
      <c r="M43" s="268">
        <v>29</v>
      </c>
      <c r="N43" s="268">
        <v>45</v>
      </c>
      <c r="O43" s="268">
        <v>38</v>
      </c>
      <c r="P43" s="268">
        <v>37</v>
      </c>
      <c r="Q43" s="268">
        <v>48</v>
      </c>
      <c r="R43" s="268">
        <v>42</v>
      </c>
      <c r="S43" s="268">
        <v>38</v>
      </c>
      <c r="T43" s="268">
        <v>38</v>
      </c>
      <c r="U43" s="268">
        <v>19</v>
      </c>
      <c r="V43" s="268">
        <f>SUM(D43:O43)</f>
        <v>344</v>
      </c>
      <c r="W43" s="268">
        <f>SUM(J43:U43)</f>
        <v>451</v>
      </c>
    </row>
    <row r="44" spans="1:23" x14ac:dyDescent="0.25">
      <c r="A44" s="513" t="s">
        <v>102</v>
      </c>
      <c r="B44" s="603" t="s">
        <v>282</v>
      </c>
      <c r="C44" s="603" t="s">
        <v>264</v>
      </c>
      <c r="D44" s="268"/>
      <c r="E44" s="268"/>
      <c r="F44" s="268">
        <v>1</v>
      </c>
      <c r="G44" s="268">
        <v>98</v>
      </c>
      <c r="H44" s="268">
        <v>77</v>
      </c>
      <c r="I44" s="268">
        <v>62</v>
      </c>
      <c r="J44" s="268">
        <v>83</v>
      </c>
      <c r="K44" s="268">
        <v>63</v>
      </c>
      <c r="L44" s="268">
        <v>81</v>
      </c>
      <c r="M44" s="268">
        <v>63</v>
      </c>
      <c r="N44" s="268">
        <v>85</v>
      </c>
      <c r="O44" s="268">
        <v>85</v>
      </c>
      <c r="P44" s="268">
        <v>71</v>
      </c>
      <c r="Q44" s="268">
        <v>78</v>
      </c>
      <c r="R44" s="268">
        <v>77</v>
      </c>
      <c r="S44" s="268">
        <v>84</v>
      </c>
      <c r="T44" s="268">
        <v>90</v>
      </c>
      <c r="U44" s="268">
        <v>77</v>
      </c>
      <c r="V44" s="268">
        <f>SUM(D44:O44)</f>
        <v>698</v>
      </c>
      <c r="W44" s="268">
        <f>SUM(J44:U44)</f>
        <v>937</v>
      </c>
    </row>
    <row r="45" spans="1:23" x14ac:dyDescent="0.25">
      <c r="A45" s="513" t="s">
        <v>104</v>
      </c>
      <c r="B45" s="603" t="s">
        <v>105</v>
      </c>
      <c r="C45" s="603" t="s">
        <v>265</v>
      </c>
      <c r="D45" s="268">
        <v>119</v>
      </c>
      <c r="E45" s="268">
        <v>132</v>
      </c>
      <c r="F45" s="268">
        <v>114</v>
      </c>
      <c r="G45" s="268">
        <v>157</v>
      </c>
      <c r="H45" s="268">
        <v>99</v>
      </c>
      <c r="I45" s="268">
        <v>116</v>
      </c>
      <c r="J45" s="268">
        <v>148</v>
      </c>
      <c r="K45" s="268">
        <v>116</v>
      </c>
      <c r="L45" s="268">
        <v>100</v>
      </c>
      <c r="M45" s="268">
        <v>111</v>
      </c>
      <c r="N45" s="268">
        <v>123</v>
      </c>
      <c r="O45" s="268">
        <v>124</v>
      </c>
      <c r="P45" s="268">
        <v>118</v>
      </c>
      <c r="Q45" s="268">
        <v>142</v>
      </c>
      <c r="R45" s="268">
        <v>138</v>
      </c>
      <c r="S45" s="268">
        <v>124</v>
      </c>
      <c r="T45" s="268">
        <v>110</v>
      </c>
      <c r="U45" s="268">
        <v>103</v>
      </c>
      <c r="V45" s="268">
        <f>SUM(D45:O45)</f>
        <v>1459</v>
      </c>
      <c r="W45" s="268">
        <f>SUM(J45:U45)</f>
        <v>1457</v>
      </c>
    </row>
    <row r="46" spans="1:23" x14ac:dyDescent="0.25">
      <c r="A46" s="513" t="s">
        <v>108</v>
      </c>
      <c r="B46" s="603" t="s">
        <v>109</v>
      </c>
      <c r="C46" s="603" t="s">
        <v>266</v>
      </c>
      <c r="D46" s="268"/>
      <c r="E46" s="268"/>
      <c r="F46" s="268">
        <v>8</v>
      </c>
      <c r="G46" s="268">
        <v>179</v>
      </c>
      <c r="H46" s="268">
        <v>146</v>
      </c>
      <c r="I46" s="268">
        <v>121</v>
      </c>
      <c r="J46" s="268">
        <v>203</v>
      </c>
      <c r="K46" s="268">
        <v>155</v>
      </c>
      <c r="L46" s="268">
        <v>165</v>
      </c>
      <c r="M46" s="268">
        <v>125</v>
      </c>
      <c r="N46" s="268">
        <v>118</v>
      </c>
      <c r="O46" s="268">
        <v>142</v>
      </c>
      <c r="P46" s="268">
        <v>146</v>
      </c>
      <c r="Q46" s="268">
        <v>182</v>
      </c>
      <c r="R46" s="268">
        <v>154</v>
      </c>
      <c r="S46" s="268">
        <v>142</v>
      </c>
      <c r="T46" s="268">
        <v>143</v>
      </c>
      <c r="U46" s="268">
        <v>135</v>
      </c>
      <c r="V46" s="268">
        <f>SUM(D46:O46)</f>
        <v>1362</v>
      </c>
      <c r="W46" s="268">
        <f>SUM(J46:U46)</f>
        <v>1810</v>
      </c>
    </row>
    <row r="47" spans="1:23" x14ac:dyDescent="0.25">
      <c r="A47" s="513" t="s">
        <v>110</v>
      </c>
      <c r="B47" s="603" t="s">
        <v>111</v>
      </c>
      <c r="C47" s="603" t="s">
        <v>266</v>
      </c>
      <c r="D47" s="268"/>
      <c r="E47" s="268">
        <v>1</v>
      </c>
      <c r="F47" s="268">
        <v>24</v>
      </c>
      <c r="G47" s="268">
        <v>1080</v>
      </c>
      <c r="H47" s="268">
        <v>979</v>
      </c>
      <c r="I47" s="268">
        <v>811</v>
      </c>
      <c r="J47" s="268">
        <v>1089</v>
      </c>
      <c r="K47" s="268">
        <v>874</v>
      </c>
      <c r="L47" s="268">
        <v>922</v>
      </c>
      <c r="M47" s="268">
        <v>792</v>
      </c>
      <c r="N47" s="268">
        <v>1000</v>
      </c>
      <c r="O47" s="268">
        <v>994</v>
      </c>
      <c r="P47" s="268">
        <v>1030</v>
      </c>
      <c r="Q47" s="268">
        <v>1059</v>
      </c>
      <c r="R47" s="268">
        <v>1033</v>
      </c>
      <c r="S47" s="268">
        <v>1139</v>
      </c>
      <c r="T47" s="268">
        <v>963</v>
      </c>
      <c r="U47" s="268">
        <v>837</v>
      </c>
      <c r="V47" s="268">
        <f>SUM(D47:O47)</f>
        <v>8566</v>
      </c>
      <c r="W47" s="268">
        <f>SUM(J47:U47)</f>
        <v>11732</v>
      </c>
    </row>
    <row r="48" spans="1:23" x14ac:dyDescent="0.25">
      <c r="A48" s="513" t="s">
        <v>112</v>
      </c>
      <c r="B48" s="603" t="s">
        <v>300</v>
      </c>
      <c r="C48" s="603" t="s">
        <v>265</v>
      </c>
      <c r="D48" s="268">
        <v>275</v>
      </c>
      <c r="E48" s="268">
        <v>274</v>
      </c>
      <c r="F48" s="268">
        <v>262</v>
      </c>
      <c r="G48" s="268">
        <v>321</v>
      </c>
      <c r="H48" s="268">
        <v>305</v>
      </c>
      <c r="I48" s="268">
        <v>247</v>
      </c>
      <c r="J48" s="268">
        <v>338</v>
      </c>
      <c r="K48" s="268">
        <v>246</v>
      </c>
      <c r="L48" s="268">
        <v>272</v>
      </c>
      <c r="M48" s="268">
        <v>238</v>
      </c>
      <c r="N48" s="268">
        <v>299</v>
      </c>
      <c r="O48" s="268">
        <v>265</v>
      </c>
      <c r="P48" s="268">
        <v>292</v>
      </c>
      <c r="Q48" s="268">
        <v>315</v>
      </c>
      <c r="R48" s="268">
        <v>290</v>
      </c>
      <c r="S48" s="268">
        <v>305</v>
      </c>
      <c r="T48" s="268">
        <v>323</v>
      </c>
      <c r="U48" s="268">
        <v>261</v>
      </c>
      <c r="V48" s="268">
        <f>SUM(D48:O48)</f>
        <v>3342</v>
      </c>
      <c r="W48" s="268">
        <f>SUM(J48:U48)</f>
        <v>3444</v>
      </c>
    </row>
    <row r="49" spans="1:23" x14ac:dyDescent="0.25">
      <c r="A49" s="513" t="s">
        <v>114</v>
      </c>
      <c r="B49" s="603" t="s">
        <v>115</v>
      </c>
      <c r="C49" s="603" t="s">
        <v>265</v>
      </c>
      <c r="D49" s="268"/>
      <c r="E49" s="268"/>
      <c r="F49" s="268"/>
      <c r="G49" s="268">
        <v>4</v>
      </c>
      <c r="H49" s="268">
        <v>5</v>
      </c>
      <c r="I49" s="268">
        <v>2</v>
      </c>
      <c r="J49" s="268">
        <v>3</v>
      </c>
      <c r="K49" s="268">
        <v>3</v>
      </c>
      <c r="L49" s="268"/>
      <c r="M49" s="268">
        <v>1</v>
      </c>
      <c r="N49" s="268">
        <v>5</v>
      </c>
      <c r="O49" s="268">
        <v>3</v>
      </c>
      <c r="P49" s="268">
        <v>4</v>
      </c>
      <c r="Q49" s="268">
        <v>5</v>
      </c>
      <c r="R49" s="268">
        <v>3</v>
      </c>
      <c r="S49" s="268">
        <v>4</v>
      </c>
      <c r="T49" s="268">
        <v>1</v>
      </c>
      <c r="U49" s="268">
        <v>6</v>
      </c>
      <c r="V49" s="268">
        <f>SUM(D49:O49)</f>
        <v>26</v>
      </c>
      <c r="W49" s="268">
        <f>SUM(J49:U49)</f>
        <v>38</v>
      </c>
    </row>
    <row r="50" spans="1:23" x14ac:dyDescent="0.25">
      <c r="A50" s="513" t="s">
        <v>118</v>
      </c>
      <c r="B50" s="603" t="s">
        <v>270</v>
      </c>
      <c r="C50" s="603" t="s">
        <v>264</v>
      </c>
      <c r="D50" s="268">
        <v>1</v>
      </c>
      <c r="E50" s="268">
        <v>1</v>
      </c>
      <c r="F50" s="268">
        <v>3</v>
      </c>
      <c r="G50" s="268">
        <v>102</v>
      </c>
      <c r="H50" s="268">
        <v>83</v>
      </c>
      <c r="I50" s="268">
        <v>104</v>
      </c>
      <c r="J50" s="268">
        <v>93</v>
      </c>
      <c r="K50" s="268">
        <v>99</v>
      </c>
      <c r="L50" s="268">
        <v>96</v>
      </c>
      <c r="M50" s="268">
        <v>61</v>
      </c>
      <c r="N50" s="268">
        <v>86</v>
      </c>
      <c r="O50" s="268">
        <v>93</v>
      </c>
      <c r="P50" s="268">
        <v>94</v>
      </c>
      <c r="Q50" s="268">
        <v>108</v>
      </c>
      <c r="R50" s="268">
        <v>110</v>
      </c>
      <c r="S50" s="268">
        <v>95</v>
      </c>
      <c r="T50" s="268">
        <v>83</v>
      </c>
      <c r="U50" s="268">
        <v>65</v>
      </c>
      <c r="V50" s="268">
        <f>SUM(D50:O50)</f>
        <v>822</v>
      </c>
      <c r="W50" s="268">
        <f>SUM(J50:U50)</f>
        <v>1083</v>
      </c>
    </row>
    <row r="51" spans="1:23" x14ac:dyDescent="0.25">
      <c r="A51" s="513" t="s">
        <v>120</v>
      </c>
      <c r="B51" s="603" t="s">
        <v>121</v>
      </c>
      <c r="C51" s="603" t="s">
        <v>264</v>
      </c>
      <c r="D51" s="268"/>
      <c r="E51" s="268"/>
      <c r="F51" s="268">
        <v>4</v>
      </c>
      <c r="G51" s="268">
        <v>144</v>
      </c>
      <c r="H51" s="268">
        <v>110</v>
      </c>
      <c r="I51" s="268">
        <v>118</v>
      </c>
      <c r="J51" s="268">
        <v>176</v>
      </c>
      <c r="K51" s="268">
        <v>156</v>
      </c>
      <c r="L51" s="268">
        <v>124</v>
      </c>
      <c r="M51" s="268">
        <v>102</v>
      </c>
      <c r="N51" s="268">
        <v>120</v>
      </c>
      <c r="O51" s="268">
        <v>126</v>
      </c>
      <c r="P51" s="268">
        <v>130</v>
      </c>
      <c r="Q51" s="268">
        <v>177</v>
      </c>
      <c r="R51" s="268">
        <v>135</v>
      </c>
      <c r="S51" s="268">
        <v>154</v>
      </c>
      <c r="T51" s="268">
        <v>121</v>
      </c>
      <c r="U51" s="268">
        <v>120</v>
      </c>
      <c r="V51" s="268">
        <f>SUM(D51:O51)</f>
        <v>1180</v>
      </c>
      <c r="W51" s="268">
        <f>SUM(J51:U51)</f>
        <v>1641</v>
      </c>
    </row>
    <row r="52" spans="1:23" x14ac:dyDescent="0.25">
      <c r="A52" s="513" t="s">
        <v>122</v>
      </c>
      <c r="B52" s="603" t="s">
        <v>287</v>
      </c>
      <c r="C52" s="603" t="s">
        <v>266</v>
      </c>
      <c r="D52" s="268"/>
      <c r="E52" s="268"/>
      <c r="F52" s="268">
        <v>1</v>
      </c>
      <c r="G52" s="268">
        <v>39</v>
      </c>
      <c r="H52" s="268">
        <v>14</v>
      </c>
      <c r="I52" s="268">
        <v>16</v>
      </c>
      <c r="J52" s="268">
        <v>26</v>
      </c>
      <c r="K52" s="268">
        <v>21</v>
      </c>
      <c r="L52" s="268">
        <v>23</v>
      </c>
      <c r="M52" s="268">
        <v>17</v>
      </c>
      <c r="N52" s="268">
        <v>17</v>
      </c>
      <c r="O52" s="268">
        <v>23</v>
      </c>
      <c r="P52" s="268">
        <v>34</v>
      </c>
      <c r="Q52" s="268">
        <v>32</v>
      </c>
      <c r="R52" s="268">
        <v>30</v>
      </c>
      <c r="S52" s="268">
        <v>37</v>
      </c>
      <c r="T52" s="268">
        <v>21</v>
      </c>
      <c r="U52" s="268">
        <v>16</v>
      </c>
      <c r="V52" s="268">
        <f>SUM(D52:O52)</f>
        <v>197</v>
      </c>
      <c r="W52" s="268">
        <f>SUM(J52:U52)</f>
        <v>297</v>
      </c>
    </row>
    <row r="53" spans="1:23" x14ac:dyDescent="0.25">
      <c r="A53" s="513" t="s">
        <v>124</v>
      </c>
      <c r="B53" s="603" t="s">
        <v>125</v>
      </c>
      <c r="C53" s="603" t="s">
        <v>267</v>
      </c>
      <c r="D53" s="268"/>
      <c r="E53" s="268"/>
      <c r="F53" s="268"/>
      <c r="G53" s="268">
        <v>73</v>
      </c>
      <c r="H53" s="268">
        <v>67</v>
      </c>
      <c r="I53" s="268">
        <v>49</v>
      </c>
      <c r="J53" s="268">
        <v>72</v>
      </c>
      <c r="K53" s="268">
        <v>52</v>
      </c>
      <c r="L53" s="268">
        <v>45</v>
      </c>
      <c r="M53" s="268">
        <v>45</v>
      </c>
      <c r="N53" s="268">
        <v>58</v>
      </c>
      <c r="O53" s="268">
        <v>59</v>
      </c>
      <c r="P53" s="268">
        <v>74</v>
      </c>
      <c r="Q53" s="268">
        <v>63</v>
      </c>
      <c r="R53" s="268">
        <v>47</v>
      </c>
      <c r="S53" s="268">
        <v>71</v>
      </c>
      <c r="T53" s="268">
        <v>63</v>
      </c>
      <c r="U53" s="268">
        <v>50</v>
      </c>
      <c r="V53" s="268">
        <f>SUM(D53:O53)</f>
        <v>520</v>
      </c>
      <c r="W53" s="268">
        <f>SUM(J53:U53)</f>
        <v>699</v>
      </c>
    </row>
    <row r="54" spans="1:23" x14ac:dyDescent="0.25">
      <c r="A54" s="513" t="s">
        <v>126</v>
      </c>
      <c r="B54" s="603" t="s">
        <v>127</v>
      </c>
      <c r="C54" s="603" t="s">
        <v>266</v>
      </c>
      <c r="D54" s="268"/>
      <c r="E54" s="268"/>
      <c r="F54" s="268">
        <v>3</v>
      </c>
      <c r="G54" s="268">
        <v>34</v>
      </c>
      <c r="H54" s="268">
        <v>36</v>
      </c>
      <c r="I54" s="268">
        <v>43</v>
      </c>
      <c r="J54" s="268">
        <v>47</v>
      </c>
      <c r="K54" s="268">
        <v>39</v>
      </c>
      <c r="L54" s="268">
        <v>34</v>
      </c>
      <c r="M54" s="268">
        <v>24</v>
      </c>
      <c r="N54" s="268">
        <v>26</v>
      </c>
      <c r="O54" s="268">
        <v>30</v>
      </c>
      <c r="P54" s="268">
        <v>26</v>
      </c>
      <c r="Q54" s="268">
        <v>53</v>
      </c>
      <c r="R54" s="268">
        <v>37</v>
      </c>
      <c r="S54" s="268">
        <v>44</v>
      </c>
      <c r="T54" s="268">
        <v>44</v>
      </c>
      <c r="U54" s="268">
        <v>23</v>
      </c>
      <c r="V54" s="268">
        <f>SUM(D54:O54)</f>
        <v>316</v>
      </c>
      <c r="W54" s="268">
        <f>SUM(J54:U54)</f>
        <v>427</v>
      </c>
    </row>
    <row r="55" spans="1:23" x14ac:dyDescent="0.25">
      <c r="A55" s="513" t="s">
        <v>128</v>
      </c>
      <c r="B55" s="603" t="s">
        <v>129</v>
      </c>
      <c r="C55" s="603" t="s">
        <v>266</v>
      </c>
      <c r="D55" s="268"/>
      <c r="E55" s="268"/>
      <c r="F55" s="268"/>
      <c r="G55" s="268">
        <v>28</v>
      </c>
      <c r="H55" s="268">
        <v>27</v>
      </c>
      <c r="I55" s="268">
        <v>31</v>
      </c>
      <c r="J55" s="268">
        <v>33</v>
      </c>
      <c r="K55" s="268">
        <v>25</v>
      </c>
      <c r="L55" s="268">
        <v>26</v>
      </c>
      <c r="M55" s="268">
        <v>28</v>
      </c>
      <c r="N55" s="268">
        <v>35</v>
      </c>
      <c r="O55" s="268">
        <v>30</v>
      </c>
      <c r="P55" s="268">
        <v>25</v>
      </c>
      <c r="Q55" s="268">
        <v>27</v>
      </c>
      <c r="R55" s="268">
        <v>19</v>
      </c>
      <c r="S55" s="268">
        <v>34</v>
      </c>
      <c r="T55" s="268">
        <v>34</v>
      </c>
      <c r="U55" s="268">
        <v>21</v>
      </c>
      <c r="V55" s="268">
        <f>SUM(D55:O55)</f>
        <v>263</v>
      </c>
      <c r="W55" s="268">
        <f>SUM(J55:U55)</f>
        <v>337</v>
      </c>
    </row>
    <row r="56" spans="1:23" x14ac:dyDescent="0.25">
      <c r="A56" s="513" t="s">
        <v>130</v>
      </c>
      <c r="B56" s="603" t="s">
        <v>131</v>
      </c>
      <c r="C56" s="603" t="s">
        <v>268</v>
      </c>
      <c r="D56" s="268"/>
      <c r="E56" s="268"/>
      <c r="F56" s="268">
        <v>10</v>
      </c>
      <c r="G56" s="268">
        <v>88</v>
      </c>
      <c r="H56" s="268">
        <v>103</v>
      </c>
      <c r="I56" s="268">
        <v>78</v>
      </c>
      <c r="J56" s="268">
        <v>96</v>
      </c>
      <c r="K56" s="268">
        <v>117</v>
      </c>
      <c r="L56" s="268">
        <v>80</v>
      </c>
      <c r="M56" s="268">
        <v>74</v>
      </c>
      <c r="N56" s="268">
        <v>103</v>
      </c>
      <c r="O56" s="268">
        <v>88</v>
      </c>
      <c r="P56" s="268">
        <v>99</v>
      </c>
      <c r="Q56" s="268">
        <v>89</v>
      </c>
      <c r="R56" s="268">
        <v>97</v>
      </c>
      <c r="S56" s="268">
        <v>92</v>
      </c>
      <c r="T56" s="268">
        <v>87</v>
      </c>
      <c r="U56" s="268">
        <v>85</v>
      </c>
      <c r="V56" s="268">
        <f>SUM(D56:O56)</f>
        <v>837</v>
      </c>
      <c r="W56" s="268">
        <f>SUM(J56:U56)</f>
        <v>1107</v>
      </c>
    </row>
    <row r="57" spans="1:23" x14ac:dyDescent="0.25">
      <c r="A57" s="513" t="s">
        <v>132</v>
      </c>
      <c r="B57" s="603" t="s">
        <v>133</v>
      </c>
      <c r="C57" s="603" t="s">
        <v>267</v>
      </c>
      <c r="D57" s="268"/>
      <c r="E57" s="268"/>
      <c r="F57" s="268">
        <v>5</v>
      </c>
      <c r="G57" s="268">
        <v>475</v>
      </c>
      <c r="H57" s="268">
        <v>351</v>
      </c>
      <c r="I57" s="268">
        <v>343</v>
      </c>
      <c r="J57" s="268">
        <v>435</v>
      </c>
      <c r="K57" s="268">
        <v>329</v>
      </c>
      <c r="L57" s="268">
        <v>359</v>
      </c>
      <c r="M57" s="268">
        <v>293</v>
      </c>
      <c r="N57" s="268">
        <v>313</v>
      </c>
      <c r="O57" s="268">
        <v>357</v>
      </c>
      <c r="P57" s="268">
        <v>338</v>
      </c>
      <c r="Q57" s="268">
        <v>387</v>
      </c>
      <c r="R57" s="268">
        <v>349</v>
      </c>
      <c r="S57" s="268">
        <v>369</v>
      </c>
      <c r="T57" s="268">
        <v>345</v>
      </c>
      <c r="U57" s="268">
        <v>262</v>
      </c>
      <c r="V57" s="268">
        <f>SUM(D57:O57)</f>
        <v>3260</v>
      </c>
      <c r="W57" s="268">
        <f>SUM(J57:U57)</f>
        <v>4136</v>
      </c>
    </row>
    <row r="58" spans="1:23" x14ac:dyDescent="0.25">
      <c r="A58" s="513" t="s">
        <v>134</v>
      </c>
      <c r="B58" s="603" t="s">
        <v>135</v>
      </c>
      <c r="C58" s="603" t="s">
        <v>267</v>
      </c>
      <c r="D58" s="268"/>
      <c r="E58" s="268"/>
      <c r="F58" s="268"/>
      <c r="G58" s="268">
        <v>127</v>
      </c>
      <c r="H58" s="268">
        <v>90</v>
      </c>
      <c r="I58" s="268">
        <v>94</v>
      </c>
      <c r="J58" s="268">
        <v>118</v>
      </c>
      <c r="K58" s="268">
        <v>62</v>
      </c>
      <c r="L58" s="268">
        <v>92</v>
      </c>
      <c r="M58" s="268">
        <v>98</v>
      </c>
      <c r="N58" s="268">
        <v>76</v>
      </c>
      <c r="O58" s="268">
        <v>99</v>
      </c>
      <c r="P58" s="268">
        <v>106</v>
      </c>
      <c r="Q58" s="268">
        <v>103</v>
      </c>
      <c r="R58" s="268">
        <v>114</v>
      </c>
      <c r="S58" s="268">
        <v>114</v>
      </c>
      <c r="T58" s="268">
        <v>107</v>
      </c>
      <c r="U58" s="268">
        <v>88</v>
      </c>
      <c r="V58" s="268">
        <f>SUM(D58:O58)</f>
        <v>856</v>
      </c>
      <c r="W58" s="268">
        <f>SUM(J58:U58)</f>
        <v>1177</v>
      </c>
    </row>
    <row r="59" spans="1:23" x14ac:dyDescent="0.25">
      <c r="A59" s="513" t="s">
        <v>136</v>
      </c>
      <c r="B59" s="603" t="s">
        <v>137</v>
      </c>
      <c r="C59" s="603" t="s">
        <v>266</v>
      </c>
      <c r="D59" s="268"/>
      <c r="E59" s="268"/>
      <c r="F59" s="268"/>
      <c r="G59" s="268">
        <v>55</v>
      </c>
      <c r="H59" s="268">
        <v>49</v>
      </c>
      <c r="I59" s="268">
        <v>38</v>
      </c>
      <c r="J59" s="268">
        <v>54</v>
      </c>
      <c r="K59" s="268">
        <v>49</v>
      </c>
      <c r="L59" s="268">
        <v>52</v>
      </c>
      <c r="M59" s="268">
        <v>29</v>
      </c>
      <c r="N59" s="268">
        <v>31</v>
      </c>
      <c r="O59" s="268">
        <v>34</v>
      </c>
      <c r="P59" s="268">
        <v>50</v>
      </c>
      <c r="Q59" s="268">
        <v>59</v>
      </c>
      <c r="R59" s="268">
        <v>49</v>
      </c>
      <c r="S59" s="268">
        <v>47</v>
      </c>
      <c r="T59" s="268">
        <v>43</v>
      </c>
      <c r="U59" s="268">
        <v>30</v>
      </c>
      <c r="V59" s="268">
        <f>SUM(D59:O59)</f>
        <v>391</v>
      </c>
      <c r="W59" s="268">
        <f>SUM(J59:U59)</f>
        <v>527</v>
      </c>
    </row>
    <row r="60" spans="1:23" x14ac:dyDescent="0.25">
      <c r="A60" s="513" t="s">
        <v>140</v>
      </c>
      <c r="B60" s="603" t="s">
        <v>141</v>
      </c>
      <c r="C60" s="603" t="s">
        <v>267</v>
      </c>
      <c r="D60" s="268"/>
      <c r="E60" s="268"/>
      <c r="F60" s="268"/>
      <c r="G60" s="268">
        <v>29</v>
      </c>
      <c r="H60" s="268">
        <v>25</v>
      </c>
      <c r="I60" s="268">
        <v>33</v>
      </c>
      <c r="J60" s="268">
        <v>41</v>
      </c>
      <c r="K60" s="268">
        <v>33</v>
      </c>
      <c r="L60" s="268">
        <v>21</v>
      </c>
      <c r="M60" s="268">
        <v>22</v>
      </c>
      <c r="N60" s="268">
        <v>26</v>
      </c>
      <c r="O60" s="268">
        <v>28</v>
      </c>
      <c r="P60" s="268">
        <v>26</v>
      </c>
      <c r="Q60" s="268">
        <v>19</v>
      </c>
      <c r="R60" s="268">
        <v>27</v>
      </c>
      <c r="S60" s="268">
        <v>31</v>
      </c>
      <c r="T60" s="268">
        <v>22</v>
      </c>
      <c r="U60" s="268">
        <v>28</v>
      </c>
      <c r="V60" s="268">
        <f>SUM(D60:O60)</f>
        <v>258</v>
      </c>
      <c r="W60" s="268">
        <f>SUM(J60:U60)</f>
        <v>324</v>
      </c>
    </row>
    <row r="61" spans="1:23" x14ac:dyDescent="0.25">
      <c r="A61" s="513" t="s">
        <v>146</v>
      </c>
      <c r="B61" s="603" t="s">
        <v>147</v>
      </c>
      <c r="C61" s="603" t="s">
        <v>264</v>
      </c>
      <c r="D61" s="268"/>
      <c r="E61" s="268"/>
      <c r="F61" s="268">
        <v>2</v>
      </c>
      <c r="G61" s="268">
        <v>24</v>
      </c>
      <c r="H61" s="268">
        <v>18</v>
      </c>
      <c r="I61" s="268">
        <v>19</v>
      </c>
      <c r="J61" s="268">
        <v>23</v>
      </c>
      <c r="K61" s="268">
        <v>28</v>
      </c>
      <c r="L61" s="268">
        <v>19</v>
      </c>
      <c r="M61" s="268">
        <v>13</v>
      </c>
      <c r="N61" s="268">
        <v>22</v>
      </c>
      <c r="O61" s="268">
        <v>27</v>
      </c>
      <c r="P61" s="268">
        <v>17</v>
      </c>
      <c r="Q61" s="268">
        <v>14</v>
      </c>
      <c r="R61" s="268">
        <v>21</v>
      </c>
      <c r="S61" s="268">
        <v>32</v>
      </c>
      <c r="T61" s="268">
        <v>27</v>
      </c>
      <c r="U61" s="268">
        <v>9</v>
      </c>
      <c r="V61" s="268">
        <f>SUM(D61:O61)</f>
        <v>195</v>
      </c>
      <c r="W61" s="268">
        <f>SUM(J61:U61)</f>
        <v>252</v>
      </c>
    </row>
    <row r="62" spans="1:23" x14ac:dyDescent="0.25">
      <c r="A62" s="513" t="s">
        <v>148</v>
      </c>
      <c r="B62" s="603" t="s">
        <v>149</v>
      </c>
      <c r="C62" s="603" t="s">
        <v>265</v>
      </c>
      <c r="D62" s="268"/>
      <c r="E62" s="268"/>
      <c r="F62" s="268"/>
      <c r="G62" s="268">
        <v>112</v>
      </c>
      <c r="H62" s="268">
        <v>115</v>
      </c>
      <c r="I62" s="268">
        <v>84</v>
      </c>
      <c r="J62" s="268">
        <v>126</v>
      </c>
      <c r="K62" s="268">
        <v>104</v>
      </c>
      <c r="L62" s="268">
        <v>68</v>
      </c>
      <c r="M62" s="268">
        <v>92</v>
      </c>
      <c r="N62" s="268">
        <v>93</v>
      </c>
      <c r="O62" s="268">
        <v>110</v>
      </c>
      <c r="P62" s="268">
        <v>97</v>
      </c>
      <c r="Q62" s="268">
        <v>123</v>
      </c>
      <c r="R62" s="268">
        <v>112</v>
      </c>
      <c r="S62" s="268">
        <v>114</v>
      </c>
      <c r="T62" s="268">
        <v>101</v>
      </c>
      <c r="U62" s="268">
        <v>83</v>
      </c>
      <c r="V62" s="268">
        <f>SUM(D62:O62)</f>
        <v>904</v>
      </c>
      <c r="W62" s="268">
        <f>SUM(J62:U62)</f>
        <v>1223</v>
      </c>
    </row>
    <row r="63" spans="1:23" x14ac:dyDescent="0.25">
      <c r="A63" s="513" t="s">
        <v>150</v>
      </c>
      <c r="B63" s="603" t="s">
        <v>151</v>
      </c>
      <c r="C63" s="603" t="s">
        <v>266</v>
      </c>
      <c r="D63" s="268"/>
      <c r="E63" s="268"/>
      <c r="F63" s="268">
        <v>3</v>
      </c>
      <c r="G63" s="268">
        <v>49</v>
      </c>
      <c r="H63" s="268">
        <v>38</v>
      </c>
      <c r="I63" s="268">
        <v>37</v>
      </c>
      <c r="J63" s="268">
        <v>57</v>
      </c>
      <c r="K63" s="268">
        <v>40</v>
      </c>
      <c r="L63" s="268">
        <v>29</v>
      </c>
      <c r="M63" s="268">
        <v>33</v>
      </c>
      <c r="N63" s="268">
        <v>29</v>
      </c>
      <c r="O63" s="268">
        <v>36</v>
      </c>
      <c r="P63" s="268">
        <v>32</v>
      </c>
      <c r="Q63" s="268">
        <v>29</v>
      </c>
      <c r="R63" s="268">
        <v>38</v>
      </c>
      <c r="S63" s="268">
        <v>35</v>
      </c>
      <c r="T63" s="268">
        <v>45</v>
      </c>
      <c r="U63" s="268">
        <v>23</v>
      </c>
      <c r="V63" s="268">
        <f>SUM(D63:O63)</f>
        <v>351</v>
      </c>
      <c r="W63" s="268">
        <f>SUM(J63:U63)</f>
        <v>426</v>
      </c>
    </row>
    <row r="64" spans="1:23" x14ac:dyDescent="0.25">
      <c r="A64" s="513" t="s">
        <v>152</v>
      </c>
      <c r="B64" s="603" t="s">
        <v>153</v>
      </c>
      <c r="C64" s="603" t="s">
        <v>268</v>
      </c>
      <c r="D64" s="268"/>
      <c r="E64" s="268"/>
      <c r="F64" s="268"/>
      <c r="G64" s="268">
        <v>190</v>
      </c>
      <c r="H64" s="268">
        <v>181</v>
      </c>
      <c r="I64" s="268">
        <v>167</v>
      </c>
      <c r="J64" s="268">
        <v>237</v>
      </c>
      <c r="K64" s="268">
        <v>183</v>
      </c>
      <c r="L64" s="268">
        <v>154</v>
      </c>
      <c r="M64" s="268">
        <v>156</v>
      </c>
      <c r="N64" s="268">
        <v>185</v>
      </c>
      <c r="O64" s="268">
        <v>200</v>
      </c>
      <c r="P64" s="268">
        <v>183</v>
      </c>
      <c r="Q64" s="268">
        <v>215</v>
      </c>
      <c r="R64" s="268">
        <v>182</v>
      </c>
      <c r="S64" s="268">
        <v>221</v>
      </c>
      <c r="T64" s="268">
        <v>172</v>
      </c>
      <c r="U64" s="268">
        <v>141</v>
      </c>
      <c r="V64" s="268">
        <f>SUM(D64:O64)</f>
        <v>1653</v>
      </c>
      <c r="W64" s="268">
        <f>SUM(J64:U64)</f>
        <v>2229</v>
      </c>
    </row>
    <row r="65" spans="1:23" x14ac:dyDescent="0.25">
      <c r="A65" s="513" t="s">
        <v>154</v>
      </c>
      <c r="B65" s="603" t="s">
        <v>155</v>
      </c>
      <c r="C65" s="603" t="s">
        <v>265</v>
      </c>
      <c r="D65" s="268"/>
      <c r="E65" s="268"/>
      <c r="F65" s="268">
        <v>1</v>
      </c>
      <c r="G65" s="268">
        <v>53</v>
      </c>
      <c r="H65" s="268">
        <v>41</v>
      </c>
      <c r="I65" s="268">
        <v>29</v>
      </c>
      <c r="J65" s="268">
        <v>58</v>
      </c>
      <c r="K65" s="268">
        <v>40</v>
      </c>
      <c r="L65" s="268">
        <v>27</v>
      </c>
      <c r="M65" s="268">
        <v>26</v>
      </c>
      <c r="N65" s="268">
        <v>39</v>
      </c>
      <c r="O65" s="268">
        <v>39</v>
      </c>
      <c r="P65" s="268">
        <v>40</v>
      </c>
      <c r="Q65" s="268">
        <v>29</v>
      </c>
      <c r="R65" s="268">
        <v>34</v>
      </c>
      <c r="S65" s="268">
        <v>41</v>
      </c>
      <c r="T65" s="268">
        <v>32</v>
      </c>
      <c r="U65" s="268">
        <v>34</v>
      </c>
      <c r="V65" s="268">
        <f>SUM(D65:O65)</f>
        <v>353</v>
      </c>
      <c r="W65" s="268">
        <f>SUM(J65:U65)</f>
        <v>439</v>
      </c>
    </row>
    <row r="66" spans="1:23" x14ac:dyDescent="0.25">
      <c r="A66" s="513" t="s">
        <v>156</v>
      </c>
      <c r="B66" s="603" t="s">
        <v>157</v>
      </c>
      <c r="C66" s="603" t="s">
        <v>266</v>
      </c>
      <c r="D66" s="268"/>
      <c r="E66" s="268"/>
      <c r="F66" s="268"/>
      <c r="G66" s="268">
        <v>36</v>
      </c>
      <c r="H66" s="268">
        <v>42</v>
      </c>
      <c r="I66" s="268">
        <v>23</v>
      </c>
      <c r="J66" s="268">
        <v>43</v>
      </c>
      <c r="K66" s="268">
        <v>21</v>
      </c>
      <c r="L66" s="268">
        <v>19</v>
      </c>
      <c r="M66" s="268">
        <v>24</v>
      </c>
      <c r="N66" s="268">
        <v>36</v>
      </c>
      <c r="O66" s="268">
        <v>23</v>
      </c>
      <c r="P66" s="268">
        <v>43</v>
      </c>
      <c r="Q66" s="268">
        <v>30</v>
      </c>
      <c r="R66" s="268">
        <v>36</v>
      </c>
      <c r="S66" s="268">
        <v>31</v>
      </c>
      <c r="T66" s="268">
        <v>28</v>
      </c>
      <c r="U66" s="268">
        <v>23</v>
      </c>
      <c r="V66" s="268">
        <f>SUM(D66:O66)</f>
        <v>267</v>
      </c>
      <c r="W66" s="268">
        <f>SUM(J66:U66)</f>
        <v>357</v>
      </c>
    </row>
    <row r="67" spans="1:23" x14ac:dyDescent="0.25">
      <c r="A67" s="513" t="s">
        <v>162</v>
      </c>
      <c r="B67" s="603" t="s">
        <v>163</v>
      </c>
      <c r="C67" s="603" t="s">
        <v>264</v>
      </c>
      <c r="D67" s="268"/>
      <c r="E67" s="268"/>
      <c r="F67" s="268"/>
      <c r="G67" s="268">
        <v>74</v>
      </c>
      <c r="H67" s="268">
        <v>65</v>
      </c>
      <c r="I67" s="268">
        <v>54</v>
      </c>
      <c r="J67" s="268">
        <v>64</v>
      </c>
      <c r="K67" s="268">
        <v>48</v>
      </c>
      <c r="L67" s="268">
        <v>40</v>
      </c>
      <c r="M67" s="268">
        <v>36</v>
      </c>
      <c r="N67" s="268">
        <v>56</v>
      </c>
      <c r="O67" s="268">
        <v>48</v>
      </c>
      <c r="P67" s="268">
        <v>41</v>
      </c>
      <c r="Q67" s="268">
        <v>46</v>
      </c>
      <c r="R67" s="268">
        <v>62</v>
      </c>
      <c r="S67" s="268">
        <v>69</v>
      </c>
      <c r="T67" s="268">
        <v>60</v>
      </c>
      <c r="U67" s="268">
        <v>68</v>
      </c>
      <c r="V67" s="268">
        <f>SUM(D67:O67)</f>
        <v>485</v>
      </c>
      <c r="W67" s="268">
        <f>SUM(J67:U67)</f>
        <v>638</v>
      </c>
    </row>
    <row r="68" spans="1:23" x14ac:dyDescent="0.25">
      <c r="A68" s="513" t="s">
        <v>164</v>
      </c>
      <c r="B68" s="603" t="s">
        <v>165</v>
      </c>
      <c r="C68" s="603" t="s">
        <v>266</v>
      </c>
      <c r="D68" s="268"/>
      <c r="E68" s="268"/>
      <c r="F68" s="268">
        <v>4</v>
      </c>
      <c r="G68" s="268">
        <v>46</v>
      </c>
      <c r="H68" s="268">
        <v>48</v>
      </c>
      <c r="I68" s="268">
        <v>38</v>
      </c>
      <c r="J68" s="268">
        <v>34</v>
      </c>
      <c r="K68" s="268">
        <v>39</v>
      </c>
      <c r="L68" s="268">
        <v>23</v>
      </c>
      <c r="M68" s="268">
        <v>24</v>
      </c>
      <c r="N68" s="268">
        <v>26</v>
      </c>
      <c r="O68" s="268">
        <v>39</v>
      </c>
      <c r="P68" s="268">
        <v>33</v>
      </c>
      <c r="Q68" s="268">
        <v>40</v>
      </c>
      <c r="R68" s="268">
        <v>35</v>
      </c>
      <c r="S68" s="268">
        <v>52</v>
      </c>
      <c r="T68" s="268">
        <v>42</v>
      </c>
      <c r="U68" s="268">
        <v>27</v>
      </c>
      <c r="V68" s="268">
        <f>SUM(D68:O68)</f>
        <v>321</v>
      </c>
      <c r="W68" s="268">
        <f>SUM(J68:U68)</f>
        <v>414</v>
      </c>
    </row>
    <row r="69" spans="1:23" x14ac:dyDescent="0.25">
      <c r="A69" s="513" t="s">
        <v>168</v>
      </c>
      <c r="B69" s="603" t="s">
        <v>169</v>
      </c>
      <c r="C69" s="603" t="s">
        <v>266</v>
      </c>
      <c r="D69" s="268"/>
      <c r="E69" s="268"/>
      <c r="F69" s="268"/>
      <c r="G69" s="268">
        <v>69</v>
      </c>
      <c r="H69" s="268">
        <v>52</v>
      </c>
      <c r="I69" s="268">
        <v>51</v>
      </c>
      <c r="J69" s="268">
        <v>42</v>
      </c>
      <c r="K69" s="268">
        <v>62</v>
      </c>
      <c r="L69" s="268">
        <v>49</v>
      </c>
      <c r="M69" s="268">
        <v>40</v>
      </c>
      <c r="N69" s="268">
        <v>56</v>
      </c>
      <c r="O69" s="268">
        <v>69</v>
      </c>
      <c r="P69" s="268">
        <v>58</v>
      </c>
      <c r="Q69" s="268">
        <v>71</v>
      </c>
      <c r="R69" s="268">
        <v>54</v>
      </c>
      <c r="S69" s="268">
        <v>66</v>
      </c>
      <c r="T69" s="268">
        <v>67</v>
      </c>
      <c r="U69" s="268">
        <v>36</v>
      </c>
      <c r="V69" s="268">
        <f>SUM(D69:O69)</f>
        <v>490</v>
      </c>
      <c r="W69" s="268">
        <f>SUM(J69:U69)</f>
        <v>670</v>
      </c>
    </row>
    <row r="70" spans="1:23" x14ac:dyDescent="0.25">
      <c r="A70" s="513" t="s">
        <v>170</v>
      </c>
      <c r="B70" s="603" t="s">
        <v>171</v>
      </c>
      <c r="C70" s="603" t="s">
        <v>267</v>
      </c>
      <c r="D70" s="268"/>
      <c r="E70" s="268">
        <v>1</v>
      </c>
      <c r="F70" s="268">
        <v>6</v>
      </c>
      <c r="G70" s="268">
        <v>134</v>
      </c>
      <c r="H70" s="268">
        <v>101</v>
      </c>
      <c r="I70" s="268">
        <v>90</v>
      </c>
      <c r="J70" s="268">
        <v>113</v>
      </c>
      <c r="K70" s="268">
        <v>107</v>
      </c>
      <c r="L70" s="268">
        <v>80</v>
      </c>
      <c r="M70" s="268">
        <v>77</v>
      </c>
      <c r="N70" s="268">
        <v>90</v>
      </c>
      <c r="O70" s="268">
        <v>96</v>
      </c>
      <c r="P70" s="268">
        <v>100</v>
      </c>
      <c r="Q70" s="268">
        <v>95</v>
      </c>
      <c r="R70" s="268">
        <v>113</v>
      </c>
      <c r="S70" s="268">
        <v>94</v>
      </c>
      <c r="T70" s="268">
        <v>80</v>
      </c>
      <c r="U70" s="268">
        <v>59</v>
      </c>
      <c r="V70" s="268">
        <f>SUM(D70:O70)</f>
        <v>895</v>
      </c>
      <c r="W70" s="268">
        <f>SUM(J70:U70)</f>
        <v>1104</v>
      </c>
    </row>
    <row r="71" spans="1:23" x14ac:dyDescent="0.25">
      <c r="A71" s="513" t="s">
        <v>172</v>
      </c>
      <c r="B71" s="603" t="s">
        <v>173</v>
      </c>
      <c r="C71" s="603" t="s">
        <v>267</v>
      </c>
      <c r="D71" s="268"/>
      <c r="E71" s="268"/>
      <c r="F71" s="268"/>
      <c r="G71" s="268">
        <v>117</v>
      </c>
      <c r="H71" s="268">
        <v>128</v>
      </c>
      <c r="I71" s="268">
        <v>104</v>
      </c>
      <c r="J71" s="268">
        <v>114</v>
      </c>
      <c r="K71" s="268">
        <v>92</v>
      </c>
      <c r="L71" s="268">
        <v>88</v>
      </c>
      <c r="M71" s="268">
        <v>100</v>
      </c>
      <c r="N71" s="268">
        <v>106</v>
      </c>
      <c r="O71" s="268">
        <v>113</v>
      </c>
      <c r="P71" s="268">
        <v>71</v>
      </c>
      <c r="Q71" s="268">
        <v>93</v>
      </c>
      <c r="R71" s="268">
        <v>95</v>
      </c>
      <c r="S71" s="268">
        <v>111</v>
      </c>
      <c r="T71" s="268">
        <v>101</v>
      </c>
      <c r="U71" s="268">
        <v>103</v>
      </c>
      <c r="V71" s="268">
        <f>SUM(D71:O71)</f>
        <v>962</v>
      </c>
      <c r="W71" s="268">
        <f>SUM(J71:U71)</f>
        <v>1187</v>
      </c>
    </row>
    <row r="72" spans="1:23" x14ac:dyDescent="0.25">
      <c r="A72" s="513" t="s">
        <v>174</v>
      </c>
      <c r="B72" s="603" t="s">
        <v>175</v>
      </c>
      <c r="C72" s="603" t="s">
        <v>268</v>
      </c>
      <c r="D72" s="268"/>
      <c r="E72" s="268"/>
      <c r="F72" s="268">
        <v>1</v>
      </c>
      <c r="G72" s="268">
        <v>72</v>
      </c>
      <c r="H72" s="268">
        <v>60</v>
      </c>
      <c r="I72" s="268">
        <v>55</v>
      </c>
      <c r="J72" s="268">
        <v>58</v>
      </c>
      <c r="K72" s="268">
        <v>58</v>
      </c>
      <c r="L72" s="268">
        <v>42</v>
      </c>
      <c r="M72" s="268">
        <v>64</v>
      </c>
      <c r="N72" s="268">
        <v>59</v>
      </c>
      <c r="O72" s="268">
        <v>78</v>
      </c>
      <c r="P72" s="268">
        <v>66</v>
      </c>
      <c r="Q72" s="268">
        <v>74</v>
      </c>
      <c r="R72" s="268">
        <v>61</v>
      </c>
      <c r="S72" s="268">
        <v>54</v>
      </c>
      <c r="T72" s="268">
        <v>76</v>
      </c>
      <c r="U72" s="268">
        <v>50</v>
      </c>
      <c r="V72" s="268">
        <f>SUM(D72:O72)</f>
        <v>547</v>
      </c>
      <c r="W72" s="268">
        <f>SUM(J72:U72)</f>
        <v>740</v>
      </c>
    </row>
    <row r="73" spans="1:23" x14ac:dyDescent="0.25">
      <c r="A73" s="513" t="s">
        <v>178</v>
      </c>
      <c r="B73" s="603" t="s">
        <v>179</v>
      </c>
      <c r="C73" s="603" t="s">
        <v>265</v>
      </c>
      <c r="D73" s="268">
        <v>172</v>
      </c>
      <c r="E73" s="268">
        <v>220</v>
      </c>
      <c r="F73" s="268">
        <v>212</v>
      </c>
      <c r="G73" s="268">
        <v>218</v>
      </c>
      <c r="H73" s="268">
        <v>200</v>
      </c>
      <c r="I73" s="268">
        <v>173</v>
      </c>
      <c r="J73" s="268">
        <v>198</v>
      </c>
      <c r="K73" s="268">
        <v>152</v>
      </c>
      <c r="L73" s="268">
        <v>198</v>
      </c>
      <c r="M73" s="268">
        <v>145</v>
      </c>
      <c r="N73" s="268">
        <v>170</v>
      </c>
      <c r="O73" s="268">
        <v>195</v>
      </c>
      <c r="P73" s="268">
        <v>203</v>
      </c>
      <c r="Q73" s="268">
        <v>213</v>
      </c>
      <c r="R73" s="268">
        <v>201</v>
      </c>
      <c r="S73" s="268">
        <v>225</v>
      </c>
      <c r="T73" s="268">
        <v>207</v>
      </c>
      <c r="U73" s="268">
        <v>161</v>
      </c>
      <c r="V73" s="268">
        <f>SUM(D73:O73)</f>
        <v>2253</v>
      </c>
      <c r="W73" s="268">
        <f>SUM(J73:U73)</f>
        <v>2268</v>
      </c>
    </row>
    <row r="74" spans="1:23" x14ac:dyDescent="0.25">
      <c r="A74" s="513" t="s">
        <v>182</v>
      </c>
      <c r="B74" s="603" t="s">
        <v>183</v>
      </c>
      <c r="C74" s="603" t="s">
        <v>266</v>
      </c>
      <c r="D74" s="268"/>
      <c r="E74" s="268"/>
      <c r="F74" s="268">
        <v>1</v>
      </c>
      <c r="G74" s="268">
        <v>24</v>
      </c>
      <c r="H74" s="268">
        <v>43</v>
      </c>
      <c r="I74" s="268">
        <v>27</v>
      </c>
      <c r="J74" s="268">
        <v>33</v>
      </c>
      <c r="K74" s="268">
        <v>27</v>
      </c>
      <c r="L74" s="268">
        <v>30</v>
      </c>
      <c r="M74" s="268">
        <v>37</v>
      </c>
      <c r="N74" s="268">
        <v>40</v>
      </c>
      <c r="O74" s="268">
        <v>36</v>
      </c>
      <c r="P74" s="268">
        <v>43</v>
      </c>
      <c r="Q74" s="268">
        <v>35</v>
      </c>
      <c r="R74" s="268">
        <v>39</v>
      </c>
      <c r="S74" s="268">
        <v>42</v>
      </c>
      <c r="T74" s="268">
        <v>40</v>
      </c>
      <c r="U74" s="268">
        <v>32</v>
      </c>
      <c r="V74" s="268">
        <f>SUM(D74:O74)</f>
        <v>298</v>
      </c>
      <c r="W74" s="268">
        <f>SUM(J74:U74)</f>
        <v>434</v>
      </c>
    </row>
    <row r="75" spans="1:23" x14ac:dyDescent="0.25">
      <c r="A75" s="513" t="s">
        <v>184</v>
      </c>
      <c r="B75" s="603" t="s">
        <v>185</v>
      </c>
      <c r="C75" s="603" t="s">
        <v>266</v>
      </c>
      <c r="D75" s="268"/>
      <c r="E75" s="268"/>
      <c r="F75" s="268"/>
      <c r="G75" s="268">
        <v>105</v>
      </c>
      <c r="H75" s="268">
        <v>65</v>
      </c>
      <c r="I75" s="268">
        <v>42</v>
      </c>
      <c r="J75" s="268">
        <v>70</v>
      </c>
      <c r="K75" s="268">
        <v>76</v>
      </c>
      <c r="L75" s="268">
        <v>70</v>
      </c>
      <c r="M75" s="268">
        <v>59</v>
      </c>
      <c r="N75" s="268">
        <v>79</v>
      </c>
      <c r="O75" s="268">
        <v>73</v>
      </c>
      <c r="P75" s="268">
        <v>78</v>
      </c>
      <c r="Q75" s="268">
        <v>57</v>
      </c>
      <c r="R75" s="268">
        <v>70</v>
      </c>
      <c r="S75" s="268">
        <v>72</v>
      </c>
      <c r="T75" s="268">
        <v>67</v>
      </c>
      <c r="U75" s="268">
        <v>61</v>
      </c>
      <c r="V75" s="268">
        <f>SUM(D75:O75)</f>
        <v>639</v>
      </c>
      <c r="W75" s="268">
        <f>SUM(J75:U75)</f>
        <v>832</v>
      </c>
    </row>
    <row r="76" spans="1:23" x14ac:dyDescent="0.25">
      <c r="A76" s="513" t="s">
        <v>186</v>
      </c>
      <c r="B76" s="603" t="s">
        <v>187</v>
      </c>
      <c r="C76" s="603" t="s">
        <v>264</v>
      </c>
      <c r="D76" s="268"/>
      <c r="E76" s="268"/>
      <c r="F76" s="268">
        <v>3</v>
      </c>
      <c r="G76" s="268">
        <v>95</v>
      </c>
      <c r="H76" s="268">
        <v>74</v>
      </c>
      <c r="I76" s="268">
        <v>76</v>
      </c>
      <c r="J76" s="268">
        <v>121</v>
      </c>
      <c r="K76" s="268">
        <v>70</v>
      </c>
      <c r="L76" s="268">
        <v>80</v>
      </c>
      <c r="M76" s="268">
        <v>68</v>
      </c>
      <c r="N76" s="268">
        <v>72</v>
      </c>
      <c r="O76" s="268">
        <v>113</v>
      </c>
      <c r="P76" s="268">
        <v>89</v>
      </c>
      <c r="Q76" s="268">
        <v>75</v>
      </c>
      <c r="R76" s="268">
        <v>106</v>
      </c>
      <c r="S76" s="268">
        <v>84</v>
      </c>
      <c r="T76" s="268">
        <v>95</v>
      </c>
      <c r="U76" s="268">
        <v>65</v>
      </c>
      <c r="V76" s="268">
        <f>SUM(D76:O76)</f>
        <v>772</v>
      </c>
      <c r="W76" s="268">
        <f>SUM(J76:U76)</f>
        <v>1038</v>
      </c>
    </row>
    <row r="77" spans="1:23" x14ac:dyDescent="0.25">
      <c r="A77" s="513" t="s">
        <v>188</v>
      </c>
      <c r="B77" s="603" t="s">
        <v>189</v>
      </c>
      <c r="C77" s="603" t="s">
        <v>267</v>
      </c>
      <c r="D77" s="268"/>
      <c r="E77" s="268">
        <v>1</v>
      </c>
      <c r="F77" s="268">
        <v>9</v>
      </c>
      <c r="G77" s="268">
        <v>1117</v>
      </c>
      <c r="H77" s="268">
        <v>948</v>
      </c>
      <c r="I77" s="268">
        <v>887</v>
      </c>
      <c r="J77" s="268">
        <v>1059</v>
      </c>
      <c r="K77" s="268">
        <v>866</v>
      </c>
      <c r="L77" s="268">
        <v>865</v>
      </c>
      <c r="M77" s="268">
        <v>696</v>
      </c>
      <c r="N77" s="268">
        <v>836</v>
      </c>
      <c r="O77" s="268">
        <v>869</v>
      </c>
      <c r="P77" s="268">
        <v>916</v>
      </c>
      <c r="Q77" s="268">
        <v>1063</v>
      </c>
      <c r="R77" s="268">
        <v>895</v>
      </c>
      <c r="S77" s="268">
        <v>932</v>
      </c>
      <c r="T77" s="268">
        <v>928</v>
      </c>
      <c r="U77" s="268">
        <v>705</v>
      </c>
      <c r="V77" s="268">
        <f>SUM(D77:O77)</f>
        <v>8153</v>
      </c>
      <c r="W77" s="268">
        <f>SUM(J77:U77)</f>
        <v>10630</v>
      </c>
    </row>
    <row r="78" spans="1:23" x14ac:dyDescent="0.25">
      <c r="A78" s="513" t="s">
        <v>190</v>
      </c>
      <c r="B78" s="603" t="s">
        <v>191</v>
      </c>
      <c r="C78" s="603" t="s">
        <v>268</v>
      </c>
      <c r="D78" s="268"/>
      <c r="E78" s="268"/>
      <c r="F78" s="268"/>
      <c r="G78" s="268">
        <v>136</v>
      </c>
      <c r="H78" s="268">
        <v>120</v>
      </c>
      <c r="I78" s="268">
        <v>145</v>
      </c>
      <c r="J78" s="268">
        <v>158</v>
      </c>
      <c r="K78" s="268">
        <v>145</v>
      </c>
      <c r="L78" s="268">
        <v>113</v>
      </c>
      <c r="M78" s="268">
        <v>102</v>
      </c>
      <c r="N78" s="268">
        <v>138</v>
      </c>
      <c r="O78" s="268">
        <v>141</v>
      </c>
      <c r="P78" s="268">
        <v>136</v>
      </c>
      <c r="Q78" s="268">
        <v>153</v>
      </c>
      <c r="R78" s="268">
        <v>123</v>
      </c>
      <c r="S78" s="268">
        <v>108</v>
      </c>
      <c r="T78" s="268">
        <v>115</v>
      </c>
      <c r="U78" s="268">
        <v>83</v>
      </c>
      <c r="V78" s="268">
        <f>SUM(D78:O78)</f>
        <v>1198</v>
      </c>
      <c r="W78" s="268">
        <f>SUM(J78:U78)</f>
        <v>1515</v>
      </c>
    </row>
    <row r="79" spans="1:23" x14ac:dyDescent="0.25">
      <c r="A79" s="513" t="s">
        <v>194</v>
      </c>
      <c r="B79" s="603" t="s">
        <v>195</v>
      </c>
      <c r="C79" s="603" t="s">
        <v>267</v>
      </c>
      <c r="D79" s="268"/>
      <c r="E79" s="268"/>
      <c r="F79" s="268"/>
      <c r="G79" s="268">
        <v>17</v>
      </c>
      <c r="H79" s="268">
        <v>10</v>
      </c>
      <c r="I79" s="268">
        <v>8</v>
      </c>
      <c r="J79" s="268">
        <v>21</v>
      </c>
      <c r="K79" s="268">
        <v>18</v>
      </c>
      <c r="L79" s="268">
        <v>14</v>
      </c>
      <c r="M79" s="268">
        <v>8</v>
      </c>
      <c r="N79" s="268">
        <v>9</v>
      </c>
      <c r="O79" s="268">
        <v>22</v>
      </c>
      <c r="P79" s="268">
        <v>15</v>
      </c>
      <c r="Q79" s="268">
        <v>12</v>
      </c>
      <c r="R79" s="268">
        <v>18</v>
      </c>
      <c r="S79" s="268">
        <v>13</v>
      </c>
      <c r="T79" s="268">
        <v>11</v>
      </c>
      <c r="U79" s="268">
        <v>7</v>
      </c>
      <c r="V79" s="268">
        <f>SUM(D79:O79)</f>
        <v>127</v>
      </c>
      <c r="W79" s="268">
        <f>SUM(J79:U79)</f>
        <v>168</v>
      </c>
    </row>
    <row r="80" spans="1:23" x14ac:dyDescent="0.25">
      <c r="A80" s="513" t="s">
        <v>198</v>
      </c>
      <c r="B80" s="603" t="s">
        <v>272</v>
      </c>
      <c r="C80" s="603" t="s">
        <v>266</v>
      </c>
      <c r="D80" s="268"/>
      <c r="E80" s="268"/>
      <c r="F80" s="268"/>
      <c r="G80" s="268">
        <v>30</v>
      </c>
      <c r="H80" s="268">
        <v>22</v>
      </c>
      <c r="I80" s="268">
        <v>26</v>
      </c>
      <c r="J80" s="268">
        <v>45</v>
      </c>
      <c r="K80" s="268">
        <v>24</v>
      </c>
      <c r="L80" s="268">
        <v>34</v>
      </c>
      <c r="M80" s="268">
        <v>20</v>
      </c>
      <c r="N80" s="268">
        <v>23</v>
      </c>
      <c r="O80" s="268">
        <v>32</v>
      </c>
      <c r="P80" s="268">
        <v>18</v>
      </c>
      <c r="Q80" s="268">
        <v>31</v>
      </c>
      <c r="R80" s="268">
        <v>14</v>
      </c>
      <c r="S80" s="268">
        <v>27</v>
      </c>
      <c r="T80" s="268">
        <v>29</v>
      </c>
      <c r="U80" s="268">
        <v>26</v>
      </c>
      <c r="V80" s="268">
        <f>SUM(D80:O80)</f>
        <v>256</v>
      </c>
      <c r="W80" s="268">
        <f>SUM(J80:U80)</f>
        <v>323</v>
      </c>
    </row>
    <row r="81" spans="1:23" x14ac:dyDescent="0.25">
      <c r="A81" s="513" t="s">
        <v>202</v>
      </c>
      <c r="B81" s="603" t="s">
        <v>301</v>
      </c>
      <c r="C81" s="603" t="s">
        <v>265</v>
      </c>
      <c r="D81" s="268">
        <v>194</v>
      </c>
      <c r="E81" s="268">
        <v>253</v>
      </c>
      <c r="F81" s="268">
        <v>259</v>
      </c>
      <c r="G81" s="268">
        <v>269</v>
      </c>
      <c r="H81" s="268">
        <v>240</v>
      </c>
      <c r="I81" s="268">
        <v>230</v>
      </c>
      <c r="J81" s="268">
        <v>287</v>
      </c>
      <c r="K81" s="268">
        <v>206</v>
      </c>
      <c r="L81" s="268">
        <v>235</v>
      </c>
      <c r="M81" s="268">
        <v>219</v>
      </c>
      <c r="N81" s="268">
        <v>240</v>
      </c>
      <c r="O81" s="268">
        <v>209</v>
      </c>
      <c r="P81" s="268">
        <v>261</v>
      </c>
      <c r="Q81" s="268">
        <v>256</v>
      </c>
      <c r="R81" s="268">
        <v>261</v>
      </c>
      <c r="S81" s="268">
        <v>275</v>
      </c>
      <c r="T81" s="268">
        <v>254</v>
      </c>
      <c r="U81" s="268">
        <v>171</v>
      </c>
      <c r="V81" s="268">
        <f>SUM(D81:O81)</f>
        <v>2841</v>
      </c>
      <c r="W81" s="268">
        <f>SUM(J81:U81)</f>
        <v>2874</v>
      </c>
    </row>
    <row r="82" spans="1:23" x14ac:dyDescent="0.25">
      <c r="A82" s="513" t="s">
        <v>204</v>
      </c>
      <c r="B82" s="603" t="s">
        <v>293</v>
      </c>
      <c r="C82" s="603" t="s">
        <v>265</v>
      </c>
      <c r="D82" s="268"/>
      <c r="E82" s="268"/>
      <c r="F82" s="268">
        <v>3</v>
      </c>
      <c r="G82" s="268">
        <v>100</v>
      </c>
      <c r="H82" s="268">
        <v>67</v>
      </c>
      <c r="I82" s="268">
        <v>60</v>
      </c>
      <c r="J82" s="268">
        <v>94</v>
      </c>
      <c r="K82" s="268">
        <v>56</v>
      </c>
      <c r="L82" s="268">
        <v>53</v>
      </c>
      <c r="M82" s="268">
        <v>59</v>
      </c>
      <c r="N82" s="268">
        <v>93</v>
      </c>
      <c r="O82" s="268">
        <v>96</v>
      </c>
      <c r="P82" s="268">
        <v>71</v>
      </c>
      <c r="Q82" s="268">
        <v>102</v>
      </c>
      <c r="R82" s="268">
        <v>77</v>
      </c>
      <c r="S82" s="268">
        <v>77</v>
      </c>
      <c r="T82" s="268">
        <v>83</v>
      </c>
      <c r="U82" s="268">
        <v>70</v>
      </c>
      <c r="V82" s="268">
        <f>SUM(D82:O82)</f>
        <v>681</v>
      </c>
      <c r="W82" s="268">
        <f>SUM(J82:U82)</f>
        <v>931</v>
      </c>
    </row>
    <row r="83" spans="1:23" x14ac:dyDescent="0.25">
      <c r="A83" s="513" t="s">
        <v>206</v>
      </c>
      <c r="B83" s="603" t="s">
        <v>294</v>
      </c>
      <c r="C83" s="603" t="s">
        <v>267</v>
      </c>
      <c r="D83" s="268"/>
      <c r="E83" s="268">
        <v>1</v>
      </c>
      <c r="F83" s="268">
        <v>9</v>
      </c>
      <c r="G83" s="268">
        <v>353</v>
      </c>
      <c r="H83" s="268">
        <v>321</v>
      </c>
      <c r="I83" s="268">
        <v>280</v>
      </c>
      <c r="J83" s="268">
        <v>349</v>
      </c>
      <c r="K83" s="268">
        <v>315</v>
      </c>
      <c r="L83" s="268">
        <v>295</v>
      </c>
      <c r="M83" s="268">
        <v>282</v>
      </c>
      <c r="N83" s="268">
        <v>313</v>
      </c>
      <c r="O83" s="268">
        <v>306</v>
      </c>
      <c r="P83" s="268">
        <v>304</v>
      </c>
      <c r="Q83" s="268">
        <v>366</v>
      </c>
      <c r="R83" s="268">
        <v>344</v>
      </c>
      <c r="S83" s="268">
        <v>350</v>
      </c>
      <c r="T83" s="268">
        <v>295</v>
      </c>
      <c r="U83" s="268">
        <v>309</v>
      </c>
      <c r="V83" s="268">
        <f>SUM(D83:O83)</f>
        <v>2824</v>
      </c>
      <c r="W83" s="268">
        <f>SUM(J83:U83)</f>
        <v>3828</v>
      </c>
    </row>
    <row r="84" spans="1:23" x14ac:dyDescent="0.25">
      <c r="A84" s="513" t="s">
        <v>208</v>
      </c>
      <c r="B84" s="603" t="s">
        <v>209</v>
      </c>
      <c r="C84" s="603" t="s">
        <v>268</v>
      </c>
      <c r="D84" s="268"/>
      <c r="E84" s="268"/>
      <c r="F84" s="268"/>
      <c r="G84" s="268">
        <v>111</v>
      </c>
      <c r="H84" s="268">
        <v>103</v>
      </c>
      <c r="I84" s="268">
        <v>95</v>
      </c>
      <c r="J84" s="268">
        <v>102</v>
      </c>
      <c r="K84" s="268">
        <v>86</v>
      </c>
      <c r="L84" s="268">
        <v>85</v>
      </c>
      <c r="M84" s="268">
        <v>71</v>
      </c>
      <c r="N84" s="268">
        <v>84</v>
      </c>
      <c r="O84" s="268">
        <v>99</v>
      </c>
      <c r="P84" s="268">
        <v>94</v>
      </c>
      <c r="Q84" s="268">
        <v>124</v>
      </c>
      <c r="R84" s="268">
        <v>77</v>
      </c>
      <c r="S84" s="268">
        <v>113</v>
      </c>
      <c r="T84" s="268">
        <v>106</v>
      </c>
      <c r="U84" s="268">
        <v>98</v>
      </c>
      <c r="V84" s="268">
        <f>SUM(D84:O84)</f>
        <v>836</v>
      </c>
      <c r="W84" s="268">
        <f>SUM(J84:U84)</f>
        <v>1139</v>
      </c>
    </row>
    <row r="85" spans="1:23" x14ac:dyDescent="0.25">
      <c r="A85" s="513" t="s">
        <v>210</v>
      </c>
      <c r="B85" s="603" t="s">
        <v>211</v>
      </c>
      <c r="C85" s="603" t="s">
        <v>268</v>
      </c>
      <c r="D85" s="268"/>
      <c r="E85" s="268"/>
      <c r="F85" s="268">
        <v>1</v>
      </c>
      <c r="G85" s="268">
        <v>79</v>
      </c>
      <c r="H85" s="268">
        <v>74</v>
      </c>
      <c r="I85" s="268">
        <v>62</v>
      </c>
      <c r="J85" s="268">
        <v>77</v>
      </c>
      <c r="K85" s="268">
        <v>71</v>
      </c>
      <c r="L85" s="268">
        <v>71</v>
      </c>
      <c r="M85" s="268">
        <v>57</v>
      </c>
      <c r="N85" s="268">
        <v>68</v>
      </c>
      <c r="O85" s="268">
        <v>84</v>
      </c>
      <c r="P85" s="268">
        <v>65</v>
      </c>
      <c r="Q85" s="268">
        <v>94</v>
      </c>
      <c r="R85" s="268">
        <v>77</v>
      </c>
      <c r="S85" s="268">
        <v>97</v>
      </c>
      <c r="T85" s="268">
        <v>80</v>
      </c>
      <c r="U85" s="268">
        <v>54</v>
      </c>
      <c r="V85" s="268">
        <f>SUM(D85:O85)</f>
        <v>644</v>
      </c>
      <c r="W85" s="268">
        <f>SUM(J85:U85)</f>
        <v>895</v>
      </c>
    </row>
    <row r="86" spans="1:23" x14ac:dyDescent="0.25">
      <c r="A86" s="513" t="s">
        <v>212</v>
      </c>
      <c r="B86" s="603" t="s">
        <v>213</v>
      </c>
      <c r="C86" s="603" t="s">
        <v>267</v>
      </c>
      <c r="D86" s="268"/>
      <c r="E86" s="268"/>
      <c r="F86" s="268">
        <v>3</v>
      </c>
      <c r="G86" s="268">
        <v>187</v>
      </c>
      <c r="H86" s="268">
        <v>158</v>
      </c>
      <c r="I86" s="268">
        <v>103</v>
      </c>
      <c r="J86" s="268">
        <v>179</v>
      </c>
      <c r="K86" s="268">
        <v>167</v>
      </c>
      <c r="L86" s="268">
        <v>138</v>
      </c>
      <c r="M86" s="268">
        <v>115</v>
      </c>
      <c r="N86" s="268">
        <v>145</v>
      </c>
      <c r="O86" s="268">
        <v>159</v>
      </c>
      <c r="P86" s="268">
        <v>113</v>
      </c>
      <c r="Q86" s="268">
        <v>154</v>
      </c>
      <c r="R86" s="268">
        <v>150</v>
      </c>
      <c r="S86" s="268">
        <v>196</v>
      </c>
      <c r="T86" s="268">
        <v>120</v>
      </c>
      <c r="U86" s="268">
        <v>101</v>
      </c>
      <c r="V86" s="268">
        <f>SUM(D86:O86)</f>
        <v>1354</v>
      </c>
      <c r="W86" s="268">
        <f>SUM(J86:U86)</f>
        <v>1737</v>
      </c>
    </row>
    <row r="87" spans="1:23" x14ac:dyDescent="0.25">
      <c r="A87" s="513" t="s">
        <v>214</v>
      </c>
      <c r="B87" s="603" t="s">
        <v>215</v>
      </c>
      <c r="C87" s="603" t="s">
        <v>268</v>
      </c>
      <c r="D87" s="268"/>
      <c r="E87" s="268"/>
      <c r="F87" s="268">
        <v>3</v>
      </c>
      <c r="G87" s="268">
        <v>140</v>
      </c>
      <c r="H87" s="268">
        <v>164</v>
      </c>
      <c r="I87" s="268">
        <v>112</v>
      </c>
      <c r="J87" s="268">
        <v>147</v>
      </c>
      <c r="K87" s="268">
        <v>141</v>
      </c>
      <c r="L87" s="268">
        <v>146</v>
      </c>
      <c r="M87" s="268">
        <v>93</v>
      </c>
      <c r="N87" s="268">
        <v>144</v>
      </c>
      <c r="O87" s="268">
        <v>144</v>
      </c>
      <c r="P87" s="268">
        <v>136</v>
      </c>
      <c r="Q87" s="268">
        <v>168</v>
      </c>
      <c r="R87" s="268">
        <v>144</v>
      </c>
      <c r="S87" s="268">
        <v>130</v>
      </c>
      <c r="T87" s="268">
        <v>146</v>
      </c>
      <c r="U87" s="268">
        <v>109</v>
      </c>
      <c r="V87" s="268">
        <f>SUM(D87:O87)</f>
        <v>1234</v>
      </c>
      <c r="W87" s="268">
        <f>SUM(J87:U87)</f>
        <v>1648</v>
      </c>
    </row>
    <row r="88" spans="1:23" x14ac:dyDescent="0.25">
      <c r="A88" s="513" t="s">
        <v>216</v>
      </c>
      <c r="B88" s="603" t="s">
        <v>217</v>
      </c>
      <c r="C88" s="603" t="s">
        <v>264</v>
      </c>
      <c r="D88" s="268"/>
      <c r="E88" s="268"/>
      <c r="F88" s="268"/>
      <c r="G88" s="268">
        <v>78</v>
      </c>
      <c r="H88" s="268">
        <v>67</v>
      </c>
      <c r="I88" s="268">
        <v>59</v>
      </c>
      <c r="J88" s="268">
        <v>77</v>
      </c>
      <c r="K88" s="268">
        <v>54</v>
      </c>
      <c r="L88" s="268">
        <v>49</v>
      </c>
      <c r="M88" s="268">
        <v>44</v>
      </c>
      <c r="N88" s="268">
        <v>52</v>
      </c>
      <c r="O88" s="268">
        <v>57</v>
      </c>
      <c r="P88" s="268">
        <v>68</v>
      </c>
      <c r="Q88" s="268">
        <v>66</v>
      </c>
      <c r="R88" s="268">
        <v>54</v>
      </c>
      <c r="S88" s="268">
        <v>59</v>
      </c>
      <c r="T88" s="268">
        <v>51</v>
      </c>
      <c r="U88" s="268">
        <v>41</v>
      </c>
      <c r="V88" s="268">
        <f>SUM(D88:O88)</f>
        <v>537</v>
      </c>
      <c r="W88" s="268">
        <f>SUM(J88:U88)</f>
        <v>672</v>
      </c>
    </row>
    <row r="89" spans="1:23" x14ac:dyDescent="0.25">
      <c r="A89" s="513" t="s">
        <v>218</v>
      </c>
      <c r="B89" s="603" t="s">
        <v>219</v>
      </c>
      <c r="C89" s="603" t="s">
        <v>267</v>
      </c>
      <c r="D89" s="268"/>
      <c r="E89" s="268"/>
      <c r="F89" s="268">
        <v>3</v>
      </c>
      <c r="G89" s="268">
        <v>437</v>
      </c>
      <c r="H89" s="268">
        <v>364</v>
      </c>
      <c r="I89" s="268">
        <v>293</v>
      </c>
      <c r="J89" s="268">
        <v>405</v>
      </c>
      <c r="K89" s="268">
        <v>369</v>
      </c>
      <c r="L89" s="268">
        <v>314</v>
      </c>
      <c r="M89" s="268">
        <v>285</v>
      </c>
      <c r="N89" s="268">
        <v>335</v>
      </c>
      <c r="O89" s="268">
        <v>329</v>
      </c>
      <c r="P89" s="268">
        <v>356</v>
      </c>
      <c r="Q89" s="268">
        <v>394</v>
      </c>
      <c r="R89" s="268">
        <v>349</v>
      </c>
      <c r="S89" s="268">
        <v>368</v>
      </c>
      <c r="T89" s="268">
        <v>341</v>
      </c>
      <c r="U89" s="268">
        <v>317</v>
      </c>
      <c r="V89" s="268">
        <f>SUM(D89:O89)</f>
        <v>3134</v>
      </c>
      <c r="W89" s="268">
        <f>SUM(J89:U89)</f>
        <v>4162</v>
      </c>
    </row>
    <row r="90" spans="1:23" x14ac:dyDescent="0.25">
      <c r="A90" s="513" t="s">
        <v>220</v>
      </c>
      <c r="B90" s="603" t="s">
        <v>221</v>
      </c>
      <c r="C90" s="603" t="s">
        <v>267</v>
      </c>
      <c r="D90" s="268"/>
      <c r="E90" s="268"/>
      <c r="F90" s="268">
        <v>88</v>
      </c>
      <c r="G90" s="268">
        <v>351</v>
      </c>
      <c r="H90" s="268">
        <v>332</v>
      </c>
      <c r="I90" s="268">
        <v>275</v>
      </c>
      <c r="J90" s="268">
        <v>328</v>
      </c>
      <c r="K90" s="268">
        <v>351</v>
      </c>
      <c r="L90" s="268">
        <v>265</v>
      </c>
      <c r="M90" s="268">
        <v>248</v>
      </c>
      <c r="N90" s="268">
        <v>312</v>
      </c>
      <c r="O90" s="268">
        <v>264</v>
      </c>
      <c r="P90" s="268">
        <v>252</v>
      </c>
      <c r="Q90" s="268">
        <v>353</v>
      </c>
      <c r="R90" s="268">
        <v>298</v>
      </c>
      <c r="S90" s="268">
        <v>248</v>
      </c>
      <c r="T90" s="268">
        <v>284</v>
      </c>
      <c r="U90" s="268">
        <v>226</v>
      </c>
      <c r="V90" s="268">
        <f>SUM(D90:O90)</f>
        <v>2814</v>
      </c>
      <c r="W90" s="268">
        <f>SUM(J90:U90)</f>
        <v>3429</v>
      </c>
    </row>
    <row r="91" spans="1:23" x14ac:dyDescent="0.25">
      <c r="A91" s="513" t="s">
        <v>224</v>
      </c>
      <c r="B91" s="603" t="s">
        <v>225</v>
      </c>
      <c r="C91" s="603" t="s">
        <v>264</v>
      </c>
      <c r="D91" s="268"/>
      <c r="E91" s="268"/>
      <c r="F91" s="268">
        <v>1</v>
      </c>
      <c r="G91" s="268">
        <v>20</v>
      </c>
      <c r="H91" s="268">
        <v>20</v>
      </c>
      <c r="I91" s="268">
        <v>16</v>
      </c>
      <c r="J91" s="268">
        <v>29</v>
      </c>
      <c r="K91" s="268">
        <v>20</v>
      </c>
      <c r="L91" s="268">
        <v>21</v>
      </c>
      <c r="M91" s="268">
        <v>17</v>
      </c>
      <c r="N91" s="268">
        <v>22</v>
      </c>
      <c r="O91" s="268">
        <v>19</v>
      </c>
      <c r="P91" s="268">
        <v>23</v>
      </c>
      <c r="Q91" s="268">
        <v>30</v>
      </c>
      <c r="R91" s="268">
        <v>21</v>
      </c>
      <c r="S91" s="268">
        <v>25</v>
      </c>
      <c r="T91" s="268">
        <v>21</v>
      </c>
      <c r="U91" s="268">
        <v>17</v>
      </c>
      <c r="V91" s="268">
        <f>SUM(D91:O91)</f>
        <v>185</v>
      </c>
      <c r="W91" s="268">
        <f>SUM(J91:U91)</f>
        <v>265</v>
      </c>
    </row>
    <row r="92" spans="1:23" x14ac:dyDescent="0.25">
      <c r="A92" s="513" t="s">
        <v>226</v>
      </c>
      <c r="B92" s="603" t="s">
        <v>227</v>
      </c>
      <c r="C92" s="603" t="s">
        <v>264</v>
      </c>
      <c r="D92" s="268"/>
      <c r="E92" s="268"/>
      <c r="F92" s="268"/>
      <c r="G92" s="268">
        <v>57</v>
      </c>
      <c r="H92" s="268">
        <v>46</v>
      </c>
      <c r="I92" s="268">
        <v>40</v>
      </c>
      <c r="J92" s="268">
        <v>50</v>
      </c>
      <c r="K92" s="268">
        <v>43</v>
      </c>
      <c r="L92" s="268">
        <v>44</v>
      </c>
      <c r="M92" s="268">
        <v>29</v>
      </c>
      <c r="N92" s="268">
        <v>47</v>
      </c>
      <c r="O92" s="268">
        <v>48</v>
      </c>
      <c r="P92" s="268">
        <v>50</v>
      </c>
      <c r="Q92" s="268">
        <v>44</v>
      </c>
      <c r="R92" s="268">
        <v>50</v>
      </c>
      <c r="S92" s="268">
        <v>45</v>
      </c>
      <c r="T92" s="268">
        <v>55</v>
      </c>
      <c r="U92" s="268">
        <v>38</v>
      </c>
      <c r="V92" s="268">
        <f>SUM(D92:O92)</f>
        <v>404</v>
      </c>
      <c r="W92" s="268">
        <f>SUM(J92:U92)</f>
        <v>543</v>
      </c>
    </row>
    <row r="93" spans="1:23" x14ac:dyDescent="0.25">
      <c r="A93" s="513" t="s">
        <v>228</v>
      </c>
      <c r="B93" s="603" t="s">
        <v>229</v>
      </c>
      <c r="C93" s="603" t="s">
        <v>268</v>
      </c>
      <c r="D93" s="268"/>
      <c r="E93" s="268"/>
      <c r="F93" s="268">
        <v>1</v>
      </c>
      <c r="G93" s="268">
        <v>184</v>
      </c>
      <c r="H93" s="268">
        <v>174</v>
      </c>
      <c r="I93" s="268">
        <v>144</v>
      </c>
      <c r="J93" s="268">
        <v>201</v>
      </c>
      <c r="K93" s="268">
        <v>170</v>
      </c>
      <c r="L93" s="268">
        <v>153</v>
      </c>
      <c r="M93" s="268">
        <v>117</v>
      </c>
      <c r="N93" s="268">
        <v>165</v>
      </c>
      <c r="O93" s="268">
        <v>169</v>
      </c>
      <c r="P93" s="268">
        <v>155</v>
      </c>
      <c r="Q93" s="268">
        <v>176</v>
      </c>
      <c r="R93" s="268">
        <v>166</v>
      </c>
      <c r="S93" s="268">
        <v>186</v>
      </c>
      <c r="T93" s="268">
        <v>167</v>
      </c>
      <c r="U93" s="268">
        <v>133</v>
      </c>
      <c r="V93" s="268">
        <f>SUM(D93:O93)</f>
        <v>1478</v>
      </c>
      <c r="W93" s="268">
        <f>SUM(J93:U93)</f>
        <v>1958</v>
      </c>
    </row>
    <row r="94" spans="1:23" x14ac:dyDescent="0.25">
      <c r="A94" s="513" t="s">
        <v>232</v>
      </c>
      <c r="B94" s="603" t="s">
        <v>233</v>
      </c>
      <c r="C94" s="603" t="s">
        <v>267</v>
      </c>
      <c r="D94" s="268"/>
      <c r="E94" s="268"/>
      <c r="F94" s="268"/>
      <c r="G94" s="268">
        <v>106</v>
      </c>
      <c r="H94" s="268">
        <v>104</v>
      </c>
      <c r="I94" s="268">
        <v>103</v>
      </c>
      <c r="J94" s="268">
        <v>135</v>
      </c>
      <c r="K94" s="268">
        <v>116</v>
      </c>
      <c r="L94" s="268">
        <v>98</v>
      </c>
      <c r="M94" s="268">
        <v>102</v>
      </c>
      <c r="N94" s="268">
        <v>113</v>
      </c>
      <c r="O94" s="268">
        <v>112</v>
      </c>
      <c r="P94" s="268">
        <v>126</v>
      </c>
      <c r="Q94" s="268">
        <v>123</v>
      </c>
      <c r="R94" s="268">
        <v>109</v>
      </c>
      <c r="S94" s="268">
        <v>115</v>
      </c>
      <c r="T94" s="268">
        <v>82</v>
      </c>
      <c r="U94" s="268">
        <v>90</v>
      </c>
      <c r="V94" s="268">
        <f>SUM(D94:O94)</f>
        <v>989</v>
      </c>
      <c r="W94" s="268">
        <f>SUM(J94:U94)</f>
        <v>1321</v>
      </c>
    </row>
    <row r="95" spans="1:23" x14ac:dyDescent="0.25">
      <c r="A95" s="513" t="s">
        <v>234</v>
      </c>
      <c r="B95" s="603" t="s">
        <v>235</v>
      </c>
      <c r="C95" s="603" t="s">
        <v>268</v>
      </c>
      <c r="D95" s="268"/>
      <c r="E95" s="268"/>
      <c r="F95" s="268">
        <v>4</v>
      </c>
      <c r="G95" s="268">
        <v>175</v>
      </c>
      <c r="H95" s="268">
        <v>159</v>
      </c>
      <c r="I95" s="268">
        <v>131</v>
      </c>
      <c r="J95" s="268">
        <v>175</v>
      </c>
      <c r="K95" s="268">
        <v>162</v>
      </c>
      <c r="L95" s="268">
        <v>146</v>
      </c>
      <c r="M95" s="268">
        <v>169</v>
      </c>
      <c r="N95" s="268">
        <v>150</v>
      </c>
      <c r="O95" s="268">
        <v>152</v>
      </c>
      <c r="P95" s="268">
        <v>168</v>
      </c>
      <c r="Q95" s="268">
        <v>207</v>
      </c>
      <c r="R95" s="268">
        <v>166</v>
      </c>
      <c r="S95" s="268">
        <v>187</v>
      </c>
      <c r="T95" s="268">
        <v>184</v>
      </c>
      <c r="U95" s="268">
        <v>138</v>
      </c>
      <c r="V95" s="268">
        <f>SUM(D95:O95)</f>
        <v>1423</v>
      </c>
      <c r="W95" s="268">
        <f>SUM(J95:U95)</f>
        <v>2004</v>
      </c>
    </row>
    <row r="96" spans="1:23" x14ac:dyDescent="0.25">
      <c r="A96" s="513" t="s">
        <v>236</v>
      </c>
      <c r="B96" s="603" t="s">
        <v>237</v>
      </c>
      <c r="C96" s="603" t="s">
        <v>266</v>
      </c>
      <c r="D96" s="268"/>
      <c r="E96" s="268"/>
      <c r="F96" s="268">
        <v>1</v>
      </c>
      <c r="G96" s="268">
        <v>78</v>
      </c>
      <c r="H96" s="268">
        <v>83</v>
      </c>
      <c r="I96" s="268">
        <v>68</v>
      </c>
      <c r="J96" s="268">
        <v>116</v>
      </c>
      <c r="K96" s="268">
        <v>60</v>
      </c>
      <c r="L96" s="268">
        <v>75</v>
      </c>
      <c r="M96" s="268">
        <v>34</v>
      </c>
      <c r="N96" s="268">
        <v>65</v>
      </c>
      <c r="O96" s="268">
        <v>50</v>
      </c>
      <c r="P96" s="268">
        <v>64</v>
      </c>
      <c r="Q96" s="268">
        <v>76</v>
      </c>
      <c r="R96" s="268">
        <v>84</v>
      </c>
      <c r="S96" s="268">
        <v>87</v>
      </c>
      <c r="T96" s="268">
        <v>78</v>
      </c>
      <c r="U96" s="268">
        <v>47</v>
      </c>
      <c r="V96" s="268">
        <f>SUM(D96:O96)</f>
        <v>630</v>
      </c>
      <c r="W96" s="268">
        <f>SUM(J96:U96)</f>
        <v>836</v>
      </c>
    </row>
    <row r="97" spans="1:23" x14ac:dyDescent="0.25">
      <c r="A97" s="513" t="s">
        <v>242</v>
      </c>
      <c r="B97" s="603" t="s">
        <v>243</v>
      </c>
      <c r="C97" s="603" t="s">
        <v>268</v>
      </c>
      <c r="D97" s="268"/>
      <c r="E97" s="268"/>
      <c r="F97" s="268"/>
      <c r="G97" s="268">
        <v>209</v>
      </c>
      <c r="H97" s="268">
        <v>158</v>
      </c>
      <c r="I97" s="268">
        <v>131</v>
      </c>
      <c r="J97" s="268">
        <v>172</v>
      </c>
      <c r="K97" s="268">
        <v>156</v>
      </c>
      <c r="L97" s="268">
        <v>153</v>
      </c>
      <c r="M97" s="268">
        <v>114</v>
      </c>
      <c r="N97" s="268">
        <v>118</v>
      </c>
      <c r="O97" s="268">
        <v>152</v>
      </c>
      <c r="P97" s="268">
        <v>169</v>
      </c>
      <c r="Q97" s="268">
        <v>181</v>
      </c>
      <c r="R97" s="268">
        <v>164</v>
      </c>
      <c r="S97" s="268">
        <v>153</v>
      </c>
      <c r="T97" s="268">
        <v>166</v>
      </c>
      <c r="U97" s="268">
        <v>109</v>
      </c>
      <c r="V97" s="268">
        <f>SUM(D97:O97)</f>
        <v>1363</v>
      </c>
      <c r="W97" s="268">
        <f>SUM(J97:U97)</f>
        <v>1807</v>
      </c>
    </row>
    <row r="98" spans="1:23" x14ac:dyDescent="0.25">
      <c r="A98" s="513" t="s">
        <v>244</v>
      </c>
      <c r="B98" s="603" t="s">
        <v>245</v>
      </c>
      <c r="C98" s="603" t="s">
        <v>268</v>
      </c>
      <c r="D98" s="268"/>
      <c r="E98" s="268"/>
      <c r="F98" s="268"/>
      <c r="G98" s="268">
        <v>136</v>
      </c>
      <c r="H98" s="268">
        <v>121</v>
      </c>
      <c r="I98" s="268">
        <v>83</v>
      </c>
      <c r="J98" s="268">
        <v>144</v>
      </c>
      <c r="K98" s="268">
        <v>108</v>
      </c>
      <c r="L98" s="268">
        <v>108</v>
      </c>
      <c r="M98" s="268">
        <v>91</v>
      </c>
      <c r="N98" s="268">
        <v>103</v>
      </c>
      <c r="O98" s="268">
        <v>128</v>
      </c>
      <c r="P98" s="268">
        <v>109</v>
      </c>
      <c r="Q98" s="268">
        <v>144</v>
      </c>
      <c r="R98" s="268">
        <v>105</v>
      </c>
      <c r="S98" s="268">
        <v>112</v>
      </c>
      <c r="T98" s="268">
        <v>119</v>
      </c>
      <c r="U98" s="268">
        <v>81</v>
      </c>
      <c r="V98" s="268">
        <f>SUM(D98:O98)</f>
        <v>1022</v>
      </c>
      <c r="W98" s="268">
        <f>SUM(J98:U98)</f>
        <v>1352</v>
      </c>
    </row>
    <row r="99" spans="1:23" x14ac:dyDescent="0.25">
      <c r="A99" s="513" t="s">
        <v>246</v>
      </c>
      <c r="B99" s="603" t="s">
        <v>247</v>
      </c>
      <c r="C99" s="603" t="s">
        <v>264</v>
      </c>
      <c r="D99" s="268"/>
      <c r="E99" s="268"/>
      <c r="F99" s="268">
        <v>1</v>
      </c>
      <c r="G99" s="268">
        <v>117</v>
      </c>
      <c r="H99" s="268">
        <v>122</v>
      </c>
      <c r="I99" s="268">
        <v>83</v>
      </c>
      <c r="J99" s="268">
        <v>142</v>
      </c>
      <c r="K99" s="268">
        <v>79</v>
      </c>
      <c r="L99" s="268">
        <v>89</v>
      </c>
      <c r="M99" s="268">
        <v>100</v>
      </c>
      <c r="N99" s="268">
        <v>101</v>
      </c>
      <c r="O99" s="268">
        <v>116</v>
      </c>
      <c r="P99" s="268">
        <v>88</v>
      </c>
      <c r="Q99" s="268">
        <v>125</v>
      </c>
      <c r="R99" s="268">
        <v>118</v>
      </c>
      <c r="S99" s="268">
        <v>134</v>
      </c>
      <c r="T99" s="268">
        <v>119</v>
      </c>
      <c r="U99" s="268">
        <v>77</v>
      </c>
      <c r="V99" s="268">
        <f>SUM(D99:O99)</f>
        <v>950</v>
      </c>
      <c r="W99" s="268">
        <f>SUM(J99:U99)</f>
        <v>1288</v>
      </c>
    </row>
    <row r="100" spans="1:23" x14ac:dyDescent="0.25">
      <c r="A100" s="513" t="s">
        <v>14</v>
      </c>
      <c r="B100" s="603" t="s">
        <v>15</v>
      </c>
      <c r="C100" s="603" t="s">
        <v>267</v>
      </c>
      <c r="D100" s="268"/>
      <c r="E100" s="268"/>
      <c r="F100" s="268">
        <v>46</v>
      </c>
      <c r="G100" s="268">
        <v>446</v>
      </c>
      <c r="H100" s="268">
        <v>310</v>
      </c>
      <c r="I100" s="268">
        <v>353</v>
      </c>
      <c r="J100" s="268">
        <v>372</v>
      </c>
      <c r="K100" s="268">
        <v>321</v>
      </c>
      <c r="L100" s="268">
        <v>355</v>
      </c>
      <c r="M100" s="268">
        <v>309</v>
      </c>
      <c r="N100" s="268">
        <v>320</v>
      </c>
      <c r="O100" s="268">
        <v>328</v>
      </c>
      <c r="P100" s="268">
        <v>329</v>
      </c>
      <c r="Q100" s="268">
        <v>366</v>
      </c>
      <c r="R100" s="268">
        <v>323</v>
      </c>
      <c r="S100" s="268">
        <v>354</v>
      </c>
      <c r="T100" s="268">
        <v>302</v>
      </c>
      <c r="U100" s="268">
        <v>279</v>
      </c>
      <c r="V100" s="268">
        <f>SUM(D100:O100)</f>
        <v>3160</v>
      </c>
      <c r="W100" s="268">
        <f>SUM(J100:U100)</f>
        <v>3958</v>
      </c>
    </row>
    <row r="101" spans="1:23" x14ac:dyDescent="0.25">
      <c r="A101" s="513" t="s">
        <v>34</v>
      </c>
      <c r="B101" s="603" t="s">
        <v>35</v>
      </c>
      <c r="C101" s="603" t="s">
        <v>268</v>
      </c>
      <c r="D101" s="268"/>
      <c r="E101" s="268"/>
      <c r="F101" s="268">
        <v>1</v>
      </c>
      <c r="G101" s="268">
        <v>137</v>
      </c>
      <c r="H101" s="268">
        <v>102</v>
      </c>
      <c r="I101" s="268">
        <v>87</v>
      </c>
      <c r="J101" s="268">
        <v>124</v>
      </c>
      <c r="K101" s="268">
        <v>98</v>
      </c>
      <c r="L101" s="268">
        <v>104</v>
      </c>
      <c r="M101" s="268">
        <v>87</v>
      </c>
      <c r="N101" s="268">
        <v>108</v>
      </c>
      <c r="O101" s="268">
        <v>81</v>
      </c>
      <c r="P101" s="268">
        <v>90</v>
      </c>
      <c r="Q101" s="268">
        <v>144</v>
      </c>
      <c r="R101" s="268">
        <v>94</v>
      </c>
      <c r="S101" s="268">
        <v>125</v>
      </c>
      <c r="T101" s="268">
        <v>103</v>
      </c>
      <c r="U101" s="268">
        <v>85</v>
      </c>
      <c r="V101" s="268">
        <f>SUM(D101:O101)</f>
        <v>929</v>
      </c>
      <c r="W101" s="268">
        <f>SUM(J101:U101)</f>
        <v>1243</v>
      </c>
    </row>
    <row r="102" spans="1:23" x14ac:dyDescent="0.25">
      <c r="A102" s="513" t="s">
        <v>52</v>
      </c>
      <c r="B102" s="603" t="s">
        <v>53</v>
      </c>
      <c r="C102" s="603" t="s">
        <v>265</v>
      </c>
      <c r="D102" s="268">
        <v>158</v>
      </c>
      <c r="E102" s="268">
        <v>179</v>
      </c>
      <c r="F102" s="268">
        <v>140</v>
      </c>
      <c r="G102" s="268">
        <v>158</v>
      </c>
      <c r="H102" s="268">
        <v>139</v>
      </c>
      <c r="I102" s="268">
        <v>143</v>
      </c>
      <c r="J102" s="268">
        <v>174</v>
      </c>
      <c r="K102" s="268">
        <v>122</v>
      </c>
      <c r="L102" s="268">
        <v>139</v>
      </c>
      <c r="M102" s="268">
        <v>121</v>
      </c>
      <c r="N102" s="268">
        <v>149</v>
      </c>
      <c r="O102" s="268">
        <v>153</v>
      </c>
      <c r="P102" s="268">
        <v>140</v>
      </c>
      <c r="Q102" s="268">
        <v>167</v>
      </c>
      <c r="R102" s="268">
        <v>143</v>
      </c>
      <c r="S102" s="268">
        <v>133</v>
      </c>
      <c r="T102" s="268">
        <v>129</v>
      </c>
      <c r="U102" s="268">
        <v>116</v>
      </c>
      <c r="V102" s="268">
        <f>SUM(D102:O102)</f>
        <v>1775</v>
      </c>
      <c r="W102" s="268">
        <f>SUM(J102:U102)</f>
        <v>1686</v>
      </c>
    </row>
    <row r="103" spans="1:23" x14ac:dyDescent="0.25">
      <c r="A103" s="513" t="s">
        <v>54</v>
      </c>
      <c r="B103" s="603" t="s">
        <v>55</v>
      </c>
      <c r="C103" s="603" t="s">
        <v>264</v>
      </c>
      <c r="D103" s="268"/>
      <c r="E103" s="268">
        <v>1</v>
      </c>
      <c r="F103" s="268">
        <v>2</v>
      </c>
      <c r="G103" s="268">
        <v>709</v>
      </c>
      <c r="H103" s="268">
        <v>682</v>
      </c>
      <c r="I103" s="268">
        <v>613</v>
      </c>
      <c r="J103" s="268">
        <v>799</v>
      </c>
      <c r="K103" s="268">
        <v>692</v>
      </c>
      <c r="L103" s="268">
        <v>614</v>
      </c>
      <c r="M103" s="268">
        <v>498</v>
      </c>
      <c r="N103" s="268">
        <v>646</v>
      </c>
      <c r="O103" s="268">
        <v>638</v>
      </c>
      <c r="P103" s="268">
        <v>681</v>
      </c>
      <c r="Q103" s="268">
        <v>770</v>
      </c>
      <c r="R103" s="268">
        <v>682</v>
      </c>
      <c r="S103" s="268">
        <v>672</v>
      </c>
      <c r="T103" s="268">
        <v>606</v>
      </c>
      <c r="U103" s="268">
        <v>566</v>
      </c>
      <c r="V103" s="268">
        <f>SUM(D103:O103)</f>
        <v>5894</v>
      </c>
      <c r="W103" s="268">
        <f>SUM(J103:U103)</f>
        <v>7864</v>
      </c>
    </row>
    <row r="104" spans="1:23" x14ac:dyDescent="0.25">
      <c r="A104" s="513" t="s">
        <v>66</v>
      </c>
      <c r="B104" s="603" t="s">
        <v>67</v>
      </c>
      <c r="C104" s="603" t="s">
        <v>265</v>
      </c>
      <c r="D104" s="268">
        <v>236</v>
      </c>
      <c r="E104" s="268">
        <v>270</v>
      </c>
      <c r="F104" s="268">
        <v>231</v>
      </c>
      <c r="G104" s="268">
        <v>237</v>
      </c>
      <c r="H104" s="268">
        <v>240</v>
      </c>
      <c r="I104" s="268">
        <v>205</v>
      </c>
      <c r="J104" s="268">
        <v>355</v>
      </c>
      <c r="K104" s="268">
        <v>201</v>
      </c>
      <c r="L104" s="268">
        <v>217</v>
      </c>
      <c r="M104" s="268">
        <v>225</v>
      </c>
      <c r="N104" s="268">
        <v>255</v>
      </c>
      <c r="O104" s="268">
        <v>292</v>
      </c>
      <c r="P104" s="268">
        <v>281</v>
      </c>
      <c r="Q104" s="268">
        <v>292</v>
      </c>
      <c r="R104" s="268">
        <v>239</v>
      </c>
      <c r="S104" s="268">
        <v>263</v>
      </c>
      <c r="T104" s="268">
        <v>266</v>
      </c>
      <c r="U104" s="268">
        <v>195</v>
      </c>
      <c r="V104" s="268">
        <f>SUM(D104:O104)</f>
        <v>2964</v>
      </c>
      <c r="W104" s="268">
        <f>SUM(J104:U104)</f>
        <v>3081</v>
      </c>
    </row>
    <row r="105" spans="1:23" x14ac:dyDescent="0.25">
      <c r="A105" s="513" t="s">
        <v>82</v>
      </c>
      <c r="B105" s="603" t="s">
        <v>83</v>
      </c>
      <c r="C105" s="603" t="s">
        <v>264</v>
      </c>
      <c r="D105" s="268"/>
      <c r="E105" s="268"/>
      <c r="F105" s="268">
        <v>3</v>
      </c>
      <c r="G105" s="268">
        <v>61</v>
      </c>
      <c r="H105" s="268">
        <v>60</v>
      </c>
      <c r="I105" s="268">
        <v>45</v>
      </c>
      <c r="J105" s="268">
        <v>54</v>
      </c>
      <c r="K105" s="268">
        <v>49</v>
      </c>
      <c r="L105" s="268">
        <v>45</v>
      </c>
      <c r="M105" s="268">
        <v>50</v>
      </c>
      <c r="N105" s="268">
        <v>65</v>
      </c>
      <c r="O105" s="268">
        <v>50</v>
      </c>
      <c r="P105" s="268">
        <v>45</v>
      </c>
      <c r="Q105" s="268">
        <v>74</v>
      </c>
      <c r="R105" s="268">
        <v>48</v>
      </c>
      <c r="S105" s="268">
        <v>64</v>
      </c>
      <c r="T105" s="268">
        <v>51</v>
      </c>
      <c r="U105" s="268">
        <v>38</v>
      </c>
      <c r="V105" s="268">
        <f>SUM(D105:O105)</f>
        <v>482</v>
      </c>
      <c r="W105" s="268">
        <f>SUM(J105:U105)</f>
        <v>633</v>
      </c>
    </row>
    <row r="106" spans="1:23" x14ac:dyDescent="0.25">
      <c r="A106" s="513" t="s">
        <v>88</v>
      </c>
      <c r="B106" s="603" t="s">
        <v>89</v>
      </c>
      <c r="C106" s="603" t="s">
        <v>267</v>
      </c>
      <c r="D106" s="268"/>
      <c r="E106" s="268"/>
      <c r="F106" s="268">
        <v>4</v>
      </c>
      <c r="G106" s="268">
        <v>194</v>
      </c>
      <c r="H106" s="268">
        <v>197</v>
      </c>
      <c r="I106" s="268">
        <v>160</v>
      </c>
      <c r="J106" s="268">
        <v>181</v>
      </c>
      <c r="K106" s="268">
        <v>145</v>
      </c>
      <c r="L106" s="268">
        <v>189</v>
      </c>
      <c r="M106" s="268">
        <v>123</v>
      </c>
      <c r="N106" s="268">
        <v>143</v>
      </c>
      <c r="O106" s="268">
        <v>155</v>
      </c>
      <c r="P106" s="268">
        <v>170</v>
      </c>
      <c r="Q106" s="268">
        <v>170</v>
      </c>
      <c r="R106" s="268">
        <v>179</v>
      </c>
      <c r="S106" s="268">
        <v>174</v>
      </c>
      <c r="T106" s="268">
        <v>157</v>
      </c>
      <c r="U106" s="268">
        <v>130</v>
      </c>
      <c r="V106" s="268">
        <f>SUM(D106:O106)</f>
        <v>1491</v>
      </c>
      <c r="W106" s="268">
        <f>SUM(J106:U106)</f>
        <v>1916</v>
      </c>
    </row>
    <row r="107" spans="1:23" x14ac:dyDescent="0.25">
      <c r="A107" s="513" t="s">
        <v>90</v>
      </c>
      <c r="B107" s="603" t="s">
        <v>91</v>
      </c>
      <c r="C107" s="603" t="s">
        <v>268</v>
      </c>
      <c r="D107" s="268"/>
      <c r="E107" s="268"/>
      <c r="F107" s="268"/>
      <c r="G107" s="268">
        <v>30</v>
      </c>
      <c r="H107" s="268">
        <v>49</v>
      </c>
      <c r="I107" s="268">
        <v>40</v>
      </c>
      <c r="J107" s="268">
        <v>39</v>
      </c>
      <c r="K107" s="268">
        <v>41</v>
      </c>
      <c r="L107" s="268">
        <v>30</v>
      </c>
      <c r="M107" s="268">
        <v>24</v>
      </c>
      <c r="N107" s="268">
        <v>37</v>
      </c>
      <c r="O107" s="268">
        <v>39</v>
      </c>
      <c r="P107" s="268">
        <v>33</v>
      </c>
      <c r="Q107" s="268">
        <v>46</v>
      </c>
      <c r="R107" s="268">
        <v>24</v>
      </c>
      <c r="S107" s="268">
        <v>47</v>
      </c>
      <c r="T107" s="268">
        <v>46</v>
      </c>
      <c r="U107" s="268">
        <v>29</v>
      </c>
      <c r="V107" s="268">
        <f>SUM(D107:O107)</f>
        <v>329</v>
      </c>
      <c r="W107" s="268">
        <f>SUM(J107:U107)</f>
        <v>435</v>
      </c>
    </row>
    <row r="108" spans="1:23" x14ac:dyDescent="0.25">
      <c r="A108" s="513" t="s">
        <v>106</v>
      </c>
      <c r="B108" s="603" t="s">
        <v>107</v>
      </c>
      <c r="C108" s="603" t="s">
        <v>264</v>
      </c>
      <c r="D108" s="268"/>
      <c r="E108" s="268"/>
      <c r="F108" s="268">
        <v>13</v>
      </c>
      <c r="G108" s="268">
        <v>815</v>
      </c>
      <c r="H108" s="268">
        <v>667</v>
      </c>
      <c r="I108" s="268">
        <v>578</v>
      </c>
      <c r="J108" s="268">
        <v>797</v>
      </c>
      <c r="K108" s="268">
        <v>658</v>
      </c>
      <c r="L108" s="268">
        <v>596</v>
      </c>
      <c r="M108" s="268">
        <v>577</v>
      </c>
      <c r="N108" s="268">
        <v>687</v>
      </c>
      <c r="O108" s="268">
        <v>662</v>
      </c>
      <c r="P108" s="268">
        <v>629</v>
      </c>
      <c r="Q108" s="268">
        <v>773</v>
      </c>
      <c r="R108" s="268">
        <v>658</v>
      </c>
      <c r="S108" s="268">
        <v>668</v>
      </c>
      <c r="T108" s="268">
        <v>648</v>
      </c>
      <c r="U108" s="268">
        <v>531</v>
      </c>
      <c r="V108" s="268">
        <f>SUM(D108:O108)</f>
        <v>6050</v>
      </c>
      <c r="W108" s="268">
        <f>SUM(J108:U108)</f>
        <v>7884</v>
      </c>
    </row>
    <row r="109" spans="1:23" x14ac:dyDescent="0.25">
      <c r="A109" s="513" t="s">
        <v>116</v>
      </c>
      <c r="B109" s="603" t="s">
        <v>117</v>
      </c>
      <c r="C109" s="603" t="s">
        <v>266</v>
      </c>
      <c r="D109" s="268"/>
      <c r="E109" s="268"/>
      <c r="F109" s="268"/>
      <c r="G109" s="268">
        <v>176</v>
      </c>
      <c r="H109" s="268">
        <v>145</v>
      </c>
      <c r="I109" s="268">
        <v>140</v>
      </c>
      <c r="J109" s="268">
        <v>235</v>
      </c>
      <c r="K109" s="268">
        <v>201</v>
      </c>
      <c r="L109" s="268">
        <v>163</v>
      </c>
      <c r="M109" s="268">
        <v>165</v>
      </c>
      <c r="N109" s="268">
        <v>169</v>
      </c>
      <c r="O109" s="268">
        <v>185</v>
      </c>
      <c r="P109" s="268">
        <v>148</v>
      </c>
      <c r="Q109" s="268">
        <v>161</v>
      </c>
      <c r="R109" s="268">
        <v>184</v>
      </c>
      <c r="S109" s="268">
        <v>203</v>
      </c>
      <c r="T109" s="268">
        <v>180</v>
      </c>
      <c r="U109" s="268">
        <v>131</v>
      </c>
      <c r="V109" s="268">
        <f>SUM(D109:O109)</f>
        <v>1579</v>
      </c>
      <c r="W109" s="268">
        <f>SUM(J109:U109)</f>
        <v>2125</v>
      </c>
    </row>
    <row r="110" spans="1:23" x14ac:dyDescent="0.25">
      <c r="A110" s="513" t="s">
        <v>138</v>
      </c>
      <c r="B110" s="603" t="s">
        <v>139</v>
      </c>
      <c r="C110" s="603" t="s">
        <v>265</v>
      </c>
      <c r="D110" s="268">
        <v>273</v>
      </c>
      <c r="E110" s="268">
        <v>343</v>
      </c>
      <c r="F110" s="268">
        <v>314</v>
      </c>
      <c r="G110" s="268">
        <v>340</v>
      </c>
      <c r="H110" s="268">
        <v>274</v>
      </c>
      <c r="I110" s="268">
        <v>232</v>
      </c>
      <c r="J110" s="268">
        <v>355</v>
      </c>
      <c r="K110" s="268">
        <v>238</v>
      </c>
      <c r="L110" s="268">
        <v>273</v>
      </c>
      <c r="M110" s="268">
        <v>273</v>
      </c>
      <c r="N110" s="268">
        <v>294</v>
      </c>
      <c r="O110" s="268">
        <v>320</v>
      </c>
      <c r="P110" s="268">
        <v>291</v>
      </c>
      <c r="Q110" s="268">
        <v>363</v>
      </c>
      <c r="R110" s="268">
        <v>297</v>
      </c>
      <c r="S110" s="268">
        <v>315</v>
      </c>
      <c r="T110" s="268">
        <v>314</v>
      </c>
      <c r="U110" s="268">
        <v>225</v>
      </c>
      <c r="V110" s="268">
        <f>SUM(D110:O110)</f>
        <v>3529</v>
      </c>
      <c r="W110" s="268">
        <f>SUM(J110:U110)</f>
        <v>3558</v>
      </c>
    </row>
    <row r="111" spans="1:23" x14ac:dyDescent="0.25">
      <c r="A111" s="513" t="s">
        <v>142</v>
      </c>
      <c r="B111" s="603" t="s">
        <v>143</v>
      </c>
      <c r="C111" s="603" t="s">
        <v>267</v>
      </c>
      <c r="D111" s="268"/>
      <c r="E111" s="268"/>
      <c r="F111" s="268"/>
      <c r="G111" s="268">
        <v>125</v>
      </c>
      <c r="H111" s="268">
        <v>127</v>
      </c>
      <c r="I111" s="268">
        <v>114</v>
      </c>
      <c r="J111" s="268">
        <v>115</v>
      </c>
      <c r="K111" s="268">
        <v>99</v>
      </c>
      <c r="L111" s="268">
        <v>107</v>
      </c>
      <c r="M111" s="268">
        <v>88</v>
      </c>
      <c r="N111" s="268">
        <v>112</v>
      </c>
      <c r="O111" s="268">
        <v>92</v>
      </c>
      <c r="P111" s="268">
        <v>120</v>
      </c>
      <c r="Q111" s="268">
        <v>120</v>
      </c>
      <c r="R111" s="268">
        <v>110</v>
      </c>
      <c r="S111" s="268">
        <v>101</v>
      </c>
      <c r="T111" s="268">
        <v>99</v>
      </c>
      <c r="U111" s="268">
        <v>81</v>
      </c>
      <c r="V111" s="268">
        <f>SUM(D111:O111)</f>
        <v>979</v>
      </c>
      <c r="W111" s="268">
        <f>SUM(J111:U111)</f>
        <v>1244</v>
      </c>
    </row>
    <row r="112" spans="1:23" x14ac:dyDescent="0.25">
      <c r="A112" s="513" t="s">
        <v>144</v>
      </c>
      <c r="B112" s="603" t="s">
        <v>145</v>
      </c>
      <c r="C112" s="603" t="s">
        <v>267</v>
      </c>
      <c r="D112" s="268"/>
      <c r="E112" s="268"/>
      <c r="F112" s="268">
        <v>7</v>
      </c>
      <c r="G112" s="268">
        <v>61</v>
      </c>
      <c r="H112" s="268">
        <v>42</v>
      </c>
      <c r="I112" s="268">
        <v>40</v>
      </c>
      <c r="J112" s="268">
        <v>44</v>
      </c>
      <c r="K112" s="268">
        <v>32</v>
      </c>
      <c r="L112" s="268">
        <v>43</v>
      </c>
      <c r="M112" s="268">
        <v>26</v>
      </c>
      <c r="N112" s="268">
        <v>35</v>
      </c>
      <c r="O112" s="268">
        <v>50</v>
      </c>
      <c r="P112" s="268">
        <v>27</v>
      </c>
      <c r="Q112" s="268">
        <v>32</v>
      </c>
      <c r="R112" s="268">
        <v>50</v>
      </c>
      <c r="S112" s="268">
        <v>46</v>
      </c>
      <c r="T112" s="268">
        <v>24</v>
      </c>
      <c r="U112" s="268">
        <v>37</v>
      </c>
      <c r="V112" s="268">
        <f>SUM(D112:O112)</f>
        <v>380</v>
      </c>
      <c r="W112" s="268">
        <f>SUM(J112:U112)</f>
        <v>446</v>
      </c>
    </row>
    <row r="113" spans="1:23" x14ac:dyDescent="0.25">
      <c r="A113" s="513" t="s">
        <v>158</v>
      </c>
      <c r="B113" s="603" t="s">
        <v>159</v>
      </c>
      <c r="C113" s="603" t="s">
        <v>264</v>
      </c>
      <c r="D113" s="268"/>
      <c r="E113" s="268"/>
      <c r="F113" s="268">
        <v>13</v>
      </c>
      <c r="G113" s="268">
        <v>1162</v>
      </c>
      <c r="H113" s="268">
        <v>961</v>
      </c>
      <c r="I113" s="268">
        <v>932</v>
      </c>
      <c r="J113" s="268">
        <v>1152</v>
      </c>
      <c r="K113" s="268">
        <v>1025</v>
      </c>
      <c r="L113" s="268">
        <v>911</v>
      </c>
      <c r="M113" s="268">
        <v>875</v>
      </c>
      <c r="N113" s="268">
        <v>1008</v>
      </c>
      <c r="O113" s="268">
        <v>911</v>
      </c>
      <c r="P113" s="268">
        <v>1062</v>
      </c>
      <c r="Q113" s="268">
        <v>1148</v>
      </c>
      <c r="R113" s="268">
        <v>1072</v>
      </c>
      <c r="S113" s="268">
        <v>1136</v>
      </c>
      <c r="T113" s="268">
        <v>1023</v>
      </c>
      <c r="U113" s="268">
        <v>814</v>
      </c>
      <c r="V113" s="268">
        <f>SUM(D113:O113)</f>
        <v>8950</v>
      </c>
      <c r="W113" s="268">
        <f>SUM(J113:U113)</f>
        <v>12137</v>
      </c>
    </row>
    <row r="114" spans="1:23" x14ac:dyDescent="0.25">
      <c r="A114" s="513" t="s">
        <v>160</v>
      </c>
      <c r="B114" s="603" t="s">
        <v>161</v>
      </c>
      <c r="C114" s="603" t="s">
        <v>264</v>
      </c>
      <c r="D114" s="268"/>
      <c r="E114" s="268">
        <v>1</v>
      </c>
      <c r="F114" s="268">
        <v>102</v>
      </c>
      <c r="G114" s="268">
        <v>1572</v>
      </c>
      <c r="H114" s="268">
        <v>1472</v>
      </c>
      <c r="I114" s="268">
        <v>1256</v>
      </c>
      <c r="J114" s="268">
        <v>1649</v>
      </c>
      <c r="K114" s="268">
        <v>1418</v>
      </c>
      <c r="L114" s="268">
        <v>1251</v>
      </c>
      <c r="M114" s="268">
        <v>1102</v>
      </c>
      <c r="N114" s="268">
        <v>1394</v>
      </c>
      <c r="O114" s="268">
        <v>1271</v>
      </c>
      <c r="P114" s="268">
        <v>1255</v>
      </c>
      <c r="Q114" s="268">
        <v>1449</v>
      </c>
      <c r="R114" s="268">
        <v>1230</v>
      </c>
      <c r="S114" s="268">
        <v>1368</v>
      </c>
      <c r="T114" s="268">
        <v>1304</v>
      </c>
      <c r="U114" s="268">
        <v>1063</v>
      </c>
      <c r="V114" s="268">
        <f>SUM(D114:O114)</f>
        <v>12488</v>
      </c>
      <c r="W114" s="268">
        <f>SUM(J114:U114)</f>
        <v>15754</v>
      </c>
    </row>
    <row r="115" spans="1:23" x14ac:dyDescent="0.25">
      <c r="A115" s="513" t="s">
        <v>166</v>
      </c>
      <c r="B115" s="603" t="s">
        <v>167</v>
      </c>
      <c r="C115" s="603" t="s">
        <v>268</v>
      </c>
      <c r="D115" s="268"/>
      <c r="E115" s="268"/>
      <c r="F115" s="268">
        <v>2</v>
      </c>
      <c r="G115" s="268">
        <v>16</v>
      </c>
      <c r="H115" s="268">
        <v>21</v>
      </c>
      <c r="I115" s="268">
        <v>12</v>
      </c>
      <c r="J115" s="268">
        <v>14</v>
      </c>
      <c r="K115" s="268">
        <v>20</v>
      </c>
      <c r="L115" s="268">
        <v>20</v>
      </c>
      <c r="M115" s="268">
        <v>18</v>
      </c>
      <c r="N115" s="268">
        <v>27</v>
      </c>
      <c r="O115" s="268">
        <v>24</v>
      </c>
      <c r="P115" s="268">
        <v>22</v>
      </c>
      <c r="Q115" s="268">
        <v>27</v>
      </c>
      <c r="R115" s="268">
        <v>17</v>
      </c>
      <c r="S115" s="268">
        <v>20</v>
      </c>
      <c r="T115" s="268">
        <v>28</v>
      </c>
      <c r="U115" s="268">
        <v>10</v>
      </c>
      <c r="V115" s="268">
        <f>SUM(D115:O115)</f>
        <v>174</v>
      </c>
      <c r="W115" s="268">
        <f>SUM(J115:U115)</f>
        <v>247</v>
      </c>
    </row>
    <row r="116" spans="1:23" x14ac:dyDescent="0.25">
      <c r="A116" s="513" t="s">
        <v>176</v>
      </c>
      <c r="B116" s="603" t="s">
        <v>177</v>
      </c>
      <c r="C116" s="603" t="s">
        <v>266</v>
      </c>
      <c r="D116" s="268"/>
      <c r="E116" s="268">
        <v>1</v>
      </c>
      <c r="F116" s="268">
        <v>39</v>
      </c>
      <c r="G116" s="268">
        <v>329</v>
      </c>
      <c r="H116" s="268">
        <v>295</v>
      </c>
      <c r="I116" s="268">
        <v>283</v>
      </c>
      <c r="J116" s="268">
        <v>389</v>
      </c>
      <c r="K116" s="268">
        <v>350</v>
      </c>
      <c r="L116" s="268">
        <v>314</v>
      </c>
      <c r="M116" s="268">
        <v>281</v>
      </c>
      <c r="N116" s="268">
        <v>337</v>
      </c>
      <c r="O116" s="268">
        <v>269</v>
      </c>
      <c r="P116" s="268">
        <v>341</v>
      </c>
      <c r="Q116" s="268">
        <v>343</v>
      </c>
      <c r="R116" s="268">
        <v>333</v>
      </c>
      <c r="S116" s="268">
        <v>381</v>
      </c>
      <c r="T116" s="268">
        <v>350</v>
      </c>
      <c r="U116" s="268">
        <v>288</v>
      </c>
      <c r="V116" s="268">
        <f>SUM(D116:O116)</f>
        <v>2887</v>
      </c>
      <c r="W116" s="268">
        <f>SUM(J116:U116)</f>
        <v>3976</v>
      </c>
    </row>
    <row r="117" spans="1:23" x14ac:dyDescent="0.25">
      <c r="A117" s="513" t="s">
        <v>180</v>
      </c>
      <c r="B117" s="603" t="s">
        <v>181</v>
      </c>
      <c r="C117" s="603" t="s">
        <v>264</v>
      </c>
      <c r="D117" s="268"/>
      <c r="E117" s="268"/>
      <c r="F117" s="268">
        <v>8</v>
      </c>
      <c r="G117" s="268">
        <v>636</v>
      </c>
      <c r="H117" s="268">
        <v>605</v>
      </c>
      <c r="I117" s="268">
        <v>518</v>
      </c>
      <c r="J117" s="268">
        <v>732</v>
      </c>
      <c r="K117" s="268">
        <v>666</v>
      </c>
      <c r="L117" s="268">
        <v>547</v>
      </c>
      <c r="M117" s="268">
        <v>496</v>
      </c>
      <c r="N117" s="268">
        <v>653</v>
      </c>
      <c r="O117" s="268">
        <v>645</v>
      </c>
      <c r="P117" s="268">
        <v>627</v>
      </c>
      <c r="Q117" s="268">
        <v>655</v>
      </c>
      <c r="R117" s="268">
        <v>595</v>
      </c>
      <c r="S117" s="268">
        <v>638</v>
      </c>
      <c r="T117" s="268">
        <v>552</v>
      </c>
      <c r="U117" s="268">
        <v>450</v>
      </c>
      <c r="V117" s="268">
        <f>SUM(D117:O117)</f>
        <v>5506</v>
      </c>
      <c r="W117" s="268">
        <f>SUM(J117:U117)</f>
        <v>7256</v>
      </c>
    </row>
    <row r="118" spans="1:23" x14ac:dyDescent="0.25">
      <c r="A118" s="513" t="s">
        <v>192</v>
      </c>
      <c r="B118" s="603" t="s">
        <v>193</v>
      </c>
      <c r="C118" s="603" t="s">
        <v>268</v>
      </c>
      <c r="D118" s="268"/>
      <c r="E118" s="268"/>
      <c r="F118" s="268"/>
      <c r="G118" s="268">
        <v>56</v>
      </c>
      <c r="H118" s="268">
        <v>39</v>
      </c>
      <c r="I118" s="268">
        <v>46</v>
      </c>
      <c r="J118" s="268">
        <v>52</v>
      </c>
      <c r="K118" s="268">
        <v>47</v>
      </c>
      <c r="L118" s="268">
        <v>48</v>
      </c>
      <c r="M118" s="268">
        <v>31</v>
      </c>
      <c r="N118" s="268">
        <v>49</v>
      </c>
      <c r="O118" s="268">
        <v>49</v>
      </c>
      <c r="P118" s="268">
        <v>34</v>
      </c>
      <c r="Q118" s="268">
        <v>55</v>
      </c>
      <c r="R118" s="268">
        <v>47</v>
      </c>
      <c r="S118" s="268">
        <v>58</v>
      </c>
      <c r="T118" s="268">
        <v>41</v>
      </c>
      <c r="U118" s="268">
        <v>25</v>
      </c>
      <c r="V118" s="268">
        <f>SUM(D118:O118)</f>
        <v>417</v>
      </c>
      <c r="W118" s="268">
        <f>SUM(J118:U118)</f>
        <v>536</v>
      </c>
    </row>
    <row r="119" spans="1:23" x14ac:dyDescent="0.25">
      <c r="A119" s="513" t="s">
        <v>196</v>
      </c>
      <c r="B119" s="603" t="s">
        <v>197</v>
      </c>
      <c r="C119" s="603" t="s">
        <v>266</v>
      </c>
      <c r="D119" s="268"/>
      <c r="E119" s="268"/>
      <c r="F119" s="268">
        <v>33</v>
      </c>
      <c r="G119" s="268">
        <v>1577</v>
      </c>
      <c r="H119" s="268">
        <v>1272</v>
      </c>
      <c r="I119" s="268">
        <v>1219</v>
      </c>
      <c r="J119" s="268">
        <v>1525</v>
      </c>
      <c r="K119" s="268">
        <v>1595</v>
      </c>
      <c r="L119" s="268">
        <v>1270</v>
      </c>
      <c r="M119" s="268">
        <v>1070</v>
      </c>
      <c r="N119" s="268">
        <v>1410</v>
      </c>
      <c r="O119" s="268">
        <v>1239</v>
      </c>
      <c r="P119" s="268">
        <v>1368</v>
      </c>
      <c r="Q119" s="268">
        <v>1493</v>
      </c>
      <c r="R119" s="268">
        <v>1260</v>
      </c>
      <c r="S119" s="268">
        <v>1417</v>
      </c>
      <c r="T119" s="268">
        <v>1224</v>
      </c>
      <c r="U119" s="268">
        <v>1132</v>
      </c>
      <c r="V119" s="268">
        <f>SUM(D119:O119)</f>
        <v>12210</v>
      </c>
      <c r="W119" s="268">
        <f>SUM(J119:U119)</f>
        <v>16003</v>
      </c>
    </row>
    <row r="120" spans="1:23" x14ac:dyDescent="0.25">
      <c r="A120" s="513" t="s">
        <v>200</v>
      </c>
      <c r="B120" s="603" t="s">
        <v>201</v>
      </c>
      <c r="C120" s="603" t="s">
        <v>265</v>
      </c>
      <c r="D120" s="268">
        <v>502</v>
      </c>
      <c r="E120" s="268">
        <v>626</v>
      </c>
      <c r="F120" s="268">
        <v>532</v>
      </c>
      <c r="G120" s="268">
        <v>685</v>
      </c>
      <c r="H120" s="268">
        <v>613</v>
      </c>
      <c r="I120" s="268">
        <v>576</v>
      </c>
      <c r="J120" s="268">
        <v>702</v>
      </c>
      <c r="K120" s="268">
        <v>506</v>
      </c>
      <c r="L120" s="268">
        <v>559</v>
      </c>
      <c r="M120" s="268">
        <v>561</v>
      </c>
      <c r="N120" s="268">
        <v>662</v>
      </c>
      <c r="O120" s="268">
        <v>594</v>
      </c>
      <c r="P120" s="268">
        <v>632</v>
      </c>
      <c r="Q120" s="268">
        <v>670</v>
      </c>
      <c r="R120" s="268">
        <v>566</v>
      </c>
      <c r="S120" s="268">
        <v>603</v>
      </c>
      <c r="T120" s="268">
        <v>585</v>
      </c>
      <c r="U120" s="268">
        <v>501</v>
      </c>
      <c r="V120" s="268">
        <f>SUM(D120:O120)</f>
        <v>7118</v>
      </c>
      <c r="W120" s="268">
        <f>SUM(J120:U120)</f>
        <v>7141</v>
      </c>
    </row>
    <row r="121" spans="1:23" x14ac:dyDescent="0.25">
      <c r="A121" s="513" t="s">
        <v>222</v>
      </c>
      <c r="B121" s="603" t="s">
        <v>223</v>
      </c>
      <c r="C121" s="603" t="s">
        <v>264</v>
      </c>
      <c r="D121" s="268"/>
      <c r="E121" s="268"/>
      <c r="F121" s="268"/>
      <c r="G121" s="268">
        <v>408</v>
      </c>
      <c r="H121" s="268">
        <v>348</v>
      </c>
      <c r="I121" s="268">
        <v>342</v>
      </c>
      <c r="J121" s="268">
        <v>449</v>
      </c>
      <c r="K121" s="268">
        <v>327</v>
      </c>
      <c r="L121" s="268">
        <v>313</v>
      </c>
      <c r="M121" s="268">
        <v>292</v>
      </c>
      <c r="N121" s="268">
        <v>315</v>
      </c>
      <c r="O121" s="268">
        <v>325</v>
      </c>
      <c r="P121" s="268">
        <v>305</v>
      </c>
      <c r="Q121" s="268">
        <v>360</v>
      </c>
      <c r="R121" s="268">
        <v>325</v>
      </c>
      <c r="S121" s="268">
        <v>349</v>
      </c>
      <c r="T121" s="268">
        <v>269</v>
      </c>
      <c r="U121" s="268">
        <v>243</v>
      </c>
      <c r="V121" s="268">
        <f>SUM(D121:O121)</f>
        <v>3119</v>
      </c>
      <c r="W121" s="268">
        <f>SUM(J121:U121)</f>
        <v>3872</v>
      </c>
    </row>
    <row r="122" spans="1:23" x14ac:dyDescent="0.25">
      <c r="A122" s="513" t="s">
        <v>230</v>
      </c>
      <c r="B122" s="603" t="s">
        <v>231</v>
      </c>
      <c r="C122" s="603" t="s">
        <v>264</v>
      </c>
      <c r="D122" s="268"/>
      <c r="E122" s="268">
        <v>1</v>
      </c>
      <c r="F122" s="268">
        <v>105</v>
      </c>
      <c r="G122" s="268">
        <v>1418</v>
      </c>
      <c r="H122" s="268">
        <v>1231</v>
      </c>
      <c r="I122" s="268">
        <v>1149</v>
      </c>
      <c r="J122" s="268">
        <v>1355</v>
      </c>
      <c r="K122" s="268">
        <v>1122</v>
      </c>
      <c r="L122" s="268">
        <v>1106</v>
      </c>
      <c r="M122" s="268">
        <v>1029</v>
      </c>
      <c r="N122" s="268">
        <v>1169</v>
      </c>
      <c r="O122" s="268">
        <v>1101</v>
      </c>
      <c r="P122" s="268">
        <v>1184</v>
      </c>
      <c r="Q122" s="268">
        <v>1280</v>
      </c>
      <c r="R122" s="268">
        <v>1178</v>
      </c>
      <c r="S122" s="268">
        <v>1225</v>
      </c>
      <c r="T122" s="268">
        <v>1068</v>
      </c>
      <c r="U122" s="268">
        <v>942</v>
      </c>
      <c r="V122" s="268">
        <f>SUM(D122:O122)</f>
        <v>10786</v>
      </c>
      <c r="W122" s="268">
        <f>SUM(J122:U122)</f>
        <v>13759</v>
      </c>
    </row>
    <row r="123" spans="1:23" x14ac:dyDescent="0.25">
      <c r="A123" s="513" t="s">
        <v>238</v>
      </c>
      <c r="B123" s="603" t="s">
        <v>239</v>
      </c>
      <c r="C123" s="603" t="s">
        <v>264</v>
      </c>
      <c r="D123" s="268"/>
      <c r="E123" s="268"/>
      <c r="F123" s="268">
        <v>4</v>
      </c>
      <c r="G123" s="268">
        <v>36</v>
      </c>
      <c r="H123" s="268">
        <v>30</v>
      </c>
      <c r="I123" s="268">
        <v>35</v>
      </c>
      <c r="J123" s="268">
        <v>43</v>
      </c>
      <c r="K123" s="268">
        <v>44</v>
      </c>
      <c r="L123" s="268">
        <v>45</v>
      </c>
      <c r="M123" s="268">
        <v>23</v>
      </c>
      <c r="N123" s="268">
        <v>30</v>
      </c>
      <c r="O123" s="268">
        <v>32</v>
      </c>
      <c r="P123" s="268">
        <v>36</v>
      </c>
      <c r="Q123" s="268">
        <v>51</v>
      </c>
      <c r="R123" s="268">
        <v>35</v>
      </c>
      <c r="S123" s="268">
        <v>38</v>
      </c>
      <c r="T123" s="268">
        <v>38</v>
      </c>
      <c r="U123" s="268">
        <v>32</v>
      </c>
      <c r="V123" s="268">
        <f>SUM(D123:O123)</f>
        <v>322</v>
      </c>
      <c r="W123" s="268">
        <f>SUM(J123:U123)</f>
        <v>447</v>
      </c>
    </row>
    <row r="124" spans="1:23" x14ac:dyDescent="0.25">
      <c r="A124" s="514" t="s">
        <v>240</v>
      </c>
      <c r="B124" s="517" t="s">
        <v>241</v>
      </c>
      <c r="C124" s="517" t="s">
        <v>267</v>
      </c>
      <c r="D124" s="268"/>
      <c r="E124" s="268"/>
      <c r="F124" s="268"/>
      <c r="G124" s="268">
        <v>161</v>
      </c>
      <c r="H124" s="268">
        <v>120</v>
      </c>
      <c r="I124" s="268">
        <v>132</v>
      </c>
      <c r="J124" s="268">
        <v>159</v>
      </c>
      <c r="K124" s="268">
        <v>134</v>
      </c>
      <c r="L124" s="268">
        <v>132</v>
      </c>
      <c r="M124" s="268">
        <v>106</v>
      </c>
      <c r="N124" s="268">
        <v>113</v>
      </c>
      <c r="O124" s="268">
        <v>140</v>
      </c>
      <c r="P124" s="268">
        <v>113</v>
      </c>
      <c r="Q124" s="268">
        <v>127</v>
      </c>
      <c r="R124" s="268">
        <v>113</v>
      </c>
      <c r="S124" s="268">
        <v>141</v>
      </c>
      <c r="T124" s="268">
        <v>135</v>
      </c>
      <c r="U124" s="268">
        <v>121</v>
      </c>
      <c r="V124" s="268">
        <f>SUM(D124:O124)</f>
        <v>1197</v>
      </c>
      <c r="W124" s="268">
        <f>SUM(J124:U124)</f>
        <v>1534</v>
      </c>
    </row>
    <row r="126" spans="1:23" ht="65.25" customHeight="1" x14ac:dyDescent="0.25">
      <c r="A126" s="2737" t="s">
        <v>1455</v>
      </c>
      <c r="B126" s="2737"/>
      <c r="C126" s="2737"/>
    </row>
    <row r="128" spans="1:23" s="389" customFormat="1" x14ac:dyDescent="0.25">
      <c r="A128" s="389" t="s">
        <v>248</v>
      </c>
    </row>
    <row r="129" spans="1:3" s="389" customFormat="1" x14ac:dyDescent="0.25">
      <c r="A129" s="390" t="s">
        <v>249</v>
      </c>
      <c r="B129" s="391" t="s">
        <v>250</v>
      </c>
      <c r="C129" s="391"/>
    </row>
  </sheetData>
  <sortState ref="A5:W124">
    <sortCondition ref="A5:A124"/>
  </sortState>
  <mergeCells count="1">
    <mergeCell ref="A126:C126"/>
  </mergeCells>
  <hyperlinks>
    <hyperlink ref="B129"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129"/>
  <sheetViews>
    <sheetView workbookViewId="0">
      <pane xSplit="3" ySplit="4" topLeftCell="D111" activePane="bottomRight" state="frozen"/>
      <selection pane="topRight" activeCell="D1" sqref="D1"/>
      <selection pane="bottomLeft" activeCell="A5" sqref="A5"/>
      <selection pane="bottomRight" activeCell="F3" sqref="F3"/>
    </sheetView>
  </sheetViews>
  <sheetFormatPr defaultRowHeight="15.75" x14ac:dyDescent="0.25"/>
  <cols>
    <col min="1" max="1" width="9" style="505"/>
    <col min="2" max="2" width="33.375" style="505" customWidth="1"/>
    <col min="3" max="3" width="16.75" style="505" customWidth="1"/>
    <col min="4" max="4" width="7.25" style="505" customWidth="1"/>
    <col min="5" max="6" width="9.125" style="505" bestFit="1" customWidth="1"/>
    <col min="7" max="7" width="9.875" style="505" bestFit="1" customWidth="1"/>
    <col min="8" max="15" width="10.125" style="505" bestFit="1" customWidth="1"/>
    <col min="16" max="21" width="10.125" style="505" customWidth="1"/>
    <col min="22" max="22" width="11.125" style="505" bestFit="1" customWidth="1"/>
    <col min="23" max="23" width="11.125" style="505" customWidth="1"/>
    <col min="24" max="16384" width="9" style="505"/>
  </cols>
  <sheetData>
    <row r="1" spans="1:23" ht="12.75" customHeight="1" x14ac:dyDescent="0.25">
      <c r="A1" s="255" t="s">
        <v>1367</v>
      </c>
    </row>
    <row r="3" spans="1:23" ht="53.25" customHeight="1" x14ac:dyDescent="0.25">
      <c r="A3" s="510" t="s">
        <v>4</v>
      </c>
      <c r="B3" s="567" t="s">
        <v>5</v>
      </c>
      <c r="C3" s="567" t="s">
        <v>251</v>
      </c>
      <c r="D3" s="1675">
        <v>42552</v>
      </c>
      <c r="E3" s="1675">
        <v>42583</v>
      </c>
      <c r="F3" s="1675">
        <v>42614</v>
      </c>
      <c r="G3" s="1675">
        <v>42644</v>
      </c>
      <c r="H3" s="1676">
        <v>42675</v>
      </c>
      <c r="I3" s="1676">
        <v>42705</v>
      </c>
      <c r="J3" s="1676">
        <v>42736</v>
      </c>
      <c r="K3" s="1676">
        <v>42767</v>
      </c>
      <c r="L3" s="1676">
        <v>42795</v>
      </c>
      <c r="M3" s="1676">
        <v>42826</v>
      </c>
      <c r="N3" s="1676">
        <v>42856</v>
      </c>
      <c r="O3" s="1676">
        <v>42887</v>
      </c>
      <c r="P3" s="1676">
        <v>42917</v>
      </c>
      <c r="Q3" s="1676">
        <v>42948</v>
      </c>
      <c r="R3" s="1676">
        <v>42979</v>
      </c>
      <c r="S3" s="1676">
        <v>43009</v>
      </c>
      <c r="T3" s="1676">
        <v>43040</v>
      </c>
      <c r="U3" s="1676">
        <v>43070</v>
      </c>
      <c r="V3" s="1677" t="s">
        <v>1216</v>
      </c>
      <c r="W3" s="1677" t="s">
        <v>1365</v>
      </c>
    </row>
    <row r="4" spans="1:23" x14ac:dyDescent="0.25">
      <c r="A4" s="599">
        <v>999</v>
      </c>
      <c r="B4" s="600" t="s">
        <v>9</v>
      </c>
      <c r="C4" s="600"/>
      <c r="D4" s="1678">
        <f>SUM(D5:D124)</f>
        <v>2276</v>
      </c>
      <c r="E4" s="1679">
        <f t="shared" ref="E4:W4" si="0">SUM(E5:E124)</f>
        <v>2554</v>
      </c>
      <c r="F4" s="1679">
        <f t="shared" si="0"/>
        <v>2393</v>
      </c>
      <c r="G4" s="1679">
        <f t="shared" si="0"/>
        <v>15856</v>
      </c>
      <c r="H4" s="1680">
        <f t="shared" si="0"/>
        <v>24261</v>
      </c>
      <c r="I4" s="1680">
        <f t="shared" si="0"/>
        <v>22721</v>
      </c>
      <c r="J4" s="1680">
        <f t="shared" si="0"/>
        <v>23769</v>
      </c>
      <c r="K4" s="1680">
        <f t="shared" si="0"/>
        <v>25413</v>
      </c>
      <c r="L4" s="1680">
        <f t="shared" si="0"/>
        <v>24078</v>
      </c>
      <c r="M4" s="1680">
        <f t="shared" si="0"/>
        <v>19204</v>
      </c>
      <c r="N4" s="1680">
        <f t="shared" si="0"/>
        <v>22283</v>
      </c>
      <c r="O4" s="1680">
        <f t="shared" si="0"/>
        <v>23125</v>
      </c>
      <c r="P4" s="2357">
        <f t="shared" si="0"/>
        <v>21630</v>
      </c>
      <c r="Q4" s="2357">
        <f t="shared" si="0"/>
        <v>26204</v>
      </c>
      <c r="R4" s="2357">
        <f t="shared" si="0"/>
        <v>23197</v>
      </c>
      <c r="S4" s="2357">
        <f t="shared" si="0"/>
        <v>25255</v>
      </c>
      <c r="T4" s="2357">
        <f t="shared" si="0"/>
        <v>23772</v>
      </c>
      <c r="U4" s="2357">
        <f t="shared" si="0"/>
        <v>21769</v>
      </c>
      <c r="V4" s="1680">
        <f t="shared" si="0"/>
        <v>207933</v>
      </c>
      <c r="W4" s="1680">
        <f t="shared" si="0"/>
        <v>279699</v>
      </c>
    </row>
    <row r="5" spans="1:23" x14ac:dyDescent="0.25">
      <c r="A5" s="512" t="s">
        <v>10</v>
      </c>
      <c r="B5" s="569" t="s">
        <v>11</v>
      </c>
      <c r="C5" s="569" t="s">
        <v>264</v>
      </c>
      <c r="D5" s="268"/>
      <c r="E5" s="268"/>
      <c r="F5" s="268"/>
      <c r="G5" s="268">
        <v>87</v>
      </c>
      <c r="H5" s="268">
        <v>200</v>
      </c>
      <c r="I5" s="268">
        <v>157</v>
      </c>
      <c r="J5" s="268">
        <v>147</v>
      </c>
      <c r="K5" s="268">
        <v>129</v>
      </c>
      <c r="L5" s="268">
        <v>118</v>
      </c>
      <c r="M5" s="268">
        <v>129</v>
      </c>
      <c r="N5" s="268">
        <v>151</v>
      </c>
      <c r="O5" s="268">
        <v>158</v>
      </c>
      <c r="P5" s="268">
        <v>116</v>
      </c>
      <c r="Q5" s="268">
        <v>142</v>
      </c>
      <c r="R5" s="268">
        <v>130</v>
      </c>
      <c r="S5" s="268">
        <v>153</v>
      </c>
      <c r="T5" s="268">
        <v>141</v>
      </c>
      <c r="U5" s="268">
        <v>173</v>
      </c>
      <c r="V5" s="268">
        <f>SUM(D5:O5)</f>
        <v>1276</v>
      </c>
      <c r="W5" s="268">
        <f>SUM(J5:U5)</f>
        <v>1687</v>
      </c>
    </row>
    <row r="6" spans="1:23" x14ac:dyDescent="0.25">
      <c r="A6" s="513" t="s">
        <v>12</v>
      </c>
      <c r="B6" s="603" t="s">
        <v>13</v>
      </c>
      <c r="C6" s="603" t="s">
        <v>265</v>
      </c>
      <c r="D6" s="268">
        <v>132</v>
      </c>
      <c r="E6" s="268">
        <v>162</v>
      </c>
      <c r="F6" s="268">
        <v>148</v>
      </c>
      <c r="G6" s="268">
        <v>163</v>
      </c>
      <c r="H6" s="268">
        <v>146</v>
      </c>
      <c r="I6" s="268">
        <v>132</v>
      </c>
      <c r="J6" s="268">
        <v>198</v>
      </c>
      <c r="K6" s="268">
        <v>167</v>
      </c>
      <c r="L6" s="268">
        <v>150</v>
      </c>
      <c r="M6" s="268">
        <v>132</v>
      </c>
      <c r="N6" s="268">
        <v>143</v>
      </c>
      <c r="O6" s="268">
        <v>177</v>
      </c>
      <c r="P6" s="268">
        <v>170</v>
      </c>
      <c r="Q6" s="268">
        <v>169</v>
      </c>
      <c r="R6" s="268">
        <v>159</v>
      </c>
      <c r="S6" s="268">
        <v>174</v>
      </c>
      <c r="T6" s="268">
        <v>167</v>
      </c>
      <c r="U6" s="268">
        <v>139</v>
      </c>
      <c r="V6" s="268">
        <f>SUM(D6:O6)</f>
        <v>1850</v>
      </c>
      <c r="W6" s="268">
        <f>SUM(J6:U6)</f>
        <v>1945</v>
      </c>
    </row>
    <row r="7" spans="1:23" x14ac:dyDescent="0.25">
      <c r="A7" s="513" t="s">
        <v>16</v>
      </c>
      <c r="B7" s="603" t="s">
        <v>297</v>
      </c>
      <c r="C7" s="603" t="s">
        <v>265</v>
      </c>
      <c r="D7" s="268"/>
      <c r="E7" s="268"/>
      <c r="F7" s="268"/>
      <c r="G7" s="268">
        <v>40</v>
      </c>
      <c r="H7" s="268">
        <v>82</v>
      </c>
      <c r="I7" s="268">
        <v>59</v>
      </c>
      <c r="J7" s="268">
        <v>78</v>
      </c>
      <c r="K7" s="268">
        <v>74</v>
      </c>
      <c r="L7" s="268">
        <v>72</v>
      </c>
      <c r="M7" s="268">
        <v>54</v>
      </c>
      <c r="N7" s="268">
        <v>55</v>
      </c>
      <c r="O7" s="268">
        <v>62</v>
      </c>
      <c r="P7" s="268">
        <v>65</v>
      </c>
      <c r="Q7" s="268">
        <v>74</v>
      </c>
      <c r="R7" s="268">
        <v>67</v>
      </c>
      <c r="S7" s="268">
        <v>72</v>
      </c>
      <c r="T7" s="268">
        <v>76</v>
      </c>
      <c r="U7" s="268">
        <v>54</v>
      </c>
      <c r="V7" s="268">
        <f>SUM(D7:O7)</f>
        <v>576</v>
      </c>
      <c r="W7" s="268">
        <f>SUM(J7:U7)</f>
        <v>803</v>
      </c>
    </row>
    <row r="8" spans="1:23" x14ac:dyDescent="0.25">
      <c r="A8" s="513" t="s">
        <v>18</v>
      </c>
      <c r="B8" s="603" t="s">
        <v>19</v>
      </c>
      <c r="C8" s="603" t="s">
        <v>266</v>
      </c>
      <c r="D8" s="268"/>
      <c r="E8" s="268"/>
      <c r="F8" s="268"/>
      <c r="G8" s="268">
        <v>18</v>
      </c>
      <c r="H8" s="268">
        <v>46</v>
      </c>
      <c r="I8" s="268">
        <v>46</v>
      </c>
      <c r="J8" s="268">
        <v>42</v>
      </c>
      <c r="K8" s="268">
        <v>42</v>
      </c>
      <c r="L8" s="268">
        <v>36</v>
      </c>
      <c r="M8" s="268">
        <v>28</v>
      </c>
      <c r="N8" s="268">
        <v>36</v>
      </c>
      <c r="O8" s="268">
        <v>33</v>
      </c>
      <c r="P8" s="268">
        <v>24</v>
      </c>
      <c r="Q8" s="268">
        <v>38</v>
      </c>
      <c r="R8" s="268">
        <v>49</v>
      </c>
      <c r="S8" s="268">
        <v>41</v>
      </c>
      <c r="T8" s="268">
        <v>41</v>
      </c>
      <c r="U8" s="268">
        <v>23</v>
      </c>
      <c r="V8" s="268">
        <f>SUM(D8:O8)</f>
        <v>327</v>
      </c>
      <c r="W8" s="268">
        <f>SUM(J8:U8)</f>
        <v>433</v>
      </c>
    </row>
    <row r="9" spans="1:23" x14ac:dyDescent="0.25">
      <c r="A9" s="513" t="s">
        <v>20</v>
      </c>
      <c r="B9" s="603" t="s">
        <v>21</v>
      </c>
      <c r="C9" s="603" t="s">
        <v>265</v>
      </c>
      <c r="D9" s="268"/>
      <c r="E9" s="268"/>
      <c r="F9" s="268"/>
      <c r="G9" s="268">
        <v>36</v>
      </c>
      <c r="H9" s="268">
        <v>122</v>
      </c>
      <c r="I9" s="268">
        <v>84</v>
      </c>
      <c r="J9" s="268">
        <v>88</v>
      </c>
      <c r="K9" s="268">
        <v>83</v>
      </c>
      <c r="L9" s="268">
        <v>101</v>
      </c>
      <c r="M9" s="268">
        <v>62</v>
      </c>
      <c r="N9" s="268">
        <v>88</v>
      </c>
      <c r="O9" s="268">
        <v>110</v>
      </c>
      <c r="P9" s="268">
        <v>69</v>
      </c>
      <c r="Q9" s="268">
        <v>105</v>
      </c>
      <c r="R9" s="268">
        <v>87</v>
      </c>
      <c r="S9" s="268">
        <v>109</v>
      </c>
      <c r="T9" s="268">
        <v>97</v>
      </c>
      <c r="U9" s="268">
        <v>100</v>
      </c>
      <c r="V9" s="268">
        <f>SUM(D9:O9)</f>
        <v>774</v>
      </c>
      <c r="W9" s="268">
        <f>SUM(J9:U9)</f>
        <v>1099</v>
      </c>
    </row>
    <row r="10" spans="1:23" x14ac:dyDescent="0.25">
      <c r="A10" s="513" t="s">
        <v>22</v>
      </c>
      <c r="B10" s="603" t="s">
        <v>23</v>
      </c>
      <c r="C10" s="603" t="s">
        <v>265</v>
      </c>
      <c r="D10" s="268"/>
      <c r="E10" s="268"/>
      <c r="F10" s="268"/>
      <c r="G10" s="268">
        <v>35</v>
      </c>
      <c r="H10" s="268">
        <v>57</v>
      </c>
      <c r="I10" s="268">
        <v>40</v>
      </c>
      <c r="J10" s="268">
        <v>44</v>
      </c>
      <c r="K10" s="268">
        <v>49</v>
      </c>
      <c r="L10" s="268">
        <v>39</v>
      </c>
      <c r="M10" s="268">
        <v>41</v>
      </c>
      <c r="N10" s="268">
        <v>50</v>
      </c>
      <c r="O10" s="268">
        <v>48</v>
      </c>
      <c r="P10" s="268">
        <v>51</v>
      </c>
      <c r="Q10" s="268">
        <v>43</v>
      </c>
      <c r="R10" s="268">
        <v>53</v>
      </c>
      <c r="S10" s="268">
        <v>58</v>
      </c>
      <c r="T10" s="268">
        <v>56</v>
      </c>
      <c r="U10" s="268">
        <v>50</v>
      </c>
      <c r="V10" s="268">
        <f>SUM(D10:O10)</f>
        <v>403</v>
      </c>
      <c r="W10" s="268">
        <f>SUM(J10:U10)</f>
        <v>582</v>
      </c>
    </row>
    <row r="11" spans="1:23" x14ac:dyDescent="0.25">
      <c r="A11" s="513" t="s">
        <v>24</v>
      </c>
      <c r="B11" s="603" t="s">
        <v>25</v>
      </c>
      <c r="C11" s="603" t="s">
        <v>267</v>
      </c>
      <c r="D11" s="268"/>
      <c r="E11" s="268"/>
      <c r="F11" s="268"/>
      <c r="G11" s="268">
        <v>163</v>
      </c>
      <c r="H11" s="268">
        <v>254</v>
      </c>
      <c r="I11" s="268">
        <v>239</v>
      </c>
      <c r="J11" s="268">
        <v>215</v>
      </c>
      <c r="K11" s="268">
        <v>272</v>
      </c>
      <c r="L11" s="268">
        <v>246</v>
      </c>
      <c r="M11" s="268">
        <v>176</v>
      </c>
      <c r="N11" s="268">
        <v>205</v>
      </c>
      <c r="O11" s="268">
        <v>236</v>
      </c>
      <c r="P11" s="268">
        <v>206</v>
      </c>
      <c r="Q11" s="268">
        <v>217</v>
      </c>
      <c r="R11" s="268">
        <v>222</v>
      </c>
      <c r="S11" s="268">
        <v>246</v>
      </c>
      <c r="T11" s="268">
        <v>243</v>
      </c>
      <c r="U11" s="268">
        <v>185</v>
      </c>
      <c r="V11" s="268">
        <f>SUM(D11:O11)</f>
        <v>2006</v>
      </c>
      <c r="W11" s="268">
        <f>SUM(J11:U11)</f>
        <v>2669</v>
      </c>
    </row>
    <row r="12" spans="1:23" x14ac:dyDescent="0.25">
      <c r="A12" s="513" t="s">
        <v>26</v>
      </c>
      <c r="B12" s="603" t="s">
        <v>685</v>
      </c>
      <c r="C12" s="603" t="s">
        <v>265</v>
      </c>
      <c r="D12" s="268"/>
      <c r="E12" s="268"/>
      <c r="F12" s="268"/>
      <c r="G12" s="268">
        <v>257</v>
      </c>
      <c r="H12" s="268">
        <v>369</v>
      </c>
      <c r="I12" s="268">
        <v>284</v>
      </c>
      <c r="J12" s="268">
        <v>351</v>
      </c>
      <c r="K12" s="268">
        <v>449</v>
      </c>
      <c r="L12" s="268">
        <v>345</v>
      </c>
      <c r="M12" s="268">
        <v>292</v>
      </c>
      <c r="N12" s="268">
        <v>342</v>
      </c>
      <c r="O12" s="268">
        <v>338</v>
      </c>
      <c r="P12" s="268">
        <v>335</v>
      </c>
      <c r="Q12" s="268">
        <v>433</v>
      </c>
      <c r="R12" s="268">
        <v>348</v>
      </c>
      <c r="S12" s="268">
        <v>410</v>
      </c>
      <c r="T12" s="268">
        <v>407</v>
      </c>
      <c r="U12" s="268">
        <v>325</v>
      </c>
      <c r="V12" s="268">
        <f>SUM(D12:O12)</f>
        <v>3027</v>
      </c>
      <c r="W12" s="268">
        <f>SUM(J12:U12)</f>
        <v>4375</v>
      </c>
    </row>
    <row r="13" spans="1:23" x14ac:dyDescent="0.25">
      <c r="A13" s="513" t="s">
        <v>27</v>
      </c>
      <c r="B13" s="603" t="s">
        <v>28</v>
      </c>
      <c r="C13" s="603" t="s">
        <v>265</v>
      </c>
      <c r="D13" s="268"/>
      <c r="E13" s="268"/>
      <c r="F13" s="268"/>
      <c r="G13" s="268">
        <v>5</v>
      </c>
      <c r="H13" s="268">
        <v>11</v>
      </c>
      <c r="I13" s="268">
        <v>9</v>
      </c>
      <c r="J13" s="268">
        <v>3</v>
      </c>
      <c r="K13" s="268">
        <v>8</v>
      </c>
      <c r="L13" s="268">
        <v>5</v>
      </c>
      <c r="M13" s="268"/>
      <c r="N13" s="268">
        <v>4</v>
      </c>
      <c r="O13" s="268">
        <v>6</v>
      </c>
      <c r="P13" s="268">
        <v>8</v>
      </c>
      <c r="Q13" s="268">
        <v>10</v>
      </c>
      <c r="R13" s="268">
        <v>11</v>
      </c>
      <c r="S13" s="268">
        <v>7</v>
      </c>
      <c r="T13" s="268">
        <v>19</v>
      </c>
      <c r="U13" s="268">
        <v>6</v>
      </c>
      <c r="V13" s="268">
        <f>SUM(D13:O13)</f>
        <v>51</v>
      </c>
      <c r="W13" s="268">
        <f>SUM(J13:U13)</f>
        <v>87</v>
      </c>
    </row>
    <row r="14" spans="1:23" x14ac:dyDescent="0.25">
      <c r="A14" s="513" t="s">
        <v>29</v>
      </c>
      <c r="B14" s="603" t="s">
        <v>901</v>
      </c>
      <c r="C14" s="603" t="s">
        <v>265</v>
      </c>
      <c r="D14" s="268">
        <v>125</v>
      </c>
      <c r="E14" s="268">
        <v>148</v>
      </c>
      <c r="F14" s="268">
        <v>147</v>
      </c>
      <c r="G14" s="268">
        <v>170</v>
      </c>
      <c r="H14" s="268">
        <v>153</v>
      </c>
      <c r="I14" s="268">
        <v>159</v>
      </c>
      <c r="J14" s="268">
        <v>163</v>
      </c>
      <c r="K14" s="268">
        <v>154</v>
      </c>
      <c r="L14" s="268">
        <v>164</v>
      </c>
      <c r="M14" s="268">
        <v>116</v>
      </c>
      <c r="N14" s="268">
        <v>157</v>
      </c>
      <c r="O14" s="268">
        <v>151</v>
      </c>
      <c r="P14" s="268">
        <v>136</v>
      </c>
      <c r="Q14" s="268">
        <v>201</v>
      </c>
      <c r="R14" s="268">
        <v>164</v>
      </c>
      <c r="S14" s="268">
        <v>186</v>
      </c>
      <c r="T14" s="268">
        <v>171</v>
      </c>
      <c r="U14" s="268">
        <v>166</v>
      </c>
      <c r="V14" s="268">
        <f>SUM(D14:O14)</f>
        <v>1807</v>
      </c>
      <c r="W14" s="268">
        <f>SUM(J14:U14)</f>
        <v>1929</v>
      </c>
    </row>
    <row r="15" spans="1:23" x14ac:dyDescent="0.25">
      <c r="A15" s="513" t="s">
        <v>30</v>
      </c>
      <c r="B15" s="603" t="s">
        <v>31</v>
      </c>
      <c r="C15" s="603" t="s">
        <v>268</v>
      </c>
      <c r="D15" s="268"/>
      <c r="E15" s="268"/>
      <c r="F15" s="268"/>
      <c r="G15" s="268">
        <v>14</v>
      </c>
      <c r="H15" s="268">
        <v>13</v>
      </c>
      <c r="I15" s="268">
        <v>16</v>
      </c>
      <c r="J15" s="268">
        <v>12</v>
      </c>
      <c r="K15" s="268">
        <v>22</v>
      </c>
      <c r="L15" s="268">
        <v>11</v>
      </c>
      <c r="M15" s="268">
        <v>4</v>
      </c>
      <c r="N15" s="268">
        <v>15</v>
      </c>
      <c r="O15" s="268">
        <v>13</v>
      </c>
      <c r="P15" s="268">
        <v>10</v>
      </c>
      <c r="Q15" s="268">
        <v>23</v>
      </c>
      <c r="R15" s="268">
        <v>8</v>
      </c>
      <c r="S15" s="268">
        <v>13</v>
      </c>
      <c r="T15" s="268">
        <v>16</v>
      </c>
      <c r="U15" s="268">
        <v>10</v>
      </c>
      <c r="V15" s="268">
        <f>SUM(D15:O15)</f>
        <v>120</v>
      </c>
      <c r="W15" s="268">
        <f>SUM(J15:U15)</f>
        <v>157</v>
      </c>
    </row>
    <row r="16" spans="1:23" x14ac:dyDescent="0.25">
      <c r="A16" s="513" t="s">
        <v>32</v>
      </c>
      <c r="B16" s="603" t="s">
        <v>33</v>
      </c>
      <c r="C16" s="603" t="s">
        <v>265</v>
      </c>
      <c r="D16" s="268"/>
      <c r="E16" s="268"/>
      <c r="F16" s="268">
        <v>1</v>
      </c>
      <c r="G16" s="268">
        <v>22</v>
      </c>
      <c r="H16" s="268">
        <v>55</v>
      </c>
      <c r="I16" s="268">
        <v>52</v>
      </c>
      <c r="J16" s="268">
        <v>37</v>
      </c>
      <c r="K16" s="268">
        <v>62</v>
      </c>
      <c r="L16" s="268">
        <v>46</v>
      </c>
      <c r="M16" s="268">
        <v>31</v>
      </c>
      <c r="N16" s="268">
        <v>40</v>
      </c>
      <c r="O16" s="268">
        <v>62</v>
      </c>
      <c r="P16" s="268">
        <v>34</v>
      </c>
      <c r="Q16" s="268">
        <v>60</v>
      </c>
      <c r="R16" s="268">
        <v>47</v>
      </c>
      <c r="S16" s="268">
        <v>56</v>
      </c>
      <c r="T16" s="268">
        <v>53</v>
      </c>
      <c r="U16" s="268">
        <v>42</v>
      </c>
      <c r="V16" s="268">
        <f>SUM(D16:O16)</f>
        <v>408</v>
      </c>
      <c r="W16" s="268">
        <f>SUM(J16:U16)</f>
        <v>570</v>
      </c>
    </row>
    <row r="17" spans="1:23" x14ac:dyDescent="0.25">
      <c r="A17" s="513" t="s">
        <v>36</v>
      </c>
      <c r="B17" s="603" t="s">
        <v>37</v>
      </c>
      <c r="C17" s="603" t="s">
        <v>264</v>
      </c>
      <c r="D17" s="268"/>
      <c r="E17" s="268"/>
      <c r="F17" s="268"/>
      <c r="G17" s="268">
        <v>56</v>
      </c>
      <c r="H17" s="268">
        <v>72</v>
      </c>
      <c r="I17" s="268">
        <v>68</v>
      </c>
      <c r="J17" s="268">
        <v>87</v>
      </c>
      <c r="K17" s="268">
        <v>74</v>
      </c>
      <c r="L17" s="268">
        <v>72</v>
      </c>
      <c r="M17" s="268">
        <v>61</v>
      </c>
      <c r="N17" s="268">
        <v>79</v>
      </c>
      <c r="O17" s="268">
        <v>109</v>
      </c>
      <c r="P17" s="268">
        <v>67</v>
      </c>
      <c r="Q17" s="268">
        <v>61</v>
      </c>
      <c r="R17" s="268">
        <v>82</v>
      </c>
      <c r="S17" s="268">
        <v>74</v>
      </c>
      <c r="T17" s="268">
        <v>58</v>
      </c>
      <c r="U17" s="268">
        <v>60</v>
      </c>
      <c r="V17" s="268">
        <f>SUM(D17:O17)</f>
        <v>678</v>
      </c>
      <c r="W17" s="268">
        <f>SUM(J17:U17)</f>
        <v>884</v>
      </c>
    </row>
    <row r="18" spans="1:23" x14ac:dyDescent="0.25">
      <c r="A18" s="513" t="s">
        <v>38</v>
      </c>
      <c r="B18" s="603" t="s">
        <v>39</v>
      </c>
      <c r="C18" s="603" t="s">
        <v>268</v>
      </c>
      <c r="D18" s="268"/>
      <c r="E18" s="268"/>
      <c r="F18" s="268"/>
      <c r="G18" s="268">
        <v>63</v>
      </c>
      <c r="H18" s="268">
        <v>69</v>
      </c>
      <c r="I18" s="268">
        <v>73</v>
      </c>
      <c r="J18" s="268">
        <v>60</v>
      </c>
      <c r="K18" s="268">
        <v>72</v>
      </c>
      <c r="L18" s="268">
        <v>70</v>
      </c>
      <c r="M18" s="268">
        <v>50</v>
      </c>
      <c r="N18" s="268">
        <v>74</v>
      </c>
      <c r="O18" s="268">
        <v>76</v>
      </c>
      <c r="P18" s="268">
        <v>57</v>
      </c>
      <c r="Q18" s="268">
        <v>86</v>
      </c>
      <c r="R18" s="268">
        <v>65</v>
      </c>
      <c r="S18" s="268">
        <v>95</v>
      </c>
      <c r="T18" s="268">
        <v>86</v>
      </c>
      <c r="U18" s="268">
        <v>78</v>
      </c>
      <c r="V18" s="268">
        <f>SUM(D18:O18)</f>
        <v>607</v>
      </c>
      <c r="W18" s="268">
        <f>SUM(J18:U18)</f>
        <v>869</v>
      </c>
    </row>
    <row r="19" spans="1:23" x14ac:dyDescent="0.25">
      <c r="A19" s="513" t="s">
        <v>40</v>
      </c>
      <c r="B19" s="603" t="s">
        <v>41</v>
      </c>
      <c r="C19" s="603" t="s">
        <v>266</v>
      </c>
      <c r="D19" s="268"/>
      <c r="E19" s="268"/>
      <c r="F19" s="268"/>
      <c r="G19" s="268">
        <v>46</v>
      </c>
      <c r="H19" s="268">
        <v>65</v>
      </c>
      <c r="I19" s="268">
        <v>49</v>
      </c>
      <c r="J19" s="268">
        <v>63</v>
      </c>
      <c r="K19" s="268">
        <v>79</v>
      </c>
      <c r="L19" s="268">
        <v>44</v>
      </c>
      <c r="M19" s="268">
        <v>46</v>
      </c>
      <c r="N19" s="268">
        <v>54</v>
      </c>
      <c r="O19" s="268">
        <v>66</v>
      </c>
      <c r="P19" s="268">
        <v>62</v>
      </c>
      <c r="Q19" s="268">
        <v>57</v>
      </c>
      <c r="R19" s="268">
        <v>70</v>
      </c>
      <c r="S19" s="268">
        <v>55</v>
      </c>
      <c r="T19" s="268">
        <v>62</v>
      </c>
      <c r="U19" s="268">
        <v>55</v>
      </c>
      <c r="V19" s="268">
        <f>SUM(D19:O19)</f>
        <v>512</v>
      </c>
      <c r="W19" s="268">
        <f>SUM(J19:U19)</f>
        <v>713</v>
      </c>
    </row>
    <row r="20" spans="1:23" x14ac:dyDescent="0.25">
      <c r="A20" s="513" t="s">
        <v>42</v>
      </c>
      <c r="B20" s="603" t="s">
        <v>43</v>
      </c>
      <c r="C20" s="603" t="s">
        <v>265</v>
      </c>
      <c r="D20" s="268"/>
      <c r="E20" s="268"/>
      <c r="F20" s="268"/>
      <c r="G20" s="268">
        <v>93</v>
      </c>
      <c r="H20" s="268">
        <v>145</v>
      </c>
      <c r="I20" s="268">
        <v>143</v>
      </c>
      <c r="J20" s="268">
        <v>168</v>
      </c>
      <c r="K20" s="268">
        <v>188</v>
      </c>
      <c r="L20" s="268">
        <v>174</v>
      </c>
      <c r="M20" s="268">
        <v>106</v>
      </c>
      <c r="N20" s="268">
        <v>162</v>
      </c>
      <c r="O20" s="268">
        <v>134</v>
      </c>
      <c r="P20" s="268">
        <v>151</v>
      </c>
      <c r="Q20" s="268">
        <v>186</v>
      </c>
      <c r="R20" s="268">
        <v>160</v>
      </c>
      <c r="S20" s="268">
        <v>188</v>
      </c>
      <c r="T20" s="268">
        <v>167</v>
      </c>
      <c r="U20" s="268">
        <v>139</v>
      </c>
      <c r="V20" s="268">
        <f>SUM(D20:O20)</f>
        <v>1313</v>
      </c>
      <c r="W20" s="268">
        <f>SUM(J20:U20)</f>
        <v>1923</v>
      </c>
    </row>
    <row r="21" spans="1:23" x14ac:dyDescent="0.25">
      <c r="A21" s="513" t="s">
        <v>44</v>
      </c>
      <c r="B21" s="603" t="s">
        <v>45</v>
      </c>
      <c r="C21" s="603" t="s">
        <v>266</v>
      </c>
      <c r="D21" s="268"/>
      <c r="E21" s="268"/>
      <c r="F21" s="268"/>
      <c r="G21" s="268">
        <v>72</v>
      </c>
      <c r="H21" s="268">
        <v>140</v>
      </c>
      <c r="I21" s="268">
        <v>106</v>
      </c>
      <c r="J21" s="268">
        <v>111</v>
      </c>
      <c r="K21" s="268">
        <v>91</v>
      </c>
      <c r="L21" s="268">
        <v>129</v>
      </c>
      <c r="M21" s="268">
        <v>64</v>
      </c>
      <c r="N21" s="268">
        <v>88</v>
      </c>
      <c r="O21" s="268">
        <v>88</v>
      </c>
      <c r="P21" s="268">
        <v>84</v>
      </c>
      <c r="Q21" s="268">
        <v>128</v>
      </c>
      <c r="R21" s="268">
        <v>87</v>
      </c>
      <c r="S21" s="268">
        <v>101</v>
      </c>
      <c r="T21" s="268">
        <v>115</v>
      </c>
      <c r="U21" s="268">
        <v>96</v>
      </c>
      <c r="V21" s="268">
        <f>SUM(D21:O21)</f>
        <v>889</v>
      </c>
      <c r="W21" s="268">
        <f>SUM(J21:U21)</f>
        <v>1182</v>
      </c>
    </row>
    <row r="22" spans="1:23" x14ac:dyDescent="0.25">
      <c r="A22" s="513" t="s">
        <v>46</v>
      </c>
      <c r="B22" s="603" t="s">
        <v>47</v>
      </c>
      <c r="C22" s="603" t="s">
        <v>268</v>
      </c>
      <c r="D22" s="268"/>
      <c r="E22" s="268"/>
      <c r="F22" s="268"/>
      <c r="G22" s="268">
        <v>89</v>
      </c>
      <c r="H22" s="268">
        <v>143</v>
      </c>
      <c r="I22" s="268">
        <v>105</v>
      </c>
      <c r="J22" s="268">
        <v>130</v>
      </c>
      <c r="K22" s="268">
        <v>115</v>
      </c>
      <c r="L22" s="268">
        <v>116</v>
      </c>
      <c r="M22" s="268">
        <v>81</v>
      </c>
      <c r="N22" s="268">
        <v>103</v>
      </c>
      <c r="O22" s="268">
        <v>99</v>
      </c>
      <c r="P22" s="268">
        <v>88</v>
      </c>
      <c r="Q22" s="268">
        <v>124</v>
      </c>
      <c r="R22" s="268">
        <v>92</v>
      </c>
      <c r="S22" s="268">
        <v>113</v>
      </c>
      <c r="T22" s="268">
        <v>138</v>
      </c>
      <c r="U22" s="268">
        <v>124</v>
      </c>
      <c r="V22" s="268">
        <f>SUM(D22:O22)</f>
        <v>981</v>
      </c>
      <c r="W22" s="268">
        <f>SUM(J22:U22)</f>
        <v>1323</v>
      </c>
    </row>
    <row r="23" spans="1:23" x14ac:dyDescent="0.25">
      <c r="A23" s="513" t="s">
        <v>48</v>
      </c>
      <c r="B23" s="603" t="s">
        <v>269</v>
      </c>
      <c r="C23" s="603" t="s">
        <v>266</v>
      </c>
      <c r="D23" s="268"/>
      <c r="E23" s="268"/>
      <c r="F23" s="268"/>
      <c r="G23" s="268">
        <v>15</v>
      </c>
      <c r="H23" s="268">
        <v>21</v>
      </c>
      <c r="I23" s="268">
        <v>14</v>
      </c>
      <c r="J23" s="268">
        <v>20</v>
      </c>
      <c r="K23" s="268">
        <v>14</v>
      </c>
      <c r="L23" s="268">
        <v>29</v>
      </c>
      <c r="M23" s="268">
        <v>20</v>
      </c>
      <c r="N23" s="268">
        <v>14</v>
      </c>
      <c r="O23" s="268">
        <v>13</v>
      </c>
      <c r="P23" s="268">
        <v>29</v>
      </c>
      <c r="Q23" s="268">
        <v>22</v>
      </c>
      <c r="R23" s="268">
        <v>19</v>
      </c>
      <c r="S23" s="268">
        <v>27</v>
      </c>
      <c r="T23" s="268">
        <v>17</v>
      </c>
      <c r="U23" s="268">
        <v>16</v>
      </c>
      <c r="V23" s="268">
        <f>SUM(D23:O23)</f>
        <v>160</v>
      </c>
      <c r="W23" s="268">
        <f>SUM(J23:U23)</f>
        <v>240</v>
      </c>
    </row>
    <row r="24" spans="1:23" x14ac:dyDescent="0.25">
      <c r="A24" s="513" t="s">
        <v>50</v>
      </c>
      <c r="B24" s="603" t="s">
        <v>51</v>
      </c>
      <c r="C24" s="603" t="s">
        <v>265</v>
      </c>
      <c r="D24" s="268"/>
      <c r="E24" s="268"/>
      <c r="F24" s="268"/>
      <c r="G24" s="268">
        <v>23</v>
      </c>
      <c r="H24" s="268">
        <v>45</v>
      </c>
      <c r="I24" s="268">
        <v>23</v>
      </c>
      <c r="J24" s="268">
        <v>28</v>
      </c>
      <c r="K24" s="268">
        <v>35</v>
      </c>
      <c r="L24" s="268">
        <v>38</v>
      </c>
      <c r="M24" s="268">
        <v>42</v>
      </c>
      <c r="N24" s="268">
        <v>38</v>
      </c>
      <c r="O24" s="268">
        <v>47</v>
      </c>
      <c r="P24" s="268">
        <v>26</v>
      </c>
      <c r="Q24" s="268">
        <v>43</v>
      </c>
      <c r="R24" s="268">
        <v>41</v>
      </c>
      <c r="S24" s="268">
        <v>45</v>
      </c>
      <c r="T24" s="268">
        <v>43</v>
      </c>
      <c r="U24" s="268">
        <v>34</v>
      </c>
      <c r="V24" s="268">
        <f>SUM(D24:O24)</f>
        <v>319</v>
      </c>
      <c r="W24" s="268">
        <f>SUM(J24:U24)</f>
        <v>460</v>
      </c>
    </row>
    <row r="25" spans="1:23" x14ac:dyDescent="0.25">
      <c r="A25" s="513" t="s">
        <v>56</v>
      </c>
      <c r="B25" s="603" t="s">
        <v>295</v>
      </c>
      <c r="C25" s="603" t="s">
        <v>266</v>
      </c>
      <c r="D25" s="268"/>
      <c r="E25" s="268"/>
      <c r="F25" s="268"/>
      <c r="G25" s="268">
        <v>486</v>
      </c>
      <c r="H25" s="268">
        <v>840</v>
      </c>
      <c r="I25" s="268">
        <v>780</v>
      </c>
      <c r="J25" s="268">
        <v>808</v>
      </c>
      <c r="K25" s="268">
        <v>944</v>
      </c>
      <c r="L25" s="268">
        <v>954</v>
      </c>
      <c r="M25" s="268">
        <v>693</v>
      </c>
      <c r="N25" s="268">
        <v>867</v>
      </c>
      <c r="O25" s="268">
        <v>835</v>
      </c>
      <c r="P25" s="268">
        <v>852</v>
      </c>
      <c r="Q25" s="268">
        <v>966</v>
      </c>
      <c r="R25" s="268">
        <v>885</v>
      </c>
      <c r="S25" s="268">
        <v>985</v>
      </c>
      <c r="T25" s="268">
        <v>904</v>
      </c>
      <c r="U25" s="268">
        <v>799</v>
      </c>
      <c r="V25" s="268">
        <f>SUM(D25:O25)</f>
        <v>7207</v>
      </c>
      <c r="W25" s="268">
        <f>SUM(J25:U25)</f>
        <v>10492</v>
      </c>
    </row>
    <row r="26" spans="1:23" x14ac:dyDescent="0.25">
      <c r="A26" s="513" t="s">
        <v>58</v>
      </c>
      <c r="B26" s="603" t="s">
        <v>59</v>
      </c>
      <c r="C26" s="603" t="s">
        <v>267</v>
      </c>
      <c r="D26" s="268"/>
      <c r="E26" s="268"/>
      <c r="F26" s="268"/>
      <c r="G26" s="268">
        <v>12</v>
      </c>
      <c r="H26" s="268">
        <v>25</v>
      </c>
      <c r="I26" s="268">
        <v>11</v>
      </c>
      <c r="J26" s="268">
        <v>13</v>
      </c>
      <c r="K26" s="268">
        <v>22</v>
      </c>
      <c r="L26" s="268">
        <v>13</v>
      </c>
      <c r="M26" s="268">
        <v>20</v>
      </c>
      <c r="N26" s="268">
        <v>24</v>
      </c>
      <c r="O26" s="268">
        <v>24</v>
      </c>
      <c r="P26" s="268">
        <v>18</v>
      </c>
      <c r="Q26" s="268">
        <v>25</v>
      </c>
      <c r="R26" s="268">
        <v>14</v>
      </c>
      <c r="S26" s="268">
        <v>16</v>
      </c>
      <c r="T26" s="268">
        <v>24</v>
      </c>
      <c r="U26" s="268">
        <v>18</v>
      </c>
      <c r="V26" s="268">
        <f>SUM(D26:O26)</f>
        <v>164</v>
      </c>
      <c r="W26" s="268">
        <f>SUM(J26:U26)</f>
        <v>231</v>
      </c>
    </row>
    <row r="27" spans="1:23" x14ac:dyDescent="0.25">
      <c r="A27" s="513" t="s">
        <v>60</v>
      </c>
      <c r="B27" s="603" t="s">
        <v>61</v>
      </c>
      <c r="C27" s="603" t="s">
        <v>265</v>
      </c>
      <c r="D27" s="268"/>
      <c r="E27" s="268"/>
      <c r="F27" s="268"/>
      <c r="G27" s="268">
        <v>20</v>
      </c>
      <c r="H27" s="268">
        <v>16</v>
      </c>
      <c r="I27" s="268">
        <v>18</v>
      </c>
      <c r="J27" s="268">
        <v>20</v>
      </c>
      <c r="K27" s="268">
        <v>20</v>
      </c>
      <c r="L27" s="268">
        <v>14</v>
      </c>
      <c r="M27" s="268">
        <v>13</v>
      </c>
      <c r="N27" s="268">
        <v>18</v>
      </c>
      <c r="O27" s="268">
        <v>12</v>
      </c>
      <c r="P27" s="268">
        <v>13</v>
      </c>
      <c r="Q27" s="268">
        <v>27</v>
      </c>
      <c r="R27" s="268">
        <v>19</v>
      </c>
      <c r="S27" s="268">
        <v>18</v>
      </c>
      <c r="T27" s="268">
        <v>17</v>
      </c>
      <c r="U27" s="268">
        <v>21</v>
      </c>
      <c r="V27" s="268">
        <f>SUM(D27:O27)</f>
        <v>151</v>
      </c>
      <c r="W27" s="268">
        <f>SUM(J27:U27)</f>
        <v>212</v>
      </c>
    </row>
    <row r="28" spans="1:23" x14ac:dyDescent="0.25">
      <c r="A28" s="513" t="s">
        <v>62</v>
      </c>
      <c r="B28" s="603" t="s">
        <v>63</v>
      </c>
      <c r="C28" s="603" t="s">
        <v>267</v>
      </c>
      <c r="D28" s="268"/>
      <c r="E28" s="268"/>
      <c r="F28" s="268"/>
      <c r="G28" s="268">
        <v>99</v>
      </c>
      <c r="H28" s="268">
        <v>160</v>
      </c>
      <c r="I28" s="268">
        <v>162</v>
      </c>
      <c r="J28" s="268">
        <v>167</v>
      </c>
      <c r="K28" s="268">
        <v>155</v>
      </c>
      <c r="L28" s="268">
        <v>122</v>
      </c>
      <c r="M28" s="268">
        <v>115</v>
      </c>
      <c r="N28" s="268">
        <v>128</v>
      </c>
      <c r="O28" s="268">
        <v>120</v>
      </c>
      <c r="P28" s="268">
        <v>102</v>
      </c>
      <c r="Q28" s="268">
        <v>139</v>
      </c>
      <c r="R28" s="268">
        <v>156</v>
      </c>
      <c r="S28" s="268">
        <v>188</v>
      </c>
      <c r="T28" s="268">
        <v>135</v>
      </c>
      <c r="U28" s="268">
        <v>122</v>
      </c>
      <c r="V28" s="268">
        <f>SUM(D28:O28)</f>
        <v>1228</v>
      </c>
      <c r="W28" s="268">
        <f>SUM(J28:U28)</f>
        <v>1649</v>
      </c>
    </row>
    <row r="29" spans="1:23" x14ac:dyDescent="0.25">
      <c r="A29" s="513" t="s">
        <v>64</v>
      </c>
      <c r="B29" s="603" t="s">
        <v>65</v>
      </c>
      <c r="C29" s="603" t="s">
        <v>266</v>
      </c>
      <c r="D29" s="268"/>
      <c r="E29" s="268"/>
      <c r="F29" s="268"/>
      <c r="G29" s="268">
        <v>35</v>
      </c>
      <c r="H29" s="268">
        <v>45</v>
      </c>
      <c r="I29" s="268">
        <v>46</v>
      </c>
      <c r="J29" s="268">
        <v>36</v>
      </c>
      <c r="K29" s="268">
        <v>42</v>
      </c>
      <c r="L29" s="268">
        <v>35</v>
      </c>
      <c r="M29" s="268">
        <v>30</v>
      </c>
      <c r="N29" s="268">
        <v>44</v>
      </c>
      <c r="O29" s="268">
        <v>48</v>
      </c>
      <c r="P29" s="268">
        <v>30</v>
      </c>
      <c r="Q29" s="268">
        <v>53</v>
      </c>
      <c r="R29" s="268">
        <v>30</v>
      </c>
      <c r="S29" s="268">
        <v>43</v>
      </c>
      <c r="T29" s="268">
        <v>34</v>
      </c>
      <c r="U29" s="268">
        <v>32</v>
      </c>
      <c r="V29" s="268">
        <f>SUM(D29:O29)</f>
        <v>361</v>
      </c>
      <c r="W29" s="268">
        <f>SUM(J29:U29)</f>
        <v>457</v>
      </c>
    </row>
    <row r="30" spans="1:23" x14ac:dyDescent="0.25">
      <c r="A30" s="513" t="s">
        <v>68</v>
      </c>
      <c r="B30" s="603" t="s">
        <v>69</v>
      </c>
      <c r="C30" s="603" t="s">
        <v>268</v>
      </c>
      <c r="D30" s="268"/>
      <c r="E30" s="268"/>
      <c r="F30" s="268"/>
      <c r="G30" s="268">
        <v>48</v>
      </c>
      <c r="H30" s="268">
        <v>70</v>
      </c>
      <c r="I30" s="268">
        <v>69</v>
      </c>
      <c r="J30" s="268">
        <v>52</v>
      </c>
      <c r="K30" s="268">
        <v>59</v>
      </c>
      <c r="L30" s="268">
        <v>59</v>
      </c>
      <c r="M30" s="268">
        <v>58</v>
      </c>
      <c r="N30" s="268">
        <v>60</v>
      </c>
      <c r="O30" s="268">
        <v>51</v>
      </c>
      <c r="P30" s="268">
        <v>52</v>
      </c>
      <c r="Q30" s="268">
        <v>58</v>
      </c>
      <c r="R30" s="268">
        <v>49</v>
      </c>
      <c r="S30" s="268">
        <v>57</v>
      </c>
      <c r="T30" s="268">
        <v>57</v>
      </c>
      <c r="U30" s="268">
        <v>50</v>
      </c>
      <c r="V30" s="268">
        <f>SUM(D30:O30)</f>
        <v>526</v>
      </c>
      <c r="W30" s="268">
        <f>SUM(J30:U30)</f>
        <v>662</v>
      </c>
    </row>
    <row r="31" spans="1:23" x14ac:dyDescent="0.25">
      <c r="A31" s="513" t="s">
        <v>70</v>
      </c>
      <c r="B31" s="603" t="s">
        <v>71</v>
      </c>
      <c r="C31" s="603" t="s">
        <v>264</v>
      </c>
      <c r="D31" s="268"/>
      <c r="E31" s="268"/>
      <c r="F31" s="268"/>
      <c r="G31" s="268">
        <v>79</v>
      </c>
      <c r="H31" s="268">
        <v>88</v>
      </c>
      <c r="I31" s="268">
        <v>83</v>
      </c>
      <c r="J31" s="268">
        <v>96</v>
      </c>
      <c r="K31" s="268">
        <v>105</v>
      </c>
      <c r="L31" s="268">
        <v>112</v>
      </c>
      <c r="M31" s="268">
        <v>71</v>
      </c>
      <c r="N31" s="268">
        <v>95</v>
      </c>
      <c r="O31" s="268">
        <v>96</v>
      </c>
      <c r="P31" s="268">
        <v>83</v>
      </c>
      <c r="Q31" s="268">
        <v>119</v>
      </c>
      <c r="R31" s="268">
        <v>91</v>
      </c>
      <c r="S31" s="268">
        <v>101</v>
      </c>
      <c r="T31" s="268">
        <v>106</v>
      </c>
      <c r="U31" s="268">
        <v>85</v>
      </c>
      <c r="V31" s="268">
        <f>SUM(D31:O31)</f>
        <v>825</v>
      </c>
      <c r="W31" s="268">
        <f>SUM(J31:U31)</f>
        <v>1160</v>
      </c>
    </row>
    <row r="32" spans="1:23" x14ac:dyDescent="0.25">
      <c r="A32" s="513" t="s">
        <v>72</v>
      </c>
      <c r="B32" s="603" t="s">
        <v>73</v>
      </c>
      <c r="C32" s="603" t="s">
        <v>266</v>
      </c>
      <c r="D32" s="268"/>
      <c r="E32" s="268"/>
      <c r="F32" s="268"/>
      <c r="G32" s="268">
        <v>39</v>
      </c>
      <c r="H32" s="268">
        <v>41</v>
      </c>
      <c r="I32" s="268">
        <v>43</v>
      </c>
      <c r="J32" s="268">
        <v>53</v>
      </c>
      <c r="K32" s="268">
        <v>33</v>
      </c>
      <c r="L32" s="268">
        <v>36</v>
      </c>
      <c r="M32" s="268">
        <v>37</v>
      </c>
      <c r="N32" s="268">
        <v>42</v>
      </c>
      <c r="O32" s="268">
        <v>46</v>
      </c>
      <c r="P32" s="268">
        <v>29</v>
      </c>
      <c r="Q32" s="268">
        <v>48</v>
      </c>
      <c r="R32" s="268">
        <v>46</v>
      </c>
      <c r="S32" s="268">
        <v>30</v>
      </c>
      <c r="T32" s="268">
        <v>48</v>
      </c>
      <c r="U32" s="268">
        <v>36</v>
      </c>
      <c r="V32" s="268">
        <f>SUM(D32:O32)</f>
        <v>370</v>
      </c>
      <c r="W32" s="268">
        <f>SUM(J32:U32)</f>
        <v>484</v>
      </c>
    </row>
    <row r="33" spans="1:23" x14ac:dyDescent="0.25">
      <c r="A33" s="513" t="s">
        <v>74</v>
      </c>
      <c r="B33" s="603" t="s">
        <v>296</v>
      </c>
      <c r="C33" s="603" t="s">
        <v>267</v>
      </c>
      <c r="D33" s="268"/>
      <c r="E33" s="268"/>
      <c r="F33" s="268"/>
      <c r="G33" s="268">
        <v>1264</v>
      </c>
      <c r="H33" s="268">
        <v>1823</v>
      </c>
      <c r="I33" s="268">
        <v>1938</v>
      </c>
      <c r="J33" s="268">
        <v>2095</v>
      </c>
      <c r="K33" s="268">
        <v>1654</v>
      </c>
      <c r="L33" s="268">
        <v>1772</v>
      </c>
      <c r="M33" s="268">
        <v>1446</v>
      </c>
      <c r="N33" s="268">
        <v>1634</v>
      </c>
      <c r="O33" s="268">
        <v>1814</v>
      </c>
      <c r="P33" s="268">
        <v>1653</v>
      </c>
      <c r="Q33" s="268">
        <v>1967</v>
      </c>
      <c r="R33" s="268">
        <v>1867</v>
      </c>
      <c r="S33" s="268">
        <v>1794</v>
      </c>
      <c r="T33" s="268">
        <v>1716</v>
      </c>
      <c r="U33" s="268">
        <v>1616</v>
      </c>
      <c r="V33" s="268">
        <f>SUM(D33:O33)</f>
        <v>15440</v>
      </c>
      <c r="W33" s="268">
        <f>SUM(J33:U33)</f>
        <v>21028</v>
      </c>
    </row>
    <row r="34" spans="1:23" x14ac:dyDescent="0.25">
      <c r="A34" s="513" t="s">
        <v>76</v>
      </c>
      <c r="B34" s="603" t="s">
        <v>77</v>
      </c>
      <c r="C34" s="603" t="s">
        <v>267</v>
      </c>
      <c r="D34" s="268"/>
      <c r="E34" s="268"/>
      <c r="F34" s="268"/>
      <c r="G34" s="268">
        <v>78</v>
      </c>
      <c r="H34" s="268">
        <v>119</v>
      </c>
      <c r="I34" s="268">
        <v>95</v>
      </c>
      <c r="J34" s="268">
        <v>114</v>
      </c>
      <c r="K34" s="268">
        <v>114</v>
      </c>
      <c r="L34" s="268">
        <v>89</v>
      </c>
      <c r="M34" s="268">
        <v>77</v>
      </c>
      <c r="N34" s="268">
        <v>109</v>
      </c>
      <c r="O34" s="268">
        <v>103</v>
      </c>
      <c r="P34" s="268">
        <v>79</v>
      </c>
      <c r="Q34" s="268">
        <v>124</v>
      </c>
      <c r="R34" s="268">
        <v>88</v>
      </c>
      <c r="S34" s="268">
        <v>112</v>
      </c>
      <c r="T34" s="268">
        <v>109</v>
      </c>
      <c r="U34" s="268">
        <v>117</v>
      </c>
      <c r="V34" s="268">
        <f>SUM(D34:O34)</f>
        <v>898</v>
      </c>
      <c r="W34" s="268">
        <f>SUM(J34:U34)</f>
        <v>1235</v>
      </c>
    </row>
    <row r="35" spans="1:23" x14ac:dyDescent="0.25">
      <c r="A35" s="513" t="s">
        <v>78</v>
      </c>
      <c r="B35" s="603" t="s">
        <v>79</v>
      </c>
      <c r="C35" s="603" t="s">
        <v>268</v>
      </c>
      <c r="D35" s="268"/>
      <c r="E35" s="268"/>
      <c r="F35" s="268"/>
      <c r="G35" s="268">
        <v>38</v>
      </c>
      <c r="H35" s="268">
        <v>33</v>
      </c>
      <c r="I35" s="268">
        <v>44</v>
      </c>
      <c r="J35" s="268">
        <v>40</v>
      </c>
      <c r="K35" s="268">
        <v>56</v>
      </c>
      <c r="L35" s="268">
        <v>55</v>
      </c>
      <c r="M35" s="268">
        <v>41</v>
      </c>
      <c r="N35" s="268">
        <v>58</v>
      </c>
      <c r="O35" s="268">
        <v>52</v>
      </c>
      <c r="P35" s="268">
        <v>65</v>
      </c>
      <c r="Q35" s="268">
        <v>60</v>
      </c>
      <c r="R35" s="268">
        <v>43</v>
      </c>
      <c r="S35" s="268">
        <v>47</v>
      </c>
      <c r="T35" s="268">
        <v>52</v>
      </c>
      <c r="U35" s="268">
        <v>41</v>
      </c>
      <c r="V35" s="268">
        <f>SUM(D35:O35)</f>
        <v>417</v>
      </c>
      <c r="W35" s="268">
        <f>SUM(J35:U35)</f>
        <v>610</v>
      </c>
    </row>
    <row r="36" spans="1:23" x14ac:dyDescent="0.25">
      <c r="A36" s="513" t="s">
        <v>80</v>
      </c>
      <c r="B36" s="603" t="s">
        <v>81</v>
      </c>
      <c r="C36" s="603" t="s">
        <v>266</v>
      </c>
      <c r="D36" s="268"/>
      <c r="E36" s="268"/>
      <c r="F36" s="268"/>
      <c r="G36" s="268">
        <v>9</v>
      </c>
      <c r="H36" s="268">
        <v>40</v>
      </c>
      <c r="I36" s="268">
        <v>53</v>
      </c>
      <c r="J36" s="268">
        <v>50</v>
      </c>
      <c r="K36" s="268">
        <v>61</v>
      </c>
      <c r="L36" s="268">
        <v>49</v>
      </c>
      <c r="M36" s="268">
        <v>39</v>
      </c>
      <c r="N36" s="268">
        <v>43</v>
      </c>
      <c r="O36" s="268">
        <v>45</v>
      </c>
      <c r="P36" s="268">
        <v>40</v>
      </c>
      <c r="Q36" s="268">
        <v>49</v>
      </c>
      <c r="R36" s="268">
        <v>58</v>
      </c>
      <c r="S36" s="268">
        <v>48</v>
      </c>
      <c r="T36" s="268">
        <v>50</v>
      </c>
      <c r="U36" s="268">
        <v>56</v>
      </c>
      <c r="V36" s="268">
        <f>SUM(D36:O36)</f>
        <v>389</v>
      </c>
      <c r="W36" s="268">
        <f>SUM(J36:U36)</f>
        <v>588</v>
      </c>
    </row>
    <row r="37" spans="1:23" x14ac:dyDescent="0.25">
      <c r="A37" s="513" t="s">
        <v>84</v>
      </c>
      <c r="B37" s="603" t="s">
        <v>85</v>
      </c>
      <c r="C37" s="603" t="s">
        <v>265</v>
      </c>
      <c r="D37" s="268"/>
      <c r="E37" s="268"/>
      <c r="F37" s="268"/>
      <c r="G37" s="268">
        <v>116</v>
      </c>
      <c r="H37" s="268">
        <v>152</v>
      </c>
      <c r="I37" s="268">
        <v>135</v>
      </c>
      <c r="J37" s="268">
        <v>167</v>
      </c>
      <c r="K37" s="268">
        <v>168</v>
      </c>
      <c r="L37" s="268">
        <v>158</v>
      </c>
      <c r="M37" s="268">
        <v>130</v>
      </c>
      <c r="N37" s="268">
        <v>143</v>
      </c>
      <c r="O37" s="268">
        <v>162</v>
      </c>
      <c r="P37" s="268">
        <v>154</v>
      </c>
      <c r="Q37" s="268">
        <v>194</v>
      </c>
      <c r="R37" s="268">
        <v>148</v>
      </c>
      <c r="S37" s="268">
        <v>164</v>
      </c>
      <c r="T37" s="268">
        <v>148</v>
      </c>
      <c r="U37" s="268">
        <v>159</v>
      </c>
      <c r="V37" s="268">
        <f>SUM(D37:O37)</f>
        <v>1331</v>
      </c>
      <c r="W37" s="268">
        <f>SUM(J37:U37)</f>
        <v>1895</v>
      </c>
    </row>
    <row r="38" spans="1:23" x14ac:dyDescent="0.25">
      <c r="A38" s="513" t="s">
        <v>86</v>
      </c>
      <c r="B38" s="603" t="s">
        <v>87</v>
      </c>
      <c r="C38" s="603" t="s">
        <v>267</v>
      </c>
      <c r="D38" s="268"/>
      <c r="E38" s="268"/>
      <c r="F38" s="268"/>
      <c r="G38" s="268">
        <v>95</v>
      </c>
      <c r="H38" s="268">
        <v>151</v>
      </c>
      <c r="I38" s="268">
        <v>166</v>
      </c>
      <c r="J38" s="268">
        <v>172</v>
      </c>
      <c r="K38" s="268">
        <v>203</v>
      </c>
      <c r="L38" s="268">
        <v>176</v>
      </c>
      <c r="M38" s="268">
        <v>166</v>
      </c>
      <c r="N38" s="268">
        <v>139</v>
      </c>
      <c r="O38" s="268">
        <v>191</v>
      </c>
      <c r="P38" s="268">
        <v>154</v>
      </c>
      <c r="Q38" s="268">
        <v>188</v>
      </c>
      <c r="R38" s="268">
        <v>203</v>
      </c>
      <c r="S38" s="268">
        <v>188</v>
      </c>
      <c r="T38" s="268">
        <v>169</v>
      </c>
      <c r="U38" s="268">
        <v>156</v>
      </c>
      <c r="V38" s="268">
        <f>SUM(D38:O38)</f>
        <v>1459</v>
      </c>
      <c r="W38" s="268">
        <f>SUM(J38:U38)</f>
        <v>2105</v>
      </c>
    </row>
    <row r="39" spans="1:23" x14ac:dyDescent="0.25">
      <c r="A39" s="513" t="s">
        <v>92</v>
      </c>
      <c r="B39" s="603" t="s">
        <v>93</v>
      </c>
      <c r="C39" s="603" t="s">
        <v>268</v>
      </c>
      <c r="D39" s="268"/>
      <c r="E39" s="268"/>
      <c r="F39" s="268"/>
      <c r="G39" s="268">
        <v>43</v>
      </c>
      <c r="H39" s="268">
        <v>71</v>
      </c>
      <c r="I39" s="268">
        <v>40</v>
      </c>
      <c r="J39" s="268">
        <v>45</v>
      </c>
      <c r="K39" s="268">
        <v>68</v>
      </c>
      <c r="L39" s="268">
        <v>55</v>
      </c>
      <c r="M39" s="268">
        <v>46</v>
      </c>
      <c r="N39" s="268">
        <v>66</v>
      </c>
      <c r="O39" s="268">
        <v>48</v>
      </c>
      <c r="P39" s="268">
        <v>52</v>
      </c>
      <c r="Q39" s="268">
        <v>49</v>
      </c>
      <c r="R39" s="268">
        <v>53</v>
      </c>
      <c r="S39" s="268">
        <v>41</v>
      </c>
      <c r="T39" s="268">
        <v>76</v>
      </c>
      <c r="U39" s="268">
        <v>40</v>
      </c>
      <c r="V39" s="268">
        <f>SUM(D39:O39)</f>
        <v>482</v>
      </c>
      <c r="W39" s="268">
        <f>SUM(J39:U39)</f>
        <v>639</v>
      </c>
    </row>
    <row r="40" spans="1:23" x14ac:dyDescent="0.25">
      <c r="A40" s="513" t="s">
        <v>94</v>
      </c>
      <c r="B40" s="603" t="s">
        <v>95</v>
      </c>
      <c r="C40" s="603" t="s">
        <v>264</v>
      </c>
      <c r="D40" s="268"/>
      <c r="E40" s="268"/>
      <c r="F40" s="268"/>
      <c r="G40" s="268">
        <v>90</v>
      </c>
      <c r="H40" s="268">
        <v>120</v>
      </c>
      <c r="I40" s="268">
        <v>84</v>
      </c>
      <c r="J40" s="268">
        <v>97</v>
      </c>
      <c r="K40" s="268">
        <v>118</v>
      </c>
      <c r="L40" s="268">
        <v>99</v>
      </c>
      <c r="M40" s="268">
        <v>91</v>
      </c>
      <c r="N40" s="268">
        <v>95</v>
      </c>
      <c r="O40" s="268">
        <v>109</v>
      </c>
      <c r="P40" s="268">
        <v>71</v>
      </c>
      <c r="Q40" s="268">
        <v>86</v>
      </c>
      <c r="R40" s="268">
        <v>98</v>
      </c>
      <c r="S40" s="268">
        <v>138</v>
      </c>
      <c r="T40" s="268">
        <v>91</v>
      </c>
      <c r="U40" s="268">
        <v>96</v>
      </c>
      <c r="V40" s="268">
        <f>SUM(D40:O40)</f>
        <v>903</v>
      </c>
      <c r="W40" s="268">
        <f>SUM(J40:U40)</f>
        <v>1189</v>
      </c>
    </row>
    <row r="41" spans="1:23" x14ac:dyDescent="0.25">
      <c r="A41" s="513" t="s">
        <v>96</v>
      </c>
      <c r="B41" s="603" t="s">
        <v>97</v>
      </c>
      <c r="C41" s="603" t="s">
        <v>266</v>
      </c>
      <c r="D41" s="268"/>
      <c r="E41" s="268"/>
      <c r="F41" s="268"/>
      <c r="G41" s="268">
        <v>15</v>
      </c>
      <c r="H41" s="268">
        <v>31</v>
      </c>
      <c r="I41" s="268">
        <v>23</v>
      </c>
      <c r="J41" s="268">
        <v>24</v>
      </c>
      <c r="K41" s="268">
        <v>23</v>
      </c>
      <c r="L41" s="268">
        <v>29</v>
      </c>
      <c r="M41" s="268">
        <v>22</v>
      </c>
      <c r="N41" s="268">
        <v>21</v>
      </c>
      <c r="O41" s="268">
        <v>29</v>
      </c>
      <c r="P41" s="268">
        <v>24</v>
      </c>
      <c r="Q41" s="268">
        <v>34</v>
      </c>
      <c r="R41" s="268">
        <v>24</v>
      </c>
      <c r="S41" s="268">
        <v>33</v>
      </c>
      <c r="T41" s="268">
        <v>30</v>
      </c>
      <c r="U41" s="268">
        <v>29</v>
      </c>
      <c r="V41" s="268">
        <f>SUM(D41:O41)</f>
        <v>217</v>
      </c>
      <c r="W41" s="268">
        <f>SUM(J41:U41)</f>
        <v>322</v>
      </c>
    </row>
    <row r="42" spans="1:23" x14ac:dyDescent="0.25">
      <c r="A42" s="513" t="s">
        <v>98</v>
      </c>
      <c r="B42" s="603" t="s">
        <v>99</v>
      </c>
      <c r="C42" s="603" t="s">
        <v>268</v>
      </c>
      <c r="D42" s="268"/>
      <c r="E42" s="268"/>
      <c r="F42" s="268"/>
      <c r="G42" s="268">
        <v>46</v>
      </c>
      <c r="H42" s="268">
        <v>42</v>
      </c>
      <c r="I42" s="268">
        <v>55</v>
      </c>
      <c r="J42" s="268">
        <v>51</v>
      </c>
      <c r="K42" s="268">
        <v>41</v>
      </c>
      <c r="L42" s="268">
        <v>34</v>
      </c>
      <c r="M42" s="268">
        <v>45</v>
      </c>
      <c r="N42" s="268">
        <v>36</v>
      </c>
      <c r="O42" s="268">
        <v>47</v>
      </c>
      <c r="P42" s="268">
        <v>53</v>
      </c>
      <c r="Q42" s="268">
        <v>72</v>
      </c>
      <c r="R42" s="268">
        <v>44</v>
      </c>
      <c r="S42" s="268">
        <v>42</v>
      </c>
      <c r="T42" s="268">
        <v>53</v>
      </c>
      <c r="U42" s="268">
        <v>41</v>
      </c>
      <c r="V42" s="268">
        <f>SUM(D42:O42)</f>
        <v>397</v>
      </c>
      <c r="W42" s="268">
        <f>SUM(J42:U42)</f>
        <v>559</v>
      </c>
    </row>
    <row r="43" spans="1:23" x14ac:dyDescent="0.25">
      <c r="A43" s="513" t="s">
        <v>100</v>
      </c>
      <c r="B43" s="603" t="s">
        <v>101</v>
      </c>
      <c r="C43" s="603" t="s">
        <v>267</v>
      </c>
      <c r="D43" s="268"/>
      <c r="E43" s="268"/>
      <c r="F43" s="268"/>
      <c r="G43" s="268">
        <v>22</v>
      </c>
      <c r="H43" s="268">
        <v>38</v>
      </c>
      <c r="I43" s="268">
        <v>36</v>
      </c>
      <c r="J43" s="268">
        <v>40</v>
      </c>
      <c r="K43" s="268">
        <v>40</v>
      </c>
      <c r="L43" s="268">
        <v>34</v>
      </c>
      <c r="M43" s="268">
        <v>36</v>
      </c>
      <c r="N43" s="268">
        <v>36</v>
      </c>
      <c r="O43" s="268">
        <v>43</v>
      </c>
      <c r="P43" s="268">
        <v>32</v>
      </c>
      <c r="Q43" s="268">
        <v>49</v>
      </c>
      <c r="R43" s="268">
        <v>40</v>
      </c>
      <c r="S43" s="268">
        <v>44</v>
      </c>
      <c r="T43" s="268">
        <v>43</v>
      </c>
      <c r="U43" s="268">
        <v>23</v>
      </c>
      <c r="V43" s="268">
        <f>SUM(D43:O43)</f>
        <v>325</v>
      </c>
      <c r="W43" s="268">
        <f>SUM(J43:U43)</f>
        <v>460</v>
      </c>
    </row>
    <row r="44" spans="1:23" x14ac:dyDescent="0.25">
      <c r="A44" s="513" t="s">
        <v>102</v>
      </c>
      <c r="B44" s="603" t="s">
        <v>282</v>
      </c>
      <c r="C44" s="603" t="s">
        <v>264</v>
      </c>
      <c r="D44" s="268"/>
      <c r="E44" s="268"/>
      <c r="F44" s="268"/>
      <c r="G44" s="268">
        <v>44</v>
      </c>
      <c r="H44" s="268">
        <v>72</v>
      </c>
      <c r="I44" s="268">
        <v>85</v>
      </c>
      <c r="J44" s="268">
        <v>74</v>
      </c>
      <c r="K44" s="268">
        <v>65</v>
      </c>
      <c r="L44" s="268">
        <v>92</v>
      </c>
      <c r="M44" s="268">
        <v>67</v>
      </c>
      <c r="N44" s="268">
        <v>67</v>
      </c>
      <c r="O44" s="268">
        <v>89</v>
      </c>
      <c r="P44" s="268">
        <v>69</v>
      </c>
      <c r="Q44" s="268">
        <v>83</v>
      </c>
      <c r="R44" s="268">
        <v>78</v>
      </c>
      <c r="S44" s="268">
        <v>79</v>
      </c>
      <c r="T44" s="268">
        <v>72</v>
      </c>
      <c r="U44" s="268">
        <v>89</v>
      </c>
      <c r="V44" s="268">
        <f>SUM(D44:O44)</f>
        <v>655</v>
      </c>
      <c r="W44" s="268">
        <f>SUM(J44:U44)</f>
        <v>924</v>
      </c>
    </row>
    <row r="45" spans="1:23" x14ac:dyDescent="0.25">
      <c r="A45" s="513" t="s">
        <v>104</v>
      </c>
      <c r="B45" s="603" t="s">
        <v>105</v>
      </c>
      <c r="C45" s="603" t="s">
        <v>265</v>
      </c>
      <c r="D45" s="268">
        <v>120</v>
      </c>
      <c r="E45" s="268">
        <v>132</v>
      </c>
      <c r="F45" s="268">
        <v>120</v>
      </c>
      <c r="G45" s="268">
        <v>145</v>
      </c>
      <c r="H45" s="268">
        <v>121</v>
      </c>
      <c r="I45" s="268">
        <v>115</v>
      </c>
      <c r="J45" s="268">
        <v>142</v>
      </c>
      <c r="K45" s="268">
        <v>128</v>
      </c>
      <c r="L45" s="268">
        <v>118</v>
      </c>
      <c r="M45" s="268">
        <v>103</v>
      </c>
      <c r="N45" s="268">
        <v>115</v>
      </c>
      <c r="O45" s="268">
        <v>112</v>
      </c>
      <c r="P45" s="268">
        <v>109</v>
      </c>
      <c r="Q45" s="268">
        <v>133</v>
      </c>
      <c r="R45" s="268">
        <v>125</v>
      </c>
      <c r="S45" s="268">
        <v>149</v>
      </c>
      <c r="T45" s="268">
        <v>124</v>
      </c>
      <c r="U45" s="268">
        <v>106</v>
      </c>
      <c r="V45" s="268">
        <f>SUM(D45:O45)</f>
        <v>1471</v>
      </c>
      <c r="W45" s="268">
        <f>SUM(J45:U45)</f>
        <v>1464</v>
      </c>
    </row>
    <row r="46" spans="1:23" x14ac:dyDescent="0.25">
      <c r="A46" s="513" t="s">
        <v>108</v>
      </c>
      <c r="B46" s="603" t="s">
        <v>109</v>
      </c>
      <c r="C46" s="603" t="s">
        <v>266</v>
      </c>
      <c r="D46" s="268"/>
      <c r="E46" s="268"/>
      <c r="F46" s="268"/>
      <c r="G46" s="268">
        <v>106</v>
      </c>
      <c r="H46" s="268">
        <v>146</v>
      </c>
      <c r="I46" s="268">
        <v>128</v>
      </c>
      <c r="J46" s="268">
        <v>165</v>
      </c>
      <c r="K46" s="268">
        <v>173</v>
      </c>
      <c r="L46" s="268">
        <v>192</v>
      </c>
      <c r="M46" s="268">
        <v>120</v>
      </c>
      <c r="N46" s="268">
        <v>134</v>
      </c>
      <c r="O46" s="268">
        <v>130</v>
      </c>
      <c r="P46" s="268">
        <v>129</v>
      </c>
      <c r="Q46" s="268">
        <v>184</v>
      </c>
      <c r="R46" s="268">
        <v>161</v>
      </c>
      <c r="S46" s="268">
        <v>154</v>
      </c>
      <c r="T46" s="268">
        <v>138</v>
      </c>
      <c r="U46" s="268">
        <v>136</v>
      </c>
      <c r="V46" s="268">
        <f>SUM(D46:O46)</f>
        <v>1294</v>
      </c>
      <c r="W46" s="268">
        <f>SUM(J46:U46)</f>
        <v>1816</v>
      </c>
    </row>
    <row r="47" spans="1:23" x14ac:dyDescent="0.25">
      <c r="A47" s="513" t="s">
        <v>110</v>
      </c>
      <c r="B47" s="603" t="s">
        <v>111</v>
      </c>
      <c r="C47" s="603" t="s">
        <v>266</v>
      </c>
      <c r="D47" s="268"/>
      <c r="E47" s="268"/>
      <c r="F47" s="268"/>
      <c r="G47" s="268">
        <v>493</v>
      </c>
      <c r="H47" s="268">
        <v>909</v>
      </c>
      <c r="I47" s="268">
        <v>1001</v>
      </c>
      <c r="J47" s="268">
        <v>905</v>
      </c>
      <c r="K47" s="268">
        <v>958</v>
      </c>
      <c r="L47" s="268">
        <v>1032</v>
      </c>
      <c r="M47" s="268">
        <v>792</v>
      </c>
      <c r="N47" s="268">
        <v>878</v>
      </c>
      <c r="O47" s="268">
        <v>1007</v>
      </c>
      <c r="P47" s="268">
        <v>963</v>
      </c>
      <c r="Q47" s="268">
        <v>1139</v>
      </c>
      <c r="R47" s="268">
        <v>916</v>
      </c>
      <c r="S47" s="268">
        <v>1161</v>
      </c>
      <c r="T47" s="268">
        <v>1050</v>
      </c>
      <c r="U47" s="268">
        <v>944</v>
      </c>
      <c r="V47" s="268">
        <f>SUM(D47:O47)</f>
        <v>7975</v>
      </c>
      <c r="W47" s="268">
        <f>SUM(J47:U47)</f>
        <v>11745</v>
      </c>
    </row>
    <row r="48" spans="1:23" x14ac:dyDescent="0.25">
      <c r="A48" s="513" t="s">
        <v>112</v>
      </c>
      <c r="B48" s="603" t="s">
        <v>300</v>
      </c>
      <c r="C48" s="603" t="s">
        <v>265</v>
      </c>
      <c r="D48" s="268">
        <v>282</v>
      </c>
      <c r="E48" s="268">
        <v>269</v>
      </c>
      <c r="F48" s="268">
        <v>273</v>
      </c>
      <c r="G48" s="268">
        <v>276</v>
      </c>
      <c r="H48" s="268">
        <v>321</v>
      </c>
      <c r="I48" s="268">
        <v>283</v>
      </c>
      <c r="J48" s="268">
        <v>265</v>
      </c>
      <c r="K48" s="268">
        <v>291</v>
      </c>
      <c r="L48" s="268">
        <v>302</v>
      </c>
      <c r="M48" s="268">
        <v>217</v>
      </c>
      <c r="N48" s="268">
        <v>282</v>
      </c>
      <c r="O48" s="268">
        <v>280</v>
      </c>
      <c r="P48" s="268">
        <v>258</v>
      </c>
      <c r="Q48" s="268">
        <v>295</v>
      </c>
      <c r="R48" s="268">
        <v>307</v>
      </c>
      <c r="S48" s="268">
        <v>301</v>
      </c>
      <c r="T48" s="268">
        <v>324</v>
      </c>
      <c r="U48" s="268">
        <v>296</v>
      </c>
      <c r="V48" s="268">
        <f>SUM(D48:O48)</f>
        <v>3341</v>
      </c>
      <c r="W48" s="268">
        <f>SUM(J48:U48)</f>
        <v>3418</v>
      </c>
    </row>
    <row r="49" spans="1:23" x14ac:dyDescent="0.25">
      <c r="A49" s="513" t="s">
        <v>114</v>
      </c>
      <c r="B49" s="603" t="s">
        <v>115</v>
      </c>
      <c r="C49" s="603" t="s">
        <v>265</v>
      </c>
      <c r="D49" s="268"/>
      <c r="E49" s="268"/>
      <c r="F49" s="268"/>
      <c r="G49" s="268">
        <v>4</v>
      </c>
      <c r="H49" s="268">
        <v>5</v>
      </c>
      <c r="I49" s="268">
        <v>2</v>
      </c>
      <c r="J49" s="268">
        <v>2</v>
      </c>
      <c r="K49" s="268">
        <v>4</v>
      </c>
      <c r="L49" s="268"/>
      <c r="M49" s="268"/>
      <c r="N49" s="268">
        <v>4</v>
      </c>
      <c r="O49" s="268">
        <v>2</v>
      </c>
      <c r="P49" s="268">
        <v>6</v>
      </c>
      <c r="Q49" s="268">
        <v>5</v>
      </c>
      <c r="R49" s="268">
        <v>1</v>
      </c>
      <c r="S49" s="268">
        <v>5</v>
      </c>
      <c r="T49" s="268">
        <v>2</v>
      </c>
      <c r="U49" s="268">
        <v>5</v>
      </c>
      <c r="V49" s="268">
        <f>SUM(D49:O49)</f>
        <v>23</v>
      </c>
      <c r="W49" s="268">
        <f>SUM(J49:U49)</f>
        <v>36</v>
      </c>
    </row>
    <row r="50" spans="1:23" x14ac:dyDescent="0.25">
      <c r="A50" s="513" t="s">
        <v>118</v>
      </c>
      <c r="B50" s="603" t="s">
        <v>270</v>
      </c>
      <c r="C50" s="603" t="s">
        <v>264</v>
      </c>
      <c r="D50" s="268"/>
      <c r="E50" s="268"/>
      <c r="F50" s="268"/>
      <c r="G50" s="268">
        <v>70</v>
      </c>
      <c r="H50" s="268">
        <v>83</v>
      </c>
      <c r="I50" s="268">
        <v>106</v>
      </c>
      <c r="J50" s="268">
        <v>87</v>
      </c>
      <c r="K50" s="268">
        <v>100</v>
      </c>
      <c r="L50" s="268">
        <v>96</v>
      </c>
      <c r="M50" s="268">
        <v>72</v>
      </c>
      <c r="N50" s="268">
        <v>88</v>
      </c>
      <c r="O50" s="268">
        <v>78</v>
      </c>
      <c r="P50" s="268">
        <v>95</v>
      </c>
      <c r="Q50" s="268">
        <v>105</v>
      </c>
      <c r="R50" s="268">
        <v>107</v>
      </c>
      <c r="S50" s="268">
        <v>111</v>
      </c>
      <c r="T50" s="268">
        <v>92</v>
      </c>
      <c r="U50" s="268">
        <v>61</v>
      </c>
      <c r="V50" s="268">
        <f>SUM(D50:O50)</f>
        <v>780</v>
      </c>
      <c r="W50" s="268">
        <f>SUM(J50:U50)</f>
        <v>1092</v>
      </c>
    </row>
    <row r="51" spans="1:23" x14ac:dyDescent="0.25">
      <c r="A51" s="513" t="s">
        <v>120</v>
      </c>
      <c r="B51" s="603" t="s">
        <v>121</v>
      </c>
      <c r="C51" s="603" t="s">
        <v>264</v>
      </c>
      <c r="D51" s="268"/>
      <c r="E51" s="268"/>
      <c r="F51" s="268"/>
      <c r="G51" s="268">
        <v>64</v>
      </c>
      <c r="H51" s="268">
        <v>115</v>
      </c>
      <c r="I51" s="268">
        <v>118</v>
      </c>
      <c r="J51" s="268">
        <v>131</v>
      </c>
      <c r="K51" s="268">
        <v>176</v>
      </c>
      <c r="L51" s="268">
        <v>160</v>
      </c>
      <c r="M51" s="268">
        <v>102</v>
      </c>
      <c r="N51" s="268">
        <v>104</v>
      </c>
      <c r="O51" s="268">
        <v>131</v>
      </c>
      <c r="P51" s="268">
        <v>123</v>
      </c>
      <c r="Q51" s="268">
        <v>152</v>
      </c>
      <c r="R51" s="268">
        <v>137</v>
      </c>
      <c r="S51" s="268">
        <v>150</v>
      </c>
      <c r="T51" s="268">
        <v>145</v>
      </c>
      <c r="U51" s="268">
        <v>134</v>
      </c>
      <c r="V51" s="268">
        <f>SUM(D51:O51)</f>
        <v>1101</v>
      </c>
      <c r="W51" s="268">
        <f>SUM(J51:U51)</f>
        <v>1645</v>
      </c>
    </row>
    <row r="52" spans="1:23" x14ac:dyDescent="0.25">
      <c r="A52" s="513" t="s">
        <v>122</v>
      </c>
      <c r="B52" s="603" t="s">
        <v>287</v>
      </c>
      <c r="C52" s="603" t="s">
        <v>266</v>
      </c>
      <c r="D52" s="268"/>
      <c r="E52" s="268"/>
      <c r="F52" s="268"/>
      <c r="G52" s="268">
        <v>29</v>
      </c>
      <c r="H52" s="268">
        <v>16</v>
      </c>
      <c r="I52" s="268">
        <v>17</v>
      </c>
      <c r="J52" s="268">
        <v>26</v>
      </c>
      <c r="K52" s="268">
        <v>21</v>
      </c>
      <c r="L52" s="268">
        <v>26</v>
      </c>
      <c r="M52" s="268">
        <v>15</v>
      </c>
      <c r="N52" s="268">
        <v>18</v>
      </c>
      <c r="O52" s="268">
        <v>26</v>
      </c>
      <c r="P52" s="268">
        <v>23</v>
      </c>
      <c r="Q52" s="268">
        <v>38</v>
      </c>
      <c r="R52" s="268">
        <v>34</v>
      </c>
      <c r="S52" s="268">
        <v>31</v>
      </c>
      <c r="T52" s="268">
        <v>28</v>
      </c>
      <c r="U52" s="268">
        <v>16</v>
      </c>
      <c r="V52" s="268">
        <f>SUM(D52:O52)</f>
        <v>194</v>
      </c>
      <c r="W52" s="268">
        <f>SUM(J52:U52)</f>
        <v>302</v>
      </c>
    </row>
    <row r="53" spans="1:23" x14ac:dyDescent="0.25">
      <c r="A53" s="513" t="s">
        <v>124</v>
      </c>
      <c r="B53" s="603" t="s">
        <v>125</v>
      </c>
      <c r="C53" s="603" t="s">
        <v>267</v>
      </c>
      <c r="D53" s="268"/>
      <c r="E53" s="268"/>
      <c r="F53" s="268"/>
      <c r="G53" s="268">
        <v>42</v>
      </c>
      <c r="H53" s="268">
        <v>65</v>
      </c>
      <c r="I53" s="268">
        <v>58</v>
      </c>
      <c r="J53" s="268">
        <v>66</v>
      </c>
      <c r="K53" s="268">
        <v>69</v>
      </c>
      <c r="L53" s="268">
        <v>41</v>
      </c>
      <c r="M53" s="268">
        <v>33</v>
      </c>
      <c r="N53" s="268">
        <v>60</v>
      </c>
      <c r="O53" s="268">
        <v>60</v>
      </c>
      <c r="P53" s="268">
        <v>50</v>
      </c>
      <c r="Q53" s="268">
        <v>73</v>
      </c>
      <c r="R53" s="268">
        <v>62</v>
      </c>
      <c r="S53" s="268">
        <v>59</v>
      </c>
      <c r="T53" s="268">
        <v>61</v>
      </c>
      <c r="U53" s="268">
        <v>66</v>
      </c>
      <c r="V53" s="268">
        <f>SUM(D53:O53)</f>
        <v>494</v>
      </c>
      <c r="W53" s="268">
        <f>SUM(J53:U53)</f>
        <v>700</v>
      </c>
    </row>
    <row r="54" spans="1:23" x14ac:dyDescent="0.25">
      <c r="A54" s="513" t="s">
        <v>126</v>
      </c>
      <c r="B54" s="603" t="s">
        <v>127</v>
      </c>
      <c r="C54" s="603" t="s">
        <v>266</v>
      </c>
      <c r="D54" s="268"/>
      <c r="E54" s="268"/>
      <c r="F54" s="268"/>
      <c r="G54" s="268">
        <v>16</v>
      </c>
      <c r="H54" s="268">
        <v>37</v>
      </c>
      <c r="I54" s="268">
        <v>51</v>
      </c>
      <c r="J54" s="268">
        <v>31</v>
      </c>
      <c r="K54" s="268">
        <v>42</v>
      </c>
      <c r="L54" s="268">
        <v>47</v>
      </c>
      <c r="M54" s="268">
        <v>26</v>
      </c>
      <c r="N54" s="268">
        <v>20</v>
      </c>
      <c r="O54" s="268">
        <v>32</v>
      </c>
      <c r="P54" s="268">
        <v>29</v>
      </c>
      <c r="Q54" s="268">
        <v>45</v>
      </c>
      <c r="R54" s="268">
        <v>37</v>
      </c>
      <c r="S54" s="268">
        <v>40</v>
      </c>
      <c r="T54" s="268">
        <v>41</v>
      </c>
      <c r="U54" s="268">
        <v>39</v>
      </c>
      <c r="V54" s="268">
        <f>SUM(D54:O54)</f>
        <v>302</v>
      </c>
      <c r="W54" s="268">
        <f>SUM(J54:U54)</f>
        <v>429</v>
      </c>
    </row>
    <row r="55" spans="1:23" x14ac:dyDescent="0.25">
      <c r="A55" s="513" t="s">
        <v>128</v>
      </c>
      <c r="B55" s="603" t="s">
        <v>129</v>
      </c>
      <c r="C55" s="603" t="s">
        <v>266</v>
      </c>
      <c r="D55" s="268"/>
      <c r="E55" s="268"/>
      <c r="F55" s="268"/>
      <c r="G55" s="268">
        <v>17</v>
      </c>
      <c r="H55" s="268">
        <v>30</v>
      </c>
      <c r="I55" s="268">
        <v>29</v>
      </c>
      <c r="J55" s="268">
        <v>33</v>
      </c>
      <c r="K55" s="268">
        <v>30</v>
      </c>
      <c r="L55" s="268">
        <v>23</v>
      </c>
      <c r="M55" s="268">
        <v>27</v>
      </c>
      <c r="N55" s="268">
        <v>35</v>
      </c>
      <c r="O55" s="268">
        <v>33</v>
      </c>
      <c r="P55" s="268">
        <v>21</v>
      </c>
      <c r="Q55" s="268">
        <v>33</v>
      </c>
      <c r="R55" s="268">
        <v>19</v>
      </c>
      <c r="S55" s="268">
        <v>31</v>
      </c>
      <c r="T55" s="268">
        <v>33</v>
      </c>
      <c r="U55" s="268">
        <v>24</v>
      </c>
      <c r="V55" s="268">
        <f>SUM(D55:O55)</f>
        <v>257</v>
      </c>
      <c r="W55" s="268">
        <f>SUM(J55:U55)</f>
        <v>342</v>
      </c>
    </row>
    <row r="56" spans="1:23" x14ac:dyDescent="0.25">
      <c r="A56" s="513" t="s">
        <v>130</v>
      </c>
      <c r="B56" s="603" t="s">
        <v>131</v>
      </c>
      <c r="C56" s="603" t="s">
        <v>268</v>
      </c>
      <c r="D56" s="268"/>
      <c r="E56" s="268"/>
      <c r="F56" s="268"/>
      <c r="G56" s="268">
        <v>63</v>
      </c>
      <c r="H56" s="268">
        <v>109</v>
      </c>
      <c r="I56" s="268">
        <v>88</v>
      </c>
      <c r="J56" s="268">
        <v>86</v>
      </c>
      <c r="K56" s="268">
        <v>120</v>
      </c>
      <c r="L56" s="268">
        <v>88</v>
      </c>
      <c r="M56" s="268">
        <v>69</v>
      </c>
      <c r="N56" s="268">
        <v>85</v>
      </c>
      <c r="O56" s="268">
        <v>103</v>
      </c>
      <c r="P56" s="268">
        <v>98</v>
      </c>
      <c r="Q56" s="268">
        <v>92</v>
      </c>
      <c r="R56" s="268">
        <v>85</v>
      </c>
      <c r="S56" s="268">
        <v>86</v>
      </c>
      <c r="T56" s="268">
        <v>103</v>
      </c>
      <c r="U56" s="268">
        <v>79</v>
      </c>
      <c r="V56" s="268">
        <f>SUM(D56:O56)</f>
        <v>811</v>
      </c>
      <c r="W56" s="268">
        <f>SUM(J56:U56)</f>
        <v>1094</v>
      </c>
    </row>
    <row r="57" spans="1:23" x14ac:dyDescent="0.25">
      <c r="A57" s="513" t="s">
        <v>132</v>
      </c>
      <c r="B57" s="603" t="s">
        <v>133</v>
      </c>
      <c r="C57" s="603" t="s">
        <v>267</v>
      </c>
      <c r="D57" s="268"/>
      <c r="E57" s="268"/>
      <c r="F57" s="268"/>
      <c r="G57" s="268">
        <v>275</v>
      </c>
      <c r="H57" s="268">
        <v>376</v>
      </c>
      <c r="I57" s="268">
        <v>348</v>
      </c>
      <c r="J57" s="268">
        <v>356</v>
      </c>
      <c r="K57" s="268">
        <v>370</v>
      </c>
      <c r="L57" s="268">
        <v>370</v>
      </c>
      <c r="M57" s="268">
        <v>308</v>
      </c>
      <c r="N57" s="268">
        <v>339</v>
      </c>
      <c r="O57" s="268">
        <v>337</v>
      </c>
      <c r="P57" s="268">
        <v>349</v>
      </c>
      <c r="Q57" s="268">
        <v>372</v>
      </c>
      <c r="R57" s="268">
        <v>354</v>
      </c>
      <c r="S57" s="268">
        <v>359</v>
      </c>
      <c r="T57" s="268">
        <v>336</v>
      </c>
      <c r="U57" s="268">
        <v>302</v>
      </c>
      <c r="V57" s="268">
        <f>SUM(D57:O57)</f>
        <v>3079</v>
      </c>
      <c r="W57" s="268">
        <f>SUM(J57:U57)</f>
        <v>4152</v>
      </c>
    </row>
    <row r="58" spans="1:23" x14ac:dyDescent="0.25">
      <c r="A58" s="513" t="s">
        <v>134</v>
      </c>
      <c r="B58" s="603" t="s">
        <v>135</v>
      </c>
      <c r="C58" s="603" t="s">
        <v>267</v>
      </c>
      <c r="D58" s="268"/>
      <c r="E58" s="268"/>
      <c r="F58" s="268"/>
      <c r="G58" s="268">
        <v>53</v>
      </c>
      <c r="H58" s="268">
        <v>110</v>
      </c>
      <c r="I58" s="268">
        <v>102</v>
      </c>
      <c r="J58" s="268">
        <v>100</v>
      </c>
      <c r="K58" s="268">
        <v>84</v>
      </c>
      <c r="L58" s="268">
        <v>93</v>
      </c>
      <c r="M58" s="268">
        <v>85</v>
      </c>
      <c r="N58" s="268">
        <v>82</v>
      </c>
      <c r="O58" s="268">
        <v>98</v>
      </c>
      <c r="P58" s="268">
        <v>82</v>
      </c>
      <c r="Q58" s="268">
        <v>131</v>
      </c>
      <c r="R58" s="268">
        <v>103</v>
      </c>
      <c r="S58" s="268">
        <v>106</v>
      </c>
      <c r="T58" s="268">
        <v>103</v>
      </c>
      <c r="U58" s="268">
        <v>108</v>
      </c>
      <c r="V58" s="268">
        <f>SUM(D58:O58)</f>
        <v>807</v>
      </c>
      <c r="W58" s="268">
        <f>SUM(J58:U58)</f>
        <v>1175</v>
      </c>
    </row>
    <row r="59" spans="1:23" x14ac:dyDescent="0.25">
      <c r="A59" s="513" t="s">
        <v>136</v>
      </c>
      <c r="B59" s="603" t="s">
        <v>137</v>
      </c>
      <c r="C59" s="603" t="s">
        <v>266</v>
      </c>
      <c r="D59" s="268"/>
      <c r="E59" s="268"/>
      <c r="F59" s="268"/>
      <c r="G59" s="268">
        <v>35</v>
      </c>
      <c r="H59" s="268">
        <v>62</v>
      </c>
      <c r="I59" s="268">
        <v>34</v>
      </c>
      <c r="J59" s="268">
        <v>51</v>
      </c>
      <c r="K59" s="268">
        <v>50</v>
      </c>
      <c r="L59" s="268">
        <v>54</v>
      </c>
      <c r="M59" s="268">
        <v>30</v>
      </c>
      <c r="N59" s="268">
        <v>26</v>
      </c>
      <c r="O59" s="268">
        <v>40</v>
      </c>
      <c r="P59" s="268">
        <v>39</v>
      </c>
      <c r="Q59" s="268">
        <v>59</v>
      </c>
      <c r="R59" s="268">
        <v>51</v>
      </c>
      <c r="S59" s="268">
        <v>49</v>
      </c>
      <c r="T59" s="268">
        <v>45</v>
      </c>
      <c r="U59" s="268">
        <v>31</v>
      </c>
      <c r="V59" s="268">
        <f>SUM(D59:O59)</f>
        <v>382</v>
      </c>
      <c r="W59" s="268">
        <f>SUM(J59:U59)</f>
        <v>525</v>
      </c>
    </row>
    <row r="60" spans="1:23" x14ac:dyDescent="0.25">
      <c r="A60" s="513" t="s">
        <v>140</v>
      </c>
      <c r="B60" s="603" t="s">
        <v>141</v>
      </c>
      <c r="C60" s="603" t="s">
        <v>267</v>
      </c>
      <c r="D60" s="268"/>
      <c r="E60" s="268"/>
      <c r="F60" s="268"/>
      <c r="G60" s="268">
        <v>15</v>
      </c>
      <c r="H60" s="268">
        <v>33</v>
      </c>
      <c r="I60" s="268">
        <v>26</v>
      </c>
      <c r="J60" s="268">
        <v>34</v>
      </c>
      <c r="K60" s="268">
        <v>41</v>
      </c>
      <c r="L60" s="268">
        <v>28</v>
      </c>
      <c r="M60" s="268">
        <v>20</v>
      </c>
      <c r="N60" s="268">
        <v>18</v>
      </c>
      <c r="O60" s="268">
        <v>31</v>
      </c>
      <c r="P60" s="268">
        <v>21</v>
      </c>
      <c r="Q60" s="268">
        <v>27</v>
      </c>
      <c r="R60" s="268">
        <v>25</v>
      </c>
      <c r="S60" s="268">
        <v>31</v>
      </c>
      <c r="T60" s="268">
        <v>19</v>
      </c>
      <c r="U60" s="268">
        <v>29</v>
      </c>
      <c r="V60" s="268">
        <f>SUM(D60:O60)</f>
        <v>246</v>
      </c>
      <c r="W60" s="268">
        <f>SUM(J60:U60)</f>
        <v>324</v>
      </c>
    </row>
    <row r="61" spans="1:23" x14ac:dyDescent="0.25">
      <c r="A61" s="513" t="s">
        <v>146</v>
      </c>
      <c r="B61" s="603" t="s">
        <v>147</v>
      </c>
      <c r="C61" s="603" t="s">
        <v>264</v>
      </c>
      <c r="D61" s="268"/>
      <c r="E61" s="268"/>
      <c r="F61" s="268"/>
      <c r="G61" s="268">
        <v>12</v>
      </c>
      <c r="H61" s="268">
        <v>23</v>
      </c>
      <c r="I61" s="268">
        <v>18</v>
      </c>
      <c r="J61" s="268">
        <v>17</v>
      </c>
      <c r="K61" s="268">
        <v>32</v>
      </c>
      <c r="L61" s="268">
        <v>22</v>
      </c>
      <c r="M61" s="268">
        <v>12</v>
      </c>
      <c r="N61" s="268">
        <v>26</v>
      </c>
      <c r="O61" s="268">
        <v>22</v>
      </c>
      <c r="P61" s="268">
        <v>12</v>
      </c>
      <c r="Q61" s="268">
        <v>23</v>
      </c>
      <c r="R61" s="268">
        <v>16</v>
      </c>
      <c r="S61" s="268">
        <v>33</v>
      </c>
      <c r="T61" s="268">
        <v>21</v>
      </c>
      <c r="U61" s="268">
        <v>18</v>
      </c>
      <c r="V61" s="268">
        <f>SUM(D61:O61)</f>
        <v>184</v>
      </c>
      <c r="W61" s="268">
        <f>SUM(J61:U61)</f>
        <v>254</v>
      </c>
    </row>
    <row r="62" spans="1:23" x14ac:dyDescent="0.25">
      <c r="A62" s="513" t="s">
        <v>148</v>
      </c>
      <c r="B62" s="603" t="s">
        <v>149</v>
      </c>
      <c r="C62" s="603" t="s">
        <v>265</v>
      </c>
      <c r="D62" s="268"/>
      <c r="E62" s="268"/>
      <c r="F62" s="268"/>
      <c r="G62" s="268">
        <v>59</v>
      </c>
      <c r="H62" s="268">
        <v>109</v>
      </c>
      <c r="I62" s="268">
        <v>102</v>
      </c>
      <c r="J62" s="268">
        <v>105</v>
      </c>
      <c r="K62" s="268">
        <v>122</v>
      </c>
      <c r="L62" s="268">
        <v>82</v>
      </c>
      <c r="M62" s="268">
        <v>83</v>
      </c>
      <c r="N62" s="268">
        <v>85</v>
      </c>
      <c r="O62" s="268">
        <v>100</v>
      </c>
      <c r="P62" s="268">
        <v>107</v>
      </c>
      <c r="Q62" s="268">
        <v>114</v>
      </c>
      <c r="R62" s="268">
        <v>95</v>
      </c>
      <c r="S62" s="268">
        <v>113</v>
      </c>
      <c r="T62" s="268">
        <v>110</v>
      </c>
      <c r="U62" s="268">
        <v>101</v>
      </c>
      <c r="V62" s="268">
        <f>SUM(D62:O62)</f>
        <v>847</v>
      </c>
      <c r="W62" s="268">
        <f>SUM(J62:U62)</f>
        <v>1217</v>
      </c>
    </row>
    <row r="63" spans="1:23" x14ac:dyDescent="0.25">
      <c r="A63" s="513" t="s">
        <v>150</v>
      </c>
      <c r="B63" s="603" t="s">
        <v>151</v>
      </c>
      <c r="C63" s="603" t="s">
        <v>266</v>
      </c>
      <c r="D63" s="268"/>
      <c r="E63" s="268"/>
      <c r="F63" s="268"/>
      <c r="G63" s="268">
        <v>30</v>
      </c>
      <c r="H63" s="268">
        <v>47</v>
      </c>
      <c r="I63" s="268">
        <v>32</v>
      </c>
      <c r="J63" s="268">
        <v>50</v>
      </c>
      <c r="K63" s="268">
        <v>47</v>
      </c>
      <c r="L63" s="268">
        <v>38</v>
      </c>
      <c r="M63" s="268">
        <v>35</v>
      </c>
      <c r="N63" s="268">
        <v>28</v>
      </c>
      <c r="O63" s="268">
        <v>33</v>
      </c>
      <c r="P63" s="268">
        <v>38</v>
      </c>
      <c r="Q63" s="268">
        <v>28</v>
      </c>
      <c r="R63" s="268">
        <v>29</v>
      </c>
      <c r="S63" s="268">
        <v>43</v>
      </c>
      <c r="T63" s="268">
        <v>38</v>
      </c>
      <c r="U63" s="268">
        <v>34</v>
      </c>
      <c r="V63" s="268">
        <f>SUM(D63:O63)</f>
        <v>340</v>
      </c>
      <c r="W63" s="268">
        <f>SUM(J63:U63)</f>
        <v>441</v>
      </c>
    </row>
    <row r="64" spans="1:23" x14ac:dyDescent="0.25">
      <c r="A64" s="513" t="s">
        <v>152</v>
      </c>
      <c r="B64" s="603" t="s">
        <v>153</v>
      </c>
      <c r="C64" s="603" t="s">
        <v>268</v>
      </c>
      <c r="D64" s="268"/>
      <c r="E64" s="268"/>
      <c r="F64" s="268"/>
      <c r="G64" s="268">
        <v>132</v>
      </c>
      <c r="H64" s="268">
        <v>180</v>
      </c>
      <c r="I64" s="268">
        <v>154</v>
      </c>
      <c r="J64" s="268">
        <v>207</v>
      </c>
      <c r="K64" s="268">
        <v>211</v>
      </c>
      <c r="L64" s="268">
        <v>161</v>
      </c>
      <c r="M64" s="268">
        <v>148</v>
      </c>
      <c r="N64" s="268">
        <v>178</v>
      </c>
      <c r="O64" s="268">
        <v>185</v>
      </c>
      <c r="P64" s="268">
        <v>159</v>
      </c>
      <c r="Q64" s="268">
        <v>213</v>
      </c>
      <c r="R64" s="268">
        <v>186</v>
      </c>
      <c r="S64" s="268">
        <v>201</v>
      </c>
      <c r="T64" s="268">
        <v>210</v>
      </c>
      <c r="U64" s="268">
        <v>165</v>
      </c>
      <c r="V64" s="268">
        <f>SUM(D64:O64)</f>
        <v>1556</v>
      </c>
      <c r="W64" s="268">
        <f>SUM(J64:U64)</f>
        <v>2224</v>
      </c>
    </row>
    <row r="65" spans="1:23" x14ac:dyDescent="0.25">
      <c r="A65" s="513" t="s">
        <v>154</v>
      </c>
      <c r="B65" s="603" t="s">
        <v>155</v>
      </c>
      <c r="C65" s="603" t="s">
        <v>265</v>
      </c>
      <c r="D65" s="268"/>
      <c r="E65" s="268"/>
      <c r="F65" s="268"/>
      <c r="G65" s="268">
        <v>29</v>
      </c>
      <c r="H65" s="268">
        <v>45</v>
      </c>
      <c r="I65" s="268">
        <v>31</v>
      </c>
      <c r="J65" s="268">
        <v>54</v>
      </c>
      <c r="K65" s="268">
        <v>42</v>
      </c>
      <c r="L65" s="268">
        <v>37</v>
      </c>
      <c r="M65" s="268">
        <v>25</v>
      </c>
      <c r="N65" s="268">
        <v>35</v>
      </c>
      <c r="O65" s="268">
        <v>40</v>
      </c>
      <c r="P65" s="268">
        <v>35</v>
      </c>
      <c r="Q65" s="268">
        <v>37</v>
      </c>
      <c r="R65" s="268">
        <v>32</v>
      </c>
      <c r="S65" s="268">
        <v>37</v>
      </c>
      <c r="T65" s="268">
        <v>36</v>
      </c>
      <c r="U65" s="268">
        <v>35</v>
      </c>
      <c r="V65" s="268">
        <f>SUM(D65:O65)</f>
        <v>338</v>
      </c>
      <c r="W65" s="268">
        <f>SUM(J65:U65)</f>
        <v>445</v>
      </c>
    </row>
    <row r="66" spans="1:23" x14ac:dyDescent="0.25">
      <c r="A66" s="513" t="s">
        <v>156</v>
      </c>
      <c r="B66" s="603" t="s">
        <v>157</v>
      </c>
      <c r="C66" s="603" t="s">
        <v>266</v>
      </c>
      <c r="D66" s="268"/>
      <c r="E66" s="268"/>
      <c r="F66" s="268"/>
      <c r="G66" s="268">
        <v>22</v>
      </c>
      <c r="H66" s="268">
        <v>38</v>
      </c>
      <c r="I66" s="268">
        <v>33</v>
      </c>
      <c r="J66" s="268">
        <v>38</v>
      </c>
      <c r="K66" s="268">
        <v>25</v>
      </c>
      <c r="L66" s="268">
        <v>22</v>
      </c>
      <c r="M66" s="268">
        <v>18</v>
      </c>
      <c r="N66" s="268">
        <v>34</v>
      </c>
      <c r="O66" s="268">
        <v>26</v>
      </c>
      <c r="P66" s="268">
        <v>27</v>
      </c>
      <c r="Q66" s="268">
        <v>43</v>
      </c>
      <c r="R66" s="268">
        <v>26</v>
      </c>
      <c r="S66" s="268">
        <v>34</v>
      </c>
      <c r="T66" s="268">
        <v>37</v>
      </c>
      <c r="U66" s="268">
        <v>22</v>
      </c>
      <c r="V66" s="268">
        <f>SUM(D66:O66)</f>
        <v>256</v>
      </c>
      <c r="W66" s="268">
        <f>SUM(J66:U66)</f>
        <v>352</v>
      </c>
    </row>
    <row r="67" spans="1:23" x14ac:dyDescent="0.25">
      <c r="A67" s="513" t="s">
        <v>162</v>
      </c>
      <c r="B67" s="603" t="s">
        <v>163</v>
      </c>
      <c r="C67" s="603" t="s">
        <v>264</v>
      </c>
      <c r="D67" s="268"/>
      <c r="E67" s="268"/>
      <c r="F67" s="268"/>
      <c r="G67" s="268">
        <v>40</v>
      </c>
      <c r="H67" s="268">
        <v>78</v>
      </c>
      <c r="I67" s="268">
        <v>57</v>
      </c>
      <c r="J67" s="268">
        <v>50</v>
      </c>
      <c r="K67" s="268">
        <v>58</v>
      </c>
      <c r="L67" s="268">
        <v>39</v>
      </c>
      <c r="M67" s="268">
        <v>44</v>
      </c>
      <c r="N67" s="268">
        <v>51</v>
      </c>
      <c r="O67" s="268">
        <v>48</v>
      </c>
      <c r="P67" s="268">
        <v>42</v>
      </c>
      <c r="Q67" s="268">
        <v>41</v>
      </c>
      <c r="R67" s="268">
        <v>52</v>
      </c>
      <c r="S67" s="268">
        <v>67</v>
      </c>
      <c r="T67" s="268">
        <v>68</v>
      </c>
      <c r="U67" s="268">
        <v>65</v>
      </c>
      <c r="V67" s="268">
        <f>SUM(D67:O67)</f>
        <v>465</v>
      </c>
      <c r="W67" s="268">
        <f>SUM(J67:U67)</f>
        <v>625</v>
      </c>
    </row>
    <row r="68" spans="1:23" x14ac:dyDescent="0.25">
      <c r="A68" s="513" t="s">
        <v>164</v>
      </c>
      <c r="B68" s="603" t="s">
        <v>165</v>
      </c>
      <c r="C68" s="603" t="s">
        <v>266</v>
      </c>
      <c r="D68" s="268"/>
      <c r="E68" s="268"/>
      <c r="F68" s="268"/>
      <c r="G68" s="268">
        <v>29</v>
      </c>
      <c r="H68" s="268">
        <v>44</v>
      </c>
      <c r="I68" s="268">
        <v>49</v>
      </c>
      <c r="J68" s="268">
        <v>30</v>
      </c>
      <c r="K68" s="268">
        <v>44</v>
      </c>
      <c r="L68" s="268">
        <v>22</v>
      </c>
      <c r="M68" s="268">
        <v>22</v>
      </c>
      <c r="N68" s="268">
        <v>36</v>
      </c>
      <c r="O68" s="268">
        <v>25</v>
      </c>
      <c r="P68" s="268">
        <v>40</v>
      </c>
      <c r="Q68" s="268">
        <v>37</v>
      </c>
      <c r="R68" s="268">
        <v>36</v>
      </c>
      <c r="S68" s="268">
        <v>44</v>
      </c>
      <c r="T68" s="268">
        <v>49</v>
      </c>
      <c r="U68" s="268">
        <v>27</v>
      </c>
      <c r="V68" s="268">
        <f>SUM(D68:O68)</f>
        <v>301</v>
      </c>
      <c r="W68" s="268">
        <f>SUM(J68:U68)</f>
        <v>412</v>
      </c>
    </row>
    <row r="69" spans="1:23" x14ac:dyDescent="0.25">
      <c r="A69" s="513" t="s">
        <v>168</v>
      </c>
      <c r="B69" s="603" t="s">
        <v>169</v>
      </c>
      <c r="C69" s="603" t="s">
        <v>266</v>
      </c>
      <c r="D69" s="268"/>
      <c r="E69" s="268"/>
      <c r="F69" s="268"/>
      <c r="G69" s="268">
        <v>41</v>
      </c>
      <c r="H69" s="268">
        <v>63</v>
      </c>
      <c r="I69" s="268">
        <v>47</v>
      </c>
      <c r="J69" s="268">
        <v>40</v>
      </c>
      <c r="K69" s="268">
        <v>57</v>
      </c>
      <c r="L69" s="268">
        <v>59</v>
      </c>
      <c r="M69" s="268">
        <v>39</v>
      </c>
      <c r="N69" s="268">
        <v>54</v>
      </c>
      <c r="O69" s="268">
        <v>54</v>
      </c>
      <c r="P69" s="268">
        <v>64</v>
      </c>
      <c r="Q69" s="268">
        <v>76</v>
      </c>
      <c r="R69" s="268">
        <v>58</v>
      </c>
      <c r="S69" s="268">
        <v>51</v>
      </c>
      <c r="T69" s="268">
        <v>76</v>
      </c>
      <c r="U69" s="268">
        <v>47</v>
      </c>
      <c r="V69" s="268">
        <f>SUM(D69:O69)</f>
        <v>454</v>
      </c>
      <c r="W69" s="268">
        <f>SUM(J69:U69)</f>
        <v>675</v>
      </c>
    </row>
    <row r="70" spans="1:23" x14ac:dyDescent="0.25">
      <c r="A70" s="513" t="s">
        <v>170</v>
      </c>
      <c r="B70" s="603" t="s">
        <v>171</v>
      </c>
      <c r="C70" s="603" t="s">
        <v>267</v>
      </c>
      <c r="D70" s="268"/>
      <c r="E70" s="268"/>
      <c r="F70" s="268"/>
      <c r="G70" s="268">
        <v>70</v>
      </c>
      <c r="H70" s="268">
        <v>107</v>
      </c>
      <c r="I70" s="268">
        <v>95</v>
      </c>
      <c r="J70" s="268">
        <v>102</v>
      </c>
      <c r="K70" s="268">
        <v>108</v>
      </c>
      <c r="L70" s="268">
        <v>101</v>
      </c>
      <c r="M70" s="268">
        <v>80</v>
      </c>
      <c r="N70" s="268">
        <v>88</v>
      </c>
      <c r="O70" s="268">
        <v>87</v>
      </c>
      <c r="P70" s="268">
        <v>84</v>
      </c>
      <c r="Q70" s="268">
        <v>112</v>
      </c>
      <c r="R70" s="268">
        <v>109</v>
      </c>
      <c r="S70" s="268">
        <v>110</v>
      </c>
      <c r="T70" s="268">
        <v>64</v>
      </c>
      <c r="U70" s="268">
        <v>88</v>
      </c>
      <c r="V70" s="268">
        <f>SUM(D70:O70)</f>
        <v>838</v>
      </c>
      <c r="W70" s="268">
        <f>SUM(J70:U70)</f>
        <v>1133</v>
      </c>
    </row>
    <row r="71" spans="1:23" x14ac:dyDescent="0.25">
      <c r="A71" s="513" t="s">
        <v>172</v>
      </c>
      <c r="B71" s="603" t="s">
        <v>173</v>
      </c>
      <c r="C71" s="603" t="s">
        <v>267</v>
      </c>
      <c r="D71" s="268"/>
      <c r="E71" s="268"/>
      <c r="F71" s="268"/>
      <c r="G71" s="268">
        <v>58</v>
      </c>
      <c r="H71" s="268">
        <v>123</v>
      </c>
      <c r="I71" s="268">
        <v>118</v>
      </c>
      <c r="J71" s="268">
        <v>104</v>
      </c>
      <c r="K71" s="268">
        <v>96</v>
      </c>
      <c r="L71" s="268">
        <v>106</v>
      </c>
      <c r="M71" s="268">
        <v>89</v>
      </c>
      <c r="N71" s="268">
        <v>100</v>
      </c>
      <c r="O71" s="268">
        <v>119</v>
      </c>
      <c r="P71" s="268">
        <v>66</v>
      </c>
      <c r="Q71" s="268">
        <v>94</v>
      </c>
      <c r="R71" s="268">
        <v>81</v>
      </c>
      <c r="S71" s="268">
        <v>100</v>
      </c>
      <c r="T71" s="268">
        <v>115</v>
      </c>
      <c r="U71" s="268">
        <v>92</v>
      </c>
      <c r="V71" s="268">
        <f>SUM(D71:O71)</f>
        <v>913</v>
      </c>
      <c r="W71" s="268">
        <f>SUM(J71:U71)</f>
        <v>1162</v>
      </c>
    </row>
    <row r="72" spans="1:23" x14ac:dyDescent="0.25">
      <c r="A72" s="513" t="s">
        <v>174</v>
      </c>
      <c r="B72" s="603" t="s">
        <v>175</v>
      </c>
      <c r="C72" s="603" t="s">
        <v>268</v>
      </c>
      <c r="D72" s="268"/>
      <c r="E72" s="268"/>
      <c r="F72" s="268"/>
      <c r="G72" s="268">
        <v>49</v>
      </c>
      <c r="H72" s="268">
        <v>66</v>
      </c>
      <c r="I72" s="268">
        <v>56</v>
      </c>
      <c r="J72" s="268">
        <v>60</v>
      </c>
      <c r="K72" s="268">
        <v>55</v>
      </c>
      <c r="L72" s="268">
        <v>51</v>
      </c>
      <c r="M72" s="268">
        <v>48</v>
      </c>
      <c r="N72" s="268">
        <v>62</v>
      </c>
      <c r="O72" s="268">
        <v>77</v>
      </c>
      <c r="P72" s="268">
        <v>62</v>
      </c>
      <c r="Q72" s="268">
        <v>77</v>
      </c>
      <c r="R72" s="268">
        <v>66</v>
      </c>
      <c r="S72" s="268">
        <v>57</v>
      </c>
      <c r="T72" s="268">
        <v>63</v>
      </c>
      <c r="U72" s="268">
        <v>65</v>
      </c>
      <c r="V72" s="268">
        <f>SUM(D72:O72)</f>
        <v>524</v>
      </c>
      <c r="W72" s="268">
        <f>SUM(J72:U72)</f>
        <v>743</v>
      </c>
    </row>
    <row r="73" spans="1:23" x14ac:dyDescent="0.25">
      <c r="A73" s="513" t="s">
        <v>178</v>
      </c>
      <c r="B73" s="603" t="s">
        <v>179</v>
      </c>
      <c r="C73" s="603" t="s">
        <v>265</v>
      </c>
      <c r="D73" s="268">
        <v>157</v>
      </c>
      <c r="E73" s="268">
        <v>233</v>
      </c>
      <c r="F73" s="268">
        <v>187</v>
      </c>
      <c r="G73" s="268">
        <v>223</v>
      </c>
      <c r="H73" s="268">
        <v>230</v>
      </c>
      <c r="I73" s="268">
        <v>171</v>
      </c>
      <c r="J73" s="268">
        <v>191</v>
      </c>
      <c r="K73" s="268">
        <v>170</v>
      </c>
      <c r="L73" s="268">
        <v>194</v>
      </c>
      <c r="M73" s="268">
        <v>161</v>
      </c>
      <c r="N73" s="268">
        <v>156</v>
      </c>
      <c r="O73" s="268">
        <v>192</v>
      </c>
      <c r="P73" s="268">
        <v>189</v>
      </c>
      <c r="Q73" s="268">
        <v>222</v>
      </c>
      <c r="R73" s="268">
        <v>190</v>
      </c>
      <c r="S73" s="268">
        <v>219</v>
      </c>
      <c r="T73" s="268">
        <v>196</v>
      </c>
      <c r="U73" s="268">
        <v>193</v>
      </c>
      <c r="V73" s="268">
        <f>SUM(D73:O73)</f>
        <v>2265</v>
      </c>
      <c r="W73" s="268">
        <f>SUM(J73:U73)</f>
        <v>2273</v>
      </c>
    </row>
    <row r="74" spans="1:23" x14ac:dyDescent="0.25">
      <c r="A74" s="513" t="s">
        <v>182</v>
      </c>
      <c r="B74" s="603" t="s">
        <v>183</v>
      </c>
      <c r="C74" s="603" t="s">
        <v>266</v>
      </c>
      <c r="D74" s="268"/>
      <c r="E74" s="268"/>
      <c r="F74" s="268"/>
      <c r="G74" s="268">
        <v>14</v>
      </c>
      <c r="H74" s="268">
        <v>39</v>
      </c>
      <c r="I74" s="268">
        <v>31</v>
      </c>
      <c r="J74" s="268">
        <v>25</v>
      </c>
      <c r="K74" s="268">
        <v>22</v>
      </c>
      <c r="L74" s="268">
        <v>43</v>
      </c>
      <c r="M74" s="268">
        <v>31</v>
      </c>
      <c r="N74" s="268">
        <v>39</v>
      </c>
      <c r="O74" s="268">
        <v>44</v>
      </c>
      <c r="P74" s="268">
        <v>37</v>
      </c>
      <c r="Q74" s="268">
        <v>35</v>
      </c>
      <c r="R74" s="268">
        <v>41</v>
      </c>
      <c r="S74" s="268">
        <v>37</v>
      </c>
      <c r="T74" s="268">
        <v>42</v>
      </c>
      <c r="U74" s="268">
        <v>30</v>
      </c>
      <c r="V74" s="268">
        <f>SUM(D74:O74)</f>
        <v>288</v>
      </c>
      <c r="W74" s="268">
        <f>SUM(J74:U74)</f>
        <v>426</v>
      </c>
    </row>
    <row r="75" spans="1:23" x14ac:dyDescent="0.25">
      <c r="A75" s="513" t="s">
        <v>184</v>
      </c>
      <c r="B75" s="603" t="s">
        <v>185</v>
      </c>
      <c r="C75" s="603" t="s">
        <v>266</v>
      </c>
      <c r="D75" s="268"/>
      <c r="E75" s="268"/>
      <c r="F75" s="268"/>
      <c r="G75" s="268">
        <v>67</v>
      </c>
      <c r="H75" s="268">
        <v>80</v>
      </c>
      <c r="I75" s="268">
        <v>50</v>
      </c>
      <c r="J75" s="268">
        <v>65</v>
      </c>
      <c r="K75" s="268">
        <v>75</v>
      </c>
      <c r="L75" s="268">
        <v>69</v>
      </c>
      <c r="M75" s="268">
        <v>60</v>
      </c>
      <c r="N75" s="268">
        <v>73</v>
      </c>
      <c r="O75" s="268">
        <v>75</v>
      </c>
      <c r="P75" s="268">
        <v>75</v>
      </c>
      <c r="Q75" s="268">
        <v>58</v>
      </c>
      <c r="R75" s="268">
        <v>74</v>
      </c>
      <c r="S75" s="268">
        <v>74</v>
      </c>
      <c r="T75" s="268">
        <v>66</v>
      </c>
      <c r="U75" s="268">
        <v>59</v>
      </c>
      <c r="V75" s="268">
        <f>SUM(D75:O75)</f>
        <v>614</v>
      </c>
      <c r="W75" s="268">
        <f>SUM(J75:U75)</f>
        <v>823</v>
      </c>
    </row>
    <row r="76" spans="1:23" x14ac:dyDescent="0.25">
      <c r="A76" s="513" t="s">
        <v>186</v>
      </c>
      <c r="B76" s="603" t="s">
        <v>187</v>
      </c>
      <c r="C76" s="603" t="s">
        <v>264</v>
      </c>
      <c r="D76" s="268"/>
      <c r="E76" s="268"/>
      <c r="F76" s="268"/>
      <c r="G76" s="268">
        <v>51</v>
      </c>
      <c r="H76" s="268">
        <v>82</v>
      </c>
      <c r="I76" s="268">
        <v>72</v>
      </c>
      <c r="J76" s="268">
        <v>100</v>
      </c>
      <c r="K76" s="268">
        <v>92</v>
      </c>
      <c r="L76" s="268">
        <v>82</v>
      </c>
      <c r="M76" s="268">
        <v>64</v>
      </c>
      <c r="N76" s="268">
        <v>75</v>
      </c>
      <c r="O76" s="268">
        <v>99</v>
      </c>
      <c r="P76" s="268">
        <v>78</v>
      </c>
      <c r="Q76" s="268">
        <v>93</v>
      </c>
      <c r="R76" s="268">
        <v>82</v>
      </c>
      <c r="S76" s="268">
        <v>101</v>
      </c>
      <c r="T76" s="268">
        <v>96</v>
      </c>
      <c r="U76" s="268">
        <v>71</v>
      </c>
      <c r="V76" s="268">
        <f>SUM(D76:O76)</f>
        <v>717</v>
      </c>
      <c r="W76" s="268">
        <f>SUM(J76:U76)</f>
        <v>1033</v>
      </c>
    </row>
    <row r="77" spans="1:23" x14ac:dyDescent="0.25">
      <c r="A77" s="513" t="s">
        <v>188</v>
      </c>
      <c r="B77" s="603" t="s">
        <v>189</v>
      </c>
      <c r="C77" s="603" t="s">
        <v>267</v>
      </c>
      <c r="D77" s="268"/>
      <c r="E77" s="268"/>
      <c r="F77" s="268"/>
      <c r="G77" s="268">
        <v>476</v>
      </c>
      <c r="H77" s="268">
        <v>934</v>
      </c>
      <c r="I77" s="268">
        <v>967</v>
      </c>
      <c r="J77" s="268">
        <v>897</v>
      </c>
      <c r="K77" s="268">
        <v>929</v>
      </c>
      <c r="L77" s="268">
        <v>1001</v>
      </c>
      <c r="M77" s="268">
        <v>750</v>
      </c>
      <c r="N77" s="268">
        <v>811</v>
      </c>
      <c r="O77" s="268">
        <v>800</v>
      </c>
      <c r="P77" s="268">
        <v>839</v>
      </c>
      <c r="Q77" s="268">
        <v>1031</v>
      </c>
      <c r="R77" s="268">
        <v>925</v>
      </c>
      <c r="S77" s="268">
        <v>976</v>
      </c>
      <c r="T77" s="268">
        <v>916</v>
      </c>
      <c r="U77" s="268">
        <v>846</v>
      </c>
      <c r="V77" s="268">
        <f>SUM(D77:O77)</f>
        <v>7565</v>
      </c>
      <c r="W77" s="268">
        <f>SUM(J77:U77)</f>
        <v>10721</v>
      </c>
    </row>
    <row r="78" spans="1:23" x14ac:dyDescent="0.25">
      <c r="A78" s="513" t="s">
        <v>190</v>
      </c>
      <c r="B78" s="603" t="s">
        <v>191</v>
      </c>
      <c r="C78" s="603" t="s">
        <v>268</v>
      </c>
      <c r="D78" s="268"/>
      <c r="E78" s="268"/>
      <c r="F78" s="268"/>
      <c r="G78" s="268">
        <v>96</v>
      </c>
      <c r="H78" s="268">
        <v>111</v>
      </c>
      <c r="I78" s="268">
        <v>152</v>
      </c>
      <c r="J78" s="268">
        <v>147</v>
      </c>
      <c r="K78" s="268">
        <v>143</v>
      </c>
      <c r="L78" s="268">
        <v>118</v>
      </c>
      <c r="M78" s="268">
        <v>111</v>
      </c>
      <c r="N78" s="268">
        <v>131</v>
      </c>
      <c r="O78" s="268">
        <v>137</v>
      </c>
      <c r="P78" s="268">
        <v>131</v>
      </c>
      <c r="Q78" s="268">
        <v>160</v>
      </c>
      <c r="R78" s="268">
        <v>116</v>
      </c>
      <c r="S78" s="268">
        <v>119</v>
      </c>
      <c r="T78" s="268">
        <v>108</v>
      </c>
      <c r="U78" s="268">
        <v>105</v>
      </c>
      <c r="V78" s="268">
        <f>SUM(D78:O78)</f>
        <v>1146</v>
      </c>
      <c r="W78" s="268">
        <f>SUM(J78:U78)</f>
        <v>1526</v>
      </c>
    </row>
    <row r="79" spans="1:23" x14ac:dyDescent="0.25">
      <c r="A79" s="513" t="s">
        <v>194</v>
      </c>
      <c r="B79" s="603" t="s">
        <v>195</v>
      </c>
      <c r="C79" s="603" t="s">
        <v>267</v>
      </c>
      <c r="D79" s="268"/>
      <c r="E79" s="268"/>
      <c r="F79" s="268"/>
      <c r="G79" s="268">
        <v>11</v>
      </c>
      <c r="H79" s="268">
        <v>9</v>
      </c>
      <c r="I79" s="268">
        <v>12</v>
      </c>
      <c r="J79" s="268">
        <v>17</v>
      </c>
      <c r="K79" s="268">
        <v>18</v>
      </c>
      <c r="L79" s="268">
        <v>14</v>
      </c>
      <c r="M79" s="268">
        <v>12</v>
      </c>
      <c r="N79" s="268">
        <v>9</v>
      </c>
      <c r="O79" s="268">
        <v>16</v>
      </c>
      <c r="P79" s="268">
        <v>16</v>
      </c>
      <c r="Q79" s="268">
        <v>10</v>
      </c>
      <c r="R79" s="268">
        <v>15</v>
      </c>
      <c r="S79" s="268">
        <v>22</v>
      </c>
      <c r="T79" s="268">
        <v>10</v>
      </c>
      <c r="U79" s="268">
        <v>10</v>
      </c>
      <c r="V79" s="268">
        <f>SUM(D79:O79)</f>
        <v>118</v>
      </c>
      <c r="W79" s="268">
        <f>SUM(J79:U79)</f>
        <v>169</v>
      </c>
    </row>
    <row r="80" spans="1:23" x14ac:dyDescent="0.25">
      <c r="A80" s="513" t="s">
        <v>198</v>
      </c>
      <c r="B80" s="603" t="s">
        <v>272</v>
      </c>
      <c r="C80" s="603" t="s">
        <v>266</v>
      </c>
      <c r="D80" s="268"/>
      <c r="E80" s="268"/>
      <c r="F80" s="268"/>
      <c r="G80" s="268">
        <v>21</v>
      </c>
      <c r="H80" s="268">
        <v>26</v>
      </c>
      <c r="I80" s="268">
        <v>27</v>
      </c>
      <c r="J80" s="268">
        <v>35</v>
      </c>
      <c r="K80" s="268">
        <v>35</v>
      </c>
      <c r="L80" s="268">
        <v>31</v>
      </c>
      <c r="M80" s="268">
        <v>25</v>
      </c>
      <c r="N80" s="268">
        <v>20</v>
      </c>
      <c r="O80" s="268">
        <v>26</v>
      </c>
      <c r="P80" s="268">
        <v>22</v>
      </c>
      <c r="Q80" s="268">
        <v>32</v>
      </c>
      <c r="R80" s="268">
        <v>13</v>
      </c>
      <c r="S80" s="268">
        <v>26</v>
      </c>
      <c r="T80" s="268">
        <v>31</v>
      </c>
      <c r="U80" s="268">
        <v>22</v>
      </c>
      <c r="V80" s="268">
        <f>SUM(D80:O80)</f>
        <v>246</v>
      </c>
      <c r="W80" s="268">
        <f>SUM(J80:U80)</f>
        <v>318</v>
      </c>
    </row>
    <row r="81" spans="1:23" x14ac:dyDescent="0.25">
      <c r="A81" s="513" t="s">
        <v>202</v>
      </c>
      <c r="B81" s="603" t="s">
        <v>301</v>
      </c>
      <c r="C81" s="603" t="s">
        <v>265</v>
      </c>
      <c r="D81" s="268">
        <v>218</v>
      </c>
      <c r="E81" s="268">
        <v>236</v>
      </c>
      <c r="F81" s="268">
        <v>247</v>
      </c>
      <c r="G81" s="268">
        <v>258</v>
      </c>
      <c r="H81" s="268">
        <v>278</v>
      </c>
      <c r="I81" s="268">
        <v>216</v>
      </c>
      <c r="J81" s="268">
        <v>263</v>
      </c>
      <c r="K81" s="268">
        <v>219</v>
      </c>
      <c r="L81" s="268">
        <v>257</v>
      </c>
      <c r="M81" s="268">
        <v>224</v>
      </c>
      <c r="N81" s="268">
        <v>245</v>
      </c>
      <c r="O81" s="268">
        <v>215</v>
      </c>
      <c r="P81" s="268">
        <v>258</v>
      </c>
      <c r="Q81" s="268">
        <v>249</v>
      </c>
      <c r="R81" s="268">
        <v>260</v>
      </c>
      <c r="S81" s="268">
        <v>266</v>
      </c>
      <c r="T81" s="268">
        <v>249</v>
      </c>
      <c r="U81" s="268">
        <v>224</v>
      </c>
      <c r="V81" s="268">
        <f>SUM(D81:O81)</f>
        <v>2876</v>
      </c>
      <c r="W81" s="268">
        <f>SUM(J81:U81)</f>
        <v>2929</v>
      </c>
    </row>
    <row r="82" spans="1:23" x14ac:dyDescent="0.25">
      <c r="A82" s="513" t="s">
        <v>204</v>
      </c>
      <c r="B82" s="603" t="s">
        <v>293</v>
      </c>
      <c r="C82" s="603" t="s">
        <v>265</v>
      </c>
      <c r="D82" s="268"/>
      <c r="E82" s="268"/>
      <c r="F82" s="268"/>
      <c r="G82" s="268">
        <v>56</v>
      </c>
      <c r="H82" s="268">
        <v>82</v>
      </c>
      <c r="I82" s="268">
        <v>60</v>
      </c>
      <c r="J82" s="268">
        <v>79</v>
      </c>
      <c r="K82" s="268">
        <v>71</v>
      </c>
      <c r="L82" s="268">
        <v>58</v>
      </c>
      <c r="M82" s="268">
        <v>61</v>
      </c>
      <c r="N82" s="268">
        <v>66</v>
      </c>
      <c r="O82" s="268">
        <v>95</v>
      </c>
      <c r="P82" s="268">
        <v>75</v>
      </c>
      <c r="Q82" s="268">
        <v>97</v>
      </c>
      <c r="R82" s="268">
        <v>80</v>
      </c>
      <c r="S82" s="268">
        <v>81</v>
      </c>
      <c r="T82" s="268">
        <v>78</v>
      </c>
      <c r="U82" s="268">
        <v>76</v>
      </c>
      <c r="V82" s="268">
        <f>SUM(D82:O82)</f>
        <v>628</v>
      </c>
      <c r="W82" s="268">
        <f>SUM(J82:U82)</f>
        <v>917</v>
      </c>
    </row>
    <row r="83" spans="1:23" x14ac:dyDescent="0.25">
      <c r="A83" s="513" t="s">
        <v>206</v>
      </c>
      <c r="B83" s="603" t="s">
        <v>294</v>
      </c>
      <c r="C83" s="603" t="s">
        <v>267</v>
      </c>
      <c r="D83" s="268"/>
      <c r="E83" s="268"/>
      <c r="F83" s="268"/>
      <c r="G83" s="268">
        <v>188</v>
      </c>
      <c r="H83" s="268">
        <v>312</v>
      </c>
      <c r="I83" s="268">
        <v>296</v>
      </c>
      <c r="J83" s="268">
        <v>302</v>
      </c>
      <c r="K83" s="268">
        <v>298</v>
      </c>
      <c r="L83" s="268">
        <v>343</v>
      </c>
      <c r="M83" s="268">
        <v>271</v>
      </c>
      <c r="N83" s="268">
        <v>331</v>
      </c>
      <c r="O83" s="268">
        <v>315</v>
      </c>
      <c r="P83" s="268">
        <v>286</v>
      </c>
      <c r="Q83" s="268">
        <v>349</v>
      </c>
      <c r="R83" s="268">
        <v>329</v>
      </c>
      <c r="S83" s="268">
        <v>345</v>
      </c>
      <c r="T83" s="268">
        <v>325</v>
      </c>
      <c r="U83" s="268">
        <v>312</v>
      </c>
      <c r="V83" s="268">
        <f>SUM(D83:O83)</f>
        <v>2656</v>
      </c>
      <c r="W83" s="268">
        <f>SUM(J83:U83)</f>
        <v>3806</v>
      </c>
    </row>
    <row r="84" spans="1:23" x14ac:dyDescent="0.25">
      <c r="A84" s="513" t="s">
        <v>208</v>
      </c>
      <c r="B84" s="603" t="s">
        <v>209</v>
      </c>
      <c r="C84" s="603" t="s">
        <v>268</v>
      </c>
      <c r="D84" s="268"/>
      <c r="E84" s="268"/>
      <c r="F84" s="268"/>
      <c r="G84" s="268">
        <v>81</v>
      </c>
      <c r="H84" s="268">
        <v>112</v>
      </c>
      <c r="I84" s="268">
        <v>88</v>
      </c>
      <c r="J84" s="268">
        <v>110</v>
      </c>
      <c r="K84" s="268">
        <v>91</v>
      </c>
      <c r="L84" s="268">
        <v>82</v>
      </c>
      <c r="M84" s="268">
        <v>73</v>
      </c>
      <c r="N84" s="268">
        <v>82</v>
      </c>
      <c r="O84" s="268">
        <v>95</v>
      </c>
      <c r="P84" s="268">
        <v>92</v>
      </c>
      <c r="Q84" s="268">
        <v>120</v>
      </c>
      <c r="R84" s="268">
        <v>80</v>
      </c>
      <c r="S84" s="268">
        <v>109</v>
      </c>
      <c r="T84" s="268">
        <v>107</v>
      </c>
      <c r="U84" s="268">
        <v>110</v>
      </c>
      <c r="V84" s="268">
        <f>SUM(D84:O84)</f>
        <v>814</v>
      </c>
      <c r="W84" s="268">
        <f>SUM(J84:U84)</f>
        <v>1151</v>
      </c>
    </row>
    <row r="85" spans="1:23" x14ac:dyDescent="0.25">
      <c r="A85" s="513" t="s">
        <v>210</v>
      </c>
      <c r="B85" s="603" t="s">
        <v>211</v>
      </c>
      <c r="C85" s="603" t="s">
        <v>268</v>
      </c>
      <c r="D85" s="268"/>
      <c r="E85" s="268"/>
      <c r="F85" s="268"/>
      <c r="G85" s="268">
        <v>51</v>
      </c>
      <c r="H85" s="268">
        <v>80</v>
      </c>
      <c r="I85" s="268">
        <v>60</v>
      </c>
      <c r="J85" s="268">
        <v>69</v>
      </c>
      <c r="K85" s="268">
        <v>72</v>
      </c>
      <c r="L85" s="268">
        <v>85</v>
      </c>
      <c r="M85" s="268">
        <v>46</v>
      </c>
      <c r="N85" s="268">
        <v>67</v>
      </c>
      <c r="O85" s="268">
        <v>85</v>
      </c>
      <c r="P85" s="268">
        <v>68</v>
      </c>
      <c r="Q85" s="268">
        <v>83</v>
      </c>
      <c r="R85" s="268">
        <v>83</v>
      </c>
      <c r="S85" s="268">
        <v>81</v>
      </c>
      <c r="T85" s="268">
        <v>81</v>
      </c>
      <c r="U85" s="268">
        <v>78</v>
      </c>
      <c r="V85" s="268">
        <f>SUM(D85:O85)</f>
        <v>615</v>
      </c>
      <c r="W85" s="268">
        <f>SUM(J85:U85)</f>
        <v>898</v>
      </c>
    </row>
    <row r="86" spans="1:23" x14ac:dyDescent="0.25">
      <c r="A86" s="513" t="s">
        <v>212</v>
      </c>
      <c r="B86" s="603" t="s">
        <v>213</v>
      </c>
      <c r="C86" s="603" t="s">
        <v>267</v>
      </c>
      <c r="D86" s="268"/>
      <c r="E86" s="268"/>
      <c r="F86" s="268"/>
      <c r="G86" s="268">
        <v>126</v>
      </c>
      <c r="H86" s="268">
        <v>139</v>
      </c>
      <c r="I86" s="268">
        <v>128</v>
      </c>
      <c r="J86" s="268">
        <v>144</v>
      </c>
      <c r="K86" s="268">
        <v>176</v>
      </c>
      <c r="L86" s="268">
        <v>156</v>
      </c>
      <c r="M86" s="268">
        <v>120</v>
      </c>
      <c r="N86" s="268">
        <v>133</v>
      </c>
      <c r="O86" s="268">
        <v>151</v>
      </c>
      <c r="P86" s="268">
        <v>134</v>
      </c>
      <c r="Q86" s="268">
        <v>138</v>
      </c>
      <c r="R86" s="268">
        <v>151</v>
      </c>
      <c r="S86" s="268">
        <v>162</v>
      </c>
      <c r="T86" s="268">
        <v>177</v>
      </c>
      <c r="U86" s="268">
        <v>100</v>
      </c>
      <c r="V86" s="268">
        <f>SUM(D86:O86)</f>
        <v>1273</v>
      </c>
      <c r="W86" s="268">
        <f>SUM(J86:U86)</f>
        <v>1742</v>
      </c>
    </row>
    <row r="87" spans="1:23" x14ac:dyDescent="0.25">
      <c r="A87" s="513" t="s">
        <v>214</v>
      </c>
      <c r="B87" s="603" t="s">
        <v>215</v>
      </c>
      <c r="C87" s="603" t="s">
        <v>268</v>
      </c>
      <c r="D87" s="268"/>
      <c r="E87" s="268"/>
      <c r="F87" s="268"/>
      <c r="G87" s="268">
        <v>98</v>
      </c>
      <c r="H87" s="268">
        <v>145</v>
      </c>
      <c r="I87" s="268">
        <v>136</v>
      </c>
      <c r="J87" s="268">
        <v>120</v>
      </c>
      <c r="K87" s="268">
        <v>142</v>
      </c>
      <c r="L87" s="268">
        <v>158</v>
      </c>
      <c r="M87" s="268">
        <v>100</v>
      </c>
      <c r="N87" s="268">
        <v>137</v>
      </c>
      <c r="O87" s="268">
        <v>144</v>
      </c>
      <c r="P87" s="268">
        <v>125</v>
      </c>
      <c r="Q87" s="268">
        <v>177</v>
      </c>
      <c r="R87" s="268">
        <v>140</v>
      </c>
      <c r="S87" s="268">
        <v>147</v>
      </c>
      <c r="T87" s="268">
        <v>136</v>
      </c>
      <c r="U87" s="268">
        <v>118</v>
      </c>
      <c r="V87" s="268">
        <f>SUM(D87:O87)</f>
        <v>1180</v>
      </c>
      <c r="W87" s="268">
        <f>SUM(J87:U87)</f>
        <v>1644</v>
      </c>
    </row>
    <row r="88" spans="1:23" x14ac:dyDescent="0.25">
      <c r="A88" s="513" t="s">
        <v>216</v>
      </c>
      <c r="B88" s="603" t="s">
        <v>217</v>
      </c>
      <c r="C88" s="603" t="s">
        <v>264</v>
      </c>
      <c r="D88" s="268"/>
      <c r="E88" s="268"/>
      <c r="F88" s="268"/>
      <c r="G88" s="268">
        <v>42</v>
      </c>
      <c r="H88" s="268">
        <v>76</v>
      </c>
      <c r="I88" s="268">
        <v>67</v>
      </c>
      <c r="J88" s="268">
        <v>54</v>
      </c>
      <c r="K88" s="268">
        <v>79</v>
      </c>
      <c r="L88" s="268">
        <v>47</v>
      </c>
      <c r="M88" s="268">
        <v>43</v>
      </c>
      <c r="N88" s="268">
        <v>39</v>
      </c>
      <c r="O88" s="268">
        <v>70</v>
      </c>
      <c r="P88" s="268">
        <v>47</v>
      </c>
      <c r="Q88" s="268">
        <v>70</v>
      </c>
      <c r="R88" s="268">
        <v>56</v>
      </c>
      <c r="S88" s="268">
        <v>67</v>
      </c>
      <c r="T88" s="268">
        <v>41</v>
      </c>
      <c r="U88" s="268">
        <v>53</v>
      </c>
      <c r="V88" s="268">
        <f>SUM(D88:O88)</f>
        <v>517</v>
      </c>
      <c r="W88" s="268">
        <f>SUM(J88:U88)</f>
        <v>666</v>
      </c>
    </row>
    <row r="89" spans="1:23" x14ac:dyDescent="0.25">
      <c r="A89" s="513" t="s">
        <v>218</v>
      </c>
      <c r="B89" s="603" t="s">
        <v>219</v>
      </c>
      <c r="C89" s="603" t="s">
        <v>267</v>
      </c>
      <c r="D89" s="268"/>
      <c r="E89" s="268"/>
      <c r="F89" s="268"/>
      <c r="G89" s="268">
        <v>186</v>
      </c>
      <c r="H89" s="268">
        <v>378</v>
      </c>
      <c r="I89" s="268">
        <v>320</v>
      </c>
      <c r="J89" s="268">
        <v>322</v>
      </c>
      <c r="K89" s="268">
        <v>399</v>
      </c>
      <c r="L89" s="268">
        <v>340</v>
      </c>
      <c r="M89" s="268">
        <v>324</v>
      </c>
      <c r="N89" s="268">
        <v>291</v>
      </c>
      <c r="O89" s="268">
        <v>323</v>
      </c>
      <c r="P89" s="268">
        <v>313</v>
      </c>
      <c r="Q89" s="268">
        <v>375</v>
      </c>
      <c r="R89" s="268">
        <v>358</v>
      </c>
      <c r="S89" s="268">
        <v>381</v>
      </c>
      <c r="T89" s="268">
        <v>359</v>
      </c>
      <c r="U89" s="268">
        <v>366</v>
      </c>
      <c r="V89" s="268">
        <f>SUM(D89:O89)</f>
        <v>2883</v>
      </c>
      <c r="W89" s="268">
        <f>SUM(J89:U89)</f>
        <v>4151</v>
      </c>
    </row>
    <row r="90" spans="1:23" x14ac:dyDescent="0.25">
      <c r="A90" s="513" t="s">
        <v>220</v>
      </c>
      <c r="B90" s="603" t="s">
        <v>221</v>
      </c>
      <c r="C90" s="603" t="s">
        <v>267</v>
      </c>
      <c r="D90" s="268"/>
      <c r="E90" s="268"/>
      <c r="F90" s="268"/>
      <c r="G90" s="268">
        <v>197</v>
      </c>
      <c r="H90" s="268">
        <v>329</v>
      </c>
      <c r="I90" s="268">
        <v>284</v>
      </c>
      <c r="J90" s="268">
        <v>273</v>
      </c>
      <c r="K90" s="268">
        <v>334</v>
      </c>
      <c r="L90" s="268">
        <v>347</v>
      </c>
      <c r="M90" s="268">
        <v>251</v>
      </c>
      <c r="N90" s="268">
        <v>317</v>
      </c>
      <c r="O90" s="268">
        <v>274</v>
      </c>
      <c r="P90" s="268">
        <v>249</v>
      </c>
      <c r="Q90" s="268">
        <v>279</v>
      </c>
      <c r="R90" s="268">
        <v>304</v>
      </c>
      <c r="S90" s="268">
        <v>329</v>
      </c>
      <c r="T90" s="268">
        <v>245</v>
      </c>
      <c r="U90" s="268">
        <v>263</v>
      </c>
      <c r="V90" s="268">
        <f>SUM(D90:O90)</f>
        <v>2606</v>
      </c>
      <c r="W90" s="268">
        <f>SUM(J90:U90)</f>
        <v>3465</v>
      </c>
    </row>
    <row r="91" spans="1:23" x14ac:dyDescent="0.25">
      <c r="A91" s="513" t="s">
        <v>224</v>
      </c>
      <c r="B91" s="603" t="s">
        <v>225</v>
      </c>
      <c r="C91" s="603" t="s">
        <v>264</v>
      </c>
      <c r="D91" s="268"/>
      <c r="E91" s="268"/>
      <c r="F91" s="268"/>
      <c r="G91" s="268">
        <v>13</v>
      </c>
      <c r="H91" s="268">
        <v>19</v>
      </c>
      <c r="I91" s="268">
        <v>18</v>
      </c>
      <c r="J91" s="268">
        <v>26</v>
      </c>
      <c r="K91" s="268">
        <v>23</v>
      </c>
      <c r="L91" s="268">
        <v>17</v>
      </c>
      <c r="M91" s="268">
        <v>17</v>
      </c>
      <c r="N91" s="268">
        <v>30</v>
      </c>
      <c r="O91" s="268">
        <v>14</v>
      </c>
      <c r="P91" s="268">
        <v>20</v>
      </c>
      <c r="Q91" s="268">
        <v>30</v>
      </c>
      <c r="R91" s="268">
        <v>20</v>
      </c>
      <c r="S91" s="268">
        <v>28</v>
      </c>
      <c r="T91" s="268">
        <v>27</v>
      </c>
      <c r="U91" s="268">
        <v>16</v>
      </c>
      <c r="V91" s="268">
        <f>SUM(D91:O91)</f>
        <v>177</v>
      </c>
      <c r="W91" s="268">
        <f>SUM(J91:U91)</f>
        <v>268</v>
      </c>
    </row>
    <row r="92" spans="1:23" x14ac:dyDescent="0.25">
      <c r="A92" s="513" t="s">
        <v>226</v>
      </c>
      <c r="B92" s="603" t="s">
        <v>227</v>
      </c>
      <c r="C92" s="603" t="s">
        <v>264</v>
      </c>
      <c r="D92" s="268"/>
      <c r="E92" s="268"/>
      <c r="F92" s="268"/>
      <c r="G92" s="268">
        <v>33</v>
      </c>
      <c r="H92" s="268">
        <v>46</v>
      </c>
      <c r="I92" s="268">
        <v>45</v>
      </c>
      <c r="J92" s="268">
        <v>43</v>
      </c>
      <c r="K92" s="268">
        <v>53</v>
      </c>
      <c r="L92" s="268">
        <v>41</v>
      </c>
      <c r="M92" s="268">
        <v>28</v>
      </c>
      <c r="N92" s="268">
        <v>42</v>
      </c>
      <c r="O92" s="268">
        <v>50</v>
      </c>
      <c r="P92" s="268">
        <v>48</v>
      </c>
      <c r="Q92" s="268">
        <v>51</v>
      </c>
      <c r="R92" s="268">
        <v>50</v>
      </c>
      <c r="S92" s="268">
        <v>36</v>
      </c>
      <c r="T92" s="268">
        <v>40</v>
      </c>
      <c r="U92" s="268">
        <v>62</v>
      </c>
      <c r="V92" s="268">
        <f>SUM(D92:O92)</f>
        <v>381</v>
      </c>
      <c r="W92" s="268">
        <f>SUM(J92:U92)</f>
        <v>544</v>
      </c>
    </row>
    <row r="93" spans="1:23" x14ac:dyDescent="0.25">
      <c r="A93" s="513" t="s">
        <v>228</v>
      </c>
      <c r="B93" s="603" t="s">
        <v>229</v>
      </c>
      <c r="C93" s="603" t="s">
        <v>268</v>
      </c>
      <c r="D93" s="268"/>
      <c r="E93" s="268"/>
      <c r="F93" s="268"/>
      <c r="G93" s="268">
        <v>108</v>
      </c>
      <c r="H93" s="268">
        <v>183</v>
      </c>
      <c r="I93" s="268">
        <v>165</v>
      </c>
      <c r="J93" s="268">
        <v>168</v>
      </c>
      <c r="K93" s="268">
        <v>188</v>
      </c>
      <c r="L93" s="268">
        <v>164</v>
      </c>
      <c r="M93" s="268">
        <v>126</v>
      </c>
      <c r="N93" s="268">
        <v>149</v>
      </c>
      <c r="O93" s="268">
        <v>161</v>
      </c>
      <c r="P93" s="268">
        <v>151</v>
      </c>
      <c r="Q93" s="268">
        <v>171</v>
      </c>
      <c r="R93" s="268">
        <v>161</v>
      </c>
      <c r="S93" s="268">
        <v>187</v>
      </c>
      <c r="T93" s="268">
        <v>159</v>
      </c>
      <c r="U93" s="268">
        <v>159</v>
      </c>
      <c r="V93" s="268">
        <f>SUM(D93:O93)</f>
        <v>1412</v>
      </c>
      <c r="W93" s="268">
        <f>SUM(J93:U93)</f>
        <v>1944</v>
      </c>
    </row>
    <row r="94" spans="1:23" x14ac:dyDescent="0.25">
      <c r="A94" s="513" t="s">
        <v>232</v>
      </c>
      <c r="B94" s="603" t="s">
        <v>233</v>
      </c>
      <c r="C94" s="603" t="s">
        <v>267</v>
      </c>
      <c r="D94" s="268"/>
      <c r="E94" s="268"/>
      <c r="F94" s="268"/>
      <c r="G94" s="268">
        <v>53</v>
      </c>
      <c r="H94" s="268">
        <v>97</v>
      </c>
      <c r="I94" s="268">
        <v>103</v>
      </c>
      <c r="J94" s="268">
        <v>126</v>
      </c>
      <c r="K94" s="268">
        <v>110</v>
      </c>
      <c r="L94" s="268">
        <v>118</v>
      </c>
      <c r="M94" s="268">
        <v>104</v>
      </c>
      <c r="N94" s="268">
        <v>98</v>
      </c>
      <c r="O94" s="268">
        <v>109</v>
      </c>
      <c r="P94" s="268">
        <v>102</v>
      </c>
      <c r="Q94" s="268">
        <v>149</v>
      </c>
      <c r="R94" s="268">
        <v>90</v>
      </c>
      <c r="S94" s="268">
        <v>113</v>
      </c>
      <c r="T94" s="268">
        <v>114</v>
      </c>
      <c r="U94" s="268">
        <v>93</v>
      </c>
      <c r="V94" s="268">
        <f>SUM(D94:O94)</f>
        <v>918</v>
      </c>
      <c r="W94" s="268">
        <f>SUM(J94:U94)</f>
        <v>1326</v>
      </c>
    </row>
    <row r="95" spans="1:23" x14ac:dyDescent="0.25">
      <c r="A95" s="513" t="s">
        <v>234</v>
      </c>
      <c r="B95" s="603" t="s">
        <v>235</v>
      </c>
      <c r="C95" s="603" t="s">
        <v>268</v>
      </c>
      <c r="D95" s="268"/>
      <c r="E95" s="268"/>
      <c r="F95" s="268"/>
      <c r="G95" s="268">
        <v>103</v>
      </c>
      <c r="H95" s="268">
        <v>161</v>
      </c>
      <c r="I95" s="268">
        <v>141</v>
      </c>
      <c r="J95" s="268">
        <v>161</v>
      </c>
      <c r="K95" s="268">
        <v>179</v>
      </c>
      <c r="L95" s="268">
        <v>146</v>
      </c>
      <c r="M95" s="268">
        <v>151</v>
      </c>
      <c r="N95" s="268">
        <v>163</v>
      </c>
      <c r="O95" s="268">
        <v>154</v>
      </c>
      <c r="P95" s="268">
        <v>141</v>
      </c>
      <c r="Q95" s="268">
        <v>207</v>
      </c>
      <c r="R95" s="268">
        <v>181</v>
      </c>
      <c r="S95" s="268">
        <v>170</v>
      </c>
      <c r="T95" s="268">
        <v>185</v>
      </c>
      <c r="U95" s="268">
        <v>150</v>
      </c>
      <c r="V95" s="268">
        <f>SUM(D95:O95)</f>
        <v>1359</v>
      </c>
      <c r="W95" s="268">
        <f>SUM(J95:U95)</f>
        <v>1988</v>
      </c>
    </row>
    <row r="96" spans="1:23" x14ac:dyDescent="0.25">
      <c r="A96" s="513" t="s">
        <v>236</v>
      </c>
      <c r="B96" s="603" t="s">
        <v>237</v>
      </c>
      <c r="C96" s="603" t="s">
        <v>266</v>
      </c>
      <c r="D96" s="268"/>
      <c r="E96" s="268"/>
      <c r="F96" s="268"/>
      <c r="G96" s="268">
        <v>57</v>
      </c>
      <c r="H96" s="268">
        <v>78</v>
      </c>
      <c r="I96" s="268">
        <v>70</v>
      </c>
      <c r="J96" s="268">
        <v>97</v>
      </c>
      <c r="K96" s="268">
        <v>80</v>
      </c>
      <c r="L96" s="268">
        <v>71</v>
      </c>
      <c r="M96" s="268">
        <v>53</v>
      </c>
      <c r="N96" s="268">
        <v>57</v>
      </c>
      <c r="O96" s="268">
        <v>51</v>
      </c>
      <c r="P96" s="268">
        <v>52</v>
      </c>
      <c r="Q96" s="268">
        <v>74</v>
      </c>
      <c r="R96" s="268">
        <v>66</v>
      </c>
      <c r="S96" s="268">
        <v>100</v>
      </c>
      <c r="T96" s="268">
        <v>72</v>
      </c>
      <c r="U96" s="268">
        <v>72</v>
      </c>
      <c r="V96" s="268">
        <f>SUM(D96:O96)</f>
        <v>614</v>
      </c>
      <c r="W96" s="268">
        <f>SUM(J96:U96)</f>
        <v>845</v>
      </c>
    </row>
    <row r="97" spans="1:23" x14ac:dyDescent="0.25">
      <c r="A97" s="513" t="s">
        <v>242</v>
      </c>
      <c r="B97" s="603" t="s">
        <v>243</v>
      </c>
      <c r="C97" s="603" t="s">
        <v>268</v>
      </c>
      <c r="D97" s="268"/>
      <c r="E97" s="268"/>
      <c r="F97" s="268"/>
      <c r="G97" s="268">
        <v>137</v>
      </c>
      <c r="H97" s="268">
        <v>171</v>
      </c>
      <c r="I97" s="268">
        <v>130</v>
      </c>
      <c r="J97" s="268">
        <v>156</v>
      </c>
      <c r="K97" s="268">
        <v>165</v>
      </c>
      <c r="L97" s="268">
        <v>156</v>
      </c>
      <c r="M97" s="268">
        <v>123</v>
      </c>
      <c r="N97" s="268">
        <v>126</v>
      </c>
      <c r="O97" s="268">
        <v>143</v>
      </c>
      <c r="P97" s="268">
        <v>157</v>
      </c>
      <c r="Q97" s="268">
        <v>175</v>
      </c>
      <c r="R97" s="268">
        <v>158</v>
      </c>
      <c r="S97" s="268">
        <v>153</v>
      </c>
      <c r="T97" s="268">
        <v>179</v>
      </c>
      <c r="U97" s="268">
        <v>129</v>
      </c>
      <c r="V97" s="268">
        <f>SUM(D97:O97)</f>
        <v>1307</v>
      </c>
      <c r="W97" s="268">
        <f>SUM(J97:U97)</f>
        <v>1820</v>
      </c>
    </row>
    <row r="98" spans="1:23" x14ac:dyDescent="0.25">
      <c r="A98" s="513" t="s">
        <v>244</v>
      </c>
      <c r="B98" s="603" t="s">
        <v>245</v>
      </c>
      <c r="C98" s="603" t="s">
        <v>268</v>
      </c>
      <c r="D98" s="268"/>
      <c r="E98" s="268"/>
      <c r="F98" s="268"/>
      <c r="G98" s="268">
        <v>71</v>
      </c>
      <c r="H98" s="268">
        <v>114</v>
      </c>
      <c r="I98" s="268">
        <v>96</v>
      </c>
      <c r="J98" s="268">
        <v>121</v>
      </c>
      <c r="K98" s="268">
        <v>135</v>
      </c>
      <c r="L98" s="268">
        <v>106</v>
      </c>
      <c r="M98" s="268">
        <v>100</v>
      </c>
      <c r="N98" s="268">
        <v>97</v>
      </c>
      <c r="O98" s="268">
        <v>110</v>
      </c>
      <c r="P98" s="268">
        <v>109</v>
      </c>
      <c r="Q98" s="268">
        <v>150</v>
      </c>
      <c r="R98" s="268">
        <v>111</v>
      </c>
      <c r="S98" s="268">
        <v>112</v>
      </c>
      <c r="T98" s="268">
        <v>109</v>
      </c>
      <c r="U98" s="268">
        <v>110</v>
      </c>
      <c r="V98" s="268">
        <f>SUM(D98:O98)</f>
        <v>950</v>
      </c>
      <c r="W98" s="268">
        <f>SUM(J98:U98)</f>
        <v>1370</v>
      </c>
    </row>
    <row r="99" spans="1:23" x14ac:dyDescent="0.25">
      <c r="A99" s="513" t="s">
        <v>246</v>
      </c>
      <c r="B99" s="603" t="s">
        <v>247</v>
      </c>
      <c r="C99" s="603" t="s">
        <v>264</v>
      </c>
      <c r="D99" s="268"/>
      <c r="E99" s="268"/>
      <c r="F99" s="268"/>
      <c r="G99" s="268">
        <v>54</v>
      </c>
      <c r="H99" s="268">
        <v>128</v>
      </c>
      <c r="I99" s="268">
        <v>91</v>
      </c>
      <c r="J99" s="268">
        <v>116</v>
      </c>
      <c r="K99" s="268">
        <v>108</v>
      </c>
      <c r="L99" s="268">
        <v>90</v>
      </c>
      <c r="M99" s="268">
        <v>75</v>
      </c>
      <c r="N99" s="268">
        <v>100</v>
      </c>
      <c r="O99" s="268">
        <v>121</v>
      </c>
      <c r="P99" s="268">
        <v>96</v>
      </c>
      <c r="Q99" s="268">
        <v>124</v>
      </c>
      <c r="R99" s="268">
        <v>95</v>
      </c>
      <c r="S99" s="268">
        <v>143</v>
      </c>
      <c r="T99" s="268">
        <v>105</v>
      </c>
      <c r="U99" s="268">
        <v>106</v>
      </c>
      <c r="V99" s="268">
        <f>SUM(D99:O99)</f>
        <v>883</v>
      </c>
      <c r="W99" s="268">
        <f>SUM(J99:U99)</f>
        <v>1279</v>
      </c>
    </row>
    <row r="100" spans="1:23" x14ac:dyDescent="0.25">
      <c r="A100" s="513" t="s">
        <v>14</v>
      </c>
      <c r="B100" s="603" t="s">
        <v>15</v>
      </c>
      <c r="C100" s="603" t="s">
        <v>267</v>
      </c>
      <c r="D100" s="268"/>
      <c r="E100" s="268"/>
      <c r="F100" s="268"/>
      <c r="G100" s="268">
        <v>235</v>
      </c>
      <c r="H100" s="268">
        <v>352</v>
      </c>
      <c r="I100" s="268">
        <v>326</v>
      </c>
      <c r="J100" s="268">
        <v>339</v>
      </c>
      <c r="K100" s="268">
        <v>313</v>
      </c>
      <c r="L100" s="268">
        <v>423</v>
      </c>
      <c r="M100" s="268">
        <v>309</v>
      </c>
      <c r="N100" s="268">
        <v>348</v>
      </c>
      <c r="O100" s="268">
        <v>345</v>
      </c>
      <c r="P100" s="268">
        <v>282</v>
      </c>
      <c r="Q100" s="268">
        <v>363</v>
      </c>
      <c r="R100" s="268">
        <v>320</v>
      </c>
      <c r="S100" s="268">
        <v>352</v>
      </c>
      <c r="T100" s="268">
        <v>331</v>
      </c>
      <c r="U100" s="268">
        <v>304</v>
      </c>
      <c r="V100" s="268">
        <f>SUM(D100:O100)</f>
        <v>2990</v>
      </c>
      <c r="W100" s="268">
        <f>SUM(J100:U100)</f>
        <v>4029</v>
      </c>
    </row>
    <row r="101" spans="1:23" x14ac:dyDescent="0.25">
      <c r="A101" s="513" t="s">
        <v>34</v>
      </c>
      <c r="B101" s="603" t="s">
        <v>35</v>
      </c>
      <c r="C101" s="603" t="s">
        <v>268</v>
      </c>
      <c r="D101" s="268"/>
      <c r="E101" s="268"/>
      <c r="F101" s="268"/>
      <c r="G101" s="268">
        <v>90</v>
      </c>
      <c r="H101" s="268">
        <v>98</v>
      </c>
      <c r="I101" s="268">
        <v>93</v>
      </c>
      <c r="J101" s="268">
        <v>122</v>
      </c>
      <c r="K101" s="268">
        <v>106</v>
      </c>
      <c r="L101" s="268">
        <v>97</v>
      </c>
      <c r="M101" s="268">
        <v>93</v>
      </c>
      <c r="N101" s="268">
        <v>103</v>
      </c>
      <c r="O101" s="268">
        <v>83</v>
      </c>
      <c r="P101" s="268">
        <v>85</v>
      </c>
      <c r="Q101" s="268">
        <v>133</v>
      </c>
      <c r="R101" s="268">
        <v>96</v>
      </c>
      <c r="S101" s="268">
        <v>124</v>
      </c>
      <c r="T101" s="268">
        <v>101</v>
      </c>
      <c r="U101" s="268">
        <v>97</v>
      </c>
      <c r="V101" s="268">
        <f>SUM(D101:O101)</f>
        <v>885</v>
      </c>
      <c r="W101" s="268">
        <f>SUM(J101:U101)</f>
        <v>1240</v>
      </c>
    </row>
    <row r="102" spans="1:23" x14ac:dyDescent="0.25">
      <c r="A102" s="513" t="s">
        <v>52</v>
      </c>
      <c r="B102" s="603" t="s">
        <v>53</v>
      </c>
      <c r="C102" s="603" t="s">
        <v>265</v>
      </c>
      <c r="D102" s="268">
        <v>155</v>
      </c>
      <c r="E102" s="268">
        <v>164</v>
      </c>
      <c r="F102" s="268">
        <v>151</v>
      </c>
      <c r="G102" s="268">
        <v>152</v>
      </c>
      <c r="H102" s="268">
        <v>166</v>
      </c>
      <c r="I102" s="268">
        <v>162</v>
      </c>
      <c r="J102" s="268">
        <v>154</v>
      </c>
      <c r="K102" s="268">
        <v>116</v>
      </c>
      <c r="L102" s="268">
        <v>154</v>
      </c>
      <c r="M102" s="268">
        <v>118</v>
      </c>
      <c r="N102" s="268">
        <v>131</v>
      </c>
      <c r="O102" s="268">
        <v>174</v>
      </c>
      <c r="P102" s="268">
        <v>135</v>
      </c>
      <c r="Q102" s="268">
        <v>154</v>
      </c>
      <c r="R102" s="268">
        <v>146</v>
      </c>
      <c r="S102" s="268">
        <v>138</v>
      </c>
      <c r="T102" s="268">
        <v>135</v>
      </c>
      <c r="U102" s="268">
        <v>120</v>
      </c>
      <c r="V102" s="268">
        <f>SUM(D102:O102)</f>
        <v>1797</v>
      </c>
      <c r="W102" s="268">
        <f>SUM(J102:U102)</f>
        <v>1675</v>
      </c>
    </row>
    <row r="103" spans="1:23" x14ac:dyDescent="0.25">
      <c r="A103" s="513" t="s">
        <v>54</v>
      </c>
      <c r="B103" s="603" t="s">
        <v>55</v>
      </c>
      <c r="C103" s="603" t="s">
        <v>264</v>
      </c>
      <c r="D103" s="268"/>
      <c r="E103" s="268"/>
      <c r="F103" s="268"/>
      <c r="G103" s="268">
        <v>304</v>
      </c>
      <c r="H103" s="268">
        <v>689</v>
      </c>
      <c r="I103" s="268">
        <v>623</v>
      </c>
      <c r="J103" s="268">
        <v>625</v>
      </c>
      <c r="K103" s="268">
        <v>795</v>
      </c>
      <c r="L103" s="268">
        <v>688</v>
      </c>
      <c r="M103" s="268">
        <v>521</v>
      </c>
      <c r="N103" s="268">
        <v>593</v>
      </c>
      <c r="O103" s="268">
        <v>619</v>
      </c>
      <c r="P103" s="268">
        <v>625</v>
      </c>
      <c r="Q103" s="268">
        <v>767</v>
      </c>
      <c r="R103" s="268">
        <v>724</v>
      </c>
      <c r="S103" s="268">
        <v>750</v>
      </c>
      <c r="T103" s="268">
        <v>583</v>
      </c>
      <c r="U103" s="268">
        <v>609</v>
      </c>
      <c r="V103" s="268">
        <f>SUM(D103:O103)</f>
        <v>5457</v>
      </c>
      <c r="W103" s="268">
        <f>SUM(J103:U103)</f>
        <v>7899</v>
      </c>
    </row>
    <row r="104" spans="1:23" x14ac:dyDescent="0.25">
      <c r="A104" s="513" t="s">
        <v>66</v>
      </c>
      <c r="B104" s="603" t="s">
        <v>67</v>
      </c>
      <c r="C104" s="603" t="s">
        <v>265</v>
      </c>
      <c r="D104" s="268">
        <v>245</v>
      </c>
      <c r="E104" s="268">
        <v>262</v>
      </c>
      <c r="F104" s="268">
        <v>245</v>
      </c>
      <c r="G104" s="268">
        <v>227</v>
      </c>
      <c r="H104" s="268">
        <v>245</v>
      </c>
      <c r="I104" s="268">
        <v>199</v>
      </c>
      <c r="J104" s="268">
        <v>325</v>
      </c>
      <c r="K104" s="268">
        <v>231</v>
      </c>
      <c r="L104" s="268">
        <v>235</v>
      </c>
      <c r="M104" s="268">
        <v>192</v>
      </c>
      <c r="N104" s="268">
        <v>268</v>
      </c>
      <c r="O104" s="268">
        <v>287</v>
      </c>
      <c r="P104" s="268">
        <v>266</v>
      </c>
      <c r="Q104" s="268">
        <v>304</v>
      </c>
      <c r="R104" s="268">
        <v>249</v>
      </c>
      <c r="S104" s="268">
        <v>261</v>
      </c>
      <c r="T104" s="268">
        <v>249</v>
      </c>
      <c r="U104" s="268">
        <v>233</v>
      </c>
      <c r="V104" s="268">
        <f>SUM(D104:O104)</f>
        <v>2961</v>
      </c>
      <c r="W104" s="268">
        <f>SUM(J104:U104)</f>
        <v>3100</v>
      </c>
    </row>
    <row r="105" spans="1:23" x14ac:dyDescent="0.25">
      <c r="A105" s="513" t="s">
        <v>82</v>
      </c>
      <c r="B105" s="603" t="s">
        <v>83</v>
      </c>
      <c r="C105" s="603" t="s">
        <v>264</v>
      </c>
      <c r="D105" s="268"/>
      <c r="E105" s="268"/>
      <c r="F105" s="268"/>
      <c r="G105" s="268">
        <v>37</v>
      </c>
      <c r="H105" s="268">
        <v>66</v>
      </c>
      <c r="I105" s="268">
        <v>28</v>
      </c>
      <c r="J105" s="268">
        <v>52</v>
      </c>
      <c r="K105" s="268">
        <v>67</v>
      </c>
      <c r="L105" s="268">
        <v>45</v>
      </c>
      <c r="M105" s="268">
        <v>41</v>
      </c>
      <c r="N105" s="268">
        <v>54</v>
      </c>
      <c r="O105" s="268">
        <v>64</v>
      </c>
      <c r="P105" s="268">
        <v>42</v>
      </c>
      <c r="Q105" s="268">
        <v>51</v>
      </c>
      <c r="R105" s="268">
        <v>45</v>
      </c>
      <c r="S105" s="268">
        <v>66</v>
      </c>
      <c r="T105" s="268">
        <v>59</v>
      </c>
      <c r="U105" s="268">
        <v>49</v>
      </c>
      <c r="V105" s="268">
        <f>SUM(D105:O105)</f>
        <v>454</v>
      </c>
      <c r="W105" s="268">
        <f>SUM(J105:U105)</f>
        <v>635</v>
      </c>
    </row>
    <row r="106" spans="1:23" x14ac:dyDescent="0.25">
      <c r="A106" s="513" t="s">
        <v>88</v>
      </c>
      <c r="B106" s="603" t="s">
        <v>89</v>
      </c>
      <c r="C106" s="603" t="s">
        <v>267</v>
      </c>
      <c r="D106" s="268"/>
      <c r="E106" s="268"/>
      <c r="F106" s="268"/>
      <c r="G106" s="268">
        <v>80</v>
      </c>
      <c r="H106" s="268">
        <v>197</v>
      </c>
      <c r="I106" s="268">
        <v>173</v>
      </c>
      <c r="J106" s="268">
        <v>164</v>
      </c>
      <c r="K106" s="268">
        <v>151</v>
      </c>
      <c r="L106" s="268">
        <v>189</v>
      </c>
      <c r="M106" s="268">
        <v>138</v>
      </c>
      <c r="N106" s="268">
        <v>147</v>
      </c>
      <c r="O106" s="268">
        <v>152</v>
      </c>
      <c r="P106" s="268">
        <v>159</v>
      </c>
      <c r="Q106" s="268">
        <v>182</v>
      </c>
      <c r="R106" s="268">
        <v>146</v>
      </c>
      <c r="S106" s="268">
        <v>177</v>
      </c>
      <c r="T106" s="268">
        <v>189</v>
      </c>
      <c r="U106" s="268">
        <v>145</v>
      </c>
      <c r="V106" s="268">
        <f>SUM(D106:O106)</f>
        <v>1391</v>
      </c>
      <c r="W106" s="268">
        <f>SUM(J106:U106)</f>
        <v>1939</v>
      </c>
    </row>
    <row r="107" spans="1:23" x14ac:dyDescent="0.25">
      <c r="A107" s="513" t="s">
        <v>90</v>
      </c>
      <c r="B107" s="603" t="s">
        <v>91</v>
      </c>
      <c r="C107" s="603" t="s">
        <v>268</v>
      </c>
      <c r="D107" s="268"/>
      <c r="E107" s="268"/>
      <c r="F107" s="268"/>
      <c r="G107" s="268">
        <v>25</v>
      </c>
      <c r="H107" s="268">
        <v>46</v>
      </c>
      <c r="I107" s="268">
        <v>36</v>
      </c>
      <c r="J107" s="268">
        <v>40</v>
      </c>
      <c r="K107" s="268">
        <v>44</v>
      </c>
      <c r="L107" s="268">
        <v>36</v>
      </c>
      <c r="M107" s="268">
        <v>21</v>
      </c>
      <c r="N107" s="268">
        <v>31</v>
      </c>
      <c r="O107" s="268">
        <v>37</v>
      </c>
      <c r="P107" s="268">
        <v>38</v>
      </c>
      <c r="Q107" s="268">
        <v>48</v>
      </c>
      <c r="R107" s="268">
        <v>25</v>
      </c>
      <c r="S107" s="268">
        <v>44</v>
      </c>
      <c r="T107" s="268">
        <v>49</v>
      </c>
      <c r="U107" s="268">
        <v>23</v>
      </c>
      <c r="V107" s="268">
        <f>SUM(D107:O107)</f>
        <v>316</v>
      </c>
      <c r="W107" s="268">
        <f>SUM(J107:U107)</f>
        <v>436</v>
      </c>
    </row>
    <row r="108" spans="1:23" x14ac:dyDescent="0.25">
      <c r="A108" s="513" t="s">
        <v>106</v>
      </c>
      <c r="B108" s="603" t="s">
        <v>107</v>
      </c>
      <c r="C108" s="603" t="s">
        <v>264</v>
      </c>
      <c r="D108" s="268"/>
      <c r="E108" s="268"/>
      <c r="F108" s="268"/>
      <c r="G108" s="268">
        <v>382</v>
      </c>
      <c r="H108" s="268">
        <v>650</v>
      </c>
      <c r="I108" s="268">
        <v>643</v>
      </c>
      <c r="J108" s="268">
        <v>677</v>
      </c>
      <c r="K108" s="268">
        <v>773</v>
      </c>
      <c r="L108" s="268">
        <v>642</v>
      </c>
      <c r="M108" s="268">
        <v>600</v>
      </c>
      <c r="N108" s="268">
        <v>666</v>
      </c>
      <c r="O108" s="268">
        <v>601</v>
      </c>
      <c r="P108" s="268">
        <v>627</v>
      </c>
      <c r="Q108" s="268">
        <v>721</v>
      </c>
      <c r="R108" s="268">
        <v>662</v>
      </c>
      <c r="S108" s="268">
        <v>713</v>
      </c>
      <c r="T108" s="268">
        <v>672</v>
      </c>
      <c r="U108" s="268">
        <v>573</v>
      </c>
      <c r="V108" s="268">
        <f>SUM(D108:O108)</f>
        <v>5634</v>
      </c>
      <c r="W108" s="268">
        <f>SUM(J108:U108)</f>
        <v>7927</v>
      </c>
    </row>
    <row r="109" spans="1:23" x14ac:dyDescent="0.25">
      <c r="A109" s="513" t="s">
        <v>116</v>
      </c>
      <c r="B109" s="603" t="s">
        <v>117</v>
      </c>
      <c r="C109" s="603" t="s">
        <v>266</v>
      </c>
      <c r="D109" s="268"/>
      <c r="E109" s="268"/>
      <c r="F109" s="268"/>
      <c r="G109" s="268">
        <v>112</v>
      </c>
      <c r="H109" s="268">
        <v>152</v>
      </c>
      <c r="I109" s="268">
        <v>135</v>
      </c>
      <c r="J109" s="268">
        <v>166</v>
      </c>
      <c r="K109" s="268">
        <v>234</v>
      </c>
      <c r="L109" s="268">
        <v>184</v>
      </c>
      <c r="M109" s="268">
        <v>169</v>
      </c>
      <c r="N109" s="268">
        <v>173</v>
      </c>
      <c r="O109" s="268">
        <v>181</v>
      </c>
      <c r="P109" s="268">
        <v>141</v>
      </c>
      <c r="Q109" s="268">
        <v>173</v>
      </c>
      <c r="R109" s="268">
        <v>158</v>
      </c>
      <c r="S109" s="268">
        <v>207</v>
      </c>
      <c r="T109" s="268">
        <v>195</v>
      </c>
      <c r="U109" s="268">
        <v>146</v>
      </c>
      <c r="V109" s="268">
        <f>SUM(D109:O109)</f>
        <v>1506</v>
      </c>
      <c r="W109" s="268">
        <f>SUM(J109:U109)</f>
        <v>2127</v>
      </c>
    </row>
    <row r="110" spans="1:23" x14ac:dyDescent="0.25">
      <c r="A110" s="513" t="s">
        <v>138</v>
      </c>
      <c r="B110" s="603" t="s">
        <v>139</v>
      </c>
      <c r="C110" s="603" t="s">
        <v>265</v>
      </c>
      <c r="D110" s="268">
        <v>304</v>
      </c>
      <c r="E110" s="268">
        <v>320</v>
      </c>
      <c r="F110" s="268">
        <v>332</v>
      </c>
      <c r="G110" s="268">
        <v>292</v>
      </c>
      <c r="H110" s="268">
        <v>327</v>
      </c>
      <c r="I110" s="268">
        <v>239</v>
      </c>
      <c r="J110" s="268">
        <v>304</v>
      </c>
      <c r="K110" s="268">
        <v>267</v>
      </c>
      <c r="L110" s="268">
        <v>273</v>
      </c>
      <c r="M110" s="268">
        <v>239</v>
      </c>
      <c r="N110" s="268">
        <v>312</v>
      </c>
      <c r="O110" s="268">
        <v>297</v>
      </c>
      <c r="P110" s="268">
        <v>298</v>
      </c>
      <c r="Q110" s="268">
        <v>341</v>
      </c>
      <c r="R110" s="268">
        <v>333</v>
      </c>
      <c r="S110" s="268">
        <v>295</v>
      </c>
      <c r="T110" s="268">
        <v>301</v>
      </c>
      <c r="U110" s="268">
        <v>300</v>
      </c>
      <c r="V110" s="268">
        <f>SUM(D110:O110)</f>
        <v>3506</v>
      </c>
      <c r="W110" s="268">
        <f>SUM(J110:U110)</f>
        <v>3560</v>
      </c>
    </row>
    <row r="111" spans="1:23" x14ac:dyDescent="0.25">
      <c r="A111" s="513" t="s">
        <v>142</v>
      </c>
      <c r="B111" s="603" t="s">
        <v>143</v>
      </c>
      <c r="C111" s="603" t="s">
        <v>267</v>
      </c>
      <c r="D111" s="268"/>
      <c r="E111" s="268"/>
      <c r="F111" s="268"/>
      <c r="G111" s="268">
        <v>74</v>
      </c>
      <c r="H111" s="268">
        <v>107</v>
      </c>
      <c r="I111" s="268">
        <v>122</v>
      </c>
      <c r="J111" s="268">
        <v>114</v>
      </c>
      <c r="K111" s="268">
        <v>110</v>
      </c>
      <c r="L111" s="268">
        <v>98</v>
      </c>
      <c r="M111" s="268">
        <v>91</v>
      </c>
      <c r="N111" s="268">
        <v>101</v>
      </c>
      <c r="O111" s="268">
        <v>96</v>
      </c>
      <c r="P111" s="268">
        <v>100</v>
      </c>
      <c r="Q111" s="268">
        <v>141</v>
      </c>
      <c r="R111" s="268">
        <v>109</v>
      </c>
      <c r="S111" s="268">
        <v>114</v>
      </c>
      <c r="T111" s="268">
        <v>85</v>
      </c>
      <c r="U111" s="268">
        <v>92</v>
      </c>
      <c r="V111" s="268">
        <f>SUM(D111:O111)</f>
        <v>913</v>
      </c>
      <c r="W111" s="268">
        <f>SUM(J111:U111)</f>
        <v>1251</v>
      </c>
    </row>
    <row r="112" spans="1:23" x14ac:dyDescent="0.25">
      <c r="A112" s="513" t="s">
        <v>144</v>
      </c>
      <c r="B112" s="603" t="s">
        <v>145</v>
      </c>
      <c r="C112" s="603" t="s">
        <v>267</v>
      </c>
      <c r="D112" s="268"/>
      <c r="E112" s="268"/>
      <c r="F112" s="268"/>
      <c r="G112" s="268">
        <v>26</v>
      </c>
      <c r="H112" s="268">
        <v>48</v>
      </c>
      <c r="I112" s="268">
        <v>48</v>
      </c>
      <c r="J112" s="268">
        <v>43</v>
      </c>
      <c r="K112" s="268">
        <v>42</v>
      </c>
      <c r="L112" s="268">
        <v>32</v>
      </c>
      <c r="M112" s="268">
        <v>35</v>
      </c>
      <c r="N112" s="268">
        <v>33</v>
      </c>
      <c r="O112" s="268">
        <v>42</v>
      </c>
      <c r="P112" s="268">
        <v>38</v>
      </c>
      <c r="Q112" s="268">
        <v>35</v>
      </c>
      <c r="R112" s="268">
        <v>41</v>
      </c>
      <c r="S112" s="268">
        <v>36</v>
      </c>
      <c r="T112" s="268">
        <v>45</v>
      </c>
      <c r="U112" s="268">
        <v>27</v>
      </c>
      <c r="V112" s="268">
        <f>SUM(D112:O112)</f>
        <v>349</v>
      </c>
      <c r="W112" s="268">
        <f>SUM(J112:U112)</f>
        <v>449</v>
      </c>
    </row>
    <row r="113" spans="1:23" x14ac:dyDescent="0.25">
      <c r="A113" s="513" t="s">
        <v>158</v>
      </c>
      <c r="B113" s="603" t="s">
        <v>159</v>
      </c>
      <c r="C113" s="603" t="s">
        <v>264</v>
      </c>
      <c r="D113" s="268"/>
      <c r="E113" s="268"/>
      <c r="F113" s="268"/>
      <c r="G113" s="268">
        <v>643</v>
      </c>
      <c r="H113" s="268">
        <v>943</v>
      </c>
      <c r="I113" s="268">
        <v>974</v>
      </c>
      <c r="J113" s="268">
        <v>983</v>
      </c>
      <c r="K113" s="268">
        <v>1175</v>
      </c>
      <c r="L113" s="268">
        <v>947</v>
      </c>
      <c r="M113" s="268">
        <v>815</v>
      </c>
      <c r="N113" s="268">
        <v>952</v>
      </c>
      <c r="O113" s="268">
        <v>894</v>
      </c>
      <c r="P113" s="268">
        <v>915</v>
      </c>
      <c r="Q113" s="268">
        <v>1166</v>
      </c>
      <c r="R113" s="268">
        <v>1093</v>
      </c>
      <c r="S113" s="268">
        <v>1143</v>
      </c>
      <c r="T113" s="268">
        <v>1083</v>
      </c>
      <c r="U113" s="268">
        <v>973</v>
      </c>
      <c r="V113" s="268">
        <f>SUM(D113:O113)</f>
        <v>8326</v>
      </c>
      <c r="W113" s="268">
        <f>SUM(J113:U113)</f>
        <v>12139</v>
      </c>
    </row>
    <row r="114" spans="1:23" x14ac:dyDescent="0.25">
      <c r="A114" s="513" t="s">
        <v>160</v>
      </c>
      <c r="B114" s="603" t="s">
        <v>161</v>
      </c>
      <c r="C114" s="603" t="s">
        <v>264</v>
      </c>
      <c r="D114" s="268"/>
      <c r="E114" s="268"/>
      <c r="F114" s="268"/>
      <c r="G114" s="268">
        <v>787</v>
      </c>
      <c r="H114" s="268">
        <v>1449</v>
      </c>
      <c r="I114" s="268">
        <v>1295</v>
      </c>
      <c r="J114" s="268">
        <v>1245</v>
      </c>
      <c r="K114" s="268">
        <v>1722</v>
      </c>
      <c r="L114" s="268">
        <v>1380</v>
      </c>
      <c r="M114" s="268">
        <v>1120</v>
      </c>
      <c r="N114" s="268">
        <v>1221</v>
      </c>
      <c r="O114" s="268">
        <v>1376</v>
      </c>
      <c r="P114" s="268">
        <v>1202</v>
      </c>
      <c r="Q114" s="268">
        <v>1342</v>
      </c>
      <c r="R114" s="268">
        <v>1202</v>
      </c>
      <c r="S114" s="268">
        <v>1366</v>
      </c>
      <c r="T114" s="268">
        <v>1323</v>
      </c>
      <c r="U114" s="268">
        <v>1276</v>
      </c>
      <c r="V114" s="268">
        <f>SUM(D114:O114)</f>
        <v>11595</v>
      </c>
      <c r="W114" s="268">
        <f>SUM(J114:U114)</f>
        <v>15775</v>
      </c>
    </row>
    <row r="115" spans="1:23" x14ac:dyDescent="0.25">
      <c r="A115" s="513" t="s">
        <v>166</v>
      </c>
      <c r="B115" s="603" t="s">
        <v>167</v>
      </c>
      <c r="C115" s="603" t="s">
        <v>268</v>
      </c>
      <c r="D115" s="268"/>
      <c r="E115" s="268"/>
      <c r="F115" s="268"/>
      <c r="G115" s="268">
        <v>13</v>
      </c>
      <c r="H115" s="268">
        <v>23</v>
      </c>
      <c r="I115" s="268">
        <v>10</v>
      </c>
      <c r="J115" s="268">
        <v>13</v>
      </c>
      <c r="K115" s="268">
        <v>21</v>
      </c>
      <c r="L115" s="268">
        <v>17</v>
      </c>
      <c r="M115" s="268">
        <v>14</v>
      </c>
      <c r="N115" s="268">
        <v>31</v>
      </c>
      <c r="O115" s="268">
        <v>20</v>
      </c>
      <c r="P115" s="268">
        <v>21</v>
      </c>
      <c r="Q115" s="268">
        <v>28</v>
      </c>
      <c r="R115" s="268">
        <v>18</v>
      </c>
      <c r="S115" s="268">
        <v>24</v>
      </c>
      <c r="T115" s="268">
        <v>24</v>
      </c>
      <c r="U115" s="268">
        <v>18</v>
      </c>
      <c r="V115" s="268">
        <f>SUM(D115:O115)</f>
        <v>162</v>
      </c>
      <c r="W115" s="268">
        <f>SUM(J115:U115)</f>
        <v>249</v>
      </c>
    </row>
    <row r="116" spans="1:23" x14ac:dyDescent="0.25">
      <c r="A116" s="513" t="s">
        <v>176</v>
      </c>
      <c r="B116" s="603" t="s">
        <v>177</v>
      </c>
      <c r="C116" s="603" t="s">
        <v>266</v>
      </c>
      <c r="D116" s="268"/>
      <c r="E116" s="268"/>
      <c r="F116" s="268"/>
      <c r="G116" s="268">
        <v>165</v>
      </c>
      <c r="H116" s="268">
        <v>343</v>
      </c>
      <c r="I116" s="268">
        <v>262</v>
      </c>
      <c r="J116" s="268">
        <v>290</v>
      </c>
      <c r="K116" s="268">
        <v>407</v>
      </c>
      <c r="L116" s="268">
        <v>336</v>
      </c>
      <c r="M116" s="268">
        <v>289</v>
      </c>
      <c r="N116" s="268">
        <v>326</v>
      </c>
      <c r="O116" s="268">
        <v>299</v>
      </c>
      <c r="P116" s="268">
        <v>285</v>
      </c>
      <c r="Q116" s="268">
        <v>362</v>
      </c>
      <c r="R116" s="268">
        <v>348</v>
      </c>
      <c r="S116" s="268">
        <v>358</v>
      </c>
      <c r="T116" s="268">
        <v>369</v>
      </c>
      <c r="U116" s="268">
        <v>327</v>
      </c>
      <c r="V116" s="268">
        <f>SUM(D116:O116)</f>
        <v>2717</v>
      </c>
      <c r="W116" s="268">
        <f>SUM(J116:U116)</f>
        <v>3996</v>
      </c>
    </row>
    <row r="117" spans="1:23" x14ac:dyDescent="0.25">
      <c r="A117" s="513" t="s">
        <v>180</v>
      </c>
      <c r="B117" s="603" t="s">
        <v>181</v>
      </c>
      <c r="C117" s="603" t="s">
        <v>264</v>
      </c>
      <c r="D117" s="268"/>
      <c r="E117" s="268"/>
      <c r="F117" s="268"/>
      <c r="G117" s="268">
        <v>330</v>
      </c>
      <c r="H117" s="268">
        <v>558</v>
      </c>
      <c r="I117" s="268">
        <v>534</v>
      </c>
      <c r="J117" s="268">
        <v>569</v>
      </c>
      <c r="K117" s="268">
        <v>726</v>
      </c>
      <c r="L117" s="268">
        <v>619</v>
      </c>
      <c r="M117" s="268">
        <v>516</v>
      </c>
      <c r="N117" s="268">
        <v>584</v>
      </c>
      <c r="O117" s="268">
        <v>642</v>
      </c>
      <c r="P117" s="268">
        <v>588</v>
      </c>
      <c r="Q117" s="268">
        <v>683</v>
      </c>
      <c r="R117" s="268">
        <v>590</v>
      </c>
      <c r="S117" s="268">
        <v>635</v>
      </c>
      <c r="T117" s="268">
        <v>558</v>
      </c>
      <c r="U117" s="268">
        <v>589</v>
      </c>
      <c r="V117" s="268">
        <f>SUM(D117:O117)</f>
        <v>5078</v>
      </c>
      <c r="W117" s="268">
        <f>SUM(J117:U117)</f>
        <v>7299</v>
      </c>
    </row>
    <row r="118" spans="1:23" x14ac:dyDescent="0.25">
      <c r="A118" s="513" t="s">
        <v>192</v>
      </c>
      <c r="B118" s="603" t="s">
        <v>193</v>
      </c>
      <c r="C118" s="603" t="s">
        <v>268</v>
      </c>
      <c r="D118" s="268"/>
      <c r="E118" s="268"/>
      <c r="F118" s="268"/>
      <c r="G118" s="268">
        <v>35</v>
      </c>
      <c r="H118" s="268">
        <v>45</v>
      </c>
      <c r="I118" s="268">
        <v>46</v>
      </c>
      <c r="J118" s="268">
        <v>44</v>
      </c>
      <c r="K118" s="268">
        <v>47</v>
      </c>
      <c r="L118" s="268">
        <v>53</v>
      </c>
      <c r="M118" s="268">
        <v>35</v>
      </c>
      <c r="N118" s="268">
        <v>47</v>
      </c>
      <c r="O118" s="268">
        <v>41</v>
      </c>
      <c r="P118" s="268">
        <v>41</v>
      </c>
      <c r="Q118" s="268">
        <v>49</v>
      </c>
      <c r="R118" s="268">
        <v>43</v>
      </c>
      <c r="S118" s="268">
        <v>56</v>
      </c>
      <c r="T118" s="268">
        <v>47</v>
      </c>
      <c r="U118" s="268">
        <v>41</v>
      </c>
      <c r="V118" s="268">
        <f>SUM(D118:O118)</f>
        <v>393</v>
      </c>
      <c r="W118" s="268">
        <f>SUM(J118:U118)</f>
        <v>544</v>
      </c>
    </row>
    <row r="119" spans="1:23" x14ac:dyDescent="0.25">
      <c r="A119" s="513" t="s">
        <v>196</v>
      </c>
      <c r="B119" s="603" t="s">
        <v>197</v>
      </c>
      <c r="C119" s="603" t="s">
        <v>266</v>
      </c>
      <c r="D119" s="268"/>
      <c r="E119" s="268"/>
      <c r="F119" s="268"/>
      <c r="G119" s="268">
        <v>963</v>
      </c>
      <c r="H119" s="268">
        <v>1341</v>
      </c>
      <c r="I119" s="268">
        <v>1222</v>
      </c>
      <c r="J119" s="268">
        <v>1354</v>
      </c>
      <c r="K119" s="268">
        <v>1578</v>
      </c>
      <c r="L119" s="268">
        <v>1457</v>
      </c>
      <c r="M119" s="268">
        <v>995</v>
      </c>
      <c r="N119" s="268">
        <v>1373</v>
      </c>
      <c r="O119" s="268">
        <v>1295</v>
      </c>
      <c r="P119" s="268">
        <v>1170</v>
      </c>
      <c r="Q119" s="268">
        <v>1480</v>
      </c>
      <c r="R119" s="268">
        <v>1288</v>
      </c>
      <c r="S119" s="268">
        <v>1299</v>
      </c>
      <c r="T119" s="268">
        <v>1356</v>
      </c>
      <c r="U119" s="268">
        <v>1199</v>
      </c>
      <c r="V119" s="268">
        <f>SUM(D119:O119)</f>
        <v>11578</v>
      </c>
      <c r="W119" s="268">
        <f>SUM(J119:U119)</f>
        <v>15844</v>
      </c>
    </row>
    <row r="120" spans="1:23" x14ac:dyDescent="0.25">
      <c r="A120" s="513" t="s">
        <v>200</v>
      </c>
      <c r="B120" s="603" t="s">
        <v>201</v>
      </c>
      <c r="C120" s="603" t="s">
        <v>265</v>
      </c>
      <c r="D120" s="268">
        <v>538</v>
      </c>
      <c r="E120" s="268">
        <v>628</v>
      </c>
      <c r="F120" s="268">
        <v>541</v>
      </c>
      <c r="G120" s="268">
        <v>578</v>
      </c>
      <c r="H120" s="268">
        <v>648</v>
      </c>
      <c r="I120" s="268">
        <v>629</v>
      </c>
      <c r="J120" s="268">
        <v>625</v>
      </c>
      <c r="K120" s="268">
        <v>528</v>
      </c>
      <c r="L120" s="268">
        <v>627</v>
      </c>
      <c r="M120" s="268">
        <v>502</v>
      </c>
      <c r="N120" s="268">
        <v>650</v>
      </c>
      <c r="O120" s="268">
        <v>617</v>
      </c>
      <c r="P120" s="268">
        <v>603</v>
      </c>
      <c r="Q120" s="268">
        <v>698</v>
      </c>
      <c r="R120" s="268">
        <v>537</v>
      </c>
      <c r="S120" s="268">
        <v>600</v>
      </c>
      <c r="T120" s="268">
        <v>588</v>
      </c>
      <c r="U120" s="268">
        <v>539</v>
      </c>
      <c r="V120" s="268">
        <f>SUM(D120:O120)</f>
        <v>7111</v>
      </c>
      <c r="W120" s="268">
        <f>SUM(J120:U120)</f>
        <v>7114</v>
      </c>
    </row>
    <row r="121" spans="1:23" x14ac:dyDescent="0.25">
      <c r="A121" s="513" t="s">
        <v>222</v>
      </c>
      <c r="B121" s="603" t="s">
        <v>223</v>
      </c>
      <c r="C121" s="603" t="s">
        <v>264</v>
      </c>
      <c r="D121" s="268"/>
      <c r="E121" s="268"/>
      <c r="F121" s="268"/>
      <c r="G121" s="268">
        <v>239</v>
      </c>
      <c r="H121" s="268">
        <v>333</v>
      </c>
      <c r="I121" s="268">
        <v>343</v>
      </c>
      <c r="J121" s="268">
        <v>394</v>
      </c>
      <c r="K121" s="268">
        <v>366</v>
      </c>
      <c r="L121" s="268">
        <v>380</v>
      </c>
      <c r="M121" s="268">
        <v>276</v>
      </c>
      <c r="N121" s="268">
        <v>299</v>
      </c>
      <c r="O121" s="268">
        <v>321</v>
      </c>
      <c r="P121" s="268">
        <v>268</v>
      </c>
      <c r="Q121" s="268">
        <v>386</v>
      </c>
      <c r="R121" s="268">
        <v>303</v>
      </c>
      <c r="S121" s="268">
        <v>368</v>
      </c>
      <c r="T121" s="268">
        <v>275</v>
      </c>
      <c r="U121" s="268">
        <v>304</v>
      </c>
      <c r="V121" s="268">
        <f>SUM(D121:O121)</f>
        <v>2951</v>
      </c>
      <c r="W121" s="268">
        <f>SUM(J121:U121)</f>
        <v>3940</v>
      </c>
    </row>
    <row r="122" spans="1:23" x14ac:dyDescent="0.25">
      <c r="A122" s="513" t="s">
        <v>230</v>
      </c>
      <c r="B122" s="603" t="s">
        <v>231</v>
      </c>
      <c r="C122" s="603" t="s">
        <v>264</v>
      </c>
      <c r="D122" s="268"/>
      <c r="E122" s="268"/>
      <c r="F122" s="268">
        <v>1</v>
      </c>
      <c r="G122" s="268">
        <v>664</v>
      </c>
      <c r="H122" s="268">
        <v>1181</v>
      </c>
      <c r="I122" s="268">
        <v>1307</v>
      </c>
      <c r="J122" s="268">
        <v>1130</v>
      </c>
      <c r="K122" s="268">
        <v>1268</v>
      </c>
      <c r="L122" s="268">
        <v>1245</v>
      </c>
      <c r="M122" s="268">
        <v>980</v>
      </c>
      <c r="N122" s="268">
        <v>1132</v>
      </c>
      <c r="O122" s="268">
        <v>1109</v>
      </c>
      <c r="P122" s="268">
        <v>1086</v>
      </c>
      <c r="Q122" s="268">
        <v>1327</v>
      </c>
      <c r="R122" s="268">
        <v>1052</v>
      </c>
      <c r="S122" s="268">
        <v>1261</v>
      </c>
      <c r="T122" s="268">
        <v>1096</v>
      </c>
      <c r="U122" s="268">
        <v>1045</v>
      </c>
      <c r="V122" s="268">
        <f>SUM(D122:O122)</f>
        <v>10017</v>
      </c>
      <c r="W122" s="268">
        <f>SUM(J122:U122)</f>
        <v>13731</v>
      </c>
    </row>
    <row r="123" spans="1:23" x14ac:dyDescent="0.25">
      <c r="A123" s="513" t="s">
        <v>238</v>
      </c>
      <c r="B123" s="603" t="s">
        <v>239</v>
      </c>
      <c r="C123" s="603" t="s">
        <v>264</v>
      </c>
      <c r="D123" s="268"/>
      <c r="E123" s="268"/>
      <c r="F123" s="268"/>
      <c r="G123" s="268">
        <v>33</v>
      </c>
      <c r="H123" s="268">
        <v>22</v>
      </c>
      <c r="I123" s="268">
        <v>28</v>
      </c>
      <c r="J123" s="268">
        <v>43</v>
      </c>
      <c r="K123" s="268">
        <v>47</v>
      </c>
      <c r="L123" s="268">
        <v>50</v>
      </c>
      <c r="M123" s="268">
        <v>29</v>
      </c>
      <c r="N123" s="268">
        <v>26</v>
      </c>
      <c r="O123" s="268">
        <v>33</v>
      </c>
      <c r="P123" s="268">
        <v>33</v>
      </c>
      <c r="Q123" s="268">
        <v>49</v>
      </c>
      <c r="R123" s="268">
        <v>32</v>
      </c>
      <c r="S123" s="268">
        <v>43</v>
      </c>
      <c r="T123" s="268">
        <v>33</v>
      </c>
      <c r="U123" s="268">
        <v>37</v>
      </c>
      <c r="V123" s="268">
        <f>SUM(D123:O123)</f>
        <v>311</v>
      </c>
      <c r="W123" s="268">
        <f>SUM(J123:U123)</f>
        <v>455</v>
      </c>
    </row>
    <row r="124" spans="1:23" x14ac:dyDescent="0.25">
      <c r="A124" s="514" t="s">
        <v>240</v>
      </c>
      <c r="B124" s="517" t="s">
        <v>241</v>
      </c>
      <c r="C124" s="517" t="s">
        <v>267</v>
      </c>
      <c r="D124" s="268"/>
      <c r="E124" s="268"/>
      <c r="F124" s="268"/>
      <c r="G124" s="268">
        <v>80</v>
      </c>
      <c r="H124" s="268">
        <v>147</v>
      </c>
      <c r="I124" s="268">
        <v>126</v>
      </c>
      <c r="J124" s="268">
        <v>131</v>
      </c>
      <c r="K124" s="268">
        <v>149</v>
      </c>
      <c r="L124" s="268">
        <v>135</v>
      </c>
      <c r="M124" s="268">
        <v>122</v>
      </c>
      <c r="N124" s="268">
        <v>110</v>
      </c>
      <c r="O124" s="268">
        <v>125</v>
      </c>
      <c r="P124" s="268">
        <v>128</v>
      </c>
      <c r="Q124" s="268">
        <v>122</v>
      </c>
      <c r="R124" s="268">
        <v>103</v>
      </c>
      <c r="S124" s="268">
        <v>137</v>
      </c>
      <c r="T124" s="268">
        <v>135</v>
      </c>
      <c r="U124" s="268">
        <v>134</v>
      </c>
      <c r="V124" s="268">
        <f>SUM(D124:O124)</f>
        <v>1125</v>
      </c>
      <c r="W124" s="268">
        <f>SUM(J124:U124)</f>
        <v>1531</v>
      </c>
    </row>
    <row r="126" spans="1:23" ht="65.25" customHeight="1" x14ac:dyDescent="0.25">
      <c r="A126" s="2737" t="s">
        <v>1455</v>
      </c>
      <c r="B126" s="2737"/>
      <c r="C126" s="2737"/>
    </row>
    <row r="128" spans="1:23" s="389" customFormat="1" x14ac:dyDescent="0.25">
      <c r="A128" s="389" t="s">
        <v>248</v>
      </c>
    </row>
    <row r="129" spans="1:3" s="389" customFormat="1" x14ac:dyDescent="0.25">
      <c r="A129" s="390" t="s">
        <v>249</v>
      </c>
      <c r="B129" s="391" t="s">
        <v>250</v>
      </c>
      <c r="C129" s="391"/>
    </row>
  </sheetData>
  <sortState ref="A5:W124">
    <sortCondition ref="A5:A124"/>
  </sortState>
  <mergeCells count="1">
    <mergeCell ref="A126:C126"/>
  </mergeCells>
  <hyperlinks>
    <hyperlink ref="B129"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topLeftCell="D1" workbookViewId="0">
      <selection activeCell="G3" sqref="G3"/>
    </sheetView>
  </sheetViews>
  <sheetFormatPr defaultRowHeight="15.75" x14ac:dyDescent="0.25"/>
  <cols>
    <col min="1" max="1" width="18.25" customWidth="1"/>
    <col min="2" max="2" width="17.75" customWidth="1"/>
    <col min="3" max="3" width="14.625" customWidth="1"/>
  </cols>
  <sheetData>
    <row r="1" spans="1:19" x14ac:dyDescent="0.25">
      <c r="A1" t="s">
        <v>872</v>
      </c>
      <c r="F1" t="s">
        <v>871</v>
      </c>
      <c r="L1" s="2695" t="str">
        <f>Profile!D3</f>
        <v>Accomack</v>
      </c>
      <c r="M1" s="2695"/>
      <c r="N1" s="2695" t="str">
        <f>Profile!D3</f>
        <v>Accomack</v>
      </c>
      <c r="O1" s="2695"/>
      <c r="P1" s="2695" t="str">
        <f>Profile!D3</f>
        <v>Accomack</v>
      </c>
      <c r="Q1" s="2695"/>
      <c r="R1" s="2695" t="str">
        <f>Profile!D3</f>
        <v>Accomack</v>
      </c>
      <c r="S1" s="2695"/>
    </row>
    <row r="2" spans="1:19" x14ac:dyDescent="0.25">
      <c r="B2" t="str">
        <f>Profile!D3</f>
        <v>Accomack</v>
      </c>
      <c r="C2" t="str">
        <f>Profile!K3</f>
        <v>Eastern</v>
      </c>
      <c r="D2" t="s">
        <v>847</v>
      </c>
      <c r="G2" t="str">
        <f>Profile!D3</f>
        <v>Accomack</v>
      </c>
      <c r="H2" t="str">
        <f>Profile!K3</f>
        <v>Eastern</v>
      </c>
      <c r="I2" t="s">
        <v>847</v>
      </c>
      <c r="L2" s="2695" t="s">
        <v>318</v>
      </c>
      <c r="M2" s="2695"/>
      <c r="N2" s="2695" t="s">
        <v>409</v>
      </c>
      <c r="O2" s="2695"/>
      <c r="P2" s="2695" t="s">
        <v>1227</v>
      </c>
      <c r="Q2" s="2695"/>
      <c r="R2" t="s">
        <v>1227</v>
      </c>
    </row>
    <row r="3" spans="1:19" x14ac:dyDescent="0.25">
      <c r="A3">
        <v>1998</v>
      </c>
      <c r="B3" s="1096">
        <f>VLOOKUP(Profile!I3,NMBirths_Trend,42,FALSE)</f>
        <v>0.5298329355608592</v>
      </c>
      <c r="C3" s="1096">
        <f>VLOOKUP(Profile!K3,NMBirths_Trend,42,FALSE)</f>
        <v>0.37341746714360358</v>
      </c>
      <c r="D3" s="1096">
        <f>'NM Births_Trend'!AP5</f>
        <v>0.2981171770406103</v>
      </c>
      <c r="F3">
        <v>1998</v>
      </c>
      <c r="G3" s="1108">
        <f>VLOOKUP(Profile!I3,TeenBirths_Trend,42,FALSE)</f>
        <v>33.483258370814596</v>
      </c>
      <c r="H3" s="1108">
        <f>VLOOKUP(Profile!K3,TeenBirths_Trend,42,FALSE)</f>
        <v>26.16430374830064</v>
      </c>
      <c r="I3" s="1108">
        <f>'Teen Births_Trend'!AP5</f>
        <v>21.993094229370861</v>
      </c>
      <c r="L3" t="s">
        <v>1225</v>
      </c>
      <c r="M3" t="s">
        <v>1226</v>
      </c>
      <c r="N3" t="s">
        <v>1225</v>
      </c>
      <c r="O3" t="s">
        <v>1226</v>
      </c>
      <c r="P3" t="s">
        <v>1225</v>
      </c>
      <c r="Q3" t="s">
        <v>1226</v>
      </c>
      <c r="R3" t="s">
        <v>1225</v>
      </c>
      <c r="S3" t="s">
        <v>1226</v>
      </c>
    </row>
    <row r="4" spans="1:19" x14ac:dyDescent="0.25">
      <c r="A4">
        <v>1999</v>
      </c>
      <c r="B4" s="1096">
        <f>VLOOKUP(Profile!I3,NMBirths_Trend,43,FALSE)</f>
        <v>0.51756440281030447</v>
      </c>
      <c r="C4" s="1096">
        <f>VLOOKUP(Profile!K3,NMBirths_Trend,43,FALSE)</f>
        <v>0.37722880362269035</v>
      </c>
      <c r="D4" s="1096">
        <f>'NM Births_Trend'!AQ5</f>
        <v>0.29729956830905291</v>
      </c>
      <c r="F4">
        <v>1999</v>
      </c>
      <c r="G4" s="1108">
        <f>VLOOKUP(Profile!I3,TeenBirths_Trend,43,FALSE)</f>
        <v>40.520260130065033</v>
      </c>
      <c r="H4" s="1108">
        <f>VLOOKUP(Profile!K3,TeenBirths_Trend,43,FALSE)</f>
        <v>25.422437567612867</v>
      </c>
      <c r="I4" s="1108">
        <f>'Teen Births_Trend'!AQ5</f>
        <v>21.672451714894493</v>
      </c>
      <c r="K4" s="1722">
        <v>42552</v>
      </c>
      <c r="L4">
        <f>VLOOKUP(Profile!I3,snap_apps_recvd,4,FALSE)</f>
        <v>0</v>
      </c>
      <c r="M4">
        <f>VLOOKUP(Profile!I3,snap_apps_disp,4,FALSE)</f>
        <v>0</v>
      </c>
      <c r="N4">
        <f>VLOOKUP(Profile!I3,tanf_apps_recvd,4,FALSE)</f>
        <v>0</v>
      </c>
      <c r="O4">
        <f>VLOOKUP(Profile!I3,tanf_apps_disp,4,FALSE)</f>
        <v>0</v>
      </c>
      <c r="P4">
        <f>VLOOKUP(Profile!I3,ma_apps_recvd,4,FALSE)</f>
        <v>112</v>
      </c>
      <c r="Q4">
        <f>VLOOKUP(Profile!I3,ma_apps_disp,4,FALSE)</f>
        <v>118</v>
      </c>
      <c r="R4">
        <f>VLOOKUP(Profile!I3,cc_apps_recvd,4,FALSE)</f>
        <v>6</v>
      </c>
      <c r="S4">
        <f>VLOOKUP(Profile!I3,cc_apps_disp,4,FALSE)</f>
        <v>3</v>
      </c>
    </row>
    <row r="5" spans="1:19" x14ac:dyDescent="0.25">
      <c r="A5">
        <v>2000</v>
      </c>
      <c r="B5" s="1096">
        <f>VLOOKUP(Profile!I3,NMBirths_Trend,44,FALSE)</f>
        <v>0.4946236559139785</v>
      </c>
      <c r="C5" s="1096">
        <f>VLOOKUP(Profile!K3,NMBirths_Trend,44,FALSE)</f>
        <v>0.37406208040439143</v>
      </c>
      <c r="D5" s="1096">
        <f>'NM Births_Trend'!AR5</f>
        <v>0.29975521929114746</v>
      </c>
      <c r="F5">
        <v>2000</v>
      </c>
      <c r="G5" s="1108">
        <f>VLOOKUP(Profile!I3,TeenBirths_Trend,44,FALSE)</f>
        <v>34.803723188992308</v>
      </c>
      <c r="H5" s="1108">
        <f>VLOOKUP(Profile!K3,TeenBirths_Trend,44,FALSE)</f>
        <v>24.942933231881302</v>
      </c>
      <c r="I5" s="1108">
        <f>'Teen Births_Trend'!AR5</f>
        <v>20.498076279692203</v>
      </c>
      <c r="K5" s="1722">
        <v>42583</v>
      </c>
      <c r="L5">
        <f>VLOOKUP(Profile!I3,snap_apps_recvd,5,FALSE)</f>
        <v>0</v>
      </c>
      <c r="M5">
        <f>VLOOKUP(Profile!I3,snap_apps_disp,5,FALSE)</f>
        <v>0</v>
      </c>
      <c r="N5">
        <f>VLOOKUP(Profile!I3,tanf_apps_recvd,5,FALSE)</f>
        <v>0</v>
      </c>
      <c r="O5">
        <f>VLOOKUP(Profile!I3,tanf_apps_disp,5,FALSE)</f>
        <v>0</v>
      </c>
      <c r="P5">
        <f>VLOOKUP(Profile!I3,ma_apps_recvd,5,FALSE)</f>
        <v>130</v>
      </c>
      <c r="Q5">
        <f>VLOOKUP(Profile!I3,ma_apps_disp,5,FALSE)</f>
        <v>123</v>
      </c>
      <c r="R5">
        <f>VLOOKUP(Profile!I3,cc_apps_recvd,5,FALSE)</f>
        <v>6</v>
      </c>
      <c r="S5">
        <f>VLOOKUP(Profile!I3,cc_apps_disp,5,FALSE)</f>
        <v>7</v>
      </c>
    </row>
    <row r="6" spans="1:19" x14ac:dyDescent="0.25">
      <c r="A6">
        <v>2001</v>
      </c>
      <c r="B6" s="1096">
        <f>VLOOKUP(Profile!I3,NMBirths_Trend,45,FALSE)</f>
        <v>0.48988764044943822</v>
      </c>
      <c r="C6" s="1096">
        <f>VLOOKUP(Profile!K3,NMBirths_Trend,45,FALSE)</f>
        <v>0.3923052157115261</v>
      </c>
      <c r="D6" s="1096">
        <f>'NM Births_Trend'!AS5</f>
        <v>0.303681074991627</v>
      </c>
      <c r="F6">
        <v>2001</v>
      </c>
      <c r="G6" s="1108">
        <f>VLOOKUP(Profile!I3,TeenBirths_Trend,45,FALSE)</f>
        <v>23.668639053254438</v>
      </c>
      <c r="H6" s="1108">
        <f>VLOOKUP(Profile!K3,TeenBirths_Trend,45,FALSE)</f>
        <v>24.200348308497308</v>
      </c>
      <c r="I6" s="1108">
        <f>'Teen Births_Trend'!AS5</f>
        <v>19.688543968751606</v>
      </c>
      <c r="K6" s="1722">
        <v>42614</v>
      </c>
      <c r="L6">
        <f>VLOOKUP(Profile!I3,snap_apps_recvd,6,FALSE)</f>
        <v>13</v>
      </c>
      <c r="M6">
        <f>VLOOKUP(Profile!I3,snap_apps_disp,6,FALSE)</f>
        <v>0</v>
      </c>
      <c r="N6">
        <f>VLOOKUP(Profile!I3,tanf_apps_recvd,6,FALSE)</f>
        <v>3</v>
      </c>
      <c r="O6">
        <f>VLOOKUP(Profile!I3,tanf_apps_disp,6,FALSE)</f>
        <v>0</v>
      </c>
      <c r="P6">
        <f>VLOOKUP(Profile!I3,ma_apps_recvd,6,FALSE)</f>
        <v>153</v>
      </c>
      <c r="Q6">
        <f>VLOOKUP(Profile!I3,ma_apps_disp,6,FALSE)</f>
        <v>130</v>
      </c>
      <c r="R6">
        <f>VLOOKUP(Profile!I3,cc_apps_recvd,6,FALSE)</f>
        <v>5</v>
      </c>
      <c r="S6">
        <f>VLOOKUP(Profile!I3,cc_apps_disp,6,FALSE)</f>
        <v>6</v>
      </c>
    </row>
    <row r="7" spans="1:19" x14ac:dyDescent="0.25">
      <c r="A7">
        <v>2002</v>
      </c>
      <c r="B7" s="1096">
        <f>VLOOKUP(Profile!I3,NMBirths_Trend,46,FALSE)</f>
        <v>0.54716981132075471</v>
      </c>
      <c r="C7" s="1096">
        <f>VLOOKUP(Profile!K3,NMBirths_Trend,46,FALSE)</f>
        <v>0.38504755407520364</v>
      </c>
      <c r="D7" s="1096">
        <f>'NM Births_Trend'!AT5</f>
        <v>0.30455988310575904</v>
      </c>
      <c r="F7">
        <v>2002</v>
      </c>
      <c r="G7" s="1108">
        <f>VLOOKUP(Profile!I3,TeenBirths_Trend,46,FALSE)</f>
        <v>33.307210031347964</v>
      </c>
      <c r="H7" s="1108">
        <f>VLOOKUP(Profile!K3,TeenBirths_Trend,46,FALSE)</f>
        <v>23.263812888902788</v>
      </c>
      <c r="I7" s="1108">
        <f>'Teen Births_Trend'!AT5</f>
        <v>18.674449210372391</v>
      </c>
      <c r="K7" s="1722">
        <v>42644</v>
      </c>
      <c r="L7">
        <f>VLOOKUP(Profile!I3,snap_apps_recvd,7,FALSE)</f>
        <v>192</v>
      </c>
      <c r="M7">
        <f>VLOOKUP(Profile!I3,snap_apps_disp,7,FALSE)</f>
        <v>87</v>
      </c>
      <c r="N7">
        <f>VLOOKUP(Profile!I3,tanf_apps_recvd,7,FALSE)</f>
        <v>24</v>
      </c>
      <c r="O7">
        <f>VLOOKUP(Profile!I3,tanf_apps_disp,7,FALSE)</f>
        <v>7</v>
      </c>
      <c r="P7">
        <f>VLOOKUP(Profile!I3,ma_apps_recvd,7,FALSE)</f>
        <v>120</v>
      </c>
      <c r="Q7">
        <f>VLOOKUP(Profile!I3,ma_apps_disp,7,FALSE)</f>
        <v>164</v>
      </c>
      <c r="R7">
        <f>VLOOKUP(Profile!I3,cc_apps_recvd,7,FALSE)</f>
        <v>7</v>
      </c>
      <c r="S7">
        <f>VLOOKUP(Profile!I3,cc_apps_disp,7,FALSE)</f>
        <v>6</v>
      </c>
    </row>
    <row r="8" spans="1:19" x14ac:dyDescent="0.25">
      <c r="A8">
        <v>2003</v>
      </c>
      <c r="B8" s="1096">
        <f>VLOOKUP(Profile!I3,NMBirths_Trend,47,FALSE)</f>
        <v>0.57236842105263153</v>
      </c>
      <c r="C8" s="1096">
        <f>VLOOKUP(Profile!K3,NMBirths_Trend,47,FALSE)</f>
        <v>0.37942966233146402</v>
      </c>
      <c r="D8" s="1096">
        <f>'NM Births_Trend'!AU5</f>
        <v>0.3059734887282346</v>
      </c>
      <c r="F8">
        <v>2003</v>
      </c>
      <c r="G8" s="1108">
        <f>VLOOKUP(Profile!I3,TeenBirths_Trend,47,FALSE)</f>
        <v>33.397312859884835</v>
      </c>
      <c r="H8" s="1108">
        <f>VLOOKUP(Profile!K3,TeenBirths_Trend,47,FALSE)</f>
        <v>21.303566215447969</v>
      </c>
      <c r="I8" s="1108">
        <f>'Teen Births_Trend'!AU5</f>
        <v>17.903555881281065</v>
      </c>
      <c r="K8" s="1722">
        <v>42675</v>
      </c>
      <c r="L8">
        <f>VLOOKUP(Profile!I3,snap_apps_recvd,8,FALSE)</f>
        <v>169</v>
      </c>
      <c r="M8">
        <f>VLOOKUP(Profile!I3,snap_apps_disp,8,FALSE)</f>
        <v>200</v>
      </c>
      <c r="N8">
        <f>VLOOKUP(Profile!I3,tanf_apps_recvd,8,FALSE)</f>
        <v>23</v>
      </c>
      <c r="O8">
        <f>VLOOKUP(Profile!I3,tanf_apps_disp,8,FALSE)</f>
        <v>26</v>
      </c>
      <c r="P8">
        <f>VLOOKUP(Profile!I3,ma_apps_recvd,8,FALSE)</f>
        <v>164</v>
      </c>
      <c r="Q8">
        <f>VLOOKUP(Profile!I3,ma_apps_disp,8,FALSE)</f>
        <v>126</v>
      </c>
      <c r="R8">
        <f>VLOOKUP(Profile!I3,cc_apps_recvd,8,FALSE)</f>
        <v>12</v>
      </c>
      <c r="S8">
        <f>VLOOKUP(Profile!I3,cc_apps_disp,8,FALSE)</f>
        <v>13</v>
      </c>
    </row>
    <row r="9" spans="1:19" x14ac:dyDescent="0.25">
      <c r="A9">
        <v>2004</v>
      </c>
      <c r="B9" s="1096">
        <f>VLOOKUP(Profile!I3,NMBirths_Trend,48,FALSE)</f>
        <v>0.55463917525773199</v>
      </c>
      <c r="C9" s="1096">
        <f>VLOOKUP(Profile!K3,NMBirths_Trend,48,FALSE)</f>
        <v>0.37898931075437725</v>
      </c>
      <c r="D9" s="1096">
        <f>'NM Births_Trend'!AV5</f>
        <v>0.31002600404507369</v>
      </c>
      <c r="F9">
        <v>2004</v>
      </c>
      <c r="G9" s="1108">
        <f>VLOOKUP(Profile!I3,TeenBirths_Trend,48,FALSE)</f>
        <v>28.974158183241972</v>
      </c>
      <c r="H9" s="1108">
        <f>VLOOKUP(Profile!K3,TeenBirths_Trend,48,FALSE)</f>
        <v>21.586554001015838</v>
      </c>
      <c r="I9" s="1108">
        <f>'Teen Births_Trend'!AV5</f>
        <v>17.707166297187989</v>
      </c>
      <c r="K9" s="1722">
        <v>42705</v>
      </c>
      <c r="L9">
        <f>VLOOKUP(Profile!I3,snap_apps_recvd,9,FALSE)</f>
        <v>143</v>
      </c>
      <c r="M9">
        <f>VLOOKUP(Profile!I3,snap_apps_disp,9,FALSE)</f>
        <v>157</v>
      </c>
      <c r="N9">
        <f>VLOOKUP(Profile!I3,tanf_apps_recvd,9,FALSE)</f>
        <v>22</v>
      </c>
      <c r="O9">
        <f>VLOOKUP(Profile!I3,tanf_apps_disp,9,FALSE)</f>
        <v>19</v>
      </c>
      <c r="P9">
        <f>VLOOKUP(Profile!I3,ma_apps_recvd,9,FALSE)</f>
        <v>187</v>
      </c>
      <c r="Q9">
        <f>VLOOKUP(Profile!I3,ma_apps_disp,9,FALSE)</f>
        <v>128</v>
      </c>
      <c r="R9">
        <f>VLOOKUP(Profile!I3,cc_apps_recvd,9,FALSE)</f>
        <v>5</v>
      </c>
      <c r="S9">
        <f>VLOOKUP(Profile!I3,cc_apps_disp,9,FALSE)</f>
        <v>7</v>
      </c>
    </row>
    <row r="10" spans="1:19" x14ac:dyDescent="0.25">
      <c r="A10">
        <v>2005</v>
      </c>
      <c r="B10" s="1096">
        <f>VLOOKUP(Profile!I3,NMBirths_Trend,49,FALSE)</f>
        <v>0.59023354564755837</v>
      </c>
      <c r="C10" s="1096">
        <f>VLOOKUP(Profile!K3,NMBirths_Trend,49,FALSE)</f>
        <v>0.38483135114057321</v>
      </c>
      <c r="D10" s="1096">
        <f>'NM Births_Trend'!AW5</f>
        <v>0.32234323558686168</v>
      </c>
      <c r="F10">
        <v>2005</v>
      </c>
      <c r="G10" s="1108">
        <f>VLOOKUP(Profile!I3,TeenBirths_Trend,49,FALSE)</f>
        <v>34.194831013916499</v>
      </c>
      <c r="H10" s="1108">
        <f>VLOOKUP(Profile!K3,TeenBirths_Trend,49,FALSE)</f>
        <v>21.111042222084446</v>
      </c>
      <c r="I10" s="1108">
        <f>'Teen Births_Trend'!AW5</f>
        <v>17.591687162315662</v>
      </c>
      <c r="K10" s="1722">
        <v>42736</v>
      </c>
      <c r="L10">
        <f>VLOOKUP(Profile!I3,snap_apps_recvd,10,FALSE)</f>
        <v>149</v>
      </c>
      <c r="M10">
        <f>VLOOKUP(Profile!I3,snap_apps_disp,10,FALSE)</f>
        <v>147</v>
      </c>
      <c r="N10">
        <f>VLOOKUP(Profile!I3,tanf_apps_recvd,10,FALSE)</f>
        <v>14</v>
      </c>
      <c r="O10">
        <f>VLOOKUP(Profile!I3,tanf_apps_disp,10,FALSE)</f>
        <v>26</v>
      </c>
      <c r="P10">
        <f>VLOOKUP(Profile!I3,ma_apps_recvd,10,FALSE)</f>
        <v>166</v>
      </c>
      <c r="Q10">
        <f>VLOOKUP(Profile!I3,ma_apps_disp,10,FALSE)</f>
        <v>162</v>
      </c>
      <c r="R10">
        <f>VLOOKUP(Profile!I3,cc_apps_recvd,10,FALSE)</f>
        <v>1</v>
      </c>
      <c r="S10">
        <f>VLOOKUP(Profile!I3,cc_apps_disp,10,FALSE)</f>
        <v>1</v>
      </c>
    </row>
    <row r="11" spans="1:19" x14ac:dyDescent="0.25">
      <c r="A11">
        <v>2006</v>
      </c>
      <c r="B11" s="1096">
        <f>VLOOKUP(Profile!I3,NMBirths_Trend,50,FALSE)</f>
        <v>0.65638766519823788</v>
      </c>
      <c r="C11" s="1096">
        <f>VLOOKUP(Profile!K3,NMBirths_Trend,50,FALSE)</f>
        <v>0.39784905228633538</v>
      </c>
      <c r="D11" s="1096">
        <f>'NM Births_Trend'!AX5</f>
        <v>0.34083438210267297</v>
      </c>
      <c r="F11">
        <v>2006</v>
      </c>
      <c r="G11" s="1108">
        <f>VLOOKUP(Profile!I3,TeenBirths_Trend,50,FALSE)</f>
        <v>32.271241830065364</v>
      </c>
      <c r="H11" s="1108">
        <f>VLOOKUP(Profile!K3,TeenBirths_Trend,50,FALSE)</f>
        <v>21.461512562932111</v>
      </c>
      <c r="I11" s="1108">
        <f>'Teen Births_Trend'!AX5</f>
        <v>18.306180625228926</v>
      </c>
      <c r="K11" s="1722">
        <v>42767</v>
      </c>
      <c r="L11">
        <f>VLOOKUP(Profile!I3,snap_apps_recvd,11,FALSE)</f>
        <v>127</v>
      </c>
      <c r="M11">
        <f>VLOOKUP(Profile!I3,snap_apps_disp,11,FALSE)</f>
        <v>129</v>
      </c>
      <c r="N11">
        <f>VLOOKUP(Profile!I3,tanf_apps_recvd,11,FALSE)</f>
        <v>13</v>
      </c>
      <c r="O11">
        <f>VLOOKUP(Profile!I3,tanf_apps_disp,11,FALSE)</f>
        <v>13</v>
      </c>
      <c r="P11">
        <f>VLOOKUP(Profile!I3,ma_apps_recvd,11,FALSE)</f>
        <v>145</v>
      </c>
      <c r="Q11">
        <f>VLOOKUP(Profile!I3,ma_apps_disp,11,FALSE)</f>
        <v>136</v>
      </c>
      <c r="R11">
        <f>VLOOKUP(Profile!I3,cc_apps_recvd,11,FALSE)</f>
        <v>13</v>
      </c>
      <c r="S11">
        <f>VLOOKUP(Profile!I3,cc_apps_disp,11,FALSE)</f>
        <v>8</v>
      </c>
    </row>
    <row r="12" spans="1:19" x14ac:dyDescent="0.25">
      <c r="A12">
        <v>2007</v>
      </c>
      <c r="B12" s="1096">
        <f>VLOOKUP(Profile!I3,NMBirths_Trend,51,FALSE)</f>
        <v>0.62204724409448819</v>
      </c>
      <c r="C12" s="1096">
        <f>VLOOKUP(Profile!K3,NMBirths_Trend,51,FALSE)</f>
        <v>0.40717948717948715</v>
      </c>
      <c r="D12" s="1096">
        <f>'NM Births_Trend'!AY5</f>
        <v>0.35309038250458874</v>
      </c>
      <c r="F12">
        <v>2007</v>
      </c>
      <c r="G12" s="1108">
        <f>VLOOKUP(Profile!I3,TeenBirths_Trend,51,FALSE)</f>
        <v>37.663986457892513</v>
      </c>
      <c r="H12" s="1108">
        <f>VLOOKUP(Profile!K3,TeenBirths_Trend,51,FALSE)</f>
        <v>21.50318710748461</v>
      </c>
      <c r="I12" s="1108">
        <f>'Teen Births_Trend'!AY5</f>
        <v>18.39683066850121</v>
      </c>
      <c r="K12" s="1722">
        <v>42795</v>
      </c>
      <c r="L12">
        <f>VLOOKUP(Profile!I3,snap_apps_recvd,12,FALSE)</f>
        <v>125</v>
      </c>
      <c r="M12">
        <f>VLOOKUP(Profile!I3,snap_apps_disp,12,FALSE)</f>
        <v>118</v>
      </c>
      <c r="N12">
        <f>VLOOKUP(Profile!I3,tanf_apps_recvd,12,FALSE)</f>
        <v>32</v>
      </c>
      <c r="O12">
        <f>VLOOKUP(Profile!I3,tanf_apps_disp,12,FALSE)</f>
        <v>21</v>
      </c>
      <c r="P12">
        <f>VLOOKUP(Profile!I3,ma_apps_recvd,12,FALSE)</f>
        <v>159</v>
      </c>
      <c r="Q12">
        <f>VLOOKUP(Profile!I3,ma_apps_disp,12,FALSE)</f>
        <v>175</v>
      </c>
      <c r="R12">
        <f>VLOOKUP(Profile!I3,cc_apps_recvd,12,FALSE)</f>
        <v>5</v>
      </c>
      <c r="S12">
        <f>VLOOKUP(Profile!I3,cc_apps_disp,12,FALSE)</f>
        <v>7</v>
      </c>
    </row>
    <row r="13" spans="1:19" x14ac:dyDescent="0.25">
      <c r="A13">
        <v>2008</v>
      </c>
      <c r="B13" s="1096">
        <f>VLOOKUP(Profile!I3,NMBirths_Trend,52,FALSE)</f>
        <v>0.61814345991561181</v>
      </c>
      <c r="C13" s="1096">
        <f>VLOOKUP(Profile!K3,NMBirths_Trend,52,FALSE)</f>
        <v>0.42314872433105166</v>
      </c>
      <c r="D13" s="1096">
        <f>'NM Births_Trend'!AZ5</f>
        <v>0.35843232186755242</v>
      </c>
      <c r="F13">
        <v>2008</v>
      </c>
      <c r="G13" s="1108">
        <f>VLOOKUP(Profile!I3,TeenBirths_Trend,52,FALSE)</f>
        <v>32.77274687365243</v>
      </c>
      <c r="H13" s="1108">
        <f>VLOOKUP(Profile!K3,TeenBirths_Trend,52,FALSE)</f>
        <v>20.230346309403437</v>
      </c>
      <c r="I13" s="1108">
        <f>'Teen Births_Trend'!AZ5</f>
        <v>17.690427455734188</v>
      </c>
      <c r="K13" s="1722">
        <v>42826</v>
      </c>
      <c r="L13">
        <f>VLOOKUP(Profile!I3,snap_apps_recvd,13,FALSE)</f>
        <v>122</v>
      </c>
      <c r="M13">
        <f>VLOOKUP(Profile!I3,snap_apps_disp,13,FALSE)</f>
        <v>129</v>
      </c>
      <c r="N13">
        <f>VLOOKUP(Profile!I3,tanf_apps_recvd,13,FALSE)</f>
        <v>22</v>
      </c>
      <c r="O13">
        <f>VLOOKUP(Profile!I3,tanf_apps_disp,13,FALSE)</f>
        <v>26</v>
      </c>
      <c r="P13">
        <f>VLOOKUP(Profile!I3,ma_apps_recvd,13,FALSE)</f>
        <v>151</v>
      </c>
      <c r="Q13">
        <f>VLOOKUP(Profile!I3,ma_apps_disp,13,FALSE)</f>
        <v>187</v>
      </c>
      <c r="R13">
        <f>VLOOKUP(Profile!I3,cc_apps_recvd,13,FALSE)</f>
        <v>2</v>
      </c>
      <c r="S13">
        <f>VLOOKUP(Profile!I3,cc_apps_disp,13,FALSE)</f>
        <v>7</v>
      </c>
    </row>
    <row r="14" spans="1:19" x14ac:dyDescent="0.25">
      <c r="A14">
        <v>2009</v>
      </c>
      <c r="B14" s="1096">
        <f>VLOOKUP(Profile!I3,NMBirths_Trend,53,FALSE)</f>
        <v>0.62383177570093462</v>
      </c>
      <c r="C14" s="1096">
        <f>VLOOKUP(Profile!K3,NMBirths_Trend,53,FALSE)</f>
        <v>0.42440128678660788</v>
      </c>
      <c r="D14" s="1096">
        <f>'NM Births_Trend'!BA5</f>
        <v>0.35824307718686593</v>
      </c>
      <c r="F14">
        <v>2009</v>
      </c>
      <c r="G14" s="1108">
        <f>VLOOKUP(Profile!I3,TeenBirths_Trend,53,FALSE)</f>
        <v>21.557413110426747</v>
      </c>
      <c r="H14" s="1108">
        <f>VLOOKUP(Profile!K3,TeenBirths_Trend,53,FALSE)</f>
        <v>19.306958769150995</v>
      </c>
      <c r="I14" s="1108">
        <f>'Teen Births_Trend'!BA5</f>
        <v>16.372318054611284</v>
      </c>
      <c r="K14" s="1722">
        <v>42856</v>
      </c>
      <c r="L14">
        <f>VLOOKUP(Profile!I3,snap_apps_recvd,14,FALSE)</f>
        <v>145</v>
      </c>
      <c r="M14">
        <f>VLOOKUP(Profile!I3,snap_apps_disp,14,FALSE)</f>
        <v>151</v>
      </c>
      <c r="N14">
        <f>VLOOKUP(Profile!I3,tanf_apps_recvd,14,FALSE)</f>
        <v>17</v>
      </c>
      <c r="O14">
        <f>VLOOKUP(Profile!I3,tanf_apps_disp,14,FALSE)</f>
        <v>23</v>
      </c>
      <c r="P14">
        <f>VLOOKUP(Profile!I3,ma_apps_recvd,14,FALSE)</f>
        <v>138</v>
      </c>
      <c r="Q14">
        <f>VLOOKUP(Profile!I3,ma_apps_disp,14,FALSE)</f>
        <v>161</v>
      </c>
      <c r="R14">
        <f>VLOOKUP(Profile!I3,cc_apps_recvd,14,FALSE)</f>
        <v>9</v>
      </c>
      <c r="S14">
        <f>VLOOKUP(Profile!I3,cc_apps_disp,14,FALSE)</f>
        <v>5</v>
      </c>
    </row>
    <row r="15" spans="1:19" x14ac:dyDescent="0.25">
      <c r="A15">
        <v>2010</v>
      </c>
      <c r="B15" s="1096">
        <f>VLOOKUP(Profile!I3,NMBirths_Trend,54,FALSE)</f>
        <v>0.5889145496535797</v>
      </c>
      <c r="C15" s="1096">
        <f>VLOOKUP(Profile!K3,NMBirths_Trend,54,FALSE)</f>
        <v>0.42288821653446723</v>
      </c>
      <c r="D15" s="1096">
        <f>'NM Births_Trend'!BB5</f>
        <v>0.35490702780422406</v>
      </c>
      <c r="F15">
        <v>2010</v>
      </c>
      <c r="G15" s="1108">
        <f>VLOOKUP(Profile!I3,TeenBirths_Trend,54,FALSE)</f>
        <v>29.168959823885526</v>
      </c>
      <c r="H15" s="1108">
        <f>VLOOKUP(Profile!K3,TeenBirths_Trend,54,FALSE)</f>
        <v>17.725513398910337</v>
      </c>
      <c r="I15" s="1108">
        <f>'Teen Births_Trend'!BB5</f>
        <v>14.340618588477803</v>
      </c>
      <c r="K15" s="1722">
        <v>42887</v>
      </c>
      <c r="L15">
        <f>VLOOKUP(Profile!I3,snap_apps_recvd,15,FALSE)</f>
        <v>151</v>
      </c>
      <c r="M15">
        <f>VLOOKUP(Profile!I3,snap_apps_disp,15,FALSE)</f>
        <v>158</v>
      </c>
      <c r="N15">
        <f>VLOOKUP(Profile!I3,tanf_apps_recvd,15,FALSE)</f>
        <v>22</v>
      </c>
      <c r="O15">
        <f>VLOOKUP(Profile!I3,tanf_apps_disp,15,FALSE)</f>
        <v>18</v>
      </c>
      <c r="P15">
        <f>VLOOKUP(Profile!I3,ma_apps_recvd,15,FALSE)</f>
        <v>137</v>
      </c>
      <c r="Q15">
        <f>VLOOKUP(Profile!I3,ma_apps_disp,15,FALSE)</f>
        <v>186</v>
      </c>
      <c r="R15">
        <f>VLOOKUP(Profile!I3,cc_apps_recvd,15,FALSE)</f>
        <v>5</v>
      </c>
      <c r="S15">
        <f>VLOOKUP(Profile!I3,cc_apps_disp,15,FALSE)</f>
        <v>5</v>
      </c>
    </row>
    <row r="16" spans="1:19" x14ac:dyDescent="0.25">
      <c r="A16">
        <v>2011</v>
      </c>
      <c r="B16" s="1096">
        <f>VLOOKUP(Profile!I3,NMBirths_Trend,55,FALSE)</f>
        <v>0.57740585774058573</v>
      </c>
      <c r="C16" s="1096">
        <f>VLOOKUP(Profile!K3,NMBirths_Trend,55,FALSE)</f>
        <v>0.42436647971506941</v>
      </c>
      <c r="D16" s="1096">
        <f>'NM Births_Trend'!BC5</f>
        <v>0.35493782004389174</v>
      </c>
      <c r="F16">
        <v>2011</v>
      </c>
      <c r="G16" s="1108">
        <f>VLOOKUP(Profile!I3,TeenBirths_Trend,55,FALSE)</f>
        <v>23.982152816508645</v>
      </c>
      <c r="H16" s="1108">
        <f>VLOOKUP(Profile!K3,TeenBirths_Trend,55,FALSE)</f>
        <v>15.679046633170904</v>
      </c>
      <c r="I16" s="1108">
        <f>'Teen Births_Trend'!BC5</f>
        <v>12.702167795404645</v>
      </c>
      <c r="K16" s="1722">
        <v>42917</v>
      </c>
      <c r="L16">
        <f>VLOOKUP(Profile!I3,snap_apps_recvd,16,FALSE)</f>
        <v>140</v>
      </c>
      <c r="M16">
        <f>VLOOKUP(Profile!I3,snap_apps_disp,16,FALSE)</f>
        <v>116</v>
      </c>
      <c r="N16">
        <f>VLOOKUP(Profile!I3,tanf_apps_recvd,16,FALSE)</f>
        <v>32</v>
      </c>
      <c r="O16">
        <f>VLOOKUP(Profile!I3,tanf_apps_disp,16,FALSE)</f>
        <v>24</v>
      </c>
      <c r="P16">
        <f>VLOOKUP(Profile!I3,ma_apps_recvd,16,FALSE)</f>
        <v>131</v>
      </c>
      <c r="Q16">
        <f>VLOOKUP(Profile!I3,ma_apps_disp,16,FALSE)</f>
        <v>144</v>
      </c>
      <c r="R16">
        <f>VLOOKUP(Profile!I3,cc_apps_recvd,16,FALSE)</f>
        <v>8</v>
      </c>
      <c r="S16">
        <f>VLOOKUP(Profile!I3,cc_apps_disp,16,FALSE)</f>
        <v>7</v>
      </c>
    </row>
    <row r="17" spans="1:19" x14ac:dyDescent="0.25">
      <c r="A17">
        <v>2012</v>
      </c>
      <c r="B17" s="1096">
        <f>VLOOKUP(Profile!I3,NMBirths_Trend,56,FALSE)</f>
        <v>0.56060606060606055</v>
      </c>
      <c r="C17" s="1096">
        <f>VLOOKUP(Profile!K3,NMBirths_Trend,56,FALSE)</f>
        <v>0.42346055560135193</v>
      </c>
      <c r="D17" s="1096">
        <f>'NM Births_Trend'!BD5</f>
        <v>0.35279298907704426</v>
      </c>
      <c r="F17">
        <v>2012</v>
      </c>
      <c r="G17" s="1108">
        <f>VLOOKUP(Profile!I3,TeenBirths_Trend,56,FALSE)</f>
        <v>18.212862834376779</v>
      </c>
      <c r="H17" s="1108">
        <f>VLOOKUP(Profile!K3,TeenBirths_Trend,56,FALSE)</f>
        <v>14.462774596119328</v>
      </c>
      <c r="I17" s="1108">
        <f>'Teen Births_Trend'!BD5</f>
        <v>11.846432840922917</v>
      </c>
      <c r="K17" s="1722">
        <v>42948</v>
      </c>
      <c r="L17">
        <f>VLOOKUP(Profile!I3,snap_apps_recvd,17,FALSE)</f>
        <v>133</v>
      </c>
      <c r="M17">
        <f>VLOOKUP(Profile!I3,snap_apps_disp,17,FALSE)</f>
        <v>142</v>
      </c>
      <c r="N17">
        <f>VLOOKUP(Profile!I3,tanf_apps_recvd,17,FALSE)</f>
        <v>28</v>
      </c>
      <c r="O17">
        <f>VLOOKUP(Profile!I3,tanf_apps_disp,17,FALSE)</f>
        <v>33</v>
      </c>
      <c r="P17">
        <f>VLOOKUP(Profile!I3,ma_apps_recvd,17,FALSE)</f>
        <v>181</v>
      </c>
      <c r="Q17">
        <f>VLOOKUP(Profile!I3,ma_apps_disp,17,FALSE)</f>
        <v>164</v>
      </c>
      <c r="R17">
        <f>VLOOKUP(Profile!I3,cc_apps_recvd,17,FALSE)</f>
        <v>4</v>
      </c>
      <c r="S17">
        <f>VLOOKUP(Profile!I3,cc_apps_disp,17,FALSE)</f>
        <v>8</v>
      </c>
    </row>
    <row r="18" spans="1:19" x14ac:dyDescent="0.25">
      <c r="A18">
        <v>2013</v>
      </c>
      <c r="B18" s="1096">
        <f>VLOOKUP(Profile!I3,NMBirths_Trend,57,FALSE)</f>
        <v>0.57622739018087854</v>
      </c>
      <c r="C18" s="1096">
        <f>VLOOKUP(Profile!K3,NMBirths_Trend,57,FALSE)</f>
        <v>0.40568625820932747</v>
      </c>
      <c r="D18" s="1096">
        <f>'NM Births_Trend'!BE5</f>
        <v>0.34452917321535986</v>
      </c>
      <c r="F18">
        <v>2013</v>
      </c>
      <c r="G18" s="1108">
        <f>VLOOKUP(Profile!I3,TeenBirths_Trend,57,FALSE)</f>
        <v>13.248847926267281</v>
      </c>
      <c r="H18" s="1108">
        <f>VLOOKUP(Profile!K3,TeenBirths_Trend,57,FALSE)</f>
        <v>12.497467919642778</v>
      </c>
      <c r="I18" s="1108">
        <f>'Teen Births_Trend'!BE5</f>
        <v>10.25553965050911</v>
      </c>
      <c r="K18" s="1722">
        <v>42979</v>
      </c>
      <c r="L18">
        <f>VLOOKUP(Profile!I3,snap_apps_recvd,18,FALSE)</f>
        <v>160</v>
      </c>
      <c r="M18">
        <f>VLOOKUP(Profile!I3,snap_apps_disp,18,FALSE)</f>
        <v>130</v>
      </c>
      <c r="N18">
        <f>VLOOKUP(Profile!I3,tanf_apps_recvd,18,FALSE)</f>
        <v>34</v>
      </c>
      <c r="O18">
        <f>VLOOKUP(Profile!I3,tanf_apps_disp,18,FALSE)</f>
        <v>28</v>
      </c>
      <c r="P18">
        <f>VLOOKUP(Profile!I3,ma_apps_recvd,18,FALSE)</f>
        <v>147</v>
      </c>
      <c r="Q18">
        <f>VLOOKUP(Profile!I3,ma_apps_disp,18,FALSE)</f>
        <v>146</v>
      </c>
      <c r="R18">
        <f>VLOOKUP(Profile!I3,cc_apps_recvd,18,FALSE)</f>
        <v>2</v>
      </c>
      <c r="S18">
        <f>VLOOKUP(Profile!I3,cc_apps_disp,18,FALSE)</f>
        <v>2</v>
      </c>
    </row>
    <row r="19" spans="1:19" x14ac:dyDescent="0.25">
      <c r="A19">
        <v>2014</v>
      </c>
      <c r="B19" s="1096">
        <f>VLOOKUP(Profile!I3,NMBirths_Trend,58,FALSE)</f>
        <v>0.55585106382978722</v>
      </c>
      <c r="C19" s="1096">
        <f>VLOOKUP(Profile!K3,NMBirths_Trend,58,FALSE)</f>
        <v>0.39805019705455302</v>
      </c>
      <c r="D19" s="1096">
        <f>'NM Births_Trend'!BF5</f>
        <v>0.340045722068194</v>
      </c>
      <c r="F19">
        <v>2014</v>
      </c>
      <c r="G19" s="1542">
        <f>VLOOKUP(Profile!I3,TeenBirths_Trend,58,FALSE)</f>
        <v>17.793594306049823</v>
      </c>
      <c r="H19" s="1108">
        <f>VLOOKUP(Profile!K3,TeenBirths_Trend,58,FALSE)</f>
        <v>10.34276433883238</v>
      </c>
      <c r="I19" s="1108">
        <f>'Teen Births_Trend'!BF5</f>
        <v>9.405709207785387</v>
      </c>
      <c r="K19" s="1722">
        <v>43009</v>
      </c>
      <c r="L19">
        <f>VLOOKUP(Profile!I3,snap_apps_recvd,19,FALSE)</f>
        <v>153</v>
      </c>
      <c r="M19">
        <f>VLOOKUP(Profile!I3,snap_apps_disp,19,FALSE)</f>
        <v>153</v>
      </c>
      <c r="N19">
        <f>VLOOKUP(Profile!I3,tanf_apps_recvd,19,FALSE)</f>
        <v>18</v>
      </c>
      <c r="O19">
        <f>VLOOKUP(Profile!I3,tanf_apps_disp,19,FALSE)</f>
        <v>30</v>
      </c>
      <c r="P19">
        <f>VLOOKUP(Profile!I3,ma_apps_recvd,19,FALSE)</f>
        <v>135</v>
      </c>
      <c r="Q19">
        <f>VLOOKUP(Profile!I3,ma_apps_disp,19,FALSE)</f>
        <v>147</v>
      </c>
      <c r="R19">
        <f>VLOOKUP(Profile!I3,cc_apps_recvd,19,FALSE)</f>
        <v>8</v>
      </c>
      <c r="S19">
        <f>VLOOKUP(Profile!I3,cc_apps_disp,19,FALSE)</f>
        <v>6</v>
      </c>
    </row>
    <row r="20" spans="1:19" x14ac:dyDescent="0.25">
      <c r="A20">
        <v>2015</v>
      </c>
      <c r="B20" s="1096">
        <f>VLOOKUP(Profile!I3,NMBirths_Trend,59,FALSE)</f>
        <v>0.57622739018087854</v>
      </c>
      <c r="C20" s="1096">
        <f>VLOOKUP(Profile!K3,NMBirths_Trend,59,FALSE)</f>
        <v>0.40568625820932747</v>
      </c>
      <c r="D20" s="1096">
        <f>'NM Births_Trend'!BG5</f>
        <v>0.34452917321535986</v>
      </c>
      <c r="F20">
        <v>2015</v>
      </c>
      <c r="G20" s="1542">
        <f>VLOOKUP(Profile!I3,TeenBirths_Trend,59,FALSE)</f>
        <v>14.979029358897543</v>
      </c>
      <c r="H20" s="1542">
        <f>VLOOKUP(Profile!K3,TeenBirths_Trend,59,FALSE)</f>
        <v>10.234008261187393</v>
      </c>
      <c r="I20" s="1542">
        <f>'Teen Births_Trend'!BG5</f>
        <v>8.735085092108628</v>
      </c>
      <c r="K20" s="1722">
        <v>43040</v>
      </c>
      <c r="L20">
        <f>VLOOKUP(Profile!I3,snap_apps_recvd,20,FALSE)</f>
        <v>173</v>
      </c>
      <c r="M20">
        <f>VLOOKUP(Profile!I3,snap_apps_disp,20,FALSE)</f>
        <v>141</v>
      </c>
      <c r="N20">
        <f>VLOOKUP(Profile!I3,tanf_apps_recvd,20,FALSE)</f>
        <v>23</v>
      </c>
      <c r="O20">
        <f>VLOOKUP(Profile!I3,tanf_apps_disp,20,FALSE)</f>
        <v>14</v>
      </c>
      <c r="P20">
        <f>VLOOKUP(Profile!I3,ma_apps_recvd,20,FALSE)</f>
        <v>189</v>
      </c>
      <c r="Q20">
        <f>VLOOKUP(Profile!I3,ma_apps_disp,20,FALSE)</f>
        <v>114</v>
      </c>
      <c r="R20">
        <f>VLOOKUP(Profile!I3,cc_apps_recvd,20,FALSE)</f>
        <v>6</v>
      </c>
      <c r="S20">
        <f>VLOOKUP(Profile!I3,cc_apps_disp,20,FALSE)</f>
        <v>3</v>
      </c>
    </row>
    <row r="21" spans="1:19" x14ac:dyDescent="0.25">
      <c r="K21" s="1722">
        <v>43070</v>
      </c>
      <c r="L21">
        <f>VLOOKUP(Profile!I3,snap_apps_recvd,21,FALSE)</f>
        <v>127</v>
      </c>
      <c r="M21">
        <f>VLOOKUP(Profile!I3,snap_apps_disp,21,FALSE)</f>
        <v>173</v>
      </c>
      <c r="N21">
        <f>VLOOKUP(Profile!I3,tanf_apps_recvd,21,FALSE)</f>
        <v>15</v>
      </c>
      <c r="O21">
        <f>VLOOKUP(Profile!I3,tanf_apps_disp,21,FALSE)</f>
        <v>23</v>
      </c>
      <c r="P21">
        <f>VLOOKUP(Profile!I3,ma_apps_recvd,21,FALSE)</f>
        <v>149</v>
      </c>
      <c r="Q21">
        <f>VLOOKUP(Profile!I3,ma_apps_disp,21,FALSE)</f>
        <v>159</v>
      </c>
      <c r="R21">
        <f>VLOOKUP(Profile!I3,cc_apps_recvd,21,FALSE)</f>
        <v>2</v>
      </c>
      <c r="S21">
        <f>VLOOKUP(Profile!I3,cc_apps_disp,21,FALSE)</f>
        <v>7</v>
      </c>
    </row>
  </sheetData>
  <mergeCells count="7">
    <mergeCell ref="R1:S1"/>
    <mergeCell ref="L2:M2"/>
    <mergeCell ref="L1:M1"/>
    <mergeCell ref="N1:O1"/>
    <mergeCell ref="N2:O2"/>
    <mergeCell ref="P1:Q1"/>
    <mergeCell ref="P2:Q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129"/>
  <sheetViews>
    <sheetView zoomScale="87" zoomScaleNormal="87" workbookViewId="0">
      <pane xSplit="3" ySplit="4" topLeftCell="D108" activePane="bottomRight" state="frozen"/>
      <selection pane="topRight" activeCell="D1" sqref="D1"/>
      <selection pane="bottomLeft" activeCell="A5" sqref="A5"/>
      <selection pane="bottomRight" activeCell="J126" sqref="J126"/>
    </sheetView>
  </sheetViews>
  <sheetFormatPr defaultRowHeight="15.75" x14ac:dyDescent="0.25"/>
  <cols>
    <col min="1" max="1" width="9" style="505"/>
    <col min="2" max="2" width="33.375" style="505" customWidth="1"/>
    <col min="3" max="3" width="16.75" style="505" customWidth="1"/>
    <col min="4" max="4" width="7.25" style="505" customWidth="1"/>
    <col min="5" max="6" width="9.125" style="505" bestFit="1" customWidth="1"/>
    <col min="7" max="7" width="9.875" style="505" bestFit="1" customWidth="1"/>
    <col min="8" max="15" width="10.125" style="505" bestFit="1" customWidth="1"/>
    <col min="16" max="21" width="10.125" style="505" customWidth="1"/>
    <col min="22" max="22" width="11.125" style="505" bestFit="1" customWidth="1"/>
    <col min="23" max="23" width="11.125" style="505" customWidth="1"/>
    <col min="24" max="16384" width="9" style="505"/>
  </cols>
  <sheetData>
    <row r="1" spans="1:23" ht="12.75" customHeight="1" x14ac:dyDescent="0.25">
      <c r="A1" s="255" t="s">
        <v>1369</v>
      </c>
    </row>
    <row r="3" spans="1:23" ht="53.25" customHeight="1" x14ac:dyDescent="0.25">
      <c r="A3" s="510" t="s">
        <v>4</v>
      </c>
      <c r="B3" s="567" t="s">
        <v>5</v>
      </c>
      <c r="C3" s="567" t="s">
        <v>251</v>
      </c>
      <c r="D3" s="1675">
        <v>42552</v>
      </c>
      <c r="E3" s="1675">
        <v>42583</v>
      </c>
      <c r="F3" s="1675">
        <v>42614</v>
      </c>
      <c r="G3" s="1675">
        <v>42644</v>
      </c>
      <c r="H3" s="1676">
        <v>42675</v>
      </c>
      <c r="I3" s="1676">
        <v>42705</v>
      </c>
      <c r="J3" s="1676">
        <v>42736</v>
      </c>
      <c r="K3" s="1676">
        <v>42767</v>
      </c>
      <c r="L3" s="1676">
        <v>42795</v>
      </c>
      <c r="M3" s="1676">
        <v>42826</v>
      </c>
      <c r="N3" s="1676">
        <v>42856</v>
      </c>
      <c r="O3" s="1676">
        <v>42887</v>
      </c>
      <c r="P3" s="1676">
        <v>42917</v>
      </c>
      <c r="Q3" s="1676">
        <v>42948</v>
      </c>
      <c r="R3" s="1676">
        <v>42979</v>
      </c>
      <c r="S3" s="1676">
        <v>43009</v>
      </c>
      <c r="T3" s="1676">
        <v>43040</v>
      </c>
      <c r="U3" s="1676">
        <v>43070</v>
      </c>
      <c r="V3" s="1677" t="s">
        <v>1216</v>
      </c>
      <c r="W3" s="1677" t="s">
        <v>1365</v>
      </c>
    </row>
    <row r="4" spans="1:23" x14ac:dyDescent="0.25">
      <c r="A4" s="599">
        <v>999</v>
      </c>
      <c r="B4" s="600" t="s">
        <v>9</v>
      </c>
      <c r="C4" s="600"/>
      <c r="D4" s="1678">
        <f>SUM(D5:D124)</f>
        <v>32</v>
      </c>
      <c r="E4" s="1679">
        <f t="shared" ref="E4:W4" si="0">SUM(E5:E124)</f>
        <v>45</v>
      </c>
      <c r="F4" s="1679">
        <f t="shared" si="0"/>
        <v>582</v>
      </c>
      <c r="G4" s="1679">
        <f t="shared" si="0"/>
        <v>6044</v>
      </c>
      <c r="H4" s="1680">
        <f t="shared" si="0"/>
        <v>5098</v>
      </c>
      <c r="I4" s="1680">
        <f t="shared" si="0"/>
        <v>4475</v>
      </c>
      <c r="J4" s="1680">
        <f t="shared" si="0"/>
        <v>5541</v>
      </c>
      <c r="K4" s="1680">
        <f t="shared" si="0"/>
        <v>3976</v>
      </c>
      <c r="L4" s="1680">
        <f t="shared" si="0"/>
        <v>4952</v>
      </c>
      <c r="M4" s="1680">
        <f t="shared" si="0"/>
        <v>4348</v>
      </c>
      <c r="N4" s="1680">
        <f t="shared" si="0"/>
        <v>5123</v>
      </c>
      <c r="O4" s="1680">
        <f t="shared" si="0"/>
        <v>5011</v>
      </c>
      <c r="P4" s="2357">
        <f t="shared" si="0"/>
        <v>5317</v>
      </c>
      <c r="Q4" s="2357">
        <f t="shared" si="0"/>
        <v>5798</v>
      </c>
      <c r="R4" s="2357">
        <f t="shared" si="0"/>
        <v>5503</v>
      </c>
      <c r="S4" s="2357">
        <f t="shared" si="0"/>
        <v>5251</v>
      </c>
      <c r="T4" s="2357">
        <f t="shared" si="0"/>
        <v>4699</v>
      </c>
      <c r="U4" s="2357">
        <f t="shared" si="0"/>
        <v>3898</v>
      </c>
      <c r="V4" s="1680">
        <f t="shared" si="0"/>
        <v>45227</v>
      </c>
      <c r="W4" s="2357">
        <f t="shared" si="0"/>
        <v>59417</v>
      </c>
    </row>
    <row r="5" spans="1:23" x14ac:dyDescent="0.25">
      <c r="A5" s="512" t="s">
        <v>10</v>
      </c>
      <c r="B5" s="569" t="s">
        <v>11</v>
      </c>
      <c r="C5" s="569" t="s">
        <v>264</v>
      </c>
      <c r="D5" s="268"/>
      <c r="E5" s="268"/>
      <c r="F5" s="268">
        <v>3</v>
      </c>
      <c r="G5" s="268">
        <v>24</v>
      </c>
      <c r="H5" s="268">
        <v>23</v>
      </c>
      <c r="I5" s="268">
        <v>22</v>
      </c>
      <c r="J5" s="268">
        <v>14</v>
      </c>
      <c r="K5" s="268">
        <v>13</v>
      </c>
      <c r="L5" s="268">
        <v>32</v>
      </c>
      <c r="M5" s="268">
        <v>22</v>
      </c>
      <c r="N5" s="268">
        <v>17</v>
      </c>
      <c r="O5" s="268">
        <v>22</v>
      </c>
      <c r="P5" s="268">
        <v>32</v>
      </c>
      <c r="Q5" s="268">
        <v>28</v>
      </c>
      <c r="R5" s="268">
        <v>34</v>
      </c>
      <c r="S5" s="268">
        <v>18</v>
      </c>
      <c r="T5" s="268">
        <v>23</v>
      </c>
      <c r="U5" s="268">
        <v>15</v>
      </c>
      <c r="V5" s="268">
        <f>SUM(D5:O5)</f>
        <v>192</v>
      </c>
      <c r="W5" s="268">
        <f>SUM(J5:U5)</f>
        <v>270</v>
      </c>
    </row>
    <row r="6" spans="1:23" x14ac:dyDescent="0.25">
      <c r="A6" s="513" t="s">
        <v>12</v>
      </c>
      <c r="B6" s="603" t="s">
        <v>13</v>
      </c>
      <c r="C6" s="603" t="s">
        <v>265</v>
      </c>
      <c r="D6" s="268"/>
      <c r="E6" s="268"/>
      <c r="F6" s="268">
        <v>22</v>
      </c>
      <c r="G6" s="268">
        <v>31</v>
      </c>
      <c r="H6" s="268">
        <v>37</v>
      </c>
      <c r="I6" s="268">
        <v>23</v>
      </c>
      <c r="J6" s="268">
        <v>46</v>
      </c>
      <c r="K6" s="268">
        <v>29</v>
      </c>
      <c r="L6" s="268">
        <v>30</v>
      </c>
      <c r="M6" s="268">
        <v>30</v>
      </c>
      <c r="N6" s="268">
        <v>29</v>
      </c>
      <c r="O6" s="268">
        <v>32</v>
      </c>
      <c r="P6" s="268">
        <v>27</v>
      </c>
      <c r="Q6" s="268">
        <v>43</v>
      </c>
      <c r="R6" s="268">
        <v>28</v>
      </c>
      <c r="S6" s="268">
        <v>38</v>
      </c>
      <c r="T6" s="268">
        <v>36</v>
      </c>
      <c r="U6" s="268">
        <v>27</v>
      </c>
      <c r="V6" s="268">
        <f>SUM(D6:O6)</f>
        <v>309</v>
      </c>
      <c r="W6" s="268">
        <f>SUM(J6:U6)</f>
        <v>395</v>
      </c>
    </row>
    <row r="7" spans="1:23" x14ac:dyDescent="0.25">
      <c r="A7" s="513" t="s">
        <v>16</v>
      </c>
      <c r="B7" s="603" t="s">
        <v>297</v>
      </c>
      <c r="C7" s="603" t="s">
        <v>265</v>
      </c>
      <c r="D7" s="268"/>
      <c r="E7" s="268"/>
      <c r="F7" s="268">
        <v>2</v>
      </c>
      <c r="G7" s="268">
        <v>18</v>
      </c>
      <c r="H7" s="268">
        <v>16</v>
      </c>
      <c r="I7" s="268">
        <v>8</v>
      </c>
      <c r="J7" s="268">
        <v>12</v>
      </c>
      <c r="K7" s="268">
        <v>9</v>
      </c>
      <c r="L7" s="268">
        <v>12</v>
      </c>
      <c r="M7" s="268">
        <v>11</v>
      </c>
      <c r="N7" s="268">
        <v>12</v>
      </c>
      <c r="O7" s="268">
        <v>12</v>
      </c>
      <c r="P7" s="268">
        <v>13</v>
      </c>
      <c r="Q7" s="268">
        <v>19</v>
      </c>
      <c r="R7" s="268">
        <v>11</v>
      </c>
      <c r="S7" s="268">
        <v>16</v>
      </c>
      <c r="T7" s="268">
        <v>16</v>
      </c>
      <c r="U7" s="268">
        <v>13</v>
      </c>
      <c r="V7" s="268">
        <f>SUM(D7:O7)</f>
        <v>112</v>
      </c>
      <c r="W7" s="268">
        <f>SUM(J7:U7)</f>
        <v>156</v>
      </c>
    </row>
    <row r="8" spans="1:23" x14ac:dyDescent="0.25">
      <c r="A8" s="513" t="s">
        <v>18</v>
      </c>
      <c r="B8" s="603" t="s">
        <v>19</v>
      </c>
      <c r="C8" s="603" t="s">
        <v>266</v>
      </c>
      <c r="D8" s="268"/>
      <c r="E8" s="268"/>
      <c r="F8" s="268"/>
      <c r="G8" s="268">
        <v>9</v>
      </c>
      <c r="H8" s="268">
        <v>16</v>
      </c>
      <c r="I8" s="268">
        <v>3</v>
      </c>
      <c r="J8" s="268">
        <v>5</v>
      </c>
      <c r="K8" s="268">
        <v>2</v>
      </c>
      <c r="L8" s="268">
        <v>5</v>
      </c>
      <c r="M8" s="268">
        <v>4</v>
      </c>
      <c r="N8" s="268">
        <v>8</v>
      </c>
      <c r="O8" s="268">
        <v>10</v>
      </c>
      <c r="P8" s="268">
        <v>7</v>
      </c>
      <c r="Q8" s="268">
        <v>9</v>
      </c>
      <c r="R8" s="268">
        <v>9</v>
      </c>
      <c r="S8" s="268">
        <v>7</v>
      </c>
      <c r="T8" s="268">
        <v>8</v>
      </c>
      <c r="U8" s="268">
        <v>8</v>
      </c>
      <c r="V8" s="268">
        <f>SUM(D8:O8)</f>
        <v>62</v>
      </c>
      <c r="W8" s="268">
        <f>SUM(J8:U8)</f>
        <v>82</v>
      </c>
    </row>
    <row r="9" spans="1:23" x14ac:dyDescent="0.25">
      <c r="A9" s="513" t="s">
        <v>20</v>
      </c>
      <c r="B9" s="603" t="s">
        <v>21</v>
      </c>
      <c r="C9" s="603" t="s">
        <v>265</v>
      </c>
      <c r="D9" s="268"/>
      <c r="E9" s="268"/>
      <c r="F9" s="268">
        <v>1</v>
      </c>
      <c r="G9" s="268">
        <v>20</v>
      </c>
      <c r="H9" s="268">
        <v>9</v>
      </c>
      <c r="I9" s="268">
        <v>17</v>
      </c>
      <c r="J9" s="268">
        <v>21</v>
      </c>
      <c r="K9" s="268">
        <v>7</v>
      </c>
      <c r="L9" s="268">
        <v>14</v>
      </c>
      <c r="M9" s="268">
        <v>12</v>
      </c>
      <c r="N9" s="268">
        <v>7</v>
      </c>
      <c r="O9" s="268">
        <v>16</v>
      </c>
      <c r="P9" s="268">
        <v>19</v>
      </c>
      <c r="Q9" s="268">
        <v>17</v>
      </c>
      <c r="R9" s="268">
        <v>16</v>
      </c>
      <c r="S9" s="268">
        <v>32</v>
      </c>
      <c r="T9" s="268">
        <v>22</v>
      </c>
      <c r="U9" s="268">
        <v>9</v>
      </c>
      <c r="V9" s="268">
        <f>SUM(D9:O9)</f>
        <v>124</v>
      </c>
      <c r="W9" s="268">
        <f>SUM(J9:U9)</f>
        <v>192</v>
      </c>
    </row>
    <row r="10" spans="1:23" x14ac:dyDescent="0.25">
      <c r="A10" s="513" t="s">
        <v>22</v>
      </c>
      <c r="B10" s="603" t="s">
        <v>23</v>
      </c>
      <c r="C10" s="603" t="s">
        <v>265</v>
      </c>
      <c r="D10" s="268"/>
      <c r="E10" s="268"/>
      <c r="F10" s="268">
        <v>2</v>
      </c>
      <c r="G10" s="268">
        <v>7</v>
      </c>
      <c r="H10" s="268">
        <v>9</v>
      </c>
      <c r="I10" s="268">
        <v>2</v>
      </c>
      <c r="J10" s="268">
        <v>4</v>
      </c>
      <c r="K10" s="268">
        <v>5</v>
      </c>
      <c r="L10" s="268">
        <v>11</v>
      </c>
      <c r="M10" s="268">
        <v>9</v>
      </c>
      <c r="N10" s="268">
        <v>10</v>
      </c>
      <c r="O10" s="268">
        <v>10</v>
      </c>
      <c r="P10" s="268">
        <v>13</v>
      </c>
      <c r="Q10" s="268">
        <v>14</v>
      </c>
      <c r="R10" s="268">
        <v>16</v>
      </c>
      <c r="S10" s="268">
        <v>14</v>
      </c>
      <c r="T10" s="268">
        <v>9</v>
      </c>
      <c r="U10" s="268">
        <v>8</v>
      </c>
      <c r="V10" s="268">
        <f>SUM(D10:O10)</f>
        <v>69</v>
      </c>
      <c r="W10" s="268">
        <f>SUM(J10:U10)</f>
        <v>123</v>
      </c>
    </row>
    <row r="11" spans="1:23" x14ac:dyDescent="0.25">
      <c r="A11" s="513" t="s">
        <v>24</v>
      </c>
      <c r="B11" s="603" t="s">
        <v>25</v>
      </c>
      <c r="C11" s="603" t="s">
        <v>267</v>
      </c>
      <c r="D11" s="268"/>
      <c r="E11" s="268"/>
      <c r="F11" s="268">
        <v>11</v>
      </c>
      <c r="G11" s="268">
        <v>33</v>
      </c>
      <c r="H11" s="268">
        <v>42</v>
      </c>
      <c r="I11" s="268">
        <v>28</v>
      </c>
      <c r="J11" s="268">
        <v>38</v>
      </c>
      <c r="K11" s="268">
        <v>32</v>
      </c>
      <c r="L11" s="268">
        <v>31</v>
      </c>
      <c r="M11" s="268">
        <v>29</v>
      </c>
      <c r="N11" s="268">
        <v>41</v>
      </c>
      <c r="O11" s="268">
        <v>30</v>
      </c>
      <c r="P11" s="268">
        <v>41</v>
      </c>
      <c r="Q11" s="268">
        <v>48</v>
      </c>
      <c r="R11" s="268">
        <v>55</v>
      </c>
      <c r="S11" s="268">
        <v>36</v>
      </c>
      <c r="T11" s="268">
        <v>42</v>
      </c>
      <c r="U11" s="268">
        <v>38</v>
      </c>
      <c r="V11" s="268">
        <f>SUM(D11:O11)</f>
        <v>315</v>
      </c>
      <c r="W11" s="268">
        <f>SUM(J11:U11)</f>
        <v>461</v>
      </c>
    </row>
    <row r="12" spans="1:23" x14ac:dyDescent="0.25">
      <c r="A12" s="513" t="s">
        <v>26</v>
      </c>
      <c r="B12" s="603" t="s">
        <v>685</v>
      </c>
      <c r="C12" s="603" t="s">
        <v>265</v>
      </c>
      <c r="D12" s="268"/>
      <c r="E12" s="268"/>
      <c r="F12" s="268">
        <v>7</v>
      </c>
      <c r="G12" s="268">
        <v>101</v>
      </c>
      <c r="H12" s="268">
        <v>81</v>
      </c>
      <c r="I12" s="268">
        <v>73</v>
      </c>
      <c r="J12" s="268">
        <v>102</v>
      </c>
      <c r="K12" s="268">
        <v>65</v>
      </c>
      <c r="L12" s="268">
        <v>70</v>
      </c>
      <c r="M12" s="268">
        <v>59</v>
      </c>
      <c r="N12" s="268">
        <v>100</v>
      </c>
      <c r="O12" s="268">
        <v>89</v>
      </c>
      <c r="P12" s="268">
        <v>104</v>
      </c>
      <c r="Q12" s="268">
        <v>116</v>
      </c>
      <c r="R12" s="268">
        <v>100</v>
      </c>
      <c r="S12" s="268">
        <v>97</v>
      </c>
      <c r="T12" s="268">
        <v>64</v>
      </c>
      <c r="U12" s="268">
        <v>51</v>
      </c>
      <c r="V12" s="268">
        <f>SUM(D12:O12)</f>
        <v>747</v>
      </c>
      <c r="W12" s="268">
        <f>SUM(J12:U12)</f>
        <v>1017</v>
      </c>
    </row>
    <row r="13" spans="1:23" x14ac:dyDescent="0.25">
      <c r="A13" s="513" t="s">
        <v>27</v>
      </c>
      <c r="B13" s="603" t="s">
        <v>28</v>
      </c>
      <c r="C13" s="603" t="s">
        <v>265</v>
      </c>
      <c r="D13" s="268"/>
      <c r="E13" s="268"/>
      <c r="F13" s="268"/>
      <c r="G13" s="268">
        <v>1</v>
      </c>
      <c r="H13" s="268"/>
      <c r="I13" s="268"/>
      <c r="J13" s="268">
        <v>1</v>
      </c>
      <c r="K13" s="268">
        <v>1</v>
      </c>
      <c r="L13" s="268"/>
      <c r="M13" s="268"/>
      <c r="N13" s="268"/>
      <c r="O13" s="268">
        <v>2</v>
      </c>
      <c r="P13" s="268">
        <v>2</v>
      </c>
      <c r="Q13" s="268">
        <v>2</v>
      </c>
      <c r="R13" s="268">
        <v>1</v>
      </c>
      <c r="S13" s="268">
        <v>2</v>
      </c>
      <c r="T13" s="268">
        <v>1</v>
      </c>
      <c r="U13" s="268">
        <v>1</v>
      </c>
      <c r="V13" s="268">
        <f>SUM(D13:O13)</f>
        <v>5</v>
      </c>
      <c r="W13" s="268">
        <f>SUM(J13:U13)</f>
        <v>13</v>
      </c>
    </row>
    <row r="14" spans="1:23" x14ac:dyDescent="0.25">
      <c r="A14" s="513" t="s">
        <v>29</v>
      </c>
      <c r="B14" s="603" t="s">
        <v>901</v>
      </c>
      <c r="C14" s="603" t="s">
        <v>265</v>
      </c>
      <c r="D14" s="268"/>
      <c r="E14" s="268"/>
      <c r="F14" s="268">
        <v>14</v>
      </c>
      <c r="G14" s="268">
        <v>36</v>
      </c>
      <c r="H14" s="268">
        <v>41</v>
      </c>
      <c r="I14" s="268">
        <v>31</v>
      </c>
      <c r="J14" s="268">
        <v>38</v>
      </c>
      <c r="K14" s="268">
        <v>26</v>
      </c>
      <c r="L14" s="268">
        <v>35</v>
      </c>
      <c r="M14" s="268">
        <v>25</v>
      </c>
      <c r="N14" s="268">
        <v>35</v>
      </c>
      <c r="O14" s="268">
        <v>35</v>
      </c>
      <c r="P14" s="268">
        <v>42</v>
      </c>
      <c r="Q14" s="268">
        <v>43</v>
      </c>
      <c r="R14" s="268">
        <v>33</v>
      </c>
      <c r="S14" s="268">
        <v>40</v>
      </c>
      <c r="T14" s="268">
        <v>36</v>
      </c>
      <c r="U14" s="268">
        <v>29</v>
      </c>
      <c r="V14" s="268">
        <f>SUM(D14:O14)</f>
        <v>316</v>
      </c>
      <c r="W14" s="268">
        <f>SUM(J14:U14)</f>
        <v>417</v>
      </c>
    </row>
    <row r="15" spans="1:23" x14ac:dyDescent="0.25">
      <c r="A15" s="513" t="s">
        <v>30</v>
      </c>
      <c r="B15" s="603" t="s">
        <v>31</v>
      </c>
      <c r="C15" s="603" t="s">
        <v>268</v>
      </c>
      <c r="D15" s="268"/>
      <c r="E15" s="268"/>
      <c r="F15" s="268"/>
      <c r="G15" s="268">
        <v>5</v>
      </c>
      <c r="H15" s="268">
        <v>2</v>
      </c>
      <c r="I15" s="268"/>
      <c r="J15" s="268">
        <v>5</v>
      </c>
      <c r="K15" s="268">
        <v>2</v>
      </c>
      <c r="L15" s="268">
        <v>3</v>
      </c>
      <c r="M15" s="268">
        <v>1</v>
      </c>
      <c r="N15" s="268">
        <v>1</v>
      </c>
      <c r="O15" s="268">
        <v>1</v>
      </c>
      <c r="P15" s="268">
        <v>5</v>
      </c>
      <c r="Q15" s="268">
        <v>4</v>
      </c>
      <c r="R15" s="268"/>
      <c r="S15" s="268">
        <v>2</v>
      </c>
      <c r="T15" s="268">
        <v>1</v>
      </c>
      <c r="U15" s="268">
        <v>1</v>
      </c>
      <c r="V15" s="268">
        <f>SUM(D15:O15)</f>
        <v>20</v>
      </c>
      <c r="W15" s="268">
        <f>SUM(J15:U15)</f>
        <v>26</v>
      </c>
    </row>
    <row r="16" spans="1:23" x14ac:dyDescent="0.25">
      <c r="A16" s="513" t="s">
        <v>32</v>
      </c>
      <c r="B16" s="603" t="s">
        <v>33</v>
      </c>
      <c r="C16" s="603" t="s">
        <v>265</v>
      </c>
      <c r="D16" s="268"/>
      <c r="E16" s="268"/>
      <c r="F16" s="268">
        <v>3</v>
      </c>
      <c r="G16" s="268">
        <v>8</v>
      </c>
      <c r="H16" s="268">
        <v>9</v>
      </c>
      <c r="I16" s="268">
        <v>6</v>
      </c>
      <c r="J16" s="268">
        <v>8</v>
      </c>
      <c r="K16" s="268">
        <v>8</v>
      </c>
      <c r="L16" s="268">
        <v>3</v>
      </c>
      <c r="M16" s="268">
        <v>8</v>
      </c>
      <c r="N16" s="268">
        <v>8</v>
      </c>
      <c r="O16" s="268">
        <v>9</v>
      </c>
      <c r="P16" s="268">
        <v>6</v>
      </c>
      <c r="Q16" s="268">
        <v>12</v>
      </c>
      <c r="R16" s="268">
        <v>10</v>
      </c>
      <c r="S16" s="268">
        <v>6</v>
      </c>
      <c r="T16" s="268">
        <v>10</v>
      </c>
      <c r="U16" s="268">
        <v>10</v>
      </c>
      <c r="V16" s="268">
        <f>SUM(D16:O16)</f>
        <v>70</v>
      </c>
      <c r="W16" s="268">
        <f>SUM(J16:U16)</f>
        <v>98</v>
      </c>
    </row>
    <row r="17" spans="1:23" x14ac:dyDescent="0.25">
      <c r="A17" s="513" t="s">
        <v>36</v>
      </c>
      <c r="B17" s="603" t="s">
        <v>37</v>
      </c>
      <c r="C17" s="603" t="s">
        <v>264</v>
      </c>
      <c r="D17" s="268"/>
      <c r="E17" s="268"/>
      <c r="F17" s="268">
        <v>1</v>
      </c>
      <c r="G17" s="268">
        <v>16</v>
      </c>
      <c r="H17" s="268">
        <v>20</v>
      </c>
      <c r="I17" s="268">
        <v>13</v>
      </c>
      <c r="J17" s="268">
        <v>20</v>
      </c>
      <c r="K17" s="268">
        <v>6</v>
      </c>
      <c r="L17" s="268">
        <v>11</v>
      </c>
      <c r="M17" s="268">
        <v>10</v>
      </c>
      <c r="N17" s="268">
        <v>9</v>
      </c>
      <c r="O17" s="268">
        <v>12</v>
      </c>
      <c r="P17" s="268">
        <v>12</v>
      </c>
      <c r="Q17" s="268">
        <v>9</v>
      </c>
      <c r="R17" s="268">
        <v>13</v>
      </c>
      <c r="S17" s="268">
        <v>11</v>
      </c>
      <c r="T17" s="268">
        <v>18</v>
      </c>
      <c r="U17" s="268">
        <v>7</v>
      </c>
      <c r="V17" s="268">
        <f>SUM(D17:O17)</f>
        <v>118</v>
      </c>
      <c r="W17" s="268">
        <f>SUM(J17:U17)</f>
        <v>138</v>
      </c>
    </row>
    <row r="18" spans="1:23" x14ac:dyDescent="0.25">
      <c r="A18" s="513" t="s">
        <v>38</v>
      </c>
      <c r="B18" s="603" t="s">
        <v>39</v>
      </c>
      <c r="C18" s="603" t="s">
        <v>268</v>
      </c>
      <c r="D18" s="268"/>
      <c r="E18" s="268"/>
      <c r="F18" s="268">
        <v>1</v>
      </c>
      <c r="G18" s="268">
        <v>10</v>
      </c>
      <c r="H18" s="268">
        <v>6</v>
      </c>
      <c r="I18" s="268">
        <v>5</v>
      </c>
      <c r="J18" s="268">
        <v>11</v>
      </c>
      <c r="K18" s="268">
        <v>5</v>
      </c>
      <c r="L18" s="268">
        <v>5</v>
      </c>
      <c r="M18" s="268">
        <v>8</v>
      </c>
      <c r="N18" s="268">
        <v>11</v>
      </c>
      <c r="O18" s="268">
        <v>6</v>
      </c>
      <c r="P18" s="268">
        <v>3</v>
      </c>
      <c r="Q18" s="268">
        <v>14</v>
      </c>
      <c r="R18" s="268">
        <v>4</v>
      </c>
      <c r="S18" s="268">
        <v>8</v>
      </c>
      <c r="T18" s="268">
        <v>10</v>
      </c>
      <c r="U18" s="268">
        <v>4</v>
      </c>
      <c r="V18" s="268">
        <f>SUM(D18:O18)</f>
        <v>68</v>
      </c>
      <c r="W18" s="268">
        <f>SUM(J18:U18)</f>
        <v>89</v>
      </c>
    </row>
    <row r="19" spans="1:23" x14ac:dyDescent="0.25">
      <c r="A19" s="513" t="s">
        <v>40</v>
      </c>
      <c r="B19" s="603" t="s">
        <v>41</v>
      </c>
      <c r="C19" s="603" t="s">
        <v>266</v>
      </c>
      <c r="D19" s="268"/>
      <c r="E19" s="268"/>
      <c r="F19" s="268">
        <v>3</v>
      </c>
      <c r="G19" s="268">
        <v>9</v>
      </c>
      <c r="H19" s="268">
        <v>2</v>
      </c>
      <c r="I19" s="268">
        <v>6</v>
      </c>
      <c r="J19" s="268">
        <v>6</v>
      </c>
      <c r="K19" s="268">
        <v>2</v>
      </c>
      <c r="L19" s="268">
        <v>4</v>
      </c>
      <c r="M19" s="268">
        <v>5</v>
      </c>
      <c r="N19" s="268">
        <v>10</v>
      </c>
      <c r="O19" s="268">
        <v>10</v>
      </c>
      <c r="P19" s="268">
        <v>6</v>
      </c>
      <c r="Q19" s="268">
        <v>8</v>
      </c>
      <c r="R19" s="268">
        <v>9</v>
      </c>
      <c r="S19" s="268">
        <v>11</v>
      </c>
      <c r="T19" s="268">
        <v>10</v>
      </c>
      <c r="U19" s="268">
        <v>4</v>
      </c>
      <c r="V19" s="268">
        <f>SUM(D19:O19)</f>
        <v>57</v>
      </c>
      <c r="W19" s="268">
        <f>SUM(J19:U19)</f>
        <v>85</v>
      </c>
    </row>
    <row r="20" spans="1:23" x14ac:dyDescent="0.25">
      <c r="A20" s="513" t="s">
        <v>42</v>
      </c>
      <c r="B20" s="603" t="s">
        <v>43</v>
      </c>
      <c r="C20" s="603" t="s">
        <v>265</v>
      </c>
      <c r="D20" s="268"/>
      <c r="E20" s="268"/>
      <c r="F20" s="268">
        <v>4</v>
      </c>
      <c r="G20" s="268">
        <v>30</v>
      </c>
      <c r="H20" s="268">
        <v>33</v>
      </c>
      <c r="I20" s="268">
        <v>21</v>
      </c>
      <c r="J20" s="268">
        <v>42</v>
      </c>
      <c r="K20" s="268">
        <v>26</v>
      </c>
      <c r="L20" s="268">
        <v>24</v>
      </c>
      <c r="M20" s="268">
        <v>22</v>
      </c>
      <c r="N20" s="268">
        <v>35</v>
      </c>
      <c r="O20" s="268">
        <v>23</v>
      </c>
      <c r="P20" s="268">
        <v>32</v>
      </c>
      <c r="Q20" s="268">
        <v>28</v>
      </c>
      <c r="R20" s="268">
        <v>29</v>
      </c>
      <c r="S20" s="268">
        <v>26</v>
      </c>
      <c r="T20" s="268">
        <v>22</v>
      </c>
      <c r="U20" s="268">
        <v>14</v>
      </c>
      <c r="V20" s="268">
        <f>SUM(D20:O20)</f>
        <v>260</v>
      </c>
      <c r="W20" s="268">
        <f>SUM(J20:U20)</f>
        <v>323</v>
      </c>
    </row>
    <row r="21" spans="1:23" x14ac:dyDescent="0.25">
      <c r="A21" s="513" t="s">
        <v>44</v>
      </c>
      <c r="B21" s="603" t="s">
        <v>45</v>
      </c>
      <c r="C21" s="603" t="s">
        <v>266</v>
      </c>
      <c r="D21" s="268"/>
      <c r="E21" s="268"/>
      <c r="F21" s="268">
        <v>1</v>
      </c>
      <c r="G21" s="268">
        <v>35</v>
      </c>
      <c r="H21" s="268">
        <v>31</v>
      </c>
      <c r="I21" s="268">
        <v>11</v>
      </c>
      <c r="J21" s="268">
        <v>20</v>
      </c>
      <c r="K21" s="268">
        <v>16</v>
      </c>
      <c r="L21" s="268">
        <v>22</v>
      </c>
      <c r="M21" s="268">
        <v>17</v>
      </c>
      <c r="N21" s="268">
        <v>23</v>
      </c>
      <c r="O21" s="268">
        <v>16</v>
      </c>
      <c r="P21" s="268">
        <v>23</v>
      </c>
      <c r="Q21" s="268">
        <v>24</v>
      </c>
      <c r="R21" s="268">
        <v>20</v>
      </c>
      <c r="S21" s="268">
        <v>33</v>
      </c>
      <c r="T21" s="268">
        <v>19</v>
      </c>
      <c r="U21" s="268">
        <v>11</v>
      </c>
      <c r="V21" s="268">
        <f>SUM(D21:O21)</f>
        <v>192</v>
      </c>
      <c r="W21" s="268">
        <f>SUM(J21:U21)</f>
        <v>244</v>
      </c>
    </row>
    <row r="22" spans="1:23" x14ac:dyDescent="0.25">
      <c r="A22" s="513" t="s">
        <v>46</v>
      </c>
      <c r="B22" s="603" t="s">
        <v>47</v>
      </c>
      <c r="C22" s="603" t="s">
        <v>268</v>
      </c>
      <c r="D22" s="268"/>
      <c r="E22" s="268"/>
      <c r="F22" s="268">
        <v>3</v>
      </c>
      <c r="G22" s="268">
        <v>18</v>
      </c>
      <c r="H22" s="268">
        <v>20</v>
      </c>
      <c r="I22" s="268">
        <v>15</v>
      </c>
      <c r="J22" s="268">
        <v>13</v>
      </c>
      <c r="K22" s="268">
        <v>19</v>
      </c>
      <c r="L22" s="268">
        <v>17</v>
      </c>
      <c r="M22" s="268">
        <v>12</v>
      </c>
      <c r="N22" s="268">
        <v>12</v>
      </c>
      <c r="O22" s="268">
        <v>15</v>
      </c>
      <c r="P22" s="268">
        <v>15</v>
      </c>
      <c r="Q22" s="268">
        <v>9</v>
      </c>
      <c r="R22" s="268">
        <v>12</v>
      </c>
      <c r="S22" s="268">
        <v>19</v>
      </c>
      <c r="T22" s="268">
        <v>8</v>
      </c>
      <c r="U22" s="268">
        <v>11</v>
      </c>
      <c r="V22" s="268">
        <f>SUM(D22:O22)</f>
        <v>144</v>
      </c>
      <c r="W22" s="268">
        <f>SUM(J22:U22)</f>
        <v>162</v>
      </c>
    </row>
    <row r="23" spans="1:23" x14ac:dyDescent="0.25">
      <c r="A23" s="513" t="s">
        <v>48</v>
      </c>
      <c r="B23" s="603" t="s">
        <v>269</v>
      </c>
      <c r="C23" s="603" t="s">
        <v>266</v>
      </c>
      <c r="D23" s="268"/>
      <c r="E23" s="268"/>
      <c r="F23" s="268">
        <v>1</v>
      </c>
      <c r="G23" s="268">
        <v>1</v>
      </c>
      <c r="H23" s="268"/>
      <c r="I23" s="268"/>
      <c r="J23" s="268">
        <v>1</v>
      </c>
      <c r="K23" s="268">
        <v>1</v>
      </c>
      <c r="L23" s="268">
        <v>2</v>
      </c>
      <c r="M23" s="268">
        <v>1</v>
      </c>
      <c r="N23" s="268">
        <v>1</v>
      </c>
      <c r="O23" s="268">
        <v>2</v>
      </c>
      <c r="P23" s="268">
        <v>1</v>
      </c>
      <c r="Q23" s="268">
        <v>1</v>
      </c>
      <c r="R23" s="268">
        <v>1</v>
      </c>
      <c r="S23" s="268">
        <v>1</v>
      </c>
      <c r="T23" s="268">
        <v>1</v>
      </c>
      <c r="U23" s="268"/>
      <c r="V23" s="268">
        <f>SUM(D23:O23)</f>
        <v>10</v>
      </c>
      <c r="W23" s="268">
        <f>SUM(J23:U23)</f>
        <v>13</v>
      </c>
    </row>
    <row r="24" spans="1:23" x14ac:dyDescent="0.25">
      <c r="A24" s="513" t="s">
        <v>50</v>
      </c>
      <c r="B24" s="603" t="s">
        <v>51</v>
      </c>
      <c r="C24" s="603" t="s">
        <v>265</v>
      </c>
      <c r="D24" s="268"/>
      <c r="E24" s="268"/>
      <c r="F24" s="268"/>
      <c r="G24" s="268">
        <v>12</v>
      </c>
      <c r="H24" s="268">
        <v>8</v>
      </c>
      <c r="I24" s="268">
        <v>7</v>
      </c>
      <c r="J24" s="268">
        <v>1</v>
      </c>
      <c r="K24" s="268">
        <v>3</v>
      </c>
      <c r="L24" s="268">
        <v>6</v>
      </c>
      <c r="M24" s="268">
        <v>9</v>
      </c>
      <c r="N24" s="268">
        <v>5</v>
      </c>
      <c r="O24" s="268">
        <v>6</v>
      </c>
      <c r="P24" s="268">
        <v>8</v>
      </c>
      <c r="Q24" s="268">
        <v>7</v>
      </c>
      <c r="R24" s="268">
        <v>6</v>
      </c>
      <c r="S24" s="268">
        <v>9</v>
      </c>
      <c r="T24" s="268">
        <v>4</v>
      </c>
      <c r="U24" s="268">
        <v>5</v>
      </c>
      <c r="V24" s="268">
        <f>SUM(D24:O24)</f>
        <v>57</v>
      </c>
      <c r="W24" s="268">
        <f>SUM(J24:U24)</f>
        <v>69</v>
      </c>
    </row>
    <row r="25" spans="1:23" x14ac:dyDescent="0.25">
      <c r="A25" s="513" t="s">
        <v>56</v>
      </c>
      <c r="B25" s="603" t="s">
        <v>295</v>
      </c>
      <c r="C25" s="603" t="s">
        <v>266</v>
      </c>
      <c r="D25" s="268"/>
      <c r="E25" s="268"/>
      <c r="F25" s="268">
        <v>7</v>
      </c>
      <c r="G25" s="268">
        <v>191</v>
      </c>
      <c r="H25" s="268">
        <v>169</v>
      </c>
      <c r="I25" s="268">
        <v>161</v>
      </c>
      <c r="J25" s="268">
        <v>202</v>
      </c>
      <c r="K25" s="268">
        <v>147</v>
      </c>
      <c r="L25" s="268">
        <v>178</v>
      </c>
      <c r="M25" s="268">
        <v>138</v>
      </c>
      <c r="N25" s="268">
        <v>199</v>
      </c>
      <c r="O25" s="268">
        <v>208</v>
      </c>
      <c r="P25" s="268">
        <v>209</v>
      </c>
      <c r="Q25" s="268">
        <v>198</v>
      </c>
      <c r="R25" s="268">
        <v>235</v>
      </c>
      <c r="S25" s="268">
        <v>189</v>
      </c>
      <c r="T25" s="268">
        <v>200</v>
      </c>
      <c r="U25" s="268">
        <v>167</v>
      </c>
      <c r="V25" s="268">
        <f>SUM(D25:O25)</f>
        <v>1600</v>
      </c>
      <c r="W25" s="268">
        <f>SUM(J25:U25)</f>
        <v>2270</v>
      </c>
    </row>
    <row r="26" spans="1:23" x14ac:dyDescent="0.25">
      <c r="A26" s="513" t="s">
        <v>58</v>
      </c>
      <c r="B26" s="603" t="s">
        <v>59</v>
      </c>
      <c r="C26" s="603" t="s">
        <v>267</v>
      </c>
      <c r="D26" s="268"/>
      <c r="E26" s="268"/>
      <c r="F26" s="268"/>
      <c r="G26" s="268">
        <v>1</v>
      </c>
      <c r="H26" s="268">
        <v>7</v>
      </c>
      <c r="I26" s="268">
        <v>3</v>
      </c>
      <c r="J26" s="268">
        <v>3</v>
      </c>
      <c r="K26" s="268">
        <v>6</v>
      </c>
      <c r="L26" s="268">
        <v>4</v>
      </c>
      <c r="M26" s="268">
        <v>4</v>
      </c>
      <c r="N26" s="268">
        <v>8</v>
      </c>
      <c r="O26" s="268">
        <v>1</v>
      </c>
      <c r="P26" s="268">
        <v>3</v>
      </c>
      <c r="Q26" s="268">
        <v>5</v>
      </c>
      <c r="R26" s="268">
        <v>2</v>
      </c>
      <c r="S26" s="268">
        <v>7</v>
      </c>
      <c r="T26" s="268">
        <v>6</v>
      </c>
      <c r="U26" s="268">
        <v>3</v>
      </c>
      <c r="V26" s="268">
        <f>SUM(D26:O26)</f>
        <v>37</v>
      </c>
      <c r="W26" s="268">
        <f>SUM(J26:U26)</f>
        <v>52</v>
      </c>
    </row>
    <row r="27" spans="1:23" x14ac:dyDescent="0.25">
      <c r="A27" s="513" t="s">
        <v>60</v>
      </c>
      <c r="B27" s="603" t="s">
        <v>61</v>
      </c>
      <c r="C27" s="603" t="s">
        <v>265</v>
      </c>
      <c r="D27" s="268"/>
      <c r="E27" s="268"/>
      <c r="F27" s="268"/>
      <c r="G27" s="268">
        <v>2</v>
      </c>
      <c r="H27" s="268">
        <v>2</v>
      </c>
      <c r="I27" s="268">
        <v>1</v>
      </c>
      <c r="J27" s="268">
        <v>5</v>
      </c>
      <c r="K27" s="268">
        <v>1</v>
      </c>
      <c r="L27" s="268">
        <v>3</v>
      </c>
      <c r="M27" s="268">
        <v>5</v>
      </c>
      <c r="N27" s="268">
        <v>3</v>
      </c>
      <c r="O27" s="268">
        <v>2</v>
      </c>
      <c r="P27" s="268">
        <v>4</v>
      </c>
      <c r="Q27" s="268">
        <v>3</v>
      </c>
      <c r="R27" s="268">
        <v>6</v>
      </c>
      <c r="S27" s="268"/>
      <c r="T27" s="268"/>
      <c r="U27" s="268"/>
      <c r="V27" s="268">
        <f>SUM(D27:O27)</f>
        <v>24</v>
      </c>
      <c r="W27" s="268">
        <f>SUM(J27:U27)</f>
        <v>32</v>
      </c>
    </row>
    <row r="28" spans="1:23" x14ac:dyDescent="0.25">
      <c r="A28" s="513" t="s">
        <v>62</v>
      </c>
      <c r="B28" s="603" t="s">
        <v>63</v>
      </c>
      <c r="C28" s="603" t="s">
        <v>267</v>
      </c>
      <c r="D28" s="268"/>
      <c r="E28" s="268"/>
      <c r="F28" s="268">
        <v>12</v>
      </c>
      <c r="G28" s="268">
        <v>24</v>
      </c>
      <c r="H28" s="268">
        <v>23</v>
      </c>
      <c r="I28" s="268">
        <v>26</v>
      </c>
      <c r="J28" s="268">
        <v>40</v>
      </c>
      <c r="K28" s="268">
        <v>24</v>
      </c>
      <c r="L28" s="268">
        <v>17</v>
      </c>
      <c r="M28" s="268">
        <v>24</v>
      </c>
      <c r="N28" s="268">
        <v>27</v>
      </c>
      <c r="O28" s="268">
        <v>24</v>
      </c>
      <c r="P28" s="268">
        <v>27</v>
      </c>
      <c r="Q28" s="268">
        <v>42</v>
      </c>
      <c r="R28" s="268">
        <v>39</v>
      </c>
      <c r="S28" s="268">
        <v>39</v>
      </c>
      <c r="T28" s="268">
        <v>28</v>
      </c>
      <c r="U28" s="268">
        <v>23</v>
      </c>
      <c r="V28" s="268">
        <f>SUM(D28:O28)</f>
        <v>241</v>
      </c>
      <c r="W28" s="268">
        <f>SUM(J28:U28)</f>
        <v>354</v>
      </c>
    </row>
    <row r="29" spans="1:23" x14ac:dyDescent="0.25">
      <c r="A29" s="513" t="s">
        <v>64</v>
      </c>
      <c r="B29" s="603" t="s">
        <v>65</v>
      </c>
      <c r="C29" s="603" t="s">
        <v>266</v>
      </c>
      <c r="D29" s="268"/>
      <c r="E29" s="268"/>
      <c r="F29" s="268">
        <v>1</v>
      </c>
      <c r="G29" s="268">
        <v>9</v>
      </c>
      <c r="H29" s="268">
        <v>11</v>
      </c>
      <c r="I29" s="268">
        <v>5</v>
      </c>
      <c r="J29" s="268">
        <v>6</v>
      </c>
      <c r="K29" s="268">
        <v>13</v>
      </c>
      <c r="L29" s="268">
        <v>2</v>
      </c>
      <c r="M29" s="268">
        <v>7</v>
      </c>
      <c r="N29" s="268">
        <v>3</v>
      </c>
      <c r="O29" s="268">
        <v>6</v>
      </c>
      <c r="P29" s="268">
        <v>7</v>
      </c>
      <c r="Q29" s="268">
        <v>6</v>
      </c>
      <c r="R29" s="268">
        <v>7</v>
      </c>
      <c r="S29" s="268">
        <v>7</v>
      </c>
      <c r="T29" s="268">
        <v>6</v>
      </c>
      <c r="U29" s="268">
        <v>8</v>
      </c>
      <c r="V29" s="268">
        <f>SUM(D29:O29)</f>
        <v>63</v>
      </c>
      <c r="W29" s="268">
        <f>SUM(J29:U29)</f>
        <v>78</v>
      </c>
    </row>
    <row r="30" spans="1:23" x14ac:dyDescent="0.25">
      <c r="A30" s="513" t="s">
        <v>68</v>
      </c>
      <c r="B30" s="603" t="s">
        <v>69</v>
      </c>
      <c r="C30" s="603" t="s">
        <v>268</v>
      </c>
      <c r="D30" s="268"/>
      <c r="E30" s="268"/>
      <c r="F30" s="268"/>
      <c r="G30" s="268">
        <v>3</v>
      </c>
      <c r="H30" s="268">
        <v>7</v>
      </c>
      <c r="I30" s="268">
        <v>6</v>
      </c>
      <c r="J30" s="268">
        <v>9</v>
      </c>
      <c r="K30" s="268">
        <v>3</v>
      </c>
      <c r="L30" s="268">
        <v>6</v>
      </c>
      <c r="M30" s="268">
        <v>3</v>
      </c>
      <c r="N30" s="268">
        <v>4</v>
      </c>
      <c r="O30" s="268">
        <v>10</v>
      </c>
      <c r="P30" s="268">
        <v>10</v>
      </c>
      <c r="Q30" s="268">
        <v>3</v>
      </c>
      <c r="R30" s="268">
        <v>2</v>
      </c>
      <c r="S30" s="268">
        <v>2</v>
      </c>
      <c r="T30" s="268">
        <v>4</v>
      </c>
      <c r="U30" s="268">
        <v>3</v>
      </c>
      <c r="V30" s="268">
        <f>SUM(D30:O30)</f>
        <v>51</v>
      </c>
      <c r="W30" s="268">
        <f>SUM(J30:U30)</f>
        <v>59</v>
      </c>
    </row>
    <row r="31" spans="1:23" x14ac:dyDescent="0.25">
      <c r="A31" s="513" t="s">
        <v>70</v>
      </c>
      <c r="B31" s="603" t="s">
        <v>71</v>
      </c>
      <c r="C31" s="603" t="s">
        <v>264</v>
      </c>
      <c r="D31" s="268"/>
      <c r="E31" s="268"/>
      <c r="F31" s="268"/>
      <c r="G31" s="268">
        <v>17</v>
      </c>
      <c r="H31" s="268">
        <v>21</v>
      </c>
      <c r="I31" s="268">
        <v>10</v>
      </c>
      <c r="J31" s="268">
        <v>20</v>
      </c>
      <c r="K31" s="268">
        <v>11</v>
      </c>
      <c r="L31" s="268">
        <v>19</v>
      </c>
      <c r="M31" s="268">
        <v>14</v>
      </c>
      <c r="N31" s="268">
        <v>23</v>
      </c>
      <c r="O31" s="268">
        <v>15</v>
      </c>
      <c r="P31" s="268">
        <v>17</v>
      </c>
      <c r="Q31" s="268">
        <v>18</v>
      </c>
      <c r="R31" s="268">
        <v>10</v>
      </c>
      <c r="S31" s="268">
        <v>21</v>
      </c>
      <c r="T31" s="268">
        <v>12</v>
      </c>
      <c r="U31" s="268">
        <v>10</v>
      </c>
      <c r="V31" s="268">
        <f>SUM(D31:O31)</f>
        <v>150</v>
      </c>
      <c r="W31" s="268">
        <f>SUM(J31:U31)</f>
        <v>190</v>
      </c>
    </row>
    <row r="32" spans="1:23" x14ac:dyDescent="0.25">
      <c r="A32" s="513" t="s">
        <v>72</v>
      </c>
      <c r="B32" s="603" t="s">
        <v>73</v>
      </c>
      <c r="C32" s="603" t="s">
        <v>266</v>
      </c>
      <c r="D32" s="268"/>
      <c r="E32" s="268"/>
      <c r="F32" s="268"/>
      <c r="G32" s="268">
        <v>12</v>
      </c>
      <c r="H32" s="268">
        <v>8</v>
      </c>
      <c r="I32" s="268">
        <v>7</v>
      </c>
      <c r="J32" s="268">
        <v>7</v>
      </c>
      <c r="K32" s="268">
        <v>7</v>
      </c>
      <c r="L32" s="268">
        <v>6</v>
      </c>
      <c r="M32" s="268">
        <v>3</v>
      </c>
      <c r="N32" s="268">
        <v>14</v>
      </c>
      <c r="O32" s="268">
        <v>10</v>
      </c>
      <c r="P32" s="268">
        <v>9</v>
      </c>
      <c r="Q32" s="268">
        <v>7</v>
      </c>
      <c r="R32" s="268">
        <v>5</v>
      </c>
      <c r="S32" s="268">
        <v>4</v>
      </c>
      <c r="T32" s="268">
        <v>9</v>
      </c>
      <c r="U32" s="268">
        <v>5</v>
      </c>
      <c r="V32" s="268">
        <f>SUM(D32:O32)</f>
        <v>74</v>
      </c>
      <c r="W32" s="268">
        <f>SUM(J32:U32)</f>
        <v>86</v>
      </c>
    </row>
    <row r="33" spans="1:23" x14ac:dyDescent="0.25">
      <c r="A33" s="513" t="s">
        <v>74</v>
      </c>
      <c r="B33" s="603" t="s">
        <v>296</v>
      </c>
      <c r="C33" s="603" t="s">
        <v>267</v>
      </c>
      <c r="D33" s="268"/>
      <c r="E33" s="268"/>
      <c r="F33" s="268">
        <v>20</v>
      </c>
      <c r="G33" s="268">
        <v>493</v>
      </c>
      <c r="H33" s="268">
        <v>431</v>
      </c>
      <c r="I33" s="268">
        <v>412</v>
      </c>
      <c r="J33" s="268">
        <v>493</v>
      </c>
      <c r="K33" s="268">
        <v>367</v>
      </c>
      <c r="L33" s="268">
        <v>372</v>
      </c>
      <c r="M33" s="268">
        <v>374</v>
      </c>
      <c r="N33" s="268">
        <v>384</v>
      </c>
      <c r="O33" s="268">
        <v>411</v>
      </c>
      <c r="P33" s="268">
        <v>373</v>
      </c>
      <c r="Q33" s="268">
        <v>450</v>
      </c>
      <c r="R33" s="268">
        <v>394</v>
      </c>
      <c r="S33" s="268">
        <v>333</v>
      </c>
      <c r="T33" s="268">
        <v>366</v>
      </c>
      <c r="U33" s="268">
        <v>307</v>
      </c>
      <c r="V33" s="268">
        <f>SUM(D33:O33)</f>
        <v>3757</v>
      </c>
      <c r="W33" s="268">
        <f>SUM(J33:U33)</f>
        <v>4624</v>
      </c>
    </row>
    <row r="34" spans="1:23" x14ac:dyDescent="0.25">
      <c r="A34" s="513" t="s">
        <v>76</v>
      </c>
      <c r="B34" s="603" t="s">
        <v>77</v>
      </c>
      <c r="C34" s="603" t="s">
        <v>267</v>
      </c>
      <c r="D34" s="268"/>
      <c r="E34" s="268"/>
      <c r="F34" s="268"/>
      <c r="G34" s="268">
        <v>24</v>
      </c>
      <c r="H34" s="268">
        <v>19</v>
      </c>
      <c r="I34" s="268">
        <v>27</v>
      </c>
      <c r="J34" s="268">
        <v>26</v>
      </c>
      <c r="K34" s="268">
        <v>14</v>
      </c>
      <c r="L34" s="268">
        <v>11</v>
      </c>
      <c r="M34" s="268">
        <v>16</v>
      </c>
      <c r="N34" s="268">
        <v>20</v>
      </c>
      <c r="O34" s="268">
        <v>17</v>
      </c>
      <c r="P34" s="268">
        <v>28</v>
      </c>
      <c r="Q34" s="268">
        <v>30</v>
      </c>
      <c r="R34" s="268">
        <v>23</v>
      </c>
      <c r="S34" s="268">
        <v>18</v>
      </c>
      <c r="T34" s="268">
        <v>14</v>
      </c>
      <c r="U34" s="268">
        <v>17</v>
      </c>
      <c r="V34" s="268">
        <f>SUM(D34:O34)</f>
        <v>174</v>
      </c>
      <c r="W34" s="268">
        <f>SUM(J34:U34)</f>
        <v>234</v>
      </c>
    </row>
    <row r="35" spans="1:23" x14ac:dyDescent="0.25">
      <c r="A35" s="513" t="s">
        <v>78</v>
      </c>
      <c r="B35" s="603" t="s">
        <v>79</v>
      </c>
      <c r="C35" s="603" t="s">
        <v>268</v>
      </c>
      <c r="D35" s="268"/>
      <c r="E35" s="268"/>
      <c r="F35" s="268"/>
      <c r="G35" s="268">
        <v>12</v>
      </c>
      <c r="H35" s="268">
        <v>11</v>
      </c>
      <c r="I35" s="268">
        <v>3</v>
      </c>
      <c r="J35" s="268">
        <v>5</v>
      </c>
      <c r="K35" s="268">
        <v>3</v>
      </c>
      <c r="L35" s="268">
        <v>10</v>
      </c>
      <c r="M35" s="268">
        <v>11</v>
      </c>
      <c r="N35" s="268">
        <v>17</v>
      </c>
      <c r="O35" s="268">
        <v>9</v>
      </c>
      <c r="P35" s="268">
        <v>9</v>
      </c>
      <c r="Q35" s="268">
        <v>6</v>
      </c>
      <c r="R35" s="268">
        <v>8</v>
      </c>
      <c r="S35" s="268">
        <v>4</v>
      </c>
      <c r="T35" s="268">
        <v>8</v>
      </c>
      <c r="U35" s="268">
        <v>7</v>
      </c>
      <c r="V35" s="268">
        <f>SUM(D35:O35)</f>
        <v>81</v>
      </c>
      <c r="W35" s="268">
        <f>SUM(J35:U35)</f>
        <v>97</v>
      </c>
    </row>
    <row r="36" spans="1:23" x14ac:dyDescent="0.25">
      <c r="A36" s="513" t="s">
        <v>80</v>
      </c>
      <c r="B36" s="603" t="s">
        <v>81</v>
      </c>
      <c r="C36" s="603" t="s">
        <v>266</v>
      </c>
      <c r="D36" s="268"/>
      <c r="E36" s="268"/>
      <c r="F36" s="268"/>
      <c r="G36" s="268">
        <v>14</v>
      </c>
      <c r="H36" s="268">
        <v>10</v>
      </c>
      <c r="I36" s="268">
        <v>10</v>
      </c>
      <c r="J36" s="268">
        <v>15</v>
      </c>
      <c r="K36" s="268">
        <v>2</v>
      </c>
      <c r="L36" s="268">
        <v>13</v>
      </c>
      <c r="M36" s="268">
        <v>14</v>
      </c>
      <c r="N36" s="268">
        <v>11</v>
      </c>
      <c r="O36" s="268">
        <v>8</v>
      </c>
      <c r="P36" s="268">
        <v>8</v>
      </c>
      <c r="Q36" s="268">
        <v>13</v>
      </c>
      <c r="R36" s="268">
        <v>12</v>
      </c>
      <c r="S36" s="268">
        <v>12</v>
      </c>
      <c r="T36" s="268">
        <v>13</v>
      </c>
      <c r="U36" s="268">
        <v>13</v>
      </c>
      <c r="V36" s="268">
        <f>SUM(D36:O36)</f>
        <v>97</v>
      </c>
      <c r="W36" s="268">
        <f>SUM(J36:U36)</f>
        <v>134</v>
      </c>
    </row>
    <row r="37" spans="1:23" x14ac:dyDescent="0.25">
      <c r="A37" s="513" t="s">
        <v>84</v>
      </c>
      <c r="B37" s="603" t="s">
        <v>85</v>
      </c>
      <c r="C37" s="603" t="s">
        <v>265</v>
      </c>
      <c r="D37" s="268"/>
      <c r="E37" s="268"/>
      <c r="F37" s="268"/>
      <c r="G37" s="268">
        <v>28</v>
      </c>
      <c r="H37" s="268">
        <v>26</v>
      </c>
      <c r="I37" s="268">
        <v>24</v>
      </c>
      <c r="J37" s="268">
        <v>32</v>
      </c>
      <c r="K37" s="268">
        <v>25</v>
      </c>
      <c r="L37" s="268">
        <v>35</v>
      </c>
      <c r="M37" s="268">
        <v>27</v>
      </c>
      <c r="N37" s="268">
        <v>33</v>
      </c>
      <c r="O37" s="268">
        <v>32</v>
      </c>
      <c r="P37" s="268">
        <v>29</v>
      </c>
      <c r="Q37" s="268">
        <v>32</v>
      </c>
      <c r="R37" s="268">
        <v>30</v>
      </c>
      <c r="S37" s="268">
        <v>21</v>
      </c>
      <c r="T37" s="268">
        <v>27</v>
      </c>
      <c r="U37" s="268">
        <v>19</v>
      </c>
      <c r="V37" s="268">
        <f>SUM(D37:O37)</f>
        <v>262</v>
      </c>
      <c r="W37" s="268">
        <f>SUM(J37:U37)</f>
        <v>342</v>
      </c>
    </row>
    <row r="38" spans="1:23" x14ac:dyDescent="0.25">
      <c r="A38" s="513" t="s">
        <v>86</v>
      </c>
      <c r="B38" s="603" t="s">
        <v>87</v>
      </c>
      <c r="C38" s="603" t="s">
        <v>267</v>
      </c>
      <c r="D38" s="268"/>
      <c r="E38" s="268"/>
      <c r="F38" s="268"/>
      <c r="G38" s="268">
        <v>51</v>
      </c>
      <c r="H38" s="268">
        <v>36</v>
      </c>
      <c r="I38" s="268">
        <v>30</v>
      </c>
      <c r="J38" s="268">
        <v>60</v>
      </c>
      <c r="K38" s="268">
        <v>23</v>
      </c>
      <c r="L38" s="268">
        <v>46</v>
      </c>
      <c r="M38" s="268">
        <v>28</v>
      </c>
      <c r="N38" s="268">
        <v>43</v>
      </c>
      <c r="O38" s="268">
        <v>38</v>
      </c>
      <c r="P38" s="268">
        <v>36</v>
      </c>
      <c r="Q38" s="268">
        <v>47</v>
      </c>
      <c r="R38" s="268">
        <v>45</v>
      </c>
      <c r="S38" s="268">
        <v>41</v>
      </c>
      <c r="T38" s="268">
        <v>30</v>
      </c>
      <c r="U38" s="268">
        <v>32</v>
      </c>
      <c r="V38" s="268">
        <f>SUM(D38:O38)</f>
        <v>355</v>
      </c>
      <c r="W38" s="268">
        <f>SUM(J38:U38)</f>
        <v>469</v>
      </c>
    </row>
    <row r="39" spans="1:23" x14ac:dyDescent="0.25">
      <c r="A39" s="513" t="s">
        <v>92</v>
      </c>
      <c r="B39" s="603" t="s">
        <v>93</v>
      </c>
      <c r="C39" s="603" t="s">
        <v>268</v>
      </c>
      <c r="D39" s="268"/>
      <c r="E39" s="268"/>
      <c r="F39" s="268"/>
      <c r="G39" s="268">
        <v>8</v>
      </c>
      <c r="H39" s="268">
        <v>6</v>
      </c>
      <c r="I39" s="268">
        <v>4</v>
      </c>
      <c r="J39" s="268">
        <v>13</v>
      </c>
      <c r="K39" s="268">
        <v>8</v>
      </c>
      <c r="L39" s="268">
        <v>7</v>
      </c>
      <c r="M39" s="268">
        <v>14</v>
      </c>
      <c r="N39" s="268">
        <v>3</v>
      </c>
      <c r="O39" s="268">
        <v>8</v>
      </c>
      <c r="P39" s="268">
        <v>5</v>
      </c>
      <c r="Q39" s="268">
        <v>3</v>
      </c>
      <c r="R39" s="268">
        <v>16</v>
      </c>
      <c r="S39" s="268">
        <v>8</v>
      </c>
      <c r="T39" s="268">
        <v>6</v>
      </c>
      <c r="U39" s="268">
        <v>13</v>
      </c>
      <c r="V39" s="268">
        <f>SUM(D39:O39)</f>
        <v>71</v>
      </c>
      <c r="W39" s="268">
        <f>SUM(J39:U39)</f>
        <v>104</v>
      </c>
    </row>
    <row r="40" spans="1:23" x14ac:dyDescent="0.25">
      <c r="A40" s="513" t="s">
        <v>94</v>
      </c>
      <c r="B40" s="603" t="s">
        <v>95</v>
      </c>
      <c r="C40" s="603" t="s">
        <v>264</v>
      </c>
      <c r="D40" s="268"/>
      <c r="E40" s="268"/>
      <c r="F40" s="268">
        <v>5</v>
      </c>
      <c r="G40" s="268">
        <v>27</v>
      </c>
      <c r="H40" s="268">
        <v>22</v>
      </c>
      <c r="I40" s="268">
        <v>16</v>
      </c>
      <c r="J40" s="268">
        <v>17</v>
      </c>
      <c r="K40" s="268">
        <v>19</v>
      </c>
      <c r="L40" s="268">
        <v>15</v>
      </c>
      <c r="M40" s="268">
        <v>15</v>
      </c>
      <c r="N40" s="268">
        <v>28</v>
      </c>
      <c r="O40" s="268">
        <v>17</v>
      </c>
      <c r="P40" s="268">
        <v>16</v>
      </c>
      <c r="Q40" s="268">
        <v>18</v>
      </c>
      <c r="R40" s="268">
        <v>23</v>
      </c>
      <c r="S40" s="268">
        <v>17</v>
      </c>
      <c r="T40" s="268">
        <v>16</v>
      </c>
      <c r="U40" s="268">
        <v>17</v>
      </c>
      <c r="V40" s="268">
        <f>SUM(D40:O40)</f>
        <v>181</v>
      </c>
      <c r="W40" s="268">
        <f>SUM(J40:U40)</f>
        <v>218</v>
      </c>
    </row>
    <row r="41" spans="1:23" x14ac:dyDescent="0.25">
      <c r="A41" s="513" t="s">
        <v>96</v>
      </c>
      <c r="B41" s="603" t="s">
        <v>97</v>
      </c>
      <c r="C41" s="603" t="s">
        <v>266</v>
      </c>
      <c r="D41" s="268"/>
      <c r="E41" s="268"/>
      <c r="F41" s="268"/>
      <c r="G41" s="268">
        <v>6</v>
      </c>
      <c r="H41" s="268">
        <v>4</v>
      </c>
      <c r="I41" s="268">
        <v>2</v>
      </c>
      <c r="J41" s="268">
        <v>7</v>
      </c>
      <c r="K41" s="268">
        <v>5</v>
      </c>
      <c r="L41" s="268">
        <v>6</v>
      </c>
      <c r="M41" s="268">
        <v>2</v>
      </c>
      <c r="N41" s="268">
        <v>8</v>
      </c>
      <c r="O41" s="268">
        <v>4</v>
      </c>
      <c r="P41" s="268">
        <v>5</v>
      </c>
      <c r="Q41" s="268">
        <v>6</v>
      </c>
      <c r="R41" s="268">
        <v>8</v>
      </c>
      <c r="S41" s="268">
        <v>6</v>
      </c>
      <c r="T41" s="268">
        <v>3</v>
      </c>
      <c r="U41" s="268"/>
      <c r="V41" s="268">
        <f>SUM(D41:O41)</f>
        <v>44</v>
      </c>
      <c r="W41" s="268">
        <f>SUM(J41:U41)</f>
        <v>60</v>
      </c>
    </row>
    <row r="42" spans="1:23" x14ac:dyDescent="0.25">
      <c r="A42" s="513" t="s">
        <v>98</v>
      </c>
      <c r="B42" s="603" t="s">
        <v>99</v>
      </c>
      <c r="C42" s="603" t="s">
        <v>268</v>
      </c>
      <c r="D42" s="268"/>
      <c r="E42" s="268"/>
      <c r="F42" s="268"/>
      <c r="G42" s="268">
        <v>8</v>
      </c>
      <c r="H42" s="268">
        <v>6</v>
      </c>
      <c r="I42" s="268">
        <v>6</v>
      </c>
      <c r="J42" s="268">
        <v>2</v>
      </c>
      <c r="K42" s="268">
        <v>1</v>
      </c>
      <c r="L42" s="268">
        <v>4</v>
      </c>
      <c r="M42" s="268">
        <v>5</v>
      </c>
      <c r="N42" s="268">
        <v>7</v>
      </c>
      <c r="O42" s="268">
        <v>8</v>
      </c>
      <c r="P42" s="268">
        <v>7</v>
      </c>
      <c r="Q42" s="268">
        <v>5</v>
      </c>
      <c r="R42" s="268">
        <v>2</v>
      </c>
      <c r="S42" s="268">
        <v>9</v>
      </c>
      <c r="T42" s="268">
        <v>5</v>
      </c>
      <c r="U42" s="268">
        <v>4</v>
      </c>
      <c r="V42" s="268">
        <f>SUM(D42:O42)</f>
        <v>47</v>
      </c>
      <c r="W42" s="268">
        <f>SUM(J42:U42)</f>
        <v>59</v>
      </c>
    </row>
    <row r="43" spans="1:23" x14ac:dyDescent="0.25">
      <c r="A43" s="513" t="s">
        <v>100</v>
      </c>
      <c r="B43" s="603" t="s">
        <v>101</v>
      </c>
      <c r="C43" s="603" t="s">
        <v>267</v>
      </c>
      <c r="D43" s="268"/>
      <c r="E43" s="268"/>
      <c r="F43" s="268"/>
      <c r="G43" s="268">
        <v>11</v>
      </c>
      <c r="H43" s="268">
        <v>6</v>
      </c>
      <c r="I43" s="268">
        <v>14</v>
      </c>
      <c r="J43" s="268">
        <v>7</v>
      </c>
      <c r="K43" s="268">
        <v>6</v>
      </c>
      <c r="L43" s="268">
        <v>9</v>
      </c>
      <c r="M43" s="268">
        <v>9</v>
      </c>
      <c r="N43" s="268">
        <v>12</v>
      </c>
      <c r="O43" s="268">
        <v>13</v>
      </c>
      <c r="P43" s="268">
        <v>16</v>
      </c>
      <c r="Q43" s="268">
        <v>8</v>
      </c>
      <c r="R43" s="268">
        <v>10</v>
      </c>
      <c r="S43" s="268">
        <v>8</v>
      </c>
      <c r="T43" s="268">
        <v>16</v>
      </c>
      <c r="U43" s="268">
        <v>7</v>
      </c>
      <c r="V43" s="268">
        <f>SUM(D43:O43)</f>
        <v>87</v>
      </c>
      <c r="W43" s="268">
        <f>SUM(J43:U43)</f>
        <v>121</v>
      </c>
    </row>
    <row r="44" spans="1:23" x14ac:dyDescent="0.25">
      <c r="A44" s="513" t="s">
        <v>102</v>
      </c>
      <c r="B44" s="603" t="s">
        <v>282</v>
      </c>
      <c r="C44" s="603" t="s">
        <v>264</v>
      </c>
      <c r="D44" s="268"/>
      <c r="E44" s="268"/>
      <c r="F44" s="268">
        <v>3</v>
      </c>
      <c r="G44" s="268">
        <v>25</v>
      </c>
      <c r="H44" s="268">
        <v>23</v>
      </c>
      <c r="I44" s="268">
        <v>5</v>
      </c>
      <c r="J44" s="268">
        <v>14</v>
      </c>
      <c r="K44" s="268">
        <v>10</v>
      </c>
      <c r="L44" s="268">
        <v>20</v>
      </c>
      <c r="M44" s="268">
        <v>16</v>
      </c>
      <c r="N44" s="268">
        <v>16</v>
      </c>
      <c r="O44" s="268">
        <v>22</v>
      </c>
      <c r="P44" s="268">
        <v>15</v>
      </c>
      <c r="Q44" s="268">
        <v>18</v>
      </c>
      <c r="R44" s="268">
        <v>20</v>
      </c>
      <c r="S44" s="268">
        <v>21</v>
      </c>
      <c r="T44" s="268">
        <v>14</v>
      </c>
      <c r="U44" s="268">
        <v>21</v>
      </c>
      <c r="V44" s="268">
        <f>SUM(D44:O44)</f>
        <v>154</v>
      </c>
      <c r="W44" s="268">
        <f>SUM(J44:U44)</f>
        <v>207</v>
      </c>
    </row>
    <row r="45" spans="1:23" x14ac:dyDescent="0.25">
      <c r="A45" s="513" t="s">
        <v>104</v>
      </c>
      <c r="B45" s="603" t="s">
        <v>105</v>
      </c>
      <c r="C45" s="603" t="s">
        <v>265</v>
      </c>
      <c r="D45" s="268"/>
      <c r="E45" s="268"/>
      <c r="F45" s="268">
        <v>10</v>
      </c>
      <c r="G45" s="268">
        <v>25</v>
      </c>
      <c r="H45" s="268">
        <v>21</v>
      </c>
      <c r="I45" s="268">
        <v>22</v>
      </c>
      <c r="J45" s="268">
        <v>19</v>
      </c>
      <c r="K45" s="268">
        <v>21</v>
      </c>
      <c r="L45" s="268">
        <v>20</v>
      </c>
      <c r="M45" s="268">
        <v>24</v>
      </c>
      <c r="N45" s="268">
        <v>25</v>
      </c>
      <c r="O45" s="268">
        <v>36</v>
      </c>
      <c r="P45" s="268">
        <v>29</v>
      </c>
      <c r="Q45" s="268">
        <v>32</v>
      </c>
      <c r="R45" s="268">
        <v>34</v>
      </c>
      <c r="S45" s="268">
        <v>18</v>
      </c>
      <c r="T45" s="268">
        <v>23</v>
      </c>
      <c r="U45" s="268">
        <v>22</v>
      </c>
      <c r="V45" s="268">
        <f>SUM(D45:O45)</f>
        <v>223</v>
      </c>
      <c r="W45" s="268">
        <f>SUM(J45:U45)</f>
        <v>303</v>
      </c>
    </row>
    <row r="46" spans="1:23" x14ac:dyDescent="0.25">
      <c r="A46" s="513" t="s">
        <v>108</v>
      </c>
      <c r="B46" s="603" t="s">
        <v>109</v>
      </c>
      <c r="C46" s="603" t="s">
        <v>266</v>
      </c>
      <c r="D46" s="268"/>
      <c r="E46" s="268"/>
      <c r="F46" s="268">
        <v>1</v>
      </c>
      <c r="G46" s="268">
        <v>38</v>
      </c>
      <c r="H46" s="268">
        <v>27</v>
      </c>
      <c r="I46" s="268">
        <v>26</v>
      </c>
      <c r="J46" s="268">
        <v>31</v>
      </c>
      <c r="K46" s="268">
        <v>28</v>
      </c>
      <c r="L46" s="268">
        <v>26</v>
      </c>
      <c r="M46" s="268">
        <v>35</v>
      </c>
      <c r="N46" s="268">
        <v>32</v>
      </c>
      <c r="O46" s="268">
        <v>35</v>
      </c>
      <c r="P46" s="268">
        <v>32</v>
      </c>
      <c r="Q46" s="268">
        <v>31</v>
      </c>
      <c r="R46" s="268">
        <v>50</v>
      </c>
      <c r="S46" s="268">
        <v>31</v>
      </c>
      <c r="T46" s="268">
        <v>23</v>
      </c>
      <c r="U46" s="268">
        <v>21</v>
      </c>
      <c r="V46" s="268">
        <f>SUM(D46:O46)</f>
        <v>279</v>
      </c>
      <c r="W46" s="268">
        <f>SUM(J46:U46)</f>
        <v>375</v>
      </c>
    </row>
    <row r="47" spans="1:23" x14ac:dyDescent="0.25">
      <c r="A47" s="513" t="s">
        <v>110</v>
      </c>
      <c r="B47" s="603" t="s">
        <v>111</v>
      </c>
      <c r="C47" s="603" t="s">
        <v>266</v>
      </c>
      <c r="D47" s="268"/>
      <c r="E47" s="268"/>
      <c r="F47" s="268">
        <v>10</v>
      </c>
      <c r="G47" s="268">
        <v>246</v>
      </c>
      <c r="H47" s="268">
        <v>245</v>
      </c>
      <c r="I47" s="268">
        <v>195</v>
      </c>
      <c r="J47" s="268">
        <v>266</v>
      </c>
      <c r="K47" s="268">
        <v>194</v>
      </c>
      <c r="L47" s="268">
        <v>239</v>
      </c>
      <c r="M47" s="268">
        <v>206</v>
      </c>
      <c r="N47" s="268">
        <v>247</v>
      </c>
      <c r="O47" s="268">
        <v>209</v>
      </c>
      <c r="P47" s="268">
        <v>241</v>
      </c>
      <c r="Q47" s="268">
        <v>236</v>
      </c>
      <c r="R47" s="268">
        <v>283</v>
      </c>
      <c r="S47" s="268">
        <v>278</v>
      </c>
      <c r="T47" s="268">
        <v>204</v>
      </c>
      <c r="U47" s="268">
        <v>182</v>
      </c>
      <c r="V47" s="268">
        <f>SUM(D47:O47)</f>
        <v>2057</v>
      </c>
      <c r="W47" s="268">
        <f>SUM(J47:U47)</f>
        <v>2785</v>
      </c>
    </row>
    <row r="48" spans="1:23" x14ac:dyDescent="0.25">
      <c r="A48" s="513" t="s">
        <v>112</v>
      </c>
      <c r="B48" s="603" t="s">
        <v>300</v>
      </c>
      <c r="C48" s="603" t="s">
        <v>265</v>
      </c>
      <c r="D48" s="268">
        <v>3</v>
      </c>
      <c r="E48" s="268">
        <v>1</v>
      </c>
      <c r="F48" s="268">
        <v>18</v>
      </c>
      <c r="G48" s="268">
        <v>52</v>
      </c>
      <c r="H48" s="268">
        <v>43</v>
      </c>
      <c r="I48" s="268">
        <v>40</v>
      </c>
      <c r="J48" s="268">
        <v>55</v>
      </c>
      <c r="K48" s="268">
        <v>44</v>
      </c>
      <c r="L48" s="268">
        <v>109</v>
      </c>
      <c r="M48" s="268">
        <v>35</v>
      </c>
      <c r="N48" s="268">
        <v>51</v>
      </c>
      <c r="O48" s="268">
        <v>51</v>
      </c>
      <c r="P48" s="268">
        <v>47</v>
      </c>
      <c r="Q48" s="268">
        <v>55</v>
      </c>
      <c r="R48" s="268">
        <v>47</v>
      </c>
      <c r="S48" s="268">
        <v>49</v>
      </c>
      <c r="T48" s="268">
        <v>40</v>
      </c>
      <c r="U48" s="268">
        <v>44</v>
      </c>
      <c r="V48" s="268">
        <f>SUM(D48:O48)</f>
        <v>502</v>
      </c>
      <c r="W48" s="268">
        <f>SUM(J48:U48)</f>
        <v>627</v>
      </c>
    </row>
    <row r="49" spans="1:23" x14ac:dyDescent="0.25">
      <c r="A49" s="513" t="s">
        <v>114</v>
      </c>
      <c r="B49" s="603" t="s">
        <v>115</v>
      </c>
      <c r="C49" s="603" t="s">
        <v>265</v>
      </c>
      <c r="D49" s="268"/>
      <c r="E49" s="268"/>
      <c r="F49" s="268"/>
      <c r="G49" s="268">
        <v>3</v>
      </c>
      <c r="H49" s="268">
        <v>1</v>
      </c>
      <c r="I49" s="268"/>
      <c r="J49" s="268">
        <v>4</v>
      </c>
      <c r="K49" s="268">
        <v>1</v>
      </c>
      <c r="L49" s="268"/>
      <c r="M49" s="268">
        <v>1</v>
      </c>
      <c r="N49" s="268">
        <v>1</v>
      </c>
      <c r="O49" s="268">
        <v>3</v>
      </c>
      <c r="P49" s="268">
        <v>1</v>
      </c>
      <c r="Q49" s="268">
        <v>1</v>
      </c>
      <c r="R49" s="268"/>
      <c r="S49" s="268">
        <v>2</v>
      </c>
      <c r="T49" s="268"/>
      <c r="U49" s="268"/>
      <c r="V49" s="268">
        <f>SUM(D49:O49)</f>
        <v>14</v>
      </c>
      <c r="W49" s="268">
        <f>SUM(J49:U49)</f>
        <v>14</v>
      </c>
    </row>
    <row r="50" spans="1:23" x14ac:dyDescent="0.25">
      <c r="A50" s="513" t="s">
        <v>118</v>
      </c>
      <c r="B50" s="603" t="s">
        <v>270</v>
      </c>
      <c r="C50" s="603" t="s">
        <v>264</v>
      </c>
      <c r="D50" s="268"/>
      <c r="E50" s="268"/>
      <c r="F50" s="268">
        <v>1</v>
      </c>
      <c r="G50" s="268">
        <v>18</v>
      </c>
      <c r="H50" s="268">
        <v>15</v>
      </c>
      <c r="I50" s="268">
        <v>11</v>
      </c>
      <c r="J50" s="268">
        <v>25</v>
      </c>
      <c r="K50" s="268">
        <v>14</v>
      </c>
      <c r="L50" s="268">
        <v>18</v>
      </c>
      <c r="M50" s="268">
        <v>10</v>
      </c>
      <c r="N50" s="268">
        <v>20</v>
      </c>
      <c r="O50" s="268">
        <v>29</v>
      </c>
      <c r="P50" s="268">
        <v>16</v>
      </c>
      <c r="Q50" s="268">
        <v>12</v>
      </c>
      <c r="R50" s="268">
        <v>19</v>
      </c>
      <c r="S50" s="268">
        <v>16</v>
      </c>
      <c r="T50" s="268">
        <v>3</v>
      </c>
      <c r="U50" s="268">
        <v>11</v>
      </c>
      <c r="V50" s="268">
        <f>SUM(D50:O50)</f>
        <v>161</v>
      </c>
      <c r="W50" s="268">
        <f>SUM(J50:U50)</f>
        <v>193</v>
      </c>
    </row>
    <row r="51" spans="1:23" x14ac:dyDescent="0.25">
      <c r="A51" s="513" t="s">
        <v>120</v>
      </c>
      <c r="B51" s="603" t="s">
        <v>121</v>
      </c>
      <c r="C51" s="603" t="s">
        <v>264</v>
      </c>
      <c r="D51" s="268"/>
      <c r="E51" s="268"/>
      <c r="F51" s="268"/>
      <c r="G51" s="268">
        <v>33</v>
      </c>
      <c r="H51" s="268">
        <v>27</v>
      </c>
      <c r="I51" s="268">
        <v>20</v>
      </c>
      <c r="J51" s="268">
        <v>36</v>
      </c>
      <c r="K51" s="268">
        <v>39</v>
      </c>
      <c r="L51" s="268">
        <v>29</v>
      </c>
      <c r="M51" s="268">
        <v>26</v>
      </c>
      <c r="N51" s="268">
        <v>31</v>
      </c>
      <c r="O51" s="268">
        <v>31</v>
      </c>
      <c r="P51" s="268">
        <v>40</v>
      </c>
      <c r="Q51" s="268">
        <v>39</v>
      </c>
      <c r="R51" s="268">
        <v>32</v>
      </c>
      <c r="S51" s="268">
        <v>36</v>
      </c>
      <c r="T51" s="268">
        <v>23</v>
      </c>
      <c r="U51" s="268">
        <v>28</v>
      </c>
      <c r="V51" s="268">
        <f>SUM(D51:O51)</f>
        <v>272</v>
      </c>
      <c r="W51" s="268">
        <f>SUM(J51:U51)</f>
        <v>390</v>
      </c>
    </row>
    <row r="52" spans="1:23" x14ac:dyDescent="0.25">
      <c r="A52" s="513" t="s">
        <v>122</v>
      </c>
      <c r="B52" s="603" t="s">
        <v>287</v>
      </c>
      <c r="C52" s="603" t="s">
        <v>266</v>
      </c>
      <c r="D52" s="268"/>
      <c r="E52" s="268"/>
      <c r="F52" s="268"/>
      <c r="G52" s="268">
        <v>9</v>
      </c>
      <c r="H52" s="268">
        <v>4</v>
      </c>
      <c r="I52" s="268">
        <v>5</v>
      </c>
      <c r="J52" s="268">
        <v>7</v>
      </c>
      <c r="K52" s="268">
        <v>1</v>
      </c>
      <c r="L52" s="268">
        <v>10</v>
      </c>
      <c r="M52" s="268">
        <v>5</v>
      </c>
      <c r="N52" s="268">
        <v>3</v>
      </c>
      <c r="O52" s="268">
        <v>13</v>
      </c>
      <c r="P52" s="268">
        <v>14</v>
      </c>
      <c r="Q52" s="268">
        <v>11</v>
      </c>
      <c r="R52" s="268">
        <v>4</v>
      </c>
      <c r="S52" s="268">
        <v>3</v>
      </c>
      <c r="T52" s="268">
        <v>8</v>
      </c>
      <c r="U52" s="268">
        <v>2</v>
      </c>
      <c r="V52" s="268">
        <f>SUM(D52:O52)</f>
        <v>57</v>
      </c>
      <c r="W52" s="268">
        <f>SUM(J52:U52)</f>
        <v>81</v>
      </c>
    </row>
    <row r="53" spans="1:23" x14ac:dyDescent="0.25">
      <c r="A53" s="513" t="s">
        <v>124</v>
      </c>
      <c r="B53" s="603" t="s">
        <v>125</v>
      </c>
      <c r="C53" s="603" t="s">
        <v>267</v>
      </c>
      <c r="D53" s="268"/>
      <c r="E53" s="268"/>
      <c r="F53" s="268"/>
      <c r="G53" s="268">
        <v>10</v>
      </c>
      <c r="H53" s="268">
        <v>7</v>
      </c>
      <c r="I53" s="268">
        <v>6</v>
      </c>
      <c r="J53" s="268">
        <v>9</v>
      </c>
      <c r="K53" s="268">
        <v>6</v>
      </c>
      <c r="L53" s="268">
        <v>8</v>
      </c>
      <c r="M53" s="268">
        <v>9</v>
      </c>
      <c r="N53" s="268">
        <v>11</v>
      </c>
      <c r="O53" s="268">
        <v>10</v>
      </c>
      <c r="P53" s="268">
        <v>17</v>
      </c>
      <c r="Q53" s="268">
        <v>9</v>
      </c>
      <c r="R53" s="268">
        <v>11</v>
      </c>
      <c r="S53" s="268">
        <v>9</v>
      </c>
      <c r="T53" s="268">
        <v>4</v>
      </c>
      <c r="U53" s="268">
        <v>7</v>
      </c>
      <c r="V53" s="268">
        <f>SUM(D53:O53)</f>
        <v>76</v>
      </c>
      <c r="W53" s="268">
        <f>SUM(J53:U53)</f>
        <v>110</v>
      </c>
    </row>
    <row r="54" spans="1:23" x14ac:dyDescent="0.25">
      <c r="A54" s="513" t="s">
        <v>126</v>
      </c>
      <c r="B54" s="603" t="s">
        <v>127</v>
      </c>
      <c r="C54" s="603" t="s">
        <v>266</v>
      </c>
      <c r="D54" s="268"/>
      <c r="E54" s="268"/>
      <c r="F54" s="268">
        <v>1</v>
      </c>
      <c r="G54" s="268">
        <v>9</v>
      </c>
      <c r="H54" s="268">
        <v>4</v>
      </c>
      <c r="I54" s="268">
        <v>12</v>
      </c>
      <c r="J54" s="268">
        <v>14</v>
      </c>
      <c r="K54" s="268">
        <v>8</v>
      </c>
      <c r="L54" s="268">
        <v>5</v>
      </c>
      <c r="M54" s="268">
        <v>3</v>
      </c>
      <c r="N54" s="268">
        <v>3</v>
      </c>
      <c r="O54" s="268">
        <v>6</v>
      </c>
      <c r="P54" s="268">
        <v>6</v>
      </c>
      <c r="Q54" s="268">
        <v>9</v>
      </c>
      <c r="R54" s="268">
        <v>9</v>
      </c>
      <c r="S54" s="268">
        <v>8</v>
      </c>
      <c r="T54" s="268">
        <v>10</v>
      </c>
      <c r="U54" s="268">
        <v>4</v>
      </c>
      <c r="V54" s="268">
        <f>SUM(D54:O54)</f>
        <v>65</v>
      </c>
      <c r="W54" s="268">
        <f>SUM(J54:U54)</f>
        <v>85</v>
      </c>
    </row>
    <row r="55" spans="1:23" x14ac:dyDescent="0.25">
      <c r="A55" s="513" t="s">
        <v>128</v>
      </c>
      <c r="B55" s="603" t="s">
        <v>129</v>
      </c>
      <c r="C55" s="603" t="s">
        <v>266</v>
      </c>
      <c r="D55" s="268"/>
      <c r="E55" s="268"/>
      <c r="F55" s="268"/>
      <c r="G55" s="268">
        <v>3</v>
      </c>
      <c r="H55" s="268">
        <v>1</v>
      </c>
      <c r="I55" s="268">
        <v>7</v>
      </c>
      <c r="J55" s="268">
        <v>4</v>
      </c>
      <c r="K55" s="268">
        <v>4</v>
      </c>
      <c r="L55" s="268">
        <v>8</v>
      </c>
      <c r="M55" s="268">
        <v>11</v>
      </c>
      <c r="N55" s="268">
        <v>4</v>
      </c>
      <c r="O55" s="268">
        <v>1</v>
      </c>
      <c r="P55" s="268">
        <v>1</v>
      </c>
      <c r="Q55" s="268">
        <v>1</v>
      </c>
      <c r="R55" s="268">
        <v>1</v>
      </c>
      <c r="S55" s="268">
        <v>6</v>
      </c>
      <c r="T55" s="268">
        <v>3</v>
      </c>
      <c r="U55" s="268">
        <v>3</v>
      </c>
      <c r="V55" s="268">
        <f>SUM(D55:O55)</f>
        <v>43</v>
      </c>
      <c r="W55" s="268">
        <f>SUM(J55:U55)</f>
        <v>47</v>
      </c>
    </row>
    <row r="56" spans="1:23" x14ac:dyDescent="0.25">
      <c r="A56" s="513" t="s">
        <v>130</v>
      </c>
      <c r="B56" s="603" t="s">
        <v>131</v>
      </c>
      <c r="C56" s="603" t="s">
        <v>268</v>
      </c>
      <c r="D56" s="268"/>
      <c r="E56" s="268"/>
      <c r="F56" s="268"/>
      <c r="G56" s="268">
        <v>22</v>
      </c>
      <c r="H56" s="268">
        <v>18</v>
      </c>
      <c r="I56" s="268">
        <v>8</v>
      </c>
      <c r="J56" s="268">
        <v>19</v>
      </c>
      <c r="K56" s="268">
        <v>16</v>
      </c>
      <c r="L56" s="268">
        <v>10</v>
      </c>
      <c r="M56" s="268">
        <v>5</v>
      </c>
      <c r="N56" s="268">
        <v>19</v>
      </c>
      <c r="O56" s="268">
        <v>8</v>
      </c>
      <c r="P56" s="268">
        <v>17</v>
      </c>
      <c r="Q56" s="268">
        <v>26</v>
      </c>
      <c r="R56" s="268">
        <v>10</v>
      </c>
      <c r="S56" s="268">
        <v>22</v>
      </c>
      <c r="T56" s="268">
        <v>3</v>
      </c>
      <c r="U56" s="268">
        <v>12</v>
      </c>
      <c r="V56" s="268">
        <f>SUM(D56:O56)</f>
        <v>125</v>
      </c>
      <c r="W56" s="268">
        <f>SUM(J56:U56)</f>
        <v>167</v>
      </c>
    </row>
    <row r="57" spans="1:23" x14ac:dyDescent="0.25">
      <c r="A57" s="513" t="s">
        <v>132</v>
      </c>
      <c r="B57" s="603" t="s">
        <v>133</v>
      </c>
      <c r="C57" s="603" t="s">
        <v>267</v>
      </c>
      <c r="D57" s="268"/>
      <c r="E57" s="268"/>
      <c r="F57" s="268">
        <v>3</v>
      </c>
      <c r="G57" s="268">
        <v>127</v>
      </c>
      <c r="H57" s="268">
        <v>96</v>
      </c>
      <c r="I57" s="268">
        <v>106</v>
      </c>
      <c r="J57" s="268">
        <v>136</v>
      </c>
      <c r="K57" s="268">
        <v>86</v>
      </c>
      <c r="L57" s="268">
        <v>105</v>
      </c>
      <c r="M57" s="268">
        <v>66</v>
      </c>
      <c r="N57" s="268">
        <v>87</v>
      </c>
      <c r="O57" s="268">
        <v>92</v>
      </c>
      <c r="P57" s="268">
        <v>114</v>
      </c>
      <c r="Q57" s="268">
        <v>133</v>
      </c>
      <c r="R57" s="268">
        <v>99</v>
      </c>
      <c r="S57" s="268">
        <v>110</v>
      </c>
      <c r="T57" s="268">
        <v>99</v>
      </c>
      <c r="U57" s="268">
        <v>84</v>
      </c>
      <c r="V57" s="268">
        <f>SUM(D57:O57)</f>
        <v>904</v>
      </c>
      <c r="W57" s="268">
        <f>SUM(J57:U57)</f>
        <v>1211</v>
      </c>
    </row>
    <row r="58" spans="1:23" x14ac:dyDescent="0.25">
      <c r="A58" s="513" t="s">
        <v>134</v>
      </c>
      <c r="B58" s="603" t="s">
        <v>135</v>
      </c>
      <c r="C58" s="603" t="s">
        <v>267</v>
      </c>
      <c r="D58" s="268"/>
      <c r="E58" s="268"/>
      <c r="F58" s="268"/>
      <c r="G58" s="268">
        <v>29</v>
      </c>
      <c r="H58" s="268">
        <v>17</v>
      </c>
      <c r="I58" s="268">
        <v>23</v>
      </c>
      <c r="J58" s="268">
        <v>22</v>
      </c>
      <c r="K58" s="268">
        <v>13</v>
      </c>
      <c r="L58" s="268">
        <v>22</v>
      </c>
      <c r="M58" s="268">
        <v>16</v>
      </c>
      <c r="N58" s="268">
        <v>24</v>
      </c>
      <c r="O58" s="268">
        <v>18</v>
      </c>
      <c r="P58" s="268">
        <v>18</v>
      </c>
      <c r="Q58" s="268">
        <v>29</v>
      </c>
      <c r="R58" s="268">
        <v>22</v>
      </c>
      <c r="S58" s="268">
        <v>16</v>
      </c>
      <c r="T58" s="268">
        <v>21</v>
      </c>
      <c r="U58" s="268">
        <v>27</v>
      </c>
      <c r="V58" s="268">
        <f>SUM(D58:O58)</f>
        <v>184</v>
      </c>
      <c r="W58" s="268">
        <f>SUM(J58:U58)</f>
        <v>248</v>
      </c>
    </row>
    <row r="59" spans="1:23" x14ac:dyDescent="0.25">
      <c r="A59" s="513" t="s">
        <v>136</v>
      </c>
      <c r="B59" s="603" t="s">
        <v>137</v>
      </c>
      <c r="C59" s="603" t="s">
        <v>266</v>
      </c>
      <c r="D59" s="268"/>
      <c r="E59" s="268"/>
      <c r="F59" s="268"/>
      <c r="G59" s="268">
        <v>12</v>
      </c>
      <c r="H59" s="268">
        <v>2</v>
      </c>
      <c r="I59" s="268">
        <v>4</v>
      </c>
      <c r="J59" s="268">
        <v>7</v>
      </c>
      <c r="K59" s="268">
        <v>4</v>
      </c>
      <c r="L59" s="268">
        <v>9</v>
      </c>
      <c r="M59" s="268">
        <v>8</v>
      </c>
      <c r="N59" s="268">
        <v>7</v>
      </c>
      <c r="O59" s="268">
        <v>13</v>
      </c>
      <c r="P59" s="268">
        <v>5</v>
      </c>
      <c r="Q59" s="268">
        <v>15</v>
      </c>
      <c r="R59" s="268">
        <v>8</v>
      </c>
      <c r="S59" s="268">
        <v>6</v>
      </c>
      <c r="T59" s="268">
        <v>2</v>
      </c>
      <c r="U59" s="268">
        <v>2</v>
      </c>
      <c r="V59" s="268">
        <f>SUM(D59:O59)</f>
        <v>66</v>
      </c>
      <c r="W59" s="268">
        <f>SUM(J59:U59)</f>
        <v>86</v>
      </c>
    </row>
    <row r="60" spans="1:23" x14ac:dyDescent="0.25">
      <c r="A60" s="513" t="s">
        <v>140</v>
      </c>
      <c r="B60" s="603" t="s">
        <v>141</v>
      </c>
      <c r="C60" s="603" t="s">
        <v>267</v>
      </c>
      <c r="D60" s="268"/>
      <c r="E60" s="268"/>
      <c r="F60" s="268"/>
      <c r="G60" s="268">
        <v>8</v>
      </c>
      <c r="H60" s="268">
        <v>1</v>
      </c>
      <c r="I60" s="268">
        <v>4</v>
      </c>
      <c r="J60" s="268">
        <v>6</v>
      </c>
      <c r="K60" s="268">
        <v>4</v>
      </c>
      <c r="L60" s="268">
        <v>6</v>
      </c>
      <c r="M60" s="268">
        <v>2</v>
      </c>
      <c r="N60" s="268">
        <v>1</v>
      </c>
      <c r="O60" s="268">
        <v>10</v>
      </c>
      <c r="P60" s="268">
        <v>4</v>
      </c>
      <c r="Q60" s="268">
        <v>5</v>
      </c>
      <c r="R60" s="268">
        <v>4</v>
      </c>
      <c r="S60" s="268">
        <v>2</v>
      </c>
      <c r="T60" s="268">
        <v>3</v>
      </c>
      <c r="U60" s="268">
        <v>4</v>
      </c>
      <c r="V60" s="268">
        <f>SUM(D60:O60)</f>
        <v>42</v>
      </c>
      <c r="W60" s="268">
        <f>SUM(J60:U60)</f>
        <v>51</v>
      </c>
    </row>
    <row r="61" spans="1:23" x14ac:dyDescent="0.25">
      <c r="A61" s="513" t="s">
        <v>146</v>
      </c>
      <c r="B61" s="603" t="s">
        <v>147</v>
      </c>
      <c r="C61" s="603" t="s">
        <v>264</v>
      </c>
      <c r="D61" s="268"/>
      <c r="E61" s="268"/>
      <c r="F61" s="268">
        <v>2</v>
      </c>
      <c r="G61" s="268">
        <v>1</v>
      </c>
      <c r="H61" s="268">
        <v>5</v>
      </c>
      <c r="I61" s="268">
        <v>2</v>
      </c>
      <c r="J61" s="268">
        <v>2</v>
      </c>
      <c r="K61" s="268">
        <v>8</v>
      </c>
      <c r="L61" s="268">
        <v>5</v>
      </c>
      <c r="M61" s="268">
        <v>3</v>
      </c>
      <c r="N61" s="268">
        <v>3</v>
      </c>
      <c r="O61" s="268">
        <v>3</v>
      </c>
      <c r="P61" s="268">
        <v>3</v>
      </c>
      <c r="Q61" s="268">
        <v>2</v>
      </c>
      <c r="R61" s="268">
        <v>3</v>
      </c>
      <c r="S61" s="268">
        <v>4</v>
      </c>
      <c r="T61" s="268">
        <v>2</v>
      </c>
      <c r="U61" s="268">
        <v>5</v>
      </c>
      <c r="V61" s="268">
        <f>SUM(D61:O61)</f>
        <v>34</v>
      </c>
      <c r="W61" s="268">
        <f>SUM(J61:U61)</f>
        <v>43</v>
      </c>
    </row>
    <row r="62" spans="1:23" x14ac:dyDescent="0.25">
      <c r="A62" s="513" t="s">
        <v>148</v>
      </c>
      <c r="B62" s="603" t="s">
        <v>149</v>
      </c>
      <c r="C62" s="603" t="s">
        <v>265</v>
      </c>
      <c r="D62" s="268"/>
      <c r="E62" s="268"/>
      <c r="F62" s="268"/>
      <c r="G62" s="268">
        <v>19</v>
      </c>
      <c r="H62" s="268">
        <v>15</v>
      </c>
      <c r="I62" s="268">
        <v>8</v>
      </c>
      <c r="J62" s="268">
        <v>15</v>
      </c>
      <c r="K62" s="268">
        <v>6</v>
      </c>
      <c r="L62" s="268">
        <v>15</v>
      </c>
      <c r="M62" s="268">
        <v>20</v>
      </c>
      <c r="N62" s="268">
        <v>19</v>
      </c>
      <c r="O62" s="268">
        <v>14</v>
      </c>
      <c r="P62" s="268">
        <v>25</v>
      </c>
      <c r="Q62" s="268">
        <v>17</v>
      </c>
      <c r="R62" s="268">
        <v>22</v>
      </c>
      <c r="S62" s="268">
        <v>20</v>
      </c>
      <c r="T62" s="268">
        <v>14</v>
      </c>
      <c r="U62" s="268">
        <v>15</v>
      </c>
      <c r="V62" s="268">
        <f>SUM(D62:O62)</f>
        <v>131</v>
      </c>
      <c r="W62" s="268">
        <f>SUM(J62:U62)</f>
        <v>202</v>
      </c>
    </row>
    <row r="63" spans="1:23" x14ac:dyDescent="0.25">
      <c r="A63" s="513" t="s">
        <v>150</v>
      </c>
      <c r="B63" s="603" t="s">
        <v>151</v>
      </c>
      <c r="C63" s="603" t="s">
        <v>266</v>
      </c>
      <c r="D63" s="268"/>
      <c r="E63" s="268"/>
      <c r="F63" s="268"/>
      <c r="G63" s="268">
        <v>8</v>
      </c>
      <c r="H63" s="268">
        <v>9</v>
      </c>
      <c r="I63" s="268">
        <v>16</v>
      </c>
      <c r="J63" s="268">
        <v>6</v>
      </c>
      <c r="K63" s="268">
        <v>5</v>
      </c>
      <c r="L63" s="268">
        <v>3</v>
      </c>
      <c r="M63" s="268">
        <v>6</v>
      </c>
      <c r="N63" s="268">
        <v>13</v>
      </c>
      <c r="O63" s="268">
        <v>16</v>
      </c>
      <c r="P63" s="268">
        <v>11</v>
      </c>
      <c r="Q63" s="268">
        <v>9</v>
      </c>
      <c r="R63" s="268">
        <v>7</v>
      </c>
      <c r="S63" s="268">
        <v>9</v>
      </c>
      <c r="T63" s="268">
        <v>12</v>
      </c>
      <c r="U63" s="268">
        <v>4</v>
      </c>
      <c r="V63" s="268">
        <f>SUM(D63:O63)</f>
        <v>82</v>
      </c>
      <c r="W63" s="268">
        <f>SUM(J63:U63)</f>
        <v>101</v>
      </c>
    </row>
    <row r="64" spans="1:23" x14ac:dyDescent="0.25">
      <c r="A64" s="513" t="s">
        <v>152</v>
      </c>
      <c r="B64" s="603" t="s">
        <v>153</v>
      </c>
      <c r="C64" s="603" t="s">
        <v>268</v>
      </c>
      <c r="D64" s="268"/>
      <c r="E64" s="268"/>
      <c r="F64" s="268"/>
      <c r="G64" s="268">
        <v>52</v>
      </c>
      <c r="H64" s="268">
        <v>29</v>
      </c>
      <c r="I64" s="268">
        <v>46</v>
      </c>
      <c r="J64" s="268">
        <v>54</v>
      </c>
      <c r="K64" s="268">
        <v>28</v>
      </c>
      <c r="L64" s="268">
        <v>41</v>
      </c>
      <c r="M64" s="268">
        <v>38</v>
      </c>
      <c r="N64" s="268">
        <v>38</v>
      </c>
      <c r="O64" s="268">
        <v>49</v>
      </c>
      <c r="P64" s="268">
        <v>53</v>
      </c>
      <c r="Q64" s="268">
        <v>49</v>
      </c>
      <c r="R64" s="268">
        <v>34</v>
      </c>
      <c r="S64" s="268">
        <v>54</v>
      </c>
      <c r="T64" s="268">
        <v>52</v>
      </c>
      <c r="U64" s="268">
        <v>22</v>
      </c>
      <c r="V64" s="268">
        <f>SUM(D64:O64)</f>
        <v>375</v>
      </c>
      <c r="W64" s="268">
        <f>SUM(J64:U64)</f>
        <v>512</v>
      </c>
    </row>
    <row r="65" spans="1:23" x14ac:dyDescent="0.25">
      <c r="A65" s="513" t="s">
        <v>154</v>
      </c>
      <c r="B65" s="603" t="s">
        <v>155</v>
      </c>
      <c r="C65" s="603" t="s">
        <v>265</v>
      </c>
      <c r="D65" s="268"/>
      <c r="E65" s="268"/>
      <c r="F65" s="268"/>
      <c r="G65" s="268">
        <v>7</v>
      </c>
      <c r="H65" s="268">
        <v>4</v>
      </c>
      <c r="I65" s="268">
        <v>3</v>
      </c>
      <c r="J65" s="268">
        <v>6</v>
      </c>
      <c r="K65" s="268"/>
      <c r="L65" s="268">
        <v>4</v>
      </c>
      <c r="M65" s="268">
        <v>3</v>
      </c>
      <c r="N65" s="268">
        <v>7</v>
      </c>
      <c r="O65" s="268">
        <v>2</v>
      </c>
      <c r="P65" s="268">
        <v>7</v>
      </c>
      <c r="Q65" s="268">
        <v>3</v>
      </c>
      <c r="R65" s="268">
        <v>3</v>
      </c>
      <c r="S65" s="268">
        <v>7</v>
      </c>
      <c r="T65" s="268">
        <v>4</v>
      </c>
      <c r="U65" s="268">
        <v>3</v>
      </c>
      <c r="V65" s="268">
        <f>SUM(D65:O65)</f>
        <v>36</v>
      </c>
      <c r="W65" s="268">
        <f>SUM(J65:U65)</f>
        <v>49</v>
      </c>
    </row>
    <row r="66" spans="1:23" x14ac:dyDescent="0.25">
      <c r="A66" s="513" t="s">
        <v>156</v>
      </c>
      <c r="B66" s="603" t="s">
        <v>157</v>
      </c>
      <c r="C66" s="603" t="s">
        <v>266</v>
      </c>
      <c r="D66" s="268"/>
      <c r="E66" s="268"/>
      <c r="F66" s="268"/>
      <c r="G66" s="268">
        <v>7</v>
      </c>
      <c r="H66" s="268">
        <v>9</v>
      </c>
      <c r="I66" s="268">
        <v>7</v>
      </c>
      <c r="J66" s="268">
        <v>9</v>
      </c>
      <c r="K66" s="268">
        <v>6</v>
      </c>
      <c r="L66" s="268">
        <v>11</v>
      </c>
      <c r="M66" s="268">
        <v>8</v>
      </c>
      <c r="N66" s="268">
        <v>6</v>
      </c>
      <c r="O66" s="268">
        <v>4</v>
      </c>
      <c r="P66" s="268">
        <v>13</v>
      </c>
      <c r="Q66" s="268">
        <v>8</v>
      </c>
      <c r="R66" s="268">
        <v>10</v>
      </c>
      <c r="S66" s="268">
        <v>5</v>
      </c>
      <c r="T66" s="268">
        <v>3</v>
      </c>
      <c r="U66" s="268">
        <v>7</v>
      </c>
      <c r="V66" s="268">
        <f>SUM(D66:O66)</f>
        <v>67</v>
      </c>
      <c r="W66" s="268">
        <f>SUM(J66:U66)</f>
        <v>90</v>
      </c>
    </row>
    <row r="67" spans="1:23" x14ac:dyDescent="0.25">
      <c r="A67" s="513" t="s">
        <v>162</v>
      </c>
      <c r="B67" s="603" t="s">
        <v>163</v>
      </c>
      <c r="C67" s="603" t="s">
        <v>264</v>
      </c>
      <c r="D67" s="268"/>
      <c r="E67" s="268"/>
      <c r="F67" s="268">
        <v>1</v>
      </c>
      <c r="G67" s="268">
        <v>9</v>
      </c>
      <c r="H67" s="268">
        <v>12</v>
      </c>
      <c r="I67" s="268">
        <v>1</v>
      </c>
      <c r="J67" s="268">
        <v>11</v>
      </c>
      <c r="K67" s="268">
        <v>9</v>
      </c>
      <c r="L67" s="268">
        <v>4</v>
      </c>
      <c r="M67" s="268">
        <v>5</v>
      </c>
      <c r="N67" s="268">
        <v>8</v>
      </c>
      <c r="O67" s="268">
        <v>8</v>
      </c>
      <c r="P67" s="268">
        <v>8</v>
      </c>
      <c r="Q67" s="268">
        <v>5</v>
      </c>
      <c r="R67" s="268">
        <v>9</v>
      </c>
      <c r="S67" s="268">
        <v>6</v>
      </c>
      <c r="T67" s="268">
        <v>8</v>
      </c>
      <c r="U67" s="268">
        <v>6</v>
      </c>
      <c r="V67" s="268">
        <f>SUM(D67:O67)</f>
        <v>68</v>
      </c>
      <c r="W67" s="268">
        <f>SUM(J67:U67)</f>
        <v>87</v>
      </c>
    </row>
    <row r="68" spans="1:23" x14ac:dyDescent="0.25">
      <c r="A68" s="513" t="s">
        <v>164</v>
      </c>
      <c r="B68" s="603" t="s">
        <v>165</v>
      </c>
      <c r="C68" s="603" t="s">
        <v>266</v>
      </c>
      <c r="D68" s="268"/>
      <c r="E68" s="268"/>
      <c r="F68" s="268"/>
      <c r="G68" s="268">
        <v>2</v>
      </c>
      <c r="H68" s="268">
        <v>3</v>
      </c>
      <c r="I68" s="268">
        <v>4</v>
      </c>
      <c r="J68" s="268">
        <v>5</v>
      </c>
      <c r="K68" s="268"/>
      <c r="L68" s="268">
        <v>2</v>
      </c>
      <c r="M68" s="268">
        <v>3</v>
      </c>
      <c r="N68" s="268">
        <v>4</v>
      </c>
      <c r="O68" s="268">
        <v>1</v>
      </c>
      <c r="P68" s="268">
        <v>3</v>
      </c>
      <c r="Q68" s="268">
        <v>5</v>
      </c>
      <c r="R68" s="268">
        <v>8</v>
      </c>
      <c r="S68" s="268">
        <v>4</v>
      </c>
      <c r="T68" s="268">
        <v>7</v>
      </c>
      <c r="U68" s="268">
        <v>4</v>
      </c>
      <c r="V68" s="268">
        <f>SUM(D68:O68)</f>
        <v>24</v>
      </c>
      <c r="W68" s="268">
        <f>SUM(J68:U68)</f>
        <v>46</v>
      </c>
    </row>
    <row r="69" spans="1:23" x14ac:dyDescent="0.25">
      <c r="A69" s="513" t="s">
        <v>168</v>
      </c>
      <c r="B69" s="603" t="s">
        <v>169</v>
      </c>
      <c r="C69" s="603" t="s">
        <v>266</v>
      </c>
      <c r="D69" s="268"/>
      <c r="E69" s="268"/>
      <c r="F69" s="268"/>
      <c r="G69" s="268">
        <v>18</v>
      </c>
      <c r="H69" s="268">
        <v>8</v>
      </c>
      <c r="I69" s="268">
        <v>5</v>
      </c>
      <c r="J69" s="268">
        <v>7</v>
      </c>
      <c r="K69" s="268">
        <v>6</v>
      </c>
      <c r="L69" s="268">
        <v>5</v>
      </c>
      <c r="M69" s="268">
        <v>6</v>
      </c>
      <c r="N69" s="268">
        <v>7</v>
      </c>
      <c r="O69" s="268">
        <v>15</v>
      </c>
      <c r="P69" s="268">
        <v>8</v>
      </c>
      <c r="Q69" s="268">
        <v>23</v>
      </c>
      <c r="R69" s="268">
        <v>8</v>
      </c>
      <c r="S69" s="268">
        <v>11</v>
      </c>
      <c r="T69" s="268">
        <v>13</v>
      </c>
      <c r="U69" s="268">
        <v>4</v>
      </c>
      <c r="V69" s="268">
        <f>SUM(D69:O69)</f>
        <v>77</v>
      </c>
      <c r="W69" s="268">
        <f>SUM(J69:U69)</f>
        <v>113</v>
      </c>
    </row>
    <row r="70" spans="1:23" x14ac:dyDescent="0.25">
      <c r="A70" s="513" t="s">
        <v>170</v>
      </c>
      <c r="B70" s="603" t="s">
        <v>171</v>
      </c>
      <c r="C70" s="603" t="s">
        <v>267</v>
      </c>
      <c r="D70" s="268"/>
      <c r="E70" s="268"/>
      <c r="F70" s="268">
        <v>1</v>
      </c>
      <c r="G70" s="268">
        <v>21</v>
      </c>
      <c r="H70" s="268">
        <v>26</v>
      </c>
      <c r="I70" s="268">
        <v>17</v>
      </c>
      <c r="J70" s="268">
        <v>10</v>
      </c>
      <c r="K70" s="268">
        <v>16</v>
      </c>
      <c r="L70" s="268">
        <v>20</v>
      </c>
      <c r="M70" s="268">
        <v>24</v>
      </c>
      <c r="N70" s="268">
        <v>17</v>
      </c>
      <c r="O70" s="268">
        <v>24</v>
      </c>
      <c r="P70" s="268">
        <v>3</v>
      </c>
      <c r="Q70" s="268">
        <v>15</v>
      </c>
      <c r="R70" s="268">
        <v>23</v>
      </c>
      <c r="S70" s="268">
        <v>17</v>
      </c>
      <c r="T70" s="268">
        <v>11</v>
      </c>
      <c r="U70" s="268">
        <v>11</v>
      </c>
      <c r="V70" s="268">
        <f>SUM(D70:O70)</f>
        <v>176</v>
      </c>
      <c r="W70" s="268">
        <f>SUM(J70:U70)</f>
        <v>191</v>
      </c>
    </row>
    <row r="71" spans="1:23" x14ac:dyDescent="0.25">
      <c r="A71" s="513" t="s">
        <v>172</v>
      </c>
      <c r="B71" s="603" t="s">
        <v>173</v>
      </c>
      <c r="C71" s="603" t="s">
        <v>267</v>
      </c>
      <c r="D71" s="268"/>
      <c r="E71" s="268"/>
      <c r="F71" s="268"/>
      <c r="G71" s="268">
        <v>22</v>
      </c>
      <c r="H71" s="268">
        <v>5</v>
      </c>
      <c r="I71" s="268">
        <v>16</v>
      </c>
      <c r="J71" s="268">
        <v>23</v>
      </c>
      <c r="K71" s="268">
        <v>17</v>
      </c>
      <c r="L71" s="268">
        <v>25</v>
      </c>
      <c r="M71" s="268">
        <v>18</v>
      </c>
      <c r="N71" s="268">
        <v>13</v>
      </c>
      <c r="O71" s="268">
        <v>24</v>
      </c>
      <c r="P71" s="268">
        <v>13</v>
      </c>
      <c r="Q71" s="268">
        <v>19</v>
      </c>
      <c r="R71" s="268">
        <v>6</v>
      </c>
      <c r="S71" s="268">
        <v>17</v>
      </c>
      <c r="T71" s="268">
        <v>14</v>
      </c>
      <c r="U71" s="268">
        <v>10</v>
      </c>
      <c r="V71" s="268">
        <f>SUM(D71:O71)</f>
        <v>163</v>
      </c>
      <c r="W71" s="268">
        <f>SUM(J71:U71)</f>
        <v>199</v>
      </c>
    </row>
    <row r="72" spans="1:23" x14ac:dyDescent="0.25">
      <c r="A72" s="513" t="s">
        <v>174</v>
      </c>
      <c r="B72" s="603" t="s">
        <v>175</v>
      </c>
      <c r="C72" s="603" t="s">
        <v>268</v>
      </c>
      <c r="D72" s="268"/>
      <c r="E72" s="268"/>
      <c r="F72" s="268">
        <v>1</v>
      </c>
      <c r="G72" s="268">
        <v>11</v>
      </c>
      <c r="H72" s="268">
        <v>13</v>
      </c>
      <c r="I72" s="268">
        <v>14</v>
      </c>
      <c r="J72" s="268">
        <v>9</v>
      </c>
      <c r="K72" s="268">
        <v>9</v>
      </c>
      <c r="L72" s="268">
        <v>11</v>
      </c>
      <c r="M72" s="268">
        <v>16</v>
      </c>
      <c r="N72" s="268">
        <v>10</v>
      </c>
      <c r="O72" s="268">
        <v>15</v>
      </c>
      <c r="P72" s="268">
        <v>18</v>
      </c>
      <c r="Q72" s="268">
        <v>14</v>
      </c>
      <c r="R72" s="268">
        <v>15</v>
      </c>
      <c r="S72" s="268">
        <v>16</v>
      </c>
      <c r="T72" s="268">
        <v>14</v>
      </c>
      <c r="U72" s="268">
        <v>18</v>
      </c>
      <c r="V72" s="268">
        <f>SUM(D72:O72)</f>
        <v>109</v>
      </c>
      <c r="W72" s="268">
        <f>SUM(J72:U72)</f>
        <v>165</v>
      </c>
    </row>
    <row r="73" spans="1:23" x14ac:dyDescent="0.25">
      <c r="A73" s="513" t="s">
        <v>178</v>
      </c>
      <c r="B73" s="603" t="s">
        <v>179</v>
      </c>
      <c r="C73" s="603" t="s">
        <v>265</v>
      </c>
      <c r="D73" s="268">
        <v>27</v>
      </c>
      <c r="E73" s="268">
        <v>30</v>
      </c>
      <c r="F73" s="268">
        <v>39</v>
      </c>
      <c r="G73" s="268">
        <v>34</v>
      </c>
      <c r="H73" s="268">
        <v>32</v>
      </c>
      <c r="I73" s="268">
        <v>31</v>
      </c>
      <c r="J73" s="268">
        <v>28</v>
      </c>
      <c r="K73" s="268">
        <v>17</v>
      </c>
      <c r="L73" s="268">
        <v>23</v>
      </c>
      <c r="M73" s="268">
        <v>28</v>
      </c>
      <c r="N73" s="268">
        <v>37</v>
      </c>
      <c r="O73" s="268">
        <v>34</v>
      </c>
      <c r="P73" s="268">
        <v>41</v>
      </c>
      <c r="Q73" s="268">
        <v>24</v>
      </c>
      <c r="R73" s="268">
        <v>45</v>
      </c>
      <c r="S73" s="268">
        <v>37</v>
      </c>
      <c r="T73" s="268">
        <v>27</v>
      </c>
      <c r="U73" s="268">
        <v>19</v>
      </c>
      <c r="V73" s="268">
        <f>SUM(D73:O73)</f>
        <v>360</v>
      </c>
      <c r="W73" s="268">
        <f>SUM(J73:U73)</f>
        <v>360</v>
      </c>
    </row>
    <row r="74" spans="1:23" x14ac:dyDescent="0.25">
      <c r="A74" s="513" t="s">
        <v>182</v>
      </c>
      <c r="B74" s="603" t="s">
        <v>183</v>
      </c>
      <c r="C74" s="603" t="s">
        <v>266</v>
      </c>
      <c r="D74" s="268"/>
      <c r="E74" s="268"/>
      <c r="F74" s="268"/>
      <c r="G74" s="268">
        <v>2</v>
      </c>
      <c r="H74" s="268">
        <v>6</v>
      </c>
      <c r="I74" s="268">
        <v>5</v>
      </c>
      <c r="J74" s="268">
        <v>7</v>
      </c>
      <c r="K74" s="268">
        <v>5</v>
      </c>
      <c r="L74" s="268">
        <v>5</v>
      </c>
      <c r="M74" s="268">
        <v>4</v>
      </c>
      <c r="N74" s="268">
        <v>5</v>
      </c>
      <c r="O74" s="268">
        <v>7</v>
      </c>
      <c r="P74" s="268">
        <v>8</v>
      </c>
      <c r="Q74" s="268">
        <v>11</v>
      </c>
      <c r="R74" s="268">
        <v>6</v>
      </c>
      <c r="S74" s="268">
        <v>8</v>
      </c>
      <c r="T74" s="268">
        <v>3</v>
      </c>
      <c r="U74" s="268">
        <v>5</v>
      </c>
      <c r="V74" s="268">
        <f>SUM(D74:O74)</f>
        <v>46</v>
      </c>
      <c r="W74" s="268">
        <f>SUM(J74:U74)</f>
        <v>74</v>
      </c>
    </row>
    <row r="75" spans="1:23" x14ac:dyDescent="0.25">
      <c r="A75" s="513" t="s">
        <v>184</v>
      </c>
      <c r="B75" s="603" t="s">
        <v>185</v>
      </c>
      <c r="C75" s="603" t="s">
        <v>266</v>
      </c>
      <c r="D75" s="268"/>
      <c r="E75" s="268"/>
      <c r="F75" s="268">
        <v>1</v>
      </c>
      <c r="G75" s="268">
        <v>27</v>
      </c>
      <c r="H75" s="268">
        <v>14</v>
      </c>
      <c r="I75" s="268">
        <v>4</v>
      </c>
      <c r="J75" s="268">
        <v>12</v>
      </c>
      <c r="K75" s="268">
        <v>8</v>
      </c>
      <c r="L75" s="268">
        <v>15</v>
      </c>
      <c r="M75" s="268">
        <v>9</v>
      </c>
      <c r="N75" s="268">
        <v>18</v>
      </c>
      <c r="O75" s="268">
        <v>15</v>
      </c>
      <c r="P75" s="268">
        <v>15</v>
      </c>
      <c r="Q75" s="268">
        <v>17</v>
      </c>
      <c r="R75" s="268">
        <v>12</v>
      </c>
      <c r="S75" s="268">
        <v>14</v>
      </c>
      <c r="T75" s="268">
        <v>9</v>
      </c>
      <c r="U75" s="268">
        <v>7</v>
      </c>
      <c r="V75" s="268">
        <f>SUM(D75:O75)</f>
        <v>123</v>
      </c>
      <c r="W75" s="268">
        <f>SUM(J75:U75)</f>
        <v>151</v>
      </c>
    </row>
    <row r="76" spans="1:23" x14ac:dyDescent="0.25">
      <c r="A76" s="513" t="s">
        <v>186</v>
      </c>
      <c r="B76" s="603" t="s">
        <v>187</v>
      </c>
      <c r="C76" s="603" t="s">
        <v>264</v>
      </c>
      <c r="D76" s="268"/>
      <c r="E76" s="268"/>
      <c r="F76" s="268">
        <v>1</v>
      </c>
      <c r="G76" s="268">
        <v>27</v>
      </c>
      <c r="H76" s="268">
        <v>14</v>
      </c>
      <c r="I76" s="268">
        <v>20</v>
      </c>
      <c r="J76" s="268">
        <v>23</v>
      </c>
      <c r="K76" s="268">
        <v>9</v>
      </c>
      <c r="L76" s="268">
        <v>24</v>
      </c>
      <c r="M76" s="268">
        <v>19</v>
      </c>
      <c r="N76" s="268">
        <v>24</v>
      </c>
      <c r="O76" s="268">
        <v>20</v>
      </c>
      <c r="P76" s="268">
        <v>15</v>
      </c>
      <c r="Q76" s="268">
        <v>23</v>
      </c>
      <c r="R76" s="268">
        <v>26</v>
      </c>
      <c r="S76" s="268">
        <v>17</v>
      </c>
      <c r="T76" s="268">
        <v>21</v>
      </c>
      <c r="U76" s="268">
        <v>13</v>
      </c>
      <c r="V76" s="268">
        <f>SUM(D76:O76)</f>
        <v>181</v>
      </c>
      <c r="W76" s="268">
        <f>SUM(J76:U76)</f>
        <v>234</v>
      </c>
    </row>
    <row r="77" spans="1:23" x14ac:dyDescent="0.25">
      <c r="A77" s="513" t="s">
        <v>188</v>
      </c>
      <c r="B77" s="603" t="s">
        <v>189</v>
      </c>
      <c r="C77" s="603" t="s">
        <v>267</v>
      </c>
      <c r="D77" s="268"/>
      <c r="E77" s="268"/>
      <c r="F77" s="268">
        <v>5</v>
      </c>
      <c r="G77" s="268">
        <v>342</v>
      </c>
      <c r="H77" s="268">
        <v>287</v>
      </c>
      <c r="I77" s="268">
        <v>245</v>
      </c>
      <c r="J77" s="268">
        <v>316</v>
      </c>
      <c r="K77" s="268">
        <v>197</v>
      </c>
      <c r="L77" s="268">
        <v>258</v>
      </c>
      <c r="M77" s="268">
        <v>181</v>
      </c>
      <c r="N77" s="268">
        <v>249</v>
      </c>
      <c r="O77" s="268">
        <v>234</v>
      </c>
      <c r="P77" s="268">
        <v>249</v>
      </c>
      <c r="Q77" s="268">
        <v>279</v>
      </c>
      <c r="R77" s="268">
        <v>241</v>
      </c>
      <c r="S77" s="268">
        <v>273</v>
      </c>
      <c r="T77" s="268">
        <v>258</v>
      </c>
      <c r="U77" s="268">
        <v>195</v>
      </c>
      <c r="V77" s="268">
        <f>SUM(D77:O77)</f>
        <v>2314</v>
      </c>
      <c r="W77" s="268">
        <f>SUM(J77:U77)</f>
        <v>2930</v>
      </c>
    </row>
    <row r="78" spans="1:23" x14ac:dyDescent="0.25">
      <c r="A78" s="513" t="s">
        <v>190</v>
      </c>
      <c r="B78" s="603" t="s">
        <v>191</v>
      </c>
      <c r="C78" s="603" t="s">
        <v>268</v>
      </c>
      <c r="D78" s="268"/>
      <c r="E78" s="268"/>
      <c r="F78" s="268"/>
      <c r="G78" s="268">
        <v>20</v>
      </c>
      <c r="H78" s="268">
        <v>18</v>
      </c>
      <c r="I78" s="268">
        <v>10</v>
      </c>
      <c r="J78" s="268">
        <v>24</v>
      </c>
      <c r="K78" s="268">
        <v>14</v>
      </c>
      <c r="L78" s="268">
        <v>15</v>
      </c>
      <c r="M78" s="268">
        <v>22</v>
      </c>
      <c r="N78" s="268">
        <v>28</v>
      </c>
      <c r="O78" s="268">
        <v>31</v>
      </c>
      <c r="P78" s="268">
        <v>22</v>
      </c>
      <c r="Q78" s="268">
        <v>24</v>
      </c>
      <c r="R78" s="268">
        <v>24</v>
      </c>
      <c r="S78" s="268">
        <v>30</v>
      </c>
      <c r="T78" s="268">
        <v>30</v>
      </c>
      <c r="U78" s="268">
        <v>16</v>
      </c>
      <c r="V78" s="268">
        <f>SUM(D78:O78)</f>
        <v>182</v>
      </c>
      <c r="W78" s="268">
        <f>SUM(J78:U78)</f>
        <v>280</v>
      </c>
    </row>
    <row r="79" spans="1:23" x14ac:dyDescent="0.25">
      <c r="A79" s="513" t="s">
        <v>194</v>
      </c>
      <c r="B79" s="603" t="s">
        <v>195</v>
      </c>
      <c r="C79" s="603" t="s">
        <v>267</v>
      </c>
      <c r="D79" s="268"/>
      <c r="E79" s="268"/>
      <c r="F79" s="268"/>
      <c r="G79" s="268">
        <v>1</v>
      </c>
      <c r="H79" s="268">
        <v>2</v>
      </c>
      <c r="I79" s="268">
        <v>2</v>
      </c>
      <c r="J79" s="268">
        <v>2</v>
      </c>
      <c r="K79" s="268"/>
      <c r="L79" s="268">
        <v>1</v>
      </c>
      <c r="M79" s="268"/>
      <c r="N79" s="268">
        <v>2</v>
      </c>
      <c r="O79" s="268">
        <v>1</v>
      </c>
      <c r="P79" s="268">
        <v>4</v>
      </c>
      <c r="Q79" s="268">
        <v>4</v>
      </c>
      <c r="R79" s="268">
        <v>1</v>
      </c>
      <c r="S79" s="268">
        <v>1</v>
      </c>
      <c r="T79" s="268">
        <v>1</v>
      </c>
      <c r="U79" s="268"/>
      <c r="V79" s="268">
        <f>SUM(D79:O79)</f>
        <v>11</v>
      </c>
      <c r="W79" s="268">
        <f>SUM(J79:U79)</f>
        <v>17</v>
      </c>
    </row>
    <row r="80" spans="1:23" x14ac:dyDescent="0.25">
      <c r="A80" s="513" t="s">
        <v>198</v>
      </c>
      <c r="B80" s="603" t="s">
        <v>272</v>
      </c>
      <c r="C80" s="603" t="s">
        <v>266</v>
      </c>
      <c r="D80" s="268"/>
      <c r="E80" s="268"/>
      <c r="F80" s="268"/>
      <c r="G80" s="268">
        <v>9</v>
      </c>
      <c r="H80" s="268">
        <v>5</v>
      </c>
      <c r="I80" s="268">
        <v>1</v>
      </c>
      <c r="J80" s="268">
        <v>5</v>
      </c>
      <c r="K80" s="268">
        <v>1</v>
      </c>
      <c r="L80" s="268">
        <v>2</v>
      </c>
      <c r="M80" s="268">
        <v>3</v>
      </c>
      <c r="N80" s="268">
        <v>9</v>
      </c>
      <c r="O80" s="268">
        <v>9</v>
      </c>
      <c r="P80" s="268">
        <v>6</v>
      </c>
      <c r="Q80" s="268">
        <v>6</v>
      </c>
      <c r="R80" s="268">
        <v>4</v>
      </c>
      <c r="S80" s="268">
        <v>7</v>
      </c>
      <c r="T80" s="268">
        <v>1</v>
      </c>
      <c r="U80" s="268">
        <v>5</v>
      </c>
      <c r="V80" s="268">
        <f>SUM(D80:O80)</f>
        <v>44</v>
      </c>
      <c r="W80" s="268">
        <f>SUM(J80:U80)</f>
        <v>58</v>
      </c>
    </row>
    <row r="81" spans="1:23" x14ac:dyDescent="0.25">
      <c r="A81" s="513" t="s">
        <v>202</v>
      </c>
      <c r="B81" s="603" t="s">
        <v>301</v>
      </c>
      <c r="C81" s="603" t="s">
        <v>265</v>
      </c>
      <c r="D81" s="268">
        <v>1</v>
      </c>
      <c r="E81" s="268">
        <v>3</v>
      </c>
      <c r="F81" s="268">
        <v>44</v>
      </c>
      <c r="G81" s="268">
        <v>72</v>
      </c>
      <c r="H81" s="268">
        <v>62</v>
      </c>
      <c r="I81" s="268">
        <v>51</v>
      </c>
      <c r="J81" s="268">
        <v>62</v>
      </c>
      <c r="K81" s="268">
        <v>41</v>
      </c>
      <c r="L81" s="268">
        <v>54</v>
      </c>
      <c r="M81" s="268">
        <v>53</v>
      </c>
      <c r="N81" s="268">
        <v>57</v>
      </c>
      <c r="O81" s="268">
        <v>49</v>
      </c>
      <c r="P81" s="268">
        <v>56</v>
      </c>
      <c r="Q81" s="268">
        <v>55</v>
      </c>
      <c r="R81" s="268">
        <v>44</v>
      </c>
      <c r="S81" s="268">
        <v>58</v>
      </c>
      <c r="T81" s="268">
        <v>54</v>
      </c>
      <c r="U81" s="268">
        <v>35</v>
      </c>
      <c r="V81" s="268">
        <f>SUM(D81:O81)</f>
        <v>549</v>
      </c>
      <c r="W81" s="268">
        <f>SUM(J81:U81)</f>
        <v>618</v>
      </c>
    </row>
    <row r="82" spans="1:23" x14ac:dyDescent="0.25">
      <c r="A82" s="513" t="s">
        <v>204</v>
      </c>
      <c r="B82" s="603" t="s">
        <v>293</v>
      </c>
      <c r="C82" s="603" t="s">
        <v>265</v>
      </c>
      <c r="D82" s="268"/>
      <c r="E82" s="268"/>
      <c r="F82" s="268"/>
      <c r="G82" s="268">
        <v>20</v>
      </c>
      <c r="H82" s="268">
        <v>9</v>
      </c>
      <c r="I82" s="268">
        <v>6</v>
      </c>
      <c r="J82" s="268">
        <v>14</v>
      </c>
      <c r="K82" s="268">
        <v>6</v>
      </c>
      <c r="L82" s="268">
        <v>12</v>
      </c>
      <c r="M82" s="268">
        <v>11</v>
      </c>
      <c r="N82" s="268">
        <v>10</v>
      </c>
      <c r="O82" s="268">
        <v>11</v>
      </c>
      <c r="P82" s="268">
        <v>9</v>
      </c>
      <c r="Q82" s="268">
        <v>18</v>
      </c>
      <c r="R82" s="268">
        <v>15</v>
      </c>
      <c r="S82" s="268">
        <v>9</v>
      </c>
      <c r="T82" s="268">
        <v>15</v>
      </c>
      <c r="U82" s="268">
        <v>10</v>
      </c>
      <c r="V82" s="268">
        <f>SUM(D82:O82)</f>
        <v>99</v>
      </c>
      <c r="W82" s="268">
        <f>SUM(J82:U82)</f>
        <v>140</v>
      </c>
    </row>
    <row r="83" spans="1:23" x14ac:dyDescent="0.25">
      <c r="A83" s="513" t="s">
        <v>206</v>
      </c>
      <c r="B83" s="603" t="s">
        <v>294</v>
      </c>
      <c r="C83" s="603" t="s">
        <v>267</v>
      </c>
      <c r="D83" s="268"/>
      <c r="E83" s="268"/>
      <c r="F83" s="268"/>
      <c r="G83" s="268">
        <v>91</v>
      </c>
      <c r="H83" s="268">
        <v>71</v>
      </c>
      <c r="I83" s="268">
        <v>58</v>
      </c>
      <c r="J83" s="268">
        <v>89</v>
      </c>
      <c r="K83" s="268">
        <v>48</v>
      </c>
      <c r="L83" s="268">
        <v>77</v>
      </c>
      <c r="M83" s="268">
        <v>54</v>
      </c>
      <c r="N83" s="268">
        <v>70</v>
      </c>
      <c r="O83" s="268">
        <v>65</v>
      </c>
      <c r="P83" s="268">
        <v>64</v>
      </c>
      <c r="Q83" s="268">
        <v>82</v>
      </c>
      <c r="R83" s="268">
        <v>71</v>
      </c>
      <c r="S83" s="268">
        <v>73</v>
      </c>
      <c r="T83" s="268">
        <v>61</v>
      </c>
      <c r="U83" s="268">
        <v>64</v>
      </c>
      <c r="V83" s="268">
        <f>SUM(D83:O83)</f>
        <v>623</v>
      </c>
      <c r="W83" s="268">
        <f>SUM(J83:U83)</f>
        <v>818</v>
      </c>
    </row>
    <row r="84" spans="1:23" x14ac:dyDescent="0.25">
      <c r="A84" s="513" t="s">
        <v>208</v>
      </c>
      <c r="B84" s="603" t="s">
        <v>209</v>
      </c>
      <c r="C84" s="603" t="s">
        <v>268</v>
      </c>
      <c r="D84" s="268"/>
      <c r="E84" s="268"/>
      <c r="F84" s="268"/>
      <c r="G84" s="268">
        <v>15</v>
      </c>
      <c r="H84" s="268">
        <v>18</v>
      </c>
      <c r="I84" s="268">
        <v>14</v>
      </c>
      <c r="J84" s="268">
        <v>20</v>
      </c>
      <c r="K84" s="268">
        <v>8</v>
      </c>
      <c r="L84" s="268">
        <v>19</v>
      </c>
      <c r="M84" s="268">
        <v>14</v>
      </c>
      <c r="N84" s="268">
        <v>19</v>
      </c>
      <c r="O84" s="268">
        <v>12</v>
      </c>
      <c r="P84" s="268">
        <v>19</v>
      </c>
      <c r="Q84" s="268">
        <v>14</v>
      </c>
      <c r="R84" s="268">
        <v>16</v>
      </c>
      <c r="S84" s="268">
        <v>15</v>
      </c>
      <c r="T84" s="268">
        <v>21</v>
      </c>
      <c r="U84" s="268">
        <v>12</v>
      </c>
      <c r="V84" s="268">
        <f>SUM(D84:O84)</f>
        <v>139</v>
      </c>
      <c r="W84" s="268">
        <f>SUM(J84:U84)</f>
        <v>189</v>
      </c>
    </row>
    <row r="85" spans="1:23" x14ac:dyDescent="0.25">
      <c r="A85" s="513" t="s">
        <v>210</v>
      </c>
      <c r="B85" s="603" t="s">
        <v>211</v>
      </c>
      <c r="C85" s="603" t="s">
        <v>268</v>
      </c>
      <c r="D85" s="268"/>
      <c r="E85" s="268"/>
      <c r="F85" s="268"/>
      <c r="G85" s="268">
        <v>19</v>
      </c>
      <c r="H85" s="268">
        <v>11</v>
      </c>
      <c r="I85" s="268">
        <v>17</v>
      </c>
      <c r="J85" s="268">
        <v>12</v>
      </c>
      <c r="K85" s="268">
        <v>13</v>
      </c>
      <c r="L85" s="268">
        <v>12</v>
      </c>
      <c r="M85" s="268">
        <v>12</v>
      </c>
      <c r="N85" s="268">
        <v>11</v>
      </c>
      <c r="O85" s="268">
        <v>10</v>
      </c>
      <c r="P85" s="268">
        <v>8</v>
      </c>
      <c r="Q85" s="268">
        <v>12</v>
      </c>
      <c r="R85" s="268">
        <v>11</v>
      </c>
      <c r="S85" s="268">
        <v>19</v>
      </c>
      <c r="T85" s="268">
        <v>15</v>
      </c>
      <c r="U85" s="268">
        <v>3</v>
      </c>
      <c r="V85" s="268">
        <f>SUM(D85:O85)</f>
        <v>117</v>
      </c>
      <c r="W85" s="268">
        <f>SUM(J85:U85)</f>
        <v>138</v>
      </c>
    </row>
    <row r="86" spans="1:23" x14ac:dyDescent="0.25">
      <c r="A86" s="513" t="s">
        <v>212</v>
      </c>
      <c r="B86" s="603" t="s">
        <v>213</v>
      </c>
      <c r="C86" s="603" t="s">
        <v>267</v>
      </c>
      <c r="D86" s="268"/>
      <c r="E86" s="268"/>
      <c r="F86" s="268">
        <v>2</v>
      </c>
      <c r="G86" s="268">
        <v>38</v>
      </c>
      <c r="H86" s="268">
        <v>24</v>
      </c>
      <c r="I86" s="268">
        <v>24</v>
      </c>
      <c r="J86" s="268">
        <v>47</v>
      </c>
      <c r="K86" s="268">
        <v>26</v>
      </c>
      <c r="L86" s="268">
        <v>32</v>
      </c>
      <c r="M86" s="268">
        <v>20</v>
      </c>
      <c r="N86" s="268">
        <v>38</v>
      </c>
      <c r="O86" s="268">
        <v>34</v>
      </c>
      <c r="P86" s="268">
        <v>34</v>
      </c>
      <c r="Q86" s="268">
        <v>35</v>
      </c>
      <c r="R86" s="268">
        <v>45</v>
      </c>
      <c r="S86" s="268">
        <v>52</v>
      </c>
      <c r="T86" s="268">
        <v>19</v>
      </c>
      <c r="U86" s="268">
        <v>20</v>
      </c>
      <c r="V86" s="268">
        <f>SUM(D86:O86)</f>
        <v>285</v>
      </c>
      <c r="W86" s="268">
        <f>SUM(J86:U86)</f>
        <v>402</v>
      </c>
    </row>
    <row r="87" spans="1:23" x14ac:dyDescent="0.25">
      <c r="A87" s="513" t="s">
        <v>214</v>
      </c>
      <c r="B87" s="603" t="s">
        <v>215</v>
      </c>
      <c r="C87" s="603" t="s">
        <v>268</v>
      </c>
      <c r="D87" s="268"/>
      <c r="E87" s="268"/>
      <c r="F87" s="268"/>
      <c r="G87" s="268">
        <v>22</v>
      </c>
      <c r="H87" s="268">
        <v>27</v>
      </c>
      <c r="I87" s="268">
        <v>25</v>
      </c>
      <c r="J87" s="268">
        <v>21</v>
      </c>
      <c r="K87" s="268">
        <v>16</v>
      </c>
      <c r="L87" s="268">
        <v>23</v>
      </c>
      <c r="M87" s="268">
        <v>12</v>
      </c>
      <c r="N87" s="268">
        <v>24</v>
      </c>
      <c r="O87" s="268">
        <v>30</v>
      </c>
      <c r="P87" s="268">
        <v>31</v>
      </c>
      <c r="Q87" s="268">
        <v>25</v>
      </c>
      <c r="R87" s="268">
        <v>21</v>
      </c>
      <c r="S87" s="268">
        <v>22</v>
      </c>
      <c r="T87" s="268">
        <v>22</v>
      </c>
      <c r="U87" s="268">
        <v>9</v>
      </c>
      <c r="V87" s="268">
        <f>SUM(D87:O87)</f>
        <v>200</v>
      </c>
      <c r="W87" s="268">
        <f>SUM(J87:U87)</f>
        <v>256</v>
      </c>
    </row>
    <row r="88" spans="1:23" x14ac:dyDescent="0.25">
      <c r="A88" s="513" t="s">
        <v>216</v>
      </c>
      <c r="B88" s="603" t="s">
        <v>217</v>
      </c>
      <c r="C88" s="603" t="s">
        <v>264</v>
      </c>
      <c r="D88" s="268"/>
      <c r="E88" s="268"/>
      <c r="F88" s="268"/>
      <c r="G88" s="268">
        <v>24</v>
      </c>
      <c r="H88" s="268">
        <v>15</v>
      </c>
      <c r="I88" s="268">
        <v>12</v>
      </c>
      <c r="J88" s="268">
        <v>16</v>
      </c>
      <c r="K88" s="268">
        <v>5</v>
      </c>
      <c r="L88" s="268">
        <v>6</v>
      </c>
      <c r="M88" s="268">
        <v>6</v>
      </c>
      <c r="N88" s="268">
        <v>11</v>
      </c>
      <c r="O88" s="268">
        <v>19</v>
      </c>
      <c r="P88" s="268">
        <v>17</v>
      </c>
      <c r="Q88" s="268">
        <v>16</v>
      </c>
      <c r="R88" s="268">
        <v>17</v>
      </c>
      <c r="S88" s="268">
        <v>18</v>
      </c>
      <c r="T88" s="268">
        <v>8</v>
      </c>
      <c r="U88" s="268">
        <v>6</v>
      </c>
      <c r="V88" s="268">
        <f>SUM(D88:O88)</f>
        <v>114</v>
      </c>
      <c r="W88" s="268">
        <f>SUM(J88:U88)</f>
        <v>145</v>
      </c>
    </row>
    <row r="89" spans="1:23" x14ac:dyDescent="0.25">
      <c r="A89" s="513" t="s">
        <v>218</v>
      </c>
      <c r="B89" s="603" t="s">
        <v>219</v>
      </c>
      <c r="C89" s="603" t="s">
        <v>267</v>
      </c>
      <c r="D89" s="268"/>
      <c r="E89" s="268"/>
      <c r="F89" s="268">
        <v>6</v>
      </c>
      <c r="G89" s="268">
        <v>124</v>
      </c>
      <c r="H89" s="268">
        <v>94</v>
      </c>
      <c r="I89" s="268">
        <v>84</v>
      </c>
      <c r="J89" s="268">
        <v>101</v>
      </c>
      <c r="K89" s="268">
        <v>72</v>
      </c>
      <c r="L89" s="268">
        <v>66</v>
      </c>
      <c r="M89" s="268">
        <v>100</v>
      </c>
      <c r="N89" s="268">
        <v>96</v>
      </c>
      <c r="O89" s="268">
        <v>79</v>
      </c>
      <c r="P89" s="268">
        <v>91</v>
      </c>
      <c r="Q89" s="268">
        <v>106</v>
      </c>
      <c r="R89" s="268">
        <v>116</v>
      </c>
      <c r="S89" s="268">
        <v>110</v>
      </c>
      <c r="T89" s="268">
        <v>96</v>
      </c>
      <c r="U89" s="268">
        <v>74</v>
      </c>
      <c r="V89" s="268">
        <f>SUM(D89:O89)</f>
        <v>822</v>
      </c>
      <c r="W89" s="268">
        <f>SUM(J89:U89)</f>
        <v>1107</v>
      </c>
    </row>
    <row r="90" spans="1:23" x14ac:dyDescent="0.25">
      <c r="A90" s="513" t="s">
        <v>220</v>
      </c>
      <c r="B90" s="603" t="s">
        <v>221</v>
      </c>
      <c r="C90" s="603" t="s">
        <v>267</v>
      </c>
      <c r="D90" s="268"/>
      <c r="E90" s="268">
        <v>1</v>
      </c>
      <c r="F90" s="268">
        <v>24</v>
      </c>
      <c r="G90" s="268">
        <v>87</v>
      </c>
      <c r="H90" s="268">
        <v>82</v>
      </c>
      <c r="I90" s="268">
        <v>61</v>
      </c>
      <c r="J90" s="268">
        <v>75</v>
      </c>
      <c r="K90" s="268">
        <v>80</v>
      </c>
      <c r="L90" s="268">
        <v>72</v>
      </c>
      <c r="M90" s="268">
        <v>63</v>
      </c>
      <c r="N90" s="268">
        <v>80</v>
      </c>
      <c r="O90" s="268">
        <v>78</v>
      </c>
      <c r="P90" s="268">
        <v>79</v>
      </c>
      <c r="Q90" s="268">
        <v>92</v>
      </c>
      <c r="R90" s="268">
        <v>83</v>
      </c>
      <c r="S90" s="268">
        <v>93</v>
      </c>
      <c r="T90" s="268">
        <v>72</v>
      </c>
      <c r="U90" s="268">
        <v>68</v>
      </c>
      <c r="V90" s="268">
        <f>SUM(D90:O90)</f>
        <v>703</v>
      </c>
      <c r="W90" s="268">
        <f>SUM(J90:U90)</f>
        <v>935</v>
      </c>
    </row>
    <row r="91" spans="1:23" x14ac:dyDescent="0.25">
      <c r="A91" s="513" t="s">
        <v>224</v>
      </c>
      <c r="B91" s="603" t="s">
        <v>225</v>
      </c>
      <c r="C91" s="603" t="s">
        <v>264</v>
      </c>
      <c r="D91" s="268"/>
      <c r="E91" s="268"/>
      <c r="F91" s="268"/>
      <c r="G91" s="268">
        <v>6</v>
      </c>
      <c r="H91" s="268">
        <v>5</v>
      </c>
      <c r="I91" s="268">
        <v>1</v>
      </c>
      <c r="J91" s="268">
        <v>6</v>
      </c>
      <c r="K91" s="268">
        <v>2</v>
      </c>
      <c r="L91" s="268">
        <v>3</v>
      </c>
      <c r="M91" s="268">
        <v>2</v>
      </c>
      <c r="N91" s="268">
        <v>5</v>
      </c>
      <c r="O91" s="268">
        <v>4</v>
      </c>
      <c r="P91" s="268">
        <v>4</v>
      </c>
      <c r="Q91" s="268">
        <v>2</v>
      </c>
      <c r="R91" s="268">
        <v>2</v>
      </c>
      <c r="S91" s="268">
        <v>4</v>
      </c>
      <c r="T91" s="268">
        <v>5</v>
      </c>
      <c r="U91" s="268">
        <v>2</v>
      </c>
      <c r="V91" s="268">
        <f>SUM(D91:O91)</f>
        <v>34</v>
      </c>
      <c r="W91" s="268">
        <f>SUM(J91:U91)</f>
        <v>41</v>
      </c>
    </row>
    <row r="92" spans="1:23" x14ac:dyDescent="0.25">
      <c r="A92" s="513" t="s">
        <v>226</v>
      </c>
      <c r="B92" s="603" t="s">
        <v>227</v>
      </c>
      <c r="C92" s="603" t="s">
        <v>264</v>
      </c>
      <c r="D92" s="268"/>
      <c r="E92" s="268"/>
      <c r="F92" s="268">
        <v>1</v>
      </c>
      <c r="G92" s="268">
        <v>11</v>
      </c>
      <c r="H92" s="268">
        <v>5</v>
      </c>
      <c r="I92" s="268">
        <v>7</v>
      </c>
      <c r="J92" s="268">
        <v>14</v>
      </c>
      <c r="K92" s="268">
        <v>8</v>
      </c>
      <c r="L92" s="268">
        <v>6</v>
      </c>
      <c r="M92" s="268">
        <v>14</v>
      </c>
      <c r="N92" s="268">
        <v>8</v>
      </c>
      <c r="O92" s="268">
        <v>11</v>
      </c>
      <c r="P92" s="268">
        <v>16</v>
      </c>
      <c r="Q92" s="268">
        <v>7</v>
      </c>
      <c r="R92" s="268">
        <v>15</v>
      </c>
      <c r="S92" s="268">
        <v>12</v>
      </c>
      <c r="T92" s="268">
        <v>7</v>
      </c>
      <c r="U92" s="268">
        <v>1</v>
      </c>
      <c r="V92" s="268">
        <f>SUM(D92:O92)</f>
        <v>85</v>
      </c>
      <c r="W92" s="268">
        <f>SUM(J92:U92)</f>
        <v>119</v>
      </c>
    </row>
    <row r="93" spans="1:23" x14ac:dyDescent="0.25">
      <c r="A93" s="513" t="s">
        <v>228</v>
      </c>
      <c r="B93" s="603" t="s">
        <v>229</v>
      </c>
      <c r="C93" s="603" t="s">
        <v>268</v>
      </c>
      <c r="D93" s="268"/>
      <c r="E93" s="268"/>
      <c r="F93" s="268"/>
      <c r="G93" s="268">
        <v>29</v>
      </c>
      <c r="H93" s="268">
        <v>23</v>
      </c>
      <c r="I93" s="268">
        <v>22</v>
      </c>
      <c r="J93" s="268">
        <v>30</v>
      </c>
      <c r="K93" s="268">
        <v>33</v>
      </c>
      <c r="L93" s="268">
        <v>27</v>
      </c>
      <c r="M93" s="268">
        <v>23</v>
      </c>
      <c r="N93" s="268">
        <v>28</v>
      </c>
      <c r="O93" s="268">
        <v>33</v>
      </c>
      <c r="P93" s="268">
        <v>17</v>
      </c>
      <c r="Q93" s="268">
        <v>19</v>
      </c>
      <c r="R93" s="268">
        <v>28</v>
      </c>
      <c r="S93" s="268">
        <v>23</v>
      </c>
      <c r="T93" s="268">
        <v>30</v>
      </c>
      <c r="U93" s="268">
        <v>20</v>
      </c>
      <c r="V93" s="268">
        <f>SUM(D93:O93)</f>
        <v>248</v>
      </c>
      <c r="W93" s="268">
        <f>SUM(J93:U93)</f>
        <v>311</v>
      </c>
    </row>
    <row r="94" spans="1:23" x14ac:dyDescent="0.25">
      <c r="A94" s="513" t="s">
        <v>232</v>
      </c>
      <c r="B94" s="603" t="s">
        <v>233</v>
      </c>
      <c r="C94" s="603" t="s">
        <v>267</v>
      </c>
      <c r="D94" s="268"/>
      <c r="E94" s="268"/>
      <c r="F94" s="268"/>
      <c r="G94" s="268">
        <v>23</v>
      </c>
      <c r="H94" s="268">
        <v>22</v>
      </c>
      <c r="I94" s="268">
        <v>30</v>
      </c>
      <c r="J94" s="268">
        <v>39</v>
      </c>
      <c r="K94" s="268">
        <v>18</v>
      </c>
      <c r="L94" s="268">
        <v>23</v>
      </c>
      <c r="M94" s="268">
        <v>27</v>
      </c>
      <c r="N94" s="268">
        <v>26</v>
      </c>
      <c r="O94" s="268">
        <v>37</v>
      </c>
      <c r="P94" s="268">
        <v>32</v>
      </c>
      <c r="Q94" s="268">
        <v>33</v>
      </c>
      <c r="R94" s="268">
        <v>33</v>
      </c>
      <c r="S94" s="268">
        <v>27</v>
      </c>
      <c r="T94" s="268">
        <v>13</v>
      </c>
      <c r="U94" s="268">
        <v>23</v>
      </c>
      <c r="V94" s="268">
        <f>SUM(D94:O94)</f>
        <v>245</v>
      </c>
      <c r="W94" s="268">
        <f>SUM(J94:U94)</f>
        <v>331</v>
      </c>
    </row>
    <row r="95" spans="1:23" x14ac:dyDescent="0.25">
      <c r="A95" s="513" t="s">
        <v>234</v>
      </c>
      <c r="B95" s="603" t="s">
        <v>235</v>
      </c>
      <c r="C95" s="603" t="s">
        <v>268</v>
      </c>
      <c r="D95" s="268"/>
      <c r="E95" s="268"/>
      <c r="F95" s="268">
        <v>1</v>
      </c>
      <c r="G95" s="268">
        <v>33</v>
      </c>
      <c r="H95" s="268">
        <v>33</v>
      </c>
      <c r="I95" s="268">
        <v>27</v>
      </c>
      <c r="J95" s="268">
        <v>38</v>
      </c>
      <c r="K95" s="268">
        <v>23</v>
      </c>
      <c r="L95" s="268">
        <v>28</v>
      </c>
      <c r="M95" s="268">
        <v>23</v>
      </c>
      <c r="N95" s="268">
        <v>36</v>
      </c>
      <c r="O95" s="268">
        <v>22</v>
      </c>
      <c r="P95" s="268">
        <v>34</v>
      </c>
      <c r="Q95" s="268">
        <v>45</v>
      </c>
      <c r="R95" s="268">
        <v>34</v>
      </c>
      <c r="S95" s="268">
        <v>22</v>
      </c>
      <c r="T95" s="268">
        <v>26</v>
      </c>
      <c r="U95" s="268">
        <v>23</v>
      </c>
      <c r="V95" s="268">
        <f>SUM(D95:O95)</f>
        <v>264</v>
      </c>
      <c r="W95" s="268">
        <f>SUM(J95:U95)</f>
        <v>354</v>
      </c>
    </row>
    <row r="96" spans="1:23" x14ac:dyDescent="0.25">
      <c r="A96" s="513" t="s">
        <v>236</v>
      </c>
      <c r="B96" s="603" t="s">
        <v>237</v>
      </c>
      <c r="C96" s="603" t="s">
        <v>266</v>
      </c>
      <c r="D96" s="268"/>
      <c r="E96" s="268"/>
      <c r="F96" s="268"/>
      <c r="G96" s="268">
        <v>16</v>
      </c>
      <c r="H96" s="268">
        <v>13</v>
      </c>
      <c r="I96" s="268">
        <v>14</v>
      </c>
      <c r="J96" s="268">
        <v>15</v>
      </c>
      <c r="K96" s="268">
        <v>7</v>
      </c>
      <c r="L96" s="268">
        <v>11</v>
      </c>
      <c r="M96" s="268">
        <v>14</v>
      </c>
      <c r="N96" s="268">
        <v>15</v>
      </c>
      <c r="O96" s="268">
        <v>18</v>
      </c>
      <c r="P96" s="268">
        <v>16</v>
      </c>
      <c r="Q96" s="268">
        <v>21</v>
      </c>
      <c r="R96" s="268">
        <v>24</v>
      </c>
      <c r="S96" s="268">
        <v>25</v>
      </c>
      <c r="T96" s="268">
        <v>26</v>
      </c>
      <c r="U96" s="268">
        <v>18</v>
      </c>
      <c r="V96" s="268">
        <f>SUM(D96:O96)</f>
        <v>123</v>
      </c>
      <c r="W96" s="268">
        <f>SUM(J96:U96)</f>
        <v>210</v>
      </c>
    </row>
    <row r="97" spans="1:23" x14ac:dyDescent="0.25">
      <c r="A97" s="513" t="s">
        <v>242</v>
      </c>
      <c r="B97" s="603" t="s">
        <v>243</v>
      </c>
      <c r="C97" s="603" t="s">
        <v>268</v>
      </c>
      <c r="D97" s="268"/>
      <c r="E97" s="268"/>
      <c r="F97" s="268"/>
      <c r="G97" s="268">
        <v>28</v>
      </c>
      <c r="H97" s="268">
        <v>31</v>
      </c>
      <c r="I97" s="268">
        <v>22</v>
      </c>
      <c r="J97" s="268">
        <v>35</v>
      </c>
      <c r="K97" s="268">
        <v>15</v>
      </c>
      <c r="L97" s="268">
        <v>23</v>
      </c>
      <c r="M97" s="268">
        <v>20</v>
      </c>
      <c r="N97" s="268">
        <v>30</v>
      </c>
      <c r="O97" s="268">
        <v>27</v>
      </c>
      <c r="P97" s="268">
        <v>27</v>
      </c>
      <c r="Q97" s="268">
        <v>36</v>
      </c>
      <c r="R97" s="268">
        <v>37</v>
      </c>
      <c r="S97" s="268">
        <v>34</v>
      </c>
      <c r="T97" s="268">
        <v>36</v>
      </c>
      <c r="U97" s="268">
        <v>25</v>
      </c>
      <c r="V97" s="268">
        <f>SUM(D97:O97)</f>
        <v>231</v>
      </c>
      <c r="W97" s="268">
        <f>SUM(J97:U97)</f>
        <v>345</v>
      </c>
    </row>
    <row r="98" spans="1:23" x14ac:dyDescent="0.25">
      <c r="A98" s="513" t="s">
        <v>244</v>
      </c>
      <c r="B98" s="603" t="s">
        <v>245</v>
      </c>
      <c r="C98" s="603" t="s">
        <v>268</v>
      </c>
      <c r="D98" s="268"/>
      <c r="E98" s="268"/>
      <c r="F98" s="268">
        <v>1</v>
      </c>
      <c r="G98" s="268">
        <v>21</v>
      </c>
      <c r="H98" s="268">
        <v>24</v>
      </c>
      <c r="I98" s="268">
        <v>18</v>
      </c>
      <c r="J98" s="268">
        <v>20</v>
      </c>
      <c r="K98" s="268">
        <v>21</v>
      </c>
      <c r="L98" s="268">
        <v>18</v>
      </c>
      <c r="M98" s="268">
        <v>23</v>
      </c>
      <c r="N98" s="268">
        <v>26</v>
      </c>
      <c r="O98" s="268">
        <v>26</v>
      </c>
      <c r="P98" s="268">
        <v>23</v>
      </c>
      <c r="Q98" s="268">
        <v>26</v>
      </c>
      <c r="R98" s="268">
        <v>22</v>
      </c>
      <c r="S98" s="268">
        <v>20</v>
      </c>
      <c r="T98" s="268">
        <v>24</v>
      </c>
      <c r="U98" s="268">
        <v>17</v>
      </c>
      <c r="V98" s="268">
        <f>SUM(D98:O98)</f>
        <v>198</v>
      </c>
      <c r="W98" s="268">
        <f>SUM(J98:U98)</f>
        <v>266</v>
      </c>
    </row>
    <row r="99" spans="1:23" x14ac:dyDescent="0.25">
      <c r="A99" s="513" t="s">
        <v>246</v>
      </c>
      <c r="B99" s="603" t="s">
        <v>247</v>
      </c>
      <c r="C99" s="603" t="s">
        <v>264</v>
      </c>
      <c r="D99" s="268"/>
      <c r="E99" s="268"/>
      <c r="F99" s="268"/>
      <c r="G99" s="268">
        <v>32</v>
      </c>
      <c r="H99" s="268">
        <v>19</v>
      </c>
      <c r="I99" s="268">
        <v>13</v>
      </c>
      <c r="J99" s="268">
        <v>23</v>
      </c>
      <c r="K99" s="268">
        <v>11</v>
      </c>
      <c r="L99" s="268">
        <v>20</v>
      </c>
      <c r="M99" s="268">
        <v>19</v>
      </c>
      <c r="N99" s="268">
        <v>28</v>
      </c>
      <c r="O99" s="268">
        <v>27</v>
      </c>
      <c r="P99" s="268">
        <v>32</v>
      </c>
      <c r="Q99" s="268">
        <v>41</v>
      </c>
      <c r="R99" s="268">
        <v>32</v>
      </c>
      <c r="S99" s="268">
        <v>37</v>
      </c>
      <c r="T99" s="268">
        <v>30</v>
      </c>
      <c r="U99" s="268">
        <v>27</v>
      </c>
      <c r="V99" s="268">
        <f>SUM(D99:O99)</f>
        <v>192</v>
      </c>
      <c r="W99" s="268">
        <f>SUM(J99:U99)</f>
        <v>327</v>
      </c>
    </row>
    <row r="100" spans="1:23" x14ac:dyDescent="0.25">
      <c r="A100" s="513" t="s">
        <v>14</v>
      </c>
      <c r="B100" s="603" t="s">
        <v>15</v>
      </c>
      <c r="C100" s="603" t="s">
        <v>267</v>
      </c>
      <c r="D100" s="268"/>
      <c r="E100" s="268"/>
      <c r="F100" s="268">
        <v>13</v>
      </c>
      <c r="G100" s="268">
        <v>99</v>
      </c>
      <c r="H100" s="268">
        <v>82</v>
      </c>
      <c r="I100" s="268">
        <v>80</v>
      </c>
      <c r="J100" s="268">
        <v>95</v>
      </c>
      <c r="K100" s="268">
        <v>116</v>
      </c>
      <c r="L100" s="268">
        <v>174</v>
      </c>
      <c r="M100" s="268">
        <v>120</v>
      </c>
      <c r="N100" s="268">
        <v>107</v>
      </c>
      <c r="O100" s="268">
        <v>105</v>
      </c>
      <c r="P100" s="268">
        <v>104</v>
      </c>
      <c r="Q100" s="268">
        <v>119</v>
      </c>
      <c r="R100" s="268">
        <v>137</v>
      </c>
      <c r="S100" s="268">
        <v>111</v>
      </c>
      <c r="T100" s="268">
        <v>99</v>
      </c>
      <c r="U100" s="268">
        <v>61</v>
      </c>
      <c r="V100" s="268">
        <f>SUM(D100:O100)</f>
        <v>991</v>
      </c>
      <c r="W100" s="268">
        <f>SUM(J100:U100)</f>
        <v>1348</v>
      </c>
    </row>
    <row r="101" spans="1:23" x14ac:dyDescent="0.25">
      <c r="A101" s="513" t="s">
        <v>34</v>
      </c>
      <c r="B101" s="603" t="s">
        <v>35</v>
      </c>
      <c r="C101" s="603" t="s">
        <v>268</v>
      </c>
      <c r="D101" s="268"/>
      <c r="E101" s="268"/>
      <c r="F101" s="268">
        <v>1</v>
      </c>
      <c r="G101" s="268">
        <v>40</v>
      </c>
      <c r="H101" s="268">
        <v>19</v>
      </c>
      <c r="I101" s="268">
        <v>11</v>
      </c>
      <c r="J101" s="268">
        <v>24</v>
      </c>
      <c r="K101" s="268">
        <v>26</v>
      </c>
      <c r="L101" s="268">
        <v>27</v>
      </c>
      <c r="M101" s="268">
        <v>18</v>
      </c>
      <c r="N101" s="268">
        <v>23</v>
      </c>
      <c r="O101" s="268">
        <v>11</v>
      </c>
      <c r="P101" s="268">
        <v>26</v>
      </c>
      <c r="Q101" s="268">
        <v>36</v>
      </c>
      <c r="R101" s="268">
        <v>29</v>
      </c>
      <c r="S101" s="268">
        <v>29</v>
      </c>
      <c r="T101" s="268">
        <v>16</v>
      </c>
      <c r="U101" s="268">
        <v>16</v>
      </c>
      <c r="V101" s="268">
        <f>SUM(D101:O101)</f>
        <v>200</v>
      </c>
      <c r="W101" s="268">
        <f>SUM(J101:U101)</f>
        <v>281</v>
      </c>
    </row>
    <row r="102" spans="1:23" x14ac:dyDescent="0.25">
      <c r="A102" s="513" t="s">
        <v>52</v>
      </c>
      <c r="B102" s="603" t="s">
        <v>53</v>
      </c>
      <c r="C102" s="603" t="s">
        <v>265</v>
      </c>
      <c r="D102" s="268"/>
      <c r="E102" s="268">
        <v>2</v>
      </c>
      <c r="F102" s="268">
        <v>18</v>
      </c>
      <c r="G102" s="268">
        <v>53</v>
      </c>
      <c r="H102" s="268">
        <v>20</v>
      </c>
      <c r="I102" s="268">
        <v>18</v>
      </c>
      <c r="J102" s="268">
        <v>22</v>
      </c>
      <c r="K102" s="268">
        <v>33</v>
      </c>
      <c r="L102" s="268">
        <v>24</v>
      </c>
      <c r="M102" s="268">
        <v>19</v>
      </c>
      <c r="N102" s="268">
        <v>35</v>
      </c>
      <c r="O102" s="268">
        <v>26</v>
      </c>
      <c r="P102" s="268">
        <v>23</v>
      </c>
      <c r="Q102" s="268">
        <v>36</v>
      </c>
      <c r="R102" s="268">
        <v>34</v>
      </c>
      <c r="S102" s="268">
        <v>26</v>
      </c>
      <c r="T102" s="268">
        <v>16</v>
      </c>
      <c r="U102" s="268">
        <v>20</v>
      </c>
      <c r="V102" s="268">
        <f>SUM(D102:O102)</f>
        <v>270</v>
      </c>
      <c r="W102" s="268">
        <f>SUM(J102:U102)</f>
        <v>314</v>
      </c>
    </row>
    <row r="103" spans="1:23" x14ac:dyDescent="0.25">
      <c r="A103" s="513" t="s">
        <v>54</v>
      </c>
      <c r="B103" s="603" t="s">
        <v>55</v>
      </c>
      <c r="C103" s="603" t="s">
        <v>264</v>
      </c>
      <c r="D103" s="268"/>
      <c r="E103" s="268"/>
      <c r="F103" s="268">
        <v>2</v>
      </c>
      <c r="G103" s="268">
        <v>201</v>
      </c>
      <c r="H103" s="268">
        <v>181</v>
      </c>
      <c r="I103" s="268">
        <v>132</v>
      </c>
      <c r="J103" s="268">
        <v>182</v>
      </c>
      <c r="K103" s="268">
        <v>114</v>
      </c>
      <c r="L103" s="268">
        <v>138</v>
      </c>
      <c r="M103" s="268">
        <v>128</v>
      </c>
      <c r="N103" s="268">
        <v>155</v>
      </c>
      <c r="O103" s="268">
        <v>149</v>
      </c>
      <c r="P103" s="268">
        <v>146</v>
      </c>
      <c r="Q103" s="268">
        <v>186</v>
      </c>
      <c r="R103" s="268">
        <v>170</v>
      </c>
      <c r="S103" s="268">
        <v>169</v>
      </c>
      <c r="T103" s="268">
        <v>152</v>
      </c>
      <c r="U103" s="268">
        <v>128</v>
      </c>
      <c r="V103" s="268">
        <f>SUM(D103:O103)</f>
        <v>1382</v>
      </c>
      <c r="W103" s="268">
        <f>SUM(J103:U103)</f>
        <v>1817</v>
      </c>
    </row>
    <row r="104" spans="1:23" x14ac:dyDescent="0.25">
      <c r="A104" s="513" t="s">
        <v>66</v>
      </c>
      <c r="B104" s="603" t="s">
        <v>67</v>
      </c>
      <c r="C104" s="603" t="s">
        <v>265</v>
      </c>
      <c r="D104" s="268"/>
      <c r="E104" s="268">
        <v>1</v>
      </c>
      <c r="F104" s="268">
        <v>32</v>
      </c>
      <c r="G104" s="268">
        <v>59</v>
      </c>
      <c r="H104" s="268">
        <v>50</v>
      </c>
      <c r="I104" s="268">
        <v>35</v>
      </c>
      <c r="J104" s="268">
        <v>44</v>
      </c>
      <c r="K104" s="268">
        <v>23</v>
      </c>
      <c r="L104" s="268">
        <v>31</v>
      </c>
      <c r="M104" s="268">
        <v>27</v>
      </c>
      <c r="N104" s="268">
        <v>44</v>
      </c>
      <c r="O104" s="268">
        <v>46</v>
      </c>
      <c r="P104" s="268">
        <v>48</v>
      </c>
      <c r="Q104" s="268">
        <v>45</v>
      </c>
      <c r="R104" s="268">
        <v>43</v>
      </c>
      <c r="S104" s="268">
        <v>50</v>
      </c>
      <c r="T104" s="268">
        <v>32</v>
      </c>
      <c r="U104" s="268">
        <v>33</v>
      </c>
      <c r="V104" s="268">
        <f>SUM(D104:O104)</f>
        <v>392</v>
      </c>
      <c r="W104" s="268">
        <f>SUM(J104:U104)</f>
        <v>466</v>
      </c>
    </row>
    <row r="105" spans="1:23" x14ac:dyDescent="0.25">
      <c r="A105" s="513" t="s">
        <v>82</v>
      </c>
      <c r="B105" s="603" t="s">
        <v>83</v>
      </c>
      <c r="C105" s="603" t="s">
        <v>264</v>
      </c>
      <c r="D105" s="268"/>
      <c r="E105" s="268"/>
      <c r="F105" s="268"/>
      <c r="G105" s="268">
        <v>13</v>
      </c>
      <c r="H105" s="268">
        <v>14</v>
      </c>
      <c r="I105" s="268">
        <v>6</v>
      </c>
      <c r="J105" s="268">
        <v>11</v>
      </c>
      <c r="K105" s="268">
        <v>13</v>
      </c>
      <c r="L105" s="268">
        <v>13</v>
      </c>
      <c r="M105" s="268">
        <v>17</v>
      </c>
      <c r="N105" s="268">
        <v>26</v>
      </c>
      <c r="O105" s="268">
        <v>13</v>
      </c>
      <c r="P105" s="268">
        <v>13</v>
      </c>
      <c r="Q105" s="268">
        <v>12</v>
      </c>
      <c r="R105" s="268">
        <v>14</v>
      </c>
      <c r="S105" s="268">
        <v>10</v>
      </c>
      <c r="T105" s="268">
        <v>15</v>
      </c>
      <c r="U105" s="268">
        <v>13</v>
      </c>
      <c r="V105" s="268">
        <f>SUM(D105:O105)</f>
        <v>126</v>
      </c>
      <c r="W105" s="268">
        <f>SUM(J105:U105)</f>
        <v>170</v>
      </c>
    </row>
    <row r="106" spans="1:23" x14ac:dyDescent="0.25">
      <c r="A106" s="513" t="s">
        <v>88</v>
      </c>
      <c r="B106" s="603" t="s">
        <v>89</v>
      </c>
      <c r="C106" s="603" t="s">
        <v>267</v>
      </c>
      <c r="D106" s="268"/>
      <c r="E106" s="268"/>
      <c r="F106" s="268">
        <v>1</v>
      </c>
      <c r="G106" s="268">
        <v>52</v>
      </c>
      <c r="H106" s="268">
        <v>41</v>
      </c>
      <c r="I106" s="268">
        <v>45</v>
      </c>
      <c r="J106" s="268">
        <v>41</v>
      </c>
      <c r="K106" s="268">
        <v>29</v>
      </c>
      <c r="L106" s="268">
        <v>33</v>
      </c>
      <c r="M106" s="268">
        <v>31</v>
      </c>
      <c r="N106" s="268">
        <v>26</v>
      </c>
      <c r="O106" s="268">
        <v>28</v>
      </c>
      <c r="P106" s="268">
        <v>42</v>
      </c>
      <c r="Q106" s="268">
        <v>36</v>
      </c>
      <c r="R106" s="268">
        <v>41</v>
      </c>
      <c r="S106" s="268">
        <v>38</v>
      </c>
      <c r="T106" s="268">
        <v>34</v>
      </c>
      <c r="U106" s="268">
        <v>24</v>
      </c>
      <c r="V106" s="268">
        <f>SUM(D106:O106)</f>
        <v>327</v>
      </c>
      <c r="W106" s="268">
        <f>SUM(J106:U106)</f>
        <v>403</v>
      </c>
    </row>
    <row r="107" spans="1:23" x14ac:dyDescent="0.25">
      <c r="A107" s="513" t="s">
        <v>90</v>
      </c>
      <c r="B107" s="603" t="s">
        <v>91</v>
      </c>
      <c r="C107" s="603" t="s">
        <v>268</v>
      </c>
      <c r="D107" s="268"/>
      <c r="E107" s="268"/>
      <c r="F107" s="268"/>
      <c r="G107" s="268">
        <v>5</v>
      </c>
      <c r="H107" s="268">
        <v>3</v>
      </c>
      <c r="I107" s="268">
        <v>2</v>
      </c>
      <c r="J107" s="268">
        <v>3</v>
      </c>
      <c r="K107" s="268">
        <v>24</v>
      </c>
      <c r="L107" s="268">
        <v>4</v>
      </c>
      <c r="M107" s="268">
        <v>3</v>
      </c>
      <c r="N107" s="268">
        <v>4</v>
      </c>
      <c r="O107" s="268">
        <v>5</v>
      </c>
      <c r="P107" s="268">
        <v>6</v>
      </c>
      <c r="Q107" s="268">
        <v>2</v>
      </c>
      <c r="R107" s="268">
        <v>1</v>
      </c>
      <c r="S107" s="268">
        <v>1</v>
      </c>
      <c r="T107" s="268">
        <v>3</v>
      </c>
      <c r="U107" s="268">
        <v>2</v>
      </c>
      <c r="V107" s="268">
        <f>SUM(D107:O107)</f>
        <v>53</v>
      </c>
      <c r="W107" s="268">
        <f>SUM(J107:U107)</f>
        <v>58</v>
      </c>
    </row>
    <row r="108" spans="1:23" x14ac:dyDescent="0.25">
      <c r="A108" s="513" t="s">
        <v>106</v>
      </c>
      <c r="B108" s="603" t="s">
        <v>107</v>
      </c>
      <c r="C108" s="603" t="s">
        <v>264</v>
      </c>
      <c r="D108" s="268"/>
      <c r="E108" s="268"/>
      <c r="F108" s="268">
        <v>1</v>
      </c>
      <c r="G108" s="268">
        <v>209</v>
      </c>
      <c r="H108" s="268">
        <v>168</v>
      </c>
      <c r="I108" s="268">
        <v>164</v>
      </c>
      <c r="J108" s="268">
        <v>161</v>
      </c>
      <c r="K108" s="268">
        <v>110</v>
      </c>
      <c r="L108" s="268">
        <v>154</v>
      </c>
      <c r="M108" s="268">
        <v>121</v>
      </c>
      <c r="N108" s="268">
        <v>148</v>
      </c>
      <c r="O108" s="268">
        <v>155</v>
      </c>
      <c r="P108" s="268">
        <v>163</v>
      </c>
      <c r="Q108" s="268">
        <v>186</v>
      </c>
      <c r="R108" s="268">
        <v>167</v>
      </c>
      <c r="S108" s="268">
        <v>142</v>
      </c>
      <c r="T108" s="268">
        <v>151</v>
      </c>
      <c r="U108" s="268">
        <v>117</v>
      </c>
      <c r="V108" s="268">
        <f>SUM(D108:O108)</f>
        <v>1391</v>
      </c>
      <c r="W108" s="268">
        <f>SUM(J108:U108)</f>
        <v>1775</v>
      </c>
    </row>
    <row r="109" spans="1:23" x14ac:dyDescent="0.25">
      <c r="A109" s="513" t="s">
        <v>116</v>
      </c>
      <c r="B109" s="603" t="s">
        <v>117</v>
      </c>
      <c r="C109" s="603" t="s">
        <v>266</v>
      </c>
      <c r="D109" s="268"/>
      <c r="E109" s="268"/>
      <c r="F109" s="268"/>
      <c r="G109" s="268">
        <v>35</v>
      </c>
      <c r="H109" s="268">
        <v>33</v>
      </c>
      <c r="I109" s="268">
        <v>27</v>
      </c>
      <c r="J109" s="268">
        <v>28</v>
      </c>
      <c r="K109" s="268">
        <v>27</v>
      </c>
      <c r="L109" s="268">
        <v>26</v>
      </c>
      <c r="M109" s="268">
        <v>35</v>
      </c>
      <c r="N109" s="268">
        <v>51</v>
      </c>
      <c r="O109" s="268">
        <v>35</v>
      </c>
      <c r="P109" s="268">
        <v>42</v>
      </c>
      <c r="Q109" s="268">
        <v>43</v>
      </c>
      <c r="R109" s="268">
        <v>50</v>
      </c>
      <c r="S109" s="268">
        <v>41</v>
      </c>
      <c r="T109" s="268">
        <v>36</v>
      </c>
      <c r="U109" s="268">
        <v>16</v>
      </c>
      <c r="V109" s="268">
        <f>SUM(D109:O109)</f>
        <v>297</v>
      </c>
      <c r="W109" s="268">
        <f>SUM(J109:U109)</f>
        <v>430</v>
      </c>
    </row>
    <row r="110" spans="1:23" x14ac:dyDescent="0.25">
      <c r="A110" s="513" t="s">
        <v>138</v>
      </c>
      <c r="B110" s="603" t="s">
        <v>139</v>
      </c>
      <c r="C110" s="603" t="s">
        <v>265</v>
      </c>
      <c r="D110" s="268"/>
      <c r="E110" s="268">
        <v>2</v>
      </c>
      <c r="F110" s="268">
        <v>27</v>
      </c>
      <c r="G110" s="268">
        <v>82</v>
      </c>
      <c r="H110" s="268">
        <v>51</v>
      </c>
      <c r="I110" s="268">
        <v>68</v>
      </c>
      <c r="J110" s="268">
        <v>57</v>
      </c>
      <c r="K110" s="268">
        <v>39</v>
      </c>
      <c r="L110" s="268">
        <v>68</v>
      </c>
      <c r="M110" s="268">
        <v>71</v>
      </c>
      <c r="N110" s="268">
        <v>72</v>
      </c>
      <c r="O110" s="268">
        <v>73</v>
      </c>
      <c r="P110" s="268">
        <v>91</v>
      </c>
      <c r="Q110" s="268">
        <v>105</v>
      </c>
      <c r="R110" s="268">
        <v>57</v>
      </c>
      <c r="S110" s="268">
        <v>66</v>
      </c>
      <c r="T110" s="268">
        <v>67</v>
      </c>
      <c r="U110" s="268">
        <v>47</v>
      </c>
      <c r="V110" s="268">
        <f>SUM(D110:O110)</f>
        <v>610</v>
      </c>
      <c r="W110" s="268">
        <f>SUM(J110:U110)</f>
        <v>813</v>
      </c>
    </row>
    <row r="111" spans="1:23" x14ac:dyDescent="0.25">
      <c r="A111" s="513" t="s">
        <v>142</v>
      </c>
      <c r="B111" s="603" t="s">
        <v>143</v>
      </c>
      <c r="C111" s="603" t="s">
        <v>267</v>
      </c>
      <c r="D111" s="268"/>
      <c r="E111" s="268"/>
      <c r="F111" s="268"/>
      <c r="G111" s="268">
        <v>29</v>
      </c>
      <c r="H111" s="268">
        <v>40</v>
      </c>
      <c r="I111" s="268">
        <v>32</v>
      </c>
      <c r="J111" s="268">
        <v>32</v>
      </c>
      <c r="K111" s="268">
        <v>19</v>
      </c>
      <c r="L111" s="268">
        <v>15</v>
      </c>
      <c r="M111" s="268">
        <v>27</v>
      </c>
      <c r="N111" s="268">
        <v>30</v>
      </c>
      <c r="O111" s="268">
        <v>25</v>
      </c>
      <c r="P111" s="268">
        <v>33</v>
      </c>
      <c r="Q111" s="268">
        <v>37</v>
      </c>
      <c r="R111" s="268">
        <v>25</v>
      </c>
      <c r="S111" s="268">
        <v>31</v>
      </c>
      <c r="T111" s="268">
        <v>26</v>
      </c>
      <c r="U111" s="268">
        <v>12</v>
      </c>
      <c r="V111" s="268">
        <f>SUM(D111:O111)</f>
        <v>249</v>
      </c>
      <c r="W111" s="268">
        <f>SUM(J111:U111)</f>
        <v>312</v>
      </c>
    </row>
    <row r="112" spans="1:23" x14ac:dyDescent="0.25">
      <c r="A112" s="513" t="s">
        <v>144</v>
      </c>
      <c r="B112" s="603" t="s">
        <v>145</v>
      </c>
      <c r="C112" s="603" t="s">
        <v>267</v>
      </c>
      <c r="D112" s="268"/>
      <c r="E112" s="268"/>
      <c r="F112" s="268">
        <v>2</v>
      </c>
      <c r="G112" s="268">
        <v>13</v>
      </c>
      <c r="H112" s="268">
        <v>10</v>
      </c>
      <c r="I112" s="268">
        <v>10</v>
      </c>
      <c r="J112" s="268">
        <v>20</v>
      </c>
      <c r="K112" s="268">
        <v>6</v>
      </c>
      <c r="L112" s="268">
        <v>11</v>
      </c>
      <c r="M112" s="268">
        <v>7</v>
      </c>
      <c r="N112" s="268">
        <v>12</v>
      </c>
      <c r="O112" s="268">
        <v>14</v>
      </c>
      <c r="P112" s="268">
        <v>4</v>
      </c>
      <c r="Q112" s="268">
        <v>14</v>
      </c>
      <c r="R112" s="268">
        <v>8</v>
      </c>
      <c r="S112" s="268">
        <v>9</v>
      </c>
      <c r="T112" s="268">
        <v>2</v>
      </c>
      <c r="U112" s="268">
        <v>6</v>
      </c>
      <c r="V112" s="268">
        <f>SUM(D112:O112)</f>
        <v>105</v>
      </c>
      <c r="W112" s="268">
        <f>SUM(J112:U112)</f>
        <v>113</v>
      </c>
    </row>
    <row r="113" spans="1:23" x14ac:dyDescent="0.25">
      <c r="A113" s="513" t="s">
        <v>158</v>
      </c>
      <c r="B113" s="603" t="s">
        <v>159</v>
      </c>
      <c r="C113" s="603" t="s">
        <v>264</v>
      </c>
      <c r="D113" s="268"/>
      <c r="E113" s="268"/>
      <c r="F113" s="268">
        <v>7</v>
      </c>
      <c r="G113" s="268">
        <v>304</v>
      </c>
      <c r="H113" s="268">
        <v>259</v>
      </c>
      <c r="I113" s="268">
        <v>222</v>
      </c>
      <c r="J113" s="268">
        <v>273</v>
      </c>
      <c r="K113" s="268">
        <v>177</v>
      </c>
      <c r="L113" s="268">
        <v>252</v>
      </c>
      <c r="M113" s="268">
        <v>229</v>
      </c>
      <c r="N113" s="268">
        <v>249</v>
      </c>
      <c r="O113" s="268">
        <v>255</v>
      </c>
      <c r="P113" s="268">
        <v>297</v>
      </c>
      <c r="Q113" s="268">
        <v>306</v>
      </c>
      <c r="R113" s="268">
        <v>315</v>
      </c>
      <c r="S113" s="268">
        <v>294</v>
      </c>
      <c r="T113" s="268">
        <v>243</v>
      </c>
      <c r="U113" s="268">
        <v>194</v>
      </c>
      <c r="V113" s="268">
        <f>SUM(D113:O113)</f>
        <v>2227</v>
      </c>
      <c r="W113" s="268">
        <f>SUM(J113:U113)</f>
        <v>3084</v>
      </c>
    </row>
    <row r="114" spans="1:23" x14ac:dyDescent="0.25">
      <c r="A114" s="513" t="s">
        <v>160</v>
      </c>
      <c r="B114" s="603" t="s">
        <v>161</v>
      </c>
      <c r="C114" s="603" t="s">
        <v>264</v>
      </c>
      <c r="D114" s="268"/>
      <c r="E114" s="268"/>
      <c r="F114" s="268">
        <v>35</v>
      </c>
      <c r="G114" s="268">
        <v>319</v>
      </c>
      <c r="H114" s="268">
        <v>301</v>
      </c>
      <c r="I114" s="268">
        <v>218</v>
      </c>
      <c r="J114" s="268">
        <v>249</v>
      </c>
      <c r="K114" s="268">
        <v>216</v>
      </c>
      <c r="L114" s="268">
        <v>246</v>
      </c>
      <c r="M114" s="268">
        <v>227</v>
      </c>
      <c r="N114" s="268">
        <v>268</v>
      </c>
      <c r="O114" s="268">
        <v>268</v>
      </c>
      <c r="P114" s="268">
        <v>273</v>
      </c>
      <c r="Q114" s="268">
        <v>291</v>
      </c>
      <c r="R114" s="268">
        <v>278</v>
      </c>
      <c r="S114" s="268">
        <v>253</v>
      </c>
      <c r="T114" s="268">
        <v>271</v>
      </c>
      <c r="U114" s="268">
        <v>218</v>
      </c>
      <c r="V114" s="268">
        <f>SUM(D114:O114)</f>
        <v>2347</v>
      </c>
      <c r="W114" s="268">
        <f>SUM(J114:U114)</f>
        <v>3058</v>
      </c>
    </row>
    <row r="115" spans="1:23" x14ac:dyDescent="0.25">
      <c r="A115" s="513" t="s">
        <v>166</v>
      </c>
      <c r="B115" s="603" t="s">
        <v>167</v>
      </c>
      <c r="C115" s="603" t="s">
        <v>268</v>
      </c>
      <c r="D115" s="268"/>
      <c r="E115" s="268"/>
      <c r="F115" s="268"/>
      <c r="G115" s="268">
        <v>5</v>
      </c>
      <c r="H115" s="268">
        <v>3</v>
      </c>
      <c r="I115" s="268">
        <v>3</v>
      </c>
      <c r="J115" s="268">
        <v>3</v>
      </c>
      <c r="K115" s="268"/>
      <c r="L115" s="268">
        <v>3</v>
      </c>
      <c r="M115" s="268">
        <v>5</v>
      </c>
      <c r="N115" s="268">
        <v>4</v>
      </c>
      <c r="O115" s="268">
        <v>5</v>
      </c>
      <c r="P115" s="268">
        <v>4</v>
      </c>
      <c r="Q115" s="268">
        <v>3</v>
      </c>
      <c r="R115" s="268">
        <v>3</v>
      </c>
      <c r="S115" s="268">
        <v>3</v>
      </c>
      <c r="T115" s="268">
        <v>5</v>
      </c>
      <c r="U115" s="268">
        <v>2</v>
      </c>
      <c r="V115" s="268">
        <f>SUM(D115:O115)</f>
        <v>31</v>
      </c>
      <c r="W115" s="268">
        <f>SUM(J115:U115)</f>
        <v>40</v>
      </c>
    </row>
    <row r="116" spans="1:23" x14ac:dyDescent="0.25">
      <c r="A116" s="513" t="s">
        <v>176</v>
      </c>
      <c r="B116" s="603" t="s">
        <v>177</v>
      </c>
      <c r="C116" s="603" t="s">
        <v>266</v>
      </c>
      <c r="D116" s="268"/>
      <c r="E116" s="268"/>
      <c r="F116" s="268">
        <v>11</v>
      </c>
      <c r="G116" s="268">
        <v>80</v>
      </c>
      <c r="H116" s="268">
        <v>46</v>
      </c>
      <c r="I116" s="268">
        <v>57</v>
      </c>
      <c r="J116" s="268">
        <v>72</v>
      </c>
      <c r="K116" s="268">
        <v>51</v>
      </c>
      <c r="L116" s="268">
        <v>65</v>
      </c>
      <c r="M116" s="268">
        <v>59</v>
      </c>
      <c r="N116" s="268">
        <v>78</v>
      </c>
      <c r="O116" s="268">
        <v>71</v>
      </c>
      <c r="P116" s="268">
        <v>96</v>
      </c>
      <c r="Q116" s="268">
        <v>71</v>
      </c>
      <c r="R116" s="268">
        <v>100</v>
      </c>
      <c r="S116" s="268">
        <v>87</v>
      </c>
      <c r="T116" s="268">
        <v>76</v>
      </c>
      <c r="U116" s="268">
        <v>62</v>
      </c>
      <c r="V116" s="268">
        <f>SUM(D116:O116)</f>
        <v>590</v>
      </c>
      <c r="W116" s="268">
        <f>SUM(J116:U116)</f>
        <v>888</v>
      </c>
    </row>
    <row r="117" spans="1:23" x14ac:dyDescent="0.25">
      <c r="A117" s="513" t="s">
        <v>180</v>
      </c>
      <c r="B117" s="603" t="s">
        <v>181</v>
      </c>
      <c r="C117" s="603" t="s">
        <v>264</v>
      </c>
      <c r="D117" s="268"/>
      <c r="E117" s="268"/>
      <c r="F117" s="268">
        <v>4</v>
      </c>
      <c r="G117" s="268">
        <v>143</v>
      </c>
      <c r="H117" s="268">
        <v>145</v>
      </c>
      <c r="I117" s="268">
        <v>131</v>
      </c>
      <c r="J117" s="268">
        <v>132</v>
      </c>
      <c r="K117" s="268">
        <v>97</v>
      </c>
      <c r="L117" s="268">
        <v>128</v>
      </c>
      <c r="M117" s="268">
        <v>125</v>
      </c>
      <c r="N117" s="268">
        <v>145</v>
      </c>
      <c r="O117" s="268">
        <v>131</v>
      </c>
      <c r="P117" s="268">
        <v>149</v>
      </c>
      <c r="Q117" s="268">
        <v>141</v>
      </c>
      <c r="R117" s="268">
        <v>159</v>
      </c>
      <c r="S117" s="268">
        <v>160</v>
      </c>
      <c r="T117" s="268">
        <v>114</v>
      </c>
      <c r="U117" s="268">
        <v>104</v>
      </c>
      <c r="V117" s="268">
        <f>SUM(D117:O117)</f>
        <v>1181</v>
      </c>
      <c r="W117" s="268">
        <f>SUM(J117:U117)</f>
        <v>1585</v>
      </c>
    </row>
    <row r="118" spans="1:23" x14ac:dyDescent="0.25">
      <c r="A118" s="513" t="s">
        <v>192</v>
      </c>
      <c r="B118" s="603" t="s">
        <v>193</v>
      </c>
      <c r="C118" s="603" t="s">
        <v>268</v>
      </c>
      <c r="D118" s="268"/>
      <c r="E118" s="268"/>
      <c r="F118" s="268"/>
      <c r="G118" s="268">
        <v>13</v>
      </c>
      <c r="H118" s="268">
        <v>10</v>
      </c>
      <c r="I118" s="268">
        <v>6</v>
      </c>
      <c r="J118" s="268">
        <v>9</v>
      </c>
      <c r="K118" s="268">
        <v>5</v>
      </c>
      <c r="L118" s="268">
        <v>9</v>
      </c>
      <c r="M118" s="268">
        <v>9</v>
      </c>
      <c r="N118" s="268">
        <v>4</v>
      </c>
      <c r="O118" s="268">
        <v>4</v>
      </c>
      <c r="P118" s="268">
        <v>6</v>
      </c>
      <c r="Q118" s="268">
        <v>10</v>
      </c>
      <c r="R118" s="268">
        <v>6</v>
      </c>
      <c r="S118" s="268">
        <v>8</v>
      </c>
      <c r="T118" s="268">
        <v>8</v>
      </c>
      <c r="U118" s="268">
        <v>7</v>
      </c>
      <c r="V118" s="268">
        <f>SUM(D118:O118)</f>
        <v>69</v>
      </c>
      <c r="W118" s="268">
        <f>SUM(J118:U118)</f>
        <v>85</v>
      </c>
    </row>
    <row r="119" spans="1:23" x14ac:dyDescent="0.25">
      <c r="A119" s="513" t="s">
        <v>196</v>
      </c>
      <c r="B119" s="603" t="s">
        <v>197</v>
      </c>
      <c r="C119" s="603" t="s">
        <v>266</v>
      </c>
      <c r="D119" s="268"/>
      <c r="E119" s="268"/>
      <c r="F119" s="268">
        <v>14</v>
      </c>
      <c r="G119" s="268">
        <v>285</v>
      </c>
      <c r="H119" s="268">
        <v>235</v>
      </c>
      <c r="I119" s="268">
        <v>215</v>
      </c>
      <c r="J119" s="268">
        <v>253</v>
      </c>
      <c r="K119" s="268">
        <v>236</v>
      </c>
      <c r="L119" s="268">
        <v>239</v>
      </c>
      <c r="M119" s="268">
        <v>201</v>
      </c>
      <c r="N119" s="268">
        <v>217</v>
      </c>
      <c r="O119" s="268">
        <v>217</v>
      </c>
      <c r="P119" s="268">
        <v>261</v>
      </c>
      <c r="Q119" s="268">
        <v>270</v>
      </c>
      <c r="R119" s="268">
        <v>254</v>
      </c>
      <c r="S119" s="268">
        <v>217</v>
      </c>
      <c r="T119" s="268">
        <v>212</v>
      </c>
      <c r="U119" s="268">
        <v>190</v>
      </c>
      <c r="V119" s="268">
        <f>SUM(D119:O119)</f>
        <v>2112</v>
      </c>
      <c r="W119" s="268">
        <f>SUM(J119:U119)</f>
        <v>2767</v>
      </c>
    </row>
    <row r="120" spans="1:23" x14ac:dyDescent="0.25">
      <c r="A120" s="513" t="s">
        <v>200</v>
      </c>
      <c r="B120" s="603" t="s">
        <v>201</v>
      </c>
      <c r="C120" s="603" t="s">
        <v>265</v>
      </c>
      <c r="D120" s="268">
        <v>1</v>
      </c>
      <c r="E120" s="268">
        <v>3</v>
      </c>
      <c r="F120" s="268">
        <v>83</v>
      </c>
      <c r="G120" s="268">
        <v>171</v>
      </c>
      <c r="H120" s="268">
        <v>151</v>
      </c>
      <c r="I120" s="268">
        <v>181</v>
      </c>
      <c r="J120" s="268">
        <v>159</v>
      </c>
      <c r="K120" s="268">
        <v>104</v>
      </c>
      <c r="L120" s="268">
        <v>141</v>
      </c>
      <c r="M120" s="268">
        <v>121</v>
      </c>
      <c r="N120" s="268">
        <v>153</v>
      </c>
      <c r="O120" s="268">
        <v>135</v>
      </c>
      <c r="P120" s="268">
        <v>178</v>
      </c>
      <c r="Q120" s="268">
        <v>167</v>
      </c>
      <c r="R120" s="268">
        <v>144</v>
      </c>
      <c r="S120" s="268">
        <v>132</v>
      </c>
      <c r="T120" s="268">
        <v>118</v>
      </c>
      <c r="U120" s="268">
        <v>123</v>
      </c>
      <c r="V120" s="268">
        <f>SUM(D120:O120)</f>
        <v>1403</v>
      </c>
      <c r="W120" s="268">
        <f>SUM(J120:U120)</f>
        <v>1675</v>
      </c>
    </row>
    <row r="121" spans="1:23" x14ac:dyDescent="0.25">
      <c r="A121" s="513" t="s">
        <v>222</v>
      </c>
      <c r="B121" s="603" t="s">
        <v>223</v>
      </c>
      <c r="C121" s="603" t="s">
        <v>264</v>
      </c>
      <c r="D121" s="268"/>
      <c r="E121" s="268"/>
      <c r="F121" s="268">
        <v>1</v>
      </c>
      <c r="G121" s="268">
        <v>80</v>
      </c>
      <c r="H121" s="268">
        <v>71</v>
      </c>
      <c r="I121" s="268">
        <v>66</v>
      </c>
      <c r="J121" s="268">
        <v>66</v>
      </c>
      <c r="K121" s="268">
        <v>42</v>
      </c>
      <c r="L121" s="268">
        <v>133</v>
      </c>
      <c r="M121" s="268">
        <v>77</v>
      </c>
      <c r="N121" s="268">
        <v>66</v>
      </c>
      <c r="O121" s="268">
        <v>72</v>
      </c>
      <c r="P121" s="268">
        <v>61</v>
      </c>
      <c r="Q121" s="268">
        <v>85</v>
      </c>
      <c r="R121" s="268">
        <v>74</v>
      </c>
      <c r="S121" s="268">
        <v>64</v>
      </c>
      <c r="T121" s="268">
        <v>71</v>
      </c>
      <c r="U121" s="268">
        <v>54</v>
      </c>
      <c r="V121" s="268">
        <f>SUM(D121:O121)</f>
        <v>674</v>
      </c>
      <c r="W121" s="268">
        <f>SUM(J121:U121)</f>
        <v>865</v>
      </c>
    </row>
    <row r="122" spans="1:23" x14ac:dyDescent="0.25">
      <c r="A122" s="513" t="s">
        <v>230</v>
      </c>
      <c r="B122" s="603" t="s">
        <v>231</v>
      </c>
      <c r="C122" s="603" t="s">
        <v>264</v>
      </c>
      <c r="D122" s="268"/>
      <c r="E122" s="268">
        <v>2</v>
      </c>
      <c r="F122" s="268">
        <v>29</v>
      </c>
      <c r="G122" s="268">
        <v>328</v>
      </c>
      <c r="H122" s="268">
        <v>252</v>
      </c>
      <c r="I122" s="268">
        <v>203</v>
      </c>
      <c r="J122" s="268">
        <v>260</v>
      </c>
      <c r="K122" s="268">
        <v>169</v>
      </c>
      <c r="L122" s="268">
        <v>227</v>
      </c>
      <c r="M122" s="268">
        <v>230</v>
      </c>
      <c r="N122" s="268">
        <v>228</v>
      </c>
      <c r="O122" s="268">
        <v>228</v>
      </c>
      <c r="P122" s="268">
        <v>229</v>
      </c>
      <c r="Q122" s="268">
        <v>305</v>
      </c>
      <c r="R122" s="268">
        <v>238</v>
      </c>
      <c r="S122" s="268">
        <v>236</v>
      </c>
      <c r="T122" s="268">
        <v>197</v>
      </c>
      <c r="U122" s="268">
        <v>195</v>
      </c>
      <c r="V122" s="268">
        <f>SUM(D122:O122)</f>
        <v>2156</v>
      </c>
      <c r="W122" s="268">
        <f>SUM(J122:U122)</f>
        <v>2742</v>
      </c>
    </row>
    <row r="123" spans="1:23" x14ac:dyDescent="0.25">
      <c r="A123" s="513" t="s">
        <v>238</v>
      </c>
      <c r="B123" s="603" t="s">
        <v>239</v>
      </c>
      <c r="C123" s="603" t="s">
        <v>264</v>
      </c>
      <c r="D123" s="268"/>
      <c r="E123" s="268"/>
      <c r="F123" s="268"/>
      <c r="G123" s="268">
        <v>3</v>
      </c>
      <c r="H123" s="268">
        <v>4</v>
      </c>
      <c r="I123" s="268">
        <v>3</v>
      </c>
      <c r="J123" s="268">
        <v>8</v>
      </c>
      <c r="K123" s="268">
        <v>5</v>
      </c>
      <c r="L123" s="268">
        <v>2</v>
      </c>
      <c r="M123" s="268">
        <v>2</v>
      </c>
      <c r="N123" s="268">
        <v>6</v>
      </c>
      <c r="O123" s="268">
        <v>2</v>
      </c>
      <c r="P123" s="268">
        <v>11</v>
      </c>
      <c r="Q123" s="268">
        <v>9</v>
      </c>
      <c r="R123" s="268">
        <v>8</v>
      </c>
      <c r="S123" s="268">
        <v>6</v>
      </c>
      <c r="T123" s="268">
        <v>4</v>
      </c>
      <c r="U123" s="268">
        <v>6</v>
      </c>
      <c r="V123" s="268">
        <f>SUM(D123:O123)</f>
        <v>35</v>
      </c>
      <c r="W123" s="268">
        <f>SUM(J123:U123)</f>
        <v>69</v>
      </c>
    </row>
    <row r="124" spans="1:23" x14ac:dyDescent="0.25">
      <c r="A124" s="514" t="s">
        <v>240</v>
      </c>
      <c r="B124" s="517" t="s">
        <v>241</v>
      </c>
      <c r="C124" s="517" t="s">
        <v>267</v>
      </c>
      <c r="D124" s="268"/>
      <c r="E124" s="268"/>
      <c r="F124" s="268"/>
      <c r="G124" s="268">
        <v>39</v>
      </c>
      <c r="H124" s="268">
        <v>23</v>
      </c>
      <c r="I124" s="268">
        <v>25</v>
      </c>
      <c r="J124" s="268">
        <v>35</v>
      </c>
      <c r="K124" s="268">
        <v>26</v>
      </c>
      <c r="L124" s="268">
        <v>24</v>
      </c>
      <c r="M124" s="268">
        <v>28</v>
      </c>
      <c r="N124" s="268">
        <v>34</v>
      </c>
      <c r="O124" s="268">
        <v>34</v>
      </c>
      <c r="P124" s="268">
        <v>31</v>
      </c>
      <c r="Q124" s="268">
        <v>24</v>
      </c>
      <c r="R124" s="268">
        <v>38</v>
      </c>
      <c r="S124" s="268">
        <v>33</v>
      </c>
      <c r="T124" s="268">
        <v>35</v>
      </c>
      <c r="U124" s="268">
        <v>27</v>
      </c>
      <c r="V124" s="268">
        <f>SUM(D124:O124)</f>
        <v>268</v>
      </c>
      <c r="W124" s="268">
        <f>SUM(J124:U124)</f>
        <v>369</v>
      </c>
    </row>
    <row r="126" spans="1:23" ht="65.25" customHeight="1" x14ac:dyDescent="0.25">
      <c r="A126" s="2737" t="s">
        <v>1455</v>
      </c>
      <c r="B126" s="2737"/>
      <c r="C126" s="2737"/>
    </row>
    <row r="128" spans="1:23" s="389" customFormat="1" x14ac:dyDescent="0.25">
      <c r="A128" s="389" t="s">
        <v>248</v>
      </c>
    </row>
    <row r="129" spans="1:3" s="389" customFormat="1" x14ac:dyDescent="0.25">
      <c r="A129" s="390" t="s">
        <v>249</v>
      </c>
      <c r="B129" s="391" t="s">
        <v>250</v>
      </c>
      <c r="C129" s="391"/>
    </row>
  </sheetData>
  <sortState ref="A5:W124">
    <sortCondition ref="A5:A124"/>
  </sortState>
  <mergeCells count="1">
    <mergeCell ref="A126:C126"/>
  </mergeCells>
  <hyperlinks>
    <hyperlink ref="B129"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129"/>
  <sheetViews>
    <sheetView topLeftCell="A95" zoomScale="86" zoomScaleNormal="86" workbookViewId="0">
      <selection activeCell="I126" sqref="I126"/>
    </sheetView>
  </sheetViews>
  <sheetFormatPr defaultRowHeight="15.75" x14ac:dyDescent="0.25"/>
  <cols>
    <col min="1" max="1" width="9" style="505"/>
    <col min="2" max="2" width="33.375" style="505" customWidth="1"/>
    <col min="3" max="3" width="16.75" style="505" customWidth="1"/>
    <col min="4" max="4" width="7.25" style="505" customWidth="1"/>
    <col min="5" max="6" width="9.125" style="505" bestFit="1" customWidth="1"/>
    <col min="7" max="7" width="9.875" style="505" bestFit="1" customWidth="1"/>
    <col min="8" max="15" width="10.125" style="505" bestFit="1" customWidth="1"/>
    <col min="16" max="21" width="10.125" style="505" customWidth="1"/>
    <col min="22" max="22" width="11.125" style="505" bestFit="1" customWidth="1"/>
    <col min="23" max="23" width="11.125" style="505" customWidth="1"/>
    <col min="24" max="16384" width="9" style="505"/>
  </cols>
  <sheetData>
    <row r="1" spans="1:23" ht="12.75" customHeight="1" x14ac:dyDescent="0.25">
      <c r="A1" s="255" t="s">
        <v>1368</v>
      </c>
    </row>
    <row r="3" spans="1:23" ht="53.25" customHeight="1" x14ac:dyDescent="0.25">
      <c r="A3" s="510" t="s">
        <v>4</v>
      </c>
      <c r="B3" s="567" t="s">
        <v>5</v>
      </c>
      <c r="C3" s="567" t="s">
        <v>251</v>
      </c>
      <c r="D3" s="1675">
        <v>42552</v>
      </c>
      <c r="E3" s="1675">
        <v>42583</v>
      </c>
      <c r="F3" s="1675">
        <v>42614</v>
      </c>
      <c r="G3" s="1675">
        <v>42644</v>
      </c>
      <c r="H3" s="1676">
        <v>42675</v>
      </c>
      <c r="I3" s="1676">
        <v>42705</v>
      </c>
      <c r="J3" s="1676">
        <v>42736</v>
      </c>
      <c r="K3" s="1676">
        <v>42767</v>
      </c>
      <c r="L3" s="1676">
        <v>42795</v>
      </c>
      <c r="M3" s="1676">
        <v>42826</v>
      </c>
      <c r="N3" s="1676">
        <v>42856</v>
      </c>
      <c r="O3" s="1676">
        <v>42887</v>
      </c>
      <c r="P3" s="1676">
        <v>42917</v>
      </c>
      <c r="Q3" s="1676">
        <v>42948</v>
      </c>
      <c r="R3" s="1676">
        <v>42979</v>
      </c>
      <c r="S3" s="1676">
        <v>43009</v>
      </c>
      <c r="T3" s="1676">
        <v>43040</v>
      </c>
      <c r="U3" s="1676">
        <v>43070</v>
      </c>
      <c r="V3" s="1677" t="s">
        <v>1216</v>
      </c>
      <c r="W3" s="1677" t="s">
        <v>1365</v>
      </c>
    </row>
    <row r="4" spans="1:23" x14ac:dyDescent="0.25">
      <c r="A4" s="599">
        <v>999</v>
      </c>
      <c r="B4" s="600" t="s">
        <v>9</v>
      </c>
      <c r="C4" s="600"/>
      <c r="D4" s="1678">
        <f>SUM(D5:D124)</f>
        <v>16</v>
      </c>
      <c r="E4" s="1679">
        <f t="shared" ref="E4:W4" si="0">SUM(E5:E124)</f>
        <v>38</v>
      </c>
      <c r="F4" s="1679">
        <f t="shared" si="0"/>
        <v>134</v>
      </c>
      <c r="G4" s="1679">
        <f t="shared" si="0"/>
        <v>2711</v>
      </c>
      <c r="H4" s="1680">
        <f t="shared" si="0"/>
        <v>5673</v>
      </c>
      <c r="I4" s="1680">
        <f t="shared" si="0"/>
        <v>5123</v>
      </c>
      <c r="J4" s="1680">
        <f t="shared" si="0"/>
        <v>4685</v>
      </c>
      <c r="K4" s="1680">
        <f t="shared" si="0"/>
        <v>4737</v>
      </c>
      <c r="L4" s="1680">
        <f t="shared" si="0"/>
        <v>4918</v>
      </c>
      <c r="M4" s="1680">
        <f t="shared" si="0"/>
        <v>4285</v>
      </c>
      <c r="N4" s="1680">
        <f t="shared" si="0"/>
        <v>4856</v>
      </c>
      <c r="O4" s="1680">
        <f t="shared" si="0"/>
        <v>5047</v>
      </c>
      <c r="P4" s="2357">
        <f t="shared" si="0"/>
        <v>4773</v>
      </c>
      <c r="Q4" s="2357">
        <f t="shared" si="0"/>
        <v>5908</v>
      </c>
      <c r="R4" s="2357">
        <f t="shared" si="0"/>
        <v>5320</v>
      </c>
      <c r="S4" s="2357">
        <f t="shared" si="0"/>
        <v>5548</v>
      </c>
      <c r="T4" s="2357">
        <f t="shared" si="0"/>
        <v>4982</v>
      </c>
      <c r="U4" s="2357">
        <f t="shared" si="0"/>
        <v>4460</v>
      </c>
      <c r="V4" s="1680">
        <f t="shared" si="0"/>
        <v>42223</v>
      </c>
      <c r="W4" s="2357">
        <f t="shared" si="0"/>
        <v>59519</v>
      </c>
    </row>
    <row r="5" spans="1:23" x14ac:dyDescent="0.25">
      <c r="A5" s="512" t="s">
        <v>10</v>
      </c>
      <c r="B5" s="569" t="s">
        <v>11</v>
      </c>
      <c r="C5" s="569" t="s">
        <v>264</v>
      </c>
      <c r="D5" s="268"/>
      <c r="E5" s="268"/>
      <c r="F5" s="268"/>
      <c r="G5" s="268">
        <v>7</v>
      </c>
      <c r="H5" s="268">
        <v>26</v>
      </c>
      <c r="I5" s="268">
        <v>19</v>
      </c>
      <c r="J5" s="268">
        <v>26</v>
      </c>
      <c r="K5" s="268">
        <v>13</v>
      </c>
      <c r="L5" s="268">
        <v>21</v>
      </c>
      <c r="M5" s="268">
        <v>26</v>
      </c>
      <c r="N5" s="268">
        <v>23</v>
      </c>
      <c r="O5" s="268">
        <v>18</v>
      </c>
      <c r="P5" s="268">
        <v>24</v>
      </c>
      <c r="Q5" s="268">
        <v>33</v>
      </c>
      <c r="R5" s="268">
        <v>28</v>
      </c>
      <c r="S5" s="268">
        <v>30</v>
      </c>
      <c r="T5" s="268">
        <v>14</v>
      </c>
      <c r="U5" s="268">
        <v>23</v>
      </c>
      <c r="V5" s="268">
        <f>SUM(D5:O5)</f>
        <v>179</v>
      </c>
      <c r="W5" s="268">
        <f>SUM(J5:U5)</f>
        <v>279</v>
      </c>
    </row>
    <row r="6" spans="1:23" x14ac:dyDescent="0.25">
      <c r="A6" s="513" t="s">
        <v>12</v>
      </c>
      <c r="B6" s="603" t="s">
        <v>13</v>
      </c>
      <c r="C6" s="603" t="s">
        <v>265</v>
      </c>
      <c r="D6" s="268"/>
      <c r="E6" s="268"/>
      <c r="F6" s="268">
        <v>12</v>
      </c>
      <c r="G6" s="268">
        <v>25</v>
      </c>
      <c r="H6" s="268">
        <v>39</v>
      </c>
      <c r="I6" s="268">
        <v>24</v>
      </c>
      <c r="J6" s="268">
        <v>44</v>
      </c>
      <c r="K6" s="268">
        <v>32</v>
      </c>
      <c r="L6" s="268">
        <v>28</v>
      </c>
      <c r="M6" s="268">
        <v>30</v>
      </c>
      <c r="N6" s="268">
        <v>30</v>
      </c>
      <c r="O6" s="268">
        <v>41</v>
      </c>
      <c r="P6" s="268">
        <v>20</v>
      </c>
      <c r="Q6" s="268">
        <v>36</v>
      </c>
      <c r="R6" s="268">
        <v>37</v>
      </c>
      <c r="S6" s="268">
        <v>30</v>
      </c>
      <c r="T6" s="268">
        <v>41</v>
      </c>
      <c r="U6" s="268">
        <v>29</v>
      </c>
      <c r="V6" s="268">
        <f>SUM(D6:O6)</f>
        <v>305</v>
      </c>
      <c r="W6" s="268">
        <f>SUM(J6:U6)</f>
        <v>398</v>
      </c>
    </row>
    <row r="7" spans="1:23" x14ac:dyDescent="0.25">
      <c r="A7" s="513" t="s">
        <v>16</v>
      </c>
      <c r="B7" s="603" t="s">
        <v>297</v>
      </c>
      <c r="C7" s="603" t="s">
        <v>265</v>
      </c>
      <c r="D7" s="268"/>
      <c r="E7" s="268"/>
      <c r="F7" s="268"/>
      <c r="G7" s="268">
        <v>4</v>
      </c>
      <c r="H7" s="268">
        <v>22</v>
      </c>
      <c r="I7" s="268">
        <v>15</v>
      </c>
      <c r="J7" s="268">
        <v>7</v>
      </c>
      <c r="K7" s="268">
        <v>6</v>
      </c>
      <c r="L7" s="268">
        <v>15</v>
      </c>
      <c r="M7" s="268">
        <v>10</v>
      </c>
      <c r="N7" s="268">
        <v>11</v>
      </c>
      <c r="O7" s="268">
        <v>15</v>
      </c>
      <c r="P7" s="268">
        <v>10</v>
      </c>
      <c r="Q7" s="268">
        <v>16</v>
      </c>
      <c r="R7" s="268">
        <v>16</v>
      </c>
      <c r="S7" s="268">
        <v>13</v>
      </c>
      <c r="T7" s="268">
        <v>16</v>
      </c>
      <c r="U7" s="268">
        <v>16</v>
      </c>
      <c r="V7" s="268">
        <f>SUM(D7:O7)</f>
        <v>105</v>
      </c>
      <c r="W7" s="268">
        <f>SUM(J7:U7)</f>
        <v>151</v>
      </c>
    </row>
    <row r="8" spans="1:23" x14ac:dyDescent="0.25">
      <c r="A8" s="513" t="s">
        <v>18</v>
      </c>
      <c r="B8" s="603" t="s">
        <v>19</v>
      </c>
      <c r="C8" s="603" t="s">
        <v>266</v>
      </c>
      <c r="D8" s="268"/>
      <c r="E8" s="268"/>
      <c r="F8" s="268"/>
      <c r="G8" s="268">
        <v>2</v>
      </c>
      <c r="H8" s="268">
        <v>15</v>
      </c>
      <c r="I8" s="268">
        <v>11</v>
      </c>
      <c r="J8" s="268">
        <v>2</v>
      </c>
      <c r="K8" s="268">
        <v>3</v>
      </c>
      <c r="L8" s="268">
        <v>4</v>
      </c>
      <c r="M8" s="268">
        <v>6</v>
      </c>
      <c r="N8" s="268">
        <v>3</v>
      </c>
      <c r="O8" s="268">
        <v>14</v>
      </c>
      <c r="P8" s="268">
        <v>8</v>
      </c>
      <c r="Q8" s="268">
        <v>7</v>
      </c>
      <c r="R8" s="268">
        <v>6</v>
      </c>
      <c r="S8" s="268">
        <v>7</v>
      </c>
      <c r="T8" s="268">
        <v>9</v>
      </c>
      <c r="U8" s="268">
        <v>12</v>
      </c>
      <c r="V8" s="268">
        <f>SUM(D8:O8)</f>
        <v>60</v>
      </c>
      <c r="W8" s="268">
        <f>SUM(J8:U8)</f>
        <v>81</v>
      </c>
    </row>
    <row r="9" spans="1:23" x14ac:dyDescent="0.25">
      <c r="A9" s="513" t="s">
        <v>20</v>
      </c>
      <c r="B9" s="603" t="s">
        <v>21</v>
      </c>
      <c r="C9" s="603" t="s">
        <v>265</v>
      </c>
      <c r="D9" s="268"/>
      <c r="E9" s="268"/>
      <c r="F9" s="268"/>
      <c r="G9" s="268">
        <v>8</v>
      </c>
      <c r="H9" s="268">
        <v>15</v>
      </c>
      <c r="I9" s="268">
        <v>18</v>
      </c>
      <c r="J9" s="268">
        <v>14</v>
      </c>
      <c r="K9" s="268">
        <v>13</v>
      </c>
      <c r="L9" s="268">
        <v>11</v>
      </c>
      <c r="M9" s="268">
        <v>15</v>
      </c>
      <c r="N9" s="268">
        <v>10</v>
      </c>
      <c r="O9" s="268">
        <v>10</v>
      </c>
      <c r="P9" s="268">
        <v>14</v>
      </c>
      <c r="Q9" s="268">
        <v>21</v>
      </c>
      <c r="R9" s="268">
        <v>18</v>
      </c>
      <c r="S9" s="268">
        <v>25</v>
      </c>
      <c r="T9" s="268">
        <v>26</v>
      </c>
      <c r="U9" s="268">
        <v>14</v>
      </c>
      <c r="V9" s="268">
        <f>SUM(D9:O9)</f>
        <v>114</v>
      </c>
      <c r="W9" s="268">
        <f>SUM(J9:U9)</f>
        <v>191</v>
      </c>
    </row>
    <row r="10" spans="1:23" x14ac:dyDescent="0.25">
      <c r="A10" s="513" t="s">
        <v>22</v>
      </c>
      <c r="B10" s="603" t="s">
        <v>23</v>
      </c>
      <c r="C10" s="603" t="s">
        <v>265</v>
      </c>
      <c r="D10" s="268"/>
      <c r="E10" s="268"/>
      <c r="F10" s="268"/>
      <c r="G10" s="268">
        <v>6</v>
      </c>
      <c r="H10" s="268">
        <v>8</v>
      </c>
      <c r="I10" s="268">
        <v>5</v>
      </c>
      <c r="J10" s="268">
        <v>2</v>
      </c>
      <c r="K10" s="268">
        <v>6</v>
      </c>
      <c r="L10" s="268">
        <v>6</v>
      </c>
      <c r="M10" s="268">
        <v>10</v>
      </c>
      <c r="N10" s="268">
        <v>7</v>
      </c>
      <c r="O10" s="268">
        <v>13</v>
      </c>
      <c r="P10" s="268">
        <v>13</v>
      </c>
      <c r="Q10" s="268">
        <v>12</v>
      </c>
      <c r="R10" s="268">
        <v>15</v>
      </c>
      <c r="S10" s="268">
        <v>13</v>
      </c>
      <c r="T10" s="268">
        <v>13</v>
      </c>
      <c r="U10" s="268">
        <v>8</v>
      </c>
      <c r="V10" s="268">
        <f>SUM(D10:O10)</f>
        <v>63</v>
      </c>
      <c r="W10" s="268">
        <f>SUM(J10:U10)</f>
        <v>118</v>
      </c>
    </row>
    <row r="11" spans="1:23" x14ac:dyDescent="0.25">
      <c r="A11" s="513" t="s">
        <v>24</v>
      </c>
      <c r="B11" s="603" t="s">
        <v>25</v>
      </c>
      <c r="C11" s="603" t="s">
        <v>267</v>
      </c>
      <c r="D11" s="268"/>
      <c r="E11" s="268"/>
      <c r="F11" s="268"/>
      <c r="G11" s="268">
        <v>19</v>
      </c>
      <c r="H11" s="268">
        <v>36</v>
      </c>
      <c r="I11" s="268">
        <v>42</v>
      </c>
      <c r="J11" s="268">
        <v>26</v>
      </c>
      <c r="K11" s="268">
        <v>38</v>
      </c>
      <c r="L11" s="268">
        <v>37</v>
      </c>
      <c r="M11" s="268">
        <v>35</v>
      </c>
      <c r="N11" s="268">
        <v>31</v>
      </c>
      <c r="O11" s="268">
        <v>33</v>
      </c>
      <c r="P11" s="268">
        <v>38</v>
      </c>
      <c r="Q11" s="268">
        <v>42</v>
      </c>
      <c r="R11" s="268">
        <v>45</v>
      </c>
      <c r="S11" s="268">
        <v>50</v>
      </c>
      <c r="T11" s="268">
        <v>41</v>
      </c>
      <c r="U11" s="268">
        <v>39</v>
      </c>
      <c r="V11" s="268">
        <f>SUM(D11:O11)</f>
        <v>297</v>
      </c>
      <c r="W11" s="268">
        <f>SUM(J11:U11)</f>
        <v>455</v>
      </c>
    </row>
    <row r="12" spans="1:23" x14ac:dyDescent="0.25">
      <c r="A12" s="513" t="s">
        <v>26</v>
      </c>
      <c r="B12" s="603" t="s">
        <v>685</v>
      </c>
      <c r="C12" s="603" t="s">
        <v>265</v>
      </c>
      <c r="D12" s="268"/>
      <c r="E12" s="268"/>
      <c r="F12" s="268"/>
      <c r="G12" s="268">
        <v>47</v>
      </c>
      <c r="H12" s="268">
        <v>93</v>
      </c>
      <c r="I12" s="268">
        <v>71</v>
      </c>
      <c r="J12" s="268">
        <v>85</v>
      </c>
      <c r="K12" s="268">
        <v>89</v>
      </c>
      <c r="L12" s="268">
        <v>75</v>
      </c>
      <c r="M12" s="268">
        <v>64</v>
      </c>
      <c r="N12" s="268">
        <v>86</v>
      </c>
      <c r="O12" s="268">
        <v>92</v>
      </c>
      <c r="P12" s="268">
        <v>87</v>
      </c>
      <c r="Q12" s="268">
        <v>104</v>
      </c>
      <c r="R12" s="268">
        <v>116</v>
      </c>
      <c r="S12" s="268">
        <v>99</v>
      </c>
      <c r="T12" s="268">
        <v>83</v>
      </c>
      <c r="U12" s="268">
        <v>60</v>
      </c>
      <c r="V12" s="268">
        <f>SUM(D12:O12)</f>
        <v>702</v>
      </c>
      <c r="W12" s="268">
        <f>SUM(J12:U12)</f>
        <v>1040</v>
      </c>
    </row>
    <row r="13" spans="1:23" x14ac:dyDescent="0.25">
      <c r="A13" s="513" t="s">
        <v>27</v>
      </c>
      <c r="B13" s="603" t="s">
        <v>28</v>
      </c>
      <c r="C13" s="603" t="s">
        <v>265</v>
      </c>
      <c r="D13" s="268"/>
      <c r="E13" s="268"/>
      <c r="F13" s="268"/>
      <c r="G13" s="268"/>
      <c r="H13" s="268">
        <v>1</v>
      </c>
      <c r="I13" s="268"/>
      <c r="J13" s="268">
        <v>1</v>
      </c>
      <c r="K13" s="268"/>
      <c r="L13" s="268">
        <v>1</v>
      </c>
      <c r="M13" s="268"/>
      <c r="N13" s="268"/>
      <c r="O13" s="268">
        <v>2</v>
      </c>
      <c r="P13" s="268">
        <v>1</v>
      </c>
      <c r="Q13" s="268">
        <v>2</v>
      </c>
      <c r="R13" s="268">
        <v>1</v>
      </c>
      <c r="S13" s="268">
        <v>2</v>
      </c>
      <c r="T13" s="268">
        <v>2</v>
      </c>
      <c r="U13" s="268"/>
      <c r="V13" s="268">
        <f>SUM(D13:O13)</f>
        <v>5</v>
      </c>
      <c r="W13" s="268">
        <f>SUM(J13:U13)</f>
        <v>12</v>
      </c>
    </row>
    <row r="14" spans="1:23" x14ac:dyDescent="0.25">
      <c r="A14" s="513" t="s">
        <v>29</v>
      </c>
      <c r="B14" s="603" t="s">
        <v>901</v>
      </c>
      <c r="C14" s="603" t="s">
        <v>265</v>
      </c>
      <c r="D14" s="268"/>
      <c r="E14" s="268"/>
      <c r="F14" s="268">
        <v>3</v>
      </c>
      <c r="G14" s="268">
        <v>27</v>
      </c>
      <c r="H14" s="268">
        <v>33</v>
      </c>
      <c r="I14" s="268">
        <v>43</v>
      </c>
      <c r="J14" s="268">
        <v>28</v>
      </c>
      <c r="K14" s="268">
        <v>37</v>
      </c>
      <c r="L14" s="268">
        <v>28</v>
      </c>
      <c r="M14" s="268">
        <v>32</v>
      </c>
      <c r="N14" s="268">
        <v>27</v>
      </c>
      <c r="O14" s="268">
        <v>43</v>
      </c>
      <c r="P14" s="268">
        <v>33</v>
      </c>
      <c r="Q14" s="268">
        <v>48</v>
      </c>
      <c r="R14" s="268">
        <v>27</v>
      </c>
      <c r="S14" s="268">
        <v>35</v>
      </c>
      <c r="T14" s="268">
        <v>43</v>
      </c>
      <c r="U14" s="268">
        <v>36</v>
      </c>
      <c r="V14" s="268">
        <f>SUM(D14:O14)</f>
        <v>301</v>
      </c>
      <c r="W14" s="268">
        <f>SUM(J14:U14)</f>
        <v>417</v>
      </c>
    </row>
    <row r="15" spans="1:23" x14ac:dyDescent="0.25">
      <c r="A15" s="513" t="s">
        <v>30</v>
      </c>
      <c r="B15" s="603" t="s">
        <v>31</v>
      </c>
      <c r="C15" s="603" t="s">
        <v>268</v>
      </c>
      <c r="D15" s="268"/>
      <c r="E15" s="268"/>
      <c r="F15" s="268"/>
      <c r="G15" s="268">
        <v>2</v>
      </c>
      <c r="H15" s="268">
        <v>5</v>
      </c>
      <c r="I15" s="268"/>
      <c r="J15" s="268">
        <v>4</v>
      </c>
      <c r="K15" s="268">
        <v>2</v>
      </c>
      <c r="L15" s="268"/>
      <c r="M15" s="268">
        <v>4</v>
      </c>
      <c r="N15" s="268">
        <v>2</v>
      </c>
      <c r="O15" s="268">
        <v>1</v>
      </c>
      <c r="P15" s="268">
        <v>4</v>
      </c>
      <c r="Q15" s="268">
        <v>4</v>
      </c>
      <c r="R15" s="268">
        <v>1</v>
      </c>
      <c r="S15" s="268">
        <v>2</v>
      </c>
      <c r="T15" s="268"/>
      <c r="U15" s="268">
        <v>1</v>
      </c>
      <c r="V15" s="268">
        <f>SUM(D15:O15)</f>
        <v>20</v>
      </c>
      <c r="W15" s="268">
        <f>SUM(J15:U15)</f>
        <v>25</v>
      </c>
    </row>
    <row r="16" spans="1:23" x14ac:dyDescent="0.25">
      <c r="A16" s="513" t="s">
        <v>32</v>
      </c>
      <c r="B16" s="603" t="s">
        <v>33</v>
      </c>
      <c r="C16" s="603" t="s">
        <v>265</v>
      </c>
      <c r="D16" s="268"/>
      <c r="E16" s="268"/>
      <c r="F16" s="268"/>
      <c r="G16" s="268">
        <v>9</v>
      </c>
      <c r="H16" s="268">
        <v>6</v>
      </c>
      <c r="I16" s="268">
        <v>9</v>
      </c>
      <c r="J16" s="268">
        <v>6</v>
      </c>
      <c r="K16" s="268">
        <v>8</v>
      </c>
      <c r="L16" s="268">
        <v>5</v>
      </c>
      <c r="M16" s="268">
        <v>6</v>
      </c>
      <c r="N16" s="268">
        <v>8</v>
      </c>
      <c r="O16" s="268">
        <v>9</v>
      </c>
      <c r="P16" s="268">
        <v>8</v>
      </c>
      <c r="Q16" s="268">
        <v>10</v>
      </c>
      <c r="R16" s="268">
        <v>8</v>
      </c>
      <c r="S16" s="268">
        <v>8</v>
      </c>
      <c r="T16" s="268">
        <v>9</v>
      </c>
      <c r="U16" s="268">
        <v>9</v>
      </c>
      <c r="V16" s="268">
        <f>SUM(D16:O16)</f>
        <v>66</v>
      </c>
      <c r="W16" s="268">
        <f>SUM(J16:U16)</f>
        <v>94</v>
      </c>
    </row>
    <row r="17" spans="1:23" x14ac:dyDescent="0.25">
      <c r="A17" s="513" t="s">
        <v>36</v>
      </c>
      <c r="B17" s="603" t="s">
        <v>37</v>
      </c>
      <c r="C17" s="603" t="s">
        <v>264</v>
      </c>
      <c r="D17" s="268"/>
      <c r="E17" s="268"/>
      <c r="F17" s="268"/>
      <c r="G17" s="268">
        <v>6</v>
      </c>
      <c r="H17" s="268">
        <v>19</v>
      </c>
      <c r="I17" s="268">
        <v>20</v>
      </c>
      <c r="J17" s="268">
        <v>12</v>
      </c>
      <c r="K17" s="268">
        <v>18</v>
      </c>
      <c r="L17" s="268">
        <v>8</v>
      </c>
      <c r="M17" s="268">
        <v>9</v>
      </c>
      <c r="N17" s="268">
        <v>9</v>
      </c>
      <c r="O17" s="268">
        <v>9</v>
      </c>
      <c r="P17" s="268">
        <v>14</v>
      </c>
      <c r="Q17" s="268">
        <v>10</v>
      </c>
      <c r="R17" s="268">
        <v>10</v>
      </c>
      <c r="S17" s="268">
        <v>13</v>
      </c>
      <c r="T17" s="268">
        <v>15</v>
      </c>
      <c r="U17" s="268">
        <v>11</v>
      </c>
      <c r="V17" s="268">
        <f>SUM(D17:O17)</f>
        <v>110</v>
      </c>
      <c r="W17" s="268">
        <f>SUM(J17:U17)</f>
        <v>138</v>
      </c>
    </row>
    <row r="18" spans="1:23" x14ac:dyDescent="0.25">
      <c r="A18" s="513" t="s">
        <v>38</v>
      </c>
      <c r="B18" s="603" t="s">
        <v>39</v>
      </c>
      <c r="C18" s="603" t="s">
        <v>268</v>
      </c>
      <c r="D18" s="268"/>
      <c r="E18" s="268"/>
      <c r="F18" s="268"/>
      <c r="G18" s="268">
        <v>8</v>
      </c>
      <c r="H18" s="268">
        <v>6</v>
      </c>
      <c r="I18" s="268">
        <v>6</v>
      </c>
      <c r="J18" s="268">
        <v>9</v>
      </c>
      <c r="K18" s="268">
        <v>5</v>
      </c>
      <c r="L18" s="268">
        <v>7</v>
      </c>
      <c r="M18" s="268">
        <v>7</v>
      </c>
      <c r="N18" s="268">
        <v>10</v>
      </c>
      <c r="O18" s="268">
        <v>7</v>
      </c>
      <c r="P18" s="268">
        <v>3</v>
      </c>
      <c r="Q18" s="268">
        <v>11</v>
      </c>
      <c r="R18" s="268">
        <v>8</v>
      </c>
      <c r="S18" s="268">
        <v>8</v>
      </c>
      <c r="T18" s="268">
        <v>9</v>
      </c>
      <c r="U18" s="268">
        <v>5</v>
      </c>
      <c r="V18" s="268">
        <f>SUM(D18:O18)</f>
        <v>65</v>
      </c>
      <c r="W18" s="268">
        <f>SUM(J18:U18)</f>
        <v>89</v>
      </c>
    </row>
    <row r="19" spans="1:23" x14ac:dyDescent="0.25">
      <c r="A19" s="513" t="s">
        <v>40</v>
      </c>
      <c r="B19" s="603" t="s">
        <v>41</v>
      </c>
      <c r="C19" s="603" t="s">
        <v>266</v>
      </c>
      <c r="D19" s="268"/>
      <c r="E19" s="268"/>
      <c r="F19" s="268"/>
      <c r="G19" s="268">
        <v>2</v>
      </c>
      <c r="H19" s="268">
        <v>8</v>
      </c>
      <c r="I19" s="268">
        <v>5</v>
      </c>
      <c r="J19" s="268">
        <v>3</v>
      </c>
      <c r="K19" s="268">
        <v>7</v>
      </c>
      <c r="L19" s="268">
        <v>3</v>
      </c>
      <c r="M19" s="268">
        <v>5</v>
      </c>
      <c r="N19" s="268">
        <v>7</v>
      </c>
      <c r="O19" s="268">
        <v>10</v>
      </c>
      <c r="P19" s="268">
        <v>8</v>
      </c>
      <c r="Q19" s="268">
        <v>7</v>
      </c>
      <c r="R19" s="268">
        <v>7</v>
      </c>
      <c r="S19" s="268">
        <v>10</v>
      </c>
      <c r="T19" s="268">
        <v>11</v>
      </c>
      <c r="U19" s="268">
        <v>9</v>
      </c>
      <c r="V19" s="268">
        <f>SUM(D19:O19)</f>
        <v>50</v>
      </c>
      <c r="W19" s="268">
        <f>SUM(J19:U19)</f>
        <v>87</v>
      </c>
    </row>
    <row r="20" spans="1:23" x14ac:dyDescent="0.25">
      <c r="A20" s="513" t="s">
        <v>42</v>
      </c>
      <c r="B20" s="603" t="s">
        <v>43</v>
      </c>
      <c r="C20" s="603" t="s">
        <v>265</v>
      </c>
      <c r="D20" s="268"/>
      <c r="E20" s="268"/>
      <c r="F20" s="268"/>
      <c r="G20" s="268">
        <v>13</v>
      </c>
      <c r="H20" s="268">
        <v>29</v>
      </c>
      <c r="I20" s="268">
        <v>37</v>
      </c>
      <c r="J20" s="268">
        <v>24</v>
      </c>
      <c r="K20" s="268">
        <v>28</v>
      </c>
      <c r="L20" s="268">
        <v>36</v>
      </c>
      <c r="M20" s="268">
        <v>17</v>
      </c>
      <c r="N20" s="268">
        <v>28</v>
      </c>
      <c r="O20" s="268">
        <v>35</v>
      </c>
      <c r="P20" s="268">
        <v>24</v>
      </c>
      <c r="Q20" s="268">
        <v>32</v>
      </c>
      <c r="R20" s="268">
        <v>24</v>
      </c>
      <c r="S20" s="268">
        <v>33</v>
      </c>
      <c r="T20" s="268">
        <v>28</v>
      </c>
      <c r="U20" s="268">
        <v>14</v>
      </c>
      <c r="V20" s="268">
        <f>SUM(D20:O20)</f>
        <v>247</v>
      </c>
      <c r="W20" s="268">
        <f>SUM(J20:U20)</f>
        <v>323</v>
      </c>
    </row>
    <row r="21" spans="1:23" x14ac:dyDescent="0.25">
      <c r="A21" s="513" t="s">
        <v>44</v>
      </c>
      <c r="B21" s="603" t="s">
        <v>45</v>
      </c>
      <c r="C21" s="603" t="s">
        <v>266</v>
      </c>
      <c r="D21" s="268"/>
      <c r="E21" s="268"/>
      <c r="F21" s="268"/>
      <c r="G21" s="268">
        <v>10</v>
      </c>
      <c r="H21" s="268">
        <v>37</v>
      </c>
      <c r="I21" s="268">
        <v>25</v>
      </c>
      <c r="J21" s="268">
        <v>9</v>
      </c>
      <c r="K21" s="268">
        <v>23</v>
      </c>
      <c r="L21" s="268">
        <v>23</v>
      </c>
      <c r="M21" s="268">
        <v>18</v>
      </c>
      <c r="N21" s="268">
        <v>15</v>
      </c>
      <c r="O21" s="268">
        <v>19</v>
      </c>
      <c r="P21" s="268">
        <v>19</v>
      </c>
      <c r="Q21" s="268">
        <v>25</v>
      </c>
      <c r="R21" s="268">
        <v>22</v>
      </c>
      <c r="S21" s="268">
        <v>28</v>
      </c>
      <c r="T21" s="268">
        <v>20</v>
      </c>
      <c r="U21" s="268">
        <v>18</v>
      </c>
      <c r="V21" s="268">
        <f>SUM(D21:O21)</f>
        <v>179</v>
      </c>
      <c r="W21" s="268">
        <f>SUM(J21:U21)</f>
        <v>239</v>
      </c>
    </row>
    <row r="22" spans="1:23" x14ac:dyDescent="0.25">
      <c r="A22" s="513" t="s">
        <v>46</v>
      </c>
      <c r="B22" s="603" t="s">
        <v>47</v>
      </c>
      <c r="C22" s="603" t="s">
        <v>268</v>
      </c>
      <c r="D22" s="268"/>
      <c r="E22" s="268"/>
      <c r="F22" s="268"/>
      <c r="G22" s="268">
        <v>7</v>
      </c>
      <c r="H22" s="268">
        <v>17</v>
      </c>
      <c r="I22" s="268">
        <v>25</v>
      </c>
      <c r="J22" s="268">
        <v>9</v>
      </c>
      <c r="K22" s="268">
        <v>13</v>
      </c>
      <c r="L22" s="268">
        <v>24</v>
      </c>
      <c r="M22" s="268">
        <v>10</v>
      </c>
      <c r="N22" s="268">
        <v>16</v>
      </c>
      <c r="O22" s="268">
        <v>13</v>
      </c>
      <c r="P22" s="268">
        <v>12</v>
      </c>
      <c r="Q22" s="268">
        <v>15</v>
      </c>
      <c r="R22" s="268">
        <v>9</v>
      </c>
      <c r="S22" s="268">
        <v>11</v>
      </c>
      <c r="T22" s="268">
        <v>17</v>
      </c>
      <c r="U22" s="268">
        <v>14</v>
      </c>
      <c r="V22" s="268">
        <f>SUM(D22:O22)</f>
        <v>134</v>
      </c>
      <c r="W22" s="268">
        <f>SUM(J22:U22)</f>
        <v>163</v>
      </c>
    </row>
    <row r="23" spans="1:23" x14ac:dyDescent="0.25">
      <c r="A23" s="513" t="s">
        <v>48</v>
      </c>
      <c r="B23" s="603" t="s">
        <v>269</v>
      </c>
      <c r="C23" s="603" t="s">
        <v>266</v>
      </c>
      <c r="D23" s="268"/>
      <c r="E23" s="268"/>
      <c r="F23" s="268"/>
      <c r="G23" s="268">
        <v>1</v>
      </c>
      <c r="H23" s="268">
        <v>1</v>
      </c>
      <c r="I23" s="268"/>
      <c r="J23" s="268">
        <v>1</v>
      </c>
      <c r="K23" s="268"/>
      <c r="L23" s="268">
        <v>2</v>
      </c>
      <c r="M23" s="268">
        <v>2</v>
      </c>
      <c r="N23" s="268">
        <v>1</v>
      </c>
      <c r="O23" s="268">
        <v>1</v>
      </c>
      <c r="P23" s="268">
        <v>1</v>
      </c>
      <c r="Q23" s="268">
        <v>1</v>
      </c>
      <c r="R23" s="268">
        <v>1</v>
      </c>
      <c r="S23" s="268">
        <v>2</v>
      </c>
      <c r="T23" s="268">
        <v>1</v>
      </c>
      <c r="U23" s="268"/>
      <c r="V23" s="268">
        <f>SUM(D23:O23)</f>
        <v>9</v>
      </c>
      <c r="W23" s="268">
        <f>SUM(J23:U23)</f>
        <v>13</v>
      </c>
    </row>
    <row r="24" spans="1:23" x14ac:dyDescent="0.25">
      <c r="A24" s="513" t="s">
        <v>50</v>
      </c>
      <c r="B24" s="603" t="s">
        <v>51</v>
      </c>
      <c r="C24" s="603" t="s">
        <v>265</v>
      </c>
      <c r="D24" s="268"/>
      <c r="E24" s="268"/>
      <c r="F24" s="268"/>
      <c r="G24" s="268">
        <v>5</v>
      </c>
      <c r="H24" s="268">
        <v>11</v>
      </c>
      <c r="I24" s="268">
        <v>9</v>
      </c>
      <c r="J24" s="268">
        <v>3</v>
      </c>
      <c r="K24" s="268">
        <v>1</v>
      </c>
      <c r="L24" s="268">
        <v>5</v>
      </c>
      <c r="M24" s="268">
        <v>8</v>
      </c>
      <c r="N24" s="268">
        <v>5</v>
      </c>
      <c r="O24" s="268">
        <v>6</v>
      </c>
      <c r="P24" s="268">
        <v>6</v>
      </c>
      <c r="Q24" s="268">
        <v>10</v>
      </c>
      <c r="R24" s="268">
        <v>7</v>
      </c>
      <c r="S24" s="268">
        <v>6</v>
      </c>
      <c r="T24" s="268">
        <v>7</v>
      </c>
      <c r="U24" s="268">
        <v>6</v>
      </c>
      <c r="V24" s="268">
        <f>SUM(D24:O24)</f>
        <v>53</v>
      </c>
      <c r="W24" s="268">
        <f>SUM(J24:U24)</f>
        <v>70</v>
      </c>
    </row>
    <row r="25" spans="1:23" x14ac:dyDescent="0.25">
      <c r="A25" s="513" t="s">
        <v>56</v>
      </c>
      <c r="B25" s="603" t="s">
        <v>295</v>
      </c>
      <c r="C25" s="603" t="s">
        <v>266</v>
      </c>
      <c r="D25" s="268"/>
      <c r="E25" s="268"/>
      <c r="F25" s="268"/>
      <c r="G25" s="268">
        <v>54</v>
      </c>
      <c r="H25" s="268">
        <v>196</v>
      </c>
      <c r="I25" s="268">
        <v>178</v>
      </c>
      <c r="J25" s="268">
        <v>148</v>
      </c>
      <c r="K25" s="268">
        <v>174</v>
      </c>
      <c r="L25" s="268">
        <v>194</v>
      </c>
      <c r="M25" s="268">
        <v>145</v>
      </c>
      <c r="N25" s="268">
        <v>184</v>
      </c>
      <c r="O25" s="268">
        <v>180</v>
      </c>
      <c r="P25" s="268">
        <v>210</v>
      </c>
      <c r="Q25" s="268">
        <v>209</v>
      </c>
      <c r="R25" s="268">
        <v>215</v>
      </c>
      <c r="S25" s="268">
        <v>223</v>
      </c>
      <c r="T25" s="268">
        <v>193</v>
      </c>
      <c r="U25" s="268">
        <v>178</v>
      </c>
      <c r="V25" s="268">
        <f>SUM(D25:O25)</f>
        <v>1453</v>
      </c>
      <c r="W25" s="268">
        <f>SUM(J25:U25)</f>
        <v>2253</v>
      </c>
    </row>
    <row r="26" spans="1:23" x14ac:dyDescent="0.25">
      <c r="A26" s="513" t="s">
        <v>58</v>
      </c>
      <c r="B26" s="603" t="s">
        <v>59</v>
      </c>
      <c r="C26" s="603" t="s">
        <v>267</v>
      </c>
      <c r="D26" s="268"/>
      <c r="E26" s="268"/>
      <c r="F26" s="268"/>
      <c r="G26" s="268"/>
      <c r="H26" s="268">
        <v>5</v>
      </c>
      <c r="I26" s="268">
        <v>6</v>
      </c>
      <c r="J26" s="268">
        <v>2</v>
      </c>
      <c r="K26" s="268">
        <v>5</v>
      </c>
      <c r="L26" s="268">
        <v>4</v>
      </c>
      <c r="M26" s="268">
        <v>4</v>
      </c>
      <c r="N26" s="268">
        <v>6</v>
      </c>
      <c r="O26" s="268">
        <v>3</v>
      </c>
      <c r="P26" s="268">
        <v>2</v>
      </c>
      <c r="Q26" s="268">
        <v>6</v>
      </c>
      <c r="R26" s="268">
        <v>3</v>
      </c>
      <c r="S26" s="268">
        <v>4</v>
      </c>
      <c r="T26" s="268">
        <v>8</v>
      </c>
      <c r="U26" s="268">
        <v>5</v>
      </c>
      <c r="V26" s="268">
        <f>SUM(D26:O26)</f>
        <v>35</v>
      </c>
      <c r="W26" s="268">
        <f>SUM(J26:U26)</f>
        <v>52</v>
      </c>
    </row>
    <row r="27" spans="1:23" x14ac:dyDescent="0.25">
      <c r="A27" s="513" t="s">
        <v>60</v>
      </c>
      <c r="B27" s="603" t="s">
        <v>61</v>
      </c>
      <c r="C27" s="603" t="s">
        <v>265</v>
      </c>
      <c r="D27" s="268"/>
      <c r="E27" s="268"/>
      <c r="F27" s="268"/>
      <c r="G27" s="268"/>
      <c r="H27" s="268">
        <v>2</v>
      </c>
      <c r="I27" s="268">
        <v>2</v>
      </c>
      <c r="J27" s="268">
        <v>2</v>
      </c>
      <c r="K27" s="268">
        <v>4</v>
      </c>
      <c r="L27" s="268">
        <v>1</v>
      </c>
      <c r="M27" s="268">
        <v>7</v>
      </c>
      <c r="N27" s="268">
        <v>3</v>
      </c>
      <c r="O27" s="268">
        <v>2</v>
      </c>
      <c r="P27" s="268">
        <v>1</v>
      </c>
      <c r="Q27" s="268">
        <v>5</v>
      </c>
      <c r="R27" s="268">
        <v>3</v>
      </c>
      <c r="S27" s="268">
        <v>5</v>
      </c>
      <c r="T27" s="268"/>
      <c r="U27" s="268"/>
      <c r="V27" s="268">
        <f>SUM(D27:O27)</f>
        <v>23</v>
      </c>
      <c r="W27" s="268">
        <f>SUM(J27:U27)</f>
        <v>33</v>
      </c>
    </row>
    <row r="28" spans="1:23" x14ac:dyDescent="0.25">
      <c r="A28" s="513" t="s">
        <v>62</v>
      </c>
      <c r="B28" s="603" t="s">
        <v>63</v>
      </c>
      <c r="C28" s="603" t="s">
        <v>267</v>
      </c>
      <c r="D28" s="268"/>
      <c r="E28" s="268"/>
      <c r="F28" s="268"/>
      <c r="G28" s="268">
        <v>11</v>
      </c>
      <c r="H28" s="268">
        <v>35</v>
      </c>
      <c r="I28" s="268">
        <v>31</v>
      </c>
      <c r="J28" s="268">
        <v>29</v>
      </c>
      <c r="K28" s="268">
        <v>30</v>
      </c>
      <c r="L28" s="268">
        <v>22</v>
      </c>
      <c r="M28" s="268">
        <v>16</v>
      </c>
      <c r="N28" s="268">
        <v>30</v>
      </c>
      <c r="O28" s="268">
        <v>29</v>
      </c>
      <c r="P28" s="268">
        <v>22</v>
      </c>
      <c r="Q28" s="268">
        <v>26</v>
      </c>
      <c r="R28" s="268">
        <v>43</v>
      </c>
      <c r="S28" s="268">
        <v>38</v>
      </c>
      <c r="T28" s="268">
        <v>39</v>
      </c>
      <c r="U28" s="268">
        <v>25</v>
      </c>
      <c r="V28" s="268">
        <f>SUM(D28:O28)</f>
        <v>233</v>
      </c>
      <c r="W28" s="268">
        <f>SUM(J28:U28)</f>
        <v>349</v>
      </c>
    </row>
    <row r="29" spans="1:23" x14ac:dyDescent="0.25">
      <c r="A29" s="513" t="s">
        <v>64</v>
      </c>
      <c r="B29" s="603" t="s">
        <v>65</v>
      </c>
      <c r="C29" s="603" t="s">
        <v>266</v>
      </c>
      <c r="D29" s="268"/>
      <c r="E29" s="268"/>
      <c r="F29" s="268"/>
      <c r="G29" s="268">
        <v>7</v>
      </c>
      <c r="H29" s="268">
        <v>7</v>
      </c>
      <c r="I29" s="268">
        <v>9</v>
      </c>
      <c r="J29" s="268">
        <v>6</v>
      </c>
      <c r="K29" s="268">
        <v>9</v>
      </c>
      <c r="L29" s="268">
        <v>9</v>
      </c>
      <c r="M29" s="268">
        <v>3</v>
      </c>
      <c r="N29" s="268">
        <v>3</v>
      </c>
      <c r="O29" s="268">
        <v>7</v>
      </c>
      <c r="P29" s="268">
        <v>7</v>
      </c>
      <c r="Q29" s="268">
        <v>6</v>
      </c>
      <c r="R29" s="268">
        <v>6</v>
      </c>
      <c r="S29" s="268">
        <v>5</v>
      </c>
      <c r="T29" s="268">
        <v>10</v>
      </c>
      <c r="U29" s="268">
        <v>5</v>
      </c>
      <c r="V29" s="268">
        <f>SUM(D29:O29)</f>
        <v>60</v>
      </c>
      <c r="W29" s="268">
        <f>SUM(J29:U29)</f>
        <v>76</v>
      </c>
    </row>
    <row r="30" spans="1:23" x14ac:dyDescent="0.25">
      <c r="A30" s="513" t="s">
        <v>68</v>
      </c>
      <c r="B30" s="603" t="s">
        <v>69</v>
      </c>
      <c r="C30" s="603" t="s">
        <v>268</v>
      </c>
      <c r="D30" s="268"/>
      <c r="E30" s="268"/>
      <c r="F30" s="268"/>
      <c r="G30" s="268">
        <v>1</v>
      </c>
      <c r="H30" s="268">
        <v>6</v>
      </c>
      <c r="I30" s="268">
        <v>4</v>
      </c>
      <c r="J30" s="268">
        <v>9</v>
      </c>
      <c r="K30" s="268">
        <v>7</v>
      </c>
      <c r="L30" s="268">
        <v>4</v>
      </c>
      <c r="M30" s="268">
        <v>6</v>
      </c>
      <c r="N30" s="268">
        <v>3</v>
      </c>
      <c r="O30" s="268">
        <v>6</v>
      </c>
      <c r="P30" s="268">
        <v>10</v>
      </c>
      <c r="Q30" s="268">
        <v>8</v>
      </c>
      <c r="R30" s="268">
        <v>1</v>
      </c>
      <c r="S30" s="268">
        <v>2</v>
      </c>
      <c r="T30" s="268">
        <v>3</v>
      </c>
      <c r="U30" s="268">
        <v>4</v>
      </c>
      <c r="V30" s="268">
        <f>SUM(D30:O30)</f>
        <v>46</v>
      </c>
      <c r="W30" s="268">
        <f>SUM(J30:U30)</f>
        <v>63</v>
      </c>
    </row>
    <row r="31" spans="1:23" x14ac:dyDescent="0.25">
      <c r="A31" s="513" t="s">
        <v>70</v>
      </c>
      <c r="B31" s="603" t="s">
        <v>71</v>
      </c>
      <c r="C31" s="603" t="s">
        <v>264</v>
      </c>
      <c r="D31" s="268"/>
      <c r="E31" s="268"/>
      <c r="F31" s="268"/>
      <c r="G31" s="268">
        <v>8</v>
      </c>
      <c r="H31" s="268">
        <v>14</v>
      </c>
      <c r="I31" s="268">
        <v>20</v>
      </c>
      <c r="J31" s="268">
        <v>14</v>
      </c>
      <c r="K31" s="268">
        <v>20</v>
      </c>
      <c r="L31" s="268">
        <v>15</v>
      </c>
      <c r="M31" s="268">
        <v>12</v>
      </c>
      <c r="N31" s="268">
        <v>19</v>
      </c>
      <c r="O31" s="268">
        <v>20</v>
      </c>
      <c r="P31" s="268">
        <v>13</v>
      </c>
      <c r="Q31" s="268">
        <v>19</v>
      </c>
      <c r="R31" s="268">
        <v>15</v>
      </c>
      <c r="S31" s="268">
        <v>12</v>
      </c>
      <c r="T31" s="268">
        <v>17</v>
      </c>
      <c r="U31" s="268">
        <v>13</v>
      </c>
      <c r="V31" s="268">
        <f>SUM(D31:O31)</f>
        <v>142</v>
      </c>
      <c r="W31" s="268">
        <f>SUM(J31:U31)</f>
        <v>189</v>
      </c>
    </row>
    <row r="32" spans="1:23" x14ac:dyDescent="0.25">
      <c r="A32" s="513" t="s">
        <v>72</v>
      </c>
      <c r="B32" s="603" t="s">
        <v>73</v>
      </c>
      <c r="C32" s="603" t="s">
        <v>266</v>
      </c>
      <c r="D32" s="268"/>
      <c r="E32" s="268"/>
      <c r="F32" s="268"/>
      <c r="G32" s="268">
        <v>3</v>
      </c>
      <c r="H32" s="268">
        <v>15</v>
      </c>
      <c r="I32" s="268">
        <v>4</v>
      </c>
      <c r="J32" s="268">
        <v>9</v>
      </c>
      <c r="K32" s="268">
        <v>5</v>
      </c>
      <c r="L32" s="268">
        <v>8</v>
      </c>
      <c r="M32" s="268">
        <v>5</v>
      </c>
      <c r="N32" s="268">
        <v>10</v>
      </c>
      <c r="O32" s="268">
        <v>9</v>
      </c>
      <c r="P32" s="268">
        <v>8</v>
      </c>
      <c r="Q32" s="268">
        <v>8</v>
      </c>
      <c r="R32" s="268">
        <v>9</v>
      </c>
      <c r="S32" s="268">
        <v>3</v>
      </c>
      <c r="T32" s="268">
        <v>5</v>
      </c>
      <c r="U32" s="268">
        <v>9</v>
      </c>
      <c r="V32" s="268">
        <f>SUM(D32:O32)</f>
        <v>68</v>
      </c>
      <c r="W32" s="268">
        <f>SUM(J32:U32)</f>
        <v>88</v>
      </c>
    </row>
    <row r="33" spans="1:23" x14ac:dyDescent="0.25">
      <c r="A33" s="513" t="s">
        <v>74</v>
      </c>
      <c r="B33" s="603" t="s">
        <v>296</v>
      </c>
      <c r="C33" s="603" t="s">
        <v>267</v>
      </c>
      <c r="D33" s="268"/>
      <c r="E33" s="268"/>
      <c r="F33" s="268"/>
      <c r="G33" s="268">
        <v>299</v>
      </c>
      <c r="H33" s="268">
        <v>474</v>
      </c>
      <c r="I33" s="268">
        <v>407</v>
      </c>
      <c r="J33" s="268">
        <v>460</v>
      </c>
      <c r="K33" s="268">
        <v>408</v>
      </c>
      <c r="L33" s="268">
        <v>400</v>
      </c>
      <c r="M33" s="268">
        <v>360</v>
      </c>
      <c r="N33" s="268">
        <v>379</v>
      </c>
      <c r="O33" s="268">
        <v>395</v>
      </c>
      <c r="P33" s="268">
        <v>374</v>
      </c>
      <c r="Q33" s="268">
        <v>431</v>
      </c>
      <c r="R33" s="268">
        <v>434</v>
      </c>
      <c r="S33" s="268">
        <v>334</v>
      </c>
      <c r="T33" s="268">
        <v>356</v>
      </c>
      <c r="U33" s="268">
        <v>340</v>
      </c>
      <c r="V33" s="268">
        <f>SUM(D33:O33)</f>
        <v>3582</v>
      </c>
      <c r="W33" s="268">
        <f>SUM(J33:U33)</f>
        <v>4671</v>
      </c>
    </row>
    <row r="34" spans="1:23" x14ac:dyDescent="0.25">
      <c r="A34" s="513" t="s">
        <v>76</v>
      </c>
      <c r="B34" s="603" t="s">
        <v>77</v>
      </c>
      <c r="C34" s="603" t="s">
        <v>267</v>
      </c>
      <c r="D34" s="268"/>
      <c r="E34" s="268"/>
      <c r="F34" s="268"/>
      <c r="G34" s="268">
        <v>12</v>
      </c>
      <c r="H34" s="268">
        <v>20</v>
      </c>
      <c r="I34" s="268">
        <v>29</v>
      </c>
      <c r="J34" s="268">
        <v>22</v>
      </c>
      <c r="K34" s="268">
        <v>21</v>
      </c>
      <c r="L34" s="268">
        <v>12</v>
      </c>
      <c r="M34" s="268">
        <v>12</v>
      </c>
      <c r="N34" s="268">
        <v>19</v>
      </c>
      <c r="O34" s="268">
        <v>19</v>
      </c>
      <c r="P34" s="268">
        <v>18</v>
      </c>
      <c r="Q34" s="268">
        <v>36</v>
      </c>
      <c r="R34" s="268">
        <v>24</v>
      </c>
      <c r="S34" s="268">
        <v>22</v>
      </c>
      <c r="T34" s="268">
        <v>12</v>
      </c>
      <c r="U34" s="268">
        <v>17</v>
      </c>
      <c r="V34" s="268">
        <f>SUM(D34:O34)</f>
        <v>166</v>
      </c>
      <c r="W34" s="268">
        <f>SUM(J34:U34)</f>
        <v>234</v>
      </c>
    </row>
    <row r="35" spans="1:23" x14ac:dyDescent="0.25">
      <c r="A35" s="513" t="s">
        <v>78</v>
      </c>
      <c r="B35" s="603" t="s">
        <v>79</v>
      </c>
      <c r="C35" s="603" t="s">
        <v>268</v>
      </c>
      <c r="D35" s="268"/>
      <c r="E35" s="268"/>
      <c r="F35" s="268"/>
      <c r="G35" s="268">
        <v>9</v>
      </c>
      <c r="H35" s="268">
        <v>11</v>
      </c>
      <c r="I35" s="268">
        <v>4</v>
      </c>
      <c r="J35" s="268">
        <v>3</v>
      </c>
      <c r="K35" s="268">
        <v>6</v>
      </c>
      <c r="L35" s="268">
        <v>6</v>
      </c>
      <c r="M35" s="268">
        <v>10</v>
      </c>
      <c r="N35" s="268">
        <v>17</v>
      </c>
      <c r="O35" s="268">
        <v>10</v>
      </c>
      <c r="P35" s="268">
        <v>10</v>
      </c>
      <c r="Q35" s="268">
        <v>9</v>
      </c>
      <c r="R35" s="268">
        <v>7</v>
      </c>
      <c r="S35" s="268">
        <v>4</v>
      </c>
      <c r="T35" s="268">
        <v>9</v>
      </c>
      <c r="U35" s="268">
        <v>6</v>
      </c>
      <c r="V35" s="268">
        <f>SUM(D35:O35)</f>
        <v>76</v>
      </c>
      <c r="W35" s="268">
        <f>SUM(J35:U35)</f>
        <v>97</v>
      </c>
    </row>
    <row r="36" spans="1:23" x14ac:dyDescent="0.25">
      <c r="A36" s="513" t="s">
        <v>80</v>
      </c>
      <c r="B36" s="603" t="s">
        <v>81</v>
      </c>
      <c r="C36" s="603" t="s">
        <v>266</v>
      </c>
      <c r="D36" s="268"/>
      <c r="E36" s="268"/>
      <c r="F36" s="268"/>
      <c r="G36" s="268">
        <v>2</v>
      </c>
      <c r="H36" s="268">
        <v>12</v>
      </c>
      <c r="I36" s="268">
        <v>15</v>
      </c>
      <c r="J36" s="268">
        <v>9</v>
      </c>
      <c r="K36" s="268">
        <v>12</v>
      </c>
      <c r="L36" s="268">
        <v>7</v>
      </c>
      <c r="M36" s="268">
        <v>11</v>
      </c>
      <c r="N36" s="268">
        <v>13</v>
      </c>
      <c r="O36" s="268">
        <v>12</v>
      </c>
      <c r="P36" s="268">
        <v>7</v>
      </c>
      <c r="Q36" s="268">
        <v>10</v>
      </c>
      <c r="R36" s="268">
        <v>13</v>
      </c>
      <c r="S36" s="268">
        <v>8</v>
      </c>
      <c r="T36" s="268">
        <v>13</v>
      </c>
      <c r="U36" s="268">
        <v>11</v>
      </c>
      <c r="V36" s="268">
        <f>SUM(D36:O36)</f>
        <v>93</v>
      </c>
      <c r="W36" s="268">
        <f>SUM(J36:U36)</f>
        <v>126</v>
      </c>
    </row>
    <row r="37" spans="1:23" x14ac:dyDescent="0.25">
      <c r="A37" s="513" t="s">
        <v>84</v>
      </c>
      <c r="B37" s="603" t="s">
        <v>85</v>
      </c>
      <c r="C37" s="603" t="s">
        <v>265</v>
      </c>
      <c r="D37" s="268"/>
      <c r="E37" s="268"/>
      <c r="F37" s="268"/>
      <c r="G37" s="268">
        <v>20</v>
      </c>
      <c r="H37" s="268">
        <v>26</v>
      </c>
      <c r="I37" s="268">
        <v>17</v>
      </c>
      <c r="J37" s="268">
        <v>24</v>
      </c>
      <c r="K37" s="268">
        <v>31</v>
      </c>
      <c r="L37" s="268">
        <v>36</v>
      </c>
      <c r="M37" s="268">
        <v>28</v>
      </c>
      <c r="N37" s="268">
        <v>32</v>
      </c>
      <c r="O37" s="268">
        <v>35</v>
      </c>
      <c r="P37" s="268">
        <v>28</v>
      </c>
      <c r="Q37" s="268">
        <v>35</v>
      </c>
      <c r="R37" s="268">
        <v>23</v>
      </c>
      <c r="S37" s="268">
        <v>29</v>
      </c>
      <c r="T37" s="268">
        <v>24</v>
      </c>
      <c r="U37" s="268">
        <v>20</v>
      </c>
      <c r="V37" s="268">
        <f>SUM(D37:O37)</f>
        <v>249</v>
      </c>
      <c r="W37" s="268">
        <f>SUM(J37:U37)</f>
        <v>345</v>
      </c>
    </row>
    <row r="38" spans="1:23" x14ac:dyDescent="0.25">
      <c r="A38" s="513" t="s">
        <v>86</v>
      </c>
      <c r="B38" s="603" t="s">
        <v>87</v>
      </c>
      <c r="C38" s="603" t="s">
        <v>267</v>
      </c>
      <c r="D38" s="268"/>
      <c r="E38" s="268"/>
      <c r="F38" s="268"/>
      <c r="G38" s="268">
        <v>19</v>
      </c>
      <c r="H38" s="268">
        <v>48</v>
      </c>
      <c r="I38" s="268">
        <v>35</v>
      </c>
      <c r="J38" s="268">
        <v>42</v>
      </c>
      <c r="K38" s="268">
        <v>40</v>
      </c>
      <c r="L38" s="268">
        <v>46</v>
      </c>
      <c r="M38" s="268">
        <v>31</v>
      </c>
      <c r="N38" s="268">
        <v>37</v>
      </c>
      <c r="O38" s="268">
        <v>42</v>
      </c>
      <c r="P38" s="268">
        <v>30</v>
      </c>
      <c r="Q38" s="268">
        <v>36</v>
      </c>
      <c r="R38" s="268">
        <v>47</v>
      </c>
      <c r="S38" s="268">
        <v>42</v>
      </c>
      <c r="T38" s="268">
        <v>43</v>
      </c>
      <c r="U38" s="268">
        <v>29</v>
      </c>
      <c r="V38" s="268">
        <f>SUM(D38:O38)</f>
        <v>340</v>
      </c>
      <c r="W38" s="268">
        <f>SUM(J38:U38)</f>
        <v>465</v>
      </c>
    </row>
    <row r="39" spans="1:23" x14ac:dyDescent="0.25">
      <c r="A39" s="513" t="s">
        <v>92</v>
      </c>
      <c r="B39" s="603" t="s">
        <v>93</v>
      </c>
      <c r="C39" s="603" t="s">
        <v>268</v>
      </c>
      <c r="D39" s="268"/>
      <c r="E39" s="268"/>
      <c r="F39" s="268"/>
      <c r="G39" s="268">
        <v>3</v>
      </c>
      <c r="H39" s="268">
        <v>8</v>
      </c>
      <c r="I39" s="268">
        <v>5</v>
      </c>
      <c r="J39" s="268">
        <v>7</v>
      </c>
      <c r="K39" s="268">
        <v>11</v>
      </c>
      <c r="L39" s="268">
        <v>10</v>
      </c>
      <c r="M39" s="268">
        <v>6</v>
      </c>
      <c r="N39" s="268">
        <v>12</v>
      </c>
      <c r="O39" s="268">
        <v>5</v>
      </c>
      <c r="P39" s="268">
        <v>6</v>
      </c>
      <c r="Q39" s="268">
        <v>5</v>
      </c>
      <c r="R39" s="268">
        <v>9</v>
      </c>
      <c r="S39" s="268">
        <v>10</v>
      </c>
      <c r="T39" s="268">
        <v>8</v>
      </c>
      <c r="U39" s="268">
        <v>13</v>
      </c>
      <c r="V39" s="268">
        <f>SUM(D39:O39)</f>
        <v>67</v>
      </c>
      <c r="W39" s="268">
        <f>SUM(J39:U39)</f>
        <v>102</v>
      </c>
    </row>
    <row r="40" spans="1:23" x14ac:dyDescent="0.25">
      <c r="A40" s="513" t="s">
        <v>94</v>
      </c>
      <c r="B40" s="603" t="s">
        <v>95</v>
      </c>
      <c r="C40" s="603" t="s">
        <v>264</v>
      </c>
      <c r="D40" s="268"/>
      <c r="E40" s="268"/>
      <c r="F40" s="268"/>
      <c r="G40" s="268">
        <v>16</v>
      </c>
      <c r="H40" s="268">
        <v>22</v>
      </c>
      <c r="I40" s="268">
        <v>22</v>
      </c>
      <c r="J40" s="268">
        <v>16</v>
      </c>
      <c r="K40" s="268">
        <v>20</v>
      </c>
      <c r="L40" s="268">
        <v>18</v>
      </c>
      <c r="M40" s="268">
        <v>11</v>
      </c>
      <c r="N40" s="268">
        <v>25</v>
      </c>
      <c r="O40" s="268">
        <v>25</v>
      </c>
      <c r="P40" s="268">
        <v>12</v>
      </c>
      <c r="Q40" s="268">
        <v>13</v>
      </c>
      <c r="R40" s="268">
        <v>31</v>
      </c>
      <c r="S40" s="268">
        <v>16</v>
      </c>
      <c r="T40" s="268">
        <v>14</v>
      </c>
      <c r="U40" s="268">
        <v>15</v>
      </c>
      <c r="V40" s="268">
        <f>SUM(D40:O40)</f>
        <v>175</v>
      </c>
      <c r="W40" s="268">
        <f>SUM(J40:U40)</f>
        <v>216</v>
      </c>
    </row>
    <row r="41" spans="1:23" x14ac:dyDescent="0.25">
      <c r="A41" s="513" t="s">
        <v>96</v>
      </c>
      <c r="B41" s="603" t="s">
        <v>97</v>
      </c>
      <c r="C41" s="603" t="s">
        <v>266</v>
      </c>
      <c r="D41" s="268"/>
      <c r="E41" s="268"/>
      <c r="F41" s="268"/>
      <c r="G41" s="268">
        <v>2</v>
      </c>
      <c r="H41" s="268">
        <v>6</v>
      </c>
      <c r="I41" s="268">
        <v>2</v>
      </c>
      <c r="J41" s="268">
        <v>5</v>
      </c>
      <c r="K41" s="268">
        <v>6</v>
      </c>
      <c r="L41" s="268">
        <v>6</v>
      </c>
      <c r="M41" s="268">
        <v>5</v>
      </c>
      <c r="N41" s="268">
        <v>4</v>
      </c>
      <c r="O41" s="268">
        <v>7</v>
      </c>
      <c r="P41" s="268">
        <v>3</v>
      </c>
      <c r="Q41" s="268">
        <v>5</v>
      </c>
      <c r="R41" s="268">
        <v>5</v>
      </c>
      <c r="S41" s="268">
        <v>8</v>
      </c>
      <c r="T41" s="268">
        <v>5</v>
      </c>
      <c r="U41" s="268">
        <v>3</v>
      </c>
      <c r="V41" s="268">
        <f>SUM(D41:O41)</f>
        <v>43</v>
      </c>
      <c r="W41" s="268">
        <f>SUM(J41:U41)</f>
        <v>62</v>
      </c>
    </row>
    <row r="42" spans="1:23" x14ac:dyDescent="0.25">
      <c r="A42" s="513" t="s">
        <v>98</v>
      </c>
      <c r="B42" s="603" t="s">
        <v>99</v>
      </c>
      <c r="C42" s="603" t="s">
        <v>268</v>
      </c>
      <c r="D42" s="268"/>
      <c r="E42" s="268"/>
      <c r="F42" s="268"/>
      <c r="G42" s="268">
        <v>5</v>
      </c>
      <c r="H42" s="268">
        <v>5</v>
      </c>
      <c r="I42" s="268">
        <v>9</v>
      </c>
      <c r="J42" s="268">
        <v>3</v>
      </c>
      <c r="K42" s="268"/>
      <c r="L42" s="268">
        <v>4</v>
      </c>
      <c r="M42" s="268">
        <v>4</v>
      </c>
      <c r="N42" s="268">
        <v>4</v>
      </c>
      <c r="O42" s="268">
        <v>6</v>
      </c>
      <c r="P42" s="268">
        <v>7</v>
      </c>
      <c r="Q42" s="268">
        <v>11</v>
      </c>
      <c r="R42" s="268">
        <v>2</v>
      </c>
      <c r="S42" s="268">
        <v>5</v>
      </c>
      <c r="T42" s="268">
        <v>9</v>
      </c>
      <c r="U42" s="268">
        <v>2</v>
      </c>
      <c r="V42" s="268">
        <f>SUM(D42:O42)</f>
        <v>40</v>
      </c>
      <c r="W42" s="268">
        <f>SUM(J42:U42)</f>
        <v>57</v>
      </c>
    </row>
    <row r="43" spans="1:23" x14ac:dyDescent="0.25">
      <c r="A43" s="513" t="s">
        <v>100</v>
      </c>
      <c r="B43" s="603" t="s">
        <v>101</v>
      </c>
      <c r="C43" s="603" t="s">
        <v>267</v>
      </c>
      <c r="D43" s="268"/>
      <c r="E43" s="268"/>
      <c r="F43" s="268"/>
      <c r="G43" s="268">
        <v>6</v>
      </c>
      <c r="H43" s="268">
        <v>8</v>
      </c>
      <c r="I43" s="268">
        <v>8</v>
      </c>
      <c r="J43" s="268">
        <v>12</v>
      </c>
      <c r="K43" s="268">
        <v>7</v>
      </c>
      <c r="L43" s="268">
        <v>9</v>
      </c>
      <c r="M43" s="268">
        <v>5</v>
      </c>
      <c r="N43" s="268">
        <v>10</v>
      </c>
      <c r="O43" s="268">
        <v>14</v>
      </c>
      <c r="P43" s="268">
        <v>13</v>
      </c>
      <c r="Q43" s="268">
        <v>15</v>
      </c>
      <c r="R43" s="268">
        <v>9</v>
      </c>
      <c r="S43" s="268">
        <v>8</v>
      </c>
      <c r="T43" s="268">
        <v>11</v>
      </c>
      <c r="U43" s="268">
        <v>12</v>
      </c>
      <c r="V43" s="268">
        <f>SUM(D43:O43)</f>
        <v>79</v>
      </c>
      <c r="W43" s="268">
        <f>SUM(J43:U43)</f>
        <v>125</v>
      </c>
    </row>
    <row r="44" spans="1:23" x14ac:dyDescent="0.25">
      <c r="A44" s="513" t="s">
        <v>102</v>
      </c>
      <c r="B44" s="603" t="s">
        <v>282</v>
      </c>
      <c r="C44" s="603" t="s">
        <v>264</v>
      </c>
      <c r="D44" s="268"/>
      <c r="E44" s="268"/>
      <c r="F44" s="268"/>
      <c r="G44" s="268">
        <v>13</v>
      </c>
      <c r="H44" s="268">
        <v>22</v>
      </c>
      <c r="I44" s="268">
        <v>17</v>
      </c>
      <c r="J44" s="268">
        <v>9</v>
      </c>
      <c r="K44" s="268">
        <v>11</v>
      </c>
      <c r="L44" s="268">
        <v>13</v>
      </c>
      <c r="M44" s="268">
        <v>20</v>
      </c>
      <c r="N44" s="268">
        <v>17</v>
      </c>
      <c r="O44" s="268">
        <v>14</v>
      </c>
      <c r="P44" s="268">
        <v>20</v>
      </c>
      <c r="Q44" s="268">
        <v>17</v>
      </c>
      <c r="R44" s="268">
        <v>18</v>
      </c>
      <c r="S44" s="268">
        <v>21</v>
      </c>
      <c r="T44" s="268">
        <v>19</v>
      </c>
      <c r="U44" s="268">
        <v>13</v>
      </c>
      <c r="V44" s="268">
        <f>SUM(D44:O44)</f>
        <v>136</v>
      </c>
      <c r="W44" s="268">
        <f>SUM(J44:U44)</f>
        <v>192</v>
      </c>
    </row>
    <row r="45" spans="1:23" x14ac:dyDescent="0.25">
      <c r="A45" s="513" t="s">
        <v>104</v>
      </c>
      <c r="B45" s="603" t="s">
        <v>105</v>
      </c>
      <c r="C45" s="603" t="s">
        <v>265</v>
      </c>
      <c r="D45" s="268"/>
      <c r="E45" s="268"/>
      <c r="F45" s="268">
        <v>1</v>
      </c>
      <c r="G45" s="268">
        <v>18</v>
      </c>
      <c r="H45" s="268">
        <v>21</v>
      </c>
      <c r="I45" s="268">
        <v>21</v>
      </c>
      <c r="J45" s="268">
        <v>17</v>
      </c>
      <c r="K45" s="268">
        <v>31</v>
      </c>
      <c r="L45" s="268">
        <v>15</v>
      </c>
      <c r="M45" s="268">
        <v>22</v>
      </c>
      <c r="N45" s="268">
        <v>26</v>
      </c>
      <c r="O45" s="268">
        <v>25</v>
      </c>
      <c r="P45" s="268">
        <v>32</v>
      </c>
      <c r="Q45" s="268">
        <v>32</v>
      </c>
      <c r="R45" s="268">
        <v>37</v>
      </c>
      <c r="S45" s="268">
        <v>26</v>
      </c>
      <c r="T45" s="268">
        <v>21</v>
      </c>
      <c r="U45" s="268">
        <v>22</v>
      </c>
      <c r="V45" s="268">
        <f>SUM(D45:O45)</f>
        <v>197</v>
      </c>
      <c r="W45" s="268">
        <f>SUM(J45:U45)</f>
        <v>306</v>
      </c>
    </row>
    <row r="46" spans="1:23" x14ac:dyDescent="0.25">
      <c r="A46" s="513" t="s">
        <v>108</v>
      </c>
      <c r="B46" s="603" t="s">
        <v>109</v>
      </c>
      <c r="C46" s="603" t="s">
        <v>266</v>
      </c>
      <c r="D46" s="268"/>
      <c r="E46" s="268"/>
      <c r="F46" s="268"/>
      <c r="G46" s="268">
        <v>19</v>
      </c>
      <c r="H46" s="268">
        <v>29</v>
      </c>
      <c r="I46" s="268">
        <v>31</v>
      </c>
      <c r="J46" s="268">
        <v>24</v>
      </c>
      <c r="K46" s="268">
        <v>33</v>
      </c>
      <c r="L46" s="268">
        <v>30</v>
      </c>
      <c r="M46" s="268">
        <v>23</v>
      </c>
      <c r="N46" s="268">
        <v>38</v>
      </c>
      <c r="O46" s="268">
        <v>36</v>
      </c>
      <c r="P46" s="268">
        <v>32</v>
      </c>
      <c r="Q46" s="268">
        <v>34</v>
      </c>
      <c r="R46" s="268">
        <v>33</v>
      </c>
      <c r="S46" s="268">
        <v>53</v>
      </c>
      <c r="T46" s="268">
        <v>20</v>
      </c>
      <c r="U46" s="268">
        <v>24</v>
      </c>
      <c r="V46" s="268">
        <f>SUM(D46:O46)</f>
        <v>263</v>
      </c>
      <c r="W46" s="268">
        <f>SUM(J46:U46)</f>
        <v>380</v>
      </c>
    </row>
    <row r="47" spans="1:23" x14ac:dyDescent="0.25">
      <c r="A47" s="513" t="s">
        <v>110</v>
      </c>
      <c r="B47" s="603" t="s">
        <v>111</v>
      </c>
      <c r="C47" s="603" t="s">
        <v>266</v>
      </c>
      <c r="D47" s="268"/>
      <c r="E47" s="268"/>
      <c r="F47" s="268"/>
      <c r="G47" s="268">
        <v>90</v>
      </c>
      <c r="H47" s="268">
        <v>224</v>
      </c>
      <c r="I47" s="268">
        <v>263</v>
      </c>
      <c r="J47" s="268">
        <v>198</v>
      </c>
      <c r="K47" s="268">
        <v>230</v>
      </c>
      <c r="L47" s="268">
        <v>261</v>
      </c>
      <c r="M47" s="268">
        <v>185</v>
      </c>
      <c r="N47" s="268">
        <v>227</v>
      </c>
      <c r="O47" s="268">
        <v>236</v>
      </c>
      <c r="P47" s="268">
        <v>196</v>
      </c>
      <c r="Q47" s="268">
        <v>281</v>
      </c>
      <c r="R47" s="268">
        <v>232</v>
      </c>
      <c r="S47" s="268">
        <v>275</v>
      </c>
      <c r="T47" s="268">
        <v>257</v>
      </c>
      <c r="U47" s="268">
        <v>200</v>
      </c>
      <c r="V47" s="268">
        <f>SUM(D47:O47)</f>
        <v>1914</v>
      </c>
      <c r="W47" s="268">
        <f>SUM(J47:U47)</f>
        <v>2778</v>
      </c>
    </row>
    <row r="48" spans="1:23" x14ac:dyDescent="0.25">
      <c r="A48" s="513" t="s">
        <v>112</v>
      </c>
      <c r="B48" s="603" t="s">
        <v>300</v>
      </c>
      <c r="C48" s="603" t="s">
        <v>265</v>
      </c>
      <c r="D48" s="268">
        <v>3</v>
      </c>
      <c r="E48" s="268"/>
      <c r="F48" s="268">
        <v>7</v>
      </c>
      <c r="G48" s="268">
        <v>29</v>
      </c>
      <c r="H48" s="268">
        <v>56</v>
      </c>
      <c r="I48" s="268">
        <v>36</v>
      </c>
      <c r="J48" s="268">
        <v>47</v>
      </c>
      <c r="K48" s="268">
        <v>51</v>
      </c>
      <c r="L48" s="268">
        <v>119</v>
      </c>
      <c r="M48" s="268">
        <v>32</v>
      </c>
      <c r="N48" s="268">
        <v>49</v>
      </c>
      <c r="O48" s="268">
        <v>44</v>
      </c>
      <c r="P48" s="268">
        <v>44</v>
      </c>
      <c r="Q48" s="268">
        <v>64</v>
      </c>
      <c r="R48" s="268">
        <v>47</v>
      </c>
      <c r="S48" s="268">
        <v>53</v>
      </c>
      <c r="T48" s="268">
        <v>39</v>
      </c>
      <c r="U48" s="268">
        <v>40</v>
      </c>
      <c r="V48" s="268">
        <f>SUM(D48:O48)</f>
        <v>473</v>
      </c>
      <c r="W48" s="268">
        <f>SUM(J48:U48)</f>
        <v>629</v>
      </c>
    </row>
    <row r="49" spans="1:23" x14ac:dyDescent="0.25">
      <c r="A49" s="513" t="s">
        <v>114</v>
      </c>
      <c r="B49" s="603" t="s">
        <v>115</v>
      </c>
      <c r="C49" s="603" t="s">
        <v>265</v>
      </c>
      <c r="D49" s="268"/>
      <c r="E49" s="268"/>
      <c r="F49" s="268"/>
      <c r="G49" s="268">
        <v>1</v>
      </c>
      <c r="H49" s="268">
        <v>2</v>
      </c>
      <c r="I49" s="268">
        <v>1</v>
      </c>
      <c r="J49" s="268"/>
      <c r="K49" s="268">
        <v>5</v>
      </c>
      <c r="L49" s="268"/>
      <c r="M49" s="268">
        <v>1</v>
      </c>
      <c r="N49" s="268">
        <v>1</v>
      </c>
      <c r="O49" s="268"/>
      <c r="P49" s="268">
        <v>4</v>
      </c>
      <c r="Q49" s="268">
        <v>1</v>
      </c>
      <c r="R49" s="268"/>
      <c r="S49" s="268">
        <v>1</v>
      </c>
      <c r="T49" s="268">
        <v>1</v>
      </c>
      <c r="U49" s="268"/>
      <c r="V49" s="268">
        <f>SUM(D49:O49)</f>
        <v>11</v>
      </c>
      <c r="W49" s="268">
        <f>SUM(J49:U49)</f>
        <v>14</v>
      </c>
    </row>
    <row r="50" spans="1:23" x14ac:dyDescent="0.25">
      <c r="A50" s="513" t="s">
        <v>118</v>
      </c>
      <c r="B50" s="603" t="s">
        <v>270</v>
      </c>
      <c r="C50" s="603" t="s">
        <v>264</v>
      </c>
      <c r="D50" s="268"/>
      <c r="E50" s="268"/>
      <c r="F50" s="268"/>
      <c r="G50" s="268">
        <v>9</v>
      </c>
      <c r="H50" s="268">
        <v>16</v>
      </c>
      <c r="I50" s="268">
        <v>13</v>
      </c>
      <c r="J50" s="268">
        <v>18</v>
      </c>
      <c r="K50" s="268">
        <v>14</v>
      </c>
      <c r="L50" s="268">
        <v>21</v>
      </c>
      <c r="M50" s="268">
        <v>16</v>
      </c>
      <c r="N50" s="268">
        <v>15</v>
      </c>
      <c r="O50" s="268">
        <v>17</v>
      </c>
      <c r="P50" s="268">
        <v>29</v>
      </c>
      <c r="Q50" s="268">
        <v>11</v>
      </c>
      <c r="R50" s="268">
        <v>12</v>
      </c>
      <c r="S50" s="268">
        <v>21</v>
      </c>
      <c r="T50" s="268">
        <v>14</v>
      </c>
      <c r="U50" s="268">
        <v>6</v>
      </c>
      <c r="V50" s="268">
        <f>SUM(D50:O50)</f>
        <v>139</v>
      </c>
      <c r="W50" s="268">
        <f>SUM(J50:U50)</f>
        <v>194</v>
      </c>
    </row>
    <row r="51" spans="1:23" x14ac:dyDescent="0.25">
      <c r="A51" s="513" t="s">
        <v>120</v>
      </c>
      <c r="B51" s="603" t="s">
        <v>121</v>
      </c>
      <c r="C51" s="603" t="s">
        <v>264</v>
      </c>
      <c r="D51" s="268"/>
      <c r="E51" s="268"/>
      <c r="F51" s="268"/>
      <c r="G51" s="268">
        <v>11</v>
      </c>
      <c r="H51" s="268">
        <v>29</v>
      </c>
      <c r="I51" s="268">
        <v>26</v>
      </c>
      <c r="J51" s="268">
        <v>32</v>
      </c>
      <c r="K51" s="268">
        <v>36</v>
      </c>
      <c r="L51" s="268">
        <v>35</v>
      </c>
      <c r="M51" s="268">
        <v>29</v>
      </c>
      <c r="N51" s="268">
        <v>22</v>
      </c>
      <c r="O51" s="268">
        <v>31</v>
      </c>
      <c r="P51" s="268">
        <v>25</v>
      </c>
      <c r="Q51" s="268">
        <v>48</v>
      </c>
      <c r="R51" s="268">
        <v>38</v>
      </c>
      <c r="S51" s="268">
        <v>30</v>
      </c>
      <c r="T51" s="268">
        <v>35</v>
      </c>
      <c r="U51" s="268">
        <v>24</v>
      </c>
      <c r="V51" s="268">
        <f>SUM(D51:O51)</f>
        <v>251</v>
      </c>
      <c r="W51" s="268">
        <f>SUM(J51:U51)</f>
        <v>385</v>
      </c>
    </row>
    <row r="52" spans="1:23" x14ac:dyDescent="0.25">
      <c r="A52" s="513" t="s">
        <v>122</v>
      </c>
      <c r="B52" s="603" t="s">
        <v>287</v>
      </c>
      <c r="C52" s="603" t="s">
        <v>266</v>
      </c>
      <c r="D52" s="268"/>
      <c r="E52" s="268"/>
      <c r="F52" s="268"/>
      <c r="G52" s="268">
        <v>2</v>
      </c>
      <c r="H52" s="268">
        <v>9</v>
      </c>
      <c r="I52" s="268">
        <v>3</v>
      </c>
      <c r="J52" s="268">
        <v>6</v>
      </c>
      <c r="K52" s="268">
        <v>5</v>
      </c>
      <c r="L52" s="268">
        <v>3</v>
      </c>
      <c r="M52" s="268">
        <v>11</v>
      </c>
      <c r="N52" s="268">
        <v>3</v>
      </c>
      <c r="O52" s="268">
        <v>8</v>
      </c>
      <c r="P52" s="268">
        <v>6</v>
      </c>
      <c r="Q52" s="268">
        <v>23</v>
      </c>
      <c r="R52" s="268">
        <v>4</v>
      </c>
      <c r="S52" s="268">
        <v>4</v>
      </c>
      <c r="T52" s="268">
        <v>5</v>
      </c>
      <c r="U52" s="268">
        <v>6</v>
      </c>
      <c r="V52" s="268">
        <f>SUM(D52:O52)</f>
        <v>50</v>
      </c>
      <c r="W52" s="268">
        <f>SUM(J52:U52)</f>
        <v>84</v>
      </c>
    </row>
    <row r="53" spans="1:23" x14ac:dyDescent="0.25">
      <c r="A53" s="513" t="s">
        <v>124</v>
      </c>
      <c r="B53" s="603" t="s">
        <v>125</v>
      </c>
      <c r="C53" s="603" t="s">
        <v>267</v>
      </c>
      <c r="D53" s="268"/>
      <c r="E53" s="268"/>
      <c r="F53" s="268"/>
      <c r="G53" s="268">
        <v>3</v>
      </c>
      <c r="H53" s="268">
        <v>11</v>
      </c>
      <c r="I53" s="268">
        <v>5</v>
      </c>
      <c r="J53" s="268">
        <v>7</v>
      </c>
      <c r="K53" s="268">
        <v>8</v>
      </c>
      <c r="L53" s="268">
        <v>7</v>
      </c>
      <c r="M53" s="268">
        <v>7</v>
      </c>
      <c r="N53" s="268">
        <v>10</v>
      </c>
      <c r="O53" s="268">
        <v>16</v>
      </c>
      <c r="P53" s="268">
        <v>4</v>
      </c>
      <c r="Q53" s="268">
        <v>18</v>
      </c>
      <c r="R53" s="268">
        <v>10</v>
      </c>
      <c r="S53" s="268">
        <v>11</v>
      </c>
      <c r="T53" s="268">
        <v>6</v>
      </c>
      <c r="U53" s="268">
        <v>7</v>
      </c>
      <c r="V53" s="268">
        <f>SUM(D53:O53)</f>
        <v>74</v>
      </c>
      <c r="W53" s="268">
        <f>SUM(J53:U53)</f>
        <v>111</v>
      </c>
    </row>
    <row r="54" spans="1:23" x14ac:dyDescent="0.25">
      <c r="A54" s="513" t="s">
        <v>126</v>
      </c>
      <c r="B54" s="603" t="s">
        <v>127</v>
      </c>
      <c r="C54" s="603" t="s">
        <v>266</v>
      </c>
      <c r="D54" s="268"/>
      <c r="E54" s="268"/>
      <c r="F54" s="268"/>
      <c r="G54" s="268">
        <v>4</v>
      </c>
      <c r="H54" s="268">
        <v>8</v>
      </c>
      <c r="I54" s="268">
        <v>11</v>
      </c>
      <c r="J54" s="268">
        <v>10</v>
      </c>
      <c r="K54" s="268">
        <v>12</v>
      </c>
      <c r="L54" s="268">
        <v>6</v>
      </c>
      <c r="M54" s="268">
        <v>5</v>
      </c>
      <c r="N54" s="268">
        <v>1</v>
      </c>
      <c r="O54" s="268">
        <v>6</v>
      </c>
      <c r="P54" s="268">
        <v>6</v>
      </c>
      <c r="Q54" s="268">
        <v>6</v>
      </c>
      <c r="R54" s="268">
        <v>11</v>
      </c>
      <c r="S54" s="268">
        <v>5</v>
      </c>
      <c r="T54" s="268">
        <v>11</v>
      </c>
      <c r="U54" s="268">
        <v>6</v>
      </c>
      <c r="V54" s="268">
        <f>SUM(D54:O54)</f>
        <v>63</v>
      </c>
      <c r="W54" s="268">
        <f>SUM(J54:U54)</f>
        <v>85</v>
      </c>
    </row>
    <row r="55" spans="1:23" x14ac:dyDescent="0.25">
      <c r="A55" s="513" t="s">
        <v>128</v>
      </c>
      <c r="B55" s="603" t="s">
        <v>129</v>
      </c>
      <c r="C55" s="603" t="s">
        <v>266</v>
      </c>
      <c r="D55" s="268"/>
      <c r="E55" s="268"/>
      <c r="F55" s="268"/>
      <c r="G55" s="268">
        <v>1</v>
      </c>
      <c r="H55" s="268">
        <v>3</v>
      </c>
      <c r="I55" s="268">
        <v>4</v>
      </c>
      <c r="J55" s="268">
        <v>5</v>
      </c>
      <c r="K55" s="268">
        <v>3</v>
      </c>
      <c r="L55" s="268">
        <v>10</v>
      </c>
      <c r="M55" s="268">
        <v>7</v>
      </c>
      <c r="N55" s="268">
        <v>8</v>
      </c>
      <c r="O55" s="268">
        <v>2</v>
      </c>
      <c r="P55" s="268">
        <v>1</v>
      </c>
      <c r="Q55" s="268">
        <v>1</v>
      </c>
      <c r="R55" s="268"/>
      <c r="S55" s="268">
        <v>6</v>
      </c>
      <c r="T55" s="268">
        <v>2</v>
      </c>
      <c r="U55" s="268">
        <v>4</v>
      </c>
      <c r="V55" s="268">
        <f>SUM(D55:O55)</f>
        <v>43</v>
      </c>
      <c r="W55" s="268">
        <f>SUM(J55:U55)</f>
        <v>49</v>
      </c>
    </row>
    <row r="56" spans="1:23" x14ac:dyDescent="0.25">
      <c r="A56" s="513" t="s">
        <v>130</v>
      </c>
      <c r="B56" s="603" t="s">
        <v>131</v>
      </c>
      <c r="C56" s="603" t="s">
        <v>268</v>
      </c>
      <c r="D56" s="268"/>
      <c r="E56" s="268"/>
      <c r="F56" s="268"/>
      <c r="G56" s="268">
        <v>17</v>
      </c>
      <c r="H56" s="268">
        <v>18</v>
      </c>
      <c r="I56" s="268">
        <v>10</v>
      </c>
      <c r="J56" s="268">
        <v>18</v>
      </c>
      <c r="K56" s="268">
        <v>16</v>
      </c>
      <c r="L56" s="268">
        <v>11</v>
      </c>
      <c r="M56" s="268">
        <v>7</v>
      </c>
      <c r="N56" s="268">
        <v>13</v>
      </c>
      <c r="O56" s="268">
        <v>12</v>
      </c>
      <c r="P56" s="268">
        <v>13</v>
      </c>
      <c r="Q56" s="268">
        <v>26</v>
      </c>
      <c r="R56" s="268">
        <v>11</v>
      </c>
      <c r="S56" s="268">
        <v>18</v>
      </c>
      <c r="T56" s="268">
        <v>10</v>
      </c>
      <c r="U56" s="268">
        <v>11</v>
      </c>
      <c r="V56" s="268">
        <f>SUM(D56:O56)</f>
        <v>122</v>
      </c>
      <c r="W56" s="268">
        <f>SUM(J56:U56)</f>
        <v>166</v>
      </c>
    </row>
    <row r="57" spans="1:23" x14ac:dyDescent="0.25">
      <c r="A57" s="513" t="s">
        <v>132</v>
      </c>
      <c r="B57" s="603" t="s">
        <v>133</v>
      </c>
      <c r="C57" s="603" t="s">
        <v>267</v>
      </c>
      <c r="D57" s="268"/>
      <c r="E57" s="268"/>
      <c r="F57" s="268"/>
      <c r="G57" s="268">
        <v>68</v>
      </c>
      <c r="H57" s="268">
        <v>103</v>
      </c>
      <c r="I57" s="268">
        <v>112</v>
      </c>
      <c r="J57" s="268">
        <v>99</v>
      </c>
      <c r="K57" s="268">
        <v>125</v>
      </c>
      <c r="L57" s="268">
        <v>110</v>
      </c>
      <c r="M57" s="268">
        <v>71</v>
      </c>
      <c r="N57" s="268">
        <v>82</v>
      </c>
      <c r="O57" s="268">
        <v>84</v>
      </c>
      <c r="P57" s="268">
        <v>120</v>
      </c>
      <c r="Q57" s="268">
        <v>110</v>
      </c>
      <c r="R57" s="268">
        <v>113</v>
      </c>
      <c r="S57" s="268">
        <v>117</v>
      </c>
      <c r="T57" s="268">
        <v>85</v>
      </c>
      <c r="U57" s="268">
        <v>93</v>
      </c>
      <c r="V57" s="268">
        <f>SUM(D57:O57)</f>
        <v>854</v>
      </c>
      <c r="W57" s="268">
        <f>SUM(J57:U57)</f>
        <v>1209</v>
      </c>
    </row>
    <row r="58" spans="1:23" x14ac:dyDescent="0.25">
      <c r="A58" s="513" t="s">
        <v>134</v>
      </c>
      <c r="B58" s="603" t="s">
        <v>135</v>
      </c>
      <c r="C58" s="603" t="s">
        <v>267</v>
      </c>
      <c r="D58" s="268"/>
      <c r="E58" s="268"/>
      <c r="F58" s="268"/>
      <c r="G58" s="268">
        <v>4</v>
      </c>
      <c r="H58" s="268">
        <v>30</v>
      </c>
      <c r="I58" s="268">
        <v>22</v>
      </c>
      <c r="J58" s="268">
        <v>18</v>
      </c>
      <c r="K58" s="268">
        <v>21</v>
      </c>
      <c r="L58" s="268">
        <v>26</v>
      </c>
      <c r="M58" s="268">
        <v>14</v>
      </c>
      <c r="N58" s="268">
        <v>16</v>
      </c>
      <c r="O58" s="268">
        <v>25</v>
      </c>
      <c r="P58" s="268">
        <v>13</v>
      </c>
      <c r="Q58" s="268">
        <v>27</v>
      </c>
      <c r="R58" s="268">
        <v>28</v>
      </c>
      <c r="S58" s="268">
        <v>15</v>
      </c>
      <c r="T58" s="268">
        <v>15</v>
      </c>
      <c r="U58" s="268">
        <v>33</v>
      </c>
      <c r="V58" s="268">
        <f>SUM(D58:O58)</f>
        <v>176</v>
      </c>
      <c r="W58" s="268">
        <f>SUM(J58:U58)</f>
        <v>251</v>
      </c>
    </row>
    <row r="59" spans="1:23" x14ac:dyDescent="0.25">
      <c r="A59" s="513" t="s">
        <v>136</v>
      </c>
      <c r="B59" s="603" t="s">
        <v>137</v>
      </c>
      <c r="C59" s="603" t="s">
        <v>266</v>
      </c>
      <c r="D59" s="268"/>
      <c r="E59" s="268"/>
      <c r="F59" s="268"/>
      <c r="G59" s="268">
        <v>7</v>
      </c>
      <c r="H59" s="268">
        <v>6</v>
      </c>
      <c r="I59" s="268">
        <v>5</v>
      </c>
      <c r="J59" s="268">
        <v>2</v>
      </c>
      <c r="K59" s="268">
        <v>8</v>
      </c>
      <c r="L59" s="268">
        <v>6</v>
      </c>
      <c r="M59" s="268">
        <v>8</v>
      </c>
      <c r="N59" s="268">
        <v>7</v>
      </c>
      <c r="O59" s="268">
        <v>7</v>
      </c>
      <c r="P59" s="268">
        <v>5</v>
      </c>
      <c r="Q59" s="268">
        <v>12</v>
      </c>
      <c r="R59" s="268">
        <v>13</v>
      </c>
      <c r="S59" s="268">
        <v>8</v>
      </c>
      <c r="T59" s="268">
        <v>5</v>
      </c>
      <c r="U59" s="268">
        <v>3</v>
      </c>
      <c r="V59" s="268">
        <f>SUM(D59:O59)</f>
        <v>56</v>
      </c>
      <c r="W59" s="268">
        <f>SUM(J59:U59)</f>
        <v>84</v>
      </c>
    </row>
    <row r="60" spans="1:23" x14ac:dyDescent="0.25">
      <c r="A60" s="513" t="s">
        <v>140</v>
      </c>
      <c r="B60" s="603" t="s">
        <v>141</v>
      </c>
      <c r="C60" s="603" t="s">
        <v>267</v>
      </c>
      <c r="D60" s="268"/>
      <c r="E60" s="268"/>
      <c r="F60" s="268"/>
      <c r="G60" s="268">
        <v>2</v>
      </c>
      <c r="H60" s="268">
        <v>6</v>
      </c>
      <c r="I60" s="268">
        <v>3</v>
      </c>
      <c r="J60" s="268">
        <v>4</v>
      </c>
      <c r="K60" s="268">
        <v>5</v>
      </c>
      <c r="L60" s="268">
        <v>8</v>
      </c>
      <c r="M60" s="268">
        <v>1</v>
      </c>
      <c r="N60" s="268">
        <v>2</v>
      </c>
      <c r="O60" s="268">
        <v>5</v>
      </c>
      <c r="P60" s="268">
        <v>8</v>
      </c>
      <c r="Q60" s="268">
        <v>5</v>
      </c>
      <c r="R60" s="268">
        <v>6</v>
      </c>
      <c r="S60" s="268">
        <v>1</v>
      </c>
      <c r="T60" s="268">
        <v>4</v>
      </c>
      <c r="U60" s="268">
        <v>2</v>
      </c>
      <c r="V60" s="268">
        <f>SUM(D60:O60)</f>
        <v>36</v>
      </c>
      <c r="W60" s="268">
        <f>SUM(J60:U60)</f>
        <v>51</v>
      </c>
    </row>
    <row r="61" spans="1:23" x14ac:dyDescent="0.25">
      <c r="A61" s="513" t="s">
        <v>146</v>
      </c>
      <c r="B61" s="603" t="s">
        <v>147</v>
      </c>
      <c r="C61" s="603" t="s">
        <v>264</v>
      </c>
      <c r="D61" s="268"/>
      <c r="E61" s="268"/>
      <c r="F61" s="268"/>
      <c r="G61" s="268">
        <v>2</v>
      </c>
      <c r="H61" s="268">
        <v>4</v>
      </c>
      <c r="I61" s="268">
        <v>2</v>
      </c>
      <c r="J61" s="268">
        <v>4</v>
      </c>
      <c r="K61" s="268">
        <v>4</v>
      </c>
      <c r="L61" s="268">
        <v>5</v>
      </c>
      <c r="M61" s="268">
        <v>4</v>
      </c>
      <c r="N61" s="268">
        <v>4</v>
      </c>
      <c r="O61" s="268">
        <v>2</v>
      </c>
      <c r="P61" s="268">
        <v>3</v>
      </c>
      <c r="Q61" s="268">
        <v>3</v>
      </c>
      <c r="R61" s="268">
        <v>3</v>
      </c>
      <c r="S61" s="268">
        <v>3</v>
      </c>
      <c r="T61" s="268">
        <v>3</v>
      </c>
      <c r="U61" s="268">
        <v>3</v>
      </c>
      <c r="V61" s="268">
        <f>SUM(D61:O61)</f>
        <v>31</v>
      </c>
      <c r="W61" s="268">
        <f>SUM(J61:U61)</f>
        <v>41</v>
      </c>
    </row>
    <row r="62" spans="1:23" x14ac:dyDescent="0.25">
      <c r="A62" s="513" t="s">
        <v>148</v>
      </c>
      <c r="B62" s="603" t="s">
        <v>149</v>
      </c>
      <c r="C62" s="603" t="s">
        <v>265</v>
      </c>
      <c r="D62" s="268"/>
      <c r="E62" s="268"/>
      <c r="F62" s="268"/>
      <c r="G62" s="268">
        <v>10</v>
      </c>
      <c r="H62" s="268">
        <v>14</v>
      </c>
      <c r="I62" s="268">
        <v>11</v>
      </c>
      <c r="J62" s="268">
        <v>13</v>
      </c>
      <c r="K62" s="268">
        <v>11</v>
      </c>
      <c r="L62" s="268">
        <v>10</v>
      </c>
      <c r="M62" s="268">
        <v>14</v>
      </c>
      <c r="N62" s="268">
        <v>24</v>
      </c>
      <c r="O62" s="268">
        <v>17</v>
      </c>
      <c r="P62" s="268">
        <v>16</v>
      </c>
      <c r="Q62" s="268">
        <v>22</v>
      </c>
      <c r="R62" s="268">
        <v>20</v>
      </c>
      <c r="S62" s="268">
        <v>20</v>
      </c>
      <c r="T62" s="268">
        <v>19</v>
      </c>
      <c r="U62" s="268">
        <v>15</v>
      </c>
      <c r="V62" s="268">
        <f>SUM(D62:O62)</f>
        <v>124</v>
      </c>
      <c r="W62" s="268">
        <f>SUM(J62:U62)</f>
        <v>201</v>
      </c>
    </row>
    <row r="63" spans="1:23" x14ac:dyDescent="0.25">
      <c r="A63" s="513" t="s">
        <v>150</v>
      </c>
      <c r="B63" s="603" t="s">
        <v>151</v>
      </c>
      <c r="C63" s="603" t="s">
        <v>266</v>
      </c>
      <c r="D63" s="268"/>
      <c r="E63" s="268"/>
      <c r="F63" s="268"/>
      <c r="G63" s="268">
        <v>5</v>
      </c>
      <c r="H63" s="268">
        <v>5</v>
      </c>
      <c r="I63" s="268">
        <v>11</v>
      </c>
      <c r="J63" s="268">
        <v>14</v>
      </c>
      <c r="K63" s="268">
        <v>4</v>
      </c>
      <c r="L63" s="268">
        <v>5</v>
      </c>
      <c r="M63" s="268">
        <v>6</v>
      </c>
      <c r="N63" s="268">
        <v>5</v>
      </c>
      <c r="O63" s="268">
        <v>16</v>
      </c>
      <c r="P63" s="268">
        <v>14</v>
      </c>
      <c r="Q63" s="268">
        <v>11</v>
      </c>
      <c r="R63" s="268">
        <v>7</v>
      </c>
      <c r="S63" s="268">
        <v>14</v>
      </c>
      <c r="T63" s="268">
        <v>6</v>
      </c>
      <c r="U63" s="268">
        <v>8</v>
      </c>
      <c r="V63" s="268">
        <f>SUM(D63:O63)</f>
        <v>71</v>
      </c>
      <c r="W63" s="268">
        <f>SUM(J63:U63)</f>
        <v>110</v>
      </c>
    </row>
    <row r="64" spans="1:23" x14ac:dyDescent="0.25">
      <c r="A64" s="513" t="s">
        <v>152</v>
      </c>
      <c r="B64" s="603" t="s">
        <v>153</v>
      </c>
      <c r="C64" s="603" t="s">
        <v>268</v>
      </c>
      <c r="D64" s="268"/>
      <c r="E64" s="268"/>
      <c r="F64" s="268"/>
      <c r="G64" s="268">
        <v>17</v>
      </c>
      <c r="H64" s="268">
        <v>47</v>
      </c>
      <c r="I64" s="268">
        <v>33</v>
      </c>
      <c r="J64" s="268">
        <v>59</v>
      </c>
      <c r="K64" s="268">
        <v>37</v>
      </c>
      <c r="L64" s="268">
        <v>29</v>
      </c>
      <c r="M64" s="268">
        <v>38</v>
      </c>
      <c r="N64" s="268">
        <v>48</v>
      </c>
      <c r="O64" s="268">
        <v>46</v>
      </c>
      <c r="P64" s="268">
        <v>40</v>
      </c>
      <c r="Q64" s="268">
        <v>48</v>
      </c>
      <c r="R64" s="268">
        <v>40</v>
      </c>
      <c r="S64" s="268">
        <v>49</v>
      </c>
      <c r="T64" s="268">
        <v>48</v>
      </c>
      <c r="U64" s="268">
        <v>43</v>
      </c>
      <c r="V64" s="268">
        <f>SUM(D64:O64)</f>
        <v>354</v>
      </c>
      <c r="W64" s="268">
        <f>SUM(J64:U64)</f>
        <v>525</v>
      </c>
    </row>
    <row r="65" spans="1:23" x14ac:dyDescent="0.25">
      <c r="A65" s="513" t="s">
        <v>154</v>
      </c>
      <c r="B65" s="603" t="s">
        <v>155</v>
      </c>
      <c r="C65" s="603" t="s">
        <v>265</v>
      </c>
      <c r="D65" s="268"/>
      <c r="E65" s="268"/>
      <c r="F65" s="268"/>
      <c r="G65" s="268">
        <v>5</v>
      </c>
      <c r="H65" s="268">
        <v>5</v>
      </c>
      <c r="I65" s="268">
        <v>3</v>
      </c>
      <c r="J65" s="268">
        <v>6</v>
      </c>
      <c r="K65" s="268">
        <v>1</v>
      </c>
      <c r="L65" s="268">
        <v>1</v>
      </c>
      <c r="M65" s="268">
        <v>4</v>
      </c>
      <c r="N65" s="268">
        <v>7</v>
      </c>
      <c r="O65" s="268">
        <v>3</v>
      </c>
      <c r="P65" s="268">
        <v>6</v>
      </c>
      <c r="Q65" s="268">
        <v>4</v>
      </c>
      <c r="R65" s="268">
        <v>2</v>
      </c>
      <c r="S65" s="268">
        <v>6</v>
      </c>
      <c r="T65" s="268">
        <v>7</v>
      </c>
      <c r="U65" s="268">
        <v>3</v>
      </c>
      <c r="V65" s="268">
        <f>SUM(D65:O65)</f>
        <v>35</v>
      </c>
      <c r="W65" s="268">
        <f>SUM(J65:U65)</f>
        <v>50</v>
      </c>
    </row>
    <row r="66" spans="1:23" x14ac:dyDescent="0.25">
      <c r="A66" s="513" t="s">
        <v>156</v>
      </c>
      <c r="B66" s="603" t="s">
        <v>157</v>
      </c>
      <c r="C66" s="603" t="s">
        <v>266</v>
      </c>
      <c r="D66" s="268"/>
      <c r="E66" s="268"/>
      <c r="F66" s="268"/>
      <c r="G66" s="268">
        <v>3</v>
      </c>
      <c r="H66" s="268">
        <v>10</v>
      </c>
      <c r="I66" s="268">
        <v>8</v>
      </c>
      <c r="J66" s="268">
        <v>5</v>
      </c>
      <c r="K66" s="268">
        <v>10</v>
      </c>
      <c r="L66" s="268">
        <v>9</v>
      </c>
      <c r="M66" s="268">
        <v>8</v>
      </c>
      <c r="N66" s="268">
        <v>7</v>
      </c>
      <c r="O66" s="268">
        <v>6</v>
      </c>
      <c r="P66" s="268">
        <v>4</v>
      </c>
      <c r="Q66" s="268">
        <v>16</v>
      </c>
      <c r="R66" s="268">
        <v>6</v>
      </c>
      <c r="S66" s="268">
        <v>8</v>
      </c>
      <c r="T66" s="268">
        <v>3</v>
      </c>
      <c r="U66" s="268">
        <v>5</v>
      </c>
      <c r="V66" s="268">
        <f>SUM(D66:O66)</f>
        <v>66</v>
      </c>
      <c r="W66" s="268">
        <f>SUM(J66:U66)</f>
        <v>87</v>
      </c>
    </row>
    <row r="67" spans="1:23" x14ac:dyDescent="0.25">
      <c r="A67" s="513" t="s">
        <v>162</v>
      </c>
      <c r="B67" s="603" t="s">
        <v>163</v>
      </c>
      <c r="C67" s="603" t="s">
        <v>264</v>
      </c>
      <c r="D67" s="268"/>
      <c r="E67" s="268"/>
      <c r="F67" s="268"/>
      <c r="G67" s="268">
        <v>5</v>
      </c>
      <c r="H67" s="268">
        <v>10</v>
      </c>
      <c r="I67" s="268">
        <v>7</v>
      </c>
      <c r="J67" s="268">
        <v>6</v>
      </c>
      <c r="K67" s="268">
        <v>9</v>
      </c>
      <c r="L67" s="268">
        <v>8</v>
      </c>
      <c r="M67" s="268">
        <v>4</v>
      </c>
      <c r="N67" s="268">
        <v>8</v>
      </c>
      <c r="O67" s="268">
        <v>6</v>
      </c>
      <c r="P67" s="268">
        <v>9</v>
      </c>
      <c r="Q67" s="268">
        <v>8</v>
      </c>
      <c r="R67" s="268">
        <v>7</v>
      </c>
      <c r="S67" s="268">
        <v>5</v>
      </c>
      <c r="T67" s="268">
        <v>6</v>
      </c>
      <c r="U67" s="268">
        <v>8</v>
      </c>
      <c r="V67" s="268">
        <f>SUM(D67:O67)</f>
        <v>63</v>
      </c>
      <c r="W67" s="268">
        <f>SUM(J67:U67)</f>
        <v>84</v>
      </c>
    </row>
    <row r="68" spans="1:23" x14ac:dyDescent="0.25">
      <c r="A68" s="513" t="s">
        <v>164</v>
      </c>
      <c r="B68" s="603" t="s">
        <v>165</v>
      </c>
      <c r="C68" s="603" t="s">
        <v>266</v>
      </c>
      <c r="D68" s="268"/>
      <c r="E68" s="268"/>
      <c r="F68" s="268"/>
      <c r="G68" s="268">
        <v>1</v>
      </c>
      <c r="H68" s="268">
        <v>2</v>
      </c>
      <c r="I68" s="268">
        <v>5</v>
      </c>
      <c r="J68" s="268">
        <v>3</v>
      </c>
      <c r="K68" s="268">
        <v>3</v>
      </c>
      <c r="L68" s="268"/>
      <c r="M68" s="268">
        <v>4</v>
      </c>
      <c r="N68" s="268">
        <v>4</v>
      </c>
      <c r="O68" s="268">
        <v>2</v>
      </c>
      <c r="P68" s="268"/>
      <c r="Q68" s="268">
        <v>5</v>
      </c>
      <c r="R68" s="268">
        <v>10</v>
      </c>
      <c r="S68" s="268">
        <v>2</v>
      </c>
      <c r="T68" s="268">
        <v>8</v>
      </c>
      <c r="U68" s="268">
        <v>6</v>
      </c>
      <c r="V68" s="268">
        <f>SUM(D68:O68)</f>
        <v>24</v>
      </c>
      <c r="W68" s="268">
        <f>SUM(J68:U68)</f>
        <v>47</v>
      </c>
    </row>
    <row r="69" spans="1:23" x14ac:dyDescent="0.25">
      <c r="A69" s="513" t="s">
        <v>168</v>
      </c>
      <c r="B69" s="603" t="s">
        <v>169</v>
      </c>
      <c r="C69" s="603" t="s">
        <v>266</v>
      </c>
      <c r="D69" s="268"/>
      <c r="E69" s="268"/>
      <c r="F69" s="268"/>
      <c r="G69" s="268">
        <v>12</v>
      </c>
      <c r="H69" s="268">
        <v>9</v>
      </c>
      <c r="I69" s="268">
        <v>8</v>
      </c>
      <c r="J69" s="268">
        <v>5</v>
      </c>
      <c r="K69" s="268">
        <v>5</v>
      </c>
      <c r="L69" s="268">
        <v>7</v>
      </c>
      <c r="M69" s="268">
        <v>6</v>
      </c>
      <c r="N69" s="268">
        <v>7</v>
      </c>
      <c r="O69" s="268">
        <v>12</v>
      </c>
      <c r="P69" s="268">
        <v>6</v>
      </c>
      <c r="Q69" s="268">
        <v>14</v>
      </c>
      <c r="R69" s="268">
        <v>22</v>
      </c>
      <c r="S69" s="268">
        <v>8</v>
      </c>
      <c r="T69" s="268">
        <v>12</v>
      </c>
      <c r="U69" s="268">
        <v>7</v>
      </c>
      <c r="V69" s="268">
        <f>SUM(D69:O69)</f>
        <v>71</v>
      </c>
      <c r="W69" s="268">
        <f>SUM(J69:U69)</f>
        <v>111</v>
      </c>
    </row>
    <row r="70" spans="1:23" x14ac:dyDescent="0.25">
      <c r="A70" s="513" t="s">
        <v>170</v>
      </c>
      <c r="B70" s="603" t="s">
        <v>171</v>
      </c>
      <c r="C70" s="603" t="s">
        <v>267</v>
      </c>
      <c r="D70" s="268"/>
      <c r="E70" s="268"/>
      <c r="F70" s="268"/>
      <c r="G70" s="268">
        <v>7</v>
      </c>
      <c r="H70" s="268">
        <v>22</v>
      </c>
      <c r="I70" s="268">
        <v>23</v>
      </c>
      <c r="J70" s="268">
        <v>16</v>
      </c>
      <c r="K70" s="268">
        <v>13</v>
      </c>
      <c r="L70" s="268">
        <v>19</v>
      </c>
      <c r="M70" s="268">
        <v>23</v>
      </c>
      <c r="N70" s="268">
        <v>19</v>
      </c>
      <c r="O70" s="268">
        <v>21</v>
      </c>
      <c r="P70" s="268">
        <v>15</v>
      </c>
      <c r="Q70" s="268">
        <v>8</v>
      </c>
      <c r="R70" s="268">
        <v>21</v>
      </c>
      <c r="S70" s="268">
        <v>17</v>
      </c>
      <c r="T70" s="268">
        <v>15</v>
      </c>
      <c r="U70" s="268">
        <v>13</v>
      </c>
      <c r="V70" s="268">
        <f>SUM(D70:O70)</f>
        <v>163</v>
      </c>
      <c r="W70" s="268">
        <f>SUM(J70:U70)</f>
        <v>200</v>
      </c>
    </row>
    <row r="71" spans="1:23" x14ac:dyDescent="0.25">
      <c r="A71" s="513" t="s">
        <v>172</v>
      </c>
      <c r="B71" s="603" t="s">
        <v>173</v>
      </c>
      <c r="C71" s="603" t="s">
        <v>267</v>
      </c>
      <c r="D71" s="268"/>
      <c r="E71" s="268"/>
      <c r="F71" s="268"/>
      <c r="G71" s="268">
        <v>14</v>
      </c>
      <c r="H71" s="268">
        <v>8</v>
      </c>
      <c r="I71" s="268">
        <v>17</v>
      </c>
      <c r="J71" s="268">
        <v>13</v>
      </c>
      <c r="K71" s="268">
        <v>25</v>
      </c>
      <c r="L71" s="268">
        <v>13</v>
      </c>
      <c r="M71" s="268">
        <v>28</v>
      </c>
      <c r="N71" s="268">
        <v>13</v>
      </c>
      <c r="O71" s="268">
        <v>22</v>
      </c>
      <c r="P71" s="268">
        <v>14</v>
      </c>
      <c r="Q71" s="268">
        <v>15</v>
      </c>
      <c r="R71" s="268">
        <v>16</v>
      </c>
      <c r="S71" s="268">
        <v>11</v>
      </c>
      <c r="T71" s="268">
        <v>17</v>
      </c>
      <c r="U71" s="268">
        <v>6</v>
      </c>
      <c r="V71" s="268">
        <f>SUM(D71:O71)</f>
        <v>153</v>
      </c>
      <c r="W71" s="268">
        <f>SUM(J71:U71)</f>
        <v>193</v>
      </c>
    </row>
    <row r="72" spans="1:23" x14ac:dyDescent="0.25">
      <c r="A72" s="513" t="s">
        <v>174</v>
      </c>
      <c r="B72" s="603" t="s">
        <v>175</v>
      </c>
      <c r="C72" s="603" t="s">
        <v>268</v>
      </c>
      <c r="D72" s="268"/>
      <c r="E72" s="268"/>
      <c r="F72" s="268"/>
      <c r="G72" s="268">
        <v>2</v>
      </c>
      <c r="H72" s="268">
        <v>18</v>
      </c>
      <c r="I72" s="268">
        <v>12</v>
      </c>
      <c r="J72" s="268">
        <v>13</v>
      </c>
      <c r="K72" s="268">
        <v>7</v>
      </c>
      <c r="L72" s="268">
        <v>10</v>
      </c>
      <c r="M72" s="268">
        <v>15</v>
      </c>
      <c r="N72" s="268">
        <v>10</v>
      </c>
      <c r="O72" s="268">
        <v>12</v>
      </c>
      <c r="P72" s="268">
        <v>18</v>
      </c>
      <c r="Q72" s="268">
        <v>15</v>
      </c>
      <c r="R72" s="268">
        <v>15</v>
      </c>
      <c r="S72" s="268">
        <v>16</v>
      </c>
      <c r="T72" s="268">
        <v>18</v>
      </c>
      <c r="U72" s="268">
        <v>12</v>
      </c>
      <c r="V72" s="268">
        <f>SUM(D72:O72)</f>
        <v>99</v>
      </c>
      <c r="W72" s="268">
        <f>SUM(J72:U72)</f>
        <v>161</v>
      </c>
    </row>
    <row r="73" spans="1:23" x14ac:dyDescent="0.25">
      <c r="A73" s="513" t="s">
        <v>178</v>
      </c>
      <c r="B73" s="603" t="s">
        <v>179</v>
      </c>
      <c r="C73" s="603" t="s">
        <v>265</v>
      </c>
      <c r="D73" s="268">
        <v>12</v>
      </c>
      <c r="E73" s="268">
        <v>35</v>
      </c>
      <c r="F73" s="268">
        <v>32</v>
      </c>
      <c r="G73" s="268">
        <v>36</v>
      </c>
      <c r="H73" s="268">
        <v>32</v>
      </c>
      <c r="I73" s="268">
        <v>34</v>
      </c>
      <c r="J73" s="268">
        <v>26</v>
      </c>
      <c r="K73" s="268">
        <v>27</v>
      </c>
      <c r="L73" s="268">
        <v>15</v>
      </c>
      <c r="M73" s="268">
        <v>22</v>
      </c>
      <c r="N73" s="268">
        <v>38</v>
      </c>
      <c r="O73" s="268">
        <v>40</v>
      </c>
      <c r="P73" s="268">
        <v>30</v>
      </c>
      <c r="Q73" s="268">
        <v>36</v>
      </c>
      <c r="R73" s="268">
        <v>28</v>
      </c>
      <c r="S73" s="268">
        <v>40</v>
      </c>
      <c r="T73" s="268">
        <v>41</v>
      </c>
      <c r="U73" s="268">
        <v>22</v>
      </c>
      <c r="V73" s="268">
        <f>SUM(D73:O73)</f>
        <v>349</v>
      </c>
      <c r="W73" s="268">
        <f>SUM(J73:U73)</f>
        <v>365</v>
      </c>
    </row>
    <row r="74" spans="1:23" x14ac:dyDescent="0.25">
      <c r="A74" s="513" t="s">
        <v>182</v>
      </c>
      <c r="B74" s="603" t="s">
        <v>183</v>
      </c>
      <c r="C74" s="603" t="s">
        <v>266</v>
      </c>
      <c r="D74" s="268"/>
      <c r="E74" s="268"/>
      <c r="F74" s="268"/>
      <c r="G74" s="268">
        <v>1</v>
      </c>
      <c r="H74" s="268">
        <v>4</v>
      </c>
      <c r="I74" s="268">
        <v>7</v>
      </c>
      <c r="J74" s="268">
        <v>6</v>
      </c>
      <c r="K74" s="268">
        <v>2</v>
      </c>
      <c r="L74" s="268">
        <v>9</v>
      </c>
      <c r="M74" s="268">
        <v>3</v>
      </c>
      <c r="N74" s="268">
        <v>5</v>
      </c>
      <c r="O74" s="268">
        <v>6</v>
      </c>
      <c r="P74" s="268">
        <v>9</v>
      </c>
      <c r="Q74" s="268">
        <v>9</v>
      </c>
      <c r="R74" s="268">
        <v>7</v>
      </c>
      <c r="S74" s="268">
        <v>7</v>
      </c>
      <c r="T74" s="268">
        <v>5</v>
      </c>
      <c r="U74" s="268">
        <v>3</v>
      </c>
      <c r="V74" s="268">
        <f>SUM(D74:O74)</f>
        <v>43</v>
      </c>
      <c r="W74" s="268">
        <f>SUM(J74:U74)</f>
        <v>71</v>
      </c>
    </row>
    <row r="75" spans="1:23" x14ac:dyDescent="0.25">
      <c r="A75" s="513" t="s">
        <v>184</v>
      </c>
      <c r="B75" s="603" t="s">
        <v>185</v>
      </c>
      <c r="C75" s="603" t="s">
        <v>266</v>
      </c>
      <c r="D75" s="268"/>
      <c r="E75" s="268"/>
      <c r="F75" s="268"/>
      <c r="G75" s="268">
        <v>16</v>
      </c>
      <c r="H75" s="268">
        <v>22</v>
      </c>
      <c r="I75" s="268">
        <v>7</v>
      </c>
      <c r="J75" s="268">
        <v>11</v>
      </c>
      <c r="K75" s="268">
        <v>8</v>
      </c>
      <c r="L75" s="268">
        <v>14</v>
      </c>
      <c r="M75" s="268">
        <v>8</v>
      </c>
      <c r="N75" s="268">
        <v>17</v>
      </c>
      <c r="O75" s="268">
        <v>12</v>
      </c>
      <c r="P75" s="268">
        <v>14</v>
      </c>
      <c r="Q75" s="268">
        <v>17</v>
      </c>
      <c r="R75" s="268">
        <v>12</v>
      </c>
      <c r="S75" s="268">
        <v>18</v>
      </c>
      <c r="T75" s="268">
        <v>11</v>
      </c>
      <c r="U75" s="268">
        <v>7</v>
      </c>
      <c r="V75" s="268">
        <f>SUM(D75:O75)</f>
        <v>115</v>
      </c>
      <c r="W75" s="268">
        <f>SUM(J75:U75)</f>
        <v>149</v>
      </c>
    </row>
    <row r="76" spans="1:23" x14ac:dyDescent="0.25">
      <c r="A76" s="513" t="s">
        <v>186</v>
      </c>
      <c r="B76" s="603" t="s">
        <v>187</v>
      </c>
      <c r="C76" s="603" t="s">
        <v>264</v>
      </c>
      <c r="D76" s="268"/>
      <c r="E76" s="268"/>
      <c r="F76" s="268"/>
      <c r="G76" s="268">
        <v>13</v>
      </c>
      <c r="H76" s="268">
        <v>23</v>
      </c>
      <c r="I76" s="268">
        <v>14</v>
      </c>
      <c r="J76" s="268">
        <v>23</v>
      </c>
      <c r="K76" s="268">
        <v>14</v>
      </c>
      <c r="L76" s="268">
        <v>13</v>
      </c>
      <c r="M76" s="268">
        <v>22</v>
      </c>
      <c r="N76" s="268">
        <v>23</v>
      </c>
      <c r="O76" s="268">
        <v>24</v>
      </c>
      <c r="P76" s="268">
        <v>16</v>
      </c>
      <c r="Q76" s="268">
        <v>20</v>
      </c>
      <c r="R76" s="268">
        <v>20</v>
      </c>
      <c r="S76" s="268">
        <v>24</v>
      </c>
      <c r="T76" s="268">
        <v>20</v>
      </c>
      <c r="U76" s="268">
        <v>15</v>
      </c>
      <c r="V76" s="268">
        <f>SUM(D76:O76)</f>
        <v>169</v>
      </c>
      <c r="W76" s="268">
        <f>SUM(J76:U76)</f>
        <v>234</v>
      </c>
    </row>
    <row r="77" spans="1:23" x14ac:dyDescent="0.25">
      <c r="A77" s="513" t="s">
        <v>188</v>
      </c>
      <c r="B77" s="603" t="s">
        <v>189</v>
      </c>
      <c r="C77" s="603" t="s">
        <v>267</v>
      </c>
      <c r="D77" s="268"/>
      <c r="E77" s="268"/>
      <c r="F77" s="268"/>
      <c r="G77" s="268">
        <v>134</v>
      </c>
      <c r="H77" s="268">
        <v>327</v>
      </c>
      <c r="I77" s="268">
        <v>296</v>
      </c>
      <c r="J77" s="268">
        <v>243</v>
      </c>
      <c r="K77" s="268">
        <v>247</v>
      </c>
      <c r="L77" s="268">
        <v>259</v>
      </c>
      <c r="M77" s="268">
        <v>219</v>
      </c>
      <c r="N77" s="268">
        <v>227</v>
      </c>
      <c r="O77" s="268">
        <v>214</v>
      </c>
      <c r="P77" s="268">
        <v>235</v>
      </c>
      <c r="Q77" s="268">
        <v>276</v>
      </c>
      <c r="R77" s="268">
        <v>247</v>
      </c>
      <c r="S77" s="268">
        <v>273</v>
      </c>
      <c r="T77" s="268">
        <v>269</v>
      </c>
      <c r="U77" s="268">
        <v>224</v>
      </c>
      <c r="V77" s="268">
        <f>SUM(D77:O77)</f>
        <v>2166</v>
      </c>
      <c r="W77" s="268">
        <f>SUM(J77:U77)</f>
        <v>2933</v>
      </c>
    </row>
    <row r="78" spans="1:23" x14ac:dyDescent="0.25">
      <c r="A78" s="513" t="s">
        <v>190</v>
      </c>
      <c r="B78" s="603" t="s">
        <v>191</v>
      </c>
      <c r="C78" s="603" t="s">
        <v>268</v>
      </c>
      <c r="D78" s="268"/>
      <c r="E78" s="268"/>
      <c r="F78" s="268"/>
      <c r="G78" s="268">
        <v>8</v>
      </c>
      <c r="H78" s="268">
        <v>17</v>
      </c>
      <c r="I78" s="268">
        <v>15</v>
      </c>
      <c r="J78" s="268">
        <v>18</v>
      </c>
      <c r="K78" s="268">
        <v>19</v>
      </c>
      <c r="L78" s="268">
        <v>14</v>
      </c>
      <c r="M78" s="268">
        <v>16</v>
      </c>
      <c r="N78" s="268">
        <v>28</v>
      </c>
      <c r="O78" s="268">
        <v>23</v>
      </c>
      <c r="P78" s="268">
        <v>32</v>
      </c>
      <c r="Q78" s="268">
        <v>25</v>
      </c>
      <c r="R78" s="268">
        <v>19</v>
      </c>
      <c r="S78" s="268">
        <v>27</v>
      </c>
      <c r="T78" s="268">
        <v>33</v>
      </c>
      <c r="U78" s="268">
        <v>22</v>
      </c>
      <c r="V78" s="268">
        <f>SUM(D78:O78)</f>
        <v>158</v>
      </c>
      <c r="W78" s="268">
        <f>SUM(J78:U78)</f>
        <v>276</v>
      </c>
    </row>
    <row r="79" spans="1:23" x14ac:dyDescent="0.25">
      <c r="A79" s="513" t="s">
        <v>194</v>
      </c>
      <c r="B79" s="603" t="s">
        <v>195</v>
      </c>
      <c r="C79" s="603" t="s">
        <v>267</v>
      </c>
      <c r="D79" s="268"/>
      <c r="E79" s="268"/>
      <c r="F79" s="268"/>
      <c r="G79" s="268">
        <v>1</v>
      </c>
      <c r="H79" s="268">
        <v>2</v>
      </c>
      <c r="I79" s="268">
        <v>2</v>
      </c>
      <c r="J79" s="268">
        <v>1</v>
      </c>
      <c r="K79" s="268">
        <v>1</v>
      </c>
      <c r="L79" s="268">
        <v>1</v>
      </c>
      <c r="M79" s="268"/>
      <c r="N79" s="268"/>
      <c r="O79" s="268">
        <v>3</v>
      </c>
      <c r="P79" s="268">
        <v>1</v>
      </c>
      <c r="Q79" s="268">
        <v>5</v>
      </c>
      <c r="R79" s="268">
        <v>3</v>
      </c>
      <c r="S79" s="268">
        <v>1</v>
      </c>
      <c r="T79" s="268">
        <v>1</v>
      </c>
      <c r="U79" s="268"/>
      <c r="V79" s="268">
        <f>SUM(D79:O79)</f>
        <v>11</v>
      </c>
      <c r="W79" s="268">
        <f>SUM(J79:U79)</f>
        <v>17</v>
      </c>
    </row>
    <row r="80" spans="1:23" x14ac:dyDescent="0.25">
      <c r="A80" s="513" t="s">
        <v>198</v>
      </c>
      <c r="B80" s="603" t="s">
        <v>272</v>
      </c>
      <c r="C80" s="603" t="s">
        <v>266</v>
      </c>
      <c r="D80" s="268"/>
      <c r="E80" s="268"/>
      <c r="F80" s="268"/>
      <c r="G80" s="268">
        <v>2</v>
      </c>
      <c r="H80" s="268">
        <v>10</v>
      </c>
      <c r="I80" s="268"/>
      <c r="J80" s="268">
        <v>7</v>
      </c>
      <c r="K80" s="268">
        <v>1</v>
      </c>
      <c r="L80" s="268">
        <v>2</v>
      </c>
      <c r="M80" s="268">
        <v>1</v>
      </c>
      <c r="N80" s="268">
        <v>8</v>
      </c>
      <c r="O80" s="268">
        <v>4</v>
      </c>
      <c r="P80" s="268">
        <v>13</v>
      </c>
      <c r="Q80" s="268">
        <v>7</v>
      </c>
      <c r="R80" s="268">
        <v>3</v>
      </c>
      <c r="S80" s="268">
        <v>7</v>
      </c>
      <c r="T80" s="268">
        <v>3</v>
      </c>
      <c r="U80" s="268">
        <v>3</v>
      </c>
      <c r="V80" s="268">
        <f>SUM(D80:O80)</f>
        <v>35</v>
      </c>
      <c r="W80" s="268">
        <f>SUM(J80:U80)</f>
        <v>59</v>
      </c>
    </row>
    <row r="81" spans="1:23" x14ac:dyDescent="0.25">
      <c r="A81" s="513" t="s">
        <v>202</v>
      </c>
      <c r="B81" s="603" t="s">
        <v>301</v>
      </c>
      <c r="C81" s="603" t="s">
        <v>265</v>
      </c>
      <c r="D81" s="268"/>
      <c r="E81" s="268">
        <v>1</v>
      </c>
      <c r="F81" s="268">
        <v>21</v>
      </c>
      <c r="G81" s="268">
        <v>52</v>
      </c>
      <c r="H81" s="268">
        <v>71</v>
      </c>
      <c r="I81" s="268">
        <v>56</v>
      </c>
      <c r="J81" s="268">
        <v>50</v>
      </c>
      <c r="K81" s="268">
        <v>61</v>
      </c>
      <c r="L81" s="268">
        <v>47</v>
      </c>
      <c r="M81" s="268">
        <v>59</v>
      </c>
      <c r="N81" s="268">
        <v>51</v>
      </c>
      <c r="O81" s="268">
        <v>46</v>
      </c>
      <c r="P81" s="268">
        <v>57</v>
      </c>
      <c r="Q81" s="268">
        <v>61</v>
      </c>
      <c r="R81" s="268">
        <v>54</v>
      </c>
      <c r="S81" s="268">
        <v>46</v>
      </c>
      <c r="T81" s="268">
        <v>57</v>
      </c>
      <c r="U81" s="268">
        <v>48</v>
      </c>
      <c r="V81" s="268">
        <f>SUM(D81:O81)</f>
        <v>515</v>
      </c>
      <c r="W81" s="268">
        <f>SUM(J81:U81)</f>
        <v>637</v>
      </c>
    </row>
    <row r="82" spans="1:23" x14ac:dyDescent="0.25">
      <c r="A82" s="513" t="s">
        <v>204</v>
      </c>
      <c r="B82" s="603" t="s">
        <v>293</v>
      </c>
      <c r="C82" s="603" t="s">
        <v>265</v>
      </c>
      <c r="D82" s="268"/>
      <c r="E82" s="268"/>
      <c r="F82" s="268"/>
      <c r="G82" s="268">
        <v>7</v>
      </c>
      <c r="H82" s="268">
        <v>16</v>
      </c>
      <c r="I82" s="268">
        <v>9</v>
      </c>
      <c r="J82" s="268">
        <v>5</v>
      </c>
      <c r="K82" s="268">
        <v>14</v>
      </c>
      <c r="L82" s="268">
        <v>7</v>
      </c>
      <c r="M82" s="268">
        <v>13</v>
      </c>
      <c r="N82" s="268">
        <v>9</v>
      </c>
      <c r="O82" s="268">
        <v>14</v>
      </c>
      <c r="P82" s="268">
        <v>5</v>
      </c>
      <c r="Q82" s="268">
        <v>18</v>
      </c>
      <c r="R82" s="268">
        <v>15</v>
      </c>
      <c r="S82" s="268">
        <v>11</v>
      </c>
      <c r="T82" s="268">
        <v>8</v>
      </c>
      <c r="U82" s="268">
        <v>17</v>
      </c>
      <c r="V82" s="268">
        <f>SUM(D82:O82)</f>
        <v>94</v>
      </c>
      <c r="W82" s="268">
        <f>SUM(J82:U82)</f>
        <v>136</v>
      </c>
    </row>
    <row r="83" spans="1:23" x14ac:dyDescent="0.25">
      <c r="A83" s="513" t="s">
        <v>206</v>
      </c>
      <c r="B83" s="603" t="s">
        <v>294</v>
      </c>
      <c r="C83" s="603" t="s">
        <v>267</v>
      </c>
      <c r="D83" s="268"/>
      <c r="E83" s="268"/>
      <c r="F83" s="268"/>
      <c r="G83" s="268">
        <v>49</v>
      </c>
      <c r="H83" s="268">
        <v>73</v>
      </c>
      <c r="I83" s="268">
        <v>74</v>
      </c>
      <c r="J83" s="268">
        <v>75</v>
      </c>
      <c r="K83" s="268">
        <v>65</v>
      </c>
      <c r="L83" s="268">
        <v>63</v>
      </c>
      <c r="M83" s="268">
        <v>60</v>
      </c>
      <c r="N83" s="268">
        <v>66</v>
      </c>
      <c r="O83" s="268">
        <v>70</v>
      </c>
      <c r="P83" s="268">
        <v>61</v>
      </c>
      <c r="Q83" s="268">
        <v>76</v>
      </c>
      <c r="R83" s="268">
        <v>74</v>
      </c>
      <c r="S83" s="268">
        <v>77</v>
      </c>
      <c r="T83" s="268">
        <v>51</v>
      </c>
      <c r="U83" s="268">
        <v>65</v>
      </c>
      <c r="V83" s="268">
        <f>SUM(D83:O83)</f>
        <v>595</v>
      </c>
      <c r="W83" s="268">
        <f>SUM(J83:U83)</f>
        <v>803</v>
      </c>
    </row>
    <row r="84" spans="1:23" x14ac:dyDescent="0.25">
      <c r="A84" s="513" t="s">
        <v>208</v>
      </c>
      <c r="B84" s="603" t="s">
        <v>209</v>
      </c>
      <c r="C84" s="603" t="s">
        <v>268</v>
      </c>
      <c r="D84" s="268"/>
      <c r="E84" s="268"/>
      <c r="F84" s="268"/>
      <c r="G84" s="268">
        <v>7</v>
      </c>
      <c r="H84" s="268">
        <v>18</v>
      </c>
      <c r="I84" s="268">
        <v>14</v>
      </c>
      <c r="J84" s="268">
        <v>19</v>
      </c>
      <c r="K84" s="268">
        <v>13</v>
      </c>
      <c r="L84" s="268">
        <v>12</v>
      </c>
      <c r="M84" s="268">
        <v>22</v>
      </c>
      <c r="N84" s="268">
        <v>10</v>
      </c>
      <c r="O84" s="268">
        <v>17</v>
      </c>
      <c r="P84" s="268">
        <v>18</v>
      </c>
      <c r="Q84" s="268">
        <v>15</v>
      </c>
      <c r="R84" s="268">
        <v>18</v>
      </c>
      <c r="S84" s="268">
        <v>11</v>
      </c>
      <c r="T84" s="268">
        <v>21</v>
      </c>
      <c r="U84" s="268">
        <v>16</v>
      </c>
      <c r="V84" s="268">
        <f>SUM(D84:O84)</f>
        <v>132</v>
      </c>
      <c r="W84" s="268">
        <f>SUM(J84:U84)</f>
        <v>192</v>
      </c>
    </row>
    <row r="85" spans="1:23" x14ac:dyDescent="0.25">
      <c r="A85" s="513" t="s">
        <v>210</v>
      </c>
      <c r="B85" s="603" t="s">
        <v>211</v>
      </c>
      <c r="C85" s="603" t="s">
        <v>268</v>
      </c>
      <c r="D85" s="268"/>
      <c r="E85" s="268"/>
      <c r="F85" s="268"/>
      <c r="G85" s="268">
        <v>5</v>
      </c>
      <c r="H85" s="268">
        <v>15</v>
      </c>
      <c r="I85" s="268">
        <v>19</v>
      </c>
      <c r="J85" s="268">
        <v>15</v>
      </c>
      <c r="K85" s="268">
        <v>9</v>
      </c>
      <c r="L85" s="268">
        <v>17</v>
      </c>
      <c r="M85" s="268">
        <v>8</v>
      </c>
      <c r="N85" s="268">
        <v>16</v>
      </c>
      <c r="O85" s="268">
        <v>6</v>
      </c>
      <c r="P85" s="268">
        <v>14</v>
      </c>
      <c r="Q85" s="268">
        <v>9</v>
      </c>
      <c r="R85" s="268">
        <v>11</v>
      </c>
      <c r="S85" s="268">
        <v>15</v>
      </c>
      <c r="T85" s="268">
        <v>14</v>
      </c>
      <c r="U85" s="268">
        <v>8</v>
      </c>
      <c r="V85" s="268">
        <f>SUM(D85:O85)</f>
        <v>110</v>
      </c>
      <c r="W85" s="268">
        <f>SUM(J85:U85)</f>
        <v>142</v>
      </c>
    </row>
    <row r="86" spans="1:23" x14ac:dyDescent="0.25">
      <c r="A86" s="513" t="s">
        <v>212</v>
      </c>
      <c r="B86" s="603" t="s">
        <v>213</v>
      </c>
      <c r="C86" s="603" t="s">
        <v>267</v>
      </c>
      <c r="D86" s="268"/>
      <c r="E86" s="268"/>
      <c r="F86" s="268"/>
      <c r="G86" s="268">
        <v>26</v>
      </c>
      <c r="H86" s="268">
        <v>24</v>
      </c>
      <c r="I86" s="268">
        <v>23</v>
      </c>
      <c r="J86" s="268">
        <v>35</v>
      </c>
      <c r="K86" s="268">
        <v>34</v>
      </c>
      <c r="L86" s="268">
        <v>34</v>
      </c>
      <c r="M86" s="268">
        <v>29</v>
      </c>
      <c r="N86" s="268">
        <v>24</v>
      </c>
      <c r="O86" s="268">
        <v>35</v>
      </c>
      <c r="P86" s="268">
        <v>38</v>
      </c>
      <c r="Q86" s="268">
        <v>31</v>
      </c>
      <c r="R86" s="268">
        <v>39</v>
      </c>
      <c r="S86" s="268">
        <v>55</v>
      </c>
      <c r="T86" s="268">
        <v>33</v>
      </c>
      <c r="U86" s="268">
        <v>18</v>
      </c>
      <c r="V86" s="268">
        <f>SUM(D86:O86)</f>
        <v>264</v>
      </c>
      <c r="W86" s="268">
        <f>SUM(J86:U86)</f>
        <v>405</v>
      </c>
    </row>
    <row r="87" spans="1:23" x14ac:dyDescent="0.25">
      <c r="A87" s="513" t="s">
        <v>214</v>
      </c>
      <c r="B87" s="603" t="s">
        <v>215</v>
      </c>
      <c r="C87" s="603" t="s">
        <v>268</v>
      </c>
      <c r="D87" s="268"/>
      <c r="E87" s="268"/>
      <c r="F87" s="268"/>
      <c r="G87" s="268">
        <v>7</v>
      </c>
      <c r="H87" s="268">
        <v>26</v>
      </c>
      <c r="I87" s="268">
        <v>22</v>
      </c>
      <c r="J87" s="268">
        <v>23</v>
      </c>
      <c r="K87" s="268">
        <v>23</v>
      </c>
      <c r="L87" s="268">
        <v>16</v>
      </c>
      <c r="M87" s="268">
        <v>19</v>
      </c>
      <c r="N87" s="268">
        <v>23</v>
      </c>
      <c r="O87" s="268">
        <v>23</v>
      </c>
      <c r="P87" s="268">
        <v>26</v>
      </c>
      <c r="Q87" s="268">
        <v>32</v>
      </c>
      <c r="R87" s="268">
        <v>25</v>
      </c>
      <c r="S87" s="268">
        <v>25</v>
      </c>
      <c r="T87" s="268">
        <v>19</v>
      </c>
      <c r="U87" s="268">
        <v>17</v>
      </c>
      <c r="V87" s="268">
        <f>SUM(D87:O87)</f>
        <v>182</v>
      </c>
      <c r="W87" s="268">
        <f>SUM(J87:U87)</f>
        <v>271</v>
      </c>
    </row>
    <row r="88" spans="1:23" x14ac:dyDescent="0.25">
      <c r="A88" s="513" t="s">
        <v>216</v>
      </c>
      <c r="B88" s="603" t="s">
        <v>217</v>
      </c>
      <c r="C88" s="603" t="s">
        <v>264</v>
      </c>
      <c r="D88" s="268"/>
      <c r="E88" s="268"/>
      <c r="F88" s="268"/>
      <c r="G88" s="268">
        <v>6</v>
      </c>
      <c r="H88" s="268">
        <v>24</v>
      </c>
      <c r="I88" s="268">
        <v>13</v>
      </c>
      <c r="J88" s="268">
        <v>11</v>
      </c>
      <c r="K88" s="268">
        <v>11</v>
      </c>
      <c r="L88" s="268">
        <v>10</v>
      </c>
      <c r="M88" s="268">
        <v>5</v>
      </c>
      <c r="N88" s="268">
        <v>8</v>
      </c>
      <c r="O88" s="268">
        <v>14</v>
      </c>
      <c r="P88" s="268">
        <v>19</v>
      </c>
      <c r="Q88" s="268">
        <v>16</v>
      </c>
      <c r="R88" s="268">
        <v>17</v>
      </c>
      <c r="S88" s="268">
        <v>20</v>
      </c>
      <c r="T88" s="268">
        <v>9</v>
      </c>
      <c r="U88" s="268">
        <v>9</v>
      </c>
      <c r="V88" s="268">
        <f>SUM(D88:O88)</f>
        <v>102</v>
      </c>
      <c r="W88" s="268">
        <f>SUM(J88:U88)</f>
        <v>149</v>
      </c>
    </row>
    <row r="89" spans="1:23" x14ac:dyDescent="0.25">
      <c r="A89" s="513" t="s">
        <v>218</v>
      </c>
      <c r="B89" s="603" t="s">
        <v>219</v>
      </c>
      <c r="C89" s="603" t="s">
        <v>267</v>
      </c>
      <c r="D89" s="268"/>
      <c r="E89" s="268"/>
      <c r="F89" s="268"/>
      <c r="G89" s="268">
        <v>60</v>
      </c>
      <c r="H89" s="268">
        <v>109</v>
      </c>
      <c r="I89" s="268">
        <v>88</v>
      </c>
      <c r="J89" s="268">
        <v>95</v>
      </c>
      <c r="K89" s="268">
        <v>85</v>
      </c>
      <c r="L89" s="268">
        <v>60</v>
      </c>
      <c r="M89" s="268">
        <v>80</v>
      </c>
      <c r="N89" s="268">
        <v>105</v>
      </c>
      <c r="O89" s="268">
        <v>101</v>
      </c>
      <c r="P89" s="268">
        <v>66</v>
      </c>
      <c r="Q89" s="268">
        <v>106</v>
      </c>
      <c r="R89" s="268">
        <v>101</v>
      </c>
      <c r="S89" s="268">
        <v>121</v>
      </c>
      <c r="T89" s="268">
        <v>109</v>
      </c>
      <c r="U89" s="268">
        <v>88</v>
      </c>
      <c r="V89" s="268">
        <f>SUM(D89:O89)</f>
        <v>783</v>
      </c>
      <c r="W89" s="268">
        <f>SUM(J89:U89)</f>
        <v>1117</v>
      </c>
    </row>
    <row r="90" spans="1:23" x14ac:dyDescent="0.25">
      <c r="A90" s="513" t="s">
        <v>220</v>
      </c>
      <c r="B90" s="603" t="s">
        <v>221</v>
      </c>
      <c r="C90" s="603" t="s">
        <v>267</v>
      </c>
      <c r="D90" s="268"/>
      <c r="E90" s="268"/>
      <c r="F90" s="268"/>
      <c r="G90" s="268">
        <v>44</v>
      </c>
      <c r="H90" s="268">
        <v>93</v>
      </c>
      <c r="I90" s="268">
        <v>65</v>
      </c>
      <c r="J90" s="268">
        <v>60</v>
      </c>
      <c r="K90" s="268">
        <v>84</v>
      </c>
      <c r="L90" s="268">
        <v>75</v>
      </c>
      <c r="M90" s="268">
        <v>65</v>
      </c>
      <c r="N90" s="268">
        <v>70</v>
      </c>
      <c r="O90" s="268">
        <v>87</v>
      </c>
      <c r="P90" s="268">
        <v>70</v>
      </c>
      <c r="Q90" s="268">
        <v>83</v>
      </c>
      <c r="R90" s="268">
        <v>86</v>
      </c>
      <c r="S90" s="268">
        <v>91</v>
      </c>
      <c r="T90" s="268">
        <v>84</v>
      </c>
      <c r="U90" s="268">
        <v>84</v>
      </c>
      <c r="V90" s="268">
        <f>SUM(D90:O90)</f>
        <v>643</v>
      </c>
      <c r="W90" s="268">
        <f>SUM(J90:U90)</f>
        <v>939</v>
      </c>
    </row>
    <row r="91" spans="1:23" x14ac:dyDescent="0.25">
      <c r="A91" s="513" t="s">
        <v>224</v>
      </c>
      <c r="B91" s="603" t="s">
        <v>225</v>
      </c>
      <c r="C91" s="603" t="s">
        <v>264</v>
      </c>
      <c r="D91" s="268"/>
      <c r="E91" s="268"/>
      <c r="F91" s="268"/>
      <c r="G91" s="268">
        <v>2</v>
      </c>
      <c r="H91" s="268">
        <v>6</v>
      </c>
      <c r="I91" s="268">
        <v>3</v>
      </c>
      <c r="J91" s="268">
        <v>6</v>
      </c>
      <c r="K91" s="268">
        <v>2</v>
      </c>
      <c r="L91" s="268">
        <v>1</v>
      </c>
      <c r="M91" s="268">
        <v>4</v>
      </c>
      <c r="N91" s="268">
        <v>3</v>
      </c>
      <c r="O91" s="268">
        <v>5</v>
      </c>
      <c r="P91" s="268">
        <v>4</v>
      </c>
      <c r="Q91" s="268">
        <v>3</v>
      </c>
      <c r="R91" s="268">
        <v>1</v>
      </c>
      <c r="S91" s="268">
        <v>4</v>
      </c>
      <c r="T91" s="268">
        <v>4</v>
      </c>
      <c r="U91" s="268">
        <v>3</v>
      </c>
      <c r="V91" s="268">
        <f>SUM(D91:O91)</f>
        <v>32</v>
      </c>
      <c r="W91" s="268">
        <f>SUM(J91:U91)</f>
        <v>40</v>
      </c>
    </row>
    <row r="92" spans="1:23" x14ac:dyDescent="0.25">
      <c r="A92" s="513" t="s">
        <v>226</v>
      </c>
      <c r="B92" s="603" t="s">
        <v>227</v>
      </c>
      <c r="C92" s="603" t="s">
        <v>264</v>
      </c>
      <c r="D92" s="268"/>
      <c r="E92" s="268"/>
      <c r="F92" s="268"/>
      <c r="G92" s="268">
        <v>4</v>
      </c>
      <c r="H92" s="268">
        <v>10</v>
      </c>
      <c r="I92" s="268">
        <v>6</v>
      </c>
      <c r="J92" s="268">
        <v>8</v>
      </c>
      <c r="K92" s="268">
        <v>12</v>
      </c>
      <c r="L92" s="268">
        <v>8</v>
      </c>
      <c r="M92" s="268">
        <v>8</v>
      </c>
      <c r="N92" s="268">
        <v>12</v>
      </c>
      <c r="O92" s="268">
        <v>9</v>
      </c>
      <c r="P92" s="268">
        <v>13</v>
      </c>
      <c r="Q92" s="268">
        <v>13</v>
      </c>
      <c r="R92" s="268">
        <v>11</v>
      </c>
      <c r="S92" s="268">
        <v>9</v>
      </c>
      <c r="T92" s="268">
        <v>10</v>
      </c>
      <c r="U92" s="268">
        <v>9</v>
      </c>
      <c r="V92" s="268">
        <f>SUM(D92:O92)</f>
        <v>77</v>
      </c>
      <c r="W92" s="268">
        <f>SUM(J92:U92)</f>
        <v>122</v>
      </c>
    </row>
    <row r="93" spans="1:23" x14ac:dyDescent="0.25">
      <c r="A93" s="513" t="s">
        <v>228</v>
      </c>
      <c r="B93" s="603" t="s">
        <v>229</v>
      </c>
      <c r="C93" s="603" t="s">
        <v>268</v>
      </c>
      <c r="D93" s="268"/>
      <c r="E93" s="268"/>
      <c r="F93" s="268"/>
      <c r="G93" s="268">
        <v>15</v>
      </c>
      <c r="H93" s="268">
        <v>25</v>
      </c>
      <c r="I93" s="268">
        <v>23</v>
      </c>
      <c r="J93" s="268">
        <v>26</v>
      </c>
      <c r="K93" s="268">
        <v>26</v>
      </c>
      <c r="L93" s="268">
        <v>33</v>
      </c>
      <c r="M93" s="268">
        <v>26</v>
      </c>
      <c r="N93" s="268">
        <v>23</v>
      </c>
      <c r="O93" s="268">
        <v>36</v>
      </c>
      <c r="P93" s="268">
        <v>22</v>
      </c>
      <c r="Q93" s="268">
        <v>25</v>
      </c>
      <c r="R93" s="268">
        <v>20</v>
      </c>
      <c r="S93" s="268">
        <v>25</v>
      </c>
      <c r="T93" s="268">
        <v>19</v>
      </c>
      <c r="U93" s="268">
        <v>31</v>
      </c>
      <c r="V93" s="268">
        <f>SUM(D93:O93)</f>
        <v>233</v>
      </c>
      <c r="W93" s="268">
        <f>SUM(J93:U93)</f>
        <v>312</v>
      </c>
    </row>
    <row r="94" spans="1:23" x14ac:dyDescent="0.25">
      <c r="A94" s="513" t="s">
        <v>232</v>
      </c>
      <c r="B94" s="603" t="s">
        <v>233</v>
      </c>
      <c r="C94" s="603" t="s">
        <v>267</v>
      </c>
      <c r="D94" s="268"/>
      <c r="E94" s="268"/>
      <c r="F94" s="268"/>
      <c r="G94" s="268">
        <v>7</v>
      </c>
      <c r="H94" s="268">
        <v>22</v>
      </c>
      <c r="I94" s="268">
        <v>28</v>
      </c>
      <c r="J94" s="268">
        <v>27</v>
      </c>
      <c r="K94" s="268">
        <v>34</v>
      </c>
      <c r="L94" s="268">
        <v>24</v>
      </c>
      <c r="M94" s="268">
        <v>25</v>
      </c>
      <c r="N94" s="268">
        <v>22</v>
      </c>
      <c r="O94" s="268">
        <v>31</v>
      </c>
      <c r="P94" s="268">
        <v>28</v>
      </c>
      <c r="Q94" s="268">
        <v>41</v>
      </c>
      <c r="R94" s="268">
        <v>31</v>
      </c>
      <c r="S94" s="268">
        <v>33</v>
      </c>
      <c r="T94" s="268">
        <v>21</v>
      </c>
      <c r="U94" s="268">
        <v>19</v>
      </c>
      <c r="V94" s="268">
        <f>SUM(D94:O94)</f>
        <v>220</v>
      </c>
      <c r="W94" s="268">
        <f>SUM(J94:U94)</f>
        <v>336</v>
      </c>
    </row>
    <row r="95" spans="1:23" x14ac:dyDescent="0.25">
      <c r="A95" s="513" t="s">
        <v>234</v>
      </c>
      <c r="B95" s="603" t="s">
        <v>235</v>
      </c>
      <c r="C95" s="603" t="s">
        <v>268</v>
      </c>
      <c r="D95" s="268"/>
      <c r="E95" s="268"/>
      <c r="F95" s="268"/>
      <c r="G95" s="268">
        <v>9</v>
      </c>
      <c r="H95" s="268">
        <v>35</v>
      </c>
      <c r="I95" s="268">
        <v>37</v>
      </c>
      <c r="J95" s="268">
        <v>24</v>
      </c>
      <c r="K95" s="268">
        <v>35</v>
      </c>
      <c r="L95" s="268">
        <v>31</v>
      </c>
      <c r="M95" s="268">
        <v>21</v>
      </c>
      <c r="N95" s="268">
        <v>32</v>
      </c>
      <c r="O95" s="268">
        <v>26</v>
      </c>
      <c r="P95" s="268">
        <v>26</v>
      </c>
      <c r="Q95" s="268">
        <v>41</v>
      </c>
      <c r="R95" s="268">
        <v>36</v>
      </c>
      <c r="S95" s="268">
        <v>32</v>
      </c>
      <c r="T95" s="268">
        <v>21</v>
      </c>
      <c r="U95" s="268">
        <v>29</v>
      </c>
      <c r="V95" s="268">
        <f>SUM(D95:O95)</f>
        <v>250</v>
      </c>
      <c r="W95" s="268">
        <f>SUM(J95:U95)</f>
        <v>354</v>
      </c>
    </row>
    <row r="96" spans="1:23" x14ac:dyDescent="0.25">
      <c r="A96" s="513" t="s">
        <v>236</v>
      </c>
      <c r="B96" s="603" t="s">
        <v>237</v>
      </c>
      <c r="C96" s="603" t="s">
        <v>266</v>
      </c>
      <c r="D96" s="268"/>
      <c r="E96" s="268"/>
      <c r="F96" s="268"/>
      <c r="G96" s="268">
        <v>7</v>
      </c>
      <c r="H96" s="268">
        <v>19</v>
      </c>
      <c r="I96" s="268">
        <v>12</v>
      </c>
      <c r="J96" s="268">
        <v>13</v>
      </c>
      <c r="K96" s="268">
        <v>11</v>
      </c>
      <c r="L96" s="268">
        <v>9</v>
      </c>
      <c r="M96" s="268">
        <v>10</v>
      </c>
      <c r="N96" s="268">
        <v>20</v>
      </c>
      <c r="O96" s="268">
        <v>13</v>
      </c>
      <c r="P96" s="268">
        <v>14</v>
      </c>
      <c r="Q96" s="268">
        <v>22</v>
      </c>
      <c r="R96" s="268">
        <v>21</v>
      </c>
      <c r="S96" s="268">
        <v>24</v>
      </c>
      <c r="T96" s="268">
        <v>22</v>
      </c>
      <c r="U96" s="268">
        <v>25</v>
      </c>
      <c r="V96" s="268">
        <f>SUM(D96:O96)</f>
        <v>114</v>
      </c>
      <c r="W96" s="268">
        <f>SUM(J96:U96)</f>
        <v>204</v>
      </c>
    </row>
    <row r="97" spans="1:23" x14ac:dyDescent="0.25">
      <c r="A97" s="513" t="s">
        <v>242</v>
      </c>
      <c r="B97" s="603" t="s">
        <v>243</v>
      </c>
      <c r="C97" s="603" t="s">
        <v>268</v>
      </c>
      <c r="D97" s="268"/>
      <c r="E97" s="268"/>
      <c r="F97" s="268"/>
      <c r="G97" s="268">
        <v>8</v>
      </c>
      <c r="H97" s="268">
        <v>29</v>
      </c>
      <c r="I97" s="268">
        <v>28</v>
      </c>
      <c r="J97" s="268">
        <v>30</v>
      </c>
      <c r="K97" s="268">
        <v>25</v>
      </c>
      <c r="L97" s="268">
        <v>25</v>
      </c>
      <c r="M97" s="268">
        <v>17</v>
      </c>
      <c r="N97" s="268">
        <v>25</v>
      </c>
      <c r="O97" s="268">
        <v>29</v>
      </c>
      <c r="P97" s="268">
        <v>19</v>
      </c>
      <c r="Q97" s="268">
        <v>42</v>
      </c>
      <c r="R97" s="268">
        <v>30</v>
      </c>
      <c r="S97" s="268">
        <v>28</v>
      </c>
      <c r="T97" s="268">
        <v>40</v>
      </c>
      <c r="U97" s="268">
        <v>33</v>
      </c>
      <c r="V97" s="268">
        <f>SUM(D97:O97)</f>
        <v>216</v>
      </c>
      <c r="W97" s="268">
        <f>SUM(J97:U97)</f>
        <v>343</v>
      </c>
    </row>
    <row r="98" spans="1:23" x14ac:dyDescent="0.25">
      <c r="A98" s="513" t="s">
        <v>244</v>
      </c>
      <c r="B98" s="603" t="s">
        <v>245</v>
      </c>
      <c r="C98" s="603" t="s">
        <v>268</v>
      </c>
      <c r="D98" s="268"/>
      <c r="E98" s="268"/>
      <c r="F98" s="268"/>
      <c r="G98" s="268">
        <v>10</v>
      </c>
      <c r="H98" s="268">
        <v>24</v>
      </c>
      <c r="I98" s="268">
        <v>20</v>
      </c>
      <c r="J98" s="268">
        <v>17</v>
      </c>
      <c r="K98" s="268">
        <v>21</v>
      </c>
      <c r="L98" s="268">
        <v>19</v>
      </c>
      <c r="M98" s="268">
        <v>20</v>
      </c>
      <c r="N98" s="268">
        <v>24</v>
      </c>
      <c r="O98" s="268">
        <v>29</v>
      </c>
      <c r="P98" s="268">
        <v>21</v>
      </c>
      <c r="Q98" s="268">
        <v>25</v>
      </c>
      <c r="R98" s="268">
        <v>29</v>
      </c>
      <c r="S98" s="268">
        <v>21</v>
      </c>
      <c r="T98" s="268">
        <v>17</v>
      </c>
      <c r="U98" s="268">
        <v>25</v>
      </c>
      <c r="V98" s="268">
        <f>SUM(D98:O98)</f>
        <v>184</v>
      </c>
      <c r="W98" s="268">
        <f>SUM(J98:U98)</f>
        <v>268</v>
      </c>
    </row>
    <row r="99" spans="1:23" x14ac:dyDescent="0.25">
      <c r="A99" s="513" t="s">
        <v>246</v>
      </c>
      <c r="B99" s="603" t="s">
        <v>247</v>
      </c>
      <c r="C99" s="603" t="s">
        <v>264</v>
      </c>
      <c r="D99" s="268"/>
      <c r="E99" s="268"/>
      <c r="F99" s="268"/>
      <c r="G99" s="268">
        <v>14</v>
      </c>
      <c r="H99" s="268">
        <v>26</v>
      </c>
      <c r="I99" s="268">
        <v>18</v>
      </c>
      <c r="J99" s="268">
        <v>17</v>
      </c>
      <c r="K99" s="268">
        <v>13</v>
      </c>
      <c r="L99" s="268">
        <v>18</v>
      </c>
      <c r="M99" s="268">
        <v>21</v>
      </c>
      <c r="N99" s="268">
        <v>19</v>
      </c>
      <c r="O99" s="268">
        <v>34</v>
      </c>
      <c r="P99" s="268">
        <v>28</v>
      </c>
      <c r="Q99" s="268">
        <v>32</v>
      </c>
      <c r="R99" s="268">
        <v>32</v>
      </c>
      <c r="S99" s="268">
        <v>37</v>
      </c>
      <c r="T99" s="268">
        <v>33</v>
      </c>
      <c r="U99" s="268">
        <v>27</v>
      </c>
      <c r="V99" s="268">
        <f>SUM(D99:O99)</f>
        <v>180</v>
      </c>
      <c r="W99" s="268">
        <f>SUM(J99:U99)</f>
        <v>311</v>
      </c>
    </row>
    <row r="100" spans="1:23" x14ac:dyDescent="0.25">
      <c r="A100" s="513" t="s">
        <v>14</v>
      </c>
      <c r="B100" s="603" t="s">
        <v>15</v>
      </c>
      <c r="C100" s="603" t="s">
        <v>267</v>
      </c>
      <c r="D100" s="268"/>
      <c r="E100" s="268"/>
      <c r="F100" s="268"/>
      <c r="G100" s="268">
        <v>32</v>
      </c>
      <c r="H100" s="268">
        <v>102</v>
      </c>
      <c r="I100" s="268">
        <v>90</v>
      </c>
      <c r="J100" s="268">
        <v>85</v>
      </c>
      <c r="K100" s="268">
        <v>69</v>
      </c>
      <c r="L100" s="268">
        <v>177</v>
      </c>
      <c r="M100" s="268">
        <v>144</v>
      </c>
      <c r="N100" s="268">
        <v>121</v>
      </c>
      <c r="O100" s="268">
        <v>106</v>
      </c>
      <c r="P100" s="268">
        <v>96</v>
      </c>
      <c r="Q100" s="268">
        <v>120</v>
      </c>
      <c r="R100" s="268">
        <v>120</v>
      </c>
      <c r="S100" s="268">
        <v>126</v>
      </c>
      <c r="T100" s="268">
        <v>108</v>
      </c>
      <c r="U100" s="268">
        <v>88</v>
      </c>
      <c r="V100" s="268">
        <f>SUM(D100:O100)</f>
        <v>926</v>
      </c>
      <c r="W100" s="268">
        <f>SUM(J100:U100)</f>
        <v>1360</v>
      </c>
    </row>
    <row r="101" spans="1:23" x14ac:dyDescent="0.25">
      <c r="A101" s="513" t="s">
        <v>34</v>
      </c>
      <c r="B101" s="603" t="s">
        <v>35</v>
      </c>
      <c r="C101" s="603" t="s">
        <v>268</v>
      </c>
      <c r="D101" s="268"/>
      <c r="E101" s="268"/>
      <c r="F101" s="268"/>
      <c r="G101" s="268">
        <v>19</v>
      </c>
      <c r="H101" s="268">
        <v>28</v>
      </c>
      <c r="I101" s="268">
        <v>18</v>
      </c>
      <c r="J101" s="268">
        <v>21</v>
      </c>
      <c r="K101" s="268">
        <v>19</v>
      </c>
      <c r="L101" s="268">
        <v>27</v>
      </c>
      <c r="M101" s="268">
        <v>26</v>
      </c>
      <c r="N101" s="268">
        <v>20</v>
      </c>
      <c r="O101" s="268">
        <v>15</v>
      </c>
      <c r="P101" s="268">
        <v>17</v>
      </c>
      <c r="Q101" s="268">
        <v>37</v>
      </c>
      <c r="R101" s="268">
        <v>22</v>
      </c>
      <c r="S101" s="268">
        <v>34</v>
      </c>
      <c r="T101" s="268">
        <v>23</v>
      </c>
      <c r="U101" s="268">
        <v>21</v>
      </c>
      <c r="V101" s="268">
        <f>SUM(D101:O101)</f>
        <v>193</v>
      </c>
      <c r="W101" s="268">
        <f>SUM(J101:U101)</f>
        <v>282</v>
      </c>
    </row>
    <row r="102" spans="1:23" x14ac:dyDescent="0.25">
      <c r="A102" s="513" t="s">
        <v>52</v>
      </c>
      <c r="B102" s="603" t="s">
        <v>53</v>
      </c>
      <c r="C102" s="603" t="s">
        <v>265</v>
      </c>
      <c r="D102" s="268"/>
      <c r="E102" s="268">
        <v>1</v>
      </c>
      <c r="F102" s="268">
        <v>9</v>
      </c>
      <c r="G102" s="268">
        <v>20</v>
      </c>
      <c r="H102" s="268">
        <v>51</v>
      </c>
      <c r="I102" s="268">
        <v>24</v>
      </c>
      <c r="J102" s="268">
        <v>13</v>
      </c>
      <c r="K102" s="268">
        <v>24</v>
      </c>
      <c r="L102" s="268">
        <v>33</v>
      </c>
      <c r="M102" s="268">
        <v>22</v>
      </c>
      <c r="N102" s="268">
        <v>21</v>
      </c>
      <c r="O102" s="268">
        <v>39</v>
      </c>
      <c r="P102" s="268">
        <v>25</v>
      </c>
      <c r="Q102" s="268">
        <v>29</v>
      </c>
      <c r="R102" s="268">
        <v>32</v>
      </c>
      <c r="S102" s="268">
        <v>31</v>
      </c>
      <c r="T102" s="268">
        <v>20</v>
      </c>
      <c r="U102" s="268">
        <v>19</v>
      </c>
      <c r="V102" s="268">
        <f>SUM(D102:O102)</f>
        <v>257</v>
      </c>
      <c r="W102" s="268">
        <f>SUM(J102:U102)</f>
        <v>308</v>
      </c>
    </row>
    <row r="103" spans="1:23" x14ac:dyDescent="0.25">
      <c r="A103" s="513" t="s">
        <v>54</v>
      </c>
      <c r="B103" s="603" t="s">
        <v>55</v>
      </c>
      <c r="C103" s="603" t="s">
        <v>264</v>
      </c>
      <c r="D103" s="268"/>
      <c r="E103" s="268"/>
      <c r="F103" s="268"/>
      <c r="G103" s="268">
        <v>71</v>
      </c>
      <c r="H103" s="268">
        <v>203</v>
      </c>
      <c r="I103" s="268">
        <v>163</v>
      </c>
      <c r="J103" s="268">
        <v>135</v>
      </c>
      <c r="K103" s="268">
        <v>153</v>
      </c>
      <c r="L103" s="268">
        <v>138</v>
      </c>
      <c r="M103" s="268">
        <v>109</v>
      </c>
      <c r="N103" s="268">
        <v>155</v>
      </c>
      <c r="O103" s="268">
        <v>153</v>
      </c>
      <c r="P103" s="268">
        <v>142</v>
      </c>
      <c r="Q103" s="268">
        <v>175</v>
      </c>
      <c r="R103" s="268">
        <v>170</v>
      </c>
      <c r="S103" s="268">
        <v>179</v>
      </c>
      <c r="T103" s="268">
        <v>143</v>
      </c>
      <c r="U103" s="268">
        <v>176</v>
      </c>
      <c r="V103" s="268">
        <f>SUM(D103:O103)</f>
        <v>1280</v>
      </c>
      <c r="W103" s="268">
        <f>SUM(J103:U103)</f>
        <v>1828</v>
      </c>
    </row>
    <row r="104" spans="1:23" x14ac:dyDescent="0.25">
      <c r="A104" s="513" t="s">
        <v>66</v>
      </c>
      <c r="B104" s="603" t="s">
        <v>67</v>
      </c>
      <c r="C104" s="603" t="s">
        <v>265</v>
      </c>
      <c r="D104" s="268"/>
      <c r="E104" s="268"/>
      <c r="F104" s="268">
        <v>10</v>
      </c>
      <c r="G104" s="268">
        <v>50</v>
      </c>
      <c r="H104" s="268">
        <v>55</v>
      </c>
      <c r="I104" s="268">
        <v>40</v>
      </c>
      <c r="J104" s="268">
        <v>44</v>
      </c>
      <c r="K104" s="268">
        <v>32</v>
      </c>
      <c r="L104" s="268">
        <v>27</v>
      </c>
      <c r="M104" s="268">
        <v>29</v>
      </c>
      <c r="N104" s="268">
        <v>37</v>
      </c>
      <c r="O104" s="268">
        <v>39</v>
      </c>
      <c r="P104" s="268">
        <v>52</v>
      </c>
      <c r="Q104" s="268">
        <v>52</v>
      </c>
      <c r="R104" s="268">
        <v>36</v>
      </c>
      <c r="S104" s="268">
        <v>51</v>
      </c>
      <c r="T104" s="268">
        <v>41</v>
      </c>
      <c r="U104" s="268">
        <v>29</v>
      </c>
      <c r="V104" s="268">
        <f>SUM(D104:O104)</f>
        <v>363</v>
      </c>
      <c r="W104" s="268">
        <f>SUM(J104:U104)</f>
        <v>469</v>
      </c>
    </row>
    <row r="105" spans="1:23" x14ac:dyDescent="0.25">
      <c r="A105" s="513" t="s">
        <v>82</v>
      </c>
      <c r="B105" s="603" t="s">
        <v>83</v>
      </c>
      <c r="C105" s="603" t="s">
        <v>264</v>
      </c>
      <c r="D105" s="268"/>
      <c r="E105" s="268"/>
      <c r="F105" s="268"/>
      <c r="G105" s="268">
        <v>5</v>
      </c>
      <c r="H105" s="268">
        <v>11</v>
      </c>
      <c r="I105" s="268">
        <v>13</v>
      </c>
      <c r="J105" s="268">
        <v>7</v>
      </c>
      <c r="K105" s="268">
        <v>12</v>
      </c>
      <c r="L105" s="268">
        <v>18</v>
      </c>
      <c r="M105" s="268">
        <v>7</v>
      </c>
      <c r="N105" s="268">
        <v>30</v>
      </c>
      <c r="O105" s="268">
        <v>14</v>
      </c>
      <c r="P105" s="268">
        <v>11</v>
      </c>
      <c r="Q105" s="268">
        <v>18</v>
      </c>
      <c r="R105" s="268">
        <v>6</v>
      </c>
      <c r="S105" s="268">
        <v>13</v>
      </c>
      <c r="T105" s="268">
        <v>13</v>
      </c>
      <c r="U105" s="268">
        <v>13</v>
      </c>
      <c r="V105" s="268">
        <f>SUM(D105:O105)</f>
        <v>117</v>
      </c>
      <c r="W105" s="268">
        <f>SUM(J105:U105)</f>
        <v>162</v>
      </c>
    </row>
    <row r="106" spans="1:23" x14ac:dyDescent="0.25">
      <c r="A106" s="513" t="s">
        <v>88</v>
      </c>
      <c r="B106" s="603" t="s">
        <v>89</v>
      </c>
      <c r="C106" s="603" t="s">
        <v>267</v>
      </c>
      <c r="D106" s="268"/>
      <c r="E106" s="268"/>
      <c r="F106" s="268"/>
      <c r="G106" s="268">
        <v>22</v>
      </c>
      <c r="H106" s="268">
        <v>41</v>
      </c>
      <c r="I106" s="268">
        <v>42</v>
      </c>
      <c r="J106" s="268">
        <v>47</v>
      </c>
      <c r="K106" s="268">
        <v>40</v>
      </c>
      <c r="L106" s="268">
        <v>32</v>
      </c>
      <c r="M106" s="268">
        <v>26</v>
      </c>
      <c r="N106" s="268">
        <v>35</v>
      </c>
      <c r="O106" s="268">
        <v>19</v>
      </c>
      <c r="P106" s="268">
        <v>33</v>
      </c>
      <c r="Q106" s="268">
        <v>44</v>
      </c>
      <c r="R106" s="268">
        <v>34</v>
      </c>
      <c r="S106" s="268">
        <v>45</v>
      </c>
      <c r="T106" s="268">
        <v>39</v>
      </c>
      <c r="U106" s="268">
        <v>27</v>
      </c>
      <c r="V106" s="268">
        <f>SUM(D106:O106)</f>
        <v>304</v>
      </c>
      <c r="W106" s="268">
        <f>SUM(J106:U106)</f>
        <v>421</v>
      </c>
    </row>
    <row r="107" spans="1:23" x14ac:dyDescent="0.25">
      <c r="A107" s="513" t="s">
        <v>90</v>
      </c>
      <c r="B107" s="603" t="s">
        <v>91</v>
      </c>
      <c r="C107" s="603" t="s">
        <v>268</v>
      </c>
      <c r="D107" s="268"/>
      <c r="E107" s="268"/>
      <c r="F107" s="268"/>
      <c r="G107" s="268"/>
      <c r="H107" s="268">
        <v>6</v>
      </c>
      <c r="I107" s="268">
        <v>3</v>
      </c>
      <c r="J107" s="268">
        <v>2</v>
      </c>
      <c r="K107" s="268">
        <v>26</v>
      </c>
      <c r="L107" s="268">
        <v>3</v>
      </c>
      <c r="M107" s="268">
        <v>1</v>
      </c>
      <c r="N107" s="268">
        <v>4</v>
      </c>
      <c r="O107" s="268">
        <v>4</v>
      </c>
      <c r="P107" s="268">
        <v>6</v>
      </c>
      <c r="Q107" s="268">
        <v>6</v>
      </c>
      <c r="R107" s="268"/>
      <c r="S107" s="268">
        <v>2</v>
      </c>
      <c r="T107" s="268"/>
      <c r="U107" s="268">
        <v>4</v>
      </c>
      <c r="V107" s="268">
        <f>SUM(D107:O107)</f>
        <v>49</v>
      </c>
      <c r="W107" s="268">
        <f>SUM(J107:U107)</f>
        <v>58</v>
      </c>
    </row>
    <row r="108" spans="1:23" x14ac:dyDescent="0.25">
      <c r="A108" s="513" t="s">
        <v>106</v>
      </c>
      <c r="B108" s="603" t="s">
        <v>107</v>
      </c>
      <c r="C108" s="603" t="s">
        <v>264</v>
      </c>
      <c r="D108" s="268"/>
      <c r="E108" s="268"/>
      <c r="F108" s="268"/>
      <c r="G108" s="268">
        <v>79</v>
      </c>
      <c r="H108" s="268">
        <v>188</v>
      </c>
      <c r="I108" s="268">
        <v>186</v>
      </c>
      <c r="J108" s="268">
        <v>135</v>
      </c>
      <c r="K108" s="268">
        <v>145</v>
      </c>
      <c r="L108" s="268">
        <v>163</v>
      </c>
      <c r="M108" s="268">
        <v>112</v>
      </c>
      <c r="N108" s="268">
        <v>154</v>
      </c>
      <c r="O108" s="268">
        <v>126</v>
      </c>
      <c r="P108" s="268">
        <v>166</v>
      </c>
      <c r="Q108" s="268">
        <v>174</v>
      </c>
      <c r="R108" s="268">
        <v>153</v>
      </c>
      <c r="S108" s="268">
        <v>170</v>
      </c>
      <c r="T108" s="268">
        <v>153</v>
      </c>
      <c r="U108" s="268">
        <v>136</v>
      </c>
      <c r="V108" s="268">
        <f>SUM(D108:O108)</f>
        <v>1288</v>
      </c>
      <c r="W108" s="268">
        <f>SUM(J108:U108)</f>
        <v>1787</v>
      </c>
    </row>
    <row r="109" spans="1:23" x14ac:dyDescent="0.25">
      <c r="A109" s="513" t="s">
        <v>116</v>
      </c>
      <c r="B109" s="603" t="s">
        <v>117</v>
      </c>
      <c r="C109" s="603" t="s">
        <v>266</v>
      </c>
      <c r="D109" s="268"/>
      <c r="E109" s="268"/>
      <c r="F109" s="268"/>
      <c r="G109" s="268">
        <v>17</v>
      </c>
      <c r="H109" s="268">
        <v>33</v>
      </c>
      <c r="I109" s="268">
        <v>30</v>
      </c>
      <c r="J109" s="268">
        <v>26</v>
      </c>
      <c r="K109" s="268">
        <v>27</v>
      </c>
      <c r="L109" s="268">
        <v>29</v>
      </c>
      <c r="M109" s="268">
        <v>35</v>
      </c>
      <c r="N109" s="268">
        <v>39</v>
      </c>
      <c r="O109" s="268">
        <v>43</v>
      </c>
      <c r="P109" s="268">
        <v>38</v>
      </c>
      <c r="Q109" s="268">
        <v>41</v>
      </c>
      <c r="R109" s="268">
        <v>40</v>
      </c>
      <c r="S109" s="268">
        <v>45</v>
      </c>
      <c r="T109" s="268">
        <v>45</v>
      </c>
      <c r="U109" s="268">
        <v>26</v>
      </c>
      <c r="V109" s="268">
        <f>SUM(D109:O109)</f>
        <v>279</v>
      </c>
      <c r="W109" s="268">
        <f>SUM(J109:U109)</f>
        <v>434</v>
      </c>
    </row>
    <row r="110" spans="1:23" x14ac:dyDescent="0.25">
      <c r="A110" s="513" t="s">
        <v>138</v>
      </c>
      <c r="B110" s="603" t="s">
        <v>139</v>
      </c>
      <c r="C110" s="603" t="s">
        <v>265</v>
      </c>
      <c r="D110" s="268"/>
      <c r="E110" s="268"/>
      <c r="F110" s="268">
        <v>10</v>
      </c>
      <c r="G110" s="268">
        <v>42</v>
      </c>
      <c r="H110" s="268">
        <v>75</v>
      </c>
      <c r="I110" s="268">
        <v>58</v>
      </c>
      <c r="J110" s="268">
        <v>62</v>
      </c>
      <c r="K110" s="268">
        <v>48</v>
      </c>
      <c r="L110" s="268">
        <v>54</v>
      </c>
      <c r="M110" s="268">
        <v>63</v>
      </c>
      <c r="N110" s="268">
        <v>72</v>
      </c>
      <c r="O110" s="268">
        <v>73</v>
      </c>
      <c r="P110" s="268">
        <v>78</v>
      </c>
      <c r="Q110" s="268">
        <v>86</v>
      </c>
      <c r="R110" s="268">
        <v>94</v>
      </c>
      <c r="S110" s="268">
        <v>64</v>
      </c>
      <c r="T110" s="268">
        <v>59</v>
      </c>
      <c r="U110" s="268">
        <v>69</v>
      </c>
      <c r="V110" s="268">
        <f>SUM(D110:O110)</f>
        <v>557</v>
      </c>
      <c r="W110" s="268">
        <f>SUM(J110:U110)</f>
        <v>822</v>
      </c>
    </row>
    <row r="111" spans="1:23" x14ac:dyDescent="0.25">
      <c r="A111" s="513" t="s">
        <v>142</v>
      </c>
      <c r="B111" s="603" t="s">
        <v>143</v>
      </c>
      <c r="C111" s="603" t="s">
        <v>267</v>
      </c>
      <c r="D111" s="268"/>
      <c r="E111" s="268"/>
      <c r="F111" s="268"/>
      <c r="G111" s="268">
        <v>19</v>
      </c>
      <c r="H111" s="268">
        <v>29</v>
      </c>
      <c r="I111" s="268">
        <v>37</v>
      </c>
      <c r="J111" s="268">
        <v>28</v>
      </c>
      <c r="K111" s="268">
        <v>25</v>
      </c>
      <c r="L111" s="268">
        <v>21</v>
      </c>
      <c r="M111" s="268">
        <v>16</v>
      </c>
      <c r="N111" s="268">
        <v>26</v>
      </c>
      <c r="O111" s="268">
        <v>33</v>
      </c>
      <c r="P111" s="268">
        <v>26</v>
      </c>
      <c r="Q111" s="268">
        <v>43</v>
      </c>
      <c r="R111" s="268">
        <v>28</v>
      </c>
      <c r="S111" s="268">
        <v>29</v>
      </c>
      <c r="T111" s="268">
        <v>26</v>
      </c>
      <c r="U111" s="268">
        <v>24</v>
      </c>
      <c r="V111" s="268">
        <f>SUM(D111:O111)</f>
        <v>234</v>
      </c>
      <c r="W111" s="268">
        <f>SUM(J111:U111)</f>
        <v>325</v>
      </c>
    </row>
    <row r="112" spans="1:23" x14ac:dyDescent="0.25">
      <c r="A112" s="513" t="s">
        <v>144</v>
      </c>
      <c r="B112" s="603" t="s">
        <v>145</v>
      </c>
      <c r="C112" s="603" t="s">
        <v>267</v>
      </c>
      <c r="D112" s="268"/>
      <c r="E112" s="268"/>
      <c r="F112" s="268"/>
      <c r="G112" s="268">
        <v>6</v>
      </c>
      <c r="H112" s="268">
        <v>12</v>
      </c>
      <c r="I112" s="268">
        <v>10</v>
      </c>
      <c r="J112" s="268">
        <v>14</v>
      </c>
      <c r="K112" s="268">
        <v>14</v>
      </c>
      <c r="L112" s="268">
        <v>9</v>
      </c>
      <c r="M112" s="268">
        <v>9</v>
      </c>
      <c r="N112" s="268">
        <v>6</v>
      </c>
      <c r="O112" s="268">
        <v>15</v>
      </c>
      <c r="P112" s="268">
        <v>10</v>
      </c>
      <c r="Q112" s="268">
        <v>14</v>
      </c>
      <c r="R112" s="268">
        <v>8</v>
      </c>
      <c r="S112" s="268">
        <v>7</v>
      </c>
      <c r="T112" s="268">
        <v>7</v>
      </c>
      <c r="U112" s="268">
        <v>3</v>
      </c>
      <c r="V112" s="268">
        <f>SUM(D112:O112)</f>
        <v>95</v>
      </c>
      <c r="W112" s="268">
        <f>SUM(J112:U112)</f>
        <v>116</v>
      </c>
    </row>
    <row r="113" spans="1:23" x14ac:dyDescent="0.25">
      <c r="A113" s="513" t="s">
        <v>158</v>
      </c>
      <c r="B113" s="603" t="s">
        <v>159</v>
      </c>
      <c r="C113" s="603" t="s">
        <v>264</v>
      </c>
      <c r="D113" s="268"/>
      <c r="E113" s="268"/>
      <c r="F113" s="268"/>
      <c r="G113" s="268">
        <v>112</v>
      </c>
      <c r="H113" s="268">
        <v>258</v>
      </c>
      <c r="I113" s="268">
        <v>261</v>
      </c>
      <c r="J113" s="268">
        <v>261</v>
      </c>
      <c r="K113" s="268">
        <v>225</v>
      </c>
      <c r="L113" s="268">
        <v>214</v>
      </c>
      <c r="M113" s="268">
        <v>239</v>
      </c>
      <c r="N113" s="268">
        <v>228</v>
      </c>
      <c r="O113" s="268">
        <v>242</v>
      </c>
      <c r="P113" s="268">
        <v>251</v>
      </c>
      <c r="Q113" s="268">
        <v>329</v>
      </c>
      <c r="R113" s="268">
        <v>284</v>
      </c>
      <c r="S113" s="268">
        <v>319</v>
      </c>
      <c r="T113" s="268">
        <v>277</v>
      </c>
      <c r="U113" s="268">
        <v>236</v>
      </c>
      <c r="V113" s="268">
        <f>SUM(D113:O113)</f>
        <v>2040</v>
      </c>
      <c r="W113" s="268">
        <f>SUM(J113:U113)</f>
        <v>3105</v>
      </c>
    </row>
    <row r="114" spans="1:23" x14ac:dyDescent="0.25">
      <c r="A114" s="513" t="s">
        <v>160</v>
      </c>
      <c r="B114" s="603" t="s">
        <v>161</v>
      </c>
      <c r="C114" s="603" t="s">
        <v>264</v>
      </c>
      <c r="D114" s="268"/>
      <c r="E114" s="268"/>
      <c r="F114" s="268"/>
      <c r="G114" s="268">
        <v>124</v>
      </c>
      <c r="H114" s="268">
        <v>316</v>
      </c>
      <c r="I114" s="268">
        <v>289</v>
      </c>
      <c r="J114" s="268">
        <v>230</v>
      </c>
      <c r="K114" s="268">
        <v>237</v>
      </c>
      <c r="L114" s="268">
        <v>219</v>
      </c>
      <c r="M114" s="268">
        <v>228</v>
      </c>
      <c r="N114" s="268">
        <v>250</v>
      </c>
      <c r="O114" s="268">
        <v>289</v>
      </c>
      <c r="P114" s="268">
        <v>233</v>
      </c>
      <c r="Q114" s="268">
        <v>311</v>
      </c>
      <c r="R114" s="268">
        <v>245</v>
      </c>
      <c r="S114" s="268">
        <v>302</v>
      </c>
      <c r="T114" s="268">
        <v>254</v>
      </c>
      <c r="U114" s="268">
        <v>266</v>
      </c>
      <c r="V114" s="268">
        <f>SUM(D114:O114)</f>
        <v>2182</v>
      </c>
      <c r="W114" s="268">
        <f>SUM(J114:U114)</f>
        <v>3064</v>
      </c>
    </row>
    <row r="115" spans="1:23" x14ac:dyDescent="0.25">
      <c r="A115" s="513" t="s">
        <v>166</v>
      </c>
      <c r="B115" s="603" t="s">
        <v>167</v>
      </c>
      <c r="C115" s="603" t="s">
        <v>268</v>
      </c>
      <c r="D115" s="268"/>
      <c r="E115" s="268"/>
      <c r="F115" s="268"/>
      <c r="G115" s="268">
        <v>2</v>
      </c>
      <c r="H115" s="268">
        <v>3</v>
      </c>
      <c r="I115" s="268">
        <v>4</v>
      </c>
      <c r="J115" s="268">
        <v>3</v>
      </c>
      <c r="K115" s="268">
        <v>1</v>
      </c>
      <c r="L115" s="268">
        <v>3</v>
      </c>
      <c r="M115" s="268">
        <v>2</v>
      </c>
      <c r="N115" s="268">
        <v>7</v>
      </c>
      <c r="O115" s="268">
        <v>5</v>
      </c>
      <c r="P115" s="268">
        <v>3</v>
      </c>
      <c r="Q115" s="268">
        <v>4</v>
      </c>
      <c r="R115" s="268">
        <v>1</v>
      </c>
      <c r="S115" s="268">
        <v>5</v>
      </c>
      <c r="T115" s="268">
        <v>3</v>
      </c>
      <c r="U115" s="268">
        <v>3</v>
      </c>
      <c r="V115" s="268">
        <f>SUM(D115:O115)</f>
        <v>30</v>
      </c>
      <c r="W115" s="268">
        <f>SUM(J115:U115)</f>
        <v>40</v>
      </c>
    </row>
    <row r="116" spans="1:23" x14ac:dyDescent="0.25">
      <c r="A116" s="513" t="s">
        <v>176</v>
      </c>
      <c r="B116" s="603" t="s">
        <v>177</v>
      </c>
      <c r="C116" s="603" t="s">
        <v>266</v>
      </c>
      <c r="D116" s="268"/>
      <c r="E116" s="268"/>
      <c r="F116" s="268"/>
      <c r="G116" s="268">
        <v>22</v>
      </c>
      <c r="H116" s="268">
        <v>82</v>
      </c>
      <c r="I116" s="268">
        <v>52</v>
      </c>
      <c r="J116" s="268">
        <v>41</v>
      </c>
      <c r="K116" s="268">
        <v>74</v>
      </c>
      <c r="L116" s="268">
        <v>69</v>
      </c>
      <c r="M116" s="268">
        <v>51</v>
      </c>
      <c r="N116" s="268">
        <v>65</v>
      </c>
      <c r="O116" s="268">
        <v>78</v>
      </c>
      <c r="P116" s="268">
        <v>70</v>
      </c>
      <c r="Q116" s="268">
        <v>88</v>
      </c>
      <c r="R116" s="268">
        <v>83</v>
      </c>
      <c r="S116" s="268">
        <v>85</v>
      </c>
      <c r="T116" s="268">
        <v>82</v>
      </c>
      <c r="U116" s="268">
        <v>70</v>
      </c>
      <c r="V116" s="268">
        <f>SUM(D116:O116)</f>
        <v>534</v>
      </c>
      <c r="W116" s="268">
        <f>SUM(J116:U116)</f>
        <v>856</v>
      </c>
    </row>
    <row r="117" spans="1:23" x14ac:dyDescent="0.25">
      <c r="A117" s="513" t="s">
        <v>180</v>
      </c>
      <c r="B117" s="603" t="s">
        <v>181</v>
      </c>
      <c r="C117" s="603" t="s">
        <v>264</v>
      </c>
      <c r="D117" s="268"/>
      <c r="E117" s="268"/>
      <c r="F117" s="268"/>
      <c r="G117" s="268">
        <v>48</v>
      </c>
      <c r="H117" s="268">
        <v>129</v>
      </c>
      <c r="I117" s="268">
        <v>162</v>
      </c>
      <c r="J117" s="268">
        <v>121</v>
      </c>
      <c r="K117" s="268">
        <v>117</v>
      </c>
      <c r="L117" s="268">
        <v>123</v>
      </c>
      <c r="M117" s="268">
        <v>120</v>
      </c>
      <c r="N117" s="268">
        <v>129</v>
      </c>
      <c r="O117" s="268">
        <v>133</v>
      </c>
      <c r="P117" s="268">
        <v>125</v>
      </c>
      <c r="Q117" s="268">
        <v>159</v>
      </c>
      <c r="R117" s="268">
        <v>132</v>
      </c>
      <c r="S117" s="268">
        <v>166</v>
      </c>
      <c r="T117" s="268">
        <v>131</v>
      </c>
      <c r="U117" s="268">
        <v>133</v>
      </c>
      <c r="V117" s="268">
        <f>SUM(D117:O117)</f>
        <v>1082</v>
      </c>
      <c r="W117" s="268">
        <f>SUM(J117:U117)</f>
        <v>1589</v>
      </c>
    </row>
    <row r="118" spans="1:23" x14ac:dyDescent="0.25">
      <c r="A118" s="513" t="s">
        <v>192</v>
      </c>
      <c r="B118" s="603" t="s">
        <v>193</v>
      </c>
      <c r="C118" s="603" t="s">
        <v>268</v>
      </c>
      <c r="D118" s="268"/>
      <c r="E118" s="268"/>
      <c r="F118" s="268"/>
      <c r="G118" s="268">
        <v>4</v>
      </c>
      <c r="H118" s="268">
        <v>15</v>
      </c>
      <c r="I118" s="268">
        <v>7</v>
      </c>
      <c r="J118" s="268">
        <v>5</v>
      </c>
      <c r="K118" s="268">
        <v>7</v>
      </c>
      <c r="L118" s="268">
        <v>7</v>
      </c>
      <c r="M118" s="268">
        <v>13</v>
      </c>
      <c r="N118" s="268">
        <v>6</v>
      </c>
      <c r="O118" s="268">
        <v>2</v>
      </c>
      <c r="P118" s="268">
        <v>5</v>
      </c>
      <c r="Q118" s="268">
        <v>8</v>
      </c>
      <c r="R118" s="268">
        <v>8</v>
      </c>
      <c r="S118" s="268">
        <v>6</v>
      </c>
      <c r="T118" s="268">
        <v>8</v>
      </c>
      <c r="U118" s="268">
        <v>9</v>
      </c>
      <c r="V118" s="268">
        <f>SUM(D118:O118)</f>
        <v>66</v>
      </c>
      <c r="W118" s="268">
        <f>SUM(J118:U118)</f>
        <v>84</v>
      </c>
    </row>
    <row r="119" spans="1:23" x14ac:dyDescent="0.25">
      <c r="A119" s="513" t="s">
        <v>196</v>
      </c>
      <c r="B119" s="603" t="s">
        <v>197</v>
      </c>
      <c r="C119" s="603" t="s">
        <v>266</v>
      </c>
      <c r="D119" s="268"/>
      <c r="E119" s="268"/>
      <c r="F119" s="268"/>
      <c r="G119" s="268">
        <v>91</v>
      </c>
      <c r="H119" s="268">
        <v>283</v>
      </c>
      <c r="I119" s="268">
        <v>228</v>
      </c>
      <c r="J119" s="268">
        <v>239</v>
      </c>
      <c r="K119" s="268">
        <v>227</v>
      </c>
      <c r="L119" s="268">
        <v>269</v>
      </c>
      <c r="M119" s="268">
        <v>180</v>
      </c>
      <c r="N119" s="268">
        <v>237</v>
      </c>
      <c r="O119" s="268">
        <v>228</v>
      </c>
      <c r="P119" s="268">
        <v>195</v>
      </c>
      <c r="Q119" s="268">
        <v>284</v>
      </c>
      <c r="R119" s="268">
        <v>240</v>
      </c>
      <c r="S119" s="268">
        <v>254</v>
      </c>
      <c r="T119" s="268">
        <v>220</v>
      </c>
      <c r="U119" s="268">
        <v>201</v>
      </c>
      <c r="V119" s="268">
        <f>SUM(D119:O119)</f>
        <v>1982</v>
      </c>
      <c r="W119" s="268">
        <f>SUM(J119:U119)</f>
        <v>2774</v>
      </c>
    </row>
    <row r="120" spans="1:23" x14ac:dyDescent="0.25">
      <c r="A120" s="513" t="s">
        <v>200</v>
      </c>
      <c r="B120" s="603" t="s">
        <v>201</v>
      </c>
      <c r="C120" s="603" t="s">
        <v>265</v>
      </c>
      <c r="D120" s="268">
        <v>1</v>
      </c>
      <c r="E120" s="268">
        <v>1</v>
      </c>
      <c r="F120" s="268">
        <v>29</v>
      </c>
      <c r="G120" s="268">
        <v>128</v>
      </c>
      <c r="H120" s="268">
        <v>162</v>
      </c>
      <c r="I120" s="268">
        <v>182</v>
      </c>
      <c r="J120" s="268">
        <v>164</v>
      </c>
      <c r="K120" s="268">
        <v>116</v>
      </c>
      <c r="L120" s="268">
        <v>130</v>
      </c>
      <c r="M120" s="268">
        <v>137</v>
      </c>
      <c r="N120" s="268">
        <v>128</v>
      </c>
      <c r="O120" s="268">
        <v>165</v>
      </c>
      <c r="P120" s="268">
        <v>135</v>
      </c>
      <c r="Q120" s="268">
        <v>177</v>
      </c>
      <c r="R120" s="268">
        <v>139</v>
      </c>
      <c r="S120" s="268">
        <v>142</v>
      </c>
      <c r="T120" s="268">
        <v>138</v>
      </c>
      <c r="U120" s="268">
        <v>109</v>
      </c>
      <c r="V120" s="268">
        <f>SUM(D120:O120)</f>
        <v>1343</v>
      </c>
      <c r="W120" s="268">
        <f>SUM(J120:U120)</f>
        <v>1680</v>
      </c>
    </row>
    <row r="121" spans="1:23" x14ac:dyDescent="0.25">
      <c r="A121" s="513" t="s">
        <v>222</v>
      </c>
      <c r="B121" s="603" t="s">
        <v>223</v>
      </c>
      <c r="C121" s="603" t="s">
        <v>264</v>
      </c>
      <c r="D121" s="268"/>
      <c r="E121" s="268"/>
      <c r="F121" s="268"/>
      <c r="G121" s="268">
        <v>23</v>
      </c>
      <c r="H121" s="268">
        <v>82</v>
      </c>
      <c r="I121" s="268">
        <v>70</v>
      </c>
      <c r="J121" s="268">
        <v>65</v>
      </c>
      <c r="K121" s="268">
        <v>55</v>
      </c>
      <c r="L121" s="268">
        <v>121</v>
      </c>
      <c r="M121" s="268">
        <v>76</v>
      </c>
      <c r="N121" s="268">
        <v>66</v>
      </c>
      <c r="O121" s="268">
        <v>77</v>
      </c>
      <c r="P121" s="268">
        <v>62</v>
      </c>
      <c r="Q121" s="268">
        <v>75</v>
      </c>
      <c r="R121" s="268">
        <v>72</v>
      </c>
      <c r="S121" s="268">
        <v>75</v>
      </c>
      <c r="T121" s="268">
        <v>62</v>
      </c>
      <c r="U121" s="268">
        <v>59</v>
      </c>
      <c r="V121" s="268">
        <f>SUM(D121:O121)</f>
        <v>635</v>
      </c>
      <c r="W121" s="268">
        <f>SUM(J121:U121)</f>
        <v>865</v>
      </c>
    </row>
    <row r="122" spans="1:23" x14ac:dyDescent="0.25">
      <c r="A122" s="513" t="s">
        <v>230</v>
      </c>
      <c r="B122" s="603" t="s">
        <v>231</v>
      </c>
      <c r="C122" s="603" t="s">
        <v>264</v>
      </c>
      <c r="D122" s="268"/>
      <c r="E122" s="268"/>
      <c r="F122" s="268"/>
      <c r="G122" s="268">
        <v>146</v>
      </c>
      <c r="H122" s="268">
        <v>277</v>
      </c>
      <c r="I122" s="268">
        <v>270</v>
      </c>
      <c r="J122" s="268">
        <v>208</v>
      </c>
      <c r="K122" s="268">
        <v>203</v>
      </c>
      <c r="L122" s="268">
        <v>230</v>
      </c>
      <c r="M122" s="268">
        <v>200</v>
      </c>
      <c r="N122" s="268">
        <v>244</v>
      </c>
      <c r="O122" s="268">
        <v>210</v>
      </c>
      <c r="P122" s="268">
        <v>228</v>
      </c>
      <c r="Q122" s="268">
        <v>277</v>
      </c>
      <c r="R122" s="268">
        <v>264</v>
      </c>
      <c r="S122" s="268">
        <v>243</v>
      </c>
      <c r="T122" s="268">
        <v>222</v>
      </c>
      <c r="U122" s="268">
        <v>185</v>
      </c>
      <c r="V122" s="268">
        <f>SUM(D122:O122)</f>
        <v>1988</v>
      </c>
      <c r="W122" s="268">
        <f>SUM(J122:U122)</f>
        <v>2714</v>
      </c>
    </row>
    <row r="123" spans="1:23" x14ac:dyDescent="0.25">
      <c r="A123" s="513" t="s">
        <v>238</v>
      </c>
      <c r="B123" s="603" t="s">
        <v>239</v>
      </c>
      <c r="C123" s="603" t="s">
        <v>264</v>
      </c>
      <c r="D123" s="268"/>
      <c r="E123" s="268"/>
      <c r="F123" s="268"/>
      <c r="G123" s="268">
        <v>1</v>
      </c>
      <c r="H123" s="268">
        <v>2</v>
      </c>
      <c r="I123" s="268">
        <v>4</v>
      </c>
      <c r="J123" s="268">
        <v>6</v>
      </c>
      <c r="K123" s="268">
        <v>8</v>
      </c>
      <c r="L123" s="268">
        <v>2</v>
      </c>
      <c r="M123" s="268">
        <v>2</v>
      </c>
      <c r="N123" s="268">
        <v>2</v>
      </c>
      <c r="O123" s="268">
        <v>8</v>
      </c>
      <c r="P123" s="268">
        <v>4</v>
      </c>
      <c r="Q123" s="268">
        <v>14</v>
      </c>
      <c r="R123" s="268">
        <v>3</v>
      </c>
      <c r="S123" s="268">
        <v>10</v>
      </c>
      <c r="T123" s="268">
        <v>5</v>
      </c>
      <c r="U123" s="268">
        <v>2</v>
      </c>
      <c r="V123" s="268">
        <f>SUM(D123:O123)</f>
        <v>35</v>
      </c>
      <c r="W123" s="268">
        <f>SUM(J123:U123)</f>
        <v>66</v>
      </c>
    </row>
    <row r="124" spans="1:23" x14ac:dyDescent="0.25">
      <c r="A124" s="514" t="s">
        <v>240</v>
      </c>
      <c r="B124" s="517" t="s">
        <v>241</v>
      </c>
      <c r="C124" s="517" t="s">
        <v>267</v>
      </c>
      <c r="D124" s="268"/>
      <c r="E124" s="268"/>
      <c r="F124" s="268"/>
      <c r="G124" s="268">
        <v>12</v>
      </c>
      <c r="H124" s="268">
        <v>34</v>
      </c>
      <c r="I124" s="268">
        <v>33</v>
      </c>
      <c r="J124" s="268">
        <v>24</v>
      </c>
      <c r="K124" s="268">
        <v>35</v>
      </c>
      <c r="L124" s="268">
        <v>17</v>
      </c>
      <c r="M124" s="268">
        <v>27</v>
      </c>
      <c r="N124" s="268">
        <v>34</v>
      </c>
      <c r="O124" s="268">
        <v>30</v>
      </c>
      <c r="P124" s="268">
        <v>32</v>
      </c>
      <c r="Q124" s="268">
        <v>33</v>
      </c>
      <c r="R124" s="268">
        <v>29</v>
      </c>
      <c r="S124" s="268">
        <v>36</v>
      </c>
      <c r="T124" s="268">
        <v>33</v>
      </c>
      <c r="U124" s="268">
        <v>31</v>
      </c>
      <c r="V124" s="268">
        <f>SUM(D124:O124)</f>
        <v>246</v>
      </c>
      <c r="W124" s="268">
        <f>SUM(J124:U124)</f>
        <v>361</v>
      </c>
    </row>
    <row r="126" spans="1:23" ht="65.25" customHeight="1" x14ac:dyDescent="0.25">
      <c r="A126" s="2737" t="s">
        <v>1455</v>
      </c>
      <c r="B126" s="2737"/>
      <c r="C126" s="2737"/>
    </row>
    <row r="128" spans="1:23" s="389" customFormat="1" x14ac:dyDescent="0.25">
      <c r="A128" s="389" t="s">
        <v>248</v>
      </c>
    </row>
    <row r="129" spans="1:3" s="389" customFormat="1" x14ac:dyDescent="0.25">
      <c r="A129" s="390" t="s">
        <v>249</v>
      </c>
      <c r="B129" s="391" t="s">
        <v>250</v>
      </c>
      <c r="C129" s="391"/>
    </row>
  </sheetData>
  <sortState ref="A5:W124">
    <sortCondition ref="A5:A124"/>
  </sortState>
  <mergeCells count="1">
    <mergeCell ref="A126:C126"/>
  </mergeCells>
  <hyperlinks>
    <hyperlink ref="B129" r:id="rId1"/>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129"/>
  <sheetViews>
    <sheetView workbookViewId="0">
      <pane xSplit="3" ySplit="4" topLeftCell="D111" activePane="bottomRight" state="frozen"/>
      <selection pane="topRight" activeCell="D1" sqref="D1"/>
      <selection pane="bottomLeft" activeCell="A5" sqref="A5"/>
      <selection pane="bottomRight" activeCell="H126" sqref="H126"/>
    </sheetView>
  </sheetViews>
  <sheetFormatPr defaultRowHeight="15.75" x14ac:dyDescent="0.25"/>
  <cols>
    <col min="1" max="1" width="9" style="505"/>
    <col min="2" max="2" width="33.375" style="505" customWidth="1"/>
    <col min="3" max="3" width="16.75" style="505" customWidth="1"/>
    <col min="4" max="4" width="7.25" style="505" customWidth="1"/>
    <col min="5" max="6" width="9.125" style="505" bestFit="1" customWidth="1"/>
    <col min="7" max="7" width="9.875" style="505" bestFit="1" customWidth="1"/>
    <col min="8" max="15" width="10.125" style="505" bestFit="1" customWidth="1"/>
    <col min="16" max="21" width="10.125" style="505" customWidth="1"/>
    <col min="22" max="22" width="11.125" style="505" bestFit="1" customWidth="1"/>
    <col min="23" max="23" width="11.125" style="505" customWidth="1"/>
    <col min="24" max="16384" width="9" style="505"/>
  </cols>
  <sheetData>
    <row r="1" spans="1:23" ht="12.75" customHeight="1" x14ac:dyDescent="0.25">
      <c r="A1" s="255" t="s">
        <v>1370</v>
      </c>
    </row>
    <row r="3" spans="1:23" ht="53.25" customHeight="1" x14ac:dyDescent="0.25">
      <c r="A3" s="510" t="s">
        <v>4</v>
      </c>
      <c r="B3" s="567" t="s">
        <v>5</v>
      </c>
      <c r="C3" s="567" t="s">
        <v>251</v>
      </c>
      <c r="D3" s="1675">
        <v>42552</v>
      </c>
      <c r="E3" s="1675">
        <v>42583</v>
      </c>
      <c r="F3" s="1675">
        <v>42614</v>
      </c>
      <c r="G3" s="1675">
        <v>42644</v>
      </c>
      <c r="H3" s="1676">
        <v>42675</v>
      </c>
      <c r="I3" s="1676">
        <v>42705</v>
      </c>
      <c r="J3" s="1676">
        <v>42736</v>
      </c>
      <c r="K3" s="1676">
        <v>42767</v>
      </c>
      <c r="L3" s="1676">
        <v>42795</v>
      </c>
      <c r="M3" s="1676">
        <v>42826</v>
      </c>
      <c r="N3" s="1676">
        <v>42856</v>
      </c>
      <c r="O3" s="1676">
        <v>42887</v>
      </c>
      <c r="P3" s="1676">
        <v>42917</v>
      </c>
      <c r="Q3" s="1676">
        <v>42979</v>
      </c>
      <c r="R3" s="1676">
        <v>42979</v>
      </c>
      <c r="S3" s="1676">
        <v>43009</v>
      </c>
      <c r="T3" s="1676">
        <v>43040</v>
      </c>
      <c r="U3" s="1676">
        <v>43070</v>
      </c>
      <c r="V3" s="1677" t="s">
        <v>1216</v>
      </c>
      <c r="W3" s="1677" t="s">
        <v>1365</v>
      </c>
    </row>
    <row r="4" spans="1:23" x14ac:dyDescent="0.25">
      <c r="A4" s="599">
        <v>999</v>
      </c>
      <c r="B4" s="600" t="s">
        <v>9</v>
      </c>
      <c r="C4" s="600"/>
      <c r="D4" s="1678">
        <f>SUM(D5:D124)</f>
        <v>23741</v>
      </c>
      <c r="E4" s="1679">
        <f t="shared" ref="E4:W4" si="0">SUM(E5:E124)</f>
        <v>27837</v>
      </c>
      <c r="F4" s="1679">
        <f t="shared" si="0"/>
        <v>25673</v>
      </c>
      <c r="G4" s="1679">
        <f t="shared" si="0"/>
        <v>25259</v>
      </c>
      <c r="H4" s="1680">
        <f t="shared" si="0"/>
        <v>32471</v>
      </c>
      <c r="I4" s="1680">
        <f t="shared" si="0"/>
        <v>34915</v>
      </c>
      <c r="J4" s="1680">
        <f t="shared" si="0"/>
        <v>32727</v>
      </c>
      <c r="K4" s="1680">
        <f t="shared" si="0"/>
        <v>22451</v>
      </c>
      <c r="L4" s="1680">
        <f t="shared" si="0"/>
        <v>26179</v>
      </c>
      <c r="M4" s="1680">
        <f t="shared" si="0"/>
        <v>22193</v>
      </c>
      <c r="N4" s="1680">
        <f t="shared" si="0"/>
        <v>24502</v>
      </c>
      <c r="O4" s="1680">
        <f t="shared" si="0"/>
        <v>23794</v>
      </c>
      <c r="P4" s="2357">
        <f t="shared" si="0"/>
        <v>23178</v>
      </c>
      <c r="Q4" s="2357">
        <f t="shared" si="0"/>
        <v>27314</v>
      </c>
      <c r="R4" s="2357">
        <f t="shared" si="0"/>
        <v>24158</v>
      </c>
      <c r="S4" s="2357">
        <f t="shared" si="0"/>
        <v>24816</v>
      </c>
      <c r="T4" s="2357">
        <f t="shared" si="0"/>
        <v>42712</v>
      </c>
      <c r="U4" s="2357">
        <f t="shared" si="0"/>
        <v>32374</v>
      </c>
      <c r="V4" s="1680">
        <f t="shared" si="0"/>
        <v>321742</v>
      </c>
      <c r="W4" s="2357">
        <f t="shared" si="0"/>
        <v>326398</v>
      </c>
    </row>
    <row r="5" spans="1:23" x14ac:dyDescent="0.25">
      <c r="A5" s="512" t="s">
        <v>10</v>
      </c>
      <c r="B5" s="569" t="s">
        <v>11</v>
      </c>
      <c r="C5" s="569" t="s">
        <v>264</v>
      </c>
      <c r="D5" s="268">
        <v>112</v>
      </c>
      <c r="E5" s="268">
        <v>130</v>
      </c>
      <c r="F5" s="268">
        <v>153</v>
      </c>
      <c r="G5" s="268">
        <v>120</v>
      </c>
      <c r="H5" s="268">
        <v>164</v>
      </c>
      <c r="I5" s="268">
        <v>187</v>
      </c>
      <c r="J5" s="268">
        <v>166</v>
      </c>
      <c r="K5" s="268">
        <v>145</v>
      </c>
      <c r="L5" s="268">
        <v>159</v>
      </c>
      <c r="M5" s="268">
        <v>151</v>
      </c>
      <c r="N5" s="268">
        <v>138</v>
      </c>
      <c r="O5" s="268">
        <v>137</v>
      </c>
      <c r="P5" s="268">
        <v>131</v>
      </c>
      <c r="Q5" s="268">
        <v>181</v>
      </c>
      <c r="R5" s="268">
        <v>147</v>
      </c>
      <c r="S5" s="268">
        <v>135</v>
      </c>
      <c r="T5" s="268">
        <v>189</v>
      </c>
      <c r="U5" s="268">
        <v>149</v>
      </c>
      <c r="V5" s="268">
        <f>SUM(D5:O5)</f>
        <v>1762</v>
      </c>
      <c r="W5" s="268">
        <f>SUM(J5:U5)</f>
        <v>1828</v>
      </c>
    </row>
    <row r="6" spans="1:23" x14ac:dyDescent="0.25">
      <c r="A6" s="513" t="s">
        <v>12</v>
      </c>
      <c r="B6" s="603" t="s">
        <v>13</v>
      </c>
      <c r="C6" s="603" t="s">
        <v>265</v>
      </c>
      <c r="D6" s="268">
        <v>199</v>
      </c>
      <c r="E6" s="268">
        <v>205</v>
      </c>
      <c r="F6" s="268">
        <v>191</v>
      </c>
      <c r="G6" s="268">
        <v>165</v>
      </c>
      <c r="H6" s="268">
        <v>281</v>
      </c>
      <c r="I6" s="268">
        <v>274</v>
      </c>
      <c r="J6" s="268">
        <v>257</v>
      </c>
      <c r="K6" s="268">
        <v>178</v>
      </c>
      <c r="L6" s="268">
        <v>218</v>
      </c>
      <c r="M6" s="268">
        <v>148</v>
      </c>
      <c r="N6" s="268">
        <v>192</v>
      </c>
      <c r="O6" s="268">
        <v>208</v>
      </c>
      <c r="P6" s="268">
        <v>179</v>
      </c>
      <c r="Q6" s="268">
        <v>184</v>
      </c>
      <c r="R6" s="268">
        <v>194</v>
      </c>
      <c r="S6" s="268">
        <v>179</v>
      </c>
      <c r="T6" s="268">
        <v>465</v>
      </c>
      <c r="U6" s="268">
        <v>313</v>
      </c>
      <c r="V6" s="268">
        <f>SUM(D6:O6)</f>
        <v>2516</v>
      </c>
      <c r="W6" s="268">
        <f>SUM(J6:U6)</f>
        <v>2715</v>
      </c>
    </row>
    <row r="7" spans="1:23" x14ac:dyDescent="0.25">
      <c r="A7" s="513" t="s">
        <v>16</v>
      </c>
      <c r="B7" s="603" t="s">
        <v>297</v>
      </c>
      <c r="C7" s="603" t="s">
        <v>265</v>
      </c>
      <c r="D7" s="268">
        <v>69</v>
      </c>
      <c r="E7" s="268">
        <v>84</v>
      </c>
      <c r="F7" s="268">
        <v>107</v>
      </c>
      <c r="G7" s="268">
        <v>73</v>
      </c>
      <c r="H7" s="268">
        <v>118</v>
      </c>
      <c r="I7" s="268">
        <v>76</v>
      </c>
      <c r="J7" s="268">
        <v>90</v>
      </c>
      <c r="K7" s="268">
        <v>66</v>
      </c>
      <c r="L7" s="268">
        <v>78</v>
      </c>
      <c r="M7" s="268">
        <v>72</v>
      </c>
      <c r="N7" s="268">
        <v>69</v>
      </c>
      <c r="O7" s="268">
        <v>64</v>
      </c>
      <c r="P7" s="268">
        <v>87</v>
      </c>
      <c r="Q7" s="268">
        <v>81</v>
      </c>
      <c r="R7" s="268">
        <v>73</v>
      </c>
      <c r="S7" s="268">
        <v>51</v>
      </c>
      <c r="T7" s="268">
        <v>130</v>
      </c>
      <c r="U7" s="268">
        <v>104</v>
      </c>
      <c r="V7" s="268">
        <f>SUM(D7:O7)</f>
        <v>966</v>
      </c>
      <c r="W7" s="268">
        <f>SUM(J7:U7)</f>
        <v>965</v>
      </c>
    </row>
    <row r="8" spans="1:23" x14ac:dyDescent="0.25">
      <c r="A8" s="513" t="s">
        <v>18</v>
      </c>
      <c r="B8" s="603" t="s">
        <v>19</v>
      </c>
      <c r="C8" s="603" t="s">
        <v>266</v>
      </c>
      <c r="D8" s="268">
        <v>40</v>
      </c>
      <c r="E8" s="268">
        <v>33</v>
      </c>
      <c r="F8" s="268">
        <v>44</v>
      </c>
      <c r="G8" s="268">
        <v>43</v>
      </c>
      <c r="H8" s="268">
        <v>45</v>
      </c>
      <c r="I8" s="268">
        <v>42</v>
      </c>
      <c r="J8" s="268">
        <v>34</v>
      </c>
      <c r="K8" s="268">
        <v>24</v>
      </c>
      <c r="L8" s="268">
        <v>37</v>
      </c>
      <c r="M8" s="268">
        <v>30</v>
      </c>
      <c r="N8" s="268">
        <v>51</v>
      </c>
      <c r="O8" s="268">
        <v>29</v>
      </c>
      <c r="P8" s="268">
        <v>33</v>
      </c>
      <c r="Q8" s="268">
        <v>49</v>
      </c>
      <c r="R8" s="268">
        <v>25</v>
      </c>
      <c r="S8" s="268">
        <v>37</v>
      </c>
      <c r="T8" s="268">
        <v>52</v>
      </c>
      <c r="U8" s="268">
        <v>40</v>
      </c>
      <c r="V8" s="268">
        <f>SUM(D8:O8)</f>
        <v>452</v>
      </c>
      <c r="W8" s="268">
        <f>SUM(J8:U8)</f>
        <v>441</v>
      </c>
    </row>
    <row r="9" spans="1:23" x14ac:dyDescent="0.25">
      <c r="A9" s="513" t="s">
        <v>20</v>
      </c>
      <c r="B9" s="603" t="s">
        <v>21</v>
      </c>
      <c r="C9" s="603" t="s">
        <v>265</v>
      </c>
      <c r="D9" s="268">
        <v>95</v>
      </c>
      <c r="E9" s="268">
        <v>100</v>
      </c>
      <c r="F9" s="268">
        <v>80</v>
      </c>
      <c r="G9" s="268">
        <v>88</v>
      </c>
      <c r="H9" s="268">
        <v>106</v>
      </c>
      <c r="I9" s="268">
        <v>128</v>
      </c>
      <c r="J9" s="268">
        <v>86</v>
      </c>
      <c r="K9" s="268">
        <v>88</v>
      </c>
      <c r="L9" s="268">
        <v>107</v>
      </c>
      <c r="M9" s="268">
        <v>68</v>
      </c>
      <c r="N9" s="268">
        <v>74</v>
      </c>
      <c r="O9" s="268">
        <v>80</v>
      </c>
      <c r="P9" s="268">
        <v>92</v>
      </c>
      <c r="Q9" s="268">
        <v>93</v>
      </c>
      <c r="R9" s="268">
        <v>93</v>
      </c>
      <c r="S9" s="268">
        <v>84</v>
      </c>
      <c r="T9" s="268">
        <v>157</v>
      </c>
      <c r="U9" s="268">
        <v>119</v>
      </c>
      <c r="V9" s="268">
        <f>SUM(D9:O9)</f>
        <v>1100</v>
      </c>
      <c r="W9" s="268">
        <f>SUM(J9:U9)</f>
        <v>1141</v>
      </c>
    </row>
    <row r="10" spans="1:23" x14ac:dyDescent="0.25">
      <c r="A10" s="513" t="s">
        <v>22</v>
      </c>
      <c r="B10" s="603" t="s">
        <v>23</v>
      </c>
      <c r="C10" s="603" t="s">
        <v>265</v>
      </c>
      <c r="D10" s="268">
        <v>47</v>
      </c>
      <c r="E10" s="268">
        <v>64</v>
      </c>
      <c r="F10" s="268">
        <v>55</v>
      </c>
      <c r="G10" s="268">
        <v>49</v>
      </c>
      <c r="H10" s="268">
        <v>44</v>
      </c>
      <c r="I10" s="268">
        <v>48</v>
      </c>
      <c r="J10" s="268">
        <v>56</v>
      </c>
      <c r="K10" s="268">
        <v>40</v>
      </c>
      <c r="L10" s="268">
        <v>49</v>
      </c>
      <c r="M10" s="268">
        <v>42</v>
      </c>
      <c r="N10" s="268">
        <v>51</v>
      </c>
      <c r="O10" s="268">
        <v>37</v>
      </c>
      <c r="P10" s="268">
        <v>53</v>
      </c>
      <c r="Q10" s="268">
        <v>45</v>
      </c>
      <c r="R10" s="268">
        <v>36</v>
      </c>
      <c r="S10" s="268">
        <v>52</v>
      </c>
      <c r="T10" s="268">
        <v>76</v>
      </c>
      <c r="U10" s="268">
        <v>53</v>
      </c>
      <c r="V10" s="268">
        <f>SUM(D10:O10)</f>
        <v>582</v>
      </c>
      <c r="W10" s="268">
        <f>SUM(J10:U10)</f>
        <v>590</v>
      </c>
    </row>
    <row r="11" spans="1:23" x14ac:dyDescent="0.25">
      <c r="A11" s="513" t="s">
        <v>24</v>
      </c>
      <c r="B11" s="603" t="s">
        <v>25</v>
      </c>
      <c r="C11" s="603" t="s">
        <v>267</v>
      </c>
      <c r="D11" s="268">
        <v>346</v>
      </c>
      <c r="E11" s="268">
        <v>397</v>
      </c>
      <c r="F11" s="268">
        <v>368</v>
      </c>
      <c r="G11" s="268">
        <v>359</v>
      </c>
      <c r="H11" s="268">
        <v>522</v>
      </c>
      <c r="I11" s="268">
        <v>652</v>
      </c>
      <c r="J11" s="268">
        <v>487</v>
      </c>
      <c r="K11" s="268">
        <v>322</v>
      </c>
      <c r="L11" s="268">
        <v>349</v>
      </c>
      <c r="M11" s="268">
        <v>316</v>
      </c>
      <c r="N11" s="268">
        <v>352</v>
      </c>
      <c r="O11" s="268">
        <v>309</v>
      </c>
      <c r="P11" s="268">
        <v>309</v>
      </c>
      <c r="Q11" s="268">
        <v>384</v>
      </c>
      <c r="R11" s="268">
        <v>384</v>
      </c>
      <c r="S11" s="268">
        <v>340</v>
      </c>
      <c r="T11" s="268">
        <v>742</v>
      </c>
      <c r="U11" s="268">
        <v>564</v>
      </c>
      <c r="V11" s="268">
        <f>SUM(D11:O11)</f>
        <v>4779</v>
      </c>
      <c r="W11" s="268">
        <f>SUM(J11:U11)</f>
        <v>4858</v>
      </c>
    </row>
    <row r="12" spans="1:23" x14ac:dyDescent="0.25">
      <c r="A12" s="513" t="s">
        <v>26</v>
      </c>
      <c r="B12" s="603" t="s">
        <v>685</v>
      </c>
      <c r="C12" s="603" t="s">
        <v>265</v>
      </c>
      <c r="D12" s="268">
        <v>367</v>
      </c>
      <c r="E12" s="268">
        <v>416</v>
      </c>
      <c r="F12" s="268">
        <v>389</v>
      </c>
      <c r="G12" s="268">
        <v>388</v>
      </c>
      <c r="H12" s="268">
        <v>448</v>
      </c>
      <c r="I12" s="268">
        <v>499</v>
      </c>
      <c r="J12" s="268">
        <v>500</v>
      </c>
      <c r="K12" s="268">
        <v>380</v>
      </c>
      <c r="L12" s="268">
        <v>397</v>
      </c>
      <c r="M12" s="268">
        <v>352</v>
      </c>
      <c r="N12" s="268">
        <v>399</v>
      </c>
      <c r="O12" s="268">
        <v>424</v>
      </c>
      <c r="P12" s="268">
        <v>426</v>
      </c>
      <c r="Q12" s="268">
        <v>466</v>
      </c>
      <c r="R12" s="268">
        <v>430</v>
      </c>
      <c r="S12" s="268">
        <v>452</v>
      </c>
      <c r="T12" s="268">
        <v>663</v>
      </c>
      <c r="U12" s="268">
        <v>474</v>
      </c>
      <c r="V12" s="268">
        <f>SUM(D12:O12)</f>
        <v>4959</v>
      </c>
      <c r="W12" s="268">
        <f>SUM(J12:U12)</f>
        <v>5363</v>
      </c>
    </row>
    <row r="13" spans="1:23" x14ac:dyDescent="0.25">
      <c r="A13" s="513" t="s">
        <v>27</v>
      </c>
      <c r="B13" s="603" t="s">
        <v>28</v>
      </c>
      <c r="C13" s="603" t="s">
        <v>265</v>
      </c>
      <c r="D13" s="268">
        <v>8</v>
      </c>
      <c r="E13" s="268">
        <v>13</v>
      </c>
      <c r="F13" s="268">
        <v>11</v>
      </c>
      <c r="G13" s="268">
        <v>7</v>
      </c>
      <c r="H13" s="268">
        <v>9</v>
      </c>
      <c r="I13" s="268">
        <v>11</v>
      </c>
      <c r="J13" s="268">
        <v>13</v>
      </c>
      <c r="K13" s="268">
        <v>8</v>
      </c>
      <c r="L13" s="268">
        <v>18</v>
      </c>
      <c r="M13" s="268">
        <v>1</v>
      </c>
      <c r="N13" s="268">
        <v>9</v>
      </c>
      <c r="O13" s="268">
        <v>6</v>
      </c>
      <c r="P13" s="268">
        <v>15</v>
      </c>
      <c r="Q13" s="268">
        <v>12</v>
      </c>
      <c r="R13" s="268">
        <v>3</v>
      </c>
      <c r="S13" s="268">
        <v>10</v>
      </c>
      <c r="T13" s="268">
        <v>25</v>
      </c>
      <c r="U13" s="268">
        <v>13</v>
      </c>
      <c r="V13" s="268">
        <f>SUM(D13:O13)</f>
        <v>114</v>
      </c>
      <c r="W13" s="268">
        <f>SUM(J13:U13)</f>
        <v>133</v>
      </c>
    </row>
    <row r="14" spans="1:23" x14ac:dyDescent="0.25">
      <c r="A14" s="513" t="s">
        <v>29</v>
      </c>
      <c r="B14" s="603" t="s">
        <v>901</v>
      </c>
      <c r="C14" s="603" t="s">
        <v>265</v>
      </c>
      <c r="D14" s="268">
        <v>174</v>
      </c>
      <c r="E14" s="268">
        <v>261</v>
      </c>
      <c r="F14" s="268">
        <v>196</v>
      </c>
      <c r="G14" s="268">
        <v>207</v>
      </c>
      <c r="H14" s="268">
        <v>311</v>
      </c>
      <c r="I14" s="268">
        <v>317</v>
      </c>
      <c r="J14" s="268">
        <v>245</v>
      </c>
      <c r="K14" s="268">
        <v>175</v>
      </c>
      <c r="L14" s="268">
        <v>241</v>
      </c>
      <c r="M14" s="268">
        <v>170</v>
      </c>
      <c r="N14" s="268">
        <v>173</v>
      </c>
      <c r="O14" s="268">
        <v>169</v>
      </c>
      <c r="P14" s="268">
        <v>190</v>
      </c>
      <c r="Q14" s="268">
        <v>222</v>
      </c>
      <c r="R14" s="268">
        <v>219</v>
      </c>
      <c r="S14" s="268">
        <v>230</v>
      </c>
      <c r="T14" s="268">
        <v>374</v>
      </c>
      <c r="U14" s="268">
        <v>277</v>
      </c>
      <c r="V14" s="268">
        <f>SUM(D14:O14)</f>
        <v>2639</v>
      </c>
      <c r="W14" s="268">
        <f>SUM(J14:U14)</f>
        <v>2685</v>
      </c>
    </row>
    <row r="15" spans="1:23" x14ac:dyDescent="0.25">
      <c r="A15" s="513" t="s">
        <v>30</v>
      </c>
      <c r="B15" s="603" t="s">
        <v>31</v>
      </c>
      <c r="C15" s="603" t="s">
        <v>268</v>
      </c>
      <c r="D15" s="268">
        <v>18</v>
      </c>
      <c r="E15" s="268">
        <v>18</v>
      </c>
      <c r="F15" s="268">
        <v>11</v>
      </c>
      <c r="G15" s="268">
        <v>19</v>
      </c>
      <c r="H15" s="268">
        <v>24</v>
      </c>
      <c r="I15" s="268">
        <v>27</v>
      </c>
      <c r="J15" s="268">
        <v>19</v>
      </c>
      <c r="K15" s="268">
        <v>17</v>
      </c>
      <c r="L15" s="268">
        <v>15</v>
      </c>
      <c r="M15" s="268">
        <v>14</v>
      </c>
      <c r="N15" s="268">
        <v>10</v>
      </c>
      <c r="O15" s="268">
        <v>15</v>
      </c>
      <c r="P15" s="268">
        <v>18</v>
      </c>
      <c r="Q15" s="268">
        <v>22</v>
      </c>
      <c r="R15" s="268">
        <v>11</v>
      </c>
      <c r="S15" s="268">
        <v>13</v>
      </c>
      <c r="T15" s="268">
        <v>27</v>
      </c>
      <c r="U15" s="268">
        <v>9</v>
      </c>
      <c r="V15" s="268">
        <f>SUM(D15:O15)</f>
        <v>207</v>
      </c>
      <c r="W15" s="268">
        <f>SUM(J15:U15)</f>
        <v>190</v>
      </c>
    </row>
    <row r="16" spans="1:23" x14ac:dyDescent="0.25">
      <c r="A16" s="513" t="s">
        <v>32</v>
      </c>
      <c r="B16" s="603" t="s">
        <v>33</v>
      </c>
      <c r="C16" s="603" t="s">
        <v>265</v>
      </c>
      <c r="D16" s="268">
        <v>74</v>
      </c>
      <c r="E16" s="268">
        <v>90</v>
      </c>
      <c r="F16" s="268">
        <v>66</v>
      </c>
      <c r="G16" s="268">
        <v>89</v>
      </c>
      <c r="H16" s="268">
        <v>106</v>
      </c>
      <c r="I16" s="268">
        <v>125</v>
      </c>
      <c r="J16" s="268">
        <v>111</v>
      </c>
      <c r="K16" s="268">
        <v>94</v>
      </c>
      <c r="L16" s="268">
        <v>81</v>
      </c>
      <c r="M16" s="268">
        <v>71</v>
      </c>
      <c r="N16" s="268">
        <v>93</v>
      </c>
      <c r="O16" s="268">
        <v>73</v>
      </c>
      <c r="P16" s="268">
        <v>63</v>
      </c>
      <c r="Q16" s="268">
        <v>84</v>
      </c>
      <c r="R16" s="268">
        <v>71</v>
      </c>
      <c r="S16" s="268">
        <v>59</v>
      </c>
      <c r="T16" s="268">
        <v>160</v>
      </c>
      <c r="U16" s="268">
        <v>93</v>
      </c>
      <c r="V16" s="268">
        <f>SUM(D16:O16)</f>
        <v>1073</v>
      </c>
      <c r="W16" s="268">
        <f>SUM(J16:U16)</f>
        <v>1053</v>
      </c>
    </row>
    <row r="17" spans="1:23" x14ac:dyDescent="0.25">
      <c r="A17" s="513" t="s">
        <v>36</v>
      </c>
      <c r="B17" s="603" t="s">
        <v>37</v>
      </c>
      <c r="C17" s="603" t="s">
        <v>264</v>
      </c>
      <c r="D17" s="268">
        <v>41</v>
      </c>
      <c r="E17" s="268">
        <v>72</v>
      </c>
      <c r="F17" s="268">
        <v>67</v>
      </c>
      <c r="G17" s="268">
        <v>65</v>
      </c>
      <c r="H17" s="268">
        <v>64</v>
      </c>
      <c r="I17" s="268">
        <v>58</v>
      </c>
      <c r="J17" s="268">
        <v>73</v>
      </c>
      <c r="K17" s="268">
        <v>52</v>
      </c>
      <c r="L17" s="268">
        <v>77</v>
      </c>
      <c r="M17" s="268">
        <v>54</v>
      </c>
      <c r="N17" s="268">
        <v>58</v>
      </c>
      <c r="O17" s="268">
        <v>57</v>
      </c>
      <c r="P17" s="268">
        <v>53</v>
      </c>
      <c r="Q17" s="268">
        <v>58</v>
      </c>
      <c r="R17" s="268">
        <v>70</v>
      </c>
      <c r="S17" s="268">
        <v>49</v>
      </c>
      <c r="T17" s="268">
        <v>73</v>
      </c>
      <c r="U17" s="268">
        <v>60</v>
      </c>
      <c r="V17" s="268">
        <f>SUM(D17:O17)</f>
        <v>738</v>
      </c>
      <c r="W17" s="268">
        <f>SUM(J17:U17)</f>
        <v>734</v>
      </c>
    </row>
    <row r="18" spans="1:23" x14ac:dyDescent="0.25">
      <c r="A18" s="513" t="s">
        <v>38</v>
      </c>
      <c r="B18" s="603" t="s">
        <v>39</v>
      </c>
      <c r="C18" s="603" t="s">
        <v>268</v>
      </c>
      <c r="D18" s="268">
        <v>88</v>
      </c>
      <c r="E18" s="268">
        <v>100</v>
      </c>
      <c r="F18" s="268">
        <v>76</v>
      </c>
      <c r="G18" s="268">
        <v>84</v>
      </c>
      <c r="H18" s="268">
        <v>94</v>
      </c>
      <c r="I18" s="268">
        <v>103</v>
      </c>
      <c r="J18" s="268">
        <v>99</v>
      </c>
      <c r="K18" s="268">
        <v>79</v>
      </c>
      <c r="L18" s="268">
        <v>104</v>
      </c>
      <c r="M18" s="268">
        <v>95</v>
      </c>
      <c r="N18" s="268">
        <v>104</v>
      </c>
      <c r="O18" s="268">
        <v>109</v>
      </c>
      <c r="P18" s="268">
        <v>79</v>
      </c>
      <c r="Q18" s="268">
        <v>100</v>
      </c>
      <c r="R18" s="268">
        <v>83</v>
      </c>
      <c r="S18" s="268">
        <v>86</v>
      </c>
      <c r="T18" s="268">
        <v>116</v>
      </c>
      <c r="U18" s="268">
        <v>92</v>
      </c>
      <c r="V18" s="268">
        <f>SUM(D18:O18)</f>
        <v>1135</v>
      </c>
      <c r="W18" s="268">
        <f>SUM(J18:U18)</f>
        <v>1146</v>
      </c>
    </row>
    <row r="19" spans="1:23" x14ac:dyDescent="0.25">
      <c r="A19" s="513" t="s">
        <v>40</v>
      </c>
      <c r="B19" s="603" t="s">
        <v>41</v>
      </c>
      <c r="C19" s="603" t="s">
        <v>266</v>
      </c>
      <c r="D19" s="268">
        <v>53</v>
      </c>
      <c r="E19" s="268">
        <v>45</v>
      </c>
      <c r="F19" s="268">
        <v>43</v>
      </c>
      <c r="G19" s="268">
        <v>33</v>
      </c>
      <c r="H19" s="268">
        <v>57</v>
      </c>
      <c r="I19" s="268">
        <v>71</v>
      </c>
      <c r="J19" s="268">
        <v>67</v>
      </c>
      <c r="K19" s="268">
        <v>44</v>
      </c>
      <c r="L19" s="268">
        <v>41</v>
      </c>
      <c r="M19" s="268">
        <v>39</v>
      </c>
      <c r="N19" s="268">
        <v>40</v>
      </c>
      <c r="O19" s="268">
        <v>45</v>
      </c>
      <c r="P19" s="268">
        <v>58</v>
      </c>
      <c r="Q19" s="268">
        <v>59</v>
      </c>
      <c r="R19" s="268">
        <v>29</v>
      </c>
      <c r="S19" s="268">
        <v>41</v>
      </c>
      <c r="T19" s="268">
        <v>68</v>
      </c>
      <c r="U19" s="268">
        <v>39</v>
      </c>
      <c r="V19" s="268">
        <f>SUM(D19:O19)</f>
        <v>578</v>
      </c>
      <c r="W19" s="268">
        <f>SUM(J19:U19)</f>
        <v>570</v>
      </c>
    </row>
    <row r="20" spans="1:23" x14ac:dyDescent="0.25">
      <c r="A20" s="513" t="s">
        <v>42</v>
      </c>
      <c r="B20" s="603" t="s">
        <v>43</v>
      </c>
      <c r="C20" s="603" t="s">
        <v>265</v>
      </c>
      <c r="D20" s="268">
        <v>154</v>
      </c>
      <c r="E20" s="268">
        <v>194</v>
      </c>
      <c r="F20" s="268">
        <v>152</v>
      </c>
      <c r="G20" s="268">
        <v>158</v>
      </c>
      <c r="H20" s="268">
        <v>194</v>
      </c>
      <c r="I20" s="268">
        <v>200</v>
      </c>
      <c r="J20" s="268">
        <v>225</v>
      </c>
      <c r="K20" s="268">
        <v>142</v>
      </c>
      <c r="L20" s="268">
        <v>167</v>
      </c>
      <c r="M20" s="268">
        <v>123</v>
      </c>
      <c r="N20" s="268">
        <v>140</v>
      </c>
      <c r="O20" s="268">
        <v>135</v>
      </c>
      <c r="P20" s="268">
        <v>131</v>
      </c>
      <c r="Q20" s="268">
        <v>162</v>
      </c>
      <c r="R20" s="268">
        <v>130</v>
      </c>
      <c r="S20" s="268">
        <v>153</v>
      </c>
      <c r="T20" s="268">
        <v>252</v>
      </c>
      <c r="U20" s="268">
        <v>154</v>
      </c>
      <c r="V20" s="268">
        <f>SUM(D20:O20)</f>
        <v>1984</v>
      </c>
      <c r="W20" s="268">
        <f>SUM(J20:U20)</f>
        <v>1914</v>
      </c>
    </row>
    <row r="21" spans="1:23" x14ac:dyDescent="0.25">
      <c r="A21" s="513" t="s">
        <v>44</v>
      </c>
      <c r="B21" s="603" t="s">
        <v>45</v>
      </c>
      <c r="C21" s="603" t="s">
        <v>266</v>
      </c>
      <c r="D21" s="268">
        <v>101</v>
      </c>
      <c r="E21" s="268">
        <v>110</v>
      </c>
      <c r="F21" s="268">
        <v>104</v>
      </c>
      <c r="G21" s="268">
        <v>98</v>
      </c>
      <c r="H21" s="268">
        <v>128</v>
      </c>
      <c r="I21" s="268">
        <v>134</v>
      </c>
      <c r="J21" s="268">
        <v>127</v>
      </c>
      <c r="K21" s="268">
        <v>79</v>
      </c>
      <c r="L21" s="268">
        <v>106</v>
      </c>
      <c r="M21" s="268">
        <v>98</v>
      </c>
      <c r="N21" s="268">
        <v>91</v>
      </c>
      <c r="O21" s="268">
        <v>89</v>
      </c>
      <c r="P21" s="268">
        <v>110</v>
      </c>
      <c r="Q21" s="268">
        <v>112</v>
      </c>
      <c r="R21" s="268">
        <v>102</v>
      </c>
      <c r="S21" s="268">
        <v>138</v>
      </c>
      <c r="T21" s="268">
        <v>183</v>
      </c>
      <c r="U21" s="268">
        <v>102</v>
      </c>
      <c r="V21" s="268">
        <f>SUM(D21:O21)</f>
        <v>1265</v>
      </c>
      <c r="W21" s="268">
        <f>SUM(J21:U21)</f>
        <v>1337</v>
      </c>
    </row>
    <row r="22" spans="1:23" x14ac:dyDescent="0.25">
      <c r="A22" s="513" t="s">
        <v>46</v>
      </c>
      <c r="B22" s="603" t="s">
        <v>47</v>
      </c>
      <c r="C22" s="603" t="s">
        <v>268</v>
      </c>
      <c r="D22" s="268">
        <v>110</v>
      </c>
      <c r="E22" s="268">
        <v>128</v>
      </c>
      <c r="F22" s="268">
        <v>120</v>
      </c>
      <c r="G22" s="268">
        <v>129</v>
      </c>
      <c r="H22" s="268">
        <v>145</v>
      </c>
      <c r="I22" s="268">
        <v>131</v>
      </c>
      <c r="J22" s="268">
        <v>126</v>
      </c>
      <c r="K22" s="268">
        <v>106</v>
      </c>
      <c r="L22" s="268">
        <v>113</v>
      </c>
      <c r="M22" s="268">
        <v>80</v>
      </c>
      <c r="N22" s="268">
        <v>117</v>
      </c>
      <c r="O22" s="268">
        <v>112</v>
      </c>
      <c r="P22" s="268">
        <v>112</v>
      </c>
      <c r="Q22" s="268">
        <v>123</v>
      </c>
      <c r="R22" s="268">
        <v>108</v>
      </c>
      <c r="S22" s="268">
        <v>142</v>
      </c>
      <c r="T22" s="268">
        <v>176</v>
      </c>
      <c r="U22" s="268">
        <v>134</v>
      </c>
      <c r="V22" s="268">
        <f>SUM(D22:O22)</f>
        <v>1417</v>
      </c>
      <c r="W22" s="268">
        <f>SUM(J22:U22)</f>
        <v>1449</v>
      </c>
    </row>
    <row r="23" spans="1:23" x14ac:dyDescent="0.25">
      <c r="A23" s="513" t="s">
        <v>48</v>
      </c>
      <c r="B23" s="603" t="s">
        <v>269</v>
      </c>
      <c r="C23" s="603" t="s">
        <v>266</v>
      </c>
      <c r="D23" s="268">
        <v>17</v>
      </c>
      <c r="E23" s="268">
        <v>19</v>
      </c>
      <c r="F23" s="268">
        <v>16</v>
      </c>
      <c r="G23" s="268">
        <v>19</v>
      </c>
      <c r="H23" s="268">
        <v>17</v>
      </c>
      <c r="I23" s="268">
        <v>17</v>
      </c>
      <c r="J23" s="268">
        <v>22</v>
      </c>
      <c r="K23" s="268">
        <v>25</v>
      </c>
      <c r="L23" s="268">
        <v>22</v>
      </c>
      <c r="M23" s="268">
        <v>11</v>
      </c>
      <c r="N23" s="268">
        <v>21</v>
      </c>
      <c r="O23" s="268">
        <v>14</v>
      </c>
      <c r="P23" s="268">
        <v>10</v>
      </c>
      <c r="Q23" s="268">
        <v>31</v>
      </c>
      <c r="R23" s="268">
        <v>14</v>
      </c>
      <c r="S23" s="268">
        <v>13</v>
      </c>
      <c r="T23" s="268">
        <v>45</v>
      </c>
      <c r="U23" s="268">
        <v>37</v>
      </c>
      <c r="V23" s="268">
        <f>SUM(D23:O23)</f>
        <v>220</v>
      </c>
      <c r="W23" s="268">
        <f>SUM(J23:U23)</f>
        <v>265</v>
      </c>
    </row>
    <row r="24" spans="1:23" x14ac:dyDescent="0.25">
      <c r="A24" s="513" t="s">
        <v>50</v>
      </c>
      <c r="B24" s="603" t="s">
        <v>51</v>
      </c>
      <c r="C24" s="603" t="s">
        <v>265</v>
      </c>
      <c r="D24" s="268">
        <v>29</v>
      </c>
      <c r="E24" s="268">
        <v>41</v>
      </c>
      <c r="F24" s="268">
        <v>42</v>
      </c>
      <c r="G24" s="268">
        <v>30</v>
      </c>
      <c r="H24" s="268">
        <v>43</v>
      </c>
      <c r="I24" s="268">
        <v>36</v>
      </c>
      <c r="J24" s="268">
        <v>48</v>
      </c>
      <c r="K24" s="268">
        <v>29</v>
      </c>
      <c r="L24" s="268">
        <v>47</v>
      </c>
      <c r="M24" s="268">
        <v>28</v>
      </c>
      <c r="N24" s="268">
        <v>32</v>
      </c>
      <c r="O24" s="268">
        <v>46</v>
      </c>
      <c r="P24" s="268">
        <v>41</v>
      </c>
      <c r="Q24" s="268">
        <v>43</v>
      </c>
      <c r="R24" s="268">
        <v>32</v>
      </c>
      <c r="S24" s="268">
        <v>47</v>
      </c>
      <c r="T24" s="268">
        <v>64</v>
      </c>
      <c r="U24" s="268">
        <v>41</v>
      </c>
      <c r="V24" s="268">
        <f>SUM(D24:O24)</f>
        <v>451</v>
      </c>
      <c r="W24" s="268">
        <f>SUM(J24:U24)</f>
        <v>498</v>
      </c>
    </row>
    <row r="25" spans="1:23" x14ac:dyDescent="0.25">
      <c r="A25" s="513" t="s">
        <v>56</v>
      </c>
      <c r="B25" s="603" t="s">
        <v>295</v>
      </c>
      <c r="C25" s="603" t="s">
        <v>266</v>
      </c>
      <c r="D25" s="268">
        <v>1029</v>
      </c>
      <c r="E25" s="268">
        <v>1075</v>
      </c>
      <c r="F25" s="268">
        <v>1002</v>
      </c>
      <c r="G25" s="268">
        <v>1004</v>
      </c>
      <c r="H25" s="268">
        <v>1336</v>
      </c>
      <c r="I25" s="268">
        <v>1360</v>
      </c>
      <c r="J25" s="268">
        <v>1272</v>
      </c>
      <c r="K25" s="268">
        <v>812</v>
      </c>
      <c r="L25" s="268">
        <v>962</v>
      </c>
      <c r="M25" s="268">
        <v>811</v>
      </c>
      <c r="N25" s="268">
        <v>937</v>
      </c>
      <c r="O25" s="268">
        <v>823</v>
      </c>
      <c r="P25" s="268">
        <v>873</v>
      </c>
      <c r="Q25" s="268">
        <v>1028</v>
      </c>
      <c r="R25" s="268">
        <v>979</v>
      </c>
      <c r="S25" s="268">
        <v>920</v>
      </c>
      <c r="T25" s="268">
        <v>1675</v>
      </c>
      <c r="U25" s="268">
        <v>1295</v>
      </c>
      <c r="V25" s="268">
        <f>SUM(D25:O25)</f>
        <v>12423</v>
      </c>
      <c r="W25" s="268">
        <f>SUM(J25:U25)</f>
        <v>12387</v>
      </c>
    </row>
    <row r="26" spans="1:23" x14ac:dyDescent="0.25">
      <c r="A26" s="513" t="s">
        <v>58</v>
      </c>
      <c r="B26" s="603" t="s">
        <v>59</v>
      </c>
      <c r="C26" s="603" t="s">
        <v>267</v>
      </c>
      <c r="D26" s="268">
        <v>36</v>
      </c>
      <c r="E26" s="268">
        <v>31</v>
      </c>
      <c r="F26" s="268">
        <v>36</v>
      </c>
      <c r="G26" s="268">
        <v>36</v>
      </c>
      <c r="H26" s="268">
        <v>57</v>
      </c>
      <c r="I26" s="268">
        <v>40</v>
      </c>
      <c r="J26" s="268">
        <v>43</v>
      </c>
      <c r="K26" s="268">
        <v>27</v>
      </c>
      <c r="L26" s="268">
        <v>22</v>
      </c>
      <c r="M26" s="268">
        <v>26</v>
      </c>
      <c r="N26" s="268">
        <v>40</v>
      </c>
      <c r="O26" s="268">
        <v>28</v>
      </c>
      <c r="P26" s="268">
        <v>29</v>
      </c>
      <c r="Q26" s="268">
        <v>37</v>
      </c>
      <c r="R26" s="268">
        <v>19</v>
      </c>
      <c r="S26" s="268">
        <v>28</v>
      </c>
      <c r="T26" s="268">
        <v>67</v>
      </c>
      <c r="U26" s="268">
        <v>51</v>
      </c>
      <c r="V26" s="268">
        <f>SUM(D26:O26)</f>
        <v>422</v>
      </c>
      <c r="W26" s="268">
        <f>SUM(J26:U26)</f>
        <v>417</v>
      </c>
    </row>
    <row r="27" spans="1:23" x14ac:dyDescent="0.25">
      <c r="A27" s="513" t="s">
        <v>60</v>
      </c>
      <c r="B27" s="603" t="s">
        <v>61</v>
      </c>
      <c r="C27" s="603" t="s">
        <v>265</v>
      </c>
      <c r="D27" s="268">
        <v>17</v>
      </c>
      <c r="E27" s="268">
        <v>20</v>
      </c>
      <c r="F27" s="268">
        <v>13</v>
      </c>
      <c r="G27" s="268">
        <v>16</v>
      </c>
      <c r="H27" s="268">
        <v>14</v>
      </c>
      <c r="I27" s="268">
        <v>22</v>
      </c>
      <c r="J27" s="268">
        <v>19</v>
      </c>
      <c r="K27" s="268">
        <v>21</v>
      </c>
      <c r="L27" s="268">
        <v>13</v>
      </c>
      <c r="M27" s="268">
        <v>16</v>
      </c>
      <c r="N27" s="268">
        <v>15</v>
      </c>
      <c r="O27" s="268">
        <v>19</v>
      </c>
      <c r="P27" s="268">
        <v>19</v>
      </c>
      <c r="Q27" s="268">
        <v>27</v>
      </c>
      <c r="R27" s="268">
        <v>21</v>
      </c>
      <c r="S27" s="268">
        <v>10</v>
      </c>
      <c r="T27" s="268">
        <v>20</v>
      </c>
      <c r="U27" s="268">
        <v>18</v>
      </c>
      <c r="V27" s="268">
        <f>SUM(D27:O27)</f>
        <v>205</v>
      </c>
      <c r="W27" s="268">
        <f>SUM(J27:U27)</f>
        <v>218</v>
      </c>
    </row>
    <row r="28" spans="1:23" x14ac:dyDescent="0.25">
      <c r="A28" s="513" t="s">
        <v>62</v>
      </c>
      <c r="B28" s="603" t="s">
        <v>63</v>
      </c>
      <c r="C28" s="603" t="s">
        <v>267</v>
      </c>
      <c r="D28" s="268">
        <v>139</v>
      </c>
      <c r="E28" s="268">
        <v>200</v>
      </c>
      <c r="F28" s="268">
        <v>183</v>
      </c>
      <c r="G28" s="268">
        <v>151</v>
      </c>
      <c r="H28" s="268">
        <v>232</v>
      </c>
      <c r="I28" s="268">
        <v>267</v>
      </c>
      <c r="J28" s="268">
        <v>233</v>
      </c>
      <c r="K28" s="268">
        <v>163</v>
      </c>
      <c r="L28" s="268">
        <v>202</v>
      </c>
      <c r="M28" s="268">
        <v>169</v>
      </c>
      <c r="N28" s="268">
        <v>150</v>
      </c>
      <c r="O28" s="268">
        <v>164</v>
      </c>
      <c r="P28" s="268">
        <v>143</v>
      </c>
      <c r="Q28" s="268">
        <v>179</v>
      </c>
      <c r="R28" s="268">
        <v>171</v>
      </c>
      <c r="S28" s="268">
        <v>174</v>
      </c>
      <c r="T28" s="268">
        <v>251</v>
      </c>
      <c r="U28" s="268">
        <v>219</v>
      </c>
      <c r="V28" s="268">
        <f>SUM(D28:O28)</f>
        <v>2253</v>
      </c>
      <c r="W28" s="268">
        <f>SUM(J28:U28)</f>
        <v>2218</v>
      </c>
    </row>
    <row r="29" spans="1:23" x14ac:dyDescent="0.25">
      <c r="A29" s="513" t="s">
        <v>64</v>
      </c>
      <c r="B29" s="603" t="s">
        <v>65</v>
      </c>
      <c r="C29" s="603" t="s">
        <v>266</v>
      </c>
      <c r="D29" s="268">
        <v>34</v>
      </c>
      <c r="E29" s="268">
        <v>31</v>
      </c>
      <c r="F29" s="268">
        <v>31</v>
      </c>
      <c r="G29" s="268">
        <v>32</v>
      </c>
      <c r="H29" s="268">
        <v>44</v>
      </c>
      <c r="I29" s="268">
        <v>52</v>
      </c>
      <c r="J29" s="268">
        <v>55</v>
      </c>
      <c r="K29" s="268">
        <v>39</v>
      </c>
      <c r="L29" s="268">
        <v>50</v>
      </c>
      <c r="M29" s="268">
        <v>37</v>
      </c>
      <c r="N29" s="268">
        <v>31</v>
      </c>
      <c r="O29" s="268">
        <v>41</v>
      </c>
      <c r="P29" s="268">
        <v>30</v>
      </c>
      <c r="Q29" s="268">
        <v>38</v>
      </c>
      <c r="R29" s="268">
        <v>22</v>
      </c>
      <c r="S29" s="268">
        <v>30</v>
      </c>
      <c r="T29" s="268">
        <v>60</v>
      </c>
      <c r="U29" s="268">
        <v>45</v>
      </c>
      <c r="V29" s="268">
        <f>SUM(D29:O29)</f>
        <v>477</v>
      </c>
      <c r="W29" s="268">
        <f>SUM(J29:U29)</f>
        <v>478</v>
      </c>
    </row>
    <row r="30" spans="1:23" x14ac:dyDescent="0.25">
      <c r="A30" s="513" t="s">
        <v>68</v>
      </c>
      <c r="B30" s="603" t="s">
        <v>69</v>
      </c>
      <c r="C30" s="603" t="s">
        <v>268</v>
      </c>
      <c r="D30" s="268">
        <v>63</v>
      </c>
      <c r="E30" s="268">
        <v>54</v>
      </c>
      <c r="F30" s="268">
        <v>56</v>
      </c>
      <c r="G30" s="268">
        <v>48</v>
      </c>
      <c r="H30" s="268">
        <v>55</v>
      </c>
      <c r="I30" s="268">
        <v>61</v>
      </c>
      <c r="J30" s="268">
        <v>60</v>
      </c>
      <c r="K30" s="268">
        <v>56</v>
      </c>
      <c r="L30" s="268">
        <v>62</v>
      </c>
      <c r="M30" s="268">
        <v>62</v>
      </c>
      <c r="N30" s="268">
        <v>51</v>
      </c>
      <c r="O30" s="268">
        <v>49</v>
      </c>
      <c r="P30" s="268">
        <v>57</v>
      </c>
      <c r="Q30" s="268">
        <v>56</v>
      </c>
      <c r="R30" s="268">
        <v>53</v>
      </c>
      <c r="S30" s="268">
        <v>45</v>
      </c>
      <c r="T30" s="268">
        <v>72</v>
      </c>
      <c r="U30" s="268">
        <v>43</v>
      </c>
      <c r="V30" s="268">
        <f>SUM(D30:O30)</f>
        <v>677</v>
      </c>
      <c r="W30" s="268">
        <f>SUM(J30:U30)</f>
        <v>666</v>
      </c>
    </row>
    <row r="31" spans="1:23" x14ac:dyDescent="0.25">
      <c r="A31" s="513" t="s">
        <v>70</v>
      </c>
      <c r="B31" s="603" t="s">
        <v>71</v>
      </c>
      <c r="C31" s="603" t="s">
        <v>264</v>
      </c>
      <c r="D31" s="268">
        <v>87</v>
      </c>
      <c r="E31" s="268">
        <v>107</v>
      </c>
      <c r="F31" s="268">
        <v>98</v>
      </c>
      <c r="G31" s="268">
        <v>89</v>
      </c>
      <c r="H31" s="268">
        <v>107</v>
      </c>
      <c r="I31" s="268">
        <v>111</v>
      </c>
      <c r="J31" s="268">
        <v>137</v>
      </c>
      <c r="K31" s="268">
        <v>77</v>
      </c>
      <c r="L31" s="268">
        <v>97</v>
      </c>
      <c r="M31" s="268">
        <v>115</v>
      </c>
      <c r="N31" s="268">
        <v>95</v>
      </c>
      <c r="O31" s="268">
        <v>89</v>
      </c>
      <c r="P31" s="268">
        <v>80</v>
      </c>
      <c r="Q31" s="268">
        <v>101</v>
      </c>
      <c r="R31" s="268">
        <v>73</v>
      </c>
      <c r="S31" s="268">
        <v>90</v>
      </c>
      <c r="T31" s="268">
        <v>155</v>
      </c>
      <c r="U31" s="268">
        <v>110</v>
      </c>
      <c r="V31" s="268">
        <f>SUM(D31:O31)</f>
        <v>1209</v>
      </c>
      <c r="W31" s="268">
        <f>SUM(J31:U31)</f>
        <v>1219</v>
      </c>
    </row>
    <row r="32" spans="1:23" x14ac:dyDescent="0.25">
      <c r="A32" s="513" t="s">
        <v>72</v>
      </c>
      <c r="B32" s="603" t="s">
        <v>73</v>
      </c>
      <c r="C32" s="603" t="s">
        <v>266</v>
      </c>
      <c r="D32" s="268">
        <v>39</v>
      </c>
      <c r="E32" s="268">
        <v>47</v>
      </c>
      <c r="F32" s="268">
        <v>36</v>
      </c>
      <c r="G32" s="268">
        <v>25</v>
      </c>
      <c r="H32" s="268">
        <v>33</v>
      </c>
      <c r="I32" s="268">
        <v>62</v>
      </c>
      <c r="J32" s="268">
        <v>54</v>
      </c>
      <c r="K32" s="268">
        <v>32</v>
      </c>
      <c r="L32" s="268">
        <v>53</v>
      </c>
      <c r="M32" s="268">
        <v>39</v>
      </c>
      <c r="N32" s="268">
        <v>32</v>
      </c>
      <c r="O32" s="268">
        <v>27</v>
      </c>
      <c r="P32" s="268">
        <v>27</v>
      </c>
      <c r="Q32" s="268">
        <v>42</v>
      </c>
      <c r="R32" s="268">
        <v>37</v>
      </c>
      <c r="S32" s="268">
        <v>34</v>
      </c>
      <c r="T32" s="268">
        <v>53</v>
      </c>
      <c r="U32" s="268">
        <v>50</v>
      </c>
      <c r="V32" s="268">
        <f>SUM(D32:O32)</f>
        <v>479</v>
      </c>
      <c r="W32" s="268">
        <f>SUM(J32:U32)</f>
        <v>480</v>
      </c>
    </row>
    <row r="33" spans="1:23" x14ac:dyDescent="0.25">
      <c r="A33" s="513" t="s">
        <v>74</v>
      </c>
      <c r="B33" s="603" t="s">
        <v>296</v>
      </c>
      <c r="C33" s="603" t="s">
        <v>267</v>
      </c>
      <c r="D33" s="268">
        <v>2503</v>
      </c>
      <c r="E33" s="268">
        <v>2939</v>
      </c>
      <c r="F33" s="268">
        <v>2702</v>
      </c>
      <c r="G33" s="268">
        <v>2663</v>
      </c>
      <c r="H33" s="268">
        <v>4211</v>
      </c>
      <c r="I33" s="268">
        <v>5011</v>
      </c>
      <c r="J33" s="268">
        <v>3832</v>
      </c>
      <c r="K33" s="268">
        <v>2367</v>
      </c>
      <c r="L33" s="268">
        <v>2817</v>
      </c>
      <c r="M33" s="268">
        <v>2341</v>
      </c>
      <c r="N33" s="268">
        <v>2620</v>
      </c>
      <c r="O33" s="268">
        <v>2525</v>
      </c>
      <c r="P33" s="268">
        <v>2429</v>
      </c>
      <c r="Q33" s="268">
        <v>2942</v>
      </c>
      <c r="R33" s="268">
        <v>2560</v>
      </c>
      <c r="S33" s="268">
        <v>2529</v>
      </c>
      <c r="T33" s="268">
        <v>6207</v>
      </c>
      <c r="U33" s="268">
        <v>4814</v>
      </c>
      <c r="V33" s="268">
        <f>SUM(D33:O33)</f>
        <v>36531</v>
      </c>
      <c r="W33" s="268">
        <f>SUM(J33:U33)</f>
        <v>37983</v>
      </c>
    </row>
    <row r="34" spans="1:23" x14ac:dyDescent="0.25">
      <c r="A34" s="513" t="s">
        <v>76</v>
      </c>
      <c r="B34" s="603" t="s">
        <v>77</v>
      </c>
      <c r="C34" s="603" t="s">
        <v>267</v>
      </c>
      <c r="D34" s="268">
        <v>131</v>
      </c>
      <c r="E34" s="268">
        <v>158</v>
      </c>
      <c r="F34" s="268">
        <v>138</v>
      </c>
      <c r="G34" s="268">
        <v>141</v>
      </c>
      <c r="H34" s="268">
        <v>204</v>
      </c>
      <c r="I34" s="268">
        <v>213</v>
      </c>
      <c r="J34" s="268">
        <v>220</v>
      </c>
      <c r="K34" s="268">
        <v>123</v>
      </c>
      <c r="L34" s="268">
        <v>141</v>
      </c>
      <c r="M34" s="268">
        <v>116</v>
      </c>
      <c r="N34" s="268">
        <v>151</v>
      </c>
      <c r="O34" s="268">
        <v>130</v>
      </c>
      <c r="P34" s="268">
        <v>144</v>
      </c>
      <c r="Q34" s="268">
        <v>156</v>
      </c>
      <c r="R34" s="268">
        <v>137</v>
      </c>
      <c r="S34" s="268">
        <v>138</v>
      </c>
      <c r="T34" s="268">
        <v>271</v>
      </c>
      <c r="U34" s="268">
        <v>217</v>
      </c>
      <c r="V34" s="268">
        <f>SUM(D34:O34)</f>
        <v>1866</v>
      </c>
      <c r="W34" s="268">
        <f>SUM(J34:U34)</f>
        <v>1944</v>
      </c>
    </row>
    <row r="35" spans="1:23" x14ac:dyDescent="0.25">
      <c r="A35" s="513" t="s">
        <v>78</v>
      </c>
      <c r="B35" s="603" t="s">
        <v>79</v>
      </c>
      <c r="C35" s="603" t="s">
        <v>268</v>
      </c>
      <c r="D35" s="268">
        <v>32</v>
      </c>
      <c r="E35" s="268">
        <v>52</v>
      </c>
      <c r="F35" s="268">
        <v>58</v>
      </c>
      <c r="G35" s="268">
        <v>42</v>
      </c>
      <c r="H35" s="268">
        <v>60</v>
      </c>
      <c r="I35" s="268">
        <v>75</v>
      </c>
      <c r="J35" s="268">
        <v>64</v>
      </c>
      <c r="K35" s="268">
        <v>59</v>
      </c>
      <c r="L35" s="268">
        <v>60</v>
      </c>
      <c r="M35" s="268">
        <v>43</v>
      </c>
      <c r="N35" s="268">
        <v>58</v>
      </c>
      <c r="O35" s="268">
        <v>44</v>
      </c>
      <c r="P35" s="268">
        <v>60</v>
      </c>
      <c r="Q35" s="268">
        <v>64</v>
      </c>
      <c r="R35" s="268">
        <v>37</v>
      </c>
      <c r="S35" s="268">
        <v>35</v>
      </c>
      <c r="T35" s="268">
        <v>84</v>
      </c>
      <c r="U35" s="268">
        <v>62</v>
      </c>
      <c r="V35" s="268">
        <f>SUM(D35:O35)</f>
        <v>647</v>
      </c>
      <c r="W35" s="268">
        <f>SUM(J35:U35)</f>
        <v>670</v>
      </c>
    </row>
    <row r="36" spans="1:23" x14ac:dyDescent="0.25">
      <c r="A36" s="513" t="s">
        <v>80</v>
      </c>
      <c r="B36" s="603" t="s">
        <v>81</v>
      </c>
      <c r="C36" s="603" t="s">
        <v>266</v>
      </c>
      <c r="D36" s="268">
        <v>45</v>
      </c>
      <c r="E36" s="268">
        <v>51</v>
      </c>
      <c r="F36" s="268">
        <v>52</v>
      </c>
      <c r="G36" s="268">
        <v>65</v>
      </c>
      <c r="H36" s="268">
        <v>85</v>
      </c>
      <c r="I36" s="268">
        <v>75</v>
      </c>
      <c r="J36" s="268">
        <v>85</v>
      </c>
      <c r="K36" s="268">
        <v>55</v>
      </c>
      <c r="L36" s="268">
        <v>56</v>
      </c>
      <c r="M36" s="268">
        <v>52</v>
      </c>
      <c r="N36" s="268">
        <v>46</v>
      </c>
      <c r="O36" s="268">
        <v>60</v>
      </c>
      <c r="P36" s="268">
        <v>32</v>
      </c>
      <c r="Q36" s="268">
        <v>56</v>
      </c>
      <c r="R36" s="268">
        <v>48</v>
      </c>
      <c r="S36" s="268">
        <v>76</v>
      </c>
      <c r="T36" s="268">
        <v>122</v>
      </c>
      <c r="U36" s="268">
        <v>86</v>
      </c>
      <c r="V36" s="268">
        <f>SUM(D36:O36)</f>
        <v>727</v>
      </c>
      <c r="W36" s="268">
        <f>SUM(J36:U36)</f>
        <v>774</v>
      </c>
    </row>
    <row r="37" spans="1:23" x14ac:dyDescent="0.25">
      <c r="A37" s="513" t="s">
        <v>84</v>
      </c>
      <c r="B37" s="603" t="s">
        <v>85</v>
      </c>
      <c r="C37" s="603" t="s">
        <v>265</v>
      </c>
      <c r="D37" s="268">
        <v>163</v>
      </c>
      <c r="E37" s="268">
        <v>179</v>
      </c>
      <c r="F37" s="268">
        <v>161</v>
      </c>
      <c r="G37" s="268">
        <v>150</v>
      </c>
      <c r="H37" s="268">
        <v>227</v>
      </c>
      <c r="I37" s="268">
        <v>205</v>
      </c>
      <c r="J37" s="268">
        <v>204</v>
      </c>
      <c r="K37" s="268">
        <v>172</v>
      </c>
      <c r="L37" s="268">
        <v>158</v>
      </c>
      <c r="M37" s="268">
        <v>165</v>
      </c>
      <c r="N37" s="268">
        <v>160</v>
      </c>
      <c r="O37" s="268">
        <v>141</v>
      </c>
      <c r="P37" s="268">
        <v>159</v>
      </c>
      <c r="Q37" s="268">
        <v>164</v>
      </c>
      <c r="R37" s="268">
        <v>117</v>
      </c>
      <c r="S37" s="268">
        <v>160</v>
      </c>
      <c r="T37" s="268">
        <v>281</v>
      </c>
      <c r="U37" s="268">
        <v>188</v>
      </c>
      <c r="V37" s="268">
        <f>SUM(D37:O37)</f>
        <v>2085</v>
      </c>
      <c r="W37" s="268">
        <f>SUM(J37:U37)</f>
        <v>2069</v>
      </c>
    </row>
    <row r="38" spans="1:23" x14ac:dyDescent="0.25">
      <c r="A38" s="513" t="s">
        <v>86</v>
      </c>
      <c r="B38" s="603" t="s">
        <v>87</v>
      </c>
      <c r="C38" s="603" t="s">
        <v>267</v>
      </c>
      <c r="D38" s="268">
        <v>199</v>
      </c>
      <c r="E38" s="268">
        <v>276</v>
      </c>
      <c r="F38" s="268">
        <v>204</v>
      </c>
      <c r="G38" s="268">
        <v>246</v>
      </c>
      <c r="H38" s="268">
        <v>271</v>
      </c>
      <c r="I38" s="268">
        <v>315</v>
      </c>
      <c r="J38" s="268">
        <v>282</v>
      </c>
      <c r="K38" s="268">
        <v>173</v>
      </c>
      <c r="L38" s="268">
        <v>230</v>
      </c>
      <c r="M38" s="268">
        <v>175</v>
      </c>
      <c r="N38" s="268">
        <v>229</v>
      </c>
      <c r="O38" s="268">
        <v>195</v>
      </c>
      <c r="P38" s="268">
        <v>198</v>
      </c>
      <c r="Q38" s="268">
        <v>291</v>
      </c>
      <c r="R38" s="268">
        <v>179</v>
      </c>
      <c r="S38" s="268">
        <v>192</v>
      </c>
      <c r="T38" s="268">
        <v>343</v>
      </c>
      <c r="U38" s="268">
        <v>236</v>
      </c>
      <c r="V38" s="268">
        <f>SUM(D38:O38)</f>
        <v>2795</v>
      </c>
      <c r="W38" s="268">
        <f>SUM(J38:U38)</f>
        <v>2723</v>
      </c>
    </row>
    <row r="39" spans="1:23" x14ac:dyDescent="0.25">
      <c r="A39" s="513" t="s">
        <v>92</v>
      </c>
      <c r="B39" s="603" t="s">
        <v>93</v>
      </c>
      <c r="C39" s="603" t="s">
        <v>268</v>
      </c>
      <c r="D39" s="268">
        <v>49</v>
      </c>
      <c r="E39" s="268">
        <v>57</v>
      </c>
      <c r="F39" s="268">
        <v>56</v>
      </c>
      <c r="G39" s="268">
        <v>61</v>
      </c>
      <c r="H39" s="268">
        <v>69</v>
      </c>
      <c r="I39" s="268">
        <v>52</v>
      </c>
      <c r="J39" s="268">
        <v>62</v>
      </c>
      <c r="K39" s="268">
        <v>73</v>
      </c>
      <c r="L39" s="268">
        <v>68</v>
      </c>
      <c r="M39" s="268">
        <v>66</v>
      </c>
      <c r="N39" s="268">
        <v>65</v>
      </c>
      <c r="O39" s="268">
        <v>69</v>
      </c>
      <c r="P39" s="268">
        <v>74</v>
      </c>
      <c r="Q39" s="268">
        <v>69</v>
      </c>
      <c r="R39" s="268">
        <v>49</v>
      </c>
      <c r="S39" s="268">
        <v>61</v>
      </c>
      <c r="T39" s="268">
        <v>97</v>
      </c>
      <c r="U39" s="268">
        <v>76</v>
      </c>
      <c r="V39" s="268">
        <f>SUM(D39:O39)</f>
        <v>747</v>
      </c>
      <c r="W39" s="268">
        <f>SUM(J39:U39)</f>
        <v>829</v>
      </c>
    </row>
    <row r="40" spans="1:23" x14ac:dyDescent="0.25">
      <c r="A40" s="513" t="s">
        <v>94</v>
      </c>
      <c r="B40" s="603" t="s">
        <v>95</v>
      </c>
      <c r="C40" s="603" t="s">
        <v>264</v>
      </c>
      <c r="D40" s="268">
        <v>75</v>
      </c>
      <c r="E40" s="268">
        <v>112</v>
      </c>
      <c r="F40" s="268">
        <v>100</v>
      </c>
      <c r="G40" s="268">
        <v>108</v>
      </c>
      <c r="H40" s="268">
        <v>127</v>
      </c>
      <c r="I40" s="268">
        <v>107</v>
      </c>
      <c r="J40" s="268">
        <v>109</v>
      </c>
      <c r="K40" s="268">
        <v>80</v>
      </c>
      <c r="L40" s="268">
        <v>104</v>
      </c>
      <c r="M40" s="268">
        <v>94</v>
      </c>
      <c r="N40" s="268">
        <v>100</v>
      </c>
      <c r="O40" s="268">
        <v>104</v>
      </c>
      <c r="P40" s="268">
        <v>104</v>
      </c>
      <c r="Q40" s="268">
        <v>108</v>
      </c>
      <c r="R40" s="268">
        <v>105</v>
      </c>
      <c r="S40" s="268">
        <v>128</v>
      </c>
      <c r="T40" s="268">
        <v>156</v>
      </c>
      <c r="U40" s="268">
        <v>125</v>
      </c>
      <c r="V40" s="268">
        <f>SUM(D40:O40)</f>
        <v>1220</v>
      </c>
      <c r="W40" s="268">
        <f>SUM(J40:U40)</f>
        <v>1317</v>
      </c>
    </row>
    <row r="41" spans="1:23" x14ac:dyDescent="0.25">
      <c r="A41" s="513" t="s">
        <v>96</v>
      </c>
      <c r="B41" s="603" t="s">
        <v>97</v>
      </c>
      <c r="C41" s="603" t="s">
        <v>266</v>
      </c>
      <c r="D41" s="268">
        <v>36</v>
      </c>
      <c r="E41" s="268">
        <v>37</v>
      </c>
      <c r="F41" s="268">
        <v>37</v>
      </c>
      <c r="G41" s="268">
        <v>25</v>
      </c>
      <c r="H41" s="268">
        <v>55</v>
      </c>
      <c r="I41" s="268">
        <v>48</v>
      </c>
      <c r="J41" s="268">
        <v>44</v>
      </c>
      <c r="K41" s="268">
        <v>26</v>
      </c>
      <c r="L41" s="268">
        <v>33</v>
      </c>
      <c r="M41" s="268">
        <v>29</v>
      </c>
      <c r="N41" s="268">
        <v>33</v>
      </c>
      <c r="O41" s="268">
        <v>26</v>
      </c>
      <c r="P41" s="268">
        <v>35</v>
      </c>
      <c r="Q41" s="268">
        <v>33</v>
      </c>
      <c r="R41" s="268">
        <v>39</v>
      </c>
      <c r="S41" s="268">
        <v>32</v>
      </c>
      <c r="T41" s="268">
        <v>75</v>
      </c>
      <c r="U41" s="268">
        <v>43</v>
      </c>
      <c r="V41" s="268">
        <f>SUM(D41:O41)</f>
        <v>429</v>
      </c>
      <c r="W41" s="268">
        <f>SUM(J41:U41)</f>
        <v>448</v>
      </c>
    </row>
    <row r="42" spans="1:23" x14ac:dyDescent="0.25">
      <c r="A42" s="513" t="s">
        <v>98</v>
      </c>
      <c r="B42" s="603" t="s">
        <v>99</v>
      </c>
      <c r="C42" s="603" t="s">
        <v>268</v>
      </c>
      <c r="D42" s="268">
        <v>43</v>
      </c>
      <c r="E42" s="268">
        <v>69</v>
      </c>
      <c r="F42" s="268">
        <v>54</v>
      </c>
      <c r="G42" s="268">
        <v>47</v>
      </c>
      <c r="H42" s="268">
        <v>51</v>
      </c>
      <c r="I42" s="268">
        <v>57</v>
      </c>
      <c r="J42" s="268">
        <v>54</v>
      </c>
      <c r="K42" s="268">
        <v>39</v>
      </c>
      <c r="L42" s="268">
        <v>54</v>
      </c>
      <c r="M42" s="268">
        <v>49</v>
      </c>
      <c r="N42" s="268">
        <v>59</v>
      </c>
      <c r="O42" s="268">
        <v>49</v>
      </c>
      <c r="P42" s="268">
        <v>43</v>
      </c>
      <c r="Q42" s="268">
        <v>63</v>
      </c>
      <c r="R42" s="268">
        <v>52</v>
      </c>
      <c r="S42" s="268">
        <v>66</v>
      </c>
      <c r="T42" s="268">
        <v>71</v>
      </c>
      <c r="U42" s="268">
        <v>47</v>
      </c>
      <c r="V42" s="268">
        <f>SUM(D42:O42)</f>
        <v>625</v>
      </c>
      <c r="W42" s="268">
        <f>SUM(J42:U42)</f>
        <v>646</v>
      </c>
    </row>
    <row r="43" spans="1:23" x14ac:dyDescent="0.25">
      <c r="A43" s="513" t="s">
        <v>100</v>
      </c>
      <c r="B43" s="603" t="s">
        <v>101</v>
      </c>
      <c r="C43" s="603" t="s">
        <v>267</v>
      </c>
      <c r="D43" s="268">
        <v>36</v>
      </c>
      <c r="E43" s="268">
        <v>46</v>
      </c>
      <c r="F43" s="268">
        <v>38</v>
      </c>
      <c r="G43" s="268">
        <v>36</v>
      </c>
      <c r="H43" s="268">
        <v>54</v>
      </c>
      <c r="I43" s="268">
        <v>55</v>
      </c>
      <c r="J43" s="268">
        <v>36</v>
      </c>
      <c r="K43" s="268">
        <v>40</v>
      </c>
      <c r="L43" s="268">
        <v>56</v>
      </c>
      <c r="M43" s="268">
        <v>36</v>
      </c>
      <c r="N43" s="268">
        <v>44</v>
      </c>
      <c r="O43" s="268">
        <v>36</v>
      </c>
      <c r="P43" s="268">
        <v>41</v>
      </c>
      <c r="Q43" s="268">
        <v>50</v>
      </c>
      <c r="R43" s="268">
        <v>43</v>
      </c>
      <c r="S43" s="268">
        <v>44</v>
      </c>
      <c r="T43" s="268">
        <v>83</v>
      </c>
      <c r="U43" s="268">
        <v>39</v>
      </c>
      <c r="V43" s="268">
        <f>SUM(D43:O43)</f>
        <v>513</v>
      </c>
      <c r="W43" s="268">
        <f>SUM(J43:U43)</f>
        <v>548</v>
      </c>
    </row>
    <row r="44" spans="1:23" x14ac:dyDescent="0.25">
      <c r="A44" s="513" t="s">
        <v>102</v>
      </c>
      <c r="B44" s="603" t="s">
        <v>282</v>
      </c>
      <c r="C44" s="603" t="s">
        <v>264</v>
      </c>
      <c r="D44" s="268">
        <v>55</v>
      </c>
      <c r="E44" s="268">
        <v>55</v>
      </c>
      <c r="F44" s="268">
        <v>70</v>
      </c>
      <c r="G44" s="268">
        <v>71</v>
      </c>
      <c r="H44" s="268">
        <v>88</v>
      </c>
      <c r="I44" s="268">
        <v>63</v>
      </c>
      <c r="J44" s="268">
        <v>85</v>
      </c>
      <c r="K44" s="268">
        <v>35</v>
      </c>
      <c r="L44" s="268">
        <v>65</v>
      </c>
      <c r="M44" s="268">
        <v>64</v>
      </c>
      <c r="N44" s="268">
        <v>57</v>
      </c>
      <c r="O44" s="268">
        <v>75</v>
      </c>
      <c r="P44" s="268">
        <v>60</v>
      </c>
      <c r="Q44" s="268">
        <v>71</v>
      </c>
      <c r="R44" s="268">
        <v>59</v>
      </c>
      <c r="S44" s="268">
        <v>83</v>
      </c>
      <c r="T44" s="268">
        <v>96</v>
      </c>
      <c r="U44" s="268">
        <v>100</v>
      </c>
      <c r="V44" s="268">
        <f>SUM(D44:O44)</f>
        <v>783</v>
      </c>
      <c r="W44" s="268">
        <f>SUM(J44:U44)</f>
        <v>850</v>
      </c>
    </row>
    <row r="45" spans="1:23" x14ac:dyDescent="0.25">
      <c r="A45" s="513" t="s">
        <v>104</v>
      </c>
      <c r="B45" s="603" t="s">
        <v>105</v>
      </c>
      <c r="C45" s="603" t="s">
        <v>265</v>
      </c>
      <c r="D45" s="268">
        <v>101</v>
      </c>
      <c r="E45" s="268">
        <v>145</v>
      </c>
      <c r="F45" s="268">
        <v>154</v>
      </c>
      <c r="G45" s="268">
        <v>148</v>
      </c>
      <c r="H45" s="268">
        <v>149</v>
      </c>
      <c r="I45" s="268">
        <v>179</v>
      </c>
      <c r="J45" s="268">
        <v>156</v>
      </c>
      <c r="K45" s="268">
        <v>137</v>
      </c>
      <c r="L45" s="268">
        <v>134</v>
      </c>
      <c r="M45" s="268">
        <v>117</v>
      </c>
      <c r="N45" s="268">
        <v>119</v>
      </c>
      <c r="O45" s="268">
        <v>133</v>
      </c>
      <c r="P45" s="268">
        <v>142</v>
      </c>
      <c r="Q45" s="268">
        <v>140</v>
      </c>
      <c r="R45" s="268">
        <v>118</v>
      </c>
      <c r="S45" s="268">
        <v>114</v>
      </c>
      <c r="T45" s="268">
        <v>184</v>
      </c>
      <c r="U45" s="268">
        <v>155</v>
      </c>
      <c r="V45" s="268">
        <f>SUM(D45:O45)</f>
        <v>1672</v>
      </c>
      <c r="W45" s="268">
        <f>SUM(J45:U45)</f>
        <v>1649</v>
      </c>
    </row>
    <row r="46" spans="1:23" x14ac:dyDescent="0.25">
      <c r="A46" s="513" t="s">
        <v>108</v>
      </c>
      <c r="B46" s="603" t="s">
        <v>109</v>
      </c>
      <c r="C46" s="603" t="s">
        <v>266</v>
      </c>
      <c r="D46" s="268">
        <v>197</v>
      </c>
      <c r="E46" s="268">
        <v>211</v>
      </c>
      <c r="F46" s="268">
        <v>154</v>
      </c>
      <c r="G46" s="268">
        <v>196</v>
      </c>
      <c r="H46" s="268">
        <v>265</v>
      </c>
      <c r="I46" s="268">
        <v>319</v>
      </c>
      <c r="J46" s="268">
        <v>247</v>
      </c>
      <c r="K46" s="268">
        <v>152</v>
      </c>
      <c r="L46" s="268">
        <v>180</v>
      </c>
      <c r="M46" s="268">
        <v>170</v>
      </c>
      <c r="N46" s="268">
        <v>183</v>
      </c>
      <c r="O46" s="268">
        <v>165</v>
      </c>
      <c r="P46" s="268">
        <v>180</v>
      </c>
      <c r="Q46" s="268">
        <v>225</v>
      </c>
      <c r="R46" s="268">
        <v>199</v>
      </c>
      <c r="S46" s="268">
        <v>182</v>
      </c>
      <c r="T46" s="268">
        <v>377</v>
      </c>
      <c r="U46" s="268">
        <v>275</v>
      </c>
      <c r="V46" s="268">
        <f>SUM(D46:O46)</f>
        <v>2439</v>
      </c>
      <c r="W46" s="268">
        <f>SUM(J46:U46)</f>
        <v>2535</v>
      </c>
    </row>
    <row r="47" spans="1:23" x14ac:dyDescent="0.25">
      <c r="A47" s="513" t="s">
        <v>110</v>
      </c>
      <c r="B47" s="603" t="s">
        <v>111</v>
      </c>
      <c r="C47" s="603" t="s">
        <v>266</v>
      </c>
      <c r="D47" s="268">
        <v>946</v>
      </c>
      <c r="E47" s="268">
        <v>1083</v>
      </c>
      <c r="F47" s="268">
        <v>1062</v>
      </c>
      <c r="G47" s="268">
        <v>978</v>
      </c>
      <c r="H47" s="268">
        <v>1333</v>
      </c>
      <c r="I47" s="268">
        <v>1418</v>
      </c>
      <c r="J47" s="268">
        <v>1384</v>
      </c>
      <c r="K47" s="268">
        <v>920</v>
      </c>
      <c r="L47" s="268">
        <v>1084</v>
      </c>
      <c r="M47" s="268">
        <v>893</v>
      </c>
      <c r="N47" s="268">
        <v>986</v>
      </c>
      <c r="O47" s="268">
        <v>974</v>
      </c>
      <c r="P47" s="268">
        <v>922</v>
      </c>
      <c r="Q47" s="268">
        <v>1106</v>
      </c>
      <c r="R47" s="268">
        <v>1007</v>
      </c>
      <c r="S47" s="268">
        <v>1015</v>
      </c>
      <c r="T47" s="268">
        <v>1743</v>
      </c>
      <c r="U47" s="268">
        <v>1287</v>
      </c>
      <c r="V47" s="268">
        <f>SUM(D47:O47)</f>
        <v>13061</v>
      </c>
      <c r="W47" s="268">
        <f>SUM(J47:U47)</f>
        <v>13321</v>
      </c>
    </row>
    <row r="48" spans="1:23" x14ac:dyDescent="0.25">
      <c r="A48" s="513" t="s">
        <v>112</v>
      </c>
      <c r="B48" s="603" t="s">
        <v>300</v>
      </c>
      <c r="C48" s="603" t="s">
        <v>265</v>
      </c>
      <c r="D48" s="268">
        <v>229</v>
      </c>
      <c r="E48" s="268">
        <v>293</v>
      </c>
      <c r="F48" s="268">
        <v>277</v>
      </c>
      <c r="G48" s="268">
        <v>291</v>
      </c>
      <c r="H48" s="268">
        <v>299</v>
      </c>
      <c r="I48" s="268">
        <v>281</v>
      </c>
      <c r="J48" s="268">
        <v>276</v>
      </c>
      <c r="K48" s="268">
        <v>244</v>
      </c>
      <c r="L48" s="268">
        <v>319</v>
      </c>
      <c r="M48" s="268">
        <v>261</v>
      </c>
      <c r="N48" s="268">
        <v>288</v>
      </c>
      <c r="O48" s="268">
        <v>255</v>
      </c>
      <c r="P48" s="268">
        <v>289</v>
      </c>
      <c r="Q48" s="268">
        <v>330</v>
      </c>
      <c r="R48" s="268">
        <v>240</v>
      </c>
      <c r="S48" s="268">
        <v>282</v>
      </c>
      <c r="T48" s="268">
        <v>413</v>
      </c>
      <c r="U48" s="268">
        <v>320</v>
      </c>
      <c r="V48" s="268">
        <f>SUM(D48:O48)</f>
        <v>3313</v>
      </c>
      <c r="W48" s="268">
        <f>SUM(J48:U48)</f>
        <v>3517</v>
      </c>
    </row>
    <row r="49" spans="1:23" x14ac:dyDescent="0.25">
      <c r="A49" s="513" t="s">
        <v>114</v>
      </c>
      <c r="B49" s="603" t="s">
        <v>115</v>
      </c>
      <c r="C49" s="603" t="s">
        <v>265</v>
      </c>
      <c r="D49" s="268">
        <v>5</v>
      </c>
      <c r="E49" s="268">
        <v>8</v>
      </c>
      <c r="F49" s="268">
        <v>5</v>
      </c>
      <c r="G49" s="268">
        <v>10</v>
      </c>
      <c r="H49" s="268">
        <v>9</v>
      </c>
      <c r="I49" s="268">
        <v>12</v>
      </c>
      <c r="J49" s="268">
        <v>7</v>
      </c>
      <c r="K49" s="268">
        <v>9</v>
      </c>
      <c r="L49" s="268">
        <v>9</v>
      </c>
      <c r="M49" s="268">
        <v>3</v>
      </c>
      <c r="N49" s="268">
        <v>5</v>
      </c>
      <c r="O49" s="268">
        <v>6</v>
      </c>
      <c r="P49" s="268">
        <v>5</v>
      </c>
      <c r="Q49" s="268">
        <v>2</v>
      </c>
      <c r="R49" s="268">
        <v>4</v>
      </c>
      <c r="S49" s="268">
        <v>9</v>
      </c>
      <c r="T49" s="268">
        <v>11</v>
      </c>
      <c r="U49" s="268">
        <v>13</v>
      </c>
      <c r="V49" s="268">
        <f>SUM(D49:O49)</f>
        <v>88</v>
      </c>
      <c r="W49" s="268">
        <f>SUM(J49:U49)</f>
        <v>83</v>
      </c>
    </row>
    <row r="50" spans="1:23" x14ac:dyDescent="0.25">
      <c r="A50" s="513" t="s">
        <v>118</v>
      </c>
      <c r="B50" s="603" t="s">
        <v>270</v>
      </c>
      <c r="C50" s="603" t="s">
        <v>264</v>
      </c>
      <c r="D50" s="268">
        <v>79</v>
      </c>
      <c r="E50" s="268">
        <v>97</v>
      </c>
      <c r="F50" s="268">
        <v>95</v>
      </c>
      <c r="G50" s="268">
        <v>74</v>
      </c>
      <c r="H50" s="268">
        <v>123</v>
      </c>
      <c r="I50" s="268">
        <v>136</v>
      </c>
      <c r="J50" s="268">
        <v>93</v>
      </c>
      <c r="K50" s="268">
        <v>72</v>
      </c>
      <c r="L50" s="268">
        <v>88</v>
      </c>
      <c r="M50" s="268">
        <v>66</v>
      </c>
      <c r="N50" s="268">
        <v>79</v>
      </c>
      <c r="O50" s="268">
        <v>82</v>
      </c>
      <c r="P50" s="268">
        <v>87</v>
      </c>
      <c r="Q50" s="268">
        <v>97</v>
      </c>
      <c r="R50" s="268">
        <v>82</v>
      </c>
      <c r="S50" s="268">
        <v>81</v>
      </c>
      <c r="T50" s="268">
        <v>125</v>
      </c>
      <c r="U50" s="268">
        <v>116</v>
      </c>
      <c r="V50" s="268">
        <f>SUM(D50:O50)</f>
        <v>1084</v>
      </c>
      <c r="W50" s="268">
        <f>SUM(J50:U50)</f>
        <v>1068</v>
      </c>
    </row>
    <row r="51" spans="1:23" x14ac:dyDescent="0.25">
      <c r="A51" s="513" t="s">
        <v>120</v>
      </c>
      <c r="B51" s="603" t="s">
        <v>121</v>
      </c>
      <c r="C51" s="603" t="s">
        <v>264</v>
      </c>
      <c r="D51" s="268">
        <v>121</v>
      </c>
      <c r="E51" s="268">
        <v>164</v>
      </c>
      <c r="F51" s="268">
        <v>153</v>
      </c>
      <c r="G51" s="268">
        <v>138</v>
      </c>
      <c r="H51" s="268">
        <v>171</v>
      </c>
      <c r="I51" s="268">
        <v>218</v>
      </c>
      <c r="J51" s="268">
        <v>176</v>
      </c>
      <c r="K51" s="268">
        <v>166</v>
      </c>
      <c r="L51" s="268">
        <v>149</v>
      </c>
      <c r="M51" s="268">
        <v>120</v>
      </c>
      <c r="N51" s="268">
        <v>142</v>
      </c>
      <c r="O51" s="268">
        <v>136</v>
      </c>
      <c r="P51" s="268">
        <v>142</v>
      </c>
      <c r="Q51" s="268">
        <v>158</v>
      </c>
      <c r="R51" s="268">
        <v>151</v>
      </c>
      <c r="S51" s="268">
        <v>148</v>
      </c>
      <c r="T51" s="268">
        <v>305</v>
      </c>
      <c r="U51" s="268">
        <v>209</v>
      </c>
      <c r="V51" s="268">
        <f>SUM(D51:O51)</f>
        <v>1854</v>
      </c>
      <c r="W51" s="268">
        <f>SUM(J51:U51)</f>
        <v>2002</v>
      </c>
    </row>
    <row r="52" spans="1:23" x14ac:dyDescent="0.25">
      <c r="A52" s="513" t="s">
        <v>122</v>
      </c>
      <c r="B52" s="603" t="s">
        <v>287</v>
      </c>
      <c r="C52" s="603" t="s">
        <v>266</v>
      </c>
      <c r="D52" s="268">
        <v>30</v>
      </c>
      <c r="E52" s="268">
        <v>32</v>
      </c>
      <c r="F52" s="268">
        <v>22</v>
      </c>
      <c r="G52" s="268">
        <v>31</v>
      </c>
      <c r="H52" s="268">
        <v>21</v>
      </c>
      <c r="I52" s="268">
        <v>31</v>
      </c>
      <c r="J52" s="268">
        <v>27</v>
      </c>
      <c r="K52" s="268">
        <v>24</v>
      </c>
      <c r="L52" s="268">
        <v>31</v>
      </c>
      <c r="M52" s="268">
        <v>25</v>
      </c>
      <c r="N52" s="268">
        <v>26</v>
      </c>
      <c r="O52" s="268">
        <v>27</v>
      </c>
      <c r="P52" s="268">
        <v>26</v>
      </c>
      <c r="Q52" s="268">
        <v>30</v>
      </c>
      <c r="R52" s="268">
        <v>32</v>
      </c>
      <c r="S52" s="268">
        <v>24</v>
      </c>
      <c r="T52" s="268">
        <v>23</v>
      </c>
      <c r="U52" s="268">
        <v>20</v>
      </c>
      <c r="V52" s="268">
        <f>SUM(D52:O52)</f>
        <v>327</v>
      </c>
      <c r="W52" s="268">
        <f>SUM(J52:U52)</f>
        <v>315</v>
      </c>
    </row>
    <row r="53" spans="1:23" x14ac:dyDescent="0.25">
      <c r="A53" s="513" t="s">
        <v>124</v>
      </c>
      <c r="B53" s="603" t="s">
        <v>125</v>
      </c>
      <c r="C53" s="603" t="s">
        <v>267</v>
      </c>
      <c r="D53" s="268">
        <v>51</v>
      </c>
      <c r="E53" s="268">
        <v>71</v>
      </c>
      <c r="F53" s="268">
        <v>53</v>
      </c>
      <c r="G53" s="268">
        <v>56</v>
      </c>
      <c r="H53" s="268">
        <v>76</v>
      </c>
      <c r="I53" s="268">
        <v>55</v>
      </c>
      <c r="J53" s="268">
        <v>59</v>
      </c>
      <c r="K53" s="268">
        <v>35</v>
      </c>
      <c r="L53" s="268">
        <v>64</v>
      </c>
      <c r="M53" s="268">
        <v>56</v>
      </c>
      <c r="N53" s="268">
        <v>50</v>
      </c>
      <c r="O53" s="268">
        <v>92</v>
      </c>
      <c r="P53" s="268">
        <v>55</v>
      </c>
      <c r="Q53" s="268">
        <v>60</v>
      </c>
      <c r="R53" s="268">
        <v>49</v>
      </c>
      <c r="S53" s="268">
        <v>59</v>
      </c>
      <c r="T53" s="268">
        <v>92</v>
      </c>
      <c r="U53" s="268">
        <v>67</v>
      </c>
      <c r="V53" s="268">
        <f>SUM(D53:O53)</f>
        <v>718</v>
      </c>
      <c r="W53" s="268">
        <f>SUM(J53:U53)</f>
        <v>738</v>
      </c>
    </row>
    <row r="54" spans="1:23" x14ac:dyDescent="0.25">
      <c r="A54" s="513" t="s">
        <v>126</v>
      </c>
      <c r="B54" s="603" t="s">
        <v>127</v>
      </c>
      <c r="C54" s="603" t="s">
        <v>266</v>
      </c>
      <c r="D54" s="268">
        <v>32</v>
      </c>
      <c r="E54" s="268">
        <v>55</v>
      </c>
      <c r="F54" s="268">
        <v>60</v>
      </c>
      <c r="G54" s="268">
        <v>39</v>
      </c>
      <c r="H54" s="268">
        <v>45</v>
      </c>
      <c r="I54" s="268">
        <v>63</v>
      </c>
      <c r="J54" s="268">
        <v>48</v>
      </c>
      <c r="K54" s="268">
        <v>24</v>
      </c>
      <c r="L54" s="268">
        <v>40</v>
      </c>
      <c r="M54" s="268">
        <v>30</v>
      </c>
      <c r="N54" s="268">
        <v>50</v>
      </c>
      <c r="O54" s="268">
        <v>36</v>
      </c>
      <c r="P54" s="268">
        <v>37</v>
      </c>
      <c r="Q54" s="268">
        <v>49</v>
      </c>
      <c r="R54" s="268">
        <v>35</v>
      </c>
      <c r="S54" s="268">
        <v>49</v>
      </c>
      <c r="T54" s="268">
        <v>88</v>
      </c>
      <c r="U54" s="268">
        <v>62</v>
      </c>
      <c r="V54" s="268">
        <f>SUM(D54:O54)</f>
        <v>522</v>
      </c>
      <c r="W54" s="268">
        <f>SUM(J54:U54)</f>
        <v>548</v>
      </c>
    </row>
    <row r="55" spans="1:23" x14ac:dyDescent="0.25">
      <c r="A55" s="513" t="s">
        <v>128</v>
      </c>
      <c r="B55" s="603" t="s">
        <v>129</v>
      </c>
      <c r="C55" s="603" t="s">
        <v>266</v>
      </c>
      <c r="D55" s="268">
        <v>36</v>
      </c>
      <c r="E55" s="268">
        <v>20</v>
      </c>
      <c r="F55" s="268">
        <v>29</v>
      </c>
      <c r="G55" s="268">
        <v>30</v>
      </c>
      <c r="H55" s="268">
        <v>60</v>
      </c>
      <c r="I55" s="268">
        <v>37</v>
      </c>
      <c r="J55" s="268">
        <v>35</v>
      </c>
      <c r="K55" s="268">
        <v>20</v>
      </c>
      <c r="L55" s="268">
        <v>35</v>
      </c>
      <c r="M55" s="268">
        <v>30</v>
      </c>
      <c r="N55" s="268">
        <v>33</v>
      </c>
      <c r="O55" s="268">
        <v>32</v>
      </c>
      <c r="P55" s="268">
        <v>34</v>
      </c>
      <c r="Q55" s="268">
        <v>24</v>
      </c>
      <c r="R55" s="268">
        <v>28</v>
      </c>
      <c r="S55" s="268">
        <v>30</v>
      </c>
      <c r="T55" s="268">
        <v>49</v>
      </c>
      <c r="U55" s="268">
        <v>31</v>
      </c>
      <c r="V55" s="268">
        <f>SUM(D55:O55)</f>
        <v>397</v>
      </c>
      <c r="W55" s="268">
        <f>SUM(J55:U55)</f>
        <v>381</v>
      </c>
    </row>
    <row r="56" spans="1:23" x14ac:dyDescent="0.25">
      <c r="A56" s="513" t="s">
        <v>130</v>
      </c>
      <c r="B56" s="603" t="s">
        <v>131</v>
      </c>
      <c r="C56" s="603" t="s">
        <v>268</v>
      </c>
      <c r="D56" s="268">
        <v>88</v>
      </c>
      <c r="E56" s="268">
        <v>106</v>
      </c>
      <c r="F56" s="268">
        <v>75</v>
      </c>
      <c r="G56" s="268">
        <v>77</v>
      </c>
      <c r="H56" s="268">
        <v>78</v>
      </c>
      <c r="I56" s="268">
        <v>70</v>
      </c>
      <c r="J56" s="268">
        <v>94</v>
      </c>
      <c r="K56" s="268">
        <v>88</v>
      </c>
      <c r="L56" s="268">
        <v>101</v>
      </c>
      <c r="M56" s="268">
        <v>59</v>
      </c>
      <c r="N56" s="268">
        <v>89</v>
      </c>
      <c r="O56" s="268">
        <v>71</v>
      </c>
      <c r="P56" s="268">
        <v>67</v>
      </c>
      <c r="Q56" s="268">
        <v>78</v>
      </c>
      <c r="R56" s="268">
        <v>70</v>
      </c>
      <c r="S56" s="268">
        <v>79</v>
      </c>
      <c r="T56" s="268">
        <v>106</v>
      </c>
      <c r="U56" s="268">
        <v>81</v>
      </c>
      <c r="V56" s="268">
        <f>SUM(D56:O56)</f>
        <v>996</v>
      </c>
      <c r="W56" s="268">
        <f>SUM(J56:U56)</f>
        <v>983</v>
      </c>
    </row>
    <row r="57" spans="1:23" x14ac:dyDescent="0.25">
      <c r="A57" s="513" t="s">
        <v>132</v>
      </c>
      <c r="B57" s="603" t="s">
        <v>133</v>
      </c>
      <c r="C57" s="603" t="s">
        <v>267</v>
      </c>
      <c r="D57" s="268">
        <v>613</v>
      </c>
      <c r="E57" s="268">
        <v>715</v>
      </c>
      <c r="F57" s="268">
        <v>709</v>
      </c>
      <c r="G57" s="268">
        <v>702</v>
      </c>
      <c r="H57" s="268">
        <v>1013</v>
      </c>
      <c r="I57" s="268">
        <v>1229</v>
      </c>
      <c r="J57" s="268">
        <v>933</v>
      </c>
      <c r="K57" s="268">
        <v>547</v>
      </c>
      <c r="L57" s="268">
        <v>671</v>
      </c>
      <c r="M57" s="268">
        <v>649</v>
      </c>
      <c r="N57" s="268">
        <v>645</v>
      </c>
      <c r="O57" s="268">
        <v>643</v>
      </c>
      <c r="P57" s="268">
        <v>578</v>
      </c>
      <c r="Q57" s="268">
        <v>691</v>
      </c>
      <c r="R57" s="268">
        <v>621</v>
      </c>
      <c r="S57" s="268">
        <v>650</v>
      </c>
      <c r="T57" s="268">
        <v>1619</v>
      </c>
      <c r="U57" s="268">
        <v>1220</v>
      </c>
      <c r="V57" s="268">
        <f>SUM(D57:O57)</f>
        <v>9069</v>
      </c>
      <c r="W57" s="268">
        <f>SUM(J57:U57)</f>
        <v>9467</v>
      </c>
    </row>
    <row r="58" spans="1:23" x14ac:dyDescent="0.25">
      <c r="A58" s="513" t="s">
        <v>134</v>
      </c>
      <c r="B58" s="603" t="s">
        <v>135</v>
      </c>
      <c r="C58" s="603" t="s">
        <v>267</v>
      </c>
      <c r="D58" s="268">
        <v>97</v>
      </c>
      <c r="E58" s="268">
        <v>113</v>
      </c>
      <c r="F58" s="268">
        <v>94</v>
      </c>
      <c r="G58" s="268">
        <v>116</v>
      </c>
      <c r="H58" s="268">
        <v>149</v>
      </c>
      <c r="I58" s="268">
        <v>141</v>
      </c>
      <c r="J58" s="268">
        <v>131</v>
      </c>
      <c r="K58" s="268">
        <v>87</v>
      </c>
      <c r="L58" s="268">
        <v>100</v>
      </c>
      <c r="M58" s="268">
        <v>91</v>
      </c>
      <c r="N58" s="268">
        <v>100</v>
      </c>
      <c r="O58" s="268">
        <v>103</v>
      </c>
      <c r="P58" s="268">
        <v>89</v>
      </c>
      <c r="Q58" s="268">
        <v>111</v>
      </c>
      <c r="R58" s="268">
        <v>105</v>
      </c>
      <c r="S58" s="268">
        <v>102</v>
      </c>
      <c r="T58" s="268">
        <v>173</v>
      </c>
      <c r="U58" s="268">
        <v>123</v>
      </c>
      <c r="V58" s="268">
        <f>SUM(D58:O58)</f>
        <v>1322</v>
      </c>
      <c r="W58" s="268">
        <f>SUM(J58:U58)</f>
        <v>1315</v>
      </c>
    </row>
    <row r="59" spans="1:23" x14ac:dyDescent="0.25">
      <c r="A59" s="513" t="s">
        <v>136</v>
      </c>
      <c r="B59" s="603" t="s">
        <v>137</v>
      </c>
      <c r="C59" s="603" t="s">
        <v>266</v>
      </c>
      <c r="D59" s="268">
        <v>39</v>
      </c>
      <c r="E59" s="268">
        <v>46</v>
      </c>
      <c r="F59" s="268">
        <v>47</v>
      </c>
      <c r="G59" s="268">
        <v>38</v>
      </c>
      <c r="H59" s="268">
        <v>33</v>
      </c>
      <c r="I59" s="268">
        <v>40</v>
      </c>
      <c r="J59" s="268">
        <v>41</v>
      </c>
      <c r="K59" s="268">
        <v>26</v>
      </c>
      <c r="L59" s="268">
        <v>32</v>
      </c>
      <c r="M59" s="268">
        <v>38</v>
      </c>
      <c r="N59" s="268">
        <v>28</v>
      </c>
      <c r="O59" s="268">
        <v>35</v>
      </c>
      <c r="P59" s="268">
        <v>33</v>
      </c>
      <c r="Q59" s="268">
        <v>33</v>
      </c>
      <c r="R59" s="268">
        <v>20</v>
      </c>
      <c r="S59" s="268">
        <v>30</v>
      </c>
      <c r="T59" s="268">
        <v>51</v>
      </c>
      <c r="U59" s="268">
        <v>31</v>
      </c>
      <c r="V59" s="268">
        <f>SUM(D59:O59)</f>
        <v>443</v>
      </c>
      <c r="W59" s="268">
        <f>SUM(J59:U59)</f>
        <v>398</v>
      </c>
    </row>
    <row r="60" spans="1:23" x14ac:dyDescent="0.25">
      <c r="A60" s="513" t="s">
        <v>140</v>
      </c>
      <c r="B60" s="603" t="s">
        <v>141</v>
      </c>
      <c r="C60" s="603" t="s">
        <v>267</v>
      </c>
      <c r="D60" s="268">
        <v>46</v>
      </c>
      <c r="E60" s="268">
        <v>60</v>
      </c>
      <c r="F60" s="268">
        <v>29</v>
      </c>
      <c r="G60" s="268">
        <v>27</v>
      </c>
      <c r="H60" s="268">
        <v>53</v>
      </c>
      <c r="I60" s="268">
        <v>51</v>
      </c>
      <c r="J60" s="268">
        <v>54</v>
      </c>
      <c r="K60" s="268">
        <v>35</v>
      </c>
      <c r="L60" s="268">
        <v>41</v>
      </c>
      <c r="M60" s="268">
        <v>35</v>
      </c>
      <c r="N60" s="268">
        <v>34</v>
      </c>
      <c r="O60" s="268">
        <v>37</v>
      </c>
      <c r="P60" s="268">
        <v>28</v>
      </c>
      <c r="Q60" s="268">
        <v>25</v>
      </c>
      <c r="R60" s="268">
        <v>35</v>
      </c>
      <c r="S60" s="268">
        <v>29</v>
      </c>
      <c r="T60" s="268">
        <v>48</v>
      </c>
      <c r="U60" s="268">
        <v>35</v>
      </c>
      <c r="V60" s="268">
        <f>SUM(D60:O60)</f>
        <v>502</v>
      </c>
      <c r="W60" s="268">
        <f>SUM(J60:U60)</f>
        <v>436</v>
      </c>
    </row>
    <row r="61" spans="1:23" x14ac:dyDescent="0.25">
      <c r="A61" s="513" t="s">
        <v>146</v>
      </c>
      <c r="B61" s="603" t="s">
        <v>147</v>
      </c>
      <c r="C61" s="603" t="s">
        <v>264</v>
      </c>
      <c r="D61" s="268">
        <v>21</v>
      </c>
      <c r="E61" s="268">
        <v>20</v>
      </c>
      <c r="F61" s="268">
        <v>16</v>
      </c>
      <c r="G61" s="268">
        <v>14</v>
      </c>
      <c r="H61" s="268">
        <v>17</v>
      </c>
      <c r="I61" s="268">
        <v>24</v>
      </c>
      <c r="J61" s="268">
        <v>20</v>
      </c>
      <c r="K61" s="268">
        <v>20</v>
      </c>
      <c r="L61" s="268">
        <v>30</v>
      </c>
      <c r="M61" s="268">
        <v>17</v>
      </c>
      <c r="N61" s="268">
        <v>18</v>
      </c>
      <c r="O61" s="268">
        <v>20</v>
      </c>
      <c r="P61" s="268">
        <v>25</v>
      </c>
      <c r="Q61" s="268">
        <v>22</v>
      </c>
      <c r="R61" s="268">
        <v>21</v>
      </c>
      <c r="S61" s="268">
        <v>19</v>
      </c>
      <c r="T61" s="268">
        <v>44</v>
      </c>
      <c r="U61" s="268">
        <v>19</v>
      </c>
      <c r="V61" s="268">
        <f>SUM(D61:O61)</f>
        <v>237</v>
      </c>
      <c r="W61" s="268">
        <f>SUM(J61:U61)</f>
        <v>275</v>
      </c>
    </row>
    <row r="62" spans="1:23" x14ac:dyDescent="0.25">
      <c r="A62" s="513" t="s">
        <v>148</v>
      </c>
      <c r="B62" s="603" t="s">
        <v>149</v>
      </c>
      <c r="C62" s="603" t="s">
        <v>265</v>
      </c>
      <c r="D62" s="268">
        <v>107</v>
      </c>
      <c r="E62" s="268">
        <v>115</v>
      </c>
      <c r="F62" s="268">
        <v>85</v>
      </c>
      <c r="G62" s="268">
        <v>106</v>
      </c>
      <c r="H62" s="268">
        <v>154</v>
      </c>
      <c r="I62" s="268">
        <v>147</v>
      </c>
      <c r="J62" s="268">
        <v>146</v>
      </c>
      <c r="K62" s="268">
        <v>78</v>
      </c>
      <c r="L62" s="268">
        <v>76</v>
      </c>
      <c r="M62" s="268">
        <v>93</v>
      </c>
      <c r="N62" s="268">
        <v>86</v>
      </c>
      <c r="O62" s="268">
        <v>97</v>
      </c>
      <c r="P62" s="268">
        <v>88</v>
      </c>
      <c r="Q62" s="268">
        <v>127</v>
      </c>
      <c r="R62" s="268">
        <v>97</v>
      </c>
      <c r="S62" s="268">
        <v>104</v>
      </c>
      <c r="T62" s="268">
        <v>181</v>
      </c>
      <c r="U62" s="268">
        <v>126</v>
      </c>
      <c r="V62" s="268">
        <f>SUM(D62:O62)</f>
        <v>1290</v>
      </c>
      <c r="W62" s="268">
        <f>SUM(J62:U62)</f>
        <v>1299</v>
      </c>
    </row>
    <row r="63" spans="1:23" x14ac:dyDescent="0.25">
      <c r="A63" s="513" t="s">
        <v>150</v>
      </c>
      <c r="B63" s="603" t="s">
        <v>151</v>
      </c>
      <c r="C63" s="603" t="s">
        <v>266</v>
      </c>
      <c r="D63" s="268">
        <v>29</v>
      </c>
      <c r="E63" s="268">
        <v>38</v>
      </c>
      <c r="F63" s="268">
        <v>45</v>
      </c>
      <c r="G63" s="268">
        <v>48</v>
      </c>
      <c r="H63" s="268">
        <v>49</v>
      </c>
      <c r="I63" s="268">
        <v>59</v>
      </c>
      <c r="J63" s="268">
        <v>44</v>
      </c>
      <c r="K63" s="268">
        <v>33</v>
      </c>
      <c r="L63" s="268">
        <v>25</v>
      </c>
      <c r="M63" s="268">
        <v>29</v>
      </c>
      <c r="N63" s="268">
        <v>25</v>
      </c>
      <c r="O63" s="268">
        <v>32</v>
      </c>
      <c r="P63" s="268">
        <v>26</v>
      </c>
      <c r="Q63" s="268">
        <v>33</v>
      </c>
      <c r="R63" s="268">
        <v>30</v>
      </c>
      <c r="S63" s="268">
        <v>42</v>
      </c>
      <c r="T63" s="268">
        <v>52</v>
      </c>
      <c r="U63" s="268">
        <v>37</v>
      </c>
      <c r="V63" s="268">
        <f>SUM(D63:O63)</f>
        <v>456</v>
      </c>
      <c r="W63" s="268">
        <f>SUM(J63:U63)</f>
        <v>408</v>
      </c>
    </row>
    <row r="64" spans="1:23" x14ac:dyDescent="0.25">
      <c r="A64" s="513" t="s">
        <v>152</v>
      </c>
      <c r="B64" s="603" t="s">
        <v>153</v>
      </c>
      <c r="C64" s="603" t="s">
        <v>268</v>
      </c>
      <c r="D64" s="268">
        <v>226</v>
      </c>
      <c r="E64" s="268">
        <v>266</v>
      </c>
      <c r="F64" s="268">
        <v>221</v>
      </c>
      <c r="G64" s="268">
        <v>187</v>
      </c>
      <c r="H64" s="268">
        <v>266</v>
      </c>
      <c r="I64" s="268">
        <v>289</v>
      </c>
      <c r="J64" s="268">
        <v>281</v>
      </c>
      <c r="K64" s="268">
        <v>201</v>
      </c>
      <c r="L64" s="268">
        <v>196</v>
      </c>
      <c r="M64" s="268">
        <v>169</v>
      </c>
      <c r="N64" s="268">
        <v>167</v>
      </c>
      <c r="O64" s="268">
        <v>198</v>
      </c>
      <c r="P64" s="268">
        <v>178</v>
      </c>
      <c r="Q64" s="268">
        <v>192</v>
      </c>
      <c r="R64" s="268">
        <v>178</v>
      </c>
      <c r="S64" s="268">
        <v>192</v>
      </c>
      <c r="T64" s="268">
        <v>305</v>
      </c>
      <c r="U64" s="268">
        <v>260</v>
      </c>
      <c r="V64" s="268">
        <f>SUM(D64:O64)</f>
        <v>2667</v>
      </c>
      <c r="W64" s="268">
        <f>SUM(J64:U64)</f>
        <v>2517</v>
      </c>
    </row>
    <row r="65" spans="1:23" x14ac:dyDescent="0.25">
      <c r="A65" s="513" t="s">
        <v>154</v>
      </c>
      <c r="B65" s="603" t="s">
        <v>155</v>
      </c>
      <c r="C65" s="603" t="s">
        <v>265</v>
      </c>
      <c r="D65" s="268">
        <v>31</v>
      </c>
      <c r="E65" s="268">
        <v>39</v>
      </c>
      <c r="F65" s="268">
        <v>52</v>
      </c>
      <c r="G65" s="268">
        <v>44</v>
      </c>
      <c r="H65" s="268">
        <v>52</v>
      </c>
      <c r="I65" s="268">
        <v>66</v>
      </c>
      <c r="J65" s="268">
        <v>53</v>
      </c>
      <c r="K65" s="268">
        <v>46</v>
      </c>
      <c r="L65" s="268">
        <v>44</v>
      </c>
      <c r="M65" s="268">
        <v>40</v>
      </c>
      <c r="N65" s="268">
        <v>38</v>
      </c>
      <c r="O65" s="268">
        <v>34</v>
      </c>
      <c r="P65" s="268">
        <v>34</v>
      </c>
      <c r="Q65" s="268">
        <v>34</v>
      </c>
      <c r="R65" s="268">
        <v>24</v>
      </c>
      <c r="S65" s="268">
        <v>43</v>
      </c>
      <c r="T65" s="268">
        <v>69</v>
      </c>
      <c r="U65" s="268">
        <v>55</v>
      </c>
      <c r="V65" s="268">
        <f>SUM(D65:O65)</f>
        <v>539</v>
      </c>
      <c r="W65" s="268">
        <f>SUM(J65:U65)</f>
        <v>514</v>
      </c>
    </row>
    <row r="66" spans="1:23" x14ac:dyDescent="0.25">
      <c r="A66" s="513" t="s">
        <v>156</v>
      </c>
      <c r="B66" s="603" t="s">
        <v>157</v>
      </c>
      <c r="C66" s="603" t="s">
        <v>266</v>
      </c>
      <c r="D66" s="268">
        <v>40</v>
      </c>
      <c r="E66" s="268">
        <v>51</v>
      </c>
      <c r="F66" s="268">
        <v>43</v>
      </c>
      <c r="G66" s="268">
        <v>29</v>
      </c>
      <c r="H66" s="268">
        <v>46</v>
      </c>
      <c r="I66" s="268">
        <v>48</v>
      </c>
      <c r="J66" s="268">
        <v>43</v>
      </c>
      <c r="K66" s="268">
        <v>22</v>
      </c>
      <c r="L66" s="268">
        <v>32</v>
      </c>
      <c r="M66" s="268">
        <v>30</v>
      </c>
      <c r="N66" s="268">
        <v>35</v>
      </c>
      <c r="O66" s="268">
        <v>38</v>
      </c>
      <c r="P66" s="268">
        <v>38</v>
      </c>
      <c r="Q66" s="268">
        <v>43</v>
      </c>
      <c r="R66" s="268">
        <v>44</v>
      </c>
      <c r="S66" s="268">
        <v>40</v>
      </c>
      <c r="T66" s="268">
        <v>80</v>
      </c>
      <c r="U66" s="268">
        <v>53</v>
      </c>
      <c r="V66" s="268">
        <f>SUM(D66:O66)</f>
        <v>457</v>
      </c>
      <c r="W66" s="268">
        <f>SUM(J66:U66)</f>
        <v>498</v>
      </c>
    </row>
    <row r="67" spans="1:23" x14ac:dyDescent="0.25">
      <c r="A67" s="513" t="s">
        <v>162</v>
      </c>
      <c r="B67" s="603" t="s">
        <v>163</v>
      </c>
      <c r="C67" s="603" t="s">
        <v>264</v>
      </c>
      <c r="D67" s="268">
        <v>37</v>
      </c>
      <c r="E67" s="268">
        <v>50</v>
      </c>
      <c r="F67" s="268">
        <v>45</v>
      </c>
      <c r="G67" s="268">
        <v>41</v>
      </c>
      <c r="H67" s="268">
        <v>56</v>
      </c>
      <c r="I67" s="268">
        <v>69</v>
      </c>
      <c r="J67" s="268">
        <v>39</v>
      </c>
      <c r="K67" s="268">
        <v>49</v>
      </c>
      <c r="L67" s="268">
        <v>50</v>
      </c>
      <c r="M67" s="268">
        <v>35</v>
      </c>
      <c r="N67" s="268">
        <v>60</v>
      </c>
      <c r="O67" s="268">
        <v>49</v>
      </c>
      <c r="P67" s="268">
        <v>51</v>
      </c>
      <c r="Q67" s="268">
        <v>46</v>
      </c>
      <c r="R67" s="268">
        <v>48</v>
      </c>
      <c r="S67" s="268">
        <v>57</v>
      </c>
      <c r="T67" s="268">
        <v>70</v>
      </c>
      <c r="U67" s="268">
        <v>65</v>
      </c>
      <c r="V67" s="268">
        <f>SUM(D67:O67)</f>
        <v>580</v>
      </c>
      <c r="W67" s="268">
        <f>SUM(J67:U67)</f>
        <v>619</v>
      </c>
    </row>
    <row r="68" spans="1:23" x14ac:dyDescent="0.25">
      <c r="A68" s="513" t="s">
        <v>164</v>
      </c>
      <c r="B68" s="603" t="s">
        <v>165</v>
      </c>
      <c r="C68" s="603" t="s">
        <v>266</v>
      </c>
      <c r="D68" s="268">
        <v>39</v>
      </c>
      <c r="E68" s="268">
        <v>26</v>
      </c>
      <c r="F68" s="268">
        <v>25</v>
      </c>
      <c r="G68" s="268">
        <v>35</v>
      </c>
      <c r="H68" s="268">
        <v>40</v>
      </c>
      <c r="I68" s="268">
        <v>50</v>
      </c>
      <c r="J68" s="268">
        <v>51</v>
      </c>
      <c r="K68" s="268">
        <v>26</v>
      </c>
      <c r="L68" s="268">
        <v>36</v>
      </c>
      <c r="M68" s="268">
        <v>39</v>
      </c>
      <c r="N68" s="268">
        <v>28</v>
      </c>
      <c r="O68" s="268">
        <v>22</v>
      </c>
      <c r="P68" s="268">
        <v>38</v>
      </c>
      <c r="Q68" s="268">
        <v>33</v>
      </c>
      <c r="R68" s="268">
        <v>30</v>
      </c>
      <c r="S68" s="268">
        <v>43</v>
      </c>
      <c r="T68" s="268">
        <v>61</v>
      </c>
      <c r="U68" s="268">
        <v>37</v>
      </c>
      <c r="V68" s="268">
        <f>SUM(D68:O68)</f>
        <v>417</v>
      </c>
      <c r="W68" s="268">
        <f>SUM(J68:U68)</f>
        <v>444</v>
      </c>
    </row>
    <row r="69" spans="1:23" x14ac:dyDescent="0.25">
      <c r="A69" s="513" t="s">
        <v>168</v>
      </c>
      <c r="B69" s="603" t="s">
        <v>169</v>
      </c>
      <c r="C69" s="603" t="s">
        <v>266</v>
      </c>
      <c r="D69" s="268">
        <v>43</v>
      </c>
      <c r="E69" s="268">
        <v>49</v>
      </c>
      <c r="F69" s="268">
        <v>45</v>
      </c>
      <c r="G69" s="268">
        <v>48</v>
      </c>
      <c r="H69" s="268">
        <v>63</v>
      </c>
      <c r="I69" s="268">
        <v>63</v>
      </c>
      <c r="J69" s="268">
        <v>50</v>
      </c>
      <c r="K69" s="268">
        <v>60</v>
      </c>
      <c r="L69" s="268">
        <v>38</v>
      </c>
      <c r="M69" s="268">
        <v>45</v>
      </c>
      <c r="N69" s="268">
        <v>37</v>
      </c>
      <c r="O69" s="268">
        <v>65</v>
      </c>
      <c r="P69" s="268">
        <v>55</v>
      </c>
      <c r="Q69" s="268">
        <v>60</v>
      </c>
      <c r="R69" s="268">
        <v>45</v>
      </c>
      <c r="S69" s="268">
        <v>50</v>
      </c>
      <c r="T69" s="268">
        <v>75</v>
      </c>
      <c r="U69" s="268">
        <v>52</v>
      </c>
      <c r="V69" s="268">
        <f>SUM(D69:O69)</f>
        <v>606</v>
      </c>
      <c r="W69" s="268">
        <f>SUM(J69:U69)</f>
        <v>632</v>
      </c>
    </row>
    <row r="70" spans="1:23" x14ac:dyDescent="0.25">
      <c r="A70" s="513" t="s">
        <v>170</v>
      </c>
      <c r="B70" s="603" t="s">
        <v>171</v>
      </c>
      <c r="C70" s="603" t="s">
        <v>267</v>
      </c>
      <c r="D70" s="268">
        <v>118</v>
      </c>
      <c r="E70" s="268">
        <v>117</v>
      </c>
      <c r="F70" s="268">
        <v>132</v>
      </c>
      <c r="G70" s="268">
        <v>136</v>
      </c>
      <c r="H70" s="268">
        <v>175</v>
      </c>
      <c r="I70" s="268">
        <v>177</v>
      </c>
      <c r="J70" s="268">
        <v>169</v>
      </c>
      <c r="K70" s="268">
        <v>139</v>
      </c>
      <c r="L70" s="268">
        <v>120</v>
      </c>
      <c r="M70" s="268">
        <v>115</v>
      </c>
      <c r="N70" s="268">
        <v>105</v>
      </c>
      <c r="O70" s="268">
        <v>149</v>
      </c>
      <c r="P70" s="268">
        <v>116</v>
      </c>
      <c r="Q70" s="268">
        <v>112</v>
      </c>
      <c r="R70" s="268">
        <v>131</v>
      </c>
      <c r="S70" s="268">
        <v>100</v>
      </c>
      <c r="T70" s="268">
        <v>216</v>
      </c>
      <c r="U70" s="268">
        <v>116</v>
      </c>
      <c r="V70" s="268">
        <f>SUM(D70:O70)</f>
        <v>1652</v>
      </c>
      <c r="W70" s="268">
        <f>SUM(J70:U70)</f>
        <v>1588</v>
      </c>
    </row>
    <row r="71" spans="1:23" x14ac:dyDescent="0.25">
      <c r="A71" s="513" t="s">
        <v>172</v>
      </c>
      <c r="B71" s="603" t="s">
        <v>173</v>
      </c>
      <c r="C71" s="603" t="s">
        <v>267</v>
      </c>
      <c r="D71" s="268">
        <v>69</v>
      </c>
      <c r="E71" s="268">
        <v>82</v>
      </c>
      <c r="F71" s="268">
        <v>67</v>
      </c>
      <c r="G71" s="268">
        <v>104</v>
      </c>
      <c r="H71" s="268">
        <v>109</v>
      </c>
      <c r="I71" s="268">
        <v>107</v>
      </c>
      <c r="J71" s="268">
        <v>105</v>
      </c>
      <c r="K71" s="268">
        <v>63</v>
      </c>
      <c r="L71" s="268">
        <v>102</v>
      </c>
      <c r="M71" s="268">
        <v>93</v>
      </c>
      <c r="N71" s="268">
        <v>94</v>
      </c>
      <c r="O71" s="268">
        <v>95</v>
      </c>
      <c r="P71" s="268">
        <v>76</v>
      </c>
      <c r="Q71" s="268">
        <v>100</v>
      </c>
      <c r="R71" s="268">
        <v>71</v>
      </c>
      <c r="S71" s="268">
        <v>94</v>
      </c>
      <c r="T71" s="268">
        <v>132</v>
      </c>
      <c r="U71" s="268">
        <v>91</v>
      </c>
      <c r="V71" s="268">
        <f>SUM(D71:O71)</f>
        <v>1090</v>
      </c>
      <c r="W71" s="268">
        <f>SUM(J71:U71)</f>
        <v>1116</v>
      </c>
    </row>
    <row r="72" spans="1:23" x14ac:dyDescent="0.25">
      <c r="A72" s="513" t="s">
        <v>174</v>
      </c>
      <c r="B72" s="603" t="s">
        <v>175</v>
      </c>
      <c r="C72" s="603" t="s">
        <v>268</v>
      </c>
      <c r="D72" s="268">
        <v>38</v>
      </c>
      <c r="E72" s="268">
        <v>74</v>
      </c>
      <c r="F72" s="268">
        <v>69</v>
      </c>
      <c r="G72" s="268">
        <v>71</v>
      </c>
      <c r="H72" s="268">
        <v>57</v>
      </c>
      <c r="I72" s="268">
        <v>71</v>
      </c>
      <c r="J72" s="268">
        <v>62</v>
      </c>
      <c r="K72" s="268">
        <v>62</v>
      </c>
      <c r="L72" s="268">
        <v>55</v>
      </c>
      <c r="M72" s="268">
        <v>51</v>
      </c>
      <c r="N72" s="268">
        <v>54</v>
      </c>
      <c r="O72" s="268">
        <v>68</v>
      </c>
      <c r="P72" s="268">
        <v>63</v>
      </c>
      <c r="Q72" s="268">
        <v>55</v>
      </c>
      <c r="R72" s="268">
        <v>57</v>
      </c>
      <c r="S72" s="268">
        <v>69</v>
      </c>
      <c r="T72" s="268">
        <v>73</v>
      </c>
      <c r="U72" s="268">
        <v>76</v>
      </c>
      <c r="V72" s="268">
        <f>SUM(D72:O72)</f>
        <v>732</v>
      </c>
      <c r="W72" s="268">
        <f>SUM(J72:U72)</f>
        <v>745</v>
      </c>
    </row>
    <row r="73" spans="1:23" x14ac:dyDescent="0.25">
      <c r="A73" s="513" t="s">
        <v>178</v>
      </c>
      <c r="B73" s="603" t="s">
        <v>179</v>
      </c>
      <c r="C73" s="603" t="s">
        <v>265</v>
      </c>
      <c r="D73" s="268">
        <v>189</v>
      </c>
      <c r="E73" s="268">
        <v>233</v>
      </c>
      <c r="F73" s="268">
        <v>225</v>
      </c>
      <c r="G73" s="268">
        <v>181</v>
      </c>
      <c r="H73" s="268">
        <v>241</v>
      </c>
      <c r="I73" s="268">
        <v>199</v>
      </c>
      <c r="J73" s="268">
        <v>254</v>
      </c>
      <c r="K73" s="268">
        <v>201</v>
      </c>
      <c r="L73" s="268">
        <v>214</v>
      </c>
      <c r="M73" s="268">
        <v>180</v>
      </c>
      <c r="N73" s="268">
        <v>175</v>
      </c>
      <c r="O73" s="268">
        <v>184</v>
      </c>
      <c r="P73" s="268">
        <v>179</v>
      </c>
      <c r="Q73" s="268">
        <v>194</v>
      </c>
      <c r="R73" s="268">
        <v>172</v>
      </c>
      <c r="S73" s="268">
        <v>199</v>
      </c>
      <c r="T73" s="268">
        <v>299</v>
      </c>
      <c r="U73" s="268">
        <v>217</v>
      </c>
      <c r="V73" s="268">
        <f>SUM(D73:O73)</f>
        <v>2476</v>
      </c>
      <c r="W73" s="268">
        <f>SUM(J73:U73)</f>
        <v>2468</v>
      </c>
    </row>
    <row r="74" spans="1:23" x14ac:dyDescent="0.25">
      <c r="A74" s="513" t="s">
        <v>182</v>
      </c>
      <c r="B74" s="603" t="s">
        <v>183</v>
      </c>
      <c r="C74" s="603" t="s">
        <v>266</v>
      </c>
      <c r="D74" s="268">
        <v>39</v>
      </c>
      <c r="E74" s="268">
        <v>36</v>
      </c>
      <c r="F74" s="268">
        <v>60</v>
      </c>
      <c r="G74" s="268">
        <v>37</v>
      </c>
      <c r="H74" s="268">
        <v>80</v>
      </c>
      <c r="I74" s="268">
        <v>61</v>
      </c>
      <c r="J74" s="268">
        <v>68</v>
      </c>
      <c r="K74" s="268">
        <v>46</v>
      </c>
      <c r="L74" s="268">
        <v>42</v>
      </c>
      <c r="M74" s="268">
        <v>28</v>
      </c>
      <c r="N74" s="268">
        <v>47</v>
      </c>
      <c r="O74" s="268">
        <v>52</v>
      </c>
      <c r="P74" s="268">
        <v>39</v>
      </c>
      <c r="Q74" s="268">
        <v>39</v>
      </c>
      <c r="R74" s="268">
        <v>47</v>
      </c>
      <c r="S74" s="268">
        <v>53</v>
      </c>
      <c r="T74" s="268">
        <v>123</v>
      </c>
      <c r="U74" s="268">
        <v>82</v>
      </c>
      <c r="V74" s="268">
        <f>SUM(D74:O74)</f>
        <v>596</v>
      </c>
      <c r="W74" s="268">
        <f>SUM(J74:U74)</f>
        <v>666</v>
      </c>
    </row>
    <row r="75" spans="1:23" x14ac:dyDescent="0.25">
      <c r="A75" s="513" t="s">
        <v>184</v>
      </c>
      <c r="B75" s="603" t="s">
        <v>185</v>
      </c>
      <c r="C75" s="603" t="s">
        <v>266</v>
      </c>
      <c r="D75" s="268">
        <v>55</v>
      </c>
      <c r="E75" s="268">
        <v>74</v>
      </c>
      <c r="F75" s="268">
        <v>54</v>
      </c>
      <c r="G75" s="268">
        <v>71</v>
      </c>
      <c r="H75" s="268">
        <v>85</v>
      </c>
      <c r="I75" s="268">
        <v>76</v>
      </c>
      <c r="J75" s="268">
        <v>66</v>
      </c>
      <c r="K75" s="268">
        <v>60</v>
      </c>
      <c r="L75" s="268">
        <v>81</v>
      </c>
      <c r="M75" s="268">
        <v>66</v>
      </c>
      <c r="N75" s="268">
        <v>57</v>
      </c>
      <c r="O75" s="268">
        <v>79</v>
      </c>
      <c r="P75" s="268">
        <v>58</v>
      </c>
      <c r="Q75" s="268">
        <v>76</v>
      </c>
      <c r="R75" s="268">
        <v>51</v>
      </c>
      <c r="S75" s="268">
        <v>74</v>
      </c>
      <c r="T75" s="268">
        <v>113</v>
      </c>
      <c r="U75" s="268">
        <v>74</v>
      </c>
      <c r="V75" s="268">
        <f>SUM(D75:O75)</f>
        <v>824</v>
      </c>
      <c r="W75" s="268">
        <f>SUM(J75:U75)</f>
        <v>855</v>
      </c>
    </row>
    <row r="76" spans="1:23" x14ac:dyDescent="0.25">
      <c r="A76" s="513" t="s">
        <v>186</v>
      </c>
      <c r="B76" s="603" t="s">
        <v>187</v>
      </c>
      <c r="C76" s="603" t="s">
        <v>264</v>
      </c>
      <c r="D76" s="268">
        <v>84</v>
      </c>
      <c r="E76" s="268">
        <v>108</v>
      </c>
      <c r="F76" s="268">
        <v>100</v>
      </c>
      <c r="G76" s="268">
        <v>72</v>
      </c>
      <c r="H76" s="268">
        <v>111</v>
      </c>
      <c r="I76" s="268">
        <v>108</v>
      </c>
      <c r="J76" s="268">
        <v>127</v>
      </c>
      <c r="K76" s="268">
        <v>68</v>
      </c>
      <c r="L76" s="268">
        <v>84</v>
      </c>
      <c r="M76" s="268">
        <v>75</v>
      </c>
      <c r="N76" s="268">
        <v>74</v>
      </c>
      <c r="O76" s="268">
        <v>90</v>
      </c>
      <c r="P76" s="268">
        <v>81</v>
      </c>
      <c r="Q76" s="268">
        <v>72</v>
      </c>
      <c r="R76" s="268">
        <v>89</v>
      </c>
      <c r="S76" s="268">
        <v>83</v>
      </c>
      <c r="T76" s="268">
        <v>155</v>
      </c>
      <c r="U76" s="268">
        <v>82</v>
      </c>
      <c r="V76" s="268">
        <f>SUM(D76:O76)</f>
        <v>1101</v>
      </c>
      <c r="W76" s="268">
        <f>SUM(J76:U76)</f>
        <v>1080</v>
      </c>
    </row>
    <row r="77" spans="1:23" x14ac:dyDescent="0.25">
      <c r="A77" s="513" t="s">
        <v>188</v>
      </c>
      <c r="B77" s="603" t="s">
        <v>189</v>
      </c>
      <c r="C77" s="603" t="s">
        <v>267</v>
      </c>
      <c r="D77" s="268">
        <v>1259</v>
      </c>
      <c r="E77" s="268">
        <v>1467</v>
      </c>
      <c r="F77" s="268">
        <v>1423</v>
      </c>
      <c r="G77" s="268">
        <v>1435</v>
      </c>
      <c r="H77" s="268">
        <v>1972</v>
      </c>
      <c r="I77" s="268">
        <v>2311</v>
      </c>
      <c r="J77" s="268">
        <v>2078</v>
      </c>
      <c r="K77" s="268">
        <v>1396</v>
      </c>
      <c r="L77" s="268">
        <v>1538</v>
      </c>
      <c r="M77" s="268">
        <v>1115</v>
      </c>
      <c r="N77" s="268">
        <v>1332</v>
      </c>
      <c r="O77" s="268">
        <v>1254</v>
      </c>
      <c r="P77" s="268">
        <v>1293</v>
      </c>
      <c r="Q77" s="268">
        <v>1538</v>
      </c>
      <c r="R77" s="268">
        <v>1504</v>
      </c>
      <c r="S77" s="268">
        <v>1452</v>
      </c>
      <c r="T77" s="268">
        <v>2715</v>
      </c>
      <c r="U77" s="268">
        <v>2041</v>
      </c>
      <c r="V77" s="268">
        <f>SUM(D77:O77)</f>
        <v>18580</v>
      </c>
      <c r="W77" s="268">
        <f>SUM(J77:U77)</f>
        <v>19256</v>
      </c>
    </row>
    <row r="78" spans="1:23" x14ac:dyDescent="0.25">
      <c r="A78" s="513" t="s">
        <v>190</v>
      </c>
      <c r="B78" s="603" t="s">
        <v>191</v>
      </c>
      <c r="C78" s="603" t="s">
        <v>268</v>
      </c>
      <c r="D78" s="268">
        <v>96</v>
      </c>
      <c r="E78" s="268">
        <v>146</v>
      </c>
      <c r="F78" s="268">
        <v>101</v>
      </c>
      <c r="G78" s="268">
        <v>113</v>
      </c>
      <c r="H78" s="268">
        <v>133</v>
      </c>
      <c r="I78" s="268">
        <v>117</v>
      </c>
      <c r="J78" s="268">
        <v>158</v>
      </c>
      <c r="K78" s="268">
        <v>127</v>
      </c>
      <c r="L78" s="268">
        <v>105</v>
      </c>
      <c r="M78" s="268">
        <v>100</v>
      </c>
      <c r="N78" s="268">
        <v>136</v>
      </c>
      <c r="O78" s="268">
        <v>123</v>
      </c>
      <c r="P78" s="268">
        <v>118</v>
      </c>
      <c r="Q78" s="268">
        <v>117</v>
      </c>
      <c r="R78" s="268">
        <v>95</v>
      </c>
      <c r="S78" s="268">
        <v>118</v>
      </c>
      <c r="T78" s="268">
        <v>146</v>
      </c>
      <c r="U78" s="268">
        <v>109</v>
      </c>
      <c r="V78" s="268">
        <f>SUM(D78:O78)</f>
        <v>1455</v>
      </c>
      <c r="W78" s="268">
        <f>SUM(J78:U78)</f>
        <v>1452</v>
      </c>
    </row>
    <row r="79" spans="1:23" x14ac:dyDescent="0.25">
      <c r="A79" s="513" t="s">
        <v>194</v>
      </c>
      <c r="B79" s="603" t="s">
        <v>195</v>
      </c>
      <c r="C79" s="603" t="s">
        <v>267</v>
      </c>
      <c r="D79" s="268">
        <v>11</v>
      </c>
      <c r="E79" s="268">
        <v>23</v>
      </c>
      <c r="F79" s="268">
        <v>21</v>
      </c>
      <c r="G79" s="268">
        <v>26</v>
      </c>
      <c r="H79" s="268">
        <v>34</v>
      </c>
      <c r="I79" s="268">
        <v>32</v>
      </c>
      <c r="J79" s="268">
        <v>41</v>
      </c>
      <c r="K79" s="268">
        <v>19</v>
      </c>
      <c r="L79" s="268">
        <v>23</v>
      </c>
      <c r="M79" s="268">
        <v>18</v>
      </c>
      <c r="N79" s="268">
        <v>18</v>
      </c>
      <c r="O79" s="268">
        <v>21</v>
      </c>
      <c r="P79" s="268">
        <v>13</v>
      </c>
      <c r="Q79" s="268">
        <v>26</v>
      </c>
      <c r="R79" s="268">
        <v>30</v>
      </c>
      <c r="S79" s="268">
        <v>18</v>
      </c>
      <c r="T79" s="268">
        <v>32</v>
      </c>
      <c r="U79" s="268">
        <v>31</v>
      </c>
      <c r="V79" s="268">
        <f>SUM(D79:O79)</f>
        <v>287</v>
      </c>
      <c r="W79" s="268">
        <f>SUM(J79:U79)</f>
        <v>290</v>
      </c>
    </row>
    <row r="80" spans="1:23" x14ac:dyDescent="0.25">
      <c r="A80" s="513" t="s">
        <v>198</v>
      </c>
      <c r="B80" s="603" t="s">
        <v>272</v>
      </c>
      <c r="C80" s="603" t="s">
        <v>266</v>
      </c>
      <c r="D80" s="268">
        <v>39</v>
      </c>
      <c r="E80" s="268">
        <v>37</v>
      </c>
      <c r="F80" s="268">
        <v>49</v>
      </c>
      <c r="G80" s="268">
        <v>46</v>
      </c>
      <c r="H80" s="268">
        <v>48</v>
      </c>
      <c r="I80" s="268">
        <v>48</v>
      </c>
      <c r="J80" s="268">
        <v>46</v>
      </c>
      <c r="K80" s="268">
        <v>29</v>
      </c>
      <c r="L80" s="268">
        <v>31</v>
      </c>
      <c r="M80" s="268">
        <v>28</v>
      </c>
      <c r="N80" s="268">
        <v>38</v>
      </c>
      <c r="O80" s="268">
        <v>37</v>
      </c>
      <c r="P80" s="268">
        <v>27</v>
      </c>
      <c r="Q80" s="268">
        <v>21</v>
      </c>
      <c r="R80" s="268">
        <v>31</v>
      </c>
      <c r="S80" s="268">
        <v>35</v>
      </c>
      <c r="T80" s="268">
        <v>62</v>
      </c>
      <c r="U80" s="268">
        <v>31</v>
      </c>
      <c r="V80" s="268">
        <f>SUM(D80:O80)</f>
        <v>476</v>
      </c>
      <c r="W80" s="268">
        <f>SUM(J80:U80)</f>
        <v>416</v>
      </c>
    </row>
    <row r="81" spans="1:23" x14ac:dyDescent="0.25">
      <c r="A81" s="513" t="s">
        <v>202</v>
      </c>
      <c r="B81" s="603" t="s">
        <v>301</v>
      </c>
      <c r="C81" s="603" t="s">
        <v>265</v>
      </c>
      <c r="D81" s="268">
        <v>279</v>
      </c>
      <c r="E81" s="268">
        <v>362</v>
      </c>
      <c r="F81" s="268">
        <v>295</v>
      </c>
      <c r="G81" s="268">
        <v>313</v>
      </c>
      <c r="H81" s="268">
        <v>386</v>
      </c>
      <c r="I81" s="268">
        <v>436</v>
      </c>
      <c r="J81" s="268">
        <v>415</v>
      </c>
      <c r="K81" s="268">
        <v>268</v>
      </c>
      <c r="L81" s="268">
        <v>310</v>
      </c>
      <c r="M81" s="268">
        <v>284</v>
      </c>
      <c r="N81" s="268">
        <v>287</v>
      </c>
      <c r="O81" s="268">
        <v>247</v>
      </c>
      <c r="P81" s="268">
        <v>294</v>
      </c>
      <c r="Q81" s="268">
        <v>299</v>
      </c>
      <c r="R81" s="268">
        <v>329</v>
      </c>
      <c r="S81" s="268">
        <v>278</v>
      </c>
      <c r="T81" s="268">
        <v>536</v>
      </c>
      <c r="U81" s="268">
        <v>382</v>
      </c>
      <c r="V81" s="268">
        <f>SUM(D81:O81)</f>
        <v>3882</v>
      </c>
      <c r="W81" s="268">
        <f>SUM(J81:U81)</f>
        <v>3929</v>
      </c>
    </row>
    <row r="82" spans="1:23" x14ac:dyDescent="0.25">
      <c r="A82" s="513" t="s">
        <v>204</v>
      </c>
      <c r="B82" s="603" t="s">
        <v>293</v>
      </c>
      <c r="C82" s="603" t="s">
        <v>265</v>
      </c>
      <c r="D82" s="268">
        <v>81</v>
      </c>
      <c r="E82" s="268">
        <v>129</v>
      </c>
      <c r="F82" s="268">
        <v>97</v>
      </c>
      <c r="G82" s="268">
        <v>105</v>
      </c>
      <c r="H82" s="268">
        <v>104</v>
      </c>
      <c r="I82" s="268">
        <v>117</v>
      </c>
      <c r="J82" s="268">
        <v>117</v>
      </c>
      <c r="K82" s="268">
        <v>82</v>
      </c>
      <c r="L82" s="268">
        <v>81</v>
      </c>
      <c r="M82" s="268">
        <v>77</v>
      </c>
      <c r="N82" s="268">
        <v>100</v>
      </c>
      <c r="O82" s="268">
        <v>84</v>
      </c>
      <c r="P82" s="268">
        <v>86</v>
      </c>
      <c r="Q82" s="268">
        <v>98</v>
      </c>
      <c r="R82" s="268">
        <v>80</v>
      </c>
      <c r="S82" s="268">
        <v>87</v>
      </c>
      <c r="T82" s="268">
        <v>164</v>
      </c>
      <c r="U82" s="268">
        <v>126</v>
      </c>
      <c r="V82" s="268">
        <f>SUM(D82:O82)</f>
        <v>1174</v>
      </c>
      <c r="W82" s="268">
        <f>SUM(J82:U82)</f>
        <v>1182</v>
      </c>
    </row>
    <row r="83" spans="1:23" x14ac:dyDescent="0.25">
      <c r="A83" s="513" t="s">
        <v>206</v>
      </c>
      <c r="B83" s="603" t="s">
        <v>294</v>
      </c>
      <c r="C83" s="603" t="s">
        <v>267</v>
      </c>
      <c r="D83" s="268">
        <v>371</v>
      </c>
      <c r="E83" s="268">
        <v>399</v>
      </c>
      <c r="F83" s="268">
        <v>343</v>
      </c>
      <c r="G83" s="268">
        <v>333</v>
      </c>
      <c r="H83" s="268">
        <v>401</v>
      </c>
      <c r="I83" s="268">
        <v>458</v>
      </c>
      <c r="J83" s="268">
        <v>458</v>
      </c>
      <c r="K83" s="268">
        <v>284</v>
      </c>
      <c r="L83" s="268">
        <v>368</v>
      </c>
      <c r="M83" s="268">
        <v>287</v>
      </c>
      <c r="N83" s="268">
        <v>344</v>
      </c>
      <c r="O83" s="268">
        <v>303</v>
      </c>
      <c r="P83" s="268">
        <v>328</v>
      </c>
      <c r="Q83" s="268">
        <v>367</v>
      </c>
      <c r="R83" s="268">
        <v>323</v>
      </c>
      <c r="S83" s="268">
        <v>335</v>
      </c>
      <c r="T83" s="268">
        <v>591</v>
      </c>
      <c r="U83" s="268">
        <v>433</v>
      </c>
      <c r="V83" s="268">
        <f>SUM(D83:O83)</f>
        <v>4349</v>
      </c>
      <c r="W83" s="268">
        <f>SUM(J83:U83)</f>
        <v>4421</v>
      </c>
    </row>
    <row r="84" spans="1:23" x14ac:dyDescent="0.25">
      <c r="A84" s="513" t="s">
        <v>208</v>
      </c>
      <c r="B84" s="603" t="s">
        <v>209</v>
      </c>
      <c r="C84" s="603" t="s">
        <v>268</v>
      </c>
      <c r="D84" s="268">
        <v>99</v>
      </c>
      <c r="E84" s="268">
        <v>101</v>
      </c>
      <c r="F84" s="268">
        <v>91</v>
      </c>
      <c r="G84" s="268">
        <v>102</v>
      </c>
      <c r="H84" s="268">
        <v>118</v>
      </c>
      <c r="I84" s="268">
        <v>116</v>
      </c>
      <c r="J84" s="268">
        <v>107</v>
      </c>
      <c r="K84" s="268">
        <v>80</v>
      </c>
      <c r="L84" s="268">
        <v>103</v>
      </c>
      <c r="M84" s="268">
        <v>89</v>
      </c>
      <c r="N84" s="268">
        <v>99</v>
      </c>
      <c r="O84" s="268">
        <v>95</v>
      </c>
      <c r="P84" s="268">
        <v>94</v>
      </c>
      <c r="Q84" s="268">
        <v>131</v>
      </c>
      <c r="R84" s="268">
        <v>77</v>
      </c>
      <c r="S84" s="268">
        <v>97</v>
      </c>
      <c r="T84" s="268">
        <v>156</v>
      </c>
      <c r="U84" s="268">
        <v>121</v>
      </c>
      <c r="V84" s="268">
        <f>SUM(D84:O84)</f>
        <v>1200</v>
      </c>
      <c r="W84" s="268">
        <f>SUM(J84:U84)</f>
        <v>1249</v>
      </c>
    </row>
    <row r="85" spans="1:23" x14ac:dyDescent="0.25">
      <c r="A85" s="513" t="s">
        <v>210</v>
      </c>
      <c r="B85" s="603" t="s">
        <v>211</v>
      </c>
      <c r="C85" s="603" t="s">
        <v>268</v>
      </c>
      <c r="D85" s="268">
        <v>69</v>
      </c>
      <c r="E85" s="268">
        <v>83</v>
      </c>
      <c r="F85" s="268">
        <v>75</v>
      </c>
      <c r="G85" s="268">
        <v>93</v>
      </c>
      <c r="H85" s="268">
        <v>89</v>
      </c>
      <c r="I85" s="268">
        <v>86</v>
      </c>
      <c r="J85" s="268">
        <v>85</v>
      </c>
      <c r="K85" s="268">
        <v>69</v>
      </c>
      <c r="L85" s="268">
        <v>77</v>
      </c>
      <c r="M85" s="268">
        <v>70</v>
      </c>
      <c r="N85" s="268">
        <v>76</v>
      </c>
      <c r="O85" s="268">
        <v>78</v>
      </c>
      <c r="P85" s="268">
        <v>71</v>
      </c>
      <c r="Q85" s="268">
        <v>99</v>
      </c>
      <c r="R85" s="268">
        <v>86</v>
      </c>
      <c r="S85" s="268">
        <v>76</v>
      </c>
      <c r="T85" s="268">
        <v>98</v>
      </c>
      <c r="U85" s="268">
        <v>74</v>
      </c>
      <c r="V85" s="268">
        <f>SUM(D85:O85)</f>
        <v>950</v>
      </c>
      <c r="W85" s="268">
        <f>SUM(J85:U85)</f>
        <v>959</v>
      </c>
    </row>
    <row r="86" spans="1:23" x14ac:dyDescent="0.25">
      <c r="A86" s="513" t="s">
        <v>212</v>
      </c>
      <c r="B86" s="603" t="s">
        <v>213</v>
      </c>
      <c r="C86" s="603" t="s">
        <v>267</v>
      </c>
      <c r="D86" s="268">
        <v>132</v>
      </c>
      <c r="E86" s="268">
        <v>129</v>
      </c>
      <c r="F86" s="268">
        <v>139</v>
      </c>
      <c r="G86" s="268">
        <v>161</v>
      </c>
      <c r="H86" s="268">
        <v>204</v>
      </c>
      <c r="I86" s="268">
        <v>204</v>
      </c>
      <c r="J86" s="268">
        <v>184</v>
      </c>
      <c r="K86" s="268">
        <v>156</v>
      </c>
      <c r="L86" s="268">
        <v>141</v>
      </c>
      <c r="M86" s="268">
        <v>103</v>
      </c>
      <c r="N86" s="268">
        <v>164</v>
      </c>
      <c r="O86" s="268">
        <v>152</v>
      </c>
      <c r="P86" s="268">
        <v>144</v>
      </c>
      <c r="Q86" s="268">
        <v>157</v>
      </c>
      <c r="R86" s="268">
        <v>135</v>
      </c>
      <c r="S86" s="268">
        <v>139</v>
      </c>
      <c r="T86" s="268">
        <v>229</v>
      </c>
      <c r="U86" s="268">
        <v>140</v>
      </c>
      <c r="V86" s="268">
        <f>SUM(D86:O86)</f>
        <v>1869</v>
      </c>
      <c r="W86" s="268">
        <f>SUM(J86:U86)</f>
        <v>1844</v>
      </c>
    </row>
    <row r="87" spans="1:23" x14ac:dyDescent="0.25">
      <c r="A87" s="513" t="s">
        <v>214</v>
      </c>
      <c r="B87" s="603" t="s">
        <v>215</v>
      </c>
      <c r="C87" s="603" t="s">
        <v>268</v>
      </c>
      <c r="D87" s="268">
        <v>83</v>
      </c>
      <c r="E87" s="268">
        <v>128</v>
      </c>
      <c r="F87" s="268">
        <v>92</v>
      </c>
      <c r="G87" s="268">
        <v>112</v>
      </c>
      <c r="H87" s="268">
        <v>130</v>
      </c>
      <c r="I87" s="268">
        <v>129</v>
      </c>
      <c r="J87" s="268">
        <v>127</v>
      </c>
      <c r="K87" s="268">
        <v>103</v>
      </c>
      <c r="L87" s="268">
        <v>136</v>
      </c>
      <c r="M87" s="268">
        <v>105</v>
      </c>
      <c r="N87" s="268">
        <v>110</v>
      </c>
      <c r="O87" s="268">
        <v>129</v>
      </c>
      <c r="P87" s="268">
        <v>108</v>
      </c>
      <c r="Q87" s="268">
        <v>141</v>
      </c>
      <c r="R87" s="268">
        <v>117</v>
      </c>
      <c r="S87" s="268">
        <v>114</v>
      </c>
      <c r="T87" s="268">
        <v>184</v>
      </c>
      <c r="U87" s="268">
        <v>123</v>
      </c>
      <c r="V87" s="268">
        <f>SUM(D87:O87)</f>
        <v>1384</v>
      </c>
      <c r="W87" s="268">
        <f>SUM(J87:U87)</f>
        <v>1497</v>
      </c>
    </row>
    <row r="88" spans="1:23" x14ac:dyDescent="0.25">
      <c r="A88" s="513" t="s">
        <v>216</v>
      </c>
      <c r="B88" s="603" t="s">
        <v>217</v>
      </c>
      <c r="C88" s="603" t="s">
        <v>264</v>
      </c>
      <c r="D88" s="268">
        <v>60</v>
      </c>
      <c r="E88" s="268">
        <v>66</v>
      </c>
      <c r="F88" s="268">
        <v>81</v>
      </c>
      <c r="G88" s="268">
        <v>55</v>
      </c>
      <c r="H88" s="268">
        <v>80</v>
      </c>
      <c r="I88" s="268">
        <v>52</v>
      </c>
      <c r="J88" s="268">
        <v>75</v>
      </c>
      <c r="K88" s="268">
        <v>59</v>
      </c>
      <c r="L88" s="268">
        <v>68</v>
      </c>
      <c r="M88" s="268">
        <v>52</v>
      </c>
      <c r="N88" s="268">
        <v>53</v>
      </c>
      <c r="O88" s="268">
        <v>56</v>
      </c>
      <c r="P88" s="268">
        <v>70</v>
      </c>
      <c r="Q88" s="268">
        <v>67</v>
      </c>
      <c r="R88" s="268">
        <v>53</v>
      </c>
      <c r="S88" s="268">
        <v>58</v>
      </c>
      <c r="T88" s="268">
        <v>84</v>
      </c>
      <c r="U88" s="268">
        <v>57</v>
      </c>
      <c r="V88" s="268">
        <f>SUM(D88:O88)</f>
        <v>757</v>
      </c>
      <c r="W88" s="268">
        <f>SUM(J88:U88)</f>
        <v>752</v>
      </c>
    </row>
    <row r="89" spans="1:23" x14ac:dyDescent="0.25">
      <c r="A89" s="513" t="s">
        <v>218</v>
      </c>
      <c r="B89" s="603" t="s">
        <v>219</v>
      </c>
      <c r="C89" s="603" t="s">
        <v>267</v>
      </c>
      <c r="D89" s="268">
        <v>341</v>
      </c>
      <c r="E89" s="268">
        <v>372</v>
      </c>
      <c r="F89" s="268">
        <v>347</v>
      </c>
      <c r="G89" s="268">
        <v>370</v>
      </c>
      <c r="H89" s="268">
        <v>462</v>
      </c>
      <c r="I89" s="268">
        <v>495</v>
      </c>
      <c r="J89" s="268">
        <v>495</v>
      </c>
      <c r="K89" s="268">
        <v>323</v>
      </c>
      <c r="L89" s="268">
        <v>382</v>
      </c>
      <c r="M89" s="268">
        <v>338</v>
      </c>
      <c r="N89" s="268">
        <v>382</v>
      </c>
      <c r="O89" s="268">
        <v>380</v>
      </c>
      <c r="P89" s="268">
        <v>376</v>
      </c>
      <c r="Q89" s="268">
        <v>442</v>
      </c>
      <c r="R89" s="268">
        <v>423</v>
      </c>
      <c r="S89" s="268">
        <v>432</v>
      </c>
      <c r="T89" s="268">
        <v>690</v>
      </c>
      <c r="U89" s="268">
        <v>502</v>
      </c>
      <c r="V89" s="268">
        <f>SUM(D89:O89)</f>
        <v>4687</v>
      </c>
      <c r="W89" s="268">
        <f>SUM(J89:U89)</f>
        <v>5165</v>
      </c>
    </row>
    <row r="90" spans="1:23" x14ac:dyDescent="0.25">
      <c r="A90" s="513" t="s">
        <v>220</v>
      </c>
      <c r="B90" s="603" t="s">
        <v>221</v>
      </c>
      <c r="C90" s="603" t="s">
        <v>267</v>
      </c>
      <c r="D90" s="268">
        <v>336</v>
      </c>
      <c r="E90" s="268">
        <v>352</v>
      </c>
      <c r="F90" s="268">
        <v>415</v>
      </c>
      <c r="G90" s="268">
        <v>410</v>
      </c>
      <c r="H90" s="268">
        <v>461</v>
      </c>
      <c r="I90" s="268">
        <v>473</v>
      </c>
      <c r="J90" s="268">
        <v>441</v>
      </c>
      <c r="K90" s="268">
        <v>317</v>
      </c>
      <c r="L90" s="268">
        <v>340</v>
      </c>
      <c r="M90" s="268">
        <v>315</v>
      </c>
      <c r="N90" s="268">
        <v>367</v>
      </c>
      <c r="O90" s="268">
        <v>324</v>
      </c>
      <c r="P90" s="268">
        <v>288</v>
      </c>
      <c r="Q90" s="268">
        <v>416</v>
      </c>
      <c r="R90" s="268">
        <v>354</v>
      </c>
      <c r="S90" s="268">
        <v>351</v>
      </c>
      <c r="T90" s="268">
        <v>598</v>
      </c>
      <c r="U90" s="268">
        <v>476</v>
      </c>
      <c r="V90" s="268">
        <f>SUM(D90:O90)</f>
        <v>4551</v>
      </c>
      <c r="W90" s="268">
        <f>SUM(J90:U90)</f>
        <v>4587</v>
      </c>
    </row>
    <row r="91" spans="1:23" x14ac:dyDescent="0.25">
      <c r="A91" s="513" t="s">
        <v>224</v>
      </c>
      <c r="B91" s="603" t="s">
        <v>225</v>
      </c>
      <c r="C91" s="603" t="s">
        <v>264</v>
      </c>
      <c r="D91" s="268">
        <v>14</v>
      </c>
      <c r="E91" s="268">
        <v>8</v>
      </c>
      <c r="F91" s="268">
        <v>21</v>
      </c>
      <c r="G91" s="268">
        <v>19</v>
      </c>
      <c r="H91" s="268">
        <v>41</v>
      </c>
      <c r="I91" s="268">
        <v>28</v>
      </c>
      <c r="J91" s="268">
        <v>37</v>
      </c>
      <c r="K91" s="268">
        <v>19</v>
      </c>
      <c r="L91" s="268">
        <v>24</v>
      </c>
      <c r="M91" s="268">
        <v>16</v>
      </c>
      <c r="N91" s="268">
        <v>18</v>
      </c>
      <c r="O91" s="268">
        <v>19</v>
      </c>
      <c r="P91" s="268">
        <v>15</v>
      </c>
      <c r="Q91" s="268">
        <v>24</v>
      </c>
      <c r="R91" s="268">
        <v>31</v>
      </c>
      <c r="S91" s="268">
        <v>21</v>
      </c>
      <c r="T91" s="268">
        <v>29</v>
      </c>
      <c r="U91" s="268">
        <v>23</v>
      </c>
      <c r="V91" s="268">
        <f>SUM(D91:O91)</f>
        <v>264</v>
      </c>
      <c r="W91" s="268">
        <f>SUM(J91:U91)</f>
        <v>276</v>
      </c>
    </row>
    <row r="92" spans="1:23" x14ac:dyDescent="0.25">
      <c r="A92" s="513" t="s">
        <v>226</v>
      </c>
      <c r="B92" s="603" t="s">
        <v>227</v>
      </c>
      <c r="C92" s="603" t="s">
        <v>264</v>
      </c>
      <c r="D92" s="268">
        <v>47</v>
      </c>
      <c r="E92" s="268">
        <v>39</v>
      </c>
      <c r="F92" s="268">
        <v>52</v>
      </c>
      <c r="G92" s="268">
        <v>54</v>
      </c>
      <c r="H92" s="268">
        <v>51</v>
      </c>
      <c r="I92" s="268">
        <v>40</v>
      </c>
      <c r="J92" s="268">
        <v>67</v>
      </c>
      <c r="K92" s="268">
        <v>42</v>
      </c>
      <c r="L92" s="268">
        <v>53</v>
      </c>
      <c r="M92" s="268">
        <v>42</v>
      </c>
      <c r="N92" s="268">
        <v>44</v>
      </c>
      <c r="O92" s="268">
        <v>31</v>
      </c>
      <c r="P92" s="268">
        <v>30</v>
      </c>
      <c r="Q92" s="268">
        <v>55</v>
      </c>
      <c r="R92" s="268">
        <v>60</v>
      </c>
      <c r="S92" s="268">
        <v>47</v>
      </c>
      <c r="T92" s="268">
        <v>60</v>
      </c>
      <c r="U92" s="268">
        <v>56</v>
      </c>
      <c r="V92" s="268">
        <f>SUM(D92:O92)</f>
        <v>562</v>
      </c>
      <c r="W92" s="268">
        <f>SUM(J92:U92)</f>
        <v>587</v>
      </c>
    </row>
    <row r="93" spans="1:23" x14ac:dyDescent="0.25">
      <c r="A93" s="513" t="s">
        <v>228</v>
      </c>
      <c r="B93" s="603" t="s">
        <v>229</v>
      </c>
      <c r="C93" s="603" t="s">
        <v>268</v>
      </c>
      <c r="D93" s="268">
        <v>176</v>
      </c>
      <c r="E93" s="268">
        <v>204</v>
      </c>
      <c r="F93" s="268">
        <v>189</v>
      </c>
      <c r="G93" s="268">
        <v>163</v>
      </c>
      <c r="H93" s="268">
        <v>196</v>
      </c>
      <c r="I93" s="268">
        <v>176</v>
      </c>
      <c r="J93" s="268">
        <v>239</v>
      </c>
      <c r="K93" s="268">
        <v>167</v>
      </c>
      <c r="L93" s="268">
        <v>159</v>
      </c>
      <c r="M93" s="268">
        <v>119</v>
      </c>
      <c r="N93" s="268">
        <v>141</v>
      </c>
      <c r="O93" s="268">
        <v>169</v>
      </c>
      <c r="P93" s="268">
        <v>150</v>
      </c>
      <c r="Q93" s="268">
        <v>173</v>
      </c>
      <c r="R93" s="268">
        <v>162</v>
      </c>
      <c r="S93" s="268">
        <v>164</v>
      </c>
      <c r="T93" s="268">
        <v>250</v>
      </c>
      <c r="U93" s="268">
        <v>173</v>
      </c>
      <c r="V93" s="268">
        <f>SUM(D93:O93)</f>
        <v>2098</v>
      </c>
      <c r="W93" s="268">
        <f>SUM(J93:U93)</f>
        <v>2066</v>
      </c>
    </row>
    <row r="94" spans="1:23" x14ac:dyDescent="0.25">
      <c r="A94" s="513" t="s">
        <v>232</v>
      </c>
      <c r="B94" s="603" t="s">
        <v>233</v>
      </c>
      <c r="C94" s="603" t="s">
        <v>267</v>
      </c>
      <c r="D94" s="268">
        <v>119</v>
      </c>
      <c r="E94" s="268">
        <v>131</v>
      </c>
      <c r="F94" s="268">
        <v>123</v>
      </c>
      <c r="G94" s="268">
        <v>119</v>
      </c>
      <c r="H94" s="268">
        <v>165</v>
      </c>
      <c r="I94" s="268">
        <v>186</v>
      </c>
      <c r="J94" s="268">
        <v>157</v>
      </c>
      <c r="K94" s="268">
        <v>129</v>
      </c>
      <c r="L94" s="268">
        <v>130</v>
      </c>
      <c r="M94" s="268">
        <v>104</v>
      </c>
      <c r="N94" s="268">
        <v>116</v>
      </c>
      <c r="O94" s="268">
        <v>128</v>
      </c>
      <c r="P94" s="268">
        <v>134</v>
      </c>
      <c r="Q94" s="268">
        <v>149</v>
      </c>
      <c r="R94" s="268">
        <v>99</v>
      </c>
      <c r="S94" s="268">
        <v>115</v>
      </c>
      <c r="T94" s="268">
        <v>156</v>
      </c>
      <c r="U94" s="268">
        <v>133</v>
      </c>
      <c r="V94" s="268">
        <f>SUM(D94:O94)</f>
        <v>1607</v>
      </c>
      <c r="W94" s="268">
        <f>SUM(J94:U94)</f>
        <v>1550</v>
      </c>
    </row>
    <row r="95" spans="1:23" x14ac:dyDescent="0.25">
      <c r="A95" s="513" t="s">
        <v>234</v>
      </c>
      <c r="B95" s="603" t="s">
        <v>235</v>
      </c>
      <c r="C95" s="603" t="s">
        <v>268</v>
      </c>
      <c r="D95" s="268">
        <v>195</v>
      </c>
      <c r="E95" s="268">
        <v>198</v>
      </c>
      <c r="F95" s="268">
        <v>158</v>
      </c>
      <c r="G95" s="268">
        <v>200</v>
      </c>
      <c r="H95" s="268">
        <v>221</v>
      </c>
      <c r="I95" s="268">
        <v>207</v>
      </c>
      <c r="J95" s="268">
        <v>208</v>
      </c>
      <c r="K95" s="268">
        <v>167</v>
      </c>
      <c r="L95" s="268">
        <v>192</v>
      </c>
      <c r="M95" s="268">
        <v>156</v>
      </c>
      <c r="N95" s="268">
        <v>129</v>
      </c>
      <c r="O95" s="268">
        <v>144</v>
      </c>
      <c r="P95" s="268">
        <v>161</v>
      </c>
      <c r="Q95" s="268">
        <v>230</v>
      </c>
      <c r="R95" s="268">
        <v>138</v>
      </c>
      <c r="S95" s="268">
        <v>177</v>
      </c>
      <c r="T95" s="268">
        <v>251</v>
      </c>
      <c r="U95" s="268">
        <v>180</v>
      </c>
      <c r="V95" s="268">
        <f>SUM(D95:O95)</f>
        <v>2175</v>
      </c>
      <c r="W95" s="268">
        <f>SUM(J95:U95)</f>
        <v>2133</v>
      </c>
    </row>
    <row r="96" spans="1:23" x14ac:dyDescent="0.25">
      <c r="A96" s="513" t="s">
        <v>236</v>
      </c>
      <c r="B96" s="603" t="s">
        <v>237</v>
      </c>
      <c r="C96" s="603" t="s">
        <v>266</v>
      </c>
      <c r="D96" s="268">
        <v>54</v>
      </c>
      <c r="E96" s="268">
        <v>80</v>
      </c>
      <c r="F96" s="268">
        <v>70</v>
      </c>
      <c r="G96" s="268">
        <v>67</v>
      </c>
      <c r="H96" s="268">
        <v>85</v>
      </c>
      <c r="I96" s="268">
        <v>80</v>
      </c>
      <c r="J96" s="268">
        <v>102</v>
      </c>
      <c r="K96" s="268">
        <v>63</v>
      </c>
      <c r="L96" s="268">
        <v>100</v>
      </c>
      <c r="M96" s="268">
        <v>56</v>
      </c>
      <c r="N96" s="268">
        <v>63</v>
      </c>
      <c r="O96" s="268">
        <v>46</v>
      </c>
      <c r="P96" s="268">
        <v>58</v>
      </c>
      <c r="Q96" s="268">
        <v>72</v>
      </c>
      <c r="R96" s="268">
        <v>66</v>
      </c>
      <c r="S96" s="268">
        <v>78</v>
      </c>
      <c r="T96" s="268">
        <v>118</v>
      </c>
      <c r="U96" s="268">
        <v>68</v>
      </c>
      <c r="V96" s="268">
        <f>SUM(D96:O96)</f>
        <v>866</v>
      </c>
      <c r="W96" s="268">
        <f>SUM(J96:U96)</f>
        <v>890</v>
      </c>
    </row>
    <row r="97" spans="1:23" x14ac:dyDescent="0.25">
      <c r="A97" s="513" t="s">
        <v>242</v>
      </c>
      <c r="B97" s="603" t="s">
        <v>243</v>
      </c>
      <c r="C97" s="603" t="s">
        <v>268</v>
      </c>
      <c r="D97" s="268">
        <v>152</v>
      </c>
      <c r="E97" s="268">
        <v>160</v>
      </c>
      <c r="F97" s="268">
        <v>151</v>
      </c>
      <c r="G97" s="268">
        <v>164</v>
      </c>
      <c r="H97" s="268">
        <v>159</v>
      </c>
      <c r="I97" s="268">
        <v>143</v>
      </c>
      <c r="J97" s="268">
        <v>187</v>
      </c>
      <c r="K97" s="268">
        <v>149</v>
      </c>
      <c r="L97" s="268">
        <v>189</v>
      </c>
      <c r="M97" s="268">
        <v>147</v>
      </c>
      <c r="N97" s="268">
        <v>157</v>
      </c>
      <c r="O97" s="268">
        <v>126</v>
      </c>
      <c r="P97" s="268">
        <v>110</v>
      </c>
      <c r="Q97" s="268">
        <v>153</v>
      </c>
      <c r="R97" s="268">
        <v>138</v>
      </c>
      <c r="S97" s="268">
        <v>116</v>
      </c>
      <c r="T97" s="268">
        <v>183</v>
      </c>
      <c r="U97" s="268">
        <v>144</v>
      </c>
      <c r="V97" s="268">
        <f>SUM(D97:O97)</f>
        <v>1884</v>
      </c>
      <c r="W97" s="268">
        <f>SUM(J97:U97)</f>
        <v>1799</v>
      </c>
    </row>
    <row r="98" spans="1:23" x14ac:dyDescent="0.25">
      <c r="A98" s="513" t="s">
        <v>244</v>
      </c>
      <c r="B98" s="603" t="s">
        <v>245</v>
      </c>
      <c r="C98" s="603" t="s">
        <v>268</v>
      </c>
      <c r="D98" s="268">
        <v>106</v>
      </c>
      <c r="E98" s="268">
        <v>112</v>
      </c>
      <c r="F98" s="268">
        <v>124</v>
      </c>
      <c r="G98" s="268">
        <v>122</v>
      </c>
      <c r="H98" s="268">
        <v>139</v>
      </c>
      <c r="I98" s="268">
        <v>114</v>
      </c>
      <c r="J98" s="268">
        <v>143</v>
      </c>
      <c r="K98" s="268">
        <v>111</v>
      </c>
      <c r="L98" s="268">
        <v>123</v>
      </c>
      <c r="M98" s="268">
        <v>105</v>
      </c>
      <c r="N98" s="268">
        <v>108</v>
      </c>
      <c r="O98" s="268">
        <v>136</v>
      </c>
      <c r="P98" s="268">
        <v>101</v>
      </c>
      <c r="Q98" s="268">
        <v>128</v>
      </c>
      <c r="R98" s="268">
        <v>101</v>
      </c>
      <c r="S98" s="268">
        <v>122</v>
      </c>
      <c r="T98" s="268">
        <v>161</v>
      </c>
      <c r="U98" s="268">
        <v>101</v>
      </c>
      <c r="V98" s="268">
        <f>SUM(D98:O98)</f>
        <v>1443</v>
      </c>
      <c r="W98" s="268">
        <f>SUM(J98:U98)</f>
        <v>1440</v>
      </c>
    </row>
    <row r="99" spans="1:23" x14ac:dyDescent="0.25">
      <c r="A99" s="513" t="s">
        <v>246</v>
      </c>
      <c r="B99" s="603" t="s">
        <v>247</v>
      </c>
      <c r="C99" s="603" t="s">
        <v>264</v>
      </c>
      <c r="D99" s="268">
        <v>98</v>
      </c>
      <c r="E99" s="268">
        <v>132</v>
      </c>
      <c r="F99" s="268">
        <v>124</v>
      </c>
      <c r="G99" s="268">
        <v>128</v>
      </c>
      <c r="H99" s="268">
        <v>160</v>
      </c>
      <c r="I99" s="268">
        <v>165</v>
      </c>
      <c r="J99" s="268">
        <v>152</v>
      </c>
      <c r="K99" s="268">
        <v>123</v>
      </c>
      <c r="L99" s="268">
        <v>100</v>
      </c>
      <c r="M99" s="268">
        <v>103</v>
      </c>
      <c r="N99" s="268">
        <v>123</v>
      </c>
      <c r="O99" s="268">
        <v>111</v>
      </c>
      <c r="P99" s="268">
        <v>107</v>
      </c>
      <c r="Q99" s="268">
        <v>158</v>
      </c>
      <c r="R99" s="268">
        <v>126</v>
      </c>
      <c r="S99" s="268">
        <v>135</v>
      </c>
      <c r="T99" s="268">
        <v>251</v>
      </c>
      <c r="U99" s="268">
        <v>178</v>
      </c>
      <c r="V99" s="268">
        <f>SUM(D99:O99)</f>
        <v>1519</v>
      </c>
      <c r="W99" s="268">
        <f>SUM(J99:U99)</f>
        <v>1667</v>
      </c>
    </row>
    <row r="100" spans="1:23" x14ac:dyDescent="0.25">
      <c r="A100" s="513" t="s">
        <v>14</v>
      </c>
      <c r="B100" s="603" t="s">
        <v>15</v>
      </c>
      <c r="C100" s="603" t="s">
        <v>267</v>
      </c>
      <c r="D100" s="268">
        <v>419</v>
      </c>
      <c r="E100" s="268">
        <v>491</v>
      </c>
      <c r="F100" s="268">
        <v>500</v>
      </c>
      <c r="G100" s="268">
        <v>475</v>
      </c>
      <c r="H100" s="268">
        <v>628</v>
      </c>
      <c r="I100" s="268">
        <v>733</v>
      </c>
      <c r="J100" s="268">
        <v>657</v>
      </c>
      <c r="K100" s="268">
        <v>419</v>
      </c>
      <c r="L100" s="268">
        <v>487</v>
      </c>
      <c r="M100" s="268">
        <v>430</v>
      </c>
      <c r="N100" s="268">
        <v>492</v>
      </c>
      <c r="O100" s="268">
        <v>409</v>
      </c>
      <c r="P100" s="268">
        <v>405</v>
      </c>
      <c r="Q100" s="268">
        <v>484</v>
      </c>
      <c r="R100" s="268">
        <v>424</v>
      </c>
      <c r="S100" s="268">
        <v>447</v>
      </c>
      <c r="T100" s="268">
        <v>755</v>
      </c>
      <c r="U100" s="268">
        <v>640</v>
      </c>
      <c r="V100" s="268">
        <f>SUM(D100:O100)</f>
        <v>6140</v>
      </c>
      <c r="W100" s="268">
        <f>SUM(J100:U100)</f>
        <v>6049</v>
      </c>
    </row>
    <row r="101" spans="1:23" x14ac:dyDescent="0.25">
      <c r="A101" s="513" t="s">
        <v>34</v>
      </c>
      <c r="B101" s="603" t="s">
        <v>35</v>
      </c>
      <c r="C101" s="603" t="s">
        <v>268</v>
      </c>
      <c r="D101" s="268">
        <v>79</v>
      </c>
      <c r="E101" s="268">
        <v>113</v>
      </c>
      <c r="F101" s="268">
        <v>67</v>
      </c>
      <c r="G101" s="268">
        <v>87</v>
      </c>
      <c r="H101" s="268">
        <v>109</v>
      </c>
      <c r="I101" s="268">
        <v>106</v>
      </c>
      <c r="J101" s="268">
        <v>136</v>
      </c>
      <c r="K101" s="268">
        <v>78</v>
      </c>
      <c r="L101" s="268">
        <v>98</v>
      </c>
      <c r="M101" s="268">
        <v>86</v>
      </c>
      <c r="N101" s="268">
        <v>95</v>
      </c>
      <c r="O101" s="268">
        <v>84</v>
      </c>
      <c r="P101" s="268">
        <v>96</v>
      </c>
      <c r="Q101" s="268">
        <v>88</v>
      </c>
      <c r="R101" s="268">
        <v>84</v>
      </c>
      <c r="S101" s="268">
        <v>84</v>
      </c>
      <c r="T101" s="268">
        <v>137</v>
      </c>
      <c r="U101" s="268">
        <v>102</v>
      </c>
      <c r="V101" s="268">
        <f>SUM(D101:O101)</f>
        <v>1138</v>
      </c>
      <c r="W101" s="268">
        <f>SUM(J101:U101)</f>
        <v>1168</v>
      </c>
    </row>
    <row r="102" spans="1:23" x14ac:dyDescent="0.25">
      <c r="A102" s="513" t="s">
        <v>52</v>
      </c>
      <c r="B102" s="603" t="s">
        <v>53</v>
      </c>
      <c r="C102" s="603" t="s">
        <v>265</v>
      </c>
      <c r="D102" s="268">
        <v>139</v>
      </c>
      <c r="E102" s="268">
        <v>151</v>
      </c>
      <c r="F102" s="268">
        <v>130</v>
      </c>
      <c r="G102" s="268">
        <v>109</v>
      </c>
      <c r="H102" s="268">
        <v>154</v>
      </c>
      <c r="I102" s="268">
        <v>150</v>
      </c>
      <c r="J102" s="268">
        <v>136</v>
      </c>
      <c r="K102" s="268">
        <v>122</v>
      </c>
      <c r="L102" s="268">
        <v>127</v>
      </c>
      <c r="M102" s="268">
        <v>85</v>
      </c>
      <c r="N102" s="268">
        <v>105</v>
      </c>
      <c r="O102" s="268">
        <v>126</v>
      </c>
      <c r="P102" s="268">
        <v>121</v>
      </c>
      <c r="Q102" s="268">
        <v>119</v>
      </c>
      <c r="R102" s="268">
        <v>116</v>
      </c>
      <c r="S102" s="268">
        <v>121</v>
      </c>
      <c r="T102" s="268">
        <v>169</v>
      </c>
      <c r="U102" s="268">
        <v>154</v>
      </c>
      <c r="V102" s="268">
        <f>SUM(D102:O102)</f>
        <v>1534</v>
      </c>
      <c r="W102" s="268">
        <f>SUM(J102:U102)</f>
        <v>1501</v>
      </c>
    </row>
    <row r="103" spans="1:23" x14ac:dyDescent="0.25">
      <c r="A103" s="513" t="s">
        <v>54</v>
      </c>
      <c r="B103" s="603" t="s">
        <v>55</v>
      </c>
      <c r="C103" s="603" t="s">
        <v>264</v>
      </c>
      <c r="D103" s="268">
        <v>666</v>
      </c>
      <c r="E103" s="268">
        <v>811</v>
      </c>
      <c r="F103" s="268">
        <v>695</v>
      </c>
      <c r="G103" s="268">
        <v>651</v>
      </c>
      <c r="H103" s="268">
        <v>799</v>
      </c>
      <c r="I103" s="268">
        <v>900</v>
      </c>
      <c r="J103" s="268">
        <v>857</v>
      </c>
      <c r="K103" s="268">
        <v>607</v>
      </c>
      <c r="L103" s="268">
        <v>658</v>
      </c>
      <c r="M103" s="268">
        <v>590</v>
      </c>
      <c r="N103" s="268">
        <v>633</v>
      </c>
      <c r="O103" s="268">
        <v>673</v>
      </c>
      <c r="P103" s="268">
        <v>628</v>
      </c>
      <c r="Q103" s="268">
        <v>762</v>
      </c>
      <c r="R103" s="268">
        <v>643</v>
      </c>
      <c r="S103" s="268">
        <v>704</v>
      </c>
      <c r="T103" s="268">
        <v>1069</v>
      </c>
      <c r="U103" s="268">
        <v>863</v>
      </c>
      <c r="V103" s="268">
        <f>SUM(D103:O103)</f>
        <v>8540</v>
      </c>
      <c r="W103" s="268">
        <f>SUM(J103:U103)</f>
        <v>8687</v>
      </c>
    </row>
    <row r="104" spans="1:23" x14ac:dyDescent="0.25">
      <c r="A104" s="513" t="s">
        <v>66</v>
      </c>
      <c r="B104" s="603" t="s">
        <v>67</v>
      </c>
      <c r="C104" s="603" t="s">
        <v>265</v>
      </c>
      <c r="D104" s="268">
        <v>203</v>
      </c>
      <c r="E104" s="268">
        <v>218</v>
      </c>
      <c r="F104" s="268">
        <v>181</v>
      </c>
      <c r="G104" s="268">
        <v>169</v>
      </c>
      <c r="H104" s="268">
        <v>222</v>
      </c>
      <c r="I104" s="268">
        <v>230</v>
      </c>
      <c r="J104" s="268">
        <v>227</v>
      </c>
      <c r="K104" s="268">
        <v>173</v>
      </c>
      <c r="L104" s="268">
        <v>183</v>
      </c>
      <c r="M104" s="268">
        <v>171</v>
      </c>
      <c r="N104" s="268">
        <v>181</v>
      </c>
      <c r="O104" s="268">
        <v>190</v>
      </c>
      <c r="P104" s="268">
        <v>174</v>
      </c>
      <c r="Q104" s="268">
        <v>228</v>
      </c>
      <c r="R104" s="268">
        <v>201</v>
      </c>
      <c r="S104" s="268">
        <v>197</v>
      </c>
      <c r="T104" s="268">
        <v>273</v>
      </c>
      <c r="U104" s="268">
        <v>194</v>
      </c>
      <c r="V104" s="268">
        <f>SUM(D104:O104)</f>
        <v>2348</v>
      </c>
      <c r="W104" s="268">
        <f>SUM(J104:U104)</f>
        <v>2392</v>
      </c>
    </row>
    <row r="105" spans="1:23" x14ac:dyDescent="0.25">
      <c r="A105" s="513" t="s">
        <v>82</v>
      </c>
      <c r="B105" s="603" t="s">
        <v>83</v>
      </c>
      <c r="C105" s="603" t="s">
        <v>264</v>
      </c>
      <c r="D105" s="268">
        <v>28</v>
      </c>
      <c r="E105" s="268">
        <v>50</v>
      </c>
      <c r="F105" s="268">
        <v>38</v>
      </c>
      <c r="G105" s="268">
        <v>43</v>
      </c>
      <c r="H105" s="268">
        <v>56</v>
      </c>
      <c r="I105" s="268">
        <v>41</v>
      </c>
      <c r="J105" s="268">
        <v>62</v>
      </c>
      <c r="K105" s="268">
        <v>32</v>
      </c>
      <c r="L105" s="268">
        <v>52</v>
      </c>
      <c r="M105" s="268">
        <v>47</v>
      </c>
      <c r="N105" s="268">
        <v>38</v>
      </c>
      <c r="O105" s="268">
        <v>44</v>
      </c>
      <c r="P105" s="268">
        <v>35</v>
      </c>
      <c r="Q105" s="268">
        <v>54</v>
      </c>
      <c r="R105" s="268">
        <v>31</v>
      </c>
      <c r="S105" s="268">
        <v>44</v>
      </c>
      <c r="T105" s="268">
        <v>67</v>
      </c>
      <c r="U105" s="268">
        <v>55</v>
      </c>
      <c r="V105" s="268">
        <f>SUM(D105:O105)</f>
        <v>531</v>
      </c>
      <c r="W105" s="268">
        <f>SUM(J105:U105)</f>
        <v>561</v>
      </c>
    </row>
    <row r="106" spans="1:23" x14ac:dyDescent="0.25">
      <c r="A106" s="513" t="s">
        <v>88</v>
      </c>
      <c r="B106" s="603" t="s">
        <v>89</v>
      </c>
      <c r="C106" s="603" t="s">
        <v>267</v>
      </c>
      <c r="D106" s="268">
        <v>95</v>
      </c>
      <c r="E106" s="268">
        <v>138</v>
      </c>
      <c r="F106" s="268">
        <v>114</v>
      </c>
      <c r="G106" s="268">
        <v>134</v>
      </c>
      <c r="H106" s="268">
        <v>136</v>
      </c>
      <c r="I106" s="268">
        <v>169</v>
      </c>
      <c r="J106" s="268">
        <v>147</v>
      </c>
      <c r="K106" s="268">
        <v>114</v>
      </c>
      <c r="L106" s="268">
        <v>145</v>
      </c>
      <c r="M106" s="268">
        <v>122</v>
      </c>
      <c r="N106" s="268">
        <v>112</v>
      </c>
      <c r="O106" s="268">
        <v>131</v>
      </c>
      <c r="P106" s="268">
        <v>123</v>
      </c>
      <c r="Q106" s="268">
        <v>159</v>
      </c>
      <c r="R106" s="268">
        <v>136</v>
      </c>
      <c r="S106" s="268">
        <v>144</v>
      </c>
      <c r="T106" s="268">
        <v>180</v>
      </c>
      <c r="U106" s="268">
        <v>112</v>
      </c>
      <c r="V106" s="268">
        <f>SUM(D106:O106)</f>
        <v>1557</v>
      </c>
      <c r="W106" s="268">
        <f>SUM(J106:U106)</f>
        <v>1625</v>
      </c>
    </row>
    <row r="107" spans="1:23" x14ac:dyDescent="0.25">
      <c r="A107" s="513" t="s">
        <v>90</v>
      </c>
      <c r="B107" s="603" t="s">
        <v>91</v>
      </c>
      <c r="C107" s="603" t="s">
        <v>268</v>
      </c>
      <c r="D107" s="268">
        <v>32</v>
      </c>
      <c r="E107" s="268">
        <v>42</v>
      </c>
      <c r="F107" s="268">
        <v>35</v>
      </c>
      <c r="G107" s="268">
        <v>21</v>
      </c>
      <c r="H107" s="268">
        <v>59</v>
      </c>
      <c r="I107" s="268">
        <v>23</v>
      </c>
      <c r="J107" s="268">
        <v>35</v>
      </c>
      <c r="K107" s="268">
        <v>23</v>
      </c>
      <c r="L107" s="268">
        <v>42</v>
      </c>
      <c r="M107" s="268">
        <v>26</v>
      </c>
      <c r="N107" s="268">
        <v>34</v>
      </c>
      <c r="O107" s="268">
        <v>33</v>
      </c>
      <c r="P107" s="268">
        <v>20</v>
      </c>
      <c r="Q107" s="268">
        <v>30</v>
      </c>
      <c r="R107" s="268">
        <v>26</v>
      </c>
      <c r="S107" s="268">
        <v>28</v>
      </c>
      <c r="T107" s="268">
        <v>43</v>
      </c>
      <c r="U107" s="268">
        <v>41</v>
      </c>
      <c r="V107" s="268">
        <f>SUM(D107:O107)</f>
        <v>405</v>
      </c>
      <c r="W107" s="268">
        <f>SUM(J107:U107)</f>
        <v>381</v>
      </c>
    </row>
    <row r="108" spans="1:23" x14ac:dyDescent="0.25">
      <c r="A108" s="513" t="s">
        <v>106</v>
      </c>
      <c r="B108" s="603" t="s">
        <v>107</v>
      </c>
      <c r="C108" s="603" t="s">
        <v>264</v>
      </c>
      <c r="D108" s="268">
        <v>611</v>
      </c>
      <c r="E108" s="268">
        <v>754</v>
      </c>
      <c r="F108" s="268">
        <v>686</v>
      </c>
      <c r="G108" s="268">
        <v>673</v>
      </c>
      <c r="H108" s="268">
        <v>771</v>
      </c>
      <c r="I108" s="268">
        <v>756</v>
      </c>
      <c r="J108" s="268">
        <v>802</v>
      </c>
      <c r="K108" s="268">
        <v>549</v>
      </c>
      <c r="L108" s="268">
        <v>688</v>
      </c>
      <c r="M108" s="268">
        <v>543</v>
      </c>
      <c r="N108" s="268">
        <v>608</v>
      </c>
      <c r="O108" s="268">
        <v>596</v>
      </c>
      <c r="P108" s="268">
        <v>531</v>
      </c>
      <c r="Q108" s="268">
        <v>586</v>
      </c>
      <c r="R108" s="268">
        <v>531</v>
      </c>
      <c r="S108" s="268">
        <v>513</v>
      </c>
      <c r="T108" s="268">
        <v>827</v>
      </c>
      <c r="U108" s="268">
        <v>649</v>
      </c>
      <c r="V108" s="268">
        <f>SUM(D108:O108)</f>
        <v>8037</v>
      </c>
      <c r="W108" s="268">
        <f>SUM(J108:U108)</f>
        <v>7423</v>
      </c>
    </row>
    <row r="109" spans="1:23" x14ac:dyDescent="0.25">
      <c r="A109" s="513" t="s">
        <v>116</v>
      </c>
      <c r="B109" s="603" t="s">
        <v>117</v>
      </c>
      <c r="C109" s="603" t="s">
        <v>266</v>
      </c>
      <c r="D109" s="268">
        <v>127</v>
      </c>
      <c r="E109" s="268">
        <v>132</v>
      </c>
      <c r="F109" s="268">
        <v>162</v>
      </c>
      <c r="G109" s="268">
        <v>118</v>
      </c>
      <c r="H109" s="268">
        <v>162</v>
      </c>
      <c r="I109" s="268">
        <v>159</v>
      </c>
      <c r="J109" s="268">
        <v>175</v>
      </c>
      <c r="K109" s="268">
        <v>113</v>
      </c>
      <c r="L109" s="268">
        <v>112</v>
      </c>
      <c r="M109" s="268">
        <v>137</v>
      </c>
      <c r="N109" s="268">
        <v>146</v>
      </c>
      <c r="O109" s="268">
        <v>173</v>
      </c>
      <c r="P109" s="268">
        <v>125</v>
      </c>
      <c r="Q109" s="268">
        <v>159</v>
      </c>
      <c r="R109" s="268">
        <v>151</v>
      </c>
      <c r="S109" s="268">
        <v>138</v>
      </c>
      <c r="T109" s="268">
        <v>142</v>
      </c>
      <c r="U109" s="268">
        <v>122</v>
      </c>
      <c r="V109" s="268">
        <f>SUM(D109:O109)</f>
        <v>1716</v>
      </c>
      <c r="W109" s="268">
        <f>SUM(J109:U109)</f>
        <v>1693</v>
      </c>
    </row>
    <row r="110" spans="1:23" x14ac:dyDescent="0.25">
      <c r="A110" s="513" t="s">
        <v>138</v>
      </c>
      <c r="B110" s="603" t="s">
        <v>139</v>
      </c>
      <c r="C110" s="603" t="s">
        <v>265</v>
      </c>
      <c r="D110" s="268">
        <v>256</v>
      </c>
      <c r="E110" s="268">
        <v>307</v>
      </c>
      <c r="F110" s="268">
        <v>265</v>
      </c>
      <c r="G110" s="268">
        <v>254</v>
      </c>
      <c r="H110" s="268">
        <v>295</v>
      </c>
      <c r="I110" s="268">
        <v>285</v>
      </c>
      <c r="J110" s="268">
        <v>326</v>
      </c>
      <c r="K110" s="268">
        <v>219</v>
      </c>
      <c r="L110" s="268">
        <v>294</v>
      </c>
      <c r="M110" s="268">
        <v>236</v>
      </c>
      <c r="N110" s="268">
        <v>249</v>
      </c>
      <c r="O110" s="268">
        <v>256</v>
      </c>
      <c r="P110" s="268">
        <v>252</v>
      </c>
      <c r="Q110" s="268">
        <v>314</v>
      </c>
      <c r="R110" s="268">
        <v>228</v>
      </c>
      <c r="S110" s="268">
        <v>254</v>
      </c>
      <c r="T110" s="268">
        <v>419</v>
      </c>
      <c r="U110" s="268">
        <v>317</v>
      </c>
      <c r="V110" s="268">
        <f>SUM(D110:O110)</f>
        <v>3242</v>
      </c>
      <c r="W110" s="268">
        <f>SUM(J110:U110)</f>
        <v>3364</v>
      </c>
    </row>
    <row r="111" spans="1:23" x14ac:dyDescent="0.25">
      <c r="A111" s="513" t="s">
        <v>142</v>
      </c>
      <c r="B111" s="603" t="s">
        <v>143</v>
      </c>
      <c r="C111" s="603" t="s">
        <v>267</v>
      </c>
      <c r="D111" s="268">
        <v>147</v>
      </c>
      <c r="E111" s="268">
        <v>176</v>
      </c>
      <c r="F111" s="268">
        <v>136</v>
      </c>
      <c r="G111" s="268">
        <v>159</v>
      </c>
      <c r="H111" s="268">
        <v>239</v>
      </c>
      <c r="I111" s="268">
        <v>209</v>
      </c>
      <c r="J111" s="268">
        <v>229</v>
      </c>
      <c r="K111" s="268">
        <v>131</v>
      </c>
      <c r="L111" s="268">
        <v>188</v>
      </c>
      <c r="M111" s="268">
        <v>131</v>
      </c>
      <c r="N111" s="268">
        <v>141</v>
      </c>
      <c r="O111" s="268">
        <v>141</v>
      </c>
      <c r="P111" s="268">
        <v>137</v>
      </c>
      <c r="Q111" s="268">
        <v>173</v>
      </c>
      <c r="R111" s="268">
        <v>162</v>
      </c>
      <c r="S111" s="268">
        <v>166</v>
      </c>
      <c r="T111" s="268">
        <v>300</v>
      </c>
      <c r="U111" s="268">
        <v>195</v>
      </c>
      <c r="V111" s="268">
        <f>SUM(D111:O111)</f>
        <v>2027</v>
      </c>
      <c r="W111" s="268">
        <f>SUM(J111:U111)</f>
        <v>2094</v>
      </c>
    </row>
    <row r="112" spans="1:23" x14ac:dyDescent="0.25">
      <c r="A112" s="513" t="s">
        <v>144</v>
      </c>
      <c r="B112" s="603" t="s">
        <v>145</v>
      </c>
      <c r="C112" s="603" t="s">
        <v>267</v>
      </c>
      <c r="D112" s="268">
        <v>74</v>
      </c>
      <c r="E112" s="268">
        <v>78</v>
      </c>
      <c r="F112" s="268">
        <v>61</v>
      </c>
      <c r="G112" s="268">
        <v>67</v>
      </c>
      <c r="H112" s="268">
        <v>102</v>
      </c>
      <c r="I112" s="268">
        <v>131</v>
      </c>
      <c r="J112" s="268">
        <v>109</v>
      </c>
      <c r="K112" s="268">
        <v>63</v>
      </c>
      <c r="L112" s="268">
        <v>89</v>
      </c>
      <c r="M112" s="268">
        <v>72</v>
      </c>
      <c r="N112" s="268">
        <v>69</v>
      </c>
      <c r="O112" s="268">
        <v>70</v>
      </c>
      <c r="P112" s="268">
        <v>61</v>
      </c>
      <c r="Q112" s="268">
        <v>63</v>
      </c>
      <c r="R112" s="268">
        <v>67</v>
      </c>
      <c r="S112" s="268">
        <v>59</v>
      </c>
      <c r="T112" s="268">
        <v>108</v>
      </c>
      <c r="U112" s="268">
        <v>103</v>
      </c>
      <c r="V112" s="268">
        <f>SUM(D112:O112)</f>
        <v>985</v>
      </c>
      <c r="W112" s="268">
        <f>SUM(J112:U112)</f>
        <v>933</v>
      </c>
    </row>
    <row r="113" spans="1:23" x14ac:dyDescent="0.25">
      <c r="A113" s="513" t="s">
        <v>158</v>
      </c>
      <c r="B113" s="603" t="s">
        <v>159</v>
      </c>
      <c r="C113" s="603" t="s">
        <v>264</v>
      </c>
      <c r="D113" s="268">
        <v>708</v>
      </c>
      <c r="E113" s="268">
        <v>862</v>
      </c>
      <c r="F113" s="268">
        <v>816</v>
      </c>
      <c r="G113" s="268">
        <v>893</v>
      </c>
      <c r="H113" s="268">
        <v>912</v>
      </c>
      <c r="I113" s="268">
        <v>988</v>
      </c>
      <c r="J113" s="268">
        <v>1084</v>
      </c>
      <c r="K113" s="268">
        <v>703</v>
      </c>
      <c r="L113" s="268">
        <v>902</v>
      </c>
      <c r="M113" s="268">
        <v>868</v>
      </c>
      <c r="N113" s="268">
        <v>906</v>
      </c>
      <c r="O113" s="268">
        <v>832</v>
      </c>
      <c r="P113" s="268">
        <v>865</v>
      </c>
      <c r="Q113" s="268">
        <v>1013</v>
      </c>
      <c r="R113" s="268">
        <v>853</v>
      </c>
      <c r="S113" s="268">
        <v>901</v>
      </c>
      <c r="T113" s="268">
        <v>1213</v>
      </c>
      <c r="U113" s="268">
        <v>962</v>
      </c>
      <c r="V113" s="268">
        <f>SUM(D113:O113)</f>
        <v>10474</v>
      </c>
      <c r="W113" s="268">
        <f>SUM(J113:U113)</f>
        <v>11102</v>
      </c>
    </row>
    <row r="114" spans="1:23" x14ac:dyDescent="0.25">
      <c r="A114" s="513" t="s">
        <v>160</v>
      </c>
      <c r="B114" s="603" t="s">
        <v>161</v>
      </c>
      <c r="C114" s="603" t="s">
        <v>264</v>
      </c>
      <c r="D114" s="268">
        <v>1039</v>
      </c>
      <c r="E114" s="268">
        <v>1221</v>
      </c>
      <c r="F114" s="268">
        <v>1217</v>
      </c>
      <c r="G114" s="268">
        <v>1118</v>
      </c>
      <c r="H114" s="268">
        <v>1302</v>
      </c>
      <c r="I114" s="268">
        <v>1289</v>
      </c>
      <c r="J114" s="268">
        <v>1339</v>
      </c>
      <c r="K114" s="268">
        <v>924</v>
      </c>
      <c r="L114" s="268">
        <v>1172</v>
      </c>
      <c r="M114" s="268">
        <v>947</v>
      </c>
      <c r="N114" s="268">
        <v>1110</v>
      </c>
      <c r="O114" s="268">
        <v>1055</v>
      </c>
      <c r="P114" s="268">
        <v>981</v>
      </c>
      <c r="Q114" s="268">
        <v>1244</v>
      </c>
      <c r="R114" s="268">
        <v>1024</v>
      </c>
      <c r="S114" s="268">
        <v>1118</v>
      </c>
      <c r="T114" s="268">
        <v>1501</v>
      </c>
      <c r="U114" s="268">
        <v>1185</v>
      </c>
      <c r="V114" s="268">
        <f>SUM(D114:O114)</f>
        <v>13733</v>
      </c>
      <c r="W114" s="268">
        <f>SUM(J114:U114)</f>
        <v>13600</v>
      </c>
    </row>
    <row r="115" spans="1:23" x14ac:dyDescent="0.25">
      <c r="A115" s="513" t="s">
        <v>166</v>
      </c>
      <c r="B115" s="603" t="s">
        <v>167</v>
      </c>
      <c r="C115" s="603" t="s">
        <v>268</v>
      </c>
      <c r="D115" s="268">
        <v>15</v>
      </c>
      <c r="E115" s="268">
        <v>25</v>
      </c>
      <c r="F115" s="268">
        <v>15</v>
      </c>
      <c r="G115" s="268">
        <v>18</v>
      </c>
      <c r="H115" s="268">
        <v>18</v>
      </c>
      <c r="I115" s="268">
        <v>14</v>
      </c>
      <c r="J115" s="268">
        <v>16</v>
      </c>
      <c r="K115" s="268">
        <v>9</v>
      </c>
      <c r="L115" s="268">
        <v>16</v>
      </c>
      <c r="M115" s="268">
        <v>19</v>
      </c>
      <c r="N115" s="268">
        <v>13</v>
      </c>
      <c r="O115" s="268">
        <v>15</v>
      </c>
      <c r="P115" s="268">
        <v>14</v>
      </c>
      <c r="Q115" s="268">
        <v>21</v>
      </c>
      <c r="R115" s="268">
        <v>13</v>
      </c>
      <c r="S115" s="268">
        <v>8</v>
      </c>
      <c r="T115" s="268">
        <v>26</v>
      </c>
      <c r="U115" s="268">
        <v>15</v>
      </c>
      <c r="V115" s="268">
        <f>SUM(D115:O115)</f>
        <v>193</v>
      </c>
      <c r="W115" s="268">
        <f>SUM(J115:U115)</f>
        <v>185</v>
      </c>
    </row>
    <row r="116" spans="1:23" x14ac:dyDescent="0.25">
      <c r="A116" s="513" t="s">
        <v>176</v>
      </c>
      <c r="B116" s="603" t="s">
        <v>177</v>
      </c>
      <c r="C116" s="603" t="s">
        <v>266</v>
      </c>
      <c r="D116" s="268">
        <v>195</v>
      </c>
      <c r="E116" s="268">
        <v>211</v>
      </c>
      <c r="F116" s="268">
        <v>221</v>
      </c>
      <c r="G116" s="268">
        <v>220</v>
      </c>
      <c r="H116" s="268">
        <v>248</v>
      </c>
      <c r="I116" s="268">
        <v>322</v>
      </c>
      <c r="J116" s="268">
        <v>291</v>
      </c>
      <c r="K116" s="268">
        <v>199</v>
      </c>
      <c r="L116" s="268">
        <v>303</v>
      </c>
      <c r="M116" s="268">
        <v>261</v>
      </c>
      <c r="N116" s="268">
        <v>249</v>
      </c>
      <c r="O116" s="268">
        <v>228</v>
      </c>
      <c r="P116" s="268">
        <v>221</v>
      </c>
      <c r="Q116" s="268">
        <v>231</v>
      </c>
      <c r="R116" s="268">
        <v>218</v>
      </c>
      <c r="S116" s="268">
        <v>224</v>
      </c>
      <c r="T116" s="268">
        <v>281</v>
      </c>
      <c r="U116" s="268">
        <v>285</v>
      </c>
      <c r="V116" s="268">
        <f>SUM(D116:O116)</f>
        <v>2948</v>
      </c>
      <c r="W116" s="268">
        <f>SUM(J116:U116)</f>
        <v>2991</v>
      </c>
    </row>
    <row r="117" spans="1:23" x14ac:dyDescent="0.25">
      <c r="A117" s="513" t="s">
        <v>180</v>
      </c>
      <c r="B117" s="603" t="s">
        <v>181</v>
      </c>
      <c r="C117" s="603" t="s">
        <v>264</v>
      </c>
      <c r="D117" s="268">
        <v>464</v>
      </c>
      <c r="E117" s="268">
        <v>489</v>
      </c>
      <c r="F117" s="268">
        <v>435</v>
      </c>
      <c r="G117" s="268">
        <v>484</v>
      </c>
      <c r="H117" s="268">
        <v>532</v>
      </c>
      <c r="I117" s="268">
        <v>554</v>
      </c>
      <c r="J117" s="268">
        <v>649</v>
      </c>
      <c r="K117" s="268">
        <v>454</v>
      </c>
      <c r="L117" s="268">
        <v>480</v>
      </c>
      <c r="M117" s="268">
        <v>413</v>
      </c>
      <c r="N117" s="268">
        <v>452</v>
      </c>
      <c r="O117" s="268">
        <v>437</v>
      </c>
      <c r="P117" s="268">
        <v>453</v>
      </c>
      <c r="Q117" s="268">
        <v>525</v>
      </c>
      <c r="R117" s="268">
        <v>436</v>
      </c>
      <c r="S117" s="268">
        <v>441</v>
      </c>
      <c r="T117" s="268">
        <v>599</v>
      </c>
      <c r="U117" s="268">
        <v>476</v>
      </c>
      <c r="V117" s="268">
        <f>SUM(D117:O117)</f>
        <v>5843</v>
      </c>
      <c r="W117" s="268">
        <f>SUM(J117:U117)</f>
        <v>5815</v>
      </c>
    </row>
    <row r="118" spans="1:23" x14ac:dyDescent="0.25">
      <c r="A118" s="513" t="s">
        <v>192</v>
      </c>
      <c r="B118" s="603" t="s">
        <v>193</v>
      </c>
      <c r="C118" s="603" t="s">
        <v>268</v>
      </c>
      <c r="D118" s="268">
        <v>32</v>
      </c>
      <c r="E118" s="268">
        <v>57</v>
      </c>
      <c r="F118" s="268">
        <v>29</v>
      </c>
      <c r="G118" s="268">
        <v>33</v>
      </c>
      <c r="H118" s="268">
        <v>38</v>
      </c>
      <c r="I118" s="268">
        <v>42</v>
      </c>
      <c r="J118" s="268">
        <v>49</v>
      </c>
      <c r="K118" s="268">
        <v>30</v>
      </c>
      <c r="L118" s="268">
        <v>33</v>
      </c>
      <c r="M118" s="268">
        <v>29</v>
      </c>
      <c r="N118" s="268">
        <v>32</v>
      </c>
      <c r="O118" s="268">
        <v>37</v>
      </c>
      <c r="P118" s="268">
        <v>34</v>
      </c>
      <c r="Q118" s="268">
        <v>40</v>
      </c>
      <c r="R118" s="268">
        <v>28</v>
      </c>
      <c r="S118" s="268">
        <v>30</v>
      </c>
      <c r="T118" s="268">
        <v>58</v>
      </c>
      <c r="U118" s="268">
        <v>39</v>
      </c>
      <c r="V118" s="268">
        <f>SUM(D118:O118)</f>
        <v>441</v>
      </c>
      <c r="W118" s="268">
        <f>SUM(J118:U118)</f>
        <v>439</v>
      </c>
    </row>
    <row r="119" spans="1:23" x14ac:dyDescent="0.25">
      <c r="A119" s="513" t="s">
        <v>196</v>
      </c>
      <c r="B119" s="603" t="s">
        <v>197</v>
      </c>
      <c r="C119" s="603" t="s">
        <v>266</v>
      </c>
      <c r="D119" s="268">
        <v>1161</v>
      </c>
      <c r="E119" s="268">
        <v>1346</v>
      </c>
      <c r="F119" s="268">
        <v>1180</v>
      </c>
      <c r="G119" s="268">
        <v>1160</v>
      </c>
      <c r="H119" s="268">
        <v>1265</v>
      </c>
      <c r="I119" s="268">
        <v>1309</v>
      </c>
      <c r="J119" s="268">
        <v>1347</v>
      </c>
      <c r="K119" s="268">
        <v>959</v>
      </c>
      <c r="L119" s="268">
        <v>1018</v>
      </c>
      <c r="M119" s="268">
        <v>940</v>
      </c>
      <c r="N119" s="268">
        <v>1058</v>
      </c>
      <c r="O119" s="268">
        <v>1016</v>
      </c>
      <c r="P119" s="268">
        <v>1043</v>
      </c>
      <c r="Q119" s="268">
        <v>1154</v>
      </c>
      <c r="R119" s="268">
        <v>1120</v>
      </c>
      <c r="S119" s="268">
        <v>1116</v>
      </c>
      <c r="T119" s="268">
        <v>1457</v>
      </c>
      <c r="U119" s="268">
        <v>1137</v>
      </c>
      <c r="V119" s="268">
        <f>SUM(D119:O119)</f>
        <v>13759</v>
      </c>
      <c r="W119" s="268">
        <f>SUM(J119:U119)</f>
        <v>13365</v>
      </c>
    </row>
    <row r="120" spans="1:23" x14ac:dyDescent="0.25">
      <c r="A120" s="513" t="s">
        <v>200</v>
      </c>
      <c r="B120" s="603" t="s">
        <v>201</v>
      </c>
      <c r="C120" s="603" t="s">
        <v>265</v>
      </c>
      <c r="D120" s="268">
        <v>590</v>
      </c>
      <c r="E120" s="268">
        <v>734</v>
      </c>
      <c r="F120" s="268">
        <v>585</v>
      </c>
      <c r="G120" s="268">
        <v>580</v>
      </c>
      <c r="H120" s="268">
        <v>642</v>
      </c>
      <c r="I120" s="268">
        <v>693</v>
      </c>
      <c r="J120" s="268">
        <v>651</v>
      </c>
      <c r="K120" s="268">
        <v>465</v>
      </c>
      <c r="L120" s="268">
        <v>605</v>
      </c>
      <c r="M120" s="268">
        <v>508</v>
      </c>
      <c r="N120" s="268">
        <v>589</v>
      </c>
      <c r="O120" s="268">
        <v>575</v>
      </c>
      <c r="P120" s="268">
        <v>561</v>
      </c>
      <c r="Q120" s="268">
        <v>635</v>
      </c>
      <c r="R120" s="268">
        <v>525</v>
      </c>
      <c r="S120" s="268">
        <v>541</v>
      </c>
      <c r="T120" s="268">
        <v>711</v>
      </c>
      <c r="U120" s="268">
        <v>572</v>
      </c>
      <c r="V120" s="268">
        <f>SUM(D120:O120)</f>
        <v>7217</v>
      </c>
      <c r="W120" s="268">
        <f>SUM(J120:U120)</f>
        <v>6938</v>
      </c>
    </row>
    <row r="121" spans="1:23" x14ac:dyDescent="0.25">
      <c r="A121" s="513" t="s">
        <v>222</v>
      </c>
      <c r="B121" s="603" t="s">
        <v>223</v>
      </c>
      <c r="C121" s="603" t="s">
        <v>264</v>
      </c>
      <c r="D121" s="268">
        <v>282</v>
      </c>
      <c r="E121" s="268">
        <v>283</v>
      </c>
      <c r="F121" s="268">
        <v>288</v>
      </c>
      <c r="G121" s="268">
        <v>243</v>
      </c>
      <c r="H121" s="268">
        <v>319</v>
      </c>
      <c r="I121" s="268">
        <v>323</v>
      </c>
      <c r="J121" s="268">
        <v>378</v>
      </c>
      <c r="K121" s="268">
        <v>225</v>
      </c>
      <c r="L121" s="268">
        <v>260</v>
      </c>
      <c r="M121" s="268">
        <v>232</v>
      </c>
      <c r="N121" s="268">
        <v>282</v>
      </c>
      <c r="O121" s="268">
        <v>259</v>
      </c>
      <c r="P121" s="268">
        <v>270</v>
      </c>
      <c r="Q121" s="268">
        <v>274</v>
      </c>
      <c r="R121" s="268">
        <v>289</v>
      </c>
      <c r="S121" s="268">
        <v>301</v>
      </c>
      <c r="T121" s="268">
        <v>425</v>
      </c>
      <c r="U121" s="268">
        <v>311</v>
      </c>
      <c r="V121" s="268">
        <f>SUM(D121:O121)</f>
        <v>3374</v>
      </c>
      <c r="W121" s="268">
        <f>SUM(J121:U121)</f>
        <v>3506</v>
      </c>
    </row>
    <row r="122" spans="1:23" x14ac:dyDescent="0.25">
      <c r="A122" s="513" t="s">
        <v>230</v>
      </c>
      <c r="B122" s="603" t="s">
        <v>231</v>
      </c>
      <c r="C122" s="603" t="s">
        <v>264</v>
      </c>
      <c r="D122" s="268">
        <v>1179</v>
      </c>
      <c r="E122" s="268">
        <v>1398</v>
      </c>
      <c r="F122" s="268">
        <v>1315</v>
      </c>
      <c r="G122" s="268">
        <v>1204</v>
      </c>
      <c r="H122" s="268">
        <v>1647</v>
      </c>
      <c r="I122" s="268">
        <v>1818</v>
      </c>
      <c r="J122" s="268">
        <v>1582</v>
      </c>
      <c r="K122" s="268">
        <v>1085</v>
      </c>
      <c r="L122" s="268">
        <v>1250</v>
      </c>
      <c r="M122" s="268">
        <v>1132</v>
      </c>
      <c r="N122" s="268">
        <v>1201</v>
      </c>
      <c r="O122" s="268">
        <v>1116</v>
      </c>
      <c r="P122" s="268">
        <v>1021</v>
      </c>
      <c r="Q122" s="268">
        <v>1248</v>
      </c>
      <c r="R122" s="268">
        <v>1155</v>
      </c>
      <c r="S122" s="268">
        <v>1183</v>
      </c>
      <c r="T122" s="268">
        <v>2200</v>
      </c>
      <c r="U122" s="268">
        <v>1751</v>
      </c>
      <c r="V122" s="268">
        <f>SUM(D122:O122)</f>
        <v>15927</v>
      </c>
      <c r="W122" s="268">
        <f>SUM(J122:U122)</f>
        <v>15924</v>
      </c>
    </row>
    <row r="123" spans="1:23" x14ac:dyDescent="0.25">
      <c r="A123" s="513" t="s">
        <v>238</v>
      </c>
      <c r="B123" s="603" t="s">
        <v>239</v>
      </c>
      <c r="C123" s="603" t="s">
        <v>264</v>
      </c>
      <c r="D123" s="268">
        <v>24</v>
      </c>
      <c r="E123" s="268">
        <v>30</v>
      </c>
      <c r="F123" s="268">
        <v>28</v>
      </c>
      <c r="G123" s="268">
        <v>22</v>
      </c>
      <c r="H123" s="268">
        <v>37</v>
      </c>
      <c r="I123" s="268">
        <v>44</v>
      </c>
      <c r="J123" s="268">
        <v>39</v>
      </c>
      <c r="K123" s="268">
        <v>37</v>
      </c>
      <c r="L123" s="268">
        <v>42</v>
      </c>
      <c r="M123" s="268">
        <v>19</v>
      </c>
      <c r="N123" s="268">
        <v>31</v>
      </c>
      <c r="O123" s="268">
        <v>28</v>
      </c>
      <c r="P123" s="268">
        <v>32</v>
      </c>
      <c r="Q123" s="268">
        <v>37</v>
      </c>
      <c r="R123" s="268">
        <v>31</v>
      </c>
      <c r="S123" s="268">
        <v>31</v>
      </c>
      <c r="T123" s="268">
        <v>66</v>
      </c>
      <c r="U123" s="268">
        <v>37</v>
      </c>
      <c r="V123" s="268">
        <f>SUM(D123:O123)</f>
        <v>381</v>
      </c>
      <c r="W123" s="268">
        <f>SUM(J123:U123)</f>
        <v>430</v>
      </c>
    </row>
    <row r="124" spans="1:23" x14ac:dyDescent="0.25">
      <c r="A124" s="514" t="s">
        <v>240</v>
      </c>
      <c r="B124" s="517" t="s">
        <v>241</v>
      </c>
      <c r="C124" s="517" t="s">
        <v>267</v>
      </c>
      <c r="D124" s="268">
        <v>131</v>
      </c>
      <c r="E124" s="268">
        <v>149</v>
      </c>
      <c r="F124" s="268">
        <v>175</v>
      </c>
      <c r="G124" s="268">
        <v>160</v>
      </c>
      <c r="H124" s="268">
        <v>162</v>
      </c>
      <c r="I124" s="268">
        <v>133</v>
      </c>
      <c r="J124" s="268">
        <v>145</v>
      </c>
      <c r="K124" s="268">
        <v>114</v>
      </c>
      <c r="L124" s="268">
        <v>130</v>
      </c>
      <c r="M124" s="268">
        <v>104</v>
      </c>
      <c r="N124" s="268">
        <v>127</v>
      </c>
      <c r="O124" s="268">
        <v>126</v>
      </c>
      <c r="P124" s="268">
        <v>113</v>
      </c>
      <c r="Q124" s="268">
        <v>129</v>
      </c>
      <c r="R124" s="268">
        <v>123</v>
      </c>
      <c r="S124" s="268">
        <v>127</v>
      </c>
      <c r="T124" s="268">
        <v>211</v>
      </c>
      <c r="U124" s="268">
        <v>137</v>
      </c>
      <c r="V124" s="268">
        <f>SUM(D124:O124)</f>
        <v>1656</v>
      </c>
      <c r="W124" s="268">
        <f>SUM(J124:U124)</f>
        <v>1586</v>
      </c>
    </row>
    <row r="126" spans="1:23" ht="65.25" customHeight="1" x14ac:dyDescent="0.25">
      <c r="A126" s="2737" t="s">
        <v>1455</v>
      </c>
      <c r="B126" s="2737"/>
      <c r="C126" s="2737"/>
    </row>
    <row r="128" spans="1:23" s="389" customFormat="1" x14ac:dyDescent="0.25">
      <c r="A128" s="389" t="s">
        <v>248</v>
      </c>
    </row>
    <row r="129" spans="1:3" s="389" customFormat="1" x14ac:dyDescent="0.25">
      <c r="A129" s="390" t="s">
        <v>249</v>
      </c>
      <c r="B129" s="391" t="s">
        <v>250</v>
      </c>
      <c r="C129" s="391"/>
    </row>
  </sheetData>
  <sortState ref="A5:W124">
    <sortCondition ref="A5:A124"/>
  </sortState>
  <mergeCells count="1">
    <mergeCell ref="A126:C126"/>
  </mergeCells>
  <hyperlinks>
    <hyperlink ref="B129"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129"/>
  <sheetViews>
    <sheetView workbookViewId="0">
      <pane xSplit="3" ySplit="4" topLeftCell="D107" activePane="bottomRight" state="frozen"/>
      <selection pane="topRight" activeCell="D1" sqref="D1"/>
      <selection pane="bottomLeft" activeCell="A5" sqref="A5"/>
      <selection pane="bottomRight" activeCell="A127" sqref="A127"/>
    </sheetView>
  </sheetViews>
  <sheetFormatPr defaultRowHeight="15.75" x14ac:dyDescent="0.25"/>
  <cols>
    <col min="1" max="1" width="9" style="505"/>
    <col min="2" max="2" width="33.375" style="505" customWidth="1"/>
    <col min="3" max="3" width="16.75" style="505" customWidth="1"/>
    <col min="4" max="4" width="7.25" style="505" customWidth="1"/>
    <col min="5" max="6" width="9.125" style="505" bestFit="1" customWidth="1"/>
    <col min="7" max="7" width="9.875" style="505" bestFit="1" customWidth="1"/>
    <col min="8" max="15" width="10.125" style="505" bestFit="1" customWidth="1"/>
    <col min="16" max="21" width="10.125" style="505" customWidth="1"/>
    <col min="22" max="22" width="11.125" style="505" bestFit="1" customWidth="1"/>
    <col min="23" max="23" width="11.125" style="505" customWidth="1"/>
    <col min="24" max="16384" width="9" style="505"/>
  </cols>
  <sheetData>
    <row r="1" spans="1:23" ht="12.75" customHeight="1" x14ac:dyDescent="0.25">
      <c r="A1" s="255" t="s">
        <v>1371</v>
      </c>
    </row>
    <row r="3" spans="1:23" ht="53.25" customHeight="1" x14ac:dyDescent="0.25">
      <c r="A3" s="510" t="s">
        <v>4</v>
      </c>
      <c r="B3" s="567" t="s">
        <v>5</v>
      </c>
      <c r="C3" s="567" t="s">
        <v>251</v>
      </c>
      <c r="D3" s="1675">
        <v>42552</v>
      </c>
      <c r="E3" s="1675">
        <v>42583</v>
      </c>
      <c r="F3" s="1675">
        <v>42614</v>
      </c>
      <c r="G3" s="1675">
        <v>42644</v>
      </c>
      <c r="H3" s="1676">
        <v>42675</v>
      </c>
      <c r="I3" s="1676">
        <v>42705</v>
      </c>
      <c r="J3" s="1676">
        <v>42736</v>
      </c>
      <c r="K3" s="1676">
        <v>42767</v>
      </c>
      <c r="L3" s="1676">
        <v>42795</v>
      </c>
      <c r="M3" s="1676">
        <v>42826</v>
      </c>
      <c r="N3" s="1676">
        <v>42856</v>
      </c>
      <c r="O3" s="1676">
        <v>42887</v>
      </c>
      <c r="P3" s="1676">
        <v>42917</v>
      </c>
      <c r="Q3" s="1676">
        <v>42948</v>
      </c>
      <c r="R3" s="1676">
        <v>42979</v>
      </c>
      <c r="S3" s="1676">
        <v>43009</v>
      </c>
      <c r="T3" s="1676">
        <v>43040</v>
      </c>
      <c r="U3" s="1676">
        <v>43070</v>
      </c>
      <c r="V3" s="1677" t="s">
        <v>1216</v>
      </c>
      <c r="W3" s="1677" t="s">
        <v>1365</v>
      </c>
    </row>
    <row r="4" spans="1:23" x14ac:dyDescent="0.25">
      <c r="A4" s="599">
        <v>999</v>
      </c>
      <c r="B4" s="600" t="s">
        <v>9</v>
      </c>
      <c r="C4" s="600"/>
      <c r="D4" s="1678">
        <f>SUM(D5:D124)</f>
        <v>22662</v>
      </c>
      <c r="E4" s="1679">
        <f t="shared" ref="E4:W4" si="0">SUM(E5:E124)</f>
        <v>27417</v>
      </c>
      <c r="F4" s="1679">
        <f t="shared" si="0"/>
        <v>26906</v>
      </c>
      <c r="G4" s="1679">
        <f t="shared" si="0"/>
        <v>23724</v>
      </c>
      <c r="H4" s="1680">
        <f t="shared" si="0"/>
        <v>24535</v>
      </c>
      <c r="I4" s="1680">
        <f t="shared" si="0"/>
        <v>26103</v>
      </c>
      <c r="J4" s="1680">
        <f t="shared" si="0"/>
        <v>27304</v>
      </c>
      <c r="K4" s="1680">
        <f t="shared" si="0"/>
        <v>25596</v>
      </c>
      <c r="L4" s="1680">
        <f t="shared" si="0"/>
        <v>34252</v>
      </c>
      <c r="M4" s="1680">
        <f t="shared" si="0"/>
        <v>26042</v>
      </c>
      <c r="N4" s="1680">
        <f t="shared" si="0"/>
        <v>29364</v>
      </c>
      <c r="O4" s="1680">
        <f t="shared" si="0"/>
        <v>27012</v>
      </c>
      <c r="P4" s="2357">
        <f t="shared" si="0"/>
        <v>26853</v>
      </c>
      <c r="Q4" s="2357">
        <f t="shared" si="0"/>
        <v>26774</v>
      </c>
      <c r="R4" s="2357">
        <f t="shared" si="0"/>
        <v>23940</v>
      </c>
      <c r="S4" s="2357">
        <f t="shared" si="0"/>
        <v>24992</v>
      </c>
      <c r="T4" s="2357">
        <f t="shared" si="0"/>
        <v>26891</v>
      </c>
      <c r="U4" s="2357">
        <f t="shared" si="0"/>
        <v>33317</v>
      </c>
      <c r="V4" s="1680">
        <f t="shared" si="0"/>
        <v>320917</v>
      </c>
      <c r="W4" s="2357">
        <f t="shared" si="0"/>
        <v>332337</v>
      </c>
    </row>
    <row r="5" spans="1:23" x14ac:dyDescent="0.25">
      <c r="A5" s="512" t="s">
        <v>10</v>
      </c>
      <c r="B5" s="569" t="s">
        <v>11</v>
      </c>
      <c r="C5" s="569" t="s">
        <v>264</v>
      </c>
      <c r="D5" s="268">
        <v>118</v>
      </c>
      <c r="E5" s="268">
        <v>123</v>
      </c>
      <c r="F5" s="268">
        <v>130</v>
      </c>
      <c r="G5" s="268">
        <v>164</v>
      </c>
      <c r="H5" s="268">
        <v>126</v>
      </c>
      <c r="I5" s="268">
        <v>128</v>
      </c>
      <c r="J5" s="268">
        <v>162</v>
      </c>
      <c r="K5" s="268">
        <v>136</v>
      </c>
      <c r="L5" s="268">
        <v>175</v>
      </c>
      <c r="M5" s="268">
        <v>187</v>
      </c>
      <c r="N5" s="268">
        <v>161</v>
      </c>
      <c r="O5" s="268">
        <v>186</v>
      </c>
      <c r="P5" s="268">
        <v>144</v>
      </c>
      <c r="Q5" s="268">
        <v>164</v>
      </c>
      <c r="R5" s="268">
        <v>146</v>
      </c>
      <c r="S5" s="268">
        <v>147</v>
      </c>
      <c r="T5" s="268">
        <v>114</v>
      </c>
      <c r="U5" s="268">
        <v>159</v>
      </c>
      <c r="V5" s="268">
        <f>SUM(D5:O5)</f>
        <v>1796</v>
      </c>
      <c r="W5" s="268">
        <f>SUM(J5:U5)</f>
        <v>1881</v>
      </c>
    </row>
    <row r="6" spans="1:23" x14ac:dyDescent="0.25">
      <c r="A6" s="513" t="s">
        <v>12</v>
      </c>
      <c r="B6" s="603" t="s">
        <v>13</v>
      </c>
      <c r="C6" s="603" t="s">
        <v>265</v>
      </c>
      <c r="D6" s="268">
        <v>177</v>
      </c>
      <c r="E6" s="268">
        <v>200</v>
      </c>
      <c r="F6" s="268">
        <v>171</v>
      </c>
      <c r="G6" s="268">
        <v>178</v>
      </c>
      <c r="H6" s="268">
        <v>178</v>
      </c>
      <c r="I6" s="268">
        <v>185</v>
      </c>
      <c r="J6" s="268">
        <v>224</v>
      </c>
      <c r="K6" s="268">
        <v>208</v>
      </c>
      <c r="L6" s="268">
        <v>255</v>
      </c>
      <c r="M6" s="268">
        <v>214</v>
      </c>
      <c r="N6" s="268">
        <v>250</v>
      </c>
      <c r="O6" s="268">
        <v>202</v>
      </c>
      <c r="P6" s="268">
        <v>237</v>
      </c>
      <c r="Q6" s="268">
        <v>200</v>
      </c>
      <c r="R6" s="268">
        <v>172</v>
      </c>
      <c r="S6" s="268">
        <v>170</v>
      </c>
      <c r="T6" s="268">
        <v>240</v>
      </c>
      <c r="U6" s="268">
        <v>337</v>
      </c>
      <c r="V6" s="268">
        <f>SUM(D6:O6)</f>
        <v>2442</v>
      </c>
      <c r="W6" s="268">
        <f>SUM(J6:U6)</f>
        <v>2709</v>
      </c>
    </row>
    <row r="7" spans="1:23" x14ac:dyDescent="0.25">
      <c r="A7" s="513" t="s">
        <v>16</v>
      </c>
      <c r="B7" s="603" t="s">
        <v>297</v>
      </c>
      <c r="C7" s="603" t="s">
        <v>265</v>
      </c>
      <c r="D7" s="268">
        <v>60</v>
      </c>
      <c r="E7" s="268">
        <v>78</v>
      </c>
      <c r="F7" s="268">
        <v>99</v>
      </c>
      <c r="G7" s="268">
        <v>76</v>
      </c>
      <c r="H7" s="268">
        <v>67</v>
      </c>
      <c r="I7" s="268">
        <v>104</v>
      </c>
      <c r="J7" s="268">
        <v>81</v>
      </c>
      <c r="K7" s="268">
        <v>52</v>
      </c>
      <c r="L7" s="268">
        <v>128</v>
      </c>
      <c r="M7" s="268">
        <v>73</v>
      </c>
      <c r="N7" s="268">
        <v>90</v>
      </c>
      <c r="O7" s="268">
        <v>78</v>
      </c>
      <c r="P7" s="268">
        <v>69</v>
      </c>
      <c r="Q7" s="268">
        <v>100</v>
      </c>
      <c r="R7" s="268">
        <v>80</v>
      </c>
      <c r="S7" s="268">
        <v>68</v>
      </c>
      <c r="T7" s="268">
        <v>69</v>
      </c>
      <c r="U7" s="268">
        <v>102</v>
      </c>
      <c r="V7" s="268">
        <f>SUM(D7:O7)</f>
        <v>986</v>
      </c>
      <c r="W7" s="268">
        <f>SUM(J7:U7)</f>
        <v>990</v>
      </c>
    </row>
    <row r="8" spans="1:23" x14ac:dyDescent="0.25">
      <c r="A8" s="513" t="s">
        <v>18</v>
      </c>
      <c r="B8" s="603" t="s">
        <v>19</v>
      </c>
      <c r="C8" s="603" t="s">
        <v>266</v>
      </c>
      <c r="D8" s="268">
        <v>39</v>
      </c>
      <c r="E8" s="268">
        <v>38</v>
      </c>
      <c r="F8" s="268">
        <v>44</v>
      </c>
      <c r="G8" s="268">
        <v>33</v>
      </c>
      <c r="H8" s="268">
        <v>40</v>
      </c>
      <c r="I8" s="268">
        <v>43</v>
      </c>
      <c r="J8" s="268">
        <v>19</v>
      </c>
      <c r="K8" s="268">
        <v>27</v>
      </c>
      <c r="L8" s="268">
        <v>54</v>
      </c>
      <c r="M8" s="268">
        <v>29</v>
      </c>
      <c r="N8" s="268">
        <v>65</v>
      </c>
      <c r="O8" s="268">
        <v>25</v>
      </c>
      <c r="P8" s="268">
        <v>28</v>
      </c>
      <c r="Q8" s="268">
        <v>39</v>
      </c>
      <c r="R8" s="268">
        <v>44</v>
      </c>
      <c r="S8" s="268">
        <v>34</v>
      </c>
      <c r="T8" s="268">
        <v>33</v>
      </c>
      <c r="U8" s="268">
        <v>42</v>
      </c>
      <c r="V8" s="268">
        <f>SUM(D8:O8)</f>
        <v>456</v>
      </c>
      <c r="W8" s="268">
        <f>SUM(J8:U8)</f>
        <v>439</v>
      </c>
    </row>
    <row r="9" spans="1:23" x14ac:dyDescent="0.25">
      <c r="A9" s="513" t="s">
        <v>20</v>
      </c>
      <c r="B9" s="603" t="s">
        <v>21</v>
      </c>
      <c r="C9" s="603" t="s">
        <v>265</v>
      </c>
      <c r="D9" s="268">
        <v>76</v>
      </c>
      <c r="E9" s="268">
        <v>107</v>
      </c>
      <c r="F9" s="268">
        <v>93</v>
      </c>
      <c r="G9" s="268">
        <v>64</v>
      </c>
      <c r="H9" s="268">
        <v>94</v>
      </c>
      <c r="I9" s="268">
        <v>99</v>
      </c>
      <c r="J9" s="268">
        <v>93</v>
      </c>
      <c r="K9" s="268">
        <v>94</v>
      </c>
      <c r="L9" s="268">
        <v>138</v>
      </c>
      <c r="M9" s="268">
        <v>82</v>
      </c>
      <c r="N9" s="268">
        <v>75</v>
      </c>
      <c r="O9" s="268">
        <v>87</v>
      </c>
      <c r="P9" s="268">
        <v>78</v>
      </c>
      <c r="Q9" s="268">
        <v>98</v>
      </c>
      <c r="R9" s="268">
        <v>95</v>
      </c>
      <c r="S9" s="268">
        <v>84</v>
      </c>
      <c r="T9" s="268">
        <v>107</v>
      </c>
      <c r="U9" s="268">
        <v>116</v>
      </c>
      <c r="V9" s="268">
        <f>SUM(D9:O9)</f>
        <v>1102</v>
      </c>
      <c r="W9" s="268">
        <f>SUM(J9:U9)</f>
        <v>1147</v>
      </c>
    </row>
    <row r="10" spans="1:23" x14ac:dyDescent="0.25">
      <c r="A10" s="513" t="s">
        <v>22</v>
      </c>
      <c r="B10" s="603" t="s">
        <v>23</v>
      </c>
      <c r="C10" s="603" t="s">
        <v>265</v>
      </c>
      <c r="D10" s="268">
        <v>31</v>
      </c>
      <c r="E10" s="268">
        <v>57</v>
      </c>
      <c r="F10" s="268">
        <v>87</v>
      </c>
      <c r="G10" s="268">
        <v>58</v>
      </c>
      <c r="H10" s="268">
        <v>35</v>
      </c>
      <c r="I10" s="268">
        <v>47</v>
      </c>
      <c r="J10" s="268">
        <v>44</v>
      </c>
      <c r="K10" s="268">
        <v>43</v>
      </c>
      <c r="L10" s="268">
        <v>51</v>
      </c>
      <c r="M10" s="268">
        <v>46</v>
      </c>
      <c r="N10" s="268">
        <v>48</v>
      </c>
      <c r="O10" s="268">
        <v>43</v>
      </c>
      <c r="P10" s="268">
        <v>58</v>
      </c>
      <c r="Q10" s="268">
        <v>41</v>
      </c>
      <c r="R10" s="268">
        <v>44</v>
      </c>
      <c r="S10" s="268">
        <v>33</v>
      </c>
      <c r="T10" s="268">
        <v>54</v>
      </c>
      <c r="U10" s="268">
        <v>69</v>
      </c>
      <c r="V10" s="268">
        <f>SUM(D10:O10)</f>
        <v>590</v>
      </c>
      <c r="W10" s="268">
        <f>SUM(J10:U10)</f>
        <v>574</v>
      </c>
    </row>
    <row r="11" spans="1:23" x14ac:dyDescent="0.25">
      <c r="A11" s="513" t="s">
        <v>24</v>
      </c>
      <c r="B11" s="603" t="s">
        <v>25</v>
      </c>
      <c r="C11" s="603" t="s">
        <v>267</v>
      </c>
      <c r="D11" s="268">
        <v>302</v>
      </c>
      <c r="E11" s="268">
        <v>400</v>
      </c>
      <c r="F11" s="268">
        <v>375</v>
      </c>
      <c r="G11" s="268">
        <v>340</v>
      </c>
      <c r="H11" s="268">
        <v>351</v>
      </c>
      <c r="I11" s="268">
        <v>441</v>
      </c>
      <c r="J11" s="268">
        <v>417</v>
      </c>
      <c r="K11" s="268">
        <v>354</v>
      </c>
      <c r="L11" s="268">
        <v>480</v>
      </c>
      <c r="M11" s="268">
        <v>394</v>
      </c>
      <c r="N11" s="268">
        <v>451</v>
      </c>
      <c r="O11" s="268">
        <v>363</v>
      </c>
      <c r="P11" s="268">
        <v>421</v>
      </c>
      <c r="Q11" s="268">
        <v>377</v>
      </c>
      <c r="R11" s="268">
        <v>347</v>
      </c>
      <c r="S11" s="268">
        <v>344</v>
      </c>
      <c r="T11" s="268">
        <v>443</v>
      </c>
      <c r="U11" s="268">
        <v>523</v>
      </c>
      <c r="V11" s="268">
        <f>SUM(D11:O11)</f>
        <v>4668</v>
      </c>
      <c r="W11" s="268">
        <f>SUM(J11:U11)</f>
        <v>4914</v>
      </c>
    </row>
    <row r="12" spans="1:23" x14ac:dyDescent="0.25">
      <c r="A12" s="513" t="s">
        <v>26</v>
      </c>
      <c r="B12" s="603" t="s">
        <v>685</v>
      </c>
      <c r="C12" s="603" t="s">
        <v>265</v>
      </c>
      <c r="D12" s="268">
        <v>322</v>
      </c>
      <c r="E12" s="268">
        <v>416</v>
      </c>
      <c r="F12" s="268">
        <v>395</v>
      </c>
      <c r="G12" s="268">
        <v>371</v>
      </c>
      <c r="H12" s="268">
        <v>391</v>
      </c>
      <c r="I12" s="268">
        <v>394</v>
      </c>
      <c r="J12" s="268">
        <v>403</v>
      </c>
      <c r="K12" s="268">
        <v>427</v>
      </c>
      <c r="L12" s="268">
        <v>484</v>
      </c>
      <c r="M12" s="268">
        <v>408</v>
      </c>
      <c r="N12" s="268">
        <v>448</v>
      </c>
      <c r="O12" s="268">
        <v>433</v>
      </c>
      <c r="P12" s="268">
        <v>445</v>
      </c>
      <c r="Q12" s="268">
        <v>460</v>
      </c>
      <c r="R12" s="268">
        <v>442</v>
      </c>
      <c r="S12" s="268">
        <v>420</v>
      </c>
      <c r="T12" s="268">
        <v>487</v>
      </c>
      <c r="U12" s="268">
        <v>525</v>
      </c>
      <c r="V12" s="268">
        <f>SUM(D12:O12)</f>
        <v>4892</v>
      </c>
      <c r="W12" s="268">
        <f>SUM(J12:U12)</f>
        <v>5382</v>
      </c>
    </row>
    <row r="13" spans="1:23" x14ac:dyDescent="0.25">
      <c r="A13" s="513" t="s">
        <v>27</v>
      </c>
      <c r="B13" s="603" t="s">
        <v>28</v>
      </c>
      <c r="C13" s="603" t="s">
        <v>265</v>
      </c>
      <c r="D13" s="268">
        <v>14</v>
      </c>
      <c r="E13" s="268">
        <v>11</v>
      </c>
      <c r="F13" s="268">
        <v>9</v>
      </c>
      <c r="G13" s="268">
        <v>10</v>
      </c>
      <c r="H13" s="268">
        <v>7</v>
      </c>
      <c r="I13" s="268">
        <v>7</v>
      </c>
      <c r="J13" s="268">
        <v>12</v>
      </c>
      <c r="K13" s="268">
        <v>7</v>
      </c>
      <c r="L13" s="268">
        <v>12</v>
      </c>
      <c r="M13" s="268">
        <v>11</v>
      </c>
      <c r="N13" s="268">
        <v>12</v>
      </c>
      <c r="O13" s="268">
        <v>6</v>
      </c>
      <c r="P13" s="268">
        <v>11</v>
      </c>
      <c r="Q13" s="268">
        <v>14</v>
      </c>
      <c r="R13" s="268">
        <v>9</v>
      </c>
      <c r="S13" s="268">
        <v>11</v>
      </c>
      <c r="T13" s="268">
        <v>9</v>
      </c>
      <c r="U13" s="268">
        <v>18</v>
      </c>
      <c r="V13" s="268">
        <f>SUM(D13:O13)</f>
        <v>118</v>
      </c>
      <c r="W13" s="268">
        <f>SUM(J13:U13)</f>
        <v>132</v>
      </c>
    </row>
    <row r="14" spans="1:23" x14ac:dyDescent="0.25">
      <c r="A14" s="513" t="s">
        <v>29</v>
      </c>
      <c r="B14" s="603" t="s">
        <v>901</v>
      </c>
      <c r="C14" s="603" t="s">
        <v>265</v>
      </c>
      <c r="D14" s="268">
        <v>178</v>
      </c>
      <c r="E14" s="268">
        <v>222</v>
      </c>
      <c r="F14" s="268">
        <v>240</v>
      </c>
      <c r="G14" s="268">
        <v>192</v>
      </c>
      <c r="H14" s="268">
        <v>185</v>
      </c>
      <c r="I14" s="268">
        <v>243</v>
      </c>
      <c r="J14" s="268">
        <v>234</v>
      </c>
      <c r="K14" s="268">
        <v>198</v>
      </c>
      <c r="L14" s="268">
        <v>306</v>
      </c>
      <c r="M14" s="268">
        <v>201</v>
      </c>
      <c r="N14" s="268">
        <v>233</v>
      </c>
      <c r="O14" s="268">
        <v>188</v>
      </c>
      <c r="P14" s="268">
        <v>215</v>
      </c>
      <c r="Q14" s="268">
        <v>227</v>
      </c>
      <c r="R14" s="268">
        <v>197</v>
      </c>
      <c r="S14" s="268">
        <v>204</v>
      </c>
      <c r="T14" s="268">
        <v>251</v>
      </c>
      <c r="U14" s="268">
        <v>305</v>
      </c>
      <c r="V14" s="268">
        <f>SUM(D14:O14)</f>
        <v>2620</v>
      </c>
      <c r="W14" s="268">
        <f>SUM(J14:U14)</f>
        <v>2759</v>
      </c>
    </row>
    <row r="15" spans="1:23" x14ac:dyDescent="0.25">
      <c r="A15" s="513" t="s">
        <v>30</v>
      </c>
      <c r="B15" s="603" t="s">
        <v>31</v>
      </c>
      <c r="C15" s="603" t="s">
        <v>268</v>
      </c>
      <c r="D15" s="268">
        <v>10</v>
      </c>
      <c r="E15" s="268">
        <v>20</v>
      </c>
      <c r="F15" s="268">
        <v>13</v>
      </c>
      <c r="G15" s="268">
        <v>17</v>
      </c>
      <c r="H15" s="268">
        <v>22</v>
      </c>
      <c r="I15" s="268">
        <v>26</v>
      </c>
      <c r="J15" s="268">
        <v>20</v>
      </c>
      <c r="K15" s="268">
        <v>15</v>
      </c>
      <c r="L15" s="268">
        <v>21</v>
      </c>
      <c r="M15" s="268">
        <v>19</v>
      </c>
      <c r="N15" s="268">
        <v>10</v>
      </c>
      <c r="O15" s="268">
        <v>9</v>
      </c>
      <c r="P15" s="268">
        <v>21</v>
      </c>
      <c r="Q15" s="268">
        <v>24</v>
      </c>
      <c r="R15" s="268">
        <v>9</v>
      </c>
      <c r="S15" s="268">
        <v>16</v>
      </c>
      <c r="T15" s="268">
        <v>20</v>
      </c>
      <c r="U15" s="268">
        <v>13</v>
      </c>
      <c r="V15" s="268">
        <f>SUM(D15:O15)</f>
        <v>202</v>
      </c>
      <c r="W15" s="268">
        <f>SUM(J15:U15)</f>
        <v>197</v>
      </c>
    </row>
    <row r="16" spans="1:23" x14ac:dyDescent="0.25">
      <c r="A16" s="513" t="s">
        <v>32</v>
      </c>
      <c r="B16" s="603" t="s">
        <v>33</v>
      </c>
      <c r="C16" s="603" t="s">
        <v>265</v>
      </c>
      <c r="D16" s="268">
        <v>62</v>
      </c>
      <c r="E16" s="268">
        <v>94</v>
      </c>
      <c r="F16" s="268">
        <v>69</v>
      </c>
      <c r="G16" s="268">
        <v>72</v>
      </c>
      <c r="H16" s="268">
        <v>74</v>
      </c>
      <c r="I16" s="268">
        <v>117</v>
      </c>
      <c r="J16" s="268">
        <v>113</v>
      </c>
      <c r="K16" s="268">
        <v>86</v>
      </c>
      <c r="L16" s="268">
        <v>124</v>
      </c>
      <c r="M16" s="268">
        <v>82</v>
      </c>
      <c r="N16" s="268">
        <v>97</v>
      </c>
      <c r="O16" s="268">
        <v>77</v>
      </c>
      <c r="P16" s="268">
        <v>75</v>
      </c>
      <c r="Q16" s="268">
        <v>73</v>
      </c>
      <c r="R16" s="268">
        <v>81</v>
      </c>
      <c r="S16" s="268">
        <v>58</v>
      </c>
      <c r="T16" s="268">
        <v>84</v>
      </c>
      <c r="U16" s="268">
        <v>120</v>
      </c>
      <c r="V16" s="268">
        <f>SUM(D16:O16)</f>
        <v>1067</v>
      </c>
      <c r="W16" s="268">
        <f>SUM(J16:U16)</f>
        <v>1070</v>
      </c>
    </row>
    <row r="17" spans="1:23" x14ac:dyDescent="0.25">
      <c r="A17" s="513" t="s">
        <v>36</v>
      </c>
      <c r="B17" s="603" t="s">
        <v>37</v>
      </c>
      <c r="C17" s="603" t="s">
        <v>264</v>
      </c>
      <c r="D17" s="268">
        <v>39</v>
      </c>
      <c r="E17" s="268">
        <v>59</v>
      </c>
      <c r="F17" s="268">
        <v>75</v>
      </c>
      <c r="G17" s="268">
        <v>63</v>
      </c>
      <c r="H17" s="268">
        <v>64</v>
      </c>
      <c r="I17" s="268">
        <v>47</v>
      </c>
      <c r="J17" s="268">
        <v>59</v>
      </c>
      <c r="K17" s="268">
        <v>50</v>
      </c>
      <c r="L17" s="268">
        <v>84</v>
      </c>
      <c r="M17" s="268">
        <v>66</v>
      </c>
      <c r="N17" s="268">
        <v>60</v>
      </c>
      <c r="O17" s="268">
        <v>63</v>
      </c>
      <c r="P17" s="268">
        <v>57</v>
      </c>
      <c r="Q17" s="268">
        <v>55</v>
      </c>
      <c r="R17" s="268">
        <v>70</v>
      </c>
      <c r="S17" s="268">
        <v>48</v>
      </c>
      <c r="T17" s="268">
        <v>60</v>
      </c>
      <c r="U17" s="268">
        <v>66</v>
      </c>
      <c r="V17" s="268">
        <f>SUM(D17:O17)</f>
        <v>729</v>
      </c>
      <c r="W17" s="268">
        <f>SUM(J17:U17)</f>
        <v>738</v>
      </c>
    </row>
    <row r="18" spans="1:23" x14ac:dyDescent="0.25">
      <c r="A18" s="513" t="s">
        <v>38</v>
      </c>
      <c r="B18" s="603" t="s">
        <v>39</v>
      </c>
      <c r="C18" s="603" t="s">
        <v>268</v>
      </c>
      <c r="D18" s="268">
        <v>81</v>
      </c>
      <c r="E18" s="268">
        <v>97</v>
      </c>
      <c r="F18" s="268">
        <v>84</v>
      </c>
      <c r="G18" s="268">
        <v>79</v>
      </c>
      <c r="H18" s="268">
        <v>82</v>
      </c>
      <c r="I18" s="268">
        <v>109</v>
      </c>
      <c r="J18" s="268">
        <v>98</v>
      </c>
      <c r="K18" s="268">
        <v>82</v>
      </c>
      <c r="L18" s="268">
        <v>111</v>
      </c>
      <c r="M18" s="268">
        <v>98</v>
      </c>
      <c r="N18" s="268">
        <v>110</v>
      </c>
      <c r="O18" s="268">
        <v>107</v>
      </c>
      <c r="P18" s="268">
        <v>92</v>
      </c>
      <c r="Q18" s="268">
        <v>99</v>
      </c>
      <c r="R18" s="268">
        <v>76</v>
      </c>
      <c r="S18" s="268">
        <v>77</v>
      </c>
      <c r="T18" s="268">
        <v>94</v>
      </c>
      <c r="U18" s="268">
        <v>94</v>
      </c>
      <c r="V18" s="268">
        <f>SUM(D18:O18)</f>
        <v>1138</v>
      </c>
      <c r="W18" s="268">
        <f>SUM(J18:U18)</f>
        <v>1138</v>
      </c>
    </row>
    <row r="19" spans="1:23" x14ac:dyDescent="0.25">
      <c r="A19" s="513" t="s">
        <v>40</v>
      </c>
      <c r="B19" s="603" t="s">
        <v>41</v>
      </c>
      <c r="C19" s="603" t="s">
        <v>266</v>
      </c>
      <c r="D19" s="268">
        <v>43</v>
      </c>
      <c r="E19" s="268">
        <v>46</v>
      </c>
      <c r="F19" s="268">
        <v>57</v>
      </c>
      <c r="G19" s="268">
        <v>31</v>
      </c>
      <c r="H19" s="268">
        <v>42</v>
      </c>
      <c r="I19" s="268">
        <v>56</v>
      </c>
      <c r="J19" s="268">
        <v>54</v>
      </c>
      <c r="K19" s="268">
        <v>59</v>
      </c>
      <c r="L19" s="268">
        <v>55</v>
      </c>
      <c r="M19" s="268">
        <v>48</v>
      </c>
      <c r="N19" s="268">
        <v>51</v>
      </c>
      <c r="O19" s="268">
        <v>42</v>
      </c>
      <c r="P19" s="268">
        <v>57</v>
      </c>
      <c r="Q19" s="268">
        <v>54</v>
      </c>
      <c r="R19" s="268">
        <v>42</v>
      </c>
      <c r="S19" s="268">
        <v>37</v>
      </c>
      <c r="T19" s="268">
        <v>40</v>
      </c>
      <c r="U19" s="268">
        <v>55</v>
      </c>
      <c r="V19" s="268">
        <f>SUM(D19:O19)</f>
        <v>584</v>
      </c>
      <c r="W19" s="268">
        <f>SUM(J19:U19)</f>
        <v>594</v>
      </c>
    </row>
    <row r="20" spans="1:23" x14ac:dyDescent="0.25">
      <c r="A20" s="513" t="s">
        <v>42</v>
      </c>
      <c r="B20" s="603" t="s">
        <v>43</v>
      </c>
      <c r="C20" s="603" t="s">
        <v>265</v>
      </c>
      <c r="D20" s="268">
        <v>146</v>
      </c>
      <c r="E20" s="268">
        <v>192</v>
      </c>
      <c r="F20" s="268">
        <v>165</v>
      </c>
      <c r="G20" s="268">
        <v>152</v>
      </c>
      <c r="H20" s="268">
        <v>169</v>
      </c>
      <c r="I20" s="268">
        <v>165</v>
      </c>
      <c r="J20" s="268">
        <v>188</v>
      </c>
      <c r="K20" s="268">
        <v>154</v>
      </c>
      <c r="L20" s="268">
        <v>200</v>
      </c>
      <c r="M20" s="268">
        <v>143</v>
      </c>
      <c r="N20" s="268">
        <v>190</v>
      </c>
      <c r="O20" s="268">
        <v>138</v>
      </c>
      <c r="P20" s="268">
        <v>146</v>
      </c>
      <c r="Q20" s="268">
        <v>150</v>
      </c>
      <c r="R20" s="268">
        <v>162</v>
      </c>
      <c r="S20" s="268">
        <v>150</v>
      </c>
      <c r="T20" s="268">
        <v>148</v>
      </c>
      <c r="U20" s="268">
        <v>196</v>
      </c>
      <c r="V20" s="268">
        <f>SUM(D20:O20)</f>
        <v>2002</v>
      </c>
      <c r="W20" s="268">
        <f>SUM(J20:U20)</f>
        <v>1965</v>
      </c>
    </row>
    <row r="21" spans="1:23" x14ac:dyDescent="0.25">
      <c r="A21" s="513" t="s">
        <v>44</v>
      </c>
      <c r="B21" s="603" t="s">
        <v>45</v>
      </c>
      <c r="C21" s="603" t="s">
        <v>266</v>
      </c>
      <c r="D21" s="268">
        <v>101</v>
      </c>
      <c r="E21" s="268">
        <v>109</v>
      </c>
      <c r="F21" s="268">
        <v>108</v>
      </c>
      <c r="G21" s="268">
        <v>83</v>
      </c>
      <c r="H21" s="268">
        <v>92</v>
      </c>
      <c r="I21" s="268">
        <v>110</v>
      </c>
      <c r="J21" s="268">
        <v>109</v>
      </c>
      <c r="K21" s="268">
        <v>87</v>
      </c>
      <c r="L21" s="268">
        <v>160</v>
      </c>
      <c r="M21" s="268">
        <v>88</v>
      </c>
      <c r="N21" s="268">
        <v>112</v>
      </c>
      <c r="O21" s="268">
        <v>114</v>
      </c>
      <c r="P21" s="268">
        <v>102</v>
      </c>
      <c r="Q21" s="268">
        <v>115</v>
      </c>
      <c r="R21" s="268">
        <v>87</v>
      </c>
      <c r="S21" s="268">
        <v>118</v>
      </c>
      <c r="T21" s="268">
        <v>129</v>
      </c>
      <c r="U21" s="268">
        <v>134</v>
      </c>
      <c r="V21" s="268">
        <f>SUM(D21:O21)</f>
        <v>1273</v>
      </c>
      <c r="W21" s="268">
        <f>SUM(J21:U21)</f>
        <v>1355</v>
      </c>
    </row>
    <row r="22" spans="1:23" x14ac:dyDescent="0.25">
      <c r="A22" s="513" t="s">
        <v>46</v>
      </c>
      <c r="B22" s="603" t="s">
        <v>47</v>
      </c>
      <c r="C22" s="603" t="s">
        <v>268</v>
      </c>
      <c r="D22" s="268">
        <v>105</v>
      </c>
      <c r="E22" s="268">
        <v>105</v>
      </c>
      <c r="F22" s="268">
        <v>136</v>
      </c>
      <c r="G22" s="268">
        <v>102</v>
      </c>
      <c r="H22" s="268">
        <v>133</v>
      </c>
      <c r="I22" s="268">
        <v>144</v>
      </c>
      <c r="J22" s="268">
        <v>114</v>
      </c>
      <c r="K22" s="268">
        <v>102</v>
      </c>
      <c r="L22" s="268">
        <v>149</v>
      </c>
      <c r="M22" s="268">
        <v>97</v>
      </c>
      <c r="N22" s="268">
        <v>129</v>
      </c>
      <c r="O22" s="268">
        <v>116</v>
      </c>
      <c r="P22" s="268">
        <v>109</v>
      </c>
      <c r="Q22" s="268">
        <v>127</v>
      </c>
      <c r="R22" s="268">
        <v>113</v>
      </c>
      <c r="S22" s="268">
        <v>108</v>
      </c>
      <c r="T22" s="268">
        <v>142</v>
      </c>
      <c r="U22" s="268">
        <v>138</v>
      </c>
      <c r="V22" s="268">
        <f>SUM(D22:O22)</f>
        <v>1432</v>
      </c>
      <c r="W22" s="268">
        <f>SUM(J22:U22)</f>
        <v>1444</v>
      </c>
    </row>
    <row r="23" spans="1:23" x14ac:dyDescent="0.25">
      <c r="A23" s="513" t="s">
        <v>48</v>
      </c>
      <c r="B23" s="603" t="s">
        <v>269</v>
      </c>
      <c r="C23" s="603" t="s">
        <v>266</v>
      </c>
      <c r="D23" s="268">
        <v>13</v>
      </c>
      <c r="E23" s="268">
        <v>19</v>
      </c>
      <c r="F23" s="268">
        <v>19</v>
      </c>
      <c r="G23" s="268">
        <v>14</v>
      </c>
      <c r="H23" s="268">
        <v>18</v>
      </c>
      <c r="I23" s="268">
        <v>14</v>
      </c>
      <c r="J23" s="268">
        <v>16</v>
      </c>
      <c r="K23" s="268">
        <v>15</v>
      </c>
      <c r="L23" s="268">
        <v>31</v>
      </c>
      <c r="M23" s="268">
        <v>18</v>
      </c>
      <c r="N23" s="268">
        <v>15</v>
      </c>
      <c r="O23" s="268">
        <v>20</v>
      </c>
      <c r="P23" s="268">
        <v>12</v>
      </c>
      <c r="Q23" s="268">
        <v>19</v>
      </c>
      <c r="R23" s="268">
        <v>20</v>
      </c>
      <c r="S23" s="268">
        <v>17</v>
      </c>
      <c r="T23" s="268">
        <v>14</v>
      </c>
      <c r="U23" s="268">
        <v>47</v>
      </c>
      <c r="V23" s="268">
        <f>SUM(D23:O23)</f>
        <v>212</v>
      </c>
      <c r="W23" s="268">
        <f>SUM(J23:U23)</f>
        <v>244</v>
      </c>
    </row>
    <row r="24" spans="1:23" x14ac:dyDescent="0.25">
      <c r="A24" s="513" t="s">
        <v>50</v>
      </c>
      <c r="B24" s="603" t="s">
        <v>51</v>
      </c>
      <c r="C24" s="603" t="s">
        <v>265</v>
      </c>
      <c r="D24" s="268">
        <v>25</v>
      </c>
      <c r="E24" s="268">
        <v>43</v>
      </c>
      <c r="F24" s="268">
        <v>38</v>
      </c>
      <c r="G24" s="268">
        <v>30</v>
      </c>
      <c r="H24" s="268">
        <v>36</v>
      </c>
      <c r="I24" s="268">
        <v>31</v>
      </c>
      <c r="J24" s="268">
        <v>36</v>
      </c>
      <c r="K24" s="268">
        <v>29</v>
      </c>
      <c r="L24" s="268">
        <v>48</v>
      </c>
      <c r="M24" s="268">
        <v>59</v>
      </c>
      <c r="N24" s="268">
        <v>29</v>
      </c>
      <c r="O24" s="268">
        <v>40</v>
      </c>
      <c r="P24" s="268">
        <v>36</v>
      </c>
      <c r="Q24" s="268">
        <v>41</v>
      </c>
      <c r="R24" s="268">
        <v>41</v>
      </c>
      <c r="S24" s="268">
        <v>45</v>
      </c>
      <c r="T24" s="268">
        <v>45</v>
      </c>
      <c r="U24" s="268">
        <v>48</v>
      </c>
      <c r="V24" s="268">
        <f>SUM(D24:O24)</f>
        <v>444</v>
      </c>
      <c r="W24" s="268">
        <f>SUM(J24:U24)</f>
        <v>497</v>
      </c>
    </row>
    <row r="25" spans="1:23" x14ac:dyDescent="0.25">
      <c r="A25" s="513" t="s">
        <v>56</v>
      </c>
      <c r="B25" s="603" t="s">
        <v>295</v>
      </c>
      <c r="C25" s="603" t="s">
        <v>266</v>
      </c>
      <c r="D25" s="268">
        <v>1065</v>
      </c>
      <c r="E25" s="268">
        <v>1122</v>
      </c>
      <c r="F25" s="268">
        <v>1146</v>
      </c>
      <c r="G25" s="268">
        <v>945</v>
      </c>
      <c r="H25" s="268">
        <v>915</v>
      </c>
      <c r="I25" s="268">
        <v>1061</v>
      </c>
      <c r="J25" s="268">
        <v>999</v>
      </c>
      <c r="K25" s="268">
        <v>865</v>
      </c>
      <c r="L25" s="268">
        <v>1473</v>
      </c>
      <c r="M25" s="268">
        <v>943</v>
      </c>
      <c r="N25" s="268">
        <v>1109</v>
      </c>
      <c r="O25" s="268">
        <v>982</v>
      </c>
      <c r="P25" s="268">
        <v>1079</v>
      </c>
      <c r="Q25" s="268">
        <v>956</v>
      </c>
      <c r="R25" s="268">
        <v>880</v>
      </c>
      <c r="S25" s="268">
        <v>916</v>
      </c>
      <c r="T25" s="268">
        <v>1009</v>
      </c>
      <c r="U25" s="268">
        <v>1405</v>
      </c>
      <c r="V25" s="268">
        <f>SUM(D25:O25)</f>
        <v>12625</v>
      </c>
      <c r="W25" s="268">
        <f>SUM(J25:U25)</f>
        <v>12616</v>
      </c>
    </row>
    <row r="26" spans="1:23" x14ac:dyDescent="0.25">
      <c r="A26" s="513" t="s">
        <v>58</v>
      </c>
      <c r="B26" s="603" t="s">
        <v>59</v>
      </c>
      <c r="C26" s="603" t="s">
        <v>267</v>
      </c>
      <c r="D26" s="268">
        <v>33</v>
      </c>
      <c r="E26" s="268">
        <v>37</v>
      </c>
      <c r="F26" s="268">
        <v>32</v>
      </c>
      <c r="G26" s="268">
        <v>31</v>
      </c>
      <c r="H26" s="268">
        <v>43</v>
      </c>
      <c r="I26" s="268">
        <v>33</v>
      </c>
      <c r="J26" s="268">
        <v>33</v>
      </c>
      <c r="K26" s="268">
        <v>36</v>
      </c>
      <c r="L26" s="268">
        <v>35</v>
      </c>
      <c r="M26" s="268">
        <v>27</v>
      </c>
      <c r="N26" s="268">
        <v>34</v>
      </c>
      <c r="O26" s="268">
        <v>43</v>
      </c>
      <c r="P26" s="268">
        <v>36</v>
      </c>
      <c r="Q26" s="268">
        <v>39</v>
      </c>
      <c r="R26" s="268">
        <v>24</v>
      </c>
      <c r="S26" s="268">
        <v>23</v>
      </c>
      <c r="T26" s="268">
        <v>34</v>
      </c>
      <c r="U26" s="268">
        <v>44</v>
      </c>
      <c r="V26" s="268">
        <f>SUM(D26:O26)</f>
        <v>417</v>
      </c>
      <c r="W26" s="268">
        <f>SUM(J26:U26)</f>
        <v>408</v>
      </c>
    </row>
    <row r="27" spans="1:23" x14ac:dyDescent="0.25">
      <c r="A27" s="513" t="s">
        <v>60</v>
      </c>
      <c r="B27" s="603" t="s">
        <v>61</v>
      </c>
      <c r="C27" s="603" t="s">
        <v>265</v>
      </c>
      <c r="D27" s="268">
        <v>16</v>
      </c>
      <c r="E27" s="268">
        <v>19</v>
      </c>
      <c r="F27" s="268">
        <v>13</v>
      </c>
      <c r="G27" s="268">
        <v>21</v>
      </c>
      <c r="H27" s="268">
        <v>10</v>
      </c>
      <c r="I27" s="268">
        <v>12</v>
      </c>
      <c r="J27" s="268">
        <v>21</v>
      </c>
      <c r="K27" s="268">
        <v>16</v>
      </c>
      <c r="L27" s="268">
        <v>27</v>
      </c>
      <c r="M27" s="268">
        <v>13</v>
      </c>
      <c r="N27" s="268">
        <v>17</v>
      </c>
      <c r="O27" s="268">
        <v>16</v>
      </c>
      <c r="P27" s="268">
        <v>18</v>
      </c>
      <c r="Q27" s="268">
        <v>26</v>
      </c>
      <c r="R27" s="268">
        <v>26</v>
      </c>
      <c r="S27" s="268">
        <v>12</v>
      </c>
      <c r="T27" s="268">
        <v>11</v>
      </c>
      <c r="U27" s="268">
        <v>18</v>
      </c>
      <c r="V27" s="268">
        <f>SUM(D27:O27)</f>
        <v>201</v>
      </c>
      <c r="W27" s="268">
        <f>SUM(J27:U27)</f>
        <v>221</v>
      </c>
    </row>
    <row r="28" spans="1:23" x14ac:dyDescent="0.25">
      <c r="A28" s="513" t="s">
        <v>62</v>
      </c>
      <c r="B28" s="603" t="s">
        <v>63</v>
      </c>
      <c r="C28" s="603" t="s">
        <v>267</v>
      </c>
      <c r="D28" s="268">
        <v>130</v>
      </c>
      <c r="E28" s="268">
        <v>191</v>
      </c>
      <c r="F28" s="268">
        <v>193</v>
      </c>
      <c r="G28" s="268">
        <v>148</v>
      </c>
      <c r="H28" s="268">
        <v>176</v>
      </c>
      <c r="I28" s="268">
        <v>190</v>
      </c>
      <c r="J28" s="268">
        <v>214</v>
      </c>
      <c r="K28" s="268">
        <v>180</v>
      </c>
      <c r="L28" s="268">
        <v>264</v>
      </c>
      <c r="M28" s="268">
        <v>203</v>
      </c>
      <c r="N28" s="268">
        <v>174</v>
      </c>
      <c r="O28" s="268">
        <v>163</v>
      </c>
      <c r="P28" s="268">
        <v>180</v>
      </c>
      <c r="Q28" s="268">
        <v>158</v>
      </c>
      <c r="R28" s="268">
        <v>188</v>
      </c>
      <c r="S28" s="268">
        <v>154</v>
      </c>
      <c r="T28" s="268">
        <v>174</v>
      </c>
      <c r="U28" s="268">
        <v>211</v>
      </c>
      <c r="V28" s="268">
        <f>SUM(D28:O28)</f>
        <v>2226</v>
      </c>
      <c r="W28" s="268">
        <f>SUM(J28:U28)</f>
        <v>2263</v>
      </c>
    </row>
    <row r="29" spans="1:23" x14ac:dyDescent="0.25">
      <c r="A29" s="513" t="s">
        <v>64</v>
      </c>
      <c r="B29" s="603" t="s">
        <v>65</v>
      </c>
      <c r="C29" s="603" t="s">
        <v>266</v>
      </c>
      <c r="D29" s="268">
        <v>35</v>
      </c>
      <c r="E29" s="268">
        <v>33</v>
      </c>
      <c r="F29" s="268">
        <v>36</v>
      </c>
      <c r="G29" s="268">
        <v>22</v>
      </c>
      <c r="H29" s="268">
        <v>36</v>
      </c>
      <c r="I29" s="268">
        <v>36</v>
      </c>
      <c r="J29" s="268">
        <v>44</v>
      </c>
      <c r="K29" s="268">
        <v>39</v>
      </c>
      <c r="L29" s="268">
        <v>51</v>
      </c>
      <c r="M29" s="268">
        <v>54</v>
      </c>
      <c r="N29" s="268">
        <v>34</v>
      </c>
      <c r="O29" s="268">
        <v>54</v>
      </c>
      <c r="P29" s="268">
        <v>41</v>
      </c>
      <c r="Q29" s="268">
        <v>38</v>
      </c>
      <c r="R29" s="268">
        <v>21</v>
      </c>
      <c r="S29" s="268">
        <v>28</v>
      </c>
      <c r="T29" s="268">
        <v>41</v>
      </c>
      <c r="U29" s="268">
        <v>45</v>
      </c>
      <c r="V29" s="268">
        <f>SUM(D29:O29)</f>
        <v>474</v>
      </c>
      <c r="W29" s="268">
        <f>SUM(J29:U29)</f>
        <v>490</v>
      </c>
    </row>
    <row r="30" spans="1:23" x14ac:dyDescent="0.25">
      <c r="A30" s="513" t="s">
        <v>68</v>
      </c>
      <c r="B30" s="603" t="s">
        <v>69</v>
      </c>
      <c r="C30" s="603" t="s">
        <v>268</v>
      </c>
      <c r="D30" s="268">
        <v>64</v>
      </c>
      <c r="E30" s="268">
        <v>60</v>
      </c>
      <c r="F30" s="268">
        <v>58</v>
      </c>
      <c r="G30" s="268">
        <v>40</v>
      </c>
      <c r="H30" s="268">
        <v>53</v>
      </c>
      <c r="I30" s="268">
        <v>59</v>
      </c>
      <c r="J30" s="268">
        <v>55</v>
      </c>
      <c r="K30" s="268">
        <v>59</v>
      </c>
      <c r="L30" s="268">
        <v>75</v>
      </c>
      <c r="M30" s="268">
        <v>63</v>
      </c>
      <c r="N30" s="268">
        <v>64</v>
      </c>
      <c r="O30" s="268">
        <v>47</v>
      </c>
      <c r="P30" s="268">
        <v>52</v>
      </c>
      <c r="Q30" s="268">
        <v>56</v>
      </c>
      <c r="R30" s="268">
        <v>47</v>
      </c>
      <c r="S30" s="268">
        <v>57</v>
      </c>
      <c r="T30" s="268">
        <v>54</v>
      </c>
      <c r="U30" s="268">
        <v>55</v>
      </c>
      <c r="V30" s="268">
        <f>SUM(D30:O30)</f>
        <v>697</v>
      </c>
      <c r="W30" s="268">
        <f>SUM(J30:U30)</f>
        <v>684</v>
      </c>
    </row>
    <row r="31" spans="1:23" x14ac:dyDescent="0.25">
      <c r="A31" s="513" t="s">
        <v>70</v>
      </c>
      <c r="B31" s="603" t="s">
        <v>71</v>
      </c>
      <c r="C31" s="603" t="s">
        <v>264</v>
      </c>
      <c r="D31" s="268">
        <v>78</v>
      </c>
      <c r="E31" s="268">
        <v>98</v>
      </c>
      <c r="F31" s="268">
        <v>102</v>
      </c>
      <c r="G31" s="268">
        <v>93</v>
      </c>
      <c r="H31" s="268">
        <v>89</v>
      </c>
      <c r="I31" s="268">
        <v>78</v>
      </c>
      <c r="J31" s="268">
        <v>109</v>
      </c>
      <c r="K31" s="268">
        <v>107</v>
      </c>
      <c r="L31" s="268">
        <v>128</v>
      </c>
      <c r="M31" s="268">
        <v>110</v>
      </c>
      <c r="N31" s="268">
        <v>108</v>
      </c>
      <c r="O31" s="268">
        <v>97</v>
      </c>
      <c r="P31" s="268">
        <v>91</v>
      </c>
      <c r="Q31" s="268">
        <v>85</v>
      </c>
      <c r="R31" s="268">
        <v>92</v>
      </c>
      <c r="S31" s="268">
        <v>79</v>
      </c>
      <c r="T31" s="268">
        <v>94</v>
      </c>
      <c r="U31" s="268">
        <v>119</v>
      </c>
      <c r="V31" s="268">
        <f>SUM(D31:O31)</f>
        <v>1197</v>
      </c>
      <c r="W31" s="268">
        <f>SUM(J31:U31)</f>
        <v>1219</v>
      </c>
    </row>
    <row r="32" spans="1:23" x14ac:dyDescent="0.25">
      <c r="A32" s="513" t="s">
        <v>72</v>
      </c>
      <c r="B32" s="603" t="s">
        <v>73</v>
      </c>
      <c r="C32" s="603" t="s">
        <v>266</v>
      </c>
      <c r="D32" s="268">
        <v>39</v>
      </c>
      <c r="E32" s="268">
        <v>40</v>
      </c>
      <c r="F32" s="268">
        <v>36</v>
      </c>
      <c r="G32" s="268">
        <v>40</v>
      </c>
      <c r="H32" s="268">
        <v>28</v>
      </c>
      <c r="I32" s="268">
        <v>38</v>
      </c>
      <c r="J32" s="268">
        <v>51</v>
      </c>
      <c r="K32" s="268">
        <v>28</v>
      </c>
      <c r="L32" s="268">
        <v>52</v>
      </c>
      <c r="M32" s="268">
        <v>47</v>
      </c>
      <c r="N32" s="268">
        <v>41</v>
      </c>
      <c r="O32" s="268">
        <v>36</v>
      </c>
      <c r="P32" s="268">
        <v>32</v>
      </c>
      <c r="Q32" s="268">
        <v>30</v>
      </c>
      <c r="R32" s="268">
        <v>40</v>
      </c>
      <c r="S32" s="268">
        <v>40</v>
      </c>
      <c r="T32" s="268">
        <v>31</v>
      </c>
      <c r="U32" s="268">
        <v>39</v>
      </c>
      <c r="V32" s="268">
        <f>SUM(D32:O32)</f>
        <v>476</v>
      </c>
      <c r="W32" s="268">
        <f>SUM(J32:U32)</f>
        <v>467</v>
      </c>
    </row>
    <row r="33" spans="1:23" x14ac:dyDescent="0.25">
      <c r="A33" s="513" t="s">
        <v>74</v>
      </c>
      <c r="B33" s="603" t="s">
        <v>296</v>
      </c>
      <c r="C33" s="603" t="s">
        <v>267</v>
      </c>
      <c r="D33" s="268">
        <v>2482</v>
      </c>
      <c r="E33" s="268">
        <v>2765</v>
      </c>
      <c r="F33" s="268">
        <v>2844</v>
      </c>
      <c r="G33" s="268">
        <v>2557</v>
      </c>
      <c r="H33" s="268">
        <v>2649</v>
      </c>
      <c r="I33" s="268">
        <v>3160</v>
      </c>
      <c r="J33" s="268">
        <v>3241</v>
      </c>
      <c r="K33" s="268">
        <v>3026</v>
      </c>
      <c r="L33" s="268">
        <v>3950</v>
      </c>
      <c r="M33" s="268">
        <v>2935</v>
      </c>
      <c r="N33" s="268">
        <v>3442</v>
      </c>
      <c r="O33" s="268">
        <v>3125</v>
      </c>
      <c r="P33" s="268">
        <v>3192</v>
      </c>
      <c r="Q33" s="268">
        <v>2908</v>
      </c>
      <c r="R33" s="268">
        <v>2495</v>
      </c>
      <c r="S33" s="268">
        <v>2538</v>
      </c>
      <c r="T33" s="268">
        <v>3552</v>
      </c>
      <c r="U33" s="268">
        <v>4668</v>
      </c>
      <c r="V33" s="268">
        <f>SUM(D33:O33)</f>
        <v>36176</v>
      </c>
      <c r="W33" s="268">
        <f>SUM(J33:U33)</f>
        <v>39072</v>
      </c>
    </row>
    <row r="34" spans="1:23" x14ac:dyDescent="0.25">
      <c r="A34" s="513" t="s">
        <v>76</v>
      </c>
      <c r="B34" s="603" t="s">
        <v>77</v>
      </c>
      <c r="C34" s="603" t="s">
        <v>267</v>
      </c>
      <c r="D34" s="268">
        <v>116</v>
      </c>
      <c r="E34" s="268">
        <v>169</v>
      </c>
      <c r="F34" s="268">
        <v>154</v>
      </c>
      <c r="G34" s="268">
        <v>121</v>
      </c>
      <c r="H34" s="268">
        <v>154</v>
      </c>
      <c r="I34" s="268">
        <v>133</v>
      </c>
      <c r="J34" s="268">
        <v>155</v>
      </c>
      <c r="K34" s="268">
        <v>145</v>
      </c>
      <c r="L34" s="268">
        <v>214</v>
      </c>
      <c r="M34" s="268">
        <v>140</v>
      </c>
      <c r="N34" s="268">
        <v>180</v>
      </c>
      <c r="O34" s="268">
        <v>158</v>
      </c>
      <c r="P34" s="268">
        <v>194</v>
      </c>
      <c r="Q34" s="268">
        <v>160</v>
      </c>
      <c r="R34" s="268">
        <v>127</v>
      </c>
      <c r="S34" s="268">
        <v>130</v>
      </c>
      <c r="T34" s="268">
        <v>155</v>
      </c>
      <c r="U34" s="268">
        <v>207</v>
      </c>
      <c r="V34" s="268">
        <f>SUM(D34:O34)</f>
        <v>1839</v>
      </c>
      <c r="W34" s="268">
        <f>SUM(J34:U34)</f>
        <v>1965</v>
      </c>
    </row>
    <row r="35" spans="1:23" x14ac:dyDescent="0.25">
      <c r="A35" s="513" t="s">
        <v>78</v>
      </c>
      <c r="B35" s="603" t="s">
        <v>79</v>
      </c>
      <c r="C35" s="603" t="s">
        <v>268</v>
      </c>
      <c r="D35" s="268">
        <v>41</v>
      </c>
      <c r="E35" s="268">
        <v>41</v>
      </c>
      <c r="F35" s="268">
        <v>47</v>
      </c>
      <c r="G35" s="268">
        <v>53</v>
      </c>
      <c r="H35" s="268">
        <v>42</v>
      </c>
      <c r="I35" s="268">
        <v>53</v>
      </c>
      <c r="J35" s="268">
        <v>52</v>
      </c>
      <c r="K35" s="268">
        <v>63</v>
      </c>
      <c r="L35" s="268">
        <v>74</v>
      </c>
      <c r="M35" s="268">
        <v>60</v>
      </c>
      <c r="N35" s="268">
        <v>53</v>
      </c>
      <c r="O35" s="268">
        <v>51</v>
      </c>
      <c r="P35" s="268">
        <v>58</v>
      </c>
      <c r="Q35" s="268">
        <v>74</v>
      </c>
      <c r="R35" s="268">
        <v>43</v>
      </c>
      <c r="S35" s="268">
        <v>42</v>
      </c>
      <c r="T35" s="268">
        <v>39</v>
      </c>
      <c r="U35" s="268">
        <v>70</v>
      </c>
      <c r="V35" s="268">
        <f>SUM(D35:O35)</f>
        <v>630</v>
      </c>
      <c r="W35" s="268">
        <f>SUM(J35:U35)</f>
        <v>679</v>
      </c>
    </row>
    <row r="36" spans="1:23" x14ac:dyDescent="0.25">
      <c r="A36" s="513" t="s">
        <v>80</v>
      </c>
      <c r="B36" s="603" t="s">
        <v>81</v>
      </c>
      <c r="C36" s="603" t="s">
        <v>266</v>
      </c>
      <c r="D36" s="268">
        <v>46</v>
      </c>
      <c r="E36" s="268">
        <v>32</v>
      </c>
      <c r="F36" s="268">
        <v>32</v>
      </c>
      <c r="G36" s="268">
        <v>25</v>
      </c>
      <c r="H36" s="268">
        <v>35</v>
      </c>
      <c r="I36" s="268">
        <v>39</v>
      </c>
      <c r="J36" s="268">
        <v>67</v>
      </c>
      <c r="K36" s="268">
        <v>80</v>
      </c>
      <c r="L36" s="268">
        <v>127</v>
      </c>
      <c r="M36" s="268">
        <v>65</v>
      </c>
      <c r="N36" s="268">
        <v>64</v>
      </c>
      <c r="O36" s="268">
        <v>72</v>
      </c>
      <c r="P36" s="268">
        <v>56</v>
      </c>
      <c r="Q36" s="268">
        <v>70</v>
      </c>
      <c r="R36" s="268">
        <v>73</v>
      </c>
      <c r="S36" s="268">
        <v>69</v>
      </c>
      <c r="T36" s="268">
        <v>74</v>
      </c>
      <c r="U36" s="268">
        <v>92</v>
      </c>
      <c r="V36" s="268">
        <f>SUM(D36:O36)</f>
        <v>684</v>
      </c>
      <c r="W36" s="268">
        <f>SUM(J36:U36)</f>
        <v>909</v>
      </c>
    </row>
    <row r="37" spans="1:23" x14ac:dyDescent="0.25">
      <c r="A37" s="513" t="s">
        <v>84</v>
      </c>
      <c r="B37" s="603" t="s">
        <v>85</v>
      </c>
      <c r="C37" s="603" t="s">
        <v>265</v>
      </c>
      <c r="D37" s="268">
        <v>134</v>
      </c>
      <c r="E37" s="268">
        <v>174</v>
      </c>
      <c r="F37" s="268">
        <v>168</v>
      </c>
      <c r="G37" s="268">
        <v>159</v>
      </c>
      <c r="H37" s="268">
        <v>158</v>
      </c>
      <c r="I37" s="268">
        <v>165</v>
      </c>
      <c r="J37" s="268">
        <v>184</v>
      </c>
      <c r="K37" s="268">
        <v>187</v>
      </c>
      <c r="L37" s="268">
        <v>225</v>
      </c>
      <c r="M37" s="268">
        <v>189</v>
      </c>
      <c r="N37" s="268">
        <v>176</v>
      </c>
      <c r="O37" s="268">
        <v>163</v>
      </c>
      <c r="P37" s="268">
        <v>154</v>
      </c>
      <c r="Q37" s="268">
        <v>177</v>
      </c>
      <c r="R37" s="268">
        <v>152</v>
      </c>
      <c r="S37" s="268">
        <v>140</v>
      </c>
      <c r="T37" s="268">
        <v>156</v>
      </c>
      <c r="U37" s="268">
        <v>235</v>
      </c>
      <c r="V37" s="268">
        <f>SUM(D37:O37)</f>
        <v>2082</v>
      </c>
      <c r="W37" s="268">
        <f>SUM(J37:U37)</f>
        <v>2138</v>
      </c>
    </row>
    <row r="38" spans="1:23" x14ac:dyDescent="0.25">
      <c r="A38" s="513" t="s">
        <v>86</v>
      </c>
      <c r="B38" s="603" t="s">
        <v>87</v>
      </c>
      <c r="C38" s="603" t="s">
        <v>267</v>
      </c>
      <c r="D38" s="268">
        <v>212</v>
      </c>
      <c r="E38" s="268">
        <v>232</v>
      </c>
      <c r="F38" s="268">
        <v>248</v>
      </c>
      <c r="G38" s="268">
        <v>205</v>
      </c>
      <c r="H38" s="268">
        <v>233</v>
      </c>
      <c r="I38" s="268">
        <v>226</v>
      </c>
      <c r="J38" s="268">
        <v>222</v>
      </c>
      <c r="K38" s="268">
        <v>206</v>
      </c>
      <c r="L38" s="268">
        <v>287</v>
      </c>
      <c r="M38" s="268">
        <v>220</v>
      </c>
      <c r="N38" s="268">
        <v>249</v>
      </c>
      <c r="O38" s="268">
        <v>261</v>
      </c>
      <c r="P38" s="268">
        <v>216</v>
      </c>
      <c r="Q38" s="268">
        <v>233</v>
      </c>
      <c r="R38" s="268">
        <v>238</v>
      </c>
      <c r="S38" s="268">
        <v>216</v>
      </c>
      <c r="T38" s="268">
        <v>230</v>
      </c>
      <c r="U38" s="268">
        <v>244</v>
      </c>
      <c r="V38" s="268">
        <f>SUM(D38:O38)</f>
        <v>2801</v>
      </c>
      <c r="W38" s="268">
        <f>SUM(J38:U38)</f>
        <v>2822</v>
      </c>
    </row>
    <row r="39" spans="1:23" x14ac:dyDescent="0.25">
      <c r="A39" s="513" t="s">
        <v>92</v>
      </c>
      <c r="B39" s="603" t="s">
        <v>93</v>
      </c>
      <c r="C39" s="603" t="s">
        <v>268</v>
      </c>
      <c r="D39" s="268">
        <v>53</v>
      </c>
      <c r="E39" s="268">
        <v>58</v>
      </c>
      <c r="F39" s="268">
        <v>44</v>
      </c>
      <c r="G39" s="268">
        <v>61</v>
      </c>
      <c r="H39" s="268">
        <v>53</v>
      </c>
      <c r="I39" s="268">
        <v>46</v>
      </c>
      <c r="J39" s="268">
        <v>69</v>
      </c>
      <c r="K39" s="268">
        <v>71</v>
      </c>
      <c r="L39" s="268">
        <v>77</v>
      </c>
      <c r="M39" s="268">
        <v>70</v>
      </c>
      <c r="N39" s="268">
        <v>66</v>
      </c>
      <c r="O39" s="268">
        <v>76</v>
      </c>
      <c r="P39" s="268">
        <v>59</v>
      </c>
      <c r="Q39" s="268">
        <v>77</v>
      </c>
      <c r="R39" s="268">
        <v>58</v>
      </c>
      <c r="S39" s="268">
        <v>59</v>
      </c>
      <c r="T39" s="268">
        <v>67</v>
      </c>
      <c r="U39" s="268">
        <v>76</v>
      </c>
      <c r="V39" s="268">
        <f>SUM(D39:O39)</f>
        <v>744</v>
      </c>
      <c r="W39" s="268">
        <f>SUM(J39:U39)</f>
        <v>825</v>
      </c>
    </row>
    <row r="40" spans="1:23" x14ac:dyDescent="0.25">
      <c r="A40" s="513" t="s">
        <v>94</v>
      </c>
      <c r="B40" s="603" t="s">
        <v>95</v>
      </c>
      <c r="C40" s="603" t="s">
        <v>264</v>
      </c>
      <c r="D40" s="268">
        <v>83</v>
      </c>
      <c r="E40" s="268">
        <v>81</v>
      </c>
      <c r="F40" s="268">
        <v>93</v>
      </c>
      <c r="G40" s="268">
        <v>119</v>
      </c>
      <c r="H40" s="268">
        <v>96</v>
      </c>
      <c r="I40" s="268">
        <v>99</v>
      </c>
      <c r="J40" s="268">
        <v>82</v>
      </c>
      <c r="K40" s="268">
        <v>99</v>
      </c>
      <c r="L40" s="268">
        <v>114</v>
      </c>
      <c r="M40" s="268">
        <v>115</v>
      </c>
      <c r="N40" s="268">
        <v>107</v>
      </c>
      <c r="O40" s="268">
        <v>128</v>
      </c>
      <c r="P40" s="268">
        <v>104</v>
      </c>
      <c r="Q40" s="268">
        <v>108</v>
      </c>
      <c r="R40" s="268">
        <v>98</v>
      </c>
      <c r="S40" s="268">
        <v>106</v>
      </c>
      <c r="T40" s="268">
        <v>122</v>
      </c>
      <c r="U40" s="268">
        <v>132</v>
      </c>
      <c r="V40" s="268">
        <f>SUM(D40:O40)</f>
        <v>1216</v>
      </c>
      <c r="W40" s="268">
        <f>SUM(J40:U40)</f>
        <v>1315</v>
      </c>
    </row>
    <row r="41" spans="1:23" x14ac:dyDescent="0.25">
      <c r="A41" s="513" t="s">
        <v>96</v>
      </c>
      <c r="B41" s="603" t="s">
        <v>97</v>
      </c>
      <c r="C41" s="603" t="s">
        <v>266</v>
      </c>
      <c r="D41" s="268">
        <v>35</v>
      </c>
      <c r="E41" s="268">
        <v>31</v>
      </c>
      <c r="F41" s="268">
        <v>51</v>
      </c>
      <c r="G41" s="268">
        <v>21</v>
      </c>
      <c r="H41" s="268">
        <v>32</v>
      </c>
      <c r="I41" s="268">
        <v>39</v>
      </c>
      <c r="J41" s="268">
        <v>31</v>
      </c>
      <c r="K41" s="268">
        <v>36</v>
      </c>
      <c r="L41" s="268">
        <v>49</v>
      </c>
      <c r="M41" s="268">
        <v>42</v>
      </c>
      <c r="N41" s="268">
        <v>36</v>
      </c>
      <c r="O41" s="268">
        <v>37</v>
      </c>
      <c r="P41" s="268">
        <v>27</v>
      </c>
      <c r="Q41" s="268">
        <v>36</v>
      </c>
      <c r="R41" s="268">
        <v>33</v>
      </c>
      <c r="S41" s="268">
        <v>38</v>
      </c>
      <c r="T41" s="268">
        <v>36</v>
      </c>
      <c r="U41" s="268">
        <v>57</v>
      </c>
      <c r="V41" s="268">
        <f>SUM(D41:O41)</f>
        <v>440</v>
      </c>
      <c r="W41" s="268">
        <f>SUM(J41:U41)</f>
        <v>458</v>
      </c>
    </row>
    <row r="42" spans="1:23" x14ac:dyDescent="0.25">
      <c r="A42" s="513" t="s">
        <v>98</v>
      </c>
      <c r="B42" s="603" t="s">
        <v>99</v>
      </c>
      <c r="C42" s="603" t="s">
        <v>268</v>
      </c>
      <c r="D42" s="268">
        <v>60</v>
      </c>
      <c r="E42" s="268">
        <v>57</v>
      </c>
      <c r="F42" s="268">
        <v>58</v>
      </c>
      <c r="G42" s="268">
        <v>46</v>
      </c>
      <c r="H42" s="268">
        <v>45</v>
      </c>
      <c r="I42" s="268">
        <v>40</v>
      </c>
      <c r="J42" s="268">
        <v>52</v>
      </c>
      <c r="K42" s="268">
        <v>45</v>
      </c>
      <c r="L42" s="268">
        <v>59</v>
      </c>
      <c r="M42" s="268">
        <v>39</v>
      </c>
      <c r="N42" s="268">
        <v>69</v>
      </c>
      <c r="O42" s="268">
        <v>55</v>
      </c>
      <c r="P42" s="268">
        <v>46</v>
      </c>
      <c r="Q42" s="268">
        <v>57</v>
      </c>
      <c r="R42" s="268">
        <v>53</v>
      </c>
      <c r="S42" s="268">
        <v>57</v>
      </c>
      <c r="T42" s="268">
        <v>67</v>
      </c>
      <c r="U42" s="268">
        <v>49</v>
      </c>
      <c r="V42" s="268">
        <f>SUM(D42:O42)</f>
        <v>625</v>
      </c>
      <c r="W42" s="268">
        <f>SUM(J42:U42)</f>
        <v>648</v>
      </c>
    </row>
    <row r="43" spans="1:23" x14ac:dyDescent="0.25">
      <c r="A43" s="513" t="s">
        <v>100</v>
      </c>
      <c r="B43" s="603" t="s">
        <v>101</v>
      </c>
      <c r="C43" s="603" t="s">
        <v>267</v>
      </c>
      <c r="D43" s="268">
        <v>40</v>
      </c>
      <c r="E43" s="268">
        <v>47</v>
      </c>
      <c r="F43" s="268">
        <v>50</v>
      </c>
      <c r="G43" s="268">
        <v>32</v>
      </c>
      <c r="H43" s="268">
        <v>32</v>
      </c>
      <c r="I43" s="268">
        <v>45</v>
      </c>
      <c r="J43" s="268">
        <v>33</v>
      </c>
      <c r="K43" s="268">
        <v>45</v>
      </c>
      <c r="L43" s="268">
        <v>55</v>
      </c>
      <c r="M43" s="268">
        <v>49</v>
      </c>
      <c r="N43" s="268">
        <v>50</v>
      </c>
      <c r="O43" s="268">
        <v>48</v>
      </c>
      <c r="P43" s="268">
        <v>37</v>
      </c>
      <c r="Q43" s="268">
        <v>60</v>
      </c>
      <c r="R43" s="268">
        <v>33</v>
      </c>
      <c r="S43" s="268">
        <v>45</v>
      </c>
      <c r="T43" s="268">
        <v>52</v>
      </c>
      <c r="U43" s="268">
        <v>54</v>
      </c>
      <c r="V43" s="268">
        <f>SUM(D43:O43)</f>
        <v>526</v>
      </c>
      <c r="W43" s="268">
        <f>SUM(J43:U43)</f>
        <v>561</v>
      </c>
    </row>
    <row r="44" spans="1:23" x14ac:dyDescent="0.25">
      <c r="A44" s="513" t="s">
        <v>102</v>
      </c>
      <c r="B44" s="603" t="s">
        <v>282</v>
      </c>
      <c r="C44" s="603" t="s">
        <v>264</v>
      </c>
      <c r="D44" s="268">
        <v>70</v>
      </c>
      <c r="E44" s="268">
        <v>64</v>
      </c>
      <c r="F44" s="268">
        <v>50</v>
      </c>
      <c r="G44" s="268">
        <v>66</v>
      </c>
      <c r="H44" s="268">
        <v>79</v>
      </c>
      <c r="I44" s="268">
        <v>67</v>
      </c>
      <c r="J44" s="268">
        <v>72</v>
      </c>
      <c r="K44" s="268">
        <v>53</v>
      </c>
      <c r="L44" s="268">
        <v>69</v>
      </c>
      <c r="M44" s="268">
        <v>50</v>
      </c>
      <c r="N44" s="268">
        <v>63</v>
      </c>
      <c r="O44" s="268">
        <v>80</v>
      </c>
      <c r="P44" s="268">
        <v>65</v>
      </c>
      <c r="Q44" s="268">
        <v>82</v>
      </c>
      <c r="R44" s="268">
        <v>52</v>
      </c>
      <c r="S44" s="268">
        <v>67</v>
      </c>
      <c r="T44" s="268">
        <v>76</v>
      </c>
      <c r="U44" s="268">
        <v>102</v>
      </c>
      <c r="V44" s="268">
        <f>SUM(D44:O44)</f>
        <v>783</v>
      </c>
      <c r="W44" s="268">
        <f>SUM(J44:U44)</f>
        <v>831</v>
      </c>
    </row>
    <row r="45" spans="1:23" x14ac:dyDescent="0.25">
      <c r="A45" s="513" t="s">
        <v>104</v>
      </c>
      <c r="B45" s="603" t="s">
        <v>105</v>
      </c>
      <c r="C45" s="603" t="s">
        <v>265</v>
      </c>
      <c r="D45" s="268">
        <v>104</v>
      </c>
      <c r="E45" s="268">
        <v>123</v>
      </c>
      <c r="F45" s="268">
        <v>144</v>
      </c>
      <c r="G45" s="268">
        <v>145</v>
      </c>
      <c r="H45" s="268">
        <v>149</v>
      </c>
      <c r="I45" s="268">
        <v>131</v>
      </c>
      <c r="J45" s="268">
        <v>139</v>
      </c>
      <c r="K45" s="268">
        <v>148</v>
      </c>
      <c r="L45" s="268">
        <v>239</v>
      </c>
      <c r="M45" s="268">
        <v>143</v>
      </c>
      <c r="N45" s="268">
        <v>121</v>
      </c>
      <c r="O45" s="268">
        <v>130</v>
      </c>
      <c r="P45" s="268">
        <v>124</v>
      </c>
      <c r="Q45" s="268">
        <v>148</v>
      </c>
      <c r="R45" s="268">
        <v>132</v>
      </c>
      <c r="S45" s="268">
        <v>112</v>
      </c>
      <c r="T45" s="268">
        <v>129</v>
      </c>
      <c r="U45" s="268">
        <v>139</v>
      </c>
      <c r="V45" s="268">
        <f>SUM(D45:O45)</f>
        <v>1716</v>
      </c>
      <c r="W45" s="268">
        <f>SUM(J45:U45)</f>
        <v>1704</v>
      </c>
    </row>
    <row r="46" spans="1:23" x14ac:dyDescent="0.25">
      <c r="A46" s="513" t="s">
        <v>108</v>
      </c>
      <c r="B46" s="603" t="s">
        <v>109</v>
      </c>
      <c r="C46" s="603" t="s">
        <v>266</v>
      </c>
      <c r="D46" s="268">
        <v>148</v>
      </c>
      <c r="E46" s="268">
        <v>184</v>
      </c>
      <c r="F46" s="268">
        <v>211</v>
      </c>
      <c r="G46" s="268">
        <v>185</v>
      </c>
      <c r="H46" s="268">
        <v>187</v>
      </c>
      <c r="I46" s="268">
        <v>204</v>
      </c>
      <c r="J46" s="268">
        <v>207</v>
      </c>
      <c r="K46" s="268">
        <v>176</v>
      </c>
      <c r="L46" s="268">
        <v>242</v>
      </c>
      <c r="M46" s="268">
        <v>180</v>
      </c>
      <c r="N46" s="268">
        <v>261</v>
      </c>
      <c r="O46" s="268">
        <v>191</v>
      </c>
      <c r="P46" s="268">
        <v>242</v>
      </c>
      <c r="Q46" s="268">
        <v>204</v>
      </c>
      <c r="R46" s="268">
        <v>192</v>
      </c>
      <c r="S46" s="268">
        <v>210</v>
      </c>
      <c r="T46" s="268">
        <v>212</v>
      </c>
      <c r="U46" s="268">
        <v>285</v>
      </c>
      <c r="V46" s="268">
        <f>SUM(D46:O46)</f>
        <v>2376</v>
      </c>
      <c r="W46" s="268">
        <f>SUM(J46:U46)</f>
        <v>2602</v>
      </c>
    </row>
    <row r="47" spans="1:23" x14ac:dyDescent="0.25">
      <c r="A47" s="513" t="s">
        <v>110</v>
      </c>
      <c r="B47" s="603" t="s">
        <v>111</v>
      </c>
      <c r="C47" s="603" t="s">
        <v>266</v>
      </c>
      <c r="D47" s="268">
        <v>825</v>
      </c>
      <c r="E47" s="268">
        <v>1070</v>
      </c>
      <c r="F47" s="268">
        <v>1156</v>
      </c>
      <c r="G47" s="268">
        <v>963</v>
      </c>
      <c r="H47" s="268">
        <v>980</v>
      </c>
      <c r="I47" s="268">
        <v>972</v>
      </c>
      <c r="J47" s="268">
        <v>1019</v>
      </c>
      <c r="K47" s="268">
        <v>1161</v>
      </c>
      <c r="L47" s="268">
        <v>1409</v>
      </c>
      <c r="M47" s="268">
        <v>1055</v>
      </c>
      <c r="N47" s="268">
        <v>1200</v>
      </c>
      <c r="O47" s="268">
        <v>1100</v>
      </c>
      <c r="P47" s="268">
        <v>1126</v>
      </c>
      <c r="Q47" s="268">
        <v>1092</v>
      </c>
      <c r="R47" s="268">
        <v>1053</v>
      </c>
      <c r="S47" s="268">
        <v>1040</v>
      </c>
      <c r="T47" s="268">
        <v>1010</v>
      </c>
      <c r="U47" s="268">
        <v>1342</v>
      </c>
      <c r="V47" s="268">
        <f>SUM(D47:O47)</f>
        <v>12910</v>
      </c>
      <c r="W47" s="268">
        <f>SUM(J47:U47)</f>
        <v>13607</v>
      </c>
    </row>
    <row r="48" spans="1:23" x14ac:dyDescent="0.25">
      <c r="A48" s="513" t="s">
        <v>112</v>
      </c>
      <c r="B48" s="603" t="s">
        <v>300</v>
      </c>
      <c r="C48" s="603" t="s">
        <v>265</v>
      </c>
      <c r="D48" s="268">
        <v>251</v>
      </c>
      <c r="E48" s="268">
        <v>290</v>
      </c>
      <c r="F48" s="268">
        <v>278</v>
      </c>
      <c r="G48" s="268">
        <v>244</v>
      </c>
      <c r="H48" s="268">
        <v>267</v>
      </c>
      <c r="I48" s="268">
        <v>262</v>
      </c>
      <c r="J48" s="268">
        <v>239</v>
      </c>
      <c r="K48" s="268">
        <v>272</v>
      </c>
      <c r="L48" s="268">
        <v>379</v>
      </c>
      <c r="M48" s="268">
        <v>267</v>
      </c>
      <c r="N48" s="268">
        <v>298</v>
      </c>
      <c r="O48" s="268">
        <v>304</v>
      </c>
      <c r="P48" s="268">
        <v>296</v>
      </c>
      <c r="Q48" s="268">
        <v>288</v>
      </c>
      <c r="R48" s="268">
        <v>272</v>
      </c>
      <c r="S48" s="268">
        <v>275</v>
      </c>
      <c r="T48" s="268">
        <v>255</v>
      </c>
      <c r="U48" s="268">
        <v>354</v>
      </c>
      <c r="V48" s="268">
        <f>SUM(D48:O48)</f>
        <v>3351</v>
      </c>
      <c r="W48" s="268">
        <f>SUM(J48:U48)</f>
        <v>3499</v>
      </c>
    </row>
    <row r="49" spans="1:23" x14ac:dyDescent="0.25">
      <c r="A49" s="513" t="s">
        <v>114</v>
      </c>
      <c r="B49" s="603" t="s">
        <v>115</v>
      </c>
      <c r="C49" s="603" t="s">
        <v>265</v>
      </c>
      <c r="D49" s="268">
        <v>6</v>
      </c>
      <c r="E49" s="268">
        <v>8</v>
      </c>
      <c r="F49" s="268">
        <v>5</v>
      </c>
      <c r="G49" s="268">
        <v>10</v>
      </c>
      <c r="H49" s="268">
        <v>4</v>
      </c>
      <c r="I49" s="268">
        <v>8</v>
      </c>
      <c r="J49" s="268">
        <v>12</v>
      </c>
      <c r="K49" s="268">
        <v>5</v>
      </c>
      <c r="L49" s="268">
        <v>8</v>
      </c>
      <c r="M49" s="268">
        <v>10</v>
      </c>
      <c r="N49" s="268">
        <v>7</v>
      </c>
      <c r="O49" s="268">
        <v>4</v>
      </c>
      <c r="P49" s="268">
        <v>6</v>
      </c>
      <c r="Q49" s="268">
        <v>4</v>
      </c>
      <c r="R49" s="268">
        <v>3</v>
      </c>
      <c r="S49" s="268">
        <v>3</v>
      </c>
      <c r="T49" s="268">
        <v>8</v>
      </c>
      <c r="U49" s="268">
        <v>11</v>
      </c>
      <c r="V49" s="268">
        <f>SUM(D49:O49)</f>
        <v>87</v>
      </c>
      <c r="W49" s="268">
        <f>SUM(J49:U49)</f>
        <v>81</v>
      </c>
    </row>
    <row r="50" spans="1:23" x14ac:dyDescent="0.25">
      <c r="A50" s="513" t="s">
        <v>118</v>
      </c>
      <c r="B50" s="603" t="s">
        <v>270</v>
      </c>
      <c r="C50" s="603" t="s">
        <v>264</v>
      </c>
      <c r="D50" s="268">
        <v>67</v>
      </c>
      <c r="E50" s="268">
        <v>100</v>
      </c>
      <c r="F50" s="268">
        <v>120</v>
      </c>
      <c r="G50" s="268">
        <v>72</v>
      </c>
      <c r="H50" s="268">
        <v>85</v>
      </c>
      <c r="I50" s="268">
        <v>97</v>
      </c>
      <c r="J50" s="268">
        <v>89</v>
      </c>
      <c r="K50" s="268">
        <v>82</v>
      </c>
      <c r="L50" s="268">
        <v>90</v>
      </c>
      <c r="M50" s="268">
        <v>95</v>
      </c>
      <c r="N50" s="268">
        <v>109</v>
      </c>
      <c r="O50" s="268">
        <v>79</v>
      </c>
      <c r="P50" s="268">
        <v>97</v>
      </c>
      <c r="Q50" s="268">
        <v>84</v>
      </c>
      <c r="R50" s="268">
        <v>90</v>
      </c>
      <c r="S50" s="268">
        <v>79</v>
      </c>
      <c r="T50" s="268">
        <v>75</v>
      </c>
      <c r="U50" s="268">
        <v>106</v>
      </c>
      <c r="V50" s="268">
        <f>SUM(D50:O50)</f>
        <v>1085</v>
      </c>
      <c r="W50" s="268">
        <f>SUM(J50:U50)</f>
        <v>1075</v>
      </c>
    </row>
    <row r="51" spans="1:23" x14ac:dyDescent="0.25">
      <c r="A51" s="513" t="s">
        <v>120</v>
      </c>
      <c r="B51" s="603" t="s">
        <v>121</v>
      </c>
      <c r="C51" s="603" t="s">
        <v>264</v>
      </c>
      <c r="D51" s="268">
        <v>131</v>
      </c>
      <c r="E51" s="268">
        <v>158</v>
      </c>
      <c r="F51" s="268">
        <v>141</v>
      </c>
      <c r="G51" s="268">
        <v>146</v>
      </c>
      <c r="H51" s="268">
        <v>123</v>
      </c>
      <c r="I51" s="268">
        <v>148</v>
      </c>
      <c r="J51" s="268">
        <v>159</v>
      </c>
      <c r="K51" s="268">
        <v>144</v>
      </c>
      <c r="L51" s="268">
        <v>214</v>
      </c>
      <c r="M51" s="268">
        <v>142</v>
      </c>
      <c r="N51" s="268">
        <v>184</v>
      </c>
      <c r="O51" s="268">
        <v>143</v>
      </c>
      <c r="P51" s="268">
        <v>153</v>
      </c>
      <c r="Q51" s="268">
        <v>178</v>
      </c>
      <c r="R51" s="268">
        <v>130</v>
      </c>
      <c r="S51" s="268">
        <v>145</v>
      </c>
      <c r="T51" s="268">
        <v>199</v>
      </c>
      <c r="U51" s="268">
        <v>211</v>
      </c>
      <c r="V51" s="268">
        <f>SUM(D51:O51)</f>
        <v>1833</v>
      </c>
      <c r="W51" s="268">
        <f>SUM(J51:U51)</f>
        <v>2002</v>
      </c>
    </row>
    <row r="52" spans="1:23" x14ac:dyDescent="0.25">
      <c r="A52" s="513" t="s">
        <v>122</v>
      </c>
      <c r="B52" s="603" t="s">
        <v>287</v>
      </c>
      <c r="C52" s="603" t="s">
        <v>266</v>
      </c>
      <c r="D52" s="268">
        <v>24</v>
      </c>
      <c r="E52" s="268">
        <v>29</v>
      </c>
      <c r="F52" s="268">
        <v>24</v>
      </c>
      <c r="G52" s="268">
        <v>27</v>
      </c>
      <c r="H52" s="268">
        <v>56</v>
      </c>
      <c r="I52" s="268">
        <v>20</v>
      </c>
      <c r="J52" s="268">
        <v>26</v>
      </c>
      <c r="K52" s="268">
        <v>19</v>
      </c>
      <c r="L52" s="268">
        <v>36</v>
      </c>
      <c r="M52" s="268">
        <v>30</v>
      </c>
      <c r="N52" s="268">
        <v>35</v>
      </c>
      <c r="O52" s="268">
        <v>32</v>
      </c>
      <c r="P52" s="268">
        <v>26</v>
      </c>
      <c r="Q52" s="268">
        <v>34</v>
      </c>
      <c r="R52" s="268">
        <v>32</v>
      </c>
      <c r="S52" s="268">
        <v>20</v>
      </c>
      <c r="T52" s="268">
        <v>22</v>
      </c>
      <c r="U52" s="268">
        <v>20</v>
      </c>
      <c r="V52" s="268">
        <f>SUM(D52:O52)</f>
        <v>358</v>
      </c>
      <c r="W52" s="268">
        <f>SUM(J52:U52)</f>
        <v>332</v>
      </c>
    </row>
    <row r="53" spans="1:23" x14ac:dyDescent="0.25">
      <c r="A53" s="513" t="s">
        <v>124</v>
      </c>
      <c r="B53" s="603" t="s">
        <v>125</v>
      </c>
      <c r="C53" s="603" t="s">
        <v>267</v>
      </c>
      <c r="D53" s="268">
        <v>45</v>
      </c>
      <c r="E53" s="268">
        <v>58</v>
      </c>
      <c r="F53" s="268">
        <v>68</v>
      </c>
      <c r="G53" s="268">
        <v>57</v>
      </c>
      <c r="H53" s="268">
        <v>44</v>
      </c>
      <c r="I53" s="268">
        <v>56</v>
      </c>
      <c r="J53" s="268">
        <v>60</v>
      </c>
      <c r="K53" s="268">
        <v>48</v>
      </c>
      <c r="L53" s="268">
        <v>60</v>
      </c>
      <c r="M53" s="268">
        <v>51</v>
      </c>
      <c r="N53" s="268">
        <v>84</v>
      </c>
      <c r="O53" s="268">
        <v>83</v>
      </c>
      <c r="P53" s="268">
        <v>27</v>
      </c>
      <c r="Q53" s="268">
        <v>86</v>
      </c>
      <c r="R53" s="268">
        <v>55</v>
      </c>
      <c r="S53" s="268">
        <v>57</v>
      </c>
      <c r="T53" s="268">
        <v>47</v>
      </c>
      <c r="U53" s="268">
        <v>88</v>
      </c>
      <c r="V53" s="268">
        <f>SUM(D53:O53)</f>
        <v>714</v>
      </c>
      <c r="W53" s="268">
        <f>SUM(J53:U53)</f>
        <v>746</v>
      </c>
    </row>
    <row r="54" spans="1:23" x14ac:dyDescent="0.25">
      <c r="A54" s="513" t="s">
        <v>126</v>
      </c>
      <c r="B54" s="603" t="s">
        <v>127</v>
      </c>
      <c r="C54" s="603" t="s">
        <v>266</v>
      </c>
      <c r="D54" s="268">
        <v>35</v>
      </c>
      <c r="E54" s="268">
        <v>32</v>
      </c>
      <c r="F54" s="268">
        <v>51</v>
      </c>
      <c r="G54" s="268">
        <v>51</v>
      </c>
      <c r="H54" s="268">
        <v>41</v>
      </c>
      <c r="I54" s="268">
        <v>42</v>
      </c>
      <c r="J54" s="268">
        <v>41</v>
      </c>
      <c r="K54" s="268">
        <v>37</v>
      </c>
      <c r="L54" s="268">
        <v>50</v>
      </c>
      <c r="M54" s="268">
        <v>36</v>
      </c>
      <c r="N54" s="268">
        <v>49</v>
      </c>
      <c r="O54" s="268">
        <v>34</v>
      </c>
      <c r="P54" s="268">
        <v>46</v>
      </c>
      <c r="Q54" s="268">
        <v>50</v>
      </c>
      <c r="R54" s="268">
        <v>42</v>
      </c>
      <c r="S54" s="268">
        <v>39</v>
      </c>
      <c r="T54" s="268">
        <v>49</v>
      </c>
      <c r="U54" s="268">
        <v>84</v>
      </c>
      <c r="V54" s="268">
        <f>SUM(D54:O54)</f>
        <v>499</v>
      </c>
      <c r="W54" s="268">
        <f>SUM(J54:U54)</f>
        <v>557</v>
      </c>
    </row>
    <row r="55" spans="1:23" x14ac:dyDescent="0.25">
      <c r="A55" s="513" t="s">
        <v>128</v>
      </c>
      <c r="B55" s="603" t="s">
        <v>129</v>
      </c>
      <c r="C55" s="603" t="s">
        <v>266</v>
      </c>
      <c r="D55" s="268">
        <v>31</v>
      </c>
      <c r="E55" s="268">
        <v>35</v>
      </c>
      <c r="F55" s="268">
        <v>32</v>
      </c>
      <c r="G55" s="268">
        <v>28</v>
      </c>
      <c r="H55" s="268">
        <v>34</v>
      </c>
      <c r="I55" s="268">
        <v>37</v>
      </c>
      <c r="J55" s="268">
        <v>35</v>
      </c>
      <c r="K55" s="268">
        <v>22</v>
      </c>
      <c r="L55" s="268">
        <v>40</v>
      </c>
      <c r="M55" s="268">
        <v>36</v>
      </c>
      <c r="N55" s="268">
        <v>40</v>
      </c>
      <c r="O55" s="268">
        <v>32</v>
      </c>
      <c r="P55" s="268">
        <v>37</v>
      </c>
      <c r="Q55" s="268">
        <v>28</v>
      </c>
      <c r="R55" s="268">
        <v>31</v>
      </c>
      <c r="S55" s="268">
        <v>30</v>
      </c>
      <c r="T55" s="268">
        <v>32</v>
      </c>
      <c r="U55" s="268">
        <v>31</v>
      </c>
      <c r="V55" s="268">
        <f>SUM(D55:O55)</f>
        <v>402</v>
      </c>
      <c r="W55" s="268">
        <f>SUM(J55:U55)</f>
        <v>394</v>
      </c>
    </row>
    <row r="56" spans="1:23" x14ac:dyDescent="0.25">
      <c r="A56" s="513" t="s">
        <v>130</v>
      </c>
      <c r="B56" s="603" t="s">
        <v>131</v>
      </c>
      <c r="C56" s="603" t="s">
        <v>268</v>
      </c>
      <c r="D56" s="268">
        <v>93</v>
      </c>
      <c r="E56" s="268">
        <v>92</v>
      </c>
      <c r="F56" s="268">
        <v>103</v>
      </c>
      <c r="G56" s="268">
        <v>64</v>
      </c>
      <c r="H56" s="268">
        <v>78</v>
      </c>
      <c r="I56" s="268">
        <v>76</v>
      </c>
      <c r="J56" s="268">
        <v>73</v>
      </c>
      <c r="K56" s="268">
        <v>96</v>
      </c>
      <c r="L56" s="268">
        <v>120</v>
      </c>
      <c r="M56" s="268">
        <v>59</v>
      </c>
      <c r="N56" s="268">
        <v>72</v>
      </c>
      <c r="O56" s="268">
        <v>85</v>
      </c>
      <c r="P56" s="268">
        <v>81</v>
      </c>
      <c r="Q56" s="268">
        <v>81</v>
      </c>
      <c r="R56" s="268">
        <v>63</v>
      </c>
      <c r="S56" s="268">
        <v>66</v>
      </c>
      <c r="T56" s="268">
        <v>73</v>
      </c>
      <c r="U56" s="268">
        <v>108</v>
      </c>
      <c r="V56" s="268">
        <f>SUM(D56:O56)</f>
        <v>1011</v>
      </c>
      <c r="W56" s="268">
        <f>SUM(J56:U56)</f>
        <v>977</v>
      </c>
    </row>
    <row r="57" spans="1:23" x14ac:dyDescent="0.25">
      <c r="A57" s="513" t="s">
        <v>132</v>
      </c>
      <c r="B57" s="603" t="s">
        <v>133</v>
      </c>
      <c r="C57" s="603" t="s">
        <v>267</v>
      </c>
      <c r="D57" s="268">
        <v>612</v>
      </c>
      <c r="E57" s="268">
        <v>775</v>
      </c>
      <c r="F57" s="268">
        <v>740</v>
      </c>
      <c r="G57" s="268">
        <v>660</v>
      </c>
      <c r="H57" s="268">
        <v>627</v>
      </c>
      <c r="I57" s="268">
        <v>799</v>
      </c>
      <c r="J57" s="268">
        <v>786</v>
      </c>
      <c r="K57" s="268">
        <v>694</v>
      </c>
      <c r="L57" s="268">
        <v>888</v>
      </c>
      <c r="M57" s="268">
        <v>774</v>
      </c>
      <c r="N57" s="268">
        <v>913</v>
      </c>
      <c r="O57" s="268">
        <v>752</v>
      </c>
      <c r="P57" s="268">
        <v>857</v>
      </c>
      <c r="Q57" s="268">
        <v>723</v>
      </c>
      <c r="R57" s="268">
        <v>614</v>
      </c>
      <c r="S57" s="268">
        <v>651</v>
      </c>
      <c r="T57" s="268">
        <v>854</v>
      </c>
      <c r="U57" s="268">
        <v>1208</v>
      </c>
      <c r="V57" s="268">
        <f>SUM(D57:O57)</f>
        <v>9020</v>
      </c>
      <c r="W57" s="268">
        <f>SUM(J57:U57)</f>
        <v>9714</v>
      </c>
    </row>
    <row r="58" spans="1:23" x14ac:dyDescent="0.25">
      <c r="A58" s="513" t="s">
        <v>134</v>
      </c>
      <c r="B58" s="603" t="s">
        <v>135</v>
      </c>
      <c r="C58" s="603" t="s">
        <v>267</v>
      </c>
      <c r="D58" s="268">
        <v>79</v>
      </c>
      <c r="E58" s="268">
        <v>124</v>
      </c>
      <c r="F58" s="268">
        <v>112</v>
      </c>
      <c r="G58" s="268">
        <v>109</v>
      </c>
      <c r="H58" s="268">
        <v>104</v>
      </c>
      <c r="I58" s="268">
        <v>135</v>
      </c>
      <c r="J58" s="268">
        <v>107</v>
      </c>
      <c r="K58" s="268">
        <v>121</v>
      </c>
      <c r="L58" s="268">
        <v>122</v>
      </c>
      <c r="M58" s="268">
        <v>99</v>
      </c>
      <c r="N58" s="268">
        <v>108</v>
      </c>
      <c r="O58" s="268">
        <v>111</v>
      </c>
      <c r="P58" s="268">
        <v>93</v>
      </c>
      <c r="Q58" s="268">
        <v>123</v>
      </c>
      <c r="R58" s="268">
        <v>97</v>
      </c>
      <c r="S58" s="268">
        <v>90</v>
      </c>
      <c r="T58" s="268">
        <v>104</v>
      </c>
      <c r="U58" s="268">
        <v>138</v>
      </c>
      <c r="V58" s="268">
        <f>SUM(D58:O58)</f>
        <v>1331</v>
      </c>
      <c r="W58" s="268">
        <f>SUM(J58:U58)</f>
        <v>1313</v>
      </c>
    </row>
    <row r="59" spans="1:23" x14ac:dyDescent="0.25">
      <c r="A59" s="513" t="s">
        <v>136</v>
      </c>
      <c r="B59" s="603" t="s">
        <v>137</v>
      </c>
      <c r="C59" s="603" t="s">
        <v>266</v>
      </c>
      <c r="D59" s="268">
        <v>42</v>
      </c>
      <c r="E59" s="268">
        <v>50</v>
      </c>
      <c r="F59" s="268">
        <v>38</v>
      </c>
      <c r="G59" s="268">
        <v>49</v>
      </c>
      <c r="H59" s="268">
        <v>23</v>
      </c>
      <c r="I59" s="268">
        <v>34</v>
      </c>
      <c r="J59" s="268">
        <v>37</v>
      </c>
      <c r="K59" s="268">
        <v>23</v>
      </c>
      <c r="L59" s="268">
        <v>49</v>
      </c>
      <c r="M59" s="268">
        <v>25</v>
      </c>
      <c r="N59" s="268">
        <v>45</v>
      </c>
      <c r="O59" s="268">
        <v>32</v>
      </c>
      <c r="P59" s="268">
        <v>32</v>
      </c>
      <c r="Q59" s="268">
        <v>47</v>
      </c>
      <c r="R59" s="268">
        <v>21</v>
      </c>
      <c r="S59" s="268">
        <v>34</v>
      </c>
      <c r="T59" s="268">
        <v>27</v>
      </c>
      <c r="U59" s="268">
        <v>31</v>
      </c>
      <c r="V59" s="268">
        <f>SUM(D59:O59)</f>
        <v>447</v>
      </c>
      <c r="W59" s="268">
        <f>SUM(J59:U59)</f>
        <v>403</v>
      </c>
    </row>
    <row r="60" spans="1:23" x14ac:dyDescent="0.25">
      <c r="A60" s="513" t="s">
        <v>140</v>
      </c>
      <c r="B60" s="603" t="s">
        <v>141</v>
      </c>
      <c r="C60" s="603" t="s">
        <v>267</v>
      </c>
      <c r="D60" s="268">
        <v>34</v>
      </c>
      <c r="E60" s="268">
        <v>53</v>
      </c>
      <c r="F60" s="268">
        <v>53</v>
      </c>
      <c r="G60" s="268">
        <v>26</v>
      </c>
      <c r="H60" s="268">
        <v>43</v>
      </c>
      <c r="I60" s="268">
        <v>35</v>
      </c>
      <c r="J60" s="268">
        <v>42</v>
      </c>
      <c r="K60" s="268">
        <v>47</v>
      </c>
      <c r="L60" s="268">
        <v>44</v>
      </c>
      <c r="M60" s="268">
        <v>34</v>
      </c>
      <c r="N60" s="268">
        <v>46</v>
      </c>
      <c r="O60" s="268">
        <v>42</v>
      </c>
      <c r="P60" s="268">
        <v>34</v>
      </c>
      <c r="Q60" s="268">
        <v>32</v>
      </c>
      <c r="R60" s="268">
        <v>29</v>
      </c>
      <c r="S60" s="268">
        <v>33</v>
      </c>
      <c r="T60" s="268">
        <v>29</v>
      </c>
      <c r="U60" s="268">
        <v>34</v>
      </c>
      <c r="V60" s="268">
        <f>SUM(D60:O60)</f>
        <v>499</v>
      </c>
      <c r="W60" s="268">
        <f>SUM(J60:U60)</f>
        <v>446</v>
      </c>
    </row>
    <row r="61" spans="1:23" x14ac:dyDescent="0.25">
      <c r="A61" s="513" t="s">
        <v>146</v>
      </c>
      <c r="B61" s="603" t="s">
        <v>147</v>
      </c>
      <c r="C61" s="603" t="s">
        <v>264</v>
      </c>
      <c r="D61" s="268">
        <v>19</v>
      </c>
      <c r="E61" s="268">
        <v>22</v>
      </c>
      <c r="F61" s="268">
        <v>21</v>
      </c>
      <c r="G61" s="268">
        <v>19</v>
      </c>
      <c r="H61" s="268">
        <v>10</v>
      </c>
      <c r="I61" s="268">
        <v>15</v>
      </c>
      <c r="J61" s="268">
        <v>15</v>
      </c>
      <c r="K61" s="268">
        <v>15</v>
      </c>
      <c r="L61" s="268">
        <v>37</v>
      </c>
      <c r="M61" s="268">
        <v>24</v>
      </c>
      <c r="N61" s="268">
        <v>19</v>
      </c>
      <c r="O61" s="268">
        <v>22</v>
      </c>
      <c r="P61" s="268">
        <v>26</v>
      </c>
      <c r="Q61" s="268">
        <v>18</v>
      </c>
      <c r="R61" s="268">
        <v>21</v>
      </c>
      <c r="S61" s="268">
        <v>20</v>
      </c>
      <c r="T61" s="268">
        <v>23</v>
      </c>
      <c r="U61" s="268">
        <v>36</v>
      </c>
      <c r="V61" s="268">
        <f>SUM(D61:O61)</f>
        <v>238</v>
      </c>
      <c r="W61" s="268">
        <f>SUM(J61:U61)</f>
        <v>276</v>
      </c>
    </row>
    <row r="62" spans="1:23" x14ac:dyDescent="0.25">
      <c r="A62" s="513" t="s">
        <v>148</v>
      </c>
      <c r="B62" s="603" t="s">
        <v>149</v>
      </c>
      <c r="C62" s="603" t="s">
        <v>265</v>
      </c>
      <c r="D62" s="268">
        <v>101</v>
      </c>
      <c r="E62" s="268">
        <v>110</v>
      </c>
      <c r="F62" s="268">
        <v>106</v>
      </c>
      <c r="G62" s="268">
        <v>102</v>
      </c>
      <c r="H62" s="268">
        <v>103</v>
      </c>
      <c r="I62" s="268">
        <v>126</v>
      </c>
      <c r="J62" s="268">
        <v>132</v>
      </c>
      <c r="K62" s="268">
        <v>109</v>
      </c>
      <c r="L62" s="268">
        <v>110</v>
      </c>
      <c r="M62" s="268">
        <v>92</v>
      </c>
      <c r="N62" s="268">
        <v>97</v>
      </c>
      <c r="O62" s="268">
        <v>104</v>
      </c>
      <c r="P62" s="268">
        <v>91</v>
      </c>
      <c r="Q62" s="268">
        <v>127</v>
      </c>
      <c r="R62" s="268">
        <v>95</v>
      </c>
      <c r="S62" s="268">
        <v>104</v>
      </c>
      <c r="T62" s="268">
        <v>128</v>
      </c>
      <c r="U62" s="268">
        <v>143</v>
      </c>
      <c r="V62" s="268">
        <f>SUM(D62:O62)</f>
        <v>1292</v>
      </c>
      <c r="W62" s="268">
        <f>SUM(J62:U62)</f>
        <v>1332</v>
      </c>
    </row>
    <row r="63" spans="1:23" x14ac:dyDescent="0.25">
      <c r="A63" s="513" t="s">
        <v>150</v>
      </c>
      <c r="B63" s="603" t="s">
        <v>151</v>
      </c>
      <c r="C63" s="603" t="s">
        <v>266</v>
      </c>
      <c r="D63" s="268">
        <v>33</v>
      </c>
      <c r="E63" s="268">
        <v>44</v>
      </c>
      <c r="F63" s="268">
        <v>39</v>
      </c>
      <c r="G63" s="268">
        <v>39</v>
      </c>
      <c r="H63" s="268">
        <v>44</v>
      </c>
      <c r="I63" s="268">
        <v>58</v>
      </c>
      <c r="J63" s="268">
        <v>37</v>
      </c>
      <c r="K63" s="268">
        <v>37</v>
      </c>
      <c r="L63" s="268">
        <v>36</v>
      </c>
      <c r="M63" s="268">
        <v>34</v>
      </c>
      <c r="N63" s="268">
        <v>27</v>
      </c>
      <c r="O63" s="268">
        <v>40</v>
      </c>
      <c r="P63" s="268">
        <v>40</v>
      </c>
      <c r="Q63" s="268">
        <v>26</v>
      </c>
      <c r="R63" s="268">
        <v>22</v>
      </c>
      <c r="S63" s="268">
        <v>44</v>
      </c>
      <c r="T63" s="268">
        <v>38</v>
      </c>
      <c r="U63" s="268">
        <v>41</v>
      </c>
      <c r="V63" s="268">
        <f>SUM(D63:O63)</f>
        <v>468</v>
      </c>
      <c r="W63" s="268">
        <f>SUM(J63:U63)</f>
        <v>422</v>
      </c>
    </row>
    <row r="64" spans="1:23" x14ac:dyDescent="0.25">
      <c r="A64" s="513" t="s">
        <v>152</v>
      </c>
      <c r="B64" s="603" t="s">
        <v>153</v>
      </c>
      <c r="C64" s="603" t="s">
        <v>268</v>
      </c>
      <c r="D64" s="268">
        <v>202</v>
      </c>
      <c r="E64" s="268">
        <v>249</v>
      </c>
      <c r="F64" s="268">
        <v>264</v>
      </c>
      <c r="G64" s="268">
        <v>181</v>
      </c>
      <c r="H64" s="268">
        <v>193</v>
      </c>
      <c r="I64" s="268">
        <v>180</v>
      </c>
      <c r="J64" s="268">
        <v>261</v>
      </c>
      <c r="K64" s="268">
        <v>217</v>
      </c>
      <c r="L64" s="268">
        <v>306</v>
      </c>
      <c r="M64" s="268">
        <v>205</v>
      </c>
      <c r="N64" s="268">
        <v>223</v>
      </c>
      <c r="O64" s="268">
        <v>172</v>
      </c>
      <c r="P64" s="268">
        <v>200</v>
      </c>
      <c r="Q64" s="268">
        <v>189</v>
      </c>
      <c r="R64" s="268">
        <v>183</v>
      </c>
      <c r="S64" s="268">
        <v>176</v>
      </c>
      <c r="T64" s="268">
        <v>195</v>
      </c>
      <c r="U64" s="268">
        <v>247</v>
      </c>
      <c r="V64" s="268">
        <f>SUM(D64:O64)</f>
        <v>2653</v>
      </c>
      <c r="W64" s="268">
        <f>SUM(J64:U64)</f>
        <v>2574</v>
      </c>
    </row>
    <row r="65" spans="1:23" x14ac:dyDescent="0.25">
      <c r="A65" s="513" t="s">
        <v>154</v>
      </c>
      <c r="B65" s="603" t="s">
        <v>155</v>
      </c>
      <c r="C65" s="603" t="s">
        <v>265</v>
      </c>
      <c r="D65" s="268">
        <v>32</v>
      </c>
      <c r="E65" s="268">
        <v>39</v>
      </c>
      <c r="F65" s="268">
        <v>50</v>
      </c>
      <c r="G65" s="268">
        <v>28</v>
      </c>
      <c r="H65" s="268">
        <v>53</v>
      </c>
      <c r="I65" s="268">
        <v>50</v>
      </c>
      <c r="J65" s="268">
        <v>51</v>
      </c>
      <c r="K65" s="268">
        <v>38</v>
      </c>
      <c r="L65" s="268">
        <v>58</v>
      </c>
      <c r="M65" s="268">
        <v>50</v>
      </c>
      <c r="N65" s="268">
        <v>45</v>
      </c>
      <c r="O65" s="268">
        <v>41</v>
      </c>
      <c r="P65" s="268">
        <v>39</v>
      </c>
      <c r="Q65" s="268">
        <v>34</v>
      </c>
      <c r="R65" s="268">
        <v>30</v>
      </c>
      <c r="S65" s="268">
        <v>37</v>
      </c>
      <c r="T65" s="268">
        <v>35</v>
      </c>
      <c r="U65" s="268">
        <v>56</v>
      </c>
      <c r="V65" s="268">
        <f>SUM(D65:O65)</f>
        <v>535</v>
      </c>
      <c r="W65" s="268">
        <f>SUM(J65:U65)</f>
        <v>514</v>
      </c>
    </row>
    <row r="66" spans="1:23" x14ac:dyDescent="0.25">
      <c r="A66" s="513" t="s">
        <v>156</v>
      </c>
      <c r="B66" s="603" t="s">
        <v>157</v>
      </c>
      <c r="C66" s="603" t="s">
        <v>266</v>
      </c>
      <c r="D66" s="268">
        <v>31</v>
      </c>
      <c r="E66" s="268">
        <v>39</v>
      </c>
      <c r="F66" s="268">
        <v>51</v>
      </c>
      <c r="G66" s="268">
        <v>39</v>
      </c>
      <c r="H66" s="268">
        <v>32</v>
      </c>
      <c r="I66" s="268">
        <v>35</v>
      </c>
      <c r="J66" s="268">
        <v>36</v>
      </c>
      <c r="K66" s="268">
        <v>37</v>
      </c>
      <c r="L66" s="268">
        <v>36</v>
      </c>
      <c r="M66" s="268">
        <v>35</v>
      </c>
      <c r="N66" s="268">
        <v>39</v>
      </c>
      <c r="O66" s="268">
        <v>39</v>
      </c>
      <c r="P66" s="268">
        <v>35</v>
      </c>
      <c r="Q66" s="268">
        <v>45</v>
      </c>
      <c r="R66" s="268">
        <v>43</v>
      </c>
      <c r="S66" s="268">
        <v>47</v>
      </c>
      <c r="T66" s="268">
        <v>47</v>
      </c>
      <c r="U66" s="268">
        <v>59</v>
      </c>
      <c r="V66" s="268">
        <f>SUM(D66:O66)</f>
        <v>449</v>
      </c>
      <c r="W66" s="268">
        <f>SUM(J66:U66)</f>
        <v>498</v>
      </c>
    </row>
    <row r="67" spans="1:23" x14ac:dyDescent="0.25">
      <c r="A67" s="513" t="s">
        <v>162</v>
      </c>
      <c r="B67" s="603" t="s">
        <v>163</v>
      </c>
      <c r="C67" s="603" t="s">
        <v>264</v>
      </c>
      <c r="D67" s="268">
        <v>30</v>
      </c>
      <c r="E67" s="268">
        <v>47</v>
      </c>
      <c r="F67" s="268">
        <v>39</v>
      </c>
      <c r="G67" s="268">
        <v>35</v>
      </c>
      <c r="H67" s="268">
        <v>47</v>
      </c>
      <c r="I67" s="268">
        <v>46</v>
      </c>
      <c r="J67" s="268">
        <v>59</v>
      </c>
      <c r="K67" s="268">
        <v>39</v>
      </c>
      <c r="L67" s="268">
        <v>53</v>
      </c>
      <c r="M67" s="268">
        <v>56</v>
      </c>
      <c r="N67" s="268">
        <v>44</v>
      </c>
      <c r="O67" s="268">
        <v>68</v>
      </c>
      <c r="P67" s="268">
        <v>51</v>
      </c>
      <c r="Q67" s="268">
        <v>51</v>
      </c>
      <c r="R67" s="268">
        <v>48</v>
      </c>
      <c r="S67" s="268">
        <v>42</v>
      </c>
      <c r="T67" s="268">
        <v>57</v>
      </c>
      <c r="U67" s="268">
        <v>66</v>
      </c>
      <c r="V67" s="268">
        <f>SUM(D67:O67)</f>
        <v>563</v>
      </c>
      <c r="W67" s="268">
        <f>SUM(J67:U67)</f>
        <v>634</v>
      </c>
    </row>
    <row r="68" spans="1:23" x14ac:dyDescent="0.25">
      <c r="A68" s="513" t="s">
        <v>164</v>
      </c>
      <c r="B68" s="603" t="s">
        <v>165</v>
      </c>
      <c r="C68" s="603" t="s">
        <v>266</v>
      </c>
      <c r="D68" s="268">
        <v>28</v>
      </c>
      <c r="E68" s="268">
        <v>32</v>
      </c>
      <c r="F68" s="268">
        <v>28</v>
      </c>
      <c r="G68" s="268">
        <v>32</v>
      </c>
      <c r="H68" s="268">
        <v>25</v>
      </c>
      <c r="I68" s="268">
        <v>42</v>
      </c>
      <c r="J68" s="268">
        <v>30</v>
      </c>
      <c r="K68" s="268">
        <v>45</v>
      </c>
      <c r="L68" s="268">
        <v>36</v>
      </c>
      <c r="M68" s="268">
        <v>41</v>
      </c>
      <c r="N68" s="268">
        <v>46</v>
      </c>
      <c r="O68" s="268">
        <v>27</v>
      </c>
      <c r="P68" s="268">
        <v>35</v>
      </c>
      <c r="Q68" s="268">
        <v>36</v>
      </c>
      <c r="R68" s="268">
        <v>29</v>
      </c>
      <c r="S68" s="268">
        <v>36</v>
      </c>
      <c r="T68" s="268">
        <v>41</v>
      </c>
      <c r="U68" s="268">
        <v>56</v>
      </c>
      <c r="V68" s="268">
        <f>SUM(D68:O68)</f>
        <v>412</v>
      </c>
      <c r="W68" s="268">
        <f>SUM(J68:U68)</f>
        <v>458</v>
      </c>
    </row>
    <row r="69" spans="1:23" x14ac:dyDescent="0.25">
      <c r="A69" s="513" t="s">
        <v>168</v>
      </c>
      <c r="B69" s="603" t="s">
        <v>169</v>
      </c>
      <c r="C69" s="603" t="s">
        <v>266</v>
      </c>
      <c r="D69" s="268">
        <v>45</v>
      </c>
      <c r="E69" s="268">
        <v>50</v>
      </c>
      <c r="F69" s="268">
        <v>49</v>
      </c>
      <c r="G69" s="268">
        <v>47</v>
      </c>
      <c r="H69" s="268">
        <v>53</v>
      </c>
      <c r="I69" s="268">
        <v>47</v>
      </c>
      <c r="J69" s="268">
        <v>57</v>
      </c>
      <c r="K69" s="268">
        <v>66</v>
      </c>
      <c r="L69" s="268">
        <v>51</v>
      </c>
      <c r="M69" s="268">
        <v>50</v>
      </c>
      <c r="N69" s="268">
        <v>44</v>
      </c>
      <c r="O69" s="268">
        <v>51</v>
      </c>
      <c r="P69" s="268">
        <v>52</v>
      </c>
      <c r="Q69" s="268">
        <v>68</v>
      </c>
      <c r="R69" s="268">
        <v>54</v>
      </c>
      <c r="S69" s="268">
        <v>38</v>
      </c>
      <c r="T69" s="268">
        <v>48</v>
      </c>
      <c r="U69" s="268">
        <v>62</v>
      </c>
      <c r="V69" s="268">
        <f>SUM(D69:O69)</f>
        <v>610</v>
      </c>
      <c r="W69" s="268">
        <f>SUM(J69:U69)</f>
        <v>641</v>
      </c>
    </row>
    <row r="70" spans="1:23" x14ac:dyDescent="0.25">
      <c r="A70" s="513" t="s">
        <v>170</v>
      </c>
      <c r="B70" s="603" t="s">
        <v>171</v>
      </c>
      <c r="C70" s="603" t="s">
        <v>267</v>
      </c>
      <c r="D70" s="268">
        <v>110</v>
      </c>
      <c r="E70" s="268">
        <v>125</v>
      </c>
      <c r="F70" s="268">
        <v>157</v>
      </c>
      <c r="G70" s="268">
        <v>107</v>
      </c>
      <c r="H70" s="268">
        <v>123</v>
      </c>
      <c r="I70" s="268">
        <v>123</v>
      </c>
      <c r="J70" s="268">
        <v>147</v>
      </c>
      <c r="K70" s="268">
        <v>161</v>
      </c>
      <c r="L70" s="268">
        <v>182</v>
      </c>
      <c r="M70" s="268">
        <v>134</v>
      </c>
      <c r="N70" s="268">
        <v>124</v>
      </c>
      <c r="O70" s="268">
        <v>139</v>
      </c>
      <c r="P70" s="268">
        <v>159</v>
      </c>
      <c r="Q70" s="268">
        <v>124</v>
      </c>
      <c r="R70" s="268">
        <v>143</v>
      </c>
      <c r="S70" s="268">
        <v>116</v>
      </c>
      <c r="T70" s="268">
        <v>78</v>
      </c>
      <c r="U70" s="268">
        <v>151</v>
      </c>
      <c r="V70" s="268">
        <f>SUM(D70:O70)</f>
        <v>1632</v>
      </c>
      <c r="W70" s="268">
        <f>SUM(J70:U70)</f>
        <v>1658</v>
      </c>
    </row>
    <row r="71" spans="1:23" x14ac:dyDescent="0.25">
      <c r="A71" s="513" t="s">
        <v>172</v>
      </c>
      <c r="B71" s="603" t="s">
        <v>173</v>
      </c>
      <c r="C71" s="603" t="s">
        <v>267</v>
      </c>
      <c r="D71" s="268">
        <v>58</v>
      </c>
      <c r="E71" s="268">
        <v>85</v>
      </c>
      <c r="F71" s="268">
        <v>67</v>
      </c>
      <c r="G71" s="268">
        <v>101</v>
      </c>
      <c r="H71" s="268">
        <v>79</v>
      </c>
      <c r="I71" s="268">
        <v>95</v>
      </c>
      <c r="J71" s="268">
        <v>98</v>
      </c>
      <c r="K71" s="268">
        <v>64</v>
      </c>
      <c r="L71" s="268">
        <v>120</v>
      </c>
      <c r="M71" s="268">
        <v>109</v>
      </c>
      <c r="N71" s="268">
        <v>107</v>
      </c>
      <c r="O71" s="268">
        <v>102</v>
      </c>
      <c r="P71" s="268">
        <v>70</v>
      </c>
      <c r="Q71" s="268">
        <v>94</v>
      </c>
      <c r="R71" s="268">
        <v>75</v>
      </c>
      <c r="S71" s="268">
        <v>81</v>
      </c>
      <c r="T71" s="268">
        <v>71</v>
      </c>
      <c r="U71" s="268">
        <v>127</v>
      </c>
      <c r="V71" s="268">
        <f>SUM(D71:O71)</f>
        <v>1085</v>
      </c>
      <c r="W71" s="268">
        <f>SUM(J71:U71)</f>
        <v>1118</v>
      </c>
    </row>
    <row r="72" spans="1:23" x14ac:dyDescent="0.25">
      <c r="A72" s="513" t="s">
        <v>174</v>
      </c>
      <c r="B72" s="603" t="s">
        <v>175</v>
      </c>
      <c r="C72" s="603" t="s">
        <v>268</v>
      </c>
      <c r="D72" s="268">
        <v>55</v>
      </c>
      <c r="E72" s="268">
        <v>69</v>
      </c>
      <c r="F72" s="268">
        <v>70</v>
      </c>
      <c r="G72" s="268">
        <v>71</v>
      </c>
      <c r="H72" s="268">
        <v>67</v>
      </c>
      <c r="I72" s="268">
        <v>52</v>
      </c>
      <c r="J72" s="268">
        <v>63</v>
      </c>
      <c r="K72" s="268">
        <v>60</v>
      </c>
      <c r="L72" s="268">
        <v>68</v>
      </c>
      <c r="M72" s="268">
        <v>35</v>
      </c>
      <c r="N72" s="268">
        <v>72</v>
      </c>
      <c r="O72" s="268">
        <v>68</v>
      </c>
      <c r="P72" s="268">
        <v>62</v>
      </c>
      <c r="Q72" s="268">
        <v>72</v>
      </c>
      <c r="R72" s="268">
        <v>51</v>
      </c>
      <c r="S72" s="268">
        <v>48</v>
      </c>
      <c r="T72" s="268">
        <v>69</v>
      </c>
      <c r="U72" s="268">
        <v>76</v>
      </c>
      <c r="V72" s="268">
        <f>SUM(D72:O72)</f>
        <v>750</v>
      </c>
      <c r="W72" s="268">
        <f>SUM(J72:U72)</f>
        <v>744</v>
      </c>
    </row>
    <row r="73" spans="1:23" x14ac:dyDescent="0.25">
      <c r="A73" s="513" t="s">
        <v>178</v>
      </c>
      <c r="B73" s="603" t="s">
        <v>179</v>
      </c>
      <c r="C73" s="603" t="s">
        <v>265</v>
      </c>
      <c r="D73" s="268">
        <v>168</v>
      </c>
      <c r="E73" s="268">
        <v>261</v>
      </c>
      <c r="F73" s="268">
        <v>222</v>
      </c>
      <c r="G73" s="268">
        <v>175</v>
      </c>
      <c r="H73" s="268">
        <v>202</v>
      </c>
      <c r="I73" s="268">
        <v>173</v>
      </c>
      <c r="J73" s="268">
        <v>213</v>
      </c>
      <c r="K73" s="268">
        <v>203</v>
      </c>
      <c r="L73" s="268">
        <v>277</v>
      </c>
      <c r="M73" s="268">
        <v>195</v>
      </c>
      <c r="N73" s="268">
        <v>186</v>
      </c>
      <c r="O73" s="268">
        <v>215</v>
      </c>
      <c r="P73" s="268">
        <v>183</v>
      </c>
      <c r="Q73" s="268">
        <v>219</v>
      </c>
      <c r="R73" s="268">
        <v>175</v>
      </c>
      <c r="S73" s="268">
        <v>183</v>
      </c>
      <c r="T73" s="268">
        <v>165</v>
      </c>
      <c r="U73" s="268">
        <v>249</v>
      </c>
      <c r="V73" s="268">
        <f>SUM(D73:O73)</f>
        <v>2490</v>
      </c>
      <c r="W73" s="268">
        <f>SUM(J73:U73)</f>
        <v>2463</v>
      </c>
    </row>
    <row r="74" spans="1:23" x14ac:dyDescent="0.25">
      <c r="A74" s="513" t="s">
        <v>182</v>
      </c>
      <c r="B74" s="603" t="s">
        <v>183</v>
      </c>
      <c r="C74" s="603" t="s">
        <v>266</v>
      </c>
      <c r="D74" s="268">
        <v>45</v>
      </c>
      <c r="E74" s="268">
        <v>40</v>
      </c>
      <c r="F74" s="268">
        <v>40</v>
      </c>
      <c r="G74" s="268">
        <v>44</v>
      </c>
      <c r="H74" s="268">
        <v>51</v>
      </c>
      <c r="I74" s="268">
        <v>50</v>
      </c>
      <c r="J74" s="268">
        <v>52</v>
      </c>
      <c r="K74" s="268">
        <v>40</v>
      </c>
      <c r="L74" s="268">
        <v>75</v>
      </c>
      <c r="M74" s="268">
        <v>42</v>
      </c>
      <c r="N74" s="268">
        <v>54</v>
      </c>
      <c r="O74" s="268">
        <v>46</v>
      </c>
      <c r="P74" s="268">
        <v>53</v>
      </c>
      <c r="Q74" s="268">
        <v>48</v>
      </c>
      <c r="R74" s="268">
        <v>41</v>
      </c>
      <c r="S74" s="268">
        <v>47</v>
      </c>
      <c r="T74" s="268">
        <v>57</v>
      </c>
      <c r="U74" s="268">
        <v>84</v>
      </c>
      <c r="V74" s="268">
        <f>SUM(D74:O74)</f>
        <v>579</v>
      </c>
      <c r="W74" s="268">
        <f>SUM(J74:U74)</f>
        <v>639</v>
      </c>
    </row>
    <row r="75" spans="1:23" x14ac:dyDescent="0.25">
      <c r="A75" s="513" t="s">
        <v>184</v>
      </c>
      <c r="B75" s="603" t="s">
        <v>185</v>
      </c>
      <c r="C75" s="603" t="s">
        <v>266</v>
      </c>
      <c r="D75" s="268">
        <v>51</v>
      </c>
      <c r="E75" s="268">
        <v>69</v>
      </c>
      <c r="F75" s="268">
        <v>69</v>
      </c>
      <c r="G75" s="268">
        <v>68</v>
      </c>
      <c r="H75" s="268">
        <v>72</v>
      </c>
      <c r="I75" s="268">
        <v>68</v>
      </c>
      <c r="J75" s="268">
        <v>50</v>
      </c>
      <c r="K75" s="268">
        <v>60</v>
      </c>
      <c r="L75" s="268">
        <v>77</v>
      </c>
      <c r="M75" s="268">
        <v>90</v>
      </c>
      <c r="N75" s="268">
        <v>77</v>
      </c>
      <c r="O75" s="268">
        <v>79</v>
      </c>
      <c r="P75" s="268">
        <v>68</v>
      </c>
      <c r="Q75" s="268">
        <v>71</v>
      </c>
      <c r="R75" s="268">
        <v>47</v>
      </c>
      <c r="S75" s="268">
        <v>79</v>
      </c>
      <c r="T75" s="268">
        <v>77</v>
      </c>
      <c r="U75" s="268">
        <v>87</v>
      </c>
      <c r="V75" s="268">
        <f>SUM(D75:O75)</f>
        <v>830</v>
      </c>
      <c r="W75" s="268">
        <f>SUM(J75:U75)</f>
        <v>862</v>
      </c>
    </row>
    <row r="76" spans="1:23" x14ac:dyDescent="0.25">
      <c r="A76" s="513" t="s">
        <v>186</v>
      </c>
      <c r="B76" s="603" t="s">
        <v>187</v>
      </c>
      <c r="C76" s="603" t="s">
        <v>264</v>
      </c>
      <c r="D76" s="268">
        <v>100</v>
      </c>
      <c r="E76" s="268">
        <v>85</v>
      </c>
      <c r="F76" s="268">
        <v>116</v>
      </c>
      <c r="G76" s="268">
        <v>76</v>
      </c>
      <c r="H76" s="268">
        <v>91</v>
      </c>
      <c r="I76" s="268">
        <v>82</v>
      </c>
      <c r="J76" s="268">
        <v>91</v>
      </c>
      <c r="K76" s="268">
        <v>79</v>
      </c>
      <c r="L76" s="268">
        <v>131</v>
      </c>
      <c r="M76" s="268">
        <v>87</v>
      </c>
      <c r="N76" s="268">
        <v>89</v>
      </c>
      <c r="O76" s="268">
        <v>79</v>
      </c>
      <c r="P76" s="268">
        <v>90</v>
      </c>
      <c r="Q76" s="268">
        <v>77</v>
      </c>
      <c r="R76" s="268">
        <v>86</v>
      </c>
      <c r="S76" s="268">
        <v>70</v>
      </c>
      <c r="T76" s="268">
        <v>100</v>
      </c>
      <c r="U76" s="268">
        <v>114</v>
      </c>
      <c r="V76" s="268">
        <f>SUM(D76:O76)</f>
        <v>1106</v>
      </c>
      <c r="W76" s="268">
        <f>SUM(J76:U76)</f>
        <v>1093</v>
      </c>
    </row>
    <row r="77" spans="1:23" x14ac:dyDescent="0.25">
      <c r="A77" s="513" t="s">
        <v>188</v>
      </c>
      <c r="B77" s="603" t="s">
        <v>189</v>
      </c>
      <c r="C77" s="603" t="s">
        <v>267</v>
      </c>
      <c r="D77" s="268">
        <v>1218</v>
      </c>
      <c r="E77" s="268">
        <v>1409</v>
      </c>
      <c r="F77" s="268">
        <v>1413</v>
      </c>
      <c r="G77" s="268">
        <v>1288</v>
      </c>
      <c r="H77" s="268">
        <v>1382</v>
      </c>
      <c r="I77" s="268">
        <v>1489</v>
      </c>
      <c r="J77" s="268">
        <v>1518</v>
      </c>
      <c r="K77" s="268">
        <v>1513</v>
      </c>
      <c r="L77" s="268">
        <v>2062</v>
      </c>
      <c r="M77" s="268">
        <v>1665</v>
      </c>
      <c r="N77" s="268">
        <v>1842</v>
      </c>
      <c r="O77" s="268">
        <v>1439</v>
      </c>
      <c r="P77" s="268">
        <v>1691</v>
      </c>
      <c r="Q77" s="268">
        <v>1538</v>
      </c>
      <c r="R77" s="268">
        <v>1363</v>
      </c>
      <c r="S77" s="268">
        <v>1549</v>
      </c>
      <c r="T77" s="268">
        <v>1554</v>
      </c>
      <c r="U77" s="268">
        <v>1962</v>
      </c>
      <c r="V77" s="268">
        <f>SUM(D77:O77)</f>
        <v>18238</v>
      </c>
      <c r="W77" s="268">
        <f>SUM(J77:U77)</f>
        <v>19696</v>
      </c>
    </row>
    <row r="78" spans="1:23" x14ac:dyDescent="0.25">
      <c r="A78" s="513" t="s">
        <v>190</v>
      </c>
      <c r="B78" s="603" t="s">
        <v>191</v>
      </c>
      <c r="C78" s="603" t="s">
        <v>268</v>
      </c>
      <c r="D78" s="268">
        <v>99</v>
      </c>
      <c r="E78" s="268">
        <v>121</v>
      </c>
      <c r="F78" s="268">
        <v>125</v>
      </c>
      <c r="G78" s="268">
        <v>98</v>
      </c>
      <c r="H78" s="268">
        <v>107</v>
      </c>
      <c r="I78" s="268">
        <v>110</v>
      </c>
      <c r="J78" s="268">
        <v>133</v>
      </c>
      <c r="K78" s="268">
        <v>131</v>
      </c>
      <c r="L78" s="268">
        <v>159</v>
      </c>
      <c r="M78" s="268">
        <v>94</v>
      </c>
      <c r="N78" s="268">
        <v>132</v>
      </c>
      <c r="O78" s="268">
        <v>118</v>
      </c>
      <c r="P78" s="268">
        <v>140</v>
      </c>
      <c r="Q78" s="268">
        <v>124</v>
      </c>
      <c r="R78" s="268">
        <v>98</v>
      </c>
      <c r="S78" s="268">
        <v>105</v>
      </c>
      <c r="T78" s="268">
        <v>100</v>
      </c>
      <c r="U78" s="268">
        <v>126</v>
      </c>
      <c r="V78" s="268">
        <f>SUM(D78:O78)</f>
        <v>1427</v>
      </c>
      <c r="W78" s="268">
        <f>SUM(J78:U78)</f>
        <v>1460</v>
      </c>
    </row>
    <row r="79" spans="1:23" x14ac:dyDescent="0.25">
      <c r="A79" s="513" t="s">
        <v>194</v>
      </c>
      <c r="B79" s="603" t="s">
        <v>195</v>
      </c>
      <c r="C79" s="603" t="s">
        <v>267</v>
      </c>
      <c r="D79" s="268">
        <v>11</v>
      </c>
      <c r="E79" s="268">
        <v>18</v>
      </c>
      <c r="F79" s="268">
        <v>22</v>
      </c>
      <c r="G79" s="268">
        <v>22</v>
      </c>
      <c r="H79" s="268">
        <v>18</v>
      </c>
      <c r="I79" s="268">
        <v>25</v>
      </c>
      <c r="J79" s="268">
        <v>24</v>
      </c>
      <c r="K79" s="268">
        <v>30</v>
      </c>
      <c r="L79" s="268">
        <v>36</v>
      </c>
      <c r="M79" s="268">
        <v>18</v>
      </c>
      <c r="N79" s="268">
        <v>26</v>
      </c>
      <c r="O79" s="268">
        <v>26</v>
      </c>
      <c r="P79" s="268">
        <v>23</v>
      </c>
      <c r="Q79" s="268">
        <v>18</v>
      </c>
      <c r="R79" s="268">
        <v>22</v>
      </c>
      <c r="S79" s="268">
        <v>29</v>
      </c>
      <c r="T79" s="268">
        <v>18</v>
      </c>
      <c r="U79" s="268">
        <v>30</v>
      </c>
      <c r="V79" s="268">
        <f>SUM(D79:O79)</f>
        <v>276</v>
      </c>
      <c r="W79" s="268">
        <f>SUM(J79:U79)</f>
        <v>300</v>
      </c>
    </row>
    <row r="80" spans="1:23" x14ac:dyDescent="0.25">
      <c r="A80" s="513" t="s">
        <v>198</v>
      </c>
      <c r="B80" s="603" t="s">
        <v>272</v>
      </c>
      <c r="C80" s="603" t="s">
        <v>266</v>
      </c>
      <c r="D80" s="268">
        <v>40</v>
      </c>
      <c r="E80" s="268">
        <v>44</v>
      </c>
      <c r="F80" s="268">
        <v>32</v>
      </c>
      <c r="G80" s="268">
        <v>42</v>
      </c>
      <c r="H80" s="268">
        <v>50</v>
      </c>
      <c r="I80" s="268">
        <v>50</v>
      </c>
      <c r="J80" s="268">
        <v>44</v>
      </c>
      <c r="K80" s="268">
        <v>33</v>
      </c>
      <c r="L80" s="268">
        <v>35</v>
      </c>
      <c r="M80" s="268">
        <v>33</v>
      </c>
      <c r="N80" s="268">
        <v>38</v>
      </c>
      <c r="O80" s="268">
        <v>34</v>
      </c>
      <c r="P80" s="268">
        <v>28</v>
      </c>
      <c r="Q80" s="268">
        <v>29</v>
      </c>
      <c r="R80" s="268">
        <v>23</v>
      </c>
      <c r="S80" s="268">
        <v>30</v>
      </c>
      <c r="T80" s="268">
        <v>50</v>
      </c>
      <c r="U80" s="268">
        <v>41</v>
      </c>
      <c r="V80" s="268">
        <f>SUM(D80:O80)</f>
        <v>475</v>
      </c>
      <c r="W80" s="268">
        <f>SUM(J80:U80)</f>
        <v>418</v>
      </c>
    </row>
    <row r="81" spans="1:23" x14ac:dyDescent="0.25">
      <c r="A81" s="513" t="s">
        <v>202</v>
      </c>
      <c r="B81" s="603" t="s">
        <v>301</v>
      </c>
      <c r="C81" s="603" t="s">
        <v>265</v>
      </c>
      <c r="D81" s="268">
        <v>261</v>
      </c>
      <c r="E81" s="268">
        <v>333</v>
      </c>
      <c r="F81" s="268">
        <v>360</v>
      </c>
      <c r="G81" s="268">
        <v>266</v>
      </c>
      <c r="H81" s="268">
        <v>310</v>
      </c>
      <c r="I81" s="268">
        <v>324</v>
      </c>
      <c r="J81" s="268">
        <v>361</v>
      </c>
      <c r="K81" s="268">
        <v>293</v>
      </c>
      <c r="L81" s="268">
        <v>411</v>
      </c>
      <c r="M81" s="268">
        <v>352</v>
      </c>
      <c r="N81" s="268">
        <v>346</v>
      </c>
      <c r="O81" s="268">
        <v>282</v>
      </c>
      <c r="P81" s="268">
        <v>335</v>
      </c>
      <c r="Q81" s="268">
        <v>289</v>
      </c>
      <c r="R81" s="268">
        <v>322</v>
      </c>
      <c r="S81" s="268">
        <v>297</v>
      </c>
      <c r="T81" s="268">
        <v>340</v>
      </c>
      <c r="U81" s="268">
        <v>408</v>
      </c>
      <c r="V81" s="268">
        <f>SUM(D81:O81)</f>
        <v>3899</v>
      </c>
      <c r="W81" s="268">
        <f>SUM(J81:U81)</f>
        <v>4036</v>
      </c>
    </row>
    <row r="82" spans="1:23" x14ac:dyDescent="0.25">
      <c r="A82" s="513" t="s">
        <v>204</v>
      </c>
      <c r="B82" s="603" t="s">
        <v>293</v>
      </c>
      <c r="C82" s="603" t="s">
        <v>265</v>
      </c>
      <c r="D82" s="268">
        <v>85</v>
      </c>
      <c r="E82" s="268">
        <v>104</v>
      </c>
      <c r="F82" s="268">
        <v>98</v>
      </c>
      <c r="G82" s="268">
        <v>75</v>
      </c>
      <c r="H82" s="268">
        <v>81</v>
      </c>
      <c r="I82" s="268">
        <v>93</v>
      </c>
      <c r="J82" s="268">
        <v>116</v>
      </c>
      <c r="K82" s="268">
        <v>80</v>
      </c>
      <c r="L82" s="268">
        <v>126</v>
      </c>
      <c r="M82" s="268">
        <v>110</v>
      </c>
      <c r="N82" s="268">
        <v>88</v>
      </c>
      <c r="O82" s="268">
        <v>90</v>
      </c>
      <c r="P82" s="268">
        <v>101</v>
      </c>
      <c r="Q82" s="268">
        <v>118</v>
      </c>
      <c r="R82" s="268">
        <v>80</v>
      </c>
      <c r="S82" s="268">
        <v>73</v>
      </c>
      <c r="T82" s="268">
        <v>98</v>
      </c>
      <c r="U82" s="268">
        <v>128</v>
      </c>
      <c r="V82" s="268">
        <f>SUM(D82:O82)</f>
        <v>1146</v>
      </c>
      <c r="W82" s="268">
        <f>SUM(J82:U82)</f>
        <v>1208</v>
      </c>
    </row>
    <row r="83" spans="1:23" x14ac:dyDescent="0.25">
      <c r="A83" s="513" t="s">
        <v>206</v>
      </c>
      <c r="B83" s="603" t="s">
        <v>294</v>
      </c>
      <c r="C83" s="603" t="s">
        <v>267</v>
      </c>
      <c r="D83" s="268">
        <v>314</v>
      </c>
      <c r="E83" s="268">
        <v>405</v>
      </c>
      <c r="F83" s="268">
        <v>385</v>
      </c>
      <c r="G83" s="268">
        <v>335</v>
      </c>
      <c r="H83" s="268">
        <v>330</v>
      </c>
      <c r="I83" s="268">
        <v>318</v>
      </c>
      <c r="J83" s="268">
        <v>367</v>
      </c>
      <c r="K83" s="268">
        <v>337</v>
      </c>
      <c r="L83" s="268">
        <v>504</v>
      </c>
      <c r="M83" s="268">
        <v>316</v>
      </c>
      <c r="N83" s="268">
        <v>398</v>
      </c>
      <c r="O83" s="268">
        <v>385</v>
      </c>
      <c r="P83" s="268">
        <v>335</v>
      </c>
      <c r="Q83" s="268">
        <v>355</v>
      </c>
      <c r="R83" s="268">
        <v>313</v>
      </c>
      <c r="S83" s="268">
        <v>374</v>
      </c>
      <c r="T83" s="268">
        <v>381</v>
      </c>
      <c r="U83" s="268">
        <v>452</v>
      </c>
      <c r="V83" s="268">
        <f>SUM(D83:O83)</f>
        <v>4394</v>
      </c>
      <c r="W83" s="268">
        <f>SUM(J83:U83)</f>
        <v>4517</v>
      </c>
    </row>
    <row r="84" spans="1:23" x14ac:dyDescent="0.25">
      <c r="A84" s="513" t="s">
        <v>208</v>
      </c>
      <c r="B84" s="603" t="s">
        <v>209</v>
      </c>
      <c r="C84" s="603" t="s">
        <v>268</v>
      </c>
      <c r="D84" s="268">
        <v>91</v>
      </c>
      <c r="E84" s="268">
        <v>104</v>
      </c>
      <c r="F84" s="268">
        <v>93</v>
      </c>
      <c r="G84" s="268">
        <v>112</v>
      </c>
      <c r="H84" s="268">
        <v>117</v>
      </c>
      <c r="I84" s="268">
        <v>91</v>
      </c>
      <c r="J84" s="268">
        <v>110</v>
      </c>
      <c r="K84" s="268">
        <v>99</v>
      </c>
      <c r="L84" s="268">
        <v>108</v>
      </c>
      <c r="M84" s="268">
        <v>92</v>
      </c>
      <c r="N84" s="268">
        <v>95</v>
      </c>
      <c r="O84" s="268">
        <v>97</v>
      </c>
      <c r="P84" s="268">
        <v>94</v>
      </c>
      <c r="Q84" s="268">
        <v>121</v>
      </c>
      <c r="R84" s="268">
        <v>91</v>
      </c>
      <c r="S84" s="268">
        <v>99</v>
      </c>
      <c r="T84" s="268">
        <v>101</v>
      </c>
      <c r="U84" s="268">
        <v>150</v>
      </c>
      <c r="V84" s="268">
        <f>SUM(D84:O84)</f>
        <v>1209</v>
      </c>
      <c r="W84" s="268">
        <f>SUM(J84:U84)</f>
        <v>1257</v>
      </c>
    </row>
    <row r="85" spans="1:23" x14ac:dyDescent="0.25">
      <c r="A85" s="513" t="s">
        <v>210</v>
      </c>
      <c r="B85" s="603" t="s">
        <v>211</v>
      </c>
      <c r="C85" s="603" t="s">
        <v>268</v>
      </c>
      <c r="D85" s="268">
        <v>89</v>
      </c>
      <c r="E85" s="268">
        <v>93</v>
      </c>
      <c r="F85" s="268">
        <v>78</v>
      </c>
      <c r="G85" s="268">
        <v>79</v>
      </c>
      <c r="H85" s="268">
        <v>103</v>
      </c>
      <c r="I85" s="268">
        <v>80</v>
      </c>
      <c r="J85" s="268">
        <v>67</v>
      </c>
      <c r="K85" s="268">
        <v>83</v>
      </c>
      <c r="L85" s="268">
        <v>89</v>
      </c>
      <c r="M85" s="268">
        <v>67</v>
      </c>
      <c r="N85" s="268">
        <v>70</v>
      </c>
      <c r="O85" s="268">
        <v>92</v>
      </c>
      <c r="P85" s="268">
        <v>81</v>
      </c>
      <c r="Q85" s="268">
        <v>91</v>
      </c>
      <c r="R85" s="268">
        <v>85</v>
      </c>
      <c r="S85" s="268">
        <v>78</v>
      </c>
      <c r="T85" s="268">
        <v>68</v>
      </c>
      <c r="U85" s="268">
        <v>89</v>
      </c>
      <c r="V85" s="268">
        <f>SUM(D85:O85)</f>
        <v>990</v>
      </c>
      <c r="W85" s="268">
        <f>SUM(J85:U85)</f>
        <v>960</v>
      </c>
    </row>
    <row r="86" spans="1:23" x14ac:dyDescent="0.25">
      <c r="A86" s="513" t="s">
        <v>212</v>
      </c>
      <c r="B86" s="603" t="s">
        <v>213</v>
      </c>
      <c r="C86" s="603" t="s">
        <v>267</v>
      </c>
      <c r="D86" s="268">
        <v>122</v>
      </c>
      <c r="E86" s="268">
        <v>114</v>
      </c>
      <c r="F86" s="268">
        <v>140</v>
      </c>
      <c r="G86" s="268">
        <v>165</v>
      </c>
      <c r="H86" s="268">
        <v>149</v>
      </c>
      <c r="I86" s="268">
        <v>174</v>
      </c>
      <c r="J86" s="268">
        <v>164</v>
      </c>
      <c r="K86" s="268">
        <v>155</v>
      </c>
      <c r="L86" s="268">
        <v>185</v>
      </c>
      <c r="M86" s="268">
        <v>131</v>
      </c>
      <c r="N86" s="268">
        <v>155</v>
      </c>
      <c r="O86" s="268">
        <v>177</v>
      </c>
      <c r="P86" s="268">
        <v>177</v>
      </c>
      <c r="Q86" s="268">
        <v>141</v>
      </c>
      <c r="R86" s="268">
        <v>130</v>
      </c>
      <c r="S86" s="268">
        <v>133</v>
      </c>
      <c r="T86" s="268">
        <v>140</v>
      </c>
      <c r="U86" s="268">
        <v>170</v>
      </c>
      <c r="V86" s="268">
        <f>SUM(D86:O86)</f>
        <v>1831</v>
      </c>
      <c r="W86" s="268">
        <f>SUM(J86:U86)</f>
        <v>1858</v>
      </c>
    </row>
    <row r="87" spans="1:23" x14ac:dyDescent="0.25">
      <c r="A87" s="513" t="s">
        <v>214</v>
      </c>
      <c r="B87" s="603" t="s">
        <v>215</v>
      </c>
      <c r="C87" s="603" t="s">
        <v>268</v>
      </c>
      <c r="D87" s="268">
        <v>110</v>
      </c>
      <c r="E87" s="268">
        <v>104</v>
      </c>
      <c r="F87" s="268">
        <v>119</v>
      </c>
      <c r="G87" s="268">
        <v>78</v>
      </c>
      <c r="H87" s="268">
        <v>116</v>
      </c>
      <c r="I87" s="268">
        <v>119</v>
      </c>
      <c r="J87" s="268">
        <v>144</v>
      </c>
      <c r="K87" s="268">
        <v>108</v>
      </c>
      <c r="L87" s="268">
        <v>124</v>
      </c>
      <c r="M87" s="268">
        <v>133</v>
      </c>
      <c r="N87" s="268">
        <v>120</v>
      </c>
      <c r="O87" s="268">
        <v>123</v>
      </c>
      <c r="P87" s="268">
        <v>123</v>
      </c>
      <c r="Q87" s="268">
        <v>139</v>
      </c>
      <c r="R87" s="268">
        <v>113</v>
      </c>
      <c r="S87" s="268">
        <v>114</v>
      </c>
      <c r="T87" s="268">
        <v>129</v>
      </c>
      <c r="U87" s="268">
        <v>161</v>
      </c>
      <c r="V87" s="268">
        <f>SUM(D87:O87)</f>
        <v>1398</v>
      </c>
      <c r="W87" s="268">
        <f>SUM(J87:U87)</f>
        <v>1531</v>
      </c>
    </row>
    <row r="88" spans="1:23" x14ac:dyDescent="0.25">
      <c r="A88" s="513" t="s">
        <v>216</v>
      </c>
      <c r="B88" s="603" t="s">
        <v>217</v>
      </c>
      <c r="C88" s="603" t="s">
        <v>264</v>
      </c>
      <c r="D88" s="268">
        <v>77</v>
      </c>
      <c r="E88" s="268">
        <v>70</v>
      </c>
      <c r="F88" s="268">
        <v>59</v>
      </c>
      <c r="G88" s="268">
        <v>71</v>
      </c>
      <c r="H88" s="268">
        <v>67</v>
      </c>
      <c r="I88" s="268">
        <v>63</v>
      </c>
      <c r="J88" s="268">
        <v>56</v>
      </c>
      <c r="K88" s="268">
        <v>64</v>
      </c>
      <c r="L88" s="268">
        <v>84</v>
      </c>
      <c r="M88" s="268">
        <v>47</v>
      </c>
      <c r="N88" s="268">
        <v>57</v>
      </c>
      <c r="O88" s="268">
        <v>58</v>
      </c>
      <c r="P88" s="268">
        <v>60</v>
      </c>
      <c r="Q88" s="268">
        <v>75</v>
      </c>
      <c r="R88" s="268">
        <v>62</v>
      </c>
      <c r="S88" s="268">
        <v>56</v>
      </c>
      <c r="T88" s="268">
        <v>47</v>
      </c>
      <c r="U88" s="268">
        <v>64</v>
      </c>
      <c r="V88" s="268">
        <f>SUM(D88:O88)</f>
        <v>773</v>
      </c>
      <c r="W88" s="268">
        <f>SUM(J88:U88)</f>
        <v>730</v>
      </c>
    </row>
    <row r="89" spans="1:23" x14ac:dyDescent="0.25">
      <c r="A89" s="513" t="s">
        <v>218</v>
      </c>
      <c r="B89" s="603" t="s">
        <v>219</v>
      </c>
      <c r="C89" s="603" t="s">
        <v>267</v>
      </c>
      <c r="D89" s="268">
        <v>302</v>
      </c>
      <c r="E89" s="268">
        <v>360</v>
      </c>
      <c r="F89" s="268">
        <v>379</v>
      </c>
      <c r="G89" s="268">
        <v>347</v>
      </c>
      <c r="H89" s="268">
        <v>346</v>
      </c>
      <c r="I89" s="268">
        <v>359</v>
      </c>
      <c r="J89" s="268">
        <v>327</v>
      </c>
      <c r="K89" s="268">
        <v>365</v>
      </c>
      <c r="L89" s="268">
        <v>477</v>
      </c>
      <c r="M89" s="268">
        <v>386</v>
      </c>
      <c r="N89" s="268">
        <v>491</v>
      </c>
      <c r="O89" s="268">
        <v>428</v>
      </c>
      <c r="P89" s="268">
        <v>456</v>
      </c>
      <c r="Q89" s="268">
        <v>424</v>
      </c>
      <c r="R89" s="268">
        <v>409</v>
      </c>
      <c r="S89" s="268">
        <v>459</v>
      </c>
      <c r="T89" s="268">
        <v>480</v>
      </c>
      <c r="U89" s="268">
        <v>538</v>
      </c>
      <c r="V89" s="268">
        <f>SUM(D89:O89)</f>
        <v>4567</v>
      </c>
      <c r="W89" s="268">
        <f>SUM(J89:U89)</f>
        <v>5240</v>
      </c>
    </row>
    <row r="90" spans="1:23" x14ac:dyDescent="0.25">
      <c r="A90" s="513" t="s">
        <v>220</v>
      </c>
      <c r="B90" s="603" t="s">
        <v>221</v>
      </c>
      <c r="C90" s="603" t="s">
        <v>267</v>
      </c>
      <c r="D90" s="268">
        <v>306</v>
      </c>
      <c r="E90" s="268">
        <v>397</v>
      </c>
      <c r="F90" s="268">
        <v>368</v>
      </c>
      <c r="G90" s="268">
        <v>336</v>
      </c>
      <c r="H90" s="268">
        <v>366</v>
      </c>
      <c r="I90" s="268">
        <v>344</v>
      </c>
      <c r="J90" s="268">
        <v>371</v>
      </c>
      <c r="K90" s="268">
        <v>319</v>
      </c>
      <c r="L90" s="268">
        <v>469</v>
      </c>
      <c r="M90" s="268">
        <v>357</v>
      </c>
      <c r="N90" s="268">
        <v>465</v>
      </c>
      <c r="O90" s="268">
        <v>408</v>
      </c>
      <c r="P90" s="268">
        <v>365</v>
      </c>
      <c r="Q90" s="268">
        <v>383</v>
      </c>
      <c r="R90" s="268">
        <v>311</v>
      </c>
      <c r="S90" s="268">
        <v>394</v>
      </c>
      <c r="T90" s="268">
        <v>362</v>
      </c>
      <c r="U90" s="268">
        <v>466</v>
      </c>
      <c r="V90" s="268">
        <f>SUM(D90:O90)</f>
        <v>4506</v>
      </c>
      <c r="W90" s="268">
        <f>SUM(J90:U90)</f>
        <v>4670</v>
      </c>
    </row>
    <row r="91" spans="1:23" x14ac:dyDescent="0.25">
      <c r="A91" s="513" t="s">
        <v>224</v>
      </c>
      <c r="B91" s="603" t="s">
        <v>225</v>
      </c>
      <c r="C91" s="603" t="s">
        <v>264</v>
      </c>
      <c r="D91" s="268">
        <v>16</v>
      </c>
      <c r="E91" s="268">
        <v>19</v>
      </c>
      <c r="F91" s="268">
        <v>15</v>
      </c>
      <c r="G91" s="268">
        <v>17</v>
      </c>
      <c r="H91" s="268">
        <v>28</v>
      </c>
      <c r="I91" s="268">
        <v>28</v>
      </c>
      <c r="J91" s="268">
        <v>33</v>
      </c>
      <c r="K91" s="268">
        <v>22</v>
      </c>
      <c r="L91" s="268">
        <v>30</v>
      </c>
      <c r="M91" s="268">
        <v>19</v>
      </c>
      <c r="N91" s="268">
        <v>30</v>
      </c>
      <c r="O91" s="268">
        <v>17</v>
      </c>
      <c r="P91" s="268">
        <v>18</v>
      </c>
      <c r="Q91" s="268">
        <v>13</v>
      </c>
      <c r="R91" s="268">
        <v>27</v>
      </c>
      <c r="S91" s="268">
        <v>25</v>
      </c>
      <c r="T91" s="268">
        <v>27</v>
      </c>
      <c r="U91" s="268">
        <v>19</v>
      </c>
      <c r="V91" s="268">
        <f>SUM(D91:O91)</f>
        <v>274</v>
      </c>
      <c r="W91" s="268">
        <f>SUM(J91:U91)</f>
        <v>280</v>
      </c>
    </row>
    <row r="92" spans="1:23" x14ac:dyDescent="0.25">
      <c r="A92" s="513" t="s">
        <v>226</v>
      </c>
      <c r="B92" s="603" t="s">
        <v>227</v>
      </c>
      <c r="C92" s="603" t="s">
        <v>264</v>
      </c>
      <c r="D92" s="268">
        <v>37</v>
      </c>
      <c r="E92" s="268">
        <v>41</v>
      </c>
      <c r="F92" s="268">
        <v>54</v>
      </c>
      <c r="G92" s="268">
        <v>41</v>
      </c>
      <c r="H92" s="268">
        <v>46</v>
      </c>
      <c r="I92" s="268">
        <v>57</v>
      </c>
      <c r="J92" s="268">
        <v>48</v>
      </c>
      <c r="K92" s="268">
        <v>51</v>
      </c>
      <c r="L92" s="268">
        <v>54</v>
      </c>
      <c r="M92" s="268">
        <v>43</v>
      </c>
      <c r="N92" s="268">
        <v>42</v>
      </c>
      <c r="O92" s="268">
        <v>57</v>
      </c>
      <c r="P92" s="268">
        <v>26</v>
      </c>
      <c r="Q92" s="268">
        <v>47</v>
      </c>
      <c r="R92" s="268">
        <v>45</v>
      </c>
      <c r="S92" s="268">
        <v>47</v>
      </c>
      <c r="T92" s="268">
        <v>46</v>
      </c>
      <c r="U92" s="268">
        <v>68</v>
      </c>
      <c r="V92" s="268">
        <f>SUM(D92:O92)</f>
        <v>571</v>
      </c>
      <c r="W92" s="268">
        <f>SUM(J92:U92)</f>
        <v>574</v>
      </c>
    </row>
    <row r="93" spans="1:23" x14ac:dyDescent="0.25">
      <c r="A93" s="513" t="s">
        <v>228</v>
      </c>
      <c r="B93" s="603" t="s">
        <v>229</v>
      </c>
      <c r="C93" s="603" t="s">
        <v>268</v>
      </c>
      <c r="D93" s="268">
        <v>169</v>
      </c>
      <c r="E93" s="268">
        <v>216</v>
      </c>
      <c r="F93" s="268">
        <v>198</v>
      </c>
      <c r="G93" s="268">
        <v>148</v>
      </c>
      <c r="H93" s="268">
        <v>184</v>
      </c>
      <c r="I93" s="268">
        <v>183</v>
      </c>
      <c r="J93" s="268">
        <v>198</v>
      </c>
      <c r="K93" s="268">
        <v>188</v>
      </c>
      <c r="L93" s="268">
        <v>203</v>
      </c>
      <c r="M93" s="268">
        <v>135</v>
      </c>
      <c r="N93" s="268">
        <v>131</v>
      </c>
      <c r="O93" s="268">
        <v>168</v>
      </c>
      <c r="P93" s="268">
        <v>172</v>
      </c>
      <c r="Q93" s="268">
        <v>159</v>
      </c>
      <c r="R93" s="268">
        <v>164</v>
      </c>
      <c r="S93" s="268">
        <v>159</v>
      </c>
      <c r="T93" s="268">
        <v>168</v>
      </c>
      <c r="U93" s="268">
        <v>234</v>
      </c>
      <c r="V93" s="268">
        <f>SUM(D93:O93)</f>
        <v>2121</v>
      </c>
      <c r="W93" s="268">
        <f>SUM(J93:U93)</f>
        <v>2079</v>
      </c>
    </row>
    <row r="94" spans="1:23" x14ac:dyDescent="0.25">
      <c r="A94" s="513" t="s">
        <v>232</v>
      </c>
      <c r="B94" s="603" t="s">
        <v>233</v>
      </c>
      <c r="C94" s="603" t="s">
        <v>267</v>
      </c>
      <c r="D94" s="268">
        <v>127</v>
      </c>
      <c r="E94" s="268">
        <v>104</v>
      </c>
      <c r="F94" s="268">
        <v>137</v>
      </c>
      <c r="G94" s="268">
        <v>149</v>
      </c>
      <c r="H94" s="268">
        <v>120</v>
      </c>
      <c r="I94" s="268">
        <v>126</v>
      </c>
      <c r="J94" s="268">
        <v>138</v>
      </c>
      <c r="K94" s="268">
        <v>154</v>
      </c>
      <c r="L94" s="268">
        <v>190</v>
      </c>
      <c r="M94" s="268">
        <v>130</v>
      </c>
      <c r="N94" s="268">
        <v>147</v>
      </c>
      <c r="O94" s="268">
        <v>147</v>
      </c>
      <c r="P94" s="268">
        <v>140</v>
      </c>
      <c r="Q94" s="268">
        <v>122</v>
      </c>
      <c r="R94" s="268">
        <v>105</v>
      </c>
      <c r="S94" s="268">
        <v>122</v>
      </c>
      <c r="T94" s="268">
        <v>119</v>
      </c>
      <c r="U94" s="268">
        <v>141</v>
      </c>
      <c r="V94" s="268">
        <f>SUM(D94:O94)</f>
        <v>1669</v>
      </c>
      <c r="W94" s="268">
        <f>SUM(J94:U94)</f>
        <v>1655</v>
      </c>
    </row>
    <row r="95" spans="1:23" x14ac:dyDescent="0.25">
      <c r="A95" s="513" t="s">
        <v>234</v>
      </c>
      <c r="B95" s="603" t="s">
        <v>235</v>
      </c>
      <c r="C95" s="603" t="s">
        <v>268</v>
      </c>
      <c r="D95" s="268">
        <v>145</v>
      </c>
      <c r="E95" s="268">
        <v>215</v>
      </c>
      <c r="F95" s="268">
        <v>177</v>
      </c>
      <c r="G95" s="268">
        <v>180</v>
      </c>
      <c r="H95" s="268">
        <v>190</v>
      </c>
      <c r="I95" s="268">
        <v>166</v>
      </c>
      <c r="J95" s="268">
        <v>207</v>
      </c>
      <c r="K95" s="268">
        <v>195</v>
      </c>
      <c r="L95" s="268">
        <v>220</v>
      </c>
      <c r="M95" s="268">
        <v>165</v>
      </c>
      <c r="N95" s="268">
        <v>168</v>
      </c>
      <c r="O95" s="268">
        <v>133</v>
      </c>
      <c r="P95" s="268">
        <v>170</v>
      </c>
      <c r="Q95" s="268">
        <v>213</v>
      </c>
      <c r="R95" s="268">
        <v>184</v>
      </c>
      <c r="S95" s="268">
        <v>161</v>
      </c>
      <c r="T95" s="268">
        <v>181</v>
      </c>
      <c r="U95" s="268">
        <v>173</v>
      </c>
      <c r="V95" s="268">
        <f>SUM(D95:O95)</f>
        <v>2161</v>
      </c>
      <c r="W95" s="268">
        <f>SUM(J95:U95)</f>
        <v>2170</v>
      </c>
    </row>
    <row r="96" spans="1:23" x14ac:dyDescent="0.25">
      <c r="A96" s="513" t="s">
        <v>236</v>
      </c>
      <c r="B96" s="603" t="s">
        <v>237</v>
      </c>
      <c r="C96" s="603" t="s">
        <v>266</v>
      </c>
      <c r="D96" s="268">
        <v>48</v>
      </c>
      <c r="E96" s="268">
        <v>65</v>
      </c>
      <c r="F96" s="268">
        <v>78</v>
      </c>
      <c r="G96" s="268">
        <v>64</v>
      </c>
      <c r="H96" s="268">
        <v>85</v>
      </c>
      <c r="I96" s="268">
        <v>52</v>
      </c>
      <c r="J96" s="268">
        <v>91</v>
      </c>
      <c r="K96" s="268">
        <v>61</v>
      </c>
      <c r="L96" s="268">
        <v>113</v>
      </c>
      <c r="M96" s="268">
        <v>85</v>
      </c>
      <c r="N96" s="268">
        <v>80</v>
      </c>
      <c r="O96" s="268">
        <v>55</v>
      </c>
      <c r="P96" s="268">
        <v>55</v>
      </c>
      <c r="Q96" s="268">
        <v>65</v>
      </c>
      <c r="R96" s="268">
        <v>55</v>
      </c>
      <c r="S96" s="268">
        <v>86</v>
      </c>
      <c r="T96" s="268">
        <v>83</v>
      </c>
      <c r="U96" s="268">
        <v>73</v>
      </c>
      <c r="V96" s="268">
        <f>SUM(D96:O96)</f>
        <v>877</v>
      </c>
      <c r="W96" s="268">
        <f>SUM(J96:U96)</f>
        <v>902</v>
      </c>
    </row>
    <row r="97" spans="1:23" x14ac:dyDescent="0.25">
      <c r="A97" s="513" t="s">
        <v>242</v>
      </c>
      <c r="B97" s="603" t="s">
        <v>243</v>
      </c>
      <c r="C97" s="603" t="s">
        <v>268</v>
      </c>
      <c r="D97" s="268">
        <v>140</v>
      </c>
      <c r="E97" s="268">
        <v>179</v>
      </c>
      <c r="F97" s="268">
        <v>161</v>
      </c>
      <c r="G97" s="268">
        <v>166</v>
      </c>
      <c r="H97" s="268">
        <v>121</v>
      </c>
      <c r="I97" s="268">
        <v>154</v>
      </c>
      <c r="J97" s="268">
        <v>164</v>
      </c>
      <c r="K97" s="268">
        <v>163</v>
      </c>
      <c r="L97" s="268">
        <v>210</v>
      </c>
      <c r="M97" s="268">
        <v>142</v>
      </c>
      <c r="N97" s="268">
        <v>173</v>
      </c>
      <c r="O97" s="268">
        <v>160</v>
      </c>
      <c r="P97" s="268">
        <v>115</v>
      </c>
      <c r="Q97" s="268">
        <v>140</v>
      </c>
      <c r="R97" s="268">
        <v>136</v>
      </c>
      <c r="S97" s="268">
        <v>107</v>
      </c>
      <c r="T97" s="268">
        <v>131</v>
      </c>
      <c r="U97" s="268">
        <v>169</v>
      </c>
      <c r="V97" s="268">
        <f>SUM(D97:O97)</f>
        <v>1933</v>
      </c>
      <c r="W97" s="268">
        <f>SUM(J97:U97)</f>
        <v>1810</v>
      </c>
    </row>
    <row r="98" spans="1:23" x14ac:dyDescent="0.25">
      <c r="A98" s="513" t="s">
        <v>244</v>
      </c>
      <c r="B98" s="603" t="s">
        <v>245</v>
      </c>
      <c r="C98" s="603" t="s">
        <v>268</v>
      </c>
      <c r="D98" s="268">
        <v>106</v>
      </c>
      <c r="E98" s="268">
        <v>96</v>
      </c>
      <c r="F98" s="268">
        <v>127</v>
      </c>
      <c r="G98" s="268">
        <v>108</v>
      </c>
      <c r="H98" s="268">
        <v>108</v>
      </c>
      <c r="I98" s="268">
        <v>121</v>
      </c>
      <c r="J98" s="268">
        <v>119</v>
      </c>
      <c r="K98" s="268">
        <v>119</v>
      </c>
      <c r="L98" s="268">
        <v>151</v>
      </c>
      <c r="M98" s="268">
        <v>106</v>
      </c>
      <c r="N98" s="268">
        <v>127</v>
      </c>
      <c r="O98" s="268">
        <v>132</v>
      </c>
      <c r="P98" s="268">
        <v>117</v>
      </c>
      <c r="Q98" s="268">
        <v>109</v>
      </c>
      <c r="R98" s="268">
        <v>125</v>
      </c>
      <c r="S98" s="268">
        <v>116</v>
      </c>
      <c r="T98" s="268">
        <v>127</v>
      </c>
      <c r="U98" s="268">
        <v>122</v>
      </c>
      <c r="V98" s="268">
        <f>SUM(D98:O98)</f>
        <v>1420</v>
      </c>
      <c r="W98" s="268">
        <f>SUM(J98:U98)</f>
        <v>1470</v>
      </c>
    </row>
    <row r="99" spans="1:23" x14ac:dyDescent="0.25">
      <c r="A99" s="513" t="s">
        <v>246</v>
      </c>
      <c r="B99" s="603" t="s">
        <v>247</v>
      </c>
      <c r="C99" s="603" t="s">
        <v>264</v>
      </c>
      <c r="D99" s="268">
        <v>98</v>
      </c>
      <c r="E99" s="268">
        <v>125</v>
      </c>
      <c r="F99" s="268">
        <v>128</v>
      </c>
      <c r="G99" s="268">
        <v>115</v>
      </c>
      <c r="H99" s="268">
        <v>131</v>
      </c>
      <c r="I99" s="268">
        <v>111</v>
      </c>
      <c r="J99" s="268">
        <v>127</v>
      </c>
      <c r="K99" s="268">
        <v>119</v>
      </c>
      <c r="L99" s="268">
        <v>159</v>
      </c>
      <c r="M99" s="268">
        <v>116</v>
      </c>
      <c r="N99" s="268">
        <v>132</v>
      </c>
      <c r="O99" s="268">
        <v>139</v>
      </c>
      <c r="P99" s="268">
        <v>132</v>
      </c>
      <c r="Q99" s="268">
        <v>155</v>
      </c>
      <c r="R99" s="268">
        <v>112</v>
      </c>
      <c r="S99" s="268">
        <v>121</v>
      </c>
      <c r="T99" s="268">
        <v>156</v>
      </c>
      <c r="U99" s="268">
        <v>180</v>
      </c>
      <c r="V99" s="268">
        <f>SUM(D99:O99)</f>
        <v>1500</v>
      </c>
      <c r="W99" s="268">
        <f>SUM(J99:U99)</f>
        <v>1648</v>
      </c>
    </row>
    <row r="100" spans="1:23" x14ac:dyDescent="0.25">
      <c r="A100" s="513" t="s">
        <v>14</v>
      </c>
      <c r="B100" s="603" t="s">
        <v>15</v>
      </c>
      <c r="C100" s="603" t="s">
        <v>267</v>
      </c>
      <c r="D100" s="268">
        <v>426</v>
      </c>
      <c r="E100" s="268">
        <v>448</v>
      </c>
      <c r="F100" s="268">
        <v>476</v>
      </c>
      <c r="G100" s="268">
        <v>514</v>
      </c>
      <c r="H100" s="268">
        <v>453</v>
      </c>
      <c r="I100" s="268">
        <v>467</v>
      </c>
      <c r="J100" s="268">
        <v>456</v>
      </c>
      <c r="K100" s="268">
        <v>408</v>
      </c>
      <c r="L100" s="268">
        <v>728</v>
      </c>
      <c r="M100" s="268">
        <v>521</v>
      </c>
      <c r="N100" s="268">
        <v>665</v>
      </c>
      <c r="O100" s="268">
        <v>601</v>
      </c>
      <c r="P100" s="268">
        <v>512</v>
      </c>
      <c r="Q100" s="268">
        <v>418</v>
      </c>
      <c r="R100" s="268">
        <v>440</v>
      </c>
      <c r="S100" s="268">
        <v>504</v>
      </c>
      <c r="T100" s="268">
        <v>421</v>
      </c>
      <c r="U100" s="268">
        <v>544</v>
      </c>
      <c r="V100" s="268">
        <f>SUM(D100:O100)</f>
        <v>6163</v>
      </c>
      <c r="W100" s="268">
        <f>SUM(J100:U100)</f>
        <v>6218</v>
      </c>
    </row>
    <row r="101" spans="1:23" x14ac:dyDescent="0.25">
      <c r="A101" s="513" t="s">
        <v>34</v>
      </c>
      <c r="B101" s="603" t="s">
        <v>35</v>
      </c>
      <c r="C101" s="603" t="s">
        <v>268</v>
      </c>
      <c r="D101" s="268">
        <v>69</v>
      </c>
      <c r="E101" s="268">
        <v>108</v>
      </c>
      <c r="F101" s="268">
        <v>92</v>
      </c>
      <c r="G101" s="268">
        <v>76</v>
      </c>
      <c r="H101" s="268">
        <v>80</v>
      </c>
      <c r="I101" s="268">
        <v>87</v>
      </c>
      <c r="J101" s="268">
        <v>107</v>
      </c>
      <c r="K101" s="268">
        <v>104</v>
      </c>
      <c r="L101" s="268">
        <v>120</v>
      </c>
      <c r="M101" s="268">
        <v>96</v>
      </c>
      <c r="N101" s="268">
        <v>101</v>
      </c>
      <c r="O101" s="268">
        <v>90</v>
      </c>
      <c r="P101" s="268">
        <v>98</v>
      </c>
      <c r="Q101" s="268">
        <v>96</v>
      </c>
      <c r="R101" s="268">
        <v>89</v>
      </c>
      <c r="S101" s="268">
        <v>78</v>
      </c>
      <c r="T101" s="268">
        <v>109</v>
      </c>
      <c r="U101" s="268">
        <v>93</v>
      </c>
      <c r="V101" s="268">
        <f>SUM(D101:O101)</f>
        <v>1130</v>
      </c>
      <c r="W101" s="268">
        <f>SUM(J101:U101)</f>
        <v>1181</v>
      </c>
    </row>
    <row r="102" spans="1:23" x14ac:dyDescent="0.25">
      <c r="A102" s="513" t="s">
        <v>52</v>
      </c>
      <c r="B102" s="603" t="s">
        <v>53</v>
      </c>
      <c r="C102" s="603" t="s">
        <v>265</v>
      </c>
      <c r="D102" s="268">
        <v>96</v>
      </c>
      <c r="E102" s="268">
        <v>149</v>
      </c>
      <c r="F102" s="268">
        <v>138</v>
      </c>
      <c r="G102" s="268">
        <v>122</v>
      </c>
      <c r="H102" s="268">
        <v>123</v>
      </c>
      <c r="I102" s="268">
        <v>128</v>
      </c>
      <c r="J102" s="268">
        <v>114</v>
      </c>
      <c r="K102" s="268">
        <v>102</v>
      </c>
      <c r="L102" s="268">
        <v>162</v>
      </c>
      <c r="M102" s="268">
        <v>113</v>
      </c>
      <c r="N102" s="268">
        <v>133</v>
      </c>
      <c r="O102" s="268">
        <v>128</v>
      </c>
      <c r="P102" s="268">
        <v>141</v>
      </c>
      <c r="Q102" s="268">
        <v>126</v>
      </c>
      <c r="R102" s="268">
        <v>113</v>
      </c>
      <c r="S102" s="268">
        <v>111</v>
      </c>
      <c r="T102" s="268">
        <v>129</v>
      </c>
      <c r="U102" s="268">
        <v>138</v>
      </c>
      <c r="V102" s="268">
        <f>SUM(D102:O102)</f>
        <v>1508</v>
      </c>
      <c r="W102" s="268">
        <f>SUM(J102:U102)</f>
        <v>1510</v>
      </c>
    </row>
    <row r="103" spans="1:23" x14ac:dyDescent="0.25">
      <c r="A103" s="513" t="s">
        <v>54</v>
      </c>
      <c r="B103" s="603" t="s">
        <v>55</v>
      </c>
      <c r="C103" s="603" t="s">
        <v>264</v>
      </c>
      <c r="D103" s="268">
        <v>653</v>
      </c>
      <c r="E103" s="268">
        <v>735</v>
      </c>
      <c r="F103" s="268">
        <v>762</v>
      </c>
      <c r="G103" s="268">
        <v>651</v>
      </c>
      <c r="H103" s="268">
        <v>652</v>
      </c>
      <c r="I103" s="268">
        <v>659</v>
      </c>
      <c r="J103" s="268">
        <v>647</v>
      </c>
      <c r="K103" s="268">
        <v>655</v>
      </c>
      <c r="L103" s="268">
        <v>872</v>
      </c>
      <c r="M103" s="268">
        <v>692</v>
      </c>
      <c r="N103" s="268">
        <v>768</v>
      </c>
      <c r="O103" s="268">
        <v>745</v>
      </c>
      <c r="P103" s="268">
        <v>696</v>
      </c>
      <c r="Q103" s="268">
        <v>741</v>
      </c>
      <c r="R103" s="268">
        <v>724</v>
      </c>
      <c r="S103" s="268">
        <v>673</v>
      </c>
      <c r="T103" s="268">
        <v>701</v>
      </c>
      <c r="U103" s="268">
        <v>859</v>
      </c>
      <c r="V103" s="268">
        <f>SUM(D103:O103)</f>
        <v>8491</v>
      </c>
      <c r="W103" s="268">
        <f>SUM(J103:U103)</f>
        <v>8773</v>
      </c>
    </row>
    <row r="104" spans="1:23" x14ac:dyDescent="0.25">
      <c r="A104" s="513" t="s">
        <v>66</v>
      </c>
      <c r="B104" s="603" t="s">
        <v>67</v>
      </c>
      <c r="C104" s="603" t="s">
        <v>265</v>
      </c>
      <c r="D104" s="268">
        <v>163</v>
      </c>
      <c r="E104" s="268">
        <v>260</v>
      </c>
      <c r="F104" s="268">
        <v>202</v>
      </c>
      <c r="G104" s="268">
        <v>180</v>
      </c>
      <c r="H104" s="268">
        <v>164</v>
      </c>
      <c r="I104" s="268">
        <v>186</v>
      </c>
      <c r="J104" s="268">
        <v>209</v>
      </c>
      <c r="K104" s="268">
        <v>172</v>
      </c>
      <c r="L104" s="268">
        <v>228</v>
      </c>
      <c r="M104" s="268">
        <v>174</v>
      </c>
      <c r="N104" s="268">
        <v>220</v>
      </c>
      <c r="O104" s="268">
        <v>193</v>
      </c>
      <c r="P104" s="268">
        <v>188</v>
      </c>
      <c r="Q104" s="268">
        <v>233</v>
      </c>
      <c r="R104" s="268">
        <v>200</v>
      </c>
      <c r="S104" s="268">
        <v>203</v>
      </c>
      <c r="T104" s="268">
        <v>210</v>
      </c>
      <c r="U104" s="268">
        <v>209</v>
      </c>
      <c r="V104" s="268">
        <f>SUM(D104:O104)</f>
        <v>2351</v>
      </c>
      <c r="W104" s="268">
        <f>SUM(J104:U104)</f>
        <v>2439</v>
      </c>
    </row>
    <row r="105" spans="1:23" x14ac:dyDescent="0.25">
      <c r="A105" s="513" t="s">
        <v>82</v>
      </c>
      <c r="B105" s="603" t="s">
        <v>83</v>
      </c>
      <c r="C105" s="603" t="s">
        <v>264</v>
      </c>
      <c r="D105" s="268">
        <v>29</v>
      </c>
      <c r="E105" s="268">
        <v>46</v>
      </c>
      <c r="F105" s="268">
        <v>48</v>
      </c>
      <c r="G105" s="268">
        <v>38</v>
      </c>
      <c r="H105" s="268">
        <v>40</v>
      </c>
      <c r="I105" s="268">
        <v>28</v>
      </c>
      <c r="J105" s="268">
        <v>28</v>
      </c>
      <c r="K105" s="268">
        <v>53</v>
      </c>
      <c r="L105" s="268">
        <v>71</v>
      </c>
      <c r="M105" s="268">
        <v>57</v>
      </c>
      <c r="N105" s="268">
        <v>41</v>
      </c>
      <c r="O105" s="268">
        <v>31</v>
      </c>
      <c r="P105" s="268">
        <v>35</v>
      </c>
      <c r="Q105" s="268">
        <v>34</v>
      </c>
      <c r="R105" s="268">
        <v>27</v>
      </c>
      <c r="S105" s="268">
        <v>26</v>
      </c>
      <c r="T105" s="268">
        <v>27</v>
      </c>
      <c r="U105" s="268">
        <v>111</v>
      </c>
      <c r="V105" s="268">
        <f>SUM(D105:O105)</f>
        <v>510</v>
      </c>
      <c r="W105" s="268">
        <f>SUM(J105:U105)</f>
        <v>541</v>
      </c>
    </row>
    <row r="106" spans="1:23" x14ac:dyDescent="0.25">
      <c r="A106" s="513" t="s">
        <v>88</v>
      </c>
      <c r="B106" s="603" t="s">
        <v>89</v>
      </c>
      <c r="C106" s="603" t="s">
        <v>267</v>
      </c>
      <c r="D106" s="268">
        <v>108</v>
      </c>
      <c r="E106" s="268">
        <v>118</v>
      </c>
      <c r="F106" s="268">
        <v>126</v>
      </c>
      <c r="G106" s="268">
        <v>107</v>
      </c>
      <c r="H106" s="268">
        <v>128</v>
      </c>
      <c r="I106" s="268">
        <v>129</v>
      </c>
      <c r="J106" s="268">
        <v>134</v>
      </c>
      <c r="K106" s="268">
        <v>113</v>
      </c>
      <c r="L106" s="268">
        <v>163</v>
      </c>
      <c r="M106" s="268">
        <v>137</v>
      </c>
      <c r="N106" s="268">
        <v>137</v>
      </c>
      <c r="O106" s="268">
        <v>137</v>
      </c>
      <c r="P106" s="268">
        <v>134</v>
      </c>
      <c r="Q106" s="268">
        <v>152</v>
      </c>
      <c r="R106" s="268">
        <v>133</v>
      </c>
      <c r="S106" s="268">
        <v>143</v>
      </c>
      <c r="T106" s="268">
        <v>169</v>
      </c>
      <c r="U106" s="268">
        <v>126</v>
      </c>
      <c r="V106" s="268">
        <f>SUM(D106:O106)</f>
        <v>1537</v>
      </c>
      <c r="W106" s="268">
        <f>SUM(J106:U106)</f>
        <v>1678</v>
      </c>
    </row>
    <row r="107" spans="1:23" x14ac:dyDescent="0.25">
      <c r="A107" s="513" t="s">
        <v>90</v>
      </c>
      <c r="B107" s="603" t="s">
        <v>91</v>
      </c>
      <c r="C107" s="603" t="s">
        <v>268</v>
      </c>
      <c r="D107" s="268">
        <v>40</v>
      </c>
      <c r="E107" s="268">
        <v>40</v>
      </c>
      <c r="F107" s="268">
        <v>34</v>
      </c>
      <c r="G107" s="268">
        <v>25</v>
      </c>
      <c r="H107" s="268">
        <v>49</v>
      </c>
      <c r="I107" s="268">
        <v>31</v>
      </c>
      <c r="J107" s="268">
        <v>28</v>
      </c>
      <c r="K107" s="268">
        <v>27</v>
      </c>
      <c r="L107" s="268">
        <v>36</v>
      </c>
      <c r="M107" s="268">
        <v>33</v>
      </c>
      <c r="N107" s="268">
        <v>31</v>
      </c>
      <c r="O107" s="268">
        <v>31</v>
      </c>
      <c r="P107" s="268">
        <v>30</v>
      </c>
      <c r="Q107" s="268">
        <v>33</v>
      </c>
      <c r="R107" s="268">
        <v>30</v>
      </c>
      <c r="S107" s="268">
        <v>26</v>
      </c>
      <c r="T107" s="268">
        <v>32</v>
      </c>
      <c r="U107" s="268">
        <v>25</v>
      </c>
      <c r="V107" s="268">
        <f>SUM(D107:O107)</f>
        <v>405</v>
      </c>
      <c r="W107" s="268">
        <f>SUM(J107:U107)</f>
        <v>362</v>
      </c>
    </row>
    <row r="108" spans="1:23" x14ac:dyDescent="0.25">
      <c r="A108" s="513" t="s">
        <v>106</v>
      </c>
      <c r="B108" s="603" t="s">
        <v>107</v>
      </c>
      <c r="C108" s="603" t="s">
        <v>264</v>
      </c>
      <c r="D108" s="268">
        <v>608</v>
      </c>
      <c r="E108" s="268">
        <v>740</v>
      </c>
      <c r="F108" s="268">
        <v>657</v>
      </c>
      <c r="G108" s="268">
        <v>680</v>
      </c>
      <c r="H108" s="268">
        <v>634</v>
      </c>
      <c r="I108" s="268">
        <v>626</v>
      </c>
      <c r="J108" s="268">
        <v>713</v>
      </c>
      <c r="K108" s="268">
        <v>653</v>
      </c>
      <c r="L108" s="268">
        <v>879</v>
      </c>
      <c r="M108" s="268">
        <v>642</v>
      </c>
      <c r="N108" s="268">
        <v>711</v>
      </c>
      <c r="O108" s="268">
        <v>585</v>
      </c>
      <c r="P108" s="268">
        <v>597</v>
      </c>
      <c r="Q108" s="268">
        <v>614</v>
      </c>
      <c r="R108" s="268">
        <v>552</v>
      </c>
      <c r="S108" s="268">
        <v>526</v>
      </c>
      <c r="T108" s="268">
        <v>545</v>
      </c>
      <c r="U108" s="268">
        <v>616</v>
      </c>
      <c r="V108" s="268">
        <f>SUM(D108:O108)</f>
        <v>8128</v>
      </c>
      <c r="W108" s="268">
        <f>SUM(J108:U108)</f>
        <v>7633</v>
      </c>
    </row>
    <row r="109" spans="1:23" x14ac:dyDescent="0.25">
      <c r="A109" s="513" t="s">
        <v>116</v>
      </c>
      <c r="B109" s="603" t="s">
        <v>117</v>
      </c>
      <c r="C109" s="603" t="s">
        <v>266</v>
      </c>
      <c r="D109" s="268">
        <v>109</v>
      </c>
      <c r="E109" s="268">
        <v>139</v>
      </c>
      <c r="F109" s="268">
        <v>145</v>
      </c>
      <c r="G109" s="268">
        <v>111</v>
      </c>
      <c r="H109" s="268">
        <v>142</v>
      </c>
      <c r="I109" s="268">
        <v>130</v>
      </c>
      <c r="J109" s="268">
        <v>140</v>
      </c>
      <c r="K109" s="268">
        <v>133</v>
      </c>
      <c r="L109" s="268">
        <v>154</v>
      </c>
      <c r="M109" s="268">
        <v>155</v>
      </c>
      <c r="N109" s="268">
        <v>162</v>
      </c>
      <c r="O109" s="268">
        <v>149</v>
      </c>
      <c r="P109" s="268">
        <v>121</v>
      </c>
      <c r="Q109" s="268">
        <v>158</v>
      </c>
      <c r="R109" s="268">
        <v>129</v>
      </c>
      <c r="S109" s="268">
        <v>179</v>
      </c>
      <c r="T109" s="268">
        <v>140</v>
      </c>
      <c r="U109" s="268">
        <v>135</v>
      </c>
      <c r="V109" s="268">
        <f>SUM(D109:O109)</f>
        <v>1669</v>
      </c>
      <c r="W109" s="268">
        <f>SUM(J109:U109)</f>
        <v>1755</v>
      </c>
    </row>
    <row r="110" spans="1:23" x14ac:dyDescent="0.25">
      <c r="A110" s="513" t="s">
        <v>138</v>
      </c>
      <c r="B110" s="603" t="s">
        <v>139</v>
      </c>
      <c r="C110" s="603" t="s">
        <v>265</v>
      </c>
      <c r="D110" s="268">
        <v>243</v>
      </c>
      <c r="E110" s="268">
        <v>323</v>
      </c>
      <c r="F110" s="268">
        <v>290</v>
      </c>
      <c r="G110" s="268">
        <v>236</v>
      </c>
      <c r="H110" s="268">
        <v>252</v>
      </c>
      <c r="I110" s="268">
        <v>236</v>
      </c>
      <c r="J110" s="268">
        <v>276</v>
      </c>
      <c r="K110" s="268">
        <v>274</v>
      </c>
      <c r="L110" s="268">
        <v>306</v>
      </c>
      <c r="M110" s="268">
        <v>265</v>
      </c>
      <c r="N110" s="268">
        <v>275</v>
      </c>
      <c r="O110" s="268">
        <v>281</v>
      </c>
      <c r="P110" s="268">
        <v>265</v>
      </c>
      <c r="Q110" s="268">
        <v>280</v>
      </c>
      <c r="R110" s="268">
        <v>280</v>
      </c>
      <c r="S110" s="268">
        <v>243</v>
      </c>
      <c r="T110" s="268">
        <v>247</v>
      </c>
      <c r="U110" s="268">
        <v>356</v>
      </c>
      <c r="V110" s="268">
        <f>SUM(D110:O110)</f>
        <v>3257</v>
      </c>
      <c r="W110" s="268">
        <f>SUM(J110:U110)</f>
        <v>3348</v>
      </c>
    </row>
    <row r="111" spans="1:23" x14ac:dyDescent="0.25">
      <c r="A111" s="513" t="s">
        <v>142</v>
      </c>
      <c r="B111" s="603" t="s">
        <v>143</v>
      </c>
      <c r="C111" s="603" t="s">
        <v>267</v>
      </c>
      <c r="D111" s="268">
        <v>129</v>
      </c>
      <c r="E111" s="268">
        <v>185</v>
      </c>
      <c r="F111" s="268">
        <v>170</v>
      </c>
      <c r="G111" s="268">
        <v>144</v>
      </c>
      <c r="H111" s="268">
        <v>143</v>
      </c>
      <c r="I111" s="268">
        <v>154</v>
      </c>
      <c r="J111" s="268">
        <v>185</v>
      </c>
      <c r="K111" s="268">
        <v>178</v>
      </c>
      <c r="L111" s="268">
        <v>229</v>
      </c>
      <c r="M111" s="268">
        <v>179</v>
      </c>
      <c r="N111" s="268">
        <v>178</v>
      </c>
      <c r="O111" s="268">
        <v>165</v>
      </c>
      <c r="P111" s="268">
        <v>170</v>
      </c>
      <c r="Q111" s="268">
        <v>160</v>
      </c>
      <c r="R111" s="268">
        <v>153</v>
      </c>
      <c r="S111" s="268">
        <v>179</v>
      </c>
      <c r="T111" s="268">
        <v>151</v>
      </c>
      <c r="U111" s="268">
        <v>216</v>
      </c>
      <c r="V111" s="268">
        <f>SUM(D111:O111)</f>
        <v>2039</v>
      </c>
      <c r="W111" s="268">
        <f>SUM(J111:U111)</f>
        <v>2143</v>
      </c>
    </row>
    <row r="112" spans="1:23" x14ac:dyDescent="0.25">
      <c r="A112" s="513" t="s">
        <v>144</v>
      </c>
      <c r="B112" s="603" t="s">
        <v>145</v>
      </c>
      <c r="C112" s="603" t="s">
        <v>267</v>
      </c>
      <c r="D112" s="268">
        <v>63</v>
      </c>
      <c r="E112" s="268">
        <v>95</v>
      </c>
      <c r="F112" s="268">
        <v>63</v>
      </c>
      <c r="G112" s="268">
        <v>80</v>
      </c>
      <c r="H112" s="268">
        <v>52</v>
      </c>
      <c r="I112" s="268">
        <v>70</v>
      </c>
      <c r="J112" s="268">
        <v>83</v>
      </c>
      <c r="K112" s="268">
        <v>83</v>
      </c>
      <c r="L112" s="268">
        <v>119</v>
      </c>
      <c r="M112" s="268">
        <v>97</v>
      </c>
      <c r="N112" s="268">
        <v>79</v>
      </c>
      <c r="O112" s="268">
        <v>90</v>
      </c>
      <c r="P112" s="268">
        <v>85</v>
      </c>
      <c r="Q112" s="268">
        <v>78</v>
      </c>
      <c r="R112" s="268">
        <v>62</v>
      </c>
      <c r="S112" s="268">
        <v>71</v>
      </c>
      <c r="T112" s="268">
        <v>54</v>
      </c>
      <c r="U112" s="268">
        <v>80</v>
      </c>
      <c r="V112" s="268">
        <f>SUM(D112:O112)</f>
        <v>974</v>
      </c>
      <c r="W112" s="268">
        <f>SUM(J112:U112)</f>
        <v>981</v>
      </c>
    </row>
    <row r="113" spans="1:23" x14ac:dyDescent="0.25">
      <c r="A113" s="513" t="s">
        <v>158</v>
      </c>
      <c r="B113" s="603" t="s">
        <v>159</v>
      </c>
      <c r="C113" s="603" t="s">
        <v>264</v>
      </c>
      <c r="D113" s="268">
        <v>701</v>
      </c>
      <c r="E113" s="268">
        <v>939</v>
      </c>
      <c r="F113" s="268">
        <v>822</v>
      </c>
      <c r="G113" s="268">
        <v>758</v>
      </c>
      <c r="H113" s="268">
        <v>740</v>
      </c>
      <c r="I113" s="268">
        <v>870</v>
      </c>
      <c r="J113" s="268">
        <v>847</v>
      </c>
      <c r="K113" s="268">
        <v>861</v>
      </c>
      <c r="L113" s="268">
        <v>1095</v>
      </c>
      <c r="M113" s="268">
        <v>896</v>
      </c>
      <c r="N113" s="268">
        <v>1085</v>
      </c>
      <c r="O113" s="268">
        <v>906</v>
      </c>
      <c r="P113" s="268">
        <v>857</v>
      </c>
      <c r="Q113" s="268">
        <v>1047</v>
      </c>
      <c r="R113" s="268">
        <v>856</v>
      </c>
      <c r="S113" s="268">
        <v>977</v>
      </c>
      <c r="T113" s="268">
        <v>948</v>
      </c>
      <c r="U113" s="268">
        <v>1005</v>
      </c>
      <c r="V113" s="268">
        <f>SUM(D113:O113)</f>
        <v>10520</v>
      </c>
      <c r="W113" s="268">
        <f>SUM(J113:U113)</f>
        <v>11380</v>
      </c>
    </row>
    <row r="114" spans="1:23" x14ac:dyDescent="0.25">
      <c r="A114" s="513" t="s">
        <v>160</v>
      </c>
      <c r="B114" s="603" t="s">
        <v>161</v>
      </c>
      <c r="C114" s="603" t="s">
        <v>264</v>
      </c>
      <c r="D114" s="268">
        <v>981</v>
      </c>
      <c r="E114" s="268">
        <v>1162</v>
      </c>
      <c r="F114" s="268">
        <v>1141</v>
      </c>
      <c r="G114" s="268">
        <v>1028</v>
      </c>
      <c r="H114" s="268">
        <v>1163</v>
      </c>
      <c r="I114" s="268">
        <v>1205</v>
      </c>
      <c r="J114" s="268">
        <v>1091</v>
      </c>
      <c r="K114" s="268">
        <v>989</v>
      </c>
      <c r="L114" s="268">
        <v>1417</v>
      </c>
      <c r="M114" s="268">
        <v>1112</v>
      </c>
      <c r="N114" s="268">
        <v>1107</v>
      </c>
      <c r="O114" s="268">
        <v>1211</v>
      </c>
      <c r="P114" s="268">
        <v>1116</v>
      </c>
      <c r="Q114" s="268">
        <v>1109</v>
      </c>
      <c r="R114" s="268">
        <v>1024</v>
      </c>
      <c r="S114" s="268">
        <v>1067</v>
      </c>
      <c r="T114" s="268">
        <v>1111</v>
      </c>
      <c r="U114" s="268">
        <v>1384</v>
      </c>
      <c r="V114" s="268">
        <f>SUM(D114:O114)</f>
        <v>13607</v>
      </c>
      <c r="W114" s="268">
        <f>SUM(J114:U114)</f>
        <v>13738</v>
      </c>
    </row>
    <row r="115" spans="1:23" x14ac:dyDescent="0.25">
      <c r="A115" s="513" t="s">
        <v>166</v>
      </c>
      <c r="B115" s="603" t="s">
        <v>167</v>
      </c>
      <c r="C115" s="603" t="s">
        <v>268</v>
      </c>
      <c r="D115" s="268">
        <v>10</v>
      </c>
      <c r="E115" s="268">
        <v>23</v>
      </c>
      <c r="F115" s="268">
        <v>22</v>
      </c>
      <c r="G115" s="268">
        <v>19</v>
      </c>
      <c r="H115" s="268">
        <v>11</v>
      </c>
      <c r="I115" s="268">
        <v>14</v>
      </c>
      <c r="J115" s="268">
        <v>13</v>
      </c>
      <c r="K115" s="268">
        <v>18</v>
      </c>
      <c r="L115" s="268">
        <v>18</v>
      </c>
      <c r="M115" s="268">
        <v>14</v>
      </c>
      <c r="N115" s="268">
        <v>20</v>
      </c>
      <c r="O115" s="268">
        <v>15</v>
      </c>
      <c r="P115" s="268">
        <v>15</v>
      </c>
      <c r="Q115" s="268">
        <v>15</v>
      </c>
      <c r="R115" s="268">
        <v>17</v>
      </c>
      <c r="S115" s="268">
        <v>12</v>
      </c>
      <c r="T115" s="268">
        <v>16</v>
      </c>
      <c r="U115" s="268">
        <v>20</v>
      </c>
      <c r="V115" s="268">
        <f>SUM(D115:O115)</f>
        <v>197</v>
      </c>
      <c r="W115" s="268">
        <f>SUM(J115:U115)</f>
        <v>193</v>
      </c>
    </row>
    <row r="116" spans="1:23" x14ac:dyDescent="0.25">
      <c r="A116" s="513" t="s">
        <v>176</v>
      </c>
      <c r="B116" s="603" t="s">
        <v>177</v>
      </c>
      <c r="C116" s="603" t="s">
        <v>266</v>
      </c>
      <c r="D116" s="268">
        <v>192</v>
      </c>
      <c r="E116" s="268">
        <v>189</v>
      </c>
      <c r="F116" s="268">
        <v>168</v>
      </c>
      <c r="G116" s="268">
        <v>125</v>
      </c>
      <c r="H116" s="268">
        <v>293</v>
      </c>
      <c r="I116" s="268">
        <v>246</v>
      </c>
      <c r="J116" s="268">
        <v>295</v>
      </c>
      <c r="K116" s="268">
        <v>251</v>
      </c>
      <c r="L116" s="268">
        <v>342</v>
      </c>
      <c r="M116" s="268">
        <v>300</v>
      </c>
      <c r="N116" s="268">
        <v>268</v>
      </c>
      <c r="O116" s="268">
        <v>303</v>
      </c>
      <c r="P116" s="268">
        <v>244</v>
      </c>
      <c r="Q116" s="268">
        <v>219</v>
      </c>
      <c r="R116" s="268">
        <v>205</v>
      </c>
      <c r="S116" s="268">
        <v>239</v>
      </c>
      <c r="T116" s="268">
        <v>219</v>
      </c>
      <c r="U116" s="268">
        <v>264</v>
      </c>
      <c r="V116" s="268">
        <f>SUM(D116:O116)</f>
        <v>2972</v>
      </c>
      <c r="W116" s="268">
        <f>SUM(J116:U116)</f>
        <v>3149</v>
      </c>
    </row>
    <row r="117" spans="1:23" x14ac:dyDescent="0.25">
      <c r="A117" s="513" t="s">
        <v>180</v>
      </c>
      <c r="B117" s="603" t="s">
        <v>181</v>
      </c>
      <c r="C117" s="603" t="s">
        <v>264</v>
      </c>
      <c r="D117" s="268">
        <v>506</v>
      </c>
      <c r="E117" s="268">
        <v>599</v>
      </c>
      <c r="F117" s="268">
        <v>406</v>
      </c>
      <c r="G117" s="268">
        <v>400</v>
      </c>
      <c r="H117" s="268">
        <v>346</v>
      </c>
      <c r="I117" s="268">
        <v>529</v>
      </c>
      <c r="J117" s="268">
        <v>651</v>
      </c>
      <c r="K117" s="268">
        <v>501</v>
      </c>
      <c r="L117" s="268">
        <v>632</v>
      </c>
      <c r="M117" s="268">
        <v>450</v>
      </c>
      <c r="N117" s="268">
        <v>535</v>
      </c>
      <c r="O117" s="268">
        <v>476</v>
      </c>
      <c r="P117" s="268">
        <v>448</v>
      </c>
      <c r="Q117" s="268">
        <v>457</v>
      </c>
      <c r="R117" s="268">
        <v>467</v>
      </c>
      <c r="S117" s="268">
        <v>443</v>
      </c>
      <c r="T117" s="268">
        <v>442</v>
      </c>
      <c r="U117" s="268">
        <v>426</v>
      </c>
      <c r="V117" s="268">
        <f>SUM(D117:O117)</f>
        <v>6031</v>
      </c>
      <c r="W117" s="268">
        <f>SUM(J117:U117)</f>
        <v>5928</v>
      </c>
    </row>
    <row r="118" spans="1:23" x14ac:dyDescent="0.25">
      <c r="A118" s="513" t="s">
        <v>192</v>
      </c>
      <c r="B118" s="603" t="s">
        <v>193</v>
      </c>
      <c r="C118" s="603" t="s">
        <v>268</v>
      </c>
      <c r="D118" s="268">
        <v>31</v>
      </c>
      <c r="E118" s="268">
        <v>49</v>
      </c>
      <c r="F118" s="268">
        <v>39</v>
      </c>
      <c r="G118" s="268">
        <v>32</v>
      </c>
      <c r="H118" s="268">
        <v>32</v>
      </c>
      <c r="I118" s="268">
        <v>35</v>
      </c>
      <c r="J118" s="268">
        <v>40</v>
      </c>
      <c r="K118" s="268">
        <v>29</v>
      </c>
      <c r="L118" s="268">
        <v>39</v>
      </c>
      <c r="M118" s="268">
        <v>34</v>
      </c>
      <c r="N118" s="268">
        <v>36</v>
      </c>
      <c r="O118" s="268">
        <v>48</v>
      </c>
      <c r="P118" s="268">
        <v>40</v>
      </c>
      <c r="Q118" s="268">
        <v>39</v>
      </c>
      <c r="R118" s="268">
        <v>23</v>
      </c>
      <c r="S118" s="268">
        <v>38</v>
      </c>
      <c r="T118" s="268">
        <v>35</v>
      </c>
      <c r="U118" s="268">
        <v>40</v>
      </c>
      <c r="V118" s="268">
        <f>SUM(D118:O118)</f>
        <v>444</v>
      </c>
      <c r="W118" s="268">
        <f>SUM(J118:U118)</f>
        <v>441</v>
      </c>
    </row>
    <row r="119" spans="1:23" x14ac:dyDescent="0.25">
      <c r="A119" s="513" t="s">
        <v>196</v>
      </c>
      <c r="B119" s="603" t="s">
        <v>197</v>
      </c>
      <c r="C119" s="603" t="s">
        <v>266</v>
      </c>
      <c r="D119" s="268">
        <v>1027</v>
      </c>
      <c r="E119" s="268">
        <v>1436</v>
      </c>
      <c r="F119" s="268">
        <v>1254</v>
      </c>
      <c r="G119" s="268">
        <v>1149</v>
      </c>
      <c r="H119" s="268">
        <v>1052</v>
      </c>
      <c r="I119" s="268">
        <v>984</v>
      </c>
      <c r="J119" s="268">
        <v>1219</v>
      </c>
      <c r="K119" s="268">
        <v>1035</v>
      </c>
      <c r="L119" s="268">
        <v>1396</v>
      </c>
      <c r="M119" s="268">
        <v>920</v>
      </c>
      <c r="N119" s="268">
        <v>1219</v>
      </c>
      <c r="O119" s="268">
        <v>1226</v>
      </c>
      <c r="P119" s="268">
        <v>1146</v>
      </c>
      <c r="Q119" s="268">
        <v>1191</v>
      </c>
      <c r="R119" s="268">
        <v>942</v>
      </c>
      <c r="S119" s="268">
        <v>1153</v>
      </c>
      <c r="T119" s="268">
        <v>1048</v>
      </c>
      <c r="U119" s="268">
        <v>1135</v>
      </c>
      <c r="V119" s="268">
        <f>SUM(D119:O119)</f>
        <v>13917</v>
      </c>
      <c r="W119" s="268">
        <f>SUM(J119:U119)</f>
        <v>13630</v>
      </c>
    </row>
    <row r="120" spans="1:23" x14ac:dyDescent="0.25">
      <c r="A120" s="513" t="s">
        <v>200</v>
      </c>
      <c r="B120" s="603" t="s">
        <v>201</v>
      </c>
      <c r="C120" s="603" t="s">
        <v>265</v>
      </c>
      <c r="D120" s="268">
        <v>560</v>
      </c>
      <c r="E120" s="268">
        <v>746</v>
      </c>
      <c r="F120" s="268">
        <v>635</v>
      </c>
      <c r="G120" s="268">
        <v>550</v>
      </c>
      <c r="H120" s="268">
        <v>534</v>
      </c>
      <c r="I120" s="268">
        <v>561</v>
      </c>
      <c r="J120" s="268">
        <v>658</v>
      </c>
      <c r="K120" s="268">
        <v>534</v>
      </c>
      <c r="L120" s="268">
        <v>696</v>
      </c>
      <c r="M120" s="268">
        <v>596</v>
      </c>
      <c r="N120" s="268">
        <v>583</v>
      </c>
      <c r="O120" s="268">
        <v>610</v>
      </c>
      <c r="P120" s="268">
        <v>560</v>
      </c>
      <c r="Q120" s="268">
        <v>626</v>
      </c>
      <c r="R120" s="268">
        <v>565</v>
      </c>
      <c r="S120" s="268">
        <v>554</v>
      </c>
      <c r="T120" s="268">
        <v>564</v>
      </c>
      <c r="U120" s="268">
        <v>584</v>
      </c>
      <c r="V120" s="268">
        <f>SUM(D120:O120)</f>
        <v>7263</v>
      </c>
      <c r="W120" s="268">
        <f>SUM(J120:U120)</f>
        <v>7130</v>
      </c>
    </row>
    <row r="121" spans="1:23" x14ac:dyDescent="0.25">
      <c r="A121" s="513" t="s">
        <v>222</v>
      </c>
      <c r="B121" s="603" t="s">
        <v>223</v>
      </c>
      <c r="C121" s="603" t="s">
        <v>264</v>
      </c>
      <c r="D121" s="268">
        <v>242</v>
      </c>
      <c r="E121" s="268">
        <v>338</v>
      </c>
      <c r="F121" s="268">
        <v>306</v>
      </c>
      <c r="G121" s="268">
        <v>222</v>
      </c>
      <c r="H121" s="268">
        <v>259</v>
      </c>
      <c r="I121" s="268">
        <v>247</v>
      </c>
      <c r="J121" s="268">
        <v>289</v>
      </c>
      <c r="K121" s="268">
        <v>270</v>
      </c>
      <c r="L121" s="268">
        <v>334</v>
      </c>
      <c r="M121" s="268">
        <v>251</v>
      </c>
      <c r="N121" s="268">
        <v>301</v>
      </c>
      <c r="O121" s="268">
        <v>288</v>
      </c>
      <c r="P121" s="268">
        <v>276</v>
      </c>
      <c r="Q121" s="268">
        <v>319</v>
      </c>
      <c r="R121" s="268">
        <v>247</v>
      </c>
      <c r="S121" s="268">
        <v>300</v>
      </c>
      <c r="T121" s="268">
        <v>307</v>
      </c>
      <c r="U121" s="268">
        <v>368</v>
      </c>
      <c r="V121" s="268">
        <f>SUM(D121:O121)</f>
        <v>3347</v>
      </c>
      <c r="W121" s="268">
        <f>SUM(J121:U121)</f>
        <v>3550</v>
      </c>
    </row>
    <row r="122" spans="1:23" x14ac:dyDescent="0.25">
      <c r="A122" s="513" t="s">
        <v>230</v>
      </c>
      <c r="B122" s="603" t="s">
        <v>231</v>
      </c>
      <c r="C122" s="603" t="s">
        <v>264</v>
      </c>
      <c r="D122" s="268">
        <v>1100</v>
      </c>
      <c r="E122" s="268">
        <v>1294</v>
      </c>
      <c r="F122" s="268">
        <v>1431</v>
      </c>
      <c r="G122" s="268">
        <v>1083</v>
      </c>
      <c r="H122" s="268">
        <v>1203</v>
      </c>
      <c r="I122" s="268">
        <v>1271</v>
      </c>
      <c r="J122" s="268">
        <v>1240</v>
      </c>
      <c r="K122" s="268">
        <v>1331</v>
      </c>
      <c r="L122" s="268">
        <v>1700</v>
      </c>
      <c r="M122" s="268">
        <v>1314</v>
      </c>
      <c r="N122" s="268">
        <v>1549</v>
      </c>
      <c r="O122" s="268">
        <v>1292</v>
      </c>
      <c r="P122" s="268">
        <v>1273</v>
      </c>
      <c r="Q122" s="268">
        <v>1181</v>
      </c>
      <c r="R122" s="268">
        <v>1092</v>
      </c>
      <c r="S122" s="268">
        <v>1289</v>
      </c>
      <c r="T122" s="268">
        <v>1186</v>
      </c>
      <c r="U122" s="268">
        <v>1529</v>
      </c>
      <c r="V122" s="268">
        <f>SUM(D122:O122)</f>
        <v>15808</v>
      </c>
      <c r="W122" s="268">
        <f>SUM(J122:U122)</f>
        <v>15976</v>
      </c>
    </row>
    <row r="123" spans="1:23" x14ac:dyDescent="0.25">
      <c r="A123" s="513" t="s">
        <v>238</v>
      </c>
      <c r="B123" s="603" t="s">
        <v>239</v>
      </c>
      <c r="C123" s="603" t="s">
        <v>264</v>
      </c>
      <c r="D123" s="268">
        <v>27</v>
      </c>
      <c r="E123" s="268">
        <v>35</v>
      </c>
      <c r="F123" s="268">
        <v>19</v>
      </c>
      <c r="G123" s="268">
        <v>24</v>
      </c>
      <c r="H123" s="268">
        <v>25</v>
      </c>
      <c r="I123" s="268">
        <v>33</v>
      </c>
      <c r="J123" s="268">
        <v>30</v>
      </c>
      <c r="K123" s="268">
        <v>40</v>
      </c>
      <c r="L123" s="268">
        <v>49</v>
      </c>
      <c r="M123" s="268">
        <v>28</v>
      </c>
      <c r="N123" s="268">
        <v>30</v>
      </c>
      <c r="O123" s="268">
        <v>40</v>
      </c>
      <c r="P123" s="268">
        <v>34</v>
      </c>
      <c r="Q123" s="268">
        <v>35</v>
      </c>
      <c r="R123" s="268">
        <v>32</v>
      </c>
      <c r="S123" s="268">
        <v>38</v>
      </c>
      <c r="T123" s="268">
        <v>28</v>
      </c>
      <c r="U123" s="268">
        <v>60</v>
      </c>
      <c r="V123" s="268">
        <f>SUM(D123:O123)</f>
        <v>380</v>
      </c>
      <c r="W123" s="268">
        <f>SUM(J123:U123)</f>
        <v>444</v>
      </c>
    </row>
    <row r="124" spans="1:23" x14ac:dyDescent="0.25">
      <c r="A124" s="514" t="s">
        <v>240</v>
      </c>
      <c r="B124" s="517" t="s">
        <v>241</v>
      </c>
      <c r="C124" s="517" t="s">
        <v>267</v>
      </c>
      <c r="D124" s="268">
        <v>129</v>
      </c>
      <c r="E124" s="268">
        <v>151</v>
      </c>
      <c r="F124" s="268">
        <v>188</v>
      </c>
      <c r="G124" s="268">
        <v>134</v>
      </c>
      <c r="H124" s="268">
        <v>156</v>
      </c>
      <c r="I124" s="268">
        <v>113</v>
      </c>
      <c r="J124" s="268">
        <v>139</v>
      </c>
      <c r="K124" s="268">
        <v>124</v>
      </c>
      <c r="L124" s="268">
        <v>154</v>
      </c>
      <c r="M124" s="268">
        <v>112</v>
      </c>
      <c r="N124" s="268">
        <v>140</v>
      </c>
      <c r="O124" s="268">
        <v>131</v>
      </c>
      <c r="P124" s="268">
        <v>137</v>
      </c>
      <c r="Q124" s="268">
        <v>137</v>
      </c>
      <c r="R124" s="268">
        <v>114</v>
      </c>
      <c r="S124" s="268">
        <v>129</v>
      </c>
      <c r="T124" s="268">
        <v>135</v>
      </c>
      <c r="U124" s="268">
        <v>157</v>
      </c>
      <c r="V124" s="268">
        <f>SUM(D124:O124)</f>
        <v>1671</v>
      </c>
      <c r="W124" s="268">
        <f>SUM(J124:U124)</f>
        <v>1609</v>
      </c>
    </row>
    <row r="126" spans="1:23" ht="65.25" customHeight="1" x14ac:dyDescent="0.25">
      <c r="A126" s="2737" t="s">
        <v>1455</v>
      </c>
      <c r="B126" s="2737"/>
      <c r="C126" s="2737"/>
    </row>
    <row r="128" spans="1:23" s="389" customFormat="1" x14ac:dyDescent="0.25">
      <c r="A128" s="389" t="s">
        <v>248</v>
      </c>
    </row>
    <row r="129" spans="1:3" s="389" customFormat="1" x14ac:dyDescent="0.25">
      <c r="A129" s="390" t="s">
        <v>249</v>
      </c>
      <c r="B129" s="391" t="s">
        <v>250</v>
      </c>
      <c r="C129" s="391"/>
    </row>
  </sheetData>
  <sortState ref="A5:W124">
    <sortCondition ref="A5:A124"/>
  </sortState>
  <mergeCells count="1">
    <mergeCell ref="A126:C126"/>
  </mergeCells>
  <hyperlinks>
    <hyperlink ref="B129"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129"/>
  <sheetViews>
    <sheetView workbookViewId="0">
      <pane xSplit="3" ySplit="4" topLeftCell="D111" activePane="bottomRight" state="frozen"/>
      <selection pane="topRight" activeCell="D1" sqref="D1"/>
      <selection pane="bottomLeft" activeCell="A5" sqref="A5"/>
      <selection pane="bottomRight" activeCell="I1" sqref="I1"/>
    </sheetView>
  </sheetViews>
  <sheetFormatPr defaultRowHeight="15.75" x14ac:dyDescent="0.25"/>
  <cols>
    <col min="1" max="1" width="9" style="505"/>
    <col min="2" max="2" width="33.375" style="505" customWidth="1"/>
    <col min="3" max="3" width="16.75" style="505" customWidth="1"/>
    <col min="4" max="4" width="7.25" style="505" customWidth="1"/>
    <col min="5" max="6" width="9.125" style="505" bestFit="1" customWidth="1"/>
    <col min="7" max="7" width="9.875" style="505" bestFit="1" customWidth="1"/>
    <col min="8" max="15" width="10.125" style="505" bestFit="1" customWidth="1"/>
    <col min="16" max="21" width="10.125" style="505" customWidth="1"/>
    <col min="22" max="22" width="11.125" style="505" bestFit="1" customWidth="1"/>
    <col min="23" max="23" width="11.125" style="505" customWidth="1"/>
    <col min="24" max="16384" width="9" style="505"/>
  </cols>
  <sheetData>
    <row r="1" spans="1:23" ht="12.75" customHeight="1" x14ac:dyDescent="0.25">
      <c r="A1" s="255" t="s">
        <v>1373</v>
      </c>
    </row>
    <row r="3" spans="1:23" ht="53.25" customHeight="1" x14ac:dyDescent="0.25">
      <c r="A3" s="510" t="s">
        <v>4</v>
      </c>
      <c r="B3" s="567" t="s">
        <v>5</v>
      </c>
      <c r="C3" s="567" t="s">
        <v>251</v>
      </c>
      <c r="D3" s="1675">
        <v>42552</v>
      </c>
      <c r="E3" s="1675">
        <v>42583</v>
      </c>
      <c r="F3" s="1675">
        <v>42614</v>
      </c>
      <c r="G3" s="1675">
        <v>42644</v>
      </c>
      <c r="H3" s="1676">
        <v>42675</v>
      </c>
      <c r="I3" s="1676">
        <v>42705</v>
      </c>
      <c r="J3" s="1676">
        <v>42736</v>
      </c>
      <c r="K3" s="1676">
        <v>42767</v>
      </c>
      <c r="L3" s="1676">
        <v>42795</v>
      </c>
      <c r="M3" s="1676">
        <v>42826</v>
      </c>
      <c r="N3" s="1676">
        <v>42856</v>
      </c>
      <c r="O3" s="1676">
        <v>42887</v>
      </c>
      <c r="P3" s="1676">
        <v>42917</v>
      </c>
      <c r="Q3" s="1676">
        <v>42948</v>
      </c>
      <c r="R3" s="1676">
        <v>42979</v>
      </c>
      <c r="S3" s="1676">
        <v>43009</v>
      </c>
      <c r="T3" s="1676">
        <v>43040</v>
      </c>
      <c r="U3" s="1676">
        <v>43070</v>
      </c>
      <c r="V3" s="1677" t="s">
        <v>1216</v>
      </c>
      <c r="W3" s="1677" t="s">
        <v>1365</v>
      </c>
    </row>
    <row r="4" spans="1:23" x14ac:dyDescent="0.25">
      <c r="A4" s="599">
        <v>999</v>
      </c>
      <c r="B4" s="600" t="s">
        <v>9</v>
      </c>
      <c r="C4" s="600"/>
      <c r="D4" s="1678">
        <f>SUM(D5:D124)</f>
        <v>2274</v>
      </c>
      <c r="E4" s="1679">
        <f t="shared" ref="E4:W4" si="0">SUM(E5:E124)</f>
        <v>2789</v>
      </c>
      <c r="F4" s="1679">
        <f t="shared" si="0"/>
        <v>2538</v>
      </c>
      <c r="G4" s="1679">
        <f t="shared" si="0"/>
        <v>2458</v>
      </c>
      <c r="H4" s="1680">
        <f t="shared" si="0"/>
        <v>2148</v>
      </c>
      <c r="I4" s="1680">
        <f t="shared" si="0"/>
        <v>2077</v>
      </c>
      <c r="J4" s="1680">
        <f t="shared" si="0"/>
        <v>2327</v>
      </c>
      <c r="K4" s="1680">
        <f t="shared" si="0"/>
        <v>1987</v>
      </c>
      <c r="L4" s="1680">
        <f t="shared" si="0"/>
        <v>2543</v>
      </c>
      <c r="M4" s="1680">
        <f t="shared" si="0"/>
        <v>2403</v>
      </c>
      <c r="N4" s="1680">
        <f t="shared" si="0"/>
        <v>2383</v>
      </c>
      <c r="O4" s="1680">
        <f t="shared" si="0"/>
        <v>2173</v>
      </c>
      <c r="P4" s="2357">
        <f t="shared" si="0"/>
        <v>2213</v>
      </c>
      <c r="Q4" s="2357">
        <f t="shared" si="0"/>
        <v>2395</v>
      </c>
      <c r="R4" s="2357">
        <f t="shared" si="0"/>
        <v>2202</v>
      </c>
      <c r="S4" s="2357">
        <f t="shared" si="0"/>
        <v>1951</v>
      </c>
      <c r="T4" s="2357">
        <f t="shared" si="0"/>
        <v>1605</v>
      </c>
      <c r="U4" s="2357">
        <f t="shared" si="0"/>
        <v>1405</v>
      </c>
      <c r="V4" s="1680">
        <f t="shared" si="0"/>
        <v>28100</v>
      </c>
      <c r="W4" s="2357">
        <f t="shared" si="0"/>
        <v>25587</v>
      </c>
    </row>
    <row r="5" spans="1:23" x14ac:dyDescent="0.25">
      <c r="A5" s="512" t="s">
        <v>10</v>
      </c>
      <c r="B5" s="569" t="s">
        <v>11</v>
      </c>
      <c r="C5" s="569" t="s">
        <v>264</v>
      </c>
      <c r="D5" s="268">
        <v>6</v>
      </c>
      <c r="E5" s="268">
        <v>6</v>
      </c>
      <c r="F5" s="268">
        <v>5</v>
      </c>
      <c r="G5" s="268">
        <v>7</v>
      </c>
      <c r="H5" s="268">
        <v>12</v>
      </c>
      <c r="I5" s="268">
        <v>5</v>
      </c>
      <c r="J5" s="268">
        <v>1</v>
      </c>
      <c r="K5" s="268">
        <v>13</v>
      </c>
      <c r="L5" s="268">
        <v>5</v>
      </c>
      <c r="M5" s="268">
        <v>2</v>
      </c>
      <c r="N5" s="268">
        <v>9</v>
      </c>
      <c r="O5" s="268">
        <v>5</v>
      </c>
      <c r="P5" s="268">
        <v>8</v>
      </c>
      <c r="Q5" s="268">
        <v>4</v>
      </c>
      <c r="R5" s="268">
        <v>2</v>
      </c>
      <c r="S5" s="268">
        <v>8</v>
      </c>
      <c r="T5" s="268">
        <v>6</v>
      </c>
      <c r="U5" s="268">
        <v>2</v>
      </c>
      <c r="V5" s="268">
        <f>SUM(D5:O5)</f>
        <v>76</v>
      </c>
      <c r="W5" s="268">
        <f>SUM(J5:U5)</f>
        <v>65</v>
      </c>
    </row>
    <row r="6" spans="1:23" x14ac:dyDescent="0.25">
      <c r="A6" s="513" t="s">
        <v>12</v>
      </c>
      <c r="B6" s="603" t="s">
        <v>13</v>
      </c>
      <c r="C6" s="603" t="s">
        <v>265</v>
      </c>
      <c r="D6" s="268">
        <v>20</v>
      </c>
      <c r="E6" s="268">
        <v>30</v>
      </c>
      <c r="F6" s="268">
        <v>27</v>
      </c>
      <c r="G6" s="268">
        <v>24</v>
      </c>
      <c r="H6" s="268">
        <v>19</v>
      </c>
      <c r="I6" s="268">
        <v>9</v>
      </c>
      <c r="J6" s="268">
        <v>34</v>
      </c>
      <c r="K6" s="268">
        <v>20</v>
      </c>
      <c r="L6" s="268">
        <v>27</v>
      </c>
      <c r="M6" s="268">
        <v>21</v>
      </c>
      <c r="N6" s="268">
        <v>5</v>
      </c>
      <c r="O6" s="268">
        <v>20</v>
      </c>
      <c r="P6" s="268">
        <v>16</v>
      </c>
      <c r="Q6" s="268">
        <v>15</v>
      </c>
      <c r="R6" s="268">
        <v>8</v>
      </c>
      <c r="S6" s="268">
        <v>20</v>
      </c>
      <c r="T6" s="268">
        <v>23</v>
      </c>
      <c r="U6" s="268">
        <v>24</v>
      </c>
      <c r="V6" s="268">
        <f>SUM(D6:O6)</f>
        <v>256</v>
      </c>
      <c r="W6" s="268">
        <f>SUM(J6:U6)</f>
        <v>233</v>
      </c>
    </row>
    <row r="7" spans="1:23" x14ac:dyDescent="0.25">
      <c r="A7" s="513" t="s">
        <v>16</v>
      </c>
      <c r="B7" s="603" t="s">
        <v>297</v>
      </c>
      <c r="C7" s="603" t="s">
        <v>265</v>
      </c>
      <c r="D7" s="268">
        <v>4</v>
      </c>
      <c r="E7" s="268">
        <v>10</v>
      </c>
      <c r="F7" s="268">
        <v>2</v>
      </c>
      <c r="G7" s="268">
        <v>7</v>
      </c>
      <c r="H7" s="268">
        <v>4</v>
      </c>
      <c r="I7" s="268"/>
      <c r="J7" s="268">
        <v>6</v>
      </c>
      <c r="K7" s="268">
        <v>2</v>
      </c>
      <c r="L7" s="268">
        <v>7</v>
      </c>
      <c r="M7" s="268">
        <v>6</v>
      </c>
      <c r="N7" s="268">
        <v>2</v>
      </c>
      <c r="O7" s="268">
        <v>6</v>
      </c>
      <c r="P7" s="268">
        <v>3</v>
      </c>
      <c r="Q7" s="268">
        <v>6</v>
      </c>
      <c r="R7" s="268">
        <v>7</v>
      </c>
      <c r="S7" s="268">
        <v>5</v>
      </c>
      <c r="T7" s="268">
        <v>4</v>
      </c>
      <c r="U7" s="268">
        <v>4</v>
      </c>
      <c r="V7" s="268">
        <f>SUM(D7:O7)</f>
        <v>56</v>
      </c>
      <c r="W7" s="268">
        <f>SUM(J7:U7)</f>
        <v>58</v>
      </c>
    </row>
    <row r="8" spans="1:23" x14ac:dyDescent="0.25">
      <c r="A8" s="513" t="s">
        <v>18</v>
      </c>
      <c r="B8" s="603" t="s">
        <v>19</v>
      </c>
      <c r="C8" s="603" t="s">
        <v>266</v>
      </c>
      <c r="D8" s="268"/>
      <c r="E8" s="268">
        <v>3</v>
      </c>
      <c r="F8" s="268">
        <v>2</v>
      </c>
      <c r="G8" s="268">
        <v>2</v>
      </c>
      <c r="H8" s="268">
        <v>2</v>
      </c>
      <c r="I8" s="268">
        <v>3</v>
      </c>
      <c r="J8" s="268">
        <v>1</v>
      </c>
      <c r="K8" s="268">
        <v>3</v>
      </c>
      <c r="L8" s="268">
        <v>4</v>
      </c>
      <c r="M8" s="268">
        <v>1</v>
      </c>
      <c r="N8" s="268">
        <v>2</v>
      </c>
      <c r="O8" s="268">
        <v>4</v>
      </c>
      <c r="P8" s="268">
        <v>2</v>
      </c>
      <c r="Q8" s="268">
        <v>2</v>
      </c>
      <c r="R8" s="268">
        <v>4</v>
      </c>
      <c r="S8" s="268">
        <v>1</v>
      </c>
      <c r="T8" s="268">
        <v>3</v>
      </c>
      <c r="U8" s="268"/>
      <c r="V8" s="268">
        <f>SUM(D8:O8)</f>
        <v>27</v>
      </c>
      <c r="W8" s="268">
        <f>SUM(J8:U8)</f>
        <v>27</v>
      </c>
    </row>
    <row r="9" spans="1:23" x14ac:dyDescent="0.25">
      <c r="A9" s="513" t="s">
        <v>20</v>
      </c>
      <c r="B9" s="603" t="s">
        <v>21</v>
      </c>
      <c r="C9" s="603" t="s">
        <v>265</v>
      </c>
      <c r="D9" s="268">
        <v>12</v>
      </c>
      <c r="E9" s="268">
        <v>4</v>
      </c>
      <c r="F9" s="268">
        <v>6</v>
      </c>
      <c r="G9" s="268">
        <v>9</v>
      </c>
      <c r="H9" s="268">
        <v>3</v>
      </c>
      <c r="I9" s="268">
        <v>2</v>
      </c>
      <c r="J9" s="268">
        <v>2</v>
      </c>
      <c r="K9" s="268">
        <v>3</v>
      </c>
      <c r="L9" s="268">
        <v>9</v>
      </c>
      <c r="M9" s="268">
        <v>9</v>
      </c>
      <c r="N9" s="268">
        <v>9</v>
      </c>
      <c r="O9" s="268">
        <v>11</v>
      </c>
      <c r="P9" s="268">
        <v>4</v>
      </c>
      <c r="Q9" s="268">
        <v>5</v>
      </c>
      <c r="R9" s="268">
        <v>2</v>
      </c>
      <c r="S9" s="268">
        <v>1</v>
      </c>
      <c r="T9" s="268">
        <v>1</v>
      </c>
      <c r="U9" s="268">
        <v>3</v>
      </c>
      <c r="V9" s="268">
        <f>SUM(D9:O9)</f>
        <v>79</v>
      </c>
      <c r="W9" s="268">
        <f>SUM(J9:U9)</f>
        <v>59</v>
      </c>
    </row>
    <row r="10" spans="1:23" x14ac:dyDescent="0.25">
      <c r="A10" s="513" t="s">
        <v>22</v>
      </c>
      <c r="B10" s="603" t="s">
        <v>23</v>
      </c>
      <c r="C10" s="603" t="s">
        <v>265</v>
      </c>
      <c r="D10" s="268">
        <v>4</v>
      </c>
      <c r="E10" s="268"/>
      <c r="F10" s="268">
        <v>1</v>
      </c>
      <c r="G10" s="268">
        <v>1</v>
      </c>
      <c r="H10" s="268">
        <v>1</v>
      </c>
      <c r="I10" s="268">
        <v>1</v>
      </c>
      <c r="J10" s="268">
        <v>3</v>
      </c>
      <c r="K10" s="268">
        <v>2</v>
      </c>
      <c r="L10" s="268">
        <v>4</v>
      </c>
      <c r="M10" s="268">
        <v>4</v>
      </c>
      <c r="N10" s="268">
        <v>3</v>
      </c>
      <c r="O10" s="268">
        <v>5</v>
      </c>
      <c r="P10" s="268"/>
      <c r="Q10" s="268">
        <v>2</v>
      </c>
      <c r="R10" s="268">
        <v>5</v>
      </c>
      <c r="S10" s="268">
        <v>2</v>
      </c>
      <c r="T10" s="268">
        <v>6</v>
      </c>
      <c r="U10" s="268">
        <v>3</v>
      </c>
      <c r="V10" s="268">
        <f>SUM(D10:O10)</f>
        <v>29</v>
      </c>
      <c r="W10" s="268">
        <f>SUM(J10:U10)</f>
        <v>39</v>
      </c>
    </row>
    <row r="11" spans="1:23" x14ac:dyDescent="0.25">
      <c r="A11" s="513" t="s">
        <v>24</v>
      </c>
      <c r="B11" s="603" t="s">
        <v>25</v>
      </c>
      <c r="C11" s="603" t="s">
        <v>267</v>
      </c>
      <c r="D11" s="268">
        <v>9</v>
      </c>
      <c r="E11" s="268">
        <v>14</v>
      </c>
      <c r="F11" s="268">
        <v>13</v>
      </c>
      <c r="G11" s="268">
        <v>15</v>
      </c>
      <c r="H11" s="268">
        <v>10</v>
      </c>
      <c r="I11" s="268">
        <v>9</v>
      </c>
      <c r="J11" s="268">
        <v>18</v>
      </c>
      <c r="K11" s="268">
        <v>13</v>
      </c>
      <c r="L11" s="268">
        <v>8</v>
      </c>
      <c r="M11" s="268">
        <v>13</v>
      </c>
      <c r="N11" s="268">
        <v>11</v>
      </c>
      <c r="O11" s="268">
        <v>15</v>
      </c>
      <c r="P11" s="268">
        <v>9</v>
      </c>
      <c r="Q11" s="268">
        <v>12</v>
      </c>
      <c r="R11" s="268">
        <v>15</v>
      </c>
      <c r="S11" s="268">
        <v>11</v>
      </c>
      <c r="T11" s="268">
        <v>5</v>
      </c>
      <c r="U11" s="268">
        <v>6</v>
      </c>
      <c r="V11" s="268">
        <f>SUM(D11:O11)</f>
        <v>148</v>
      </c>
      <c r="W11" s="268">
        <f>SUM(J11:U11)</f>
        <v>136</v>
      </c>
    </row>
    <row r="12" spans="1:23" x14ac:dyDescent="0.25">
      <c r="A12" s="513" t="s">
        <v>26</v>
      </c>
      <c r="B12" s="603" t="s">
        <v>685</v>
      </c>
      <c r="C12" s="603" t="s">
        <v>265</v>
      </c>
      <c r="D12" s="268">
        <v>61</v>
      </c>
      <c r="E12" s="268">
        <v>62</v>
      </c>
      <c r="F12" s="268">
        <v>58</v>
      </c>
      <c r="G12" s="268">
        <v>45</v>
      </c>
      <c r="H12" s="268">
        <v>35</v>
      </c>
      <c r="I12" s="268">
        <v>40</v>
      </c>
      <c r="J12" s="268">
        <v>49</v>
      </c>
      <c r="K12" s="268">
        <v>39</v>
      </c>
      <c r="L12" s="268">
        <v>49</v>
      </c>
      <c r="M12" s="268">
        <v>37</v>
      </c>
      <c r="N12" s="268">
        <v>56</v>
      </c>
      <c r="O12" s="268">
        <v>45</v>
      </c>
      <c r="P12" s="268">
        <v>58</v>
      </c>
      <c r="Q12" s="268">
        <v>64</v>
      </c>
      <c r="R12" s="268">
        <v>41</v>
      </c>
      <c r="S12" s="268">
        <v>55</v>
      </c>
      <c r="T12" s="268">
        <v>47</v>
      </c>
      <c r="U12" s="268">
        <v>30</v>
      </c>
      <c r="V12" s="268">
        <f>SUM(D12:O12)</f>
        <v>576</v>
      </c>
      <c r="W12" s="268">
        <f>SUM(J12:U12)</f>
        <v>570</v>
      </c>
    </row>
    <row r="13" spans="1:23" x14ac:dyDescent="0.25">
      <c r="A13" s="513" t="s">
        <v>27</v>
      </c>
      <c r="B13" s="603" t="s">
        <v>28</v>
      </c>
      <c r="C13" s="603" t="s">
        <v>265</v>
      </c>
      <c r="D13" s="268"/>
      <c r="E13" s="268"/>
      <c r="F13" s="268">
        <v>1</v>
      </c>
      <c r="G13" s="268"/>
      <c r="H13" s="268"/>
      <c r="I13" s="268"/>
      <c r="J13" s="268"/>
      <c r="K13" s="268"/>
      <c r="L13" s="268"/>
      <c r="M13" s="268"/>
      <c r="N13" s="268"/>
      <c r="O13" s="268"/>
      <c r="P13" s="268"/>
      <c r="Q13" s="268"/>
      <c r="R13" s="268"/>
      <c r="S13" s="268"/>
      <c r="T13" s="268"/>
      <c r="U13" s="268">
        <v>1</v>
      </c>
      <c r="V13" s="268">
        <f>SUM(D13:O13)</f>
        <v>1</v>
      </c>
      <c r="W13" s="268">
        <f>SUM(J13:U13)</f>
        <v>1</v>
      </c>
    </row>
    <row r="14" spans="1:23" x14ac:dyDescent="0.25">
      <c r="A14" s="513" t="s">
        <v>29</v>
      </c>
      <c r="B14" s="603" t="s">
        <v>901</v>
      </c>
      <c r="C14" s="603" t="s">
        <v>265</v>
      </c>
      <c r="D14" s="268">
        <v>18</v>
      </c>
      <c r="E14" s="268">
        <v>19</v>
      </c>
      <c r="F14" s="268">
        <v>18</v>
      </c>
      <c r="G14" s="268">
        <v>13</v>
      </c>
      <c r="H14" s="268">
        <v>14</v>
      </c>
      <c r="I14" s="268">
        <v>25</v>
      </c>
      <c r="J14" s="268">
        <v>28</v>
      </c>
      <c r="K14" s="268">
        <v>13</v>
      </c>
      <c r="L14" s="268">
        <v>16</v>
      </c>
      <c r="M14" s="268">
        <v>15</v>
      </c>
      <c r="N14" s="268">
        <v>23</v>
      </c>
      <c r="O14" s="268">
        <v>23</v>
      </c>
      <c r="P14" s="268">
        <v>14</v>
      </c>
      <c r="Q14" s="268">
        <v>22</v>
      </c>
      <c r="R14" s="268">
        <v>24</v>
      </c>
      <c r="S14" s="268">
        <v>25</v>
      </c>
      <c r="T14" s="268">
        <v>17</v>
      </c>
      <c r="U14" s="268">
        <v>17</v>
      </c>
      <c r="V14" s="268">
        <f>SUM(D14:O14)</f>
        <v>225</v>
      </c>
      <c r="W14" s="268">
        <f>SUM(J14:U14)</f>
        <v>237</v>
      </c>
    </row>
    <row r="15" spans="1:23" x14ac:dyDescent="0.25">
      <c r="A15" s="513" t="s">
        <v>30</v>
      </c>
      <c r="B15" s="603" t="s">
        <v>31</v>
      </c>
      <c r="C15" s="603" t="s">
        <v>268</v>
      </c>
      <c r="D15" s="268">
        <v>1</v>
      </c>
      <c r="E15" s="268"/>
      <c r="F15" s="268">
        <v>2</v>
      </c>
      <c r="G15" s="268"/>
      <c r="H15" s="268">
        <v>1</v>
      </c>
      <c r="I15" s="268"/>
      <c r="J15" s="268">
        <v>1</v>
      </c>
      <c r="K15" s="268"/>
      <c r="L15" s="268">
        <v>1</v>
      </c>
      <c r="M15" s="268"/>
      <c r="N15" s="268"/>
      <c r="O15" s="268">
        <v>2</v>
      </c>
      <c r="P15" s="268"/>
      <c r="Q15" s="268"/>
      <c r="R15" s="268">
        <v>1</v>
      </c>
      <c r="S15" s="268"/>
      <c r="T15" s="268"/>
      <c r="U15" s="268"/>
      <c r="V15" s="268">
        <f>SUM(D15:O15)</f>
        <v>8</v>
      </c>
      <c r="W15" s="268">
        <f>SUM(J15:U15)</f>
        <v>5</v>
      </c>
    </row>
    <row r="16" spans="1:23" x14ac:dyDescent="0.25">
      <c r="A16" s="513" t="s">
        <v>32</v>
      </c>
      <c r="B16" s="603" t="s">
        <v>33</v>
      </c>
      <c r="C16" s="603" t="s">
        <v>265</v>
      </c>
      <c r="D16" s="268">
        <v>5</v>
      </c>
      <c r="E16" s="268">
        <v>1</v>
      </c>
      <c r="F16" s="268">
        <v>3</v>
      </c>
      <c r="G16" s="268">
        <v>6</v>
      </c>
      <c r="H16" s="268">
        <v>1</v>
      </c>
      <c r="I16" s="268">
        <v>1</v>
      </c>
      <c r="J16" s="268"/>
      <c r="K16" s="268">
        <v>3</v>
      </c>
      <c r="L16" s="268">
        <v>2</v>
      </c>
      <c r="M16" s="268">
        <v>4</v>
      </c>
      <c r="N16" s="268">
        <v>4</v>
      </c>
      <c r="O16" s="268">
        <v>1</v>
      </c>
      <c r="P16" s="268"/>
      <c r="Q16" s="268">
        <v>3</v>
      </c>
      <c r="R16" s="268"/>
      <c r="S16" s="268">
        <v>2</v>
      </c>
      <c r="T16" s="268">
        <v>1</v>
      </c>
      <c r="U16" s="268">
        <v>2</v>
      </c>
      <c r="V16" s="268">
        <f>SUM(D16:O16)</f>
        <v>31</v>
      </c>
      <c r="W16" s="268">
        <f>SUM(J16:U16)</f>
        <v>22</v>
      </c>
    </row>
    <row r="17" spans="1:23" x14ac:dyDescent="0.25">
      <c r="A17" s="513" t="s">
        <v>36</v>
      </c>
      <c r="B17" s="603" t="s">
        <v>37</v>
      </c>
      <c r="C17" s="603" t="s">
        <v>264</v>
      </c>
      <c r="D17" s="268"/>
      <c r="E17" s="268">
        <v>2</v>
      </c>
      <c r="F17" s="268">
        <v>1</v>
      </c>
      <c r="G17" s="268">
        <v>1</v>
      </c>
      <c r="H17" s="268"/>
      <c r="I17" s="268">
        <v>1</v>
      </c>
      <c r="J17" s="268"/>
      <c r="K17" s="268"/>
      <c r="L17" s="268"/>
      <c r="M17" s="268">
        <v>1</v>
      </c>
      <c r="N17" s="268">
        <v>1</v>
      </c>
      <c r="O17" s="268"/>
      <c r="P17" s="268"/>
      <c r="Q17" s="268">
        <v>1</v>
      </c>
      <c r="R17" s="268">
        <v>2</v>
      </c>
      <c r="S17" s="268"/>
      <c r="T17" s="268"/>
      <c r="U17" s="268"/>
      <c r="V17" s="268">
        <f>SUM(D17:O17)</f>
        <v>7</v>
      </c>
      <c r="W17" s="268">
        <f>SUM(J17:U17)</f>
        <v>5</v>
      </c>
    </row>
    <row r="18" spans="1:23" x14ac:dyDescent="0.25">
      <c r="A18" s="513" t="s">
        <v>38</v>
      </c>
      <c r="B18" s="603" t="s">
        <v>39</v>
      </c>
      <c r="C18" s="603" t="s">
        <v>268</v>
      </c>
      <c r="D18" s="268"/>
      <c r="E18" s="268"/>
      <c r="F18" s="268"/>
      <c r="G18" s="268"/>
      <c r="H18" s="268"/>
      <c r="I18" s="268"/>
      <c r="J18" s="268"/>
      <c r="K18" s="268">
        <v>1</v>
      </c>
      <c r="L18" s="268"/>
      <c r="M18" s="268"/>
      <c r="N18" s="268">
        <v>2</v>
      </c>
      <c r="O18" s="268">
        <v>3</v>
      </c>
      <c r="P18" s="268"/>
      <c r="Q18" s="268">
        <v>1</v>
      </c>
      <c r="R18" s="268"/>
      <c r="S18" s="268"/>
      <c r="T18" s="268"/>
      <c r="U18" s="268"/>
      <c r="V18" s="268">
        <f>SUM(D18:O18)</f>
        <v>6</v>
      </c>
      <c r="W18" s="268">
        <f>SUM(J18:U18)</f>
        <v>7</v>
      </c>
    </row>
    <row r="19" spans="1:23" x14ac:dyDescent="0.25">
      <c r="A19" s="513" t="s">
        <v>40</v>
      </c>
      <c r="B19" s="603" t="s">
        <v>41</v>
      </c>
      <c r="C19" s="603" t="s">
        <v>266</v>
      </c>
      <c r="D19" s="268">
        <v>6</v>
      </c>
      <c r="E19" s="268">
        <v>5</v>
      </c>
      <c r="F19" s="268">
        <v>6</v>
      </c>
      <c r="G19" s="268">
        <v>5</v>
      </c>
      <c r="H19" s="268">
        <v>4</v>
      </c>
      <c r="I19" s="268"/>
      <c r="J19" s="268">
        <v>4</v>
      </c>
      <c r="K19" s="268"/>
      <c r="L19" s="268">
        <v>2</v>
      </c>
      <c r="M19" s="268">
        <v>6</v>
      </c>
      <c r="N19" s="268">
        <v>5</v>
      </c>
      <c r="O19" s="268">
        <v>2</v>
      </c>
      <c r="P19" s="268">
        <v>1</v>
      </c>
      <c r="Q19" s="268">
        <v>2</v>
      </c>
      <c r="R19" s="268">
        <v>6</v>
      </c>
      <c r="S19" s="268">
        <v>2</v>
      </c>
      <c r="T19" s="268">
        <v>1</v>
      </c>
      <c r="U19" s="268">
        <v>1</v>
      </c>
      <c r="V19" s="268">
        <f>SUM(D19:O19)</f>
        <v>45</v>
      </c>
      <c r="W19" s="268">
        <f>SUM(J19:U19)</f>
        <v>32</v>
      </c>
    </row>
    <row r="20" spans="1:23" x14ac:dyDescent="0.25">
      <c r="A20" s="513" t="s">
        <v>42</v>
      </c>
      <c r="B20" s="603" t="s">
        <v>43</v>
      </c>
      <c r="C20" s="603" t="s">
        <v>265</v>
      </c>
      <c r="D20" s="268">
        <v>25</v>
      </c>
      <c r="E20" s="268">
        <v>24</v>
      </c>
      <c r="F20" s="268">
        <v>12</v>
      </c>
      <c r="G20" s="268">
        <v>18</v>
      </c>
      <c r="H20" s="268">
        <v>24</v>
      </c>
      <c r="I20" s="268">
        <v>10</v>
      </c>
      <c r="J20" s="268">
        <v>16</v>
      </c>
      <c r="K20" s="268">
        <v>17</v>
      </c>
      <c r="L20" s="268">
        <v>13</v>
      </c>
      <c r="M20" s="268">
        <v>19</v>
      </c>
      <c r="N20" s="268">
        <v>24</v>
      </c>
      <c r="O20" s="268">
        <v>6</v>
      </c>
      <c r="P20" s="268">
        <v>2</v>
      </c>
      <c r="Q20" s="268">
        <v>17</v>
      </c>
      <c r="R20" s="268">
        <v>26</v>
      </c>
      <c r="S20" s="268">
        <v>24</v>
      </c>
      <c r="T20" s="268">
        <v>18</v>
      </c>
      <c r="U20" s="268">
        <v>7</v>
      </c>
      <c r="V20" s="268">
        <f>SUM(D20:O20)</f>
        <v>208</v>
      </c>
      <c r="W20" s="268">
        <f>SUM(J20:U20)</f>
        <v>189</v>
      </c>
    </row>
    <row r="21" spans="1:23" x14ac:dyDescent="0.25">
      <c r="A21" s="513" t="s">
        <v>44</v>
      </c>
      <c r="B21" s="603" t="s">
        <v>45</v>
      </c>
      <c r="C21" s="603" t="s">
        <v>266</v>
      </c>
      <c r="D21" s="268">
        <v>8</v>
      </c>
      <c r="E21" s="268">
        <v>9</v>
      </c>
      <c r="F21" s="268">
        <v>12</v>
      </c>
      <c r="G21" s="268">
        <v>21</v>
      </c>
      <c r="H21" s="268">
        <v>14</v>
      </c>
      <c r="I21" s="268">
        <v>6</v>
      </c>
      <c r="J21" s="268">
        <v>1</v>
      </c>
      <c r="K21" s="268">
        <v>6</v>
      </c>
      <c r="L21" s="268">
        <v>7</v>
      </c>
      <c r="M21" s="268">
        <v>14</v>
      </c>
      <c r="N21" s="268">
        <v>15</v>
      </c>
      <c r="O21" s="268">
        <v>16</v>
      </c>
      <c r="P21" s="268">
        <v>13</v>
      </c>
      <c r="Q21" s="268">
        <v>22</v>
      </c>
      <c r="R21" s="268">
        <v>13</v>
      </c>
      <c r="S21" s="268">
        <v>14</v>
      </c>
      <c r="T21" s="268">
        <v>9</v>
      </c>
      <c r="U21" s="268">
        <v>8</v>
      </c>
      <c r="V21" s="268">
        <f>SUM(D21:O21)</f>
        <v>129</v>
      </c>
      <c r="W21" s="268">
        <f>SUM(J21:U21)</f>
        <v>138</v>
      </c>
    </row>
    <row r="22" spans="1:23" x14ac:dyDescent="0.25">
      <c r="A22" s="513" t="s">
        <v>46</v>
      </c>
      <c r="B22" s="603" t="s">
        <v>47</v>
      </c>
      <c r="C22" s="603" t="s">
        <v>268</v>
      </c>
      <c r="D22" s="268">
        <v>14</v>
      </c>
      <c r="E22" s="268">
        <v>11</v>
      </c>
      <c r="F22" s="268">
        <v>10</v>
      </c>
      <c r="G22" s="268">
        <v>9</v>
      </c>
      <c r="H22" s="268">
        <v>7</v>
      </c>
      <c r="I22" s="268">
        <v>14</v>
      </c>
      <c r="J22" s="268">
        <v>6</v>
      </c>
      <c r="K22" s="268">
        <v>6</v>
      </c>
      <c r="L22" s="268">
        <v>14</v>
      </c>
      <c r="M22" s="268">
        <v>6</v>
      </c>
      <c r="N22" s="268">
        <v>12</v>
      </c>
      <c r="O22" s="268">
        <v>5</v>
      </c>
      <c r="P22" s="268">
        <v>7</v>
      </c>
      <c r="Q22" s="268">
        <v>7</v>
      </c>
      <c r="R22" s="268">
        <v>1</v>
      </c>
      <c r="S22" s="268">
        <v>4</v>
      </c>
      <c r="T22" s="268">
        <v>3</v>
      </c>
      <c r="U22" s="268">
        <v>5</v>
      </c>
      <c r="V22" s="268">
        <f>SUM(D22:O22)</f>
        <v>114</v>
      </c>
      <c r="W22" s="268">
        <f>SUM(J22:U22)</f>
        <v>76</v>
      </c>
    </row>
    <row r="23" spans="1:23" x14ac:dyDescent="0.25">
      <c r="A23" s="513" t="s">
        <v>48</v>
      </c>
      <c r="B23" s="603" t="s">
        <v>269</v>
      </c>
      <c r="C23" s="603" t="s">
        <v>266</v>
      </c>
      <c r="D23" s="268">
        <v>2</v>
      </c>
      <c r="E23" s="268">
        <v>3</v>
      </c>
      <c r="F23" s="268">
        <v>2</v>
      </c>
      <c r="G23" s="268">
        <v>2</v>
      </c>
      <c r="H23" s="268">
        <v>1</v>
      </c>
      <c r="I23" s="268"/>
      <c r="J23" s="268"/>
      <c r="K23" s="268"/>
      <c r="L23" s="268"/>
      <c r="M23" s="268"/>
      <c r="N23" s="268">
        <v>1</v>
      </c>
      <c r="O23" s="268"/>
      <c r="P23" s="268">
        <v>1</v>
      </c>
      <c r="Q23" s="268"/>
      <c r="R23" s="268">
        <v>4</v>
      </c>
      <c r="S23" s="268"/>
      <c r="T23" s="268">
        <v>2</v>
      </c>
      <c r="U23" s="268"/>
      <c r="V23" s="268">
        <f>SUM(D23:O23)</f>
        <v>11</v>
      </c>
      <c r="W23" s="268">
        <f>SUM(J23:U23)</f>
        <v>8</v>
      </c>
    </row>
    <row r="24" spans="1:23" x14ac:dyDescent="0.25">
      <c r="A24" s="513" t="s">
        <v>50</v>
      </c>
      <c r="B24" s="603" t="s">
        <v>51</v>
      </c>
      <c r="C24" s="603" t="s">
        <v>265</v>
      </c>
      <c r="D24" s="268"/>
      <c r="E24" s="268"/>
      <c r="F24" s="268"/>
      <c r="G24" s="268"/>
      <c r="H24" s="268"/>
      <c r="I24" s="268"/>
      <c r="J24" s="268"/>
      <c r="K24" s="268"/>
      <c r="L24" s="268"/>
      <c r="M24" s="268"/>
      <c r="N24" s="268"/>
      <c r="O24" s="268">
        <v>1</v>
      </c>
      <c r="P24" s="268"/>
      <c r="Q24" s="268"/>
      <c r="R24" s="268"/>
      <c r="S24" s="268"/>
      <c r="T24" s="268"/>
      <c r="U24" s="268"/>
      <c r="V24" s="268">
        <f>SUM(D24:O24)</f>
        <v>1</v>
      </c>
      <c r="W24" s="268">
        <f>SUM(J24:U24)</f>
        <v>1</v>
      </c>
    </row>
    <row r="25" spans="1:23" x14ac:dyDescent="0.25">
      <c r="A25" s="513" t="s">
        <v>56</v>
      </c>
      <c r="B25" s="603" t="s">
        <v>295</v>
      </c>
      <c r="C25" s="603" t="s">
        <v>266</v>
      </c>
      <c r="D25" s="268">
        <v>36</v>
      </c>
      <c r="E25" s="268">
        <v>59</v>
      </c>
      <c r="F25" s="268">
        <v>36</v>
      </c>
      <c r="G25" s="268">
        <v>42</v>
      </c>
      <c r="H25" s="268">
        <v>59</v>
      </c>
      <c r="I25" s="268">
        <v>19</v>
      </c>
      <c r="J25" s="268">
        <v>41</v>
      </c>
      <c r="K25" s="268">
        <v>33</v>
      </c>
      <c r="L25" s="268">
        <v>33</v>
      </c>
      <c r="M25" s="268">
        <v>26</v>
      </c>
      <c r="N25" s="268">
        <v>37</v>
      </c>
      <c r="O25" s="268">
        <v>59</v>
      </c>
      <c r="P25" s="268">
        <v>38</v>
      </c>
      <c r="Q25" s="268">
        <v>31</v>
      </c>
      <c r="R25" s="268">
        <v>26</v>
      </c>
      <c r="S25" s="268">
        <v>34</v>
      </c>
      <c r="T25" s="268">
        <v>18</v>
      </c>
      <c r="U25" s="268">
        <v>28</v>
      </c>
      <c r="V25" s="268">
        <f>SUM(D25:O25)</f>
        <v>480</v>
      </c>
      <c r="W25" s="268">
        <f>SUM(J25:U25)</f>
        <v>404</v>
      </c>
    </row>
    <row r="26" spans="1:23" x14ac:dyDescent="0.25">
      <c r="A26" s="513" t="s">
        <v>58</v>
      </c>
      <c r="B26" s="603" t="s">
        <v>59</v>
      </c>
      <c r="C26" s="603" t="s">
        <v>267</v>
      </c>
      <c r="D26" s="268">
        <v>2</v>
      </c>
      <c r="E26" s="268"/>
      <c r="F26" s="268">
        <v>1</v>
      </c>
      <c r="G26" s="268"/>
      <c r="H26" s="268"/>
      <c r="I26" s="268"/>
      <c r="J26" s="268"/>
      <c r="K26" s="268"/>
      <c r="L26" s="268"/>
      <c r="M26" s="268">
        <v>1</v>
      </c>
      <c r="N26" s="268">
        <v>1</v>
      </c>
      <c r="O26" s="268"/>
      <c r="P26" s="268">
        <v>2</v>
      </c>
      <c r="Q26" s="268"/>
      <c r="R26" s="268"/>
      <c r="S26" s="268"/>
      <c r="T26" s="268"/>
      <c r="U26" s="268"/>
      <c r="V26" s="268">
        <f>SUM(D26:O26)</f>
        <v>5</v>
      </c>
      <c r="W26" s="268">
        <f>SUM(J26:U26)</f>
        <v>4</v>
      </c>
    </row>
    <row r="27" spans="1:23" x14ac:dyDescent="0.25">
      <c r="A27" s="513" t="s">
        <v>60</v>
      </c>
      <c r="B27" s="603" t="s">
        <v>61</v>
      </c>
      <c r="C27" s="603" t="s">
        <v>265</v>
      </c>
      <c r="D27" s="268">
        <v>4</v>
      </c>
      <c r="E27" s="268">
        <v>3</v>
      </c>
      <c r="F27" s="268">
        <v>1</v>
      </c>
      <c r="G27" s="268"/>
      <c r="H27" s="268">
        <v>2</v>
      </c>
      <c r="I27" s="268"/>
      <c r="J27" s="268">
        <v>3</v>
      </c>
      <c r="K27" s="268">
        <v>3</v>
      </c>
      <c r="L27" s="268"/>
      <c r="M27" s="268">
        <v>2</v>
      </c>
      <c r="N27" s="268">
        <v>4</v>
      </c>
      <c r="O27" s="268">
        <v>3</v>
      </c>
      <c r="P27" s="268">
        <v>2</v>
      </c>
      <c r="Q27" s="268">
        <v>4</v>
      </c>
      <c r="R27" s="268">
        <v>4</v>
      </c>
      <c r="S27" s="268">
        <v>2</v>
      </c>
      <c r="T27" s="268"/>
      <c r="U27" s="268">
        <v>2</v>
      </c>
      <c r="V27" s="268">
        <f>SUM(D27:O27)</f>
        <v>25</v>
      </c>
      <c r="W27" s="268">
        <f>SUM(J27:U27)</f>
        <v>29</v>
      </c>
    </row>
    <row r="28" spans="1:23" x14ac:dyDescent="0.25">
      <c r="A28" s="513" t="s">
        <v>62</v>
      </c>
      <c r="B28" s="603" t="s">
        <v>63</v>
      </c>
      <c r="C28" s="603" t="s">
        <v>267</v>
      </c>
      <c r="D28" s="268">
        <v>13</v>
      </c>
      <c r="E28" s="268">
        <v>26</v>
      </c>
      <c r="F28" s="268">
        <v>22</v>
      </c>
      <c r="G28" s="268">
        <v>9</v>
      </c>
      <c r="H28" s="268">
        <v>9</v>
      </c>
      <c r="I28" s="268">
        <v>6</v>
      </c>
      <c r="J28" s="268">
        <v>14</v>
      </c>
      <c r="K28" s="268">
        <v>12</v>
      </c>
      <c r="L28" s="268">
        <v>8</v>
      </c>
      <c r="M28" s="268">
        <v>18</v>
      </c>
      <c r="N28" s="268">
        <v>16</v>
      </c>
      <c r="O28" s="268">
        <v>16</v>
      </c>
      <c r="P28" s="268">
        <v>13</v>
      </c>
      <c r="Q28" s="268">
        <v>16</v>
      </c>
      <c r="R28" s="268">
        <v>6</v>
      </c>
      <c r="S28" s="268">
        <v>10</v>
      </c>
      <c r="T28" s="268">
        <v>8</v>
      </c>
      <c r="U28" s="268">
        <v>10</v>
      </c>
      <c r="V28" s="268">
        <f>SUM(D28:O28)</f>
        <v>169</v>
      </c>
      <c r="W28" s="268">
        <f>SUM(J28:U28)</f>
        <v>147</v>
      </c>
    </row>
    <row r="29" spans="1:23" x14ac:dyDescent="0.25">
      <c r="A29" s="513" t="s">
        <v>64</v>
      </c>
      <c r="B29" s="603" t="s">
        <v>65</v>
      </c>
      <c r="C29" s="603" t="s">
        <v>266</v>
      </c>
      <c r="D29" s="268"/>
      <c r="E29" s="268">
        <v>9</v>
      </c>
      <c r="F29" s="268">
        <v>1</v>
      </c>
      <c r="G29" s="268">
        <v>1</v>
      </c>
      <c r="H29" s="268">
        <v>2</v>
      </c>
      <c r="I29" s="268">
        <v>2</v>
      </c>
      <c r="J29" s="268">
        <v>3</v>
      </c>
      <c r="K29" s="268">
        <v>3</v>
      </c>
      <c r="L29" s="268">
        <v>3</v>
      </c>
      <c r="M29" s="268">
        <v>9</v>
      </c>
      <c r="N29" s="268">
        <v>5</v>
      </c>
      <c r="O29" s="268">
        <v>2</v>
      </c>
      <c r="P29" s="268">
        <v>3</v>
      </c>
      <c r="Q29" s="268">
        <v>7</v>
      </c>
      <c r="R29" s="268">
        <v>7</v>
      </c>
      <c r="S29" s="268">
        <v>4</v>
      </c>
      <c r="T29" s="268">
        <v>1</v>
      </c>
      <c r="U29" s="268">
        <v>2</v>
      </c>
      <c r="V29" s="268">
        <f>SUM(D29:O29)</f>
        <v>40</v>
      </c>
      <c r="W29" s="268">
        <f>SUM(J29:U29)</f>
        <v>49</v>
      </c>
    </row>
    <row r="30" spans="1:23" x14ac:dyDescent="0.25">
      <c r="A30" s="513" t="s">
        <v>68</v>
      </c>
      <c r="B30" s="603" t="s">
        <v>69</v>
      </c>
      <c r="C30" s="603" t="s">
        <v>268</v>
      </c>
      <c r="D30" s="268">
        <v>2</v>
      </c>
      <c r="E30" s="268">
        <v>1</v>
      </c>
      <c r="F30" s="268"/>
      <c r="G30" s="268">
        <v>1</v>
      </c>
      <c r="H30" s="268"/>
      <c r="I30" s="268"/>
      <c r="J30" s="268"/>
      <c r="K30" s="268">
        <v>2</v>
      </c>
      <c r="L30" s="268">
        <v>1</v>
      </c>
      <c r="M30" s="268">
        <v>2</v>
      </c>
      <c r="N30" s="268">
        <v>1</v>
      </c>
      <c r="O30" s="268">
        <v>3</v>
      </c>
      <c r="P30" s="268">
        <v>3</v>
      </c>
      <c r="Q30" s="268">
        <v>3</v>
      </c>
      <c r="R30" s="268">
        <v>1</v>
      </c>
      <c r="S30" s="268">
        <v>4</v>
      </c>
      <c r="T30" s="268"/>
      <c r="U30" s="268">
        <v>1</v>
      </c>
      <c r="V30" s="268">
        <f>SUM(D30:O30)</f>
        <v>13</v>
      </c>
      <c r="W30" s="268">
        <f>SUM(J30:U30)</f>
        <v>21</v>
      </c>
    </row>
    <row r="31" spans="1:23" x14ac:dyDescent="0.25">
      <c r="A31" s="513" t="s">
        <v>70</v>
      </c>
      <c r="B31" s="603" t="s">
        <v>71</v>
      </c>
      <c r="C31" s="603" t="s">
        <v>264</v>
      </c>
      <c r="D31" s="268">
        <v>11</v>
      </c>
      <c r="E31" s="268">
        <v>12</v>
      </c>
      <c r="F31" s="268">
        <v>17</v>
      </c>
      <c r="G31" s="268">
        <v>12</v>
      </c>
      <c r="H31" s="268">
        <v>8</v>
      </c>
      <c r="I31" s="268">
        <v>6</v>
      </c>
      <c r="J31" s="268">
        <v>7</v>
      </c>
      <c r="K31" s="268">
        <v>4</v>
      </c>
      <c r="L31" s="268">
        <v>3</v>
      </c>
      <c r="M31" s="268">
        <v>2</v>
      </c>
      <c r="N31" s="268">
        <v>9</v>
      </c>
      <c r="O31" s="268">
        <v>2</v>
      </c>
      <c r="P31" s="268">
        <v>5</v>
      </c>
      <c r="Q31" s="268">
        <v>10</v>
      </c>
      <c r="R31" s="268">
        <v>2</v>
      </c>
      <c r="S31" s="268">
        <v>9</v>
      </c>
      <c r="T31" s="268">
        <v>1</v>
      </c>
      <c r="U31" s="268">
        <v>2</v>
      </c>
      <c r="V31" s="268">
        <f>SUM(D31:O31)</f>
        <v>93</v>
      </c>
      <c r="W31" s="268">
        <f>SUM(J31:U31)</f>
        <v>56</v>
      </c>
    </row>
    <row r="32" spans="1:23" x14ac:dyDescent="0.25">
      <c r="A32" s="513" t="s">
        <v>72</v>
      </c>
      <c r="B32" s="603" t="s">
        <v>73</v>
      </c>
      <c r="C32" s="603" t="s">
        <v>266</v>
      </c>
      <c r="D32" s="268">
        <v>1</v>
      </c>
      <c r="E32" s="268">
        <v>3</v>
      </c>
      <c r="F32" s="268">
        <v>1</v>
      </c>
      <c r="G32" s="268">
        <v>3</v>
      </c>
      <c r="H32" s="268">
        <v>2</v>
      </c>
      <c r="I32" s="268">
        <v>1</v>
      </c>
      <c r="J32" s="268">
        <v>1</v>
      </c>
      <c r="K32" s="268"/>
      <c r="L32" s="268">
        <v>2</v>
      </c>
      <c r="M32" s="268">
        <v>1</v>
      </c>
      <c r="N32" s="268">
        <v>1</v>
      </c>
      <c r="O32" s="268">
        <v>1</v>
      </c>
      <c r="P32" s="268"/>
      <c r="Q32" s="268">
        <v>3</v>
      </c>
      <c r="R32" s="268">
        <v>1</v>
      </c>
      <c r="S32" s="268">
        <v>1</v>
      </c>
      <c r="T32" s="268">
        <v>2</v>
      </c>
      <c r="U32" s="268"/>
      <c r="V32" s="268">
        <f>SUM(D32:O32)</f>
        <v>17</v>
      </c>
      <c r="W32" s="268">
        <f>SUM(J32:U32)</f>
        <v>13</v>
      </c>
    </row>
    <row r="33" spans="1:23" x14ac:dyDescent="0.25">
      <c r="A33" s="513" t="s">
        <v>74</v>
      </c>
      <c r="B33" s="603" t="s">
        <v>296</v>
      </c>
      <c r="C33" s="603" t="s">
        <v>267</v>
      </c>
      <c r="D33" s="268">
        <v>105</v>
      </c>
      <c r="E33" s="268">
        <v>90</v>
      </c>
      <c r="F33" s="268">
        <v>115</v>
      </c>
      <c r="G33" s="268">
        <v>154</v>
      </c>
      <c r="H33" s="268">
        <v>128</v>
      </c>
      <c r="I33" s="268">
        <v>292</v>
      </c>
      <c r="J33" s="268">
        <v>242</v>
      </c>
      <c r="K33" s="268">
        <v>317</v>
      </c>
      <c r="L33" s="268">
        <v>443</v>
      </c>
      <c r="M33" s="268">
        <v>437</v>
      </c>
      <c r="N33" s="268">
        <v>107</v>
      </c>
      <c r="O33" s="268">
        <v>116</v>
      </c>
      <c r="P33" s="268">
        <v>333</v>
      </c>
      <c r="Q33" s="268">
        <v>176</v>
      </c>
      <c r="R33" s="268">
        <v>260</v>
      </c>
      <c r="S33" s="268">
        <v>98</v>
      </c>
      <c r="T33" s="268">
        <v>90</v>
      </c>
      <c r="U33" s="268">
        <v>125</v>
      </c>
      <c r="V33" s="268">
        <f>SUM(D33:O33)</f>
        <v>2546</v>
      </c>
      <c r="W33" s="268">
        <f>SUM(J33:U33)</f>
        <v>2744</v>
      </c>
    </row>
    <row r="34" spans="1:23" x14ac:dyDescent="0.25">
      <c r="A34" s="513" t="s">
        <v>76</v>
      </c>
      <c r="B34" s="603" t="s">
        <v>77</v>
      </c>
      <c r="C34" s="603" t="s">
        <v>267</v>
      </c>
      <c r="D34" s="268">
        <v>2</v>
      </c>
      <c r="E34" s="268">
        <v>5</v>
      </c>
      <c r="F34" s="268">
        <v>5</v>
      </c>
      <c r="G34" s="268">
        <v>9</v>
      </c>
      <c r="H34" s="268">
        <v>6</v>
      </c>
      <c r="I34" s="268">
        <v>2</v>
      </c>
      <c r="J34" s="268">
        <v>2</v>
      </c>
      <c r="K34" s="268">
        <v>1</v>
      </c>
      <c r="L34" s="268">
        <v>3</v>
      </c>
      <c r="M34" s="268">
        <v>3</v>
      </c>
      <c r="N34" s="268">
        <v>2</v>
      </c>
      <c r="O34" s="268">
        <v>4</v>
      </c>
      <c r="P34" s="268"/>
      <c r="Q34" s="268">
        <v>1</v>
      </c>
      <c r="R34" s="268"/>
      <c r="S34" s="268"/>
      <c r="T34" s="268">
        <v>1</v>
      </c>
      <c r="U34" s="268"/>
      <c r="V34" s="268">
        <f>SUM(D34:O34)</f>
        <v>44</v>
      </c>
      <c r="W34" s="268">
        <f>SUM(J34:U34)</f>
        <v>17</v>
      </c>
    </row>
    <row r="35" spans="1:23" x14ac:dyDescent="0.25">
      <c r="A35" s="513" t="s">
        <v>78</v>
      </c>
      <c r="B35" s="603" t="s">
        <v>79</v>
      </c>
      <c r="C35" s="603" t="s">
        <v>268</v>
      </c>
      <c r="D35" s="268">
        <v>2</v>
      </c>
      <c r="E35" s="268">
        <v>3</v>
      </c>
      <c r="F35" s="268"/>
      <c r="G35" s="268">
        <v>3</v>
      </c>
      <c r="H35" s="268">
        <v>2</v>
      </c>
      <c r="I35" s="268"/>
      <c r="J35" s="268"/>
      <c r="K35" s="268"/>
      <c r="L35" s="268"/>
      <c r="M35" s="268"/>
      <c r="N35" s="268"/>
      <c r="O35" s="268">
        <v>4</v>
      </c>
      <c r="P35" s="268">
        <v>1</v>
      </c>
      <c r="Q35" s="268">
        <v>1</v>
      </c>
      <c r="R35" s="268">
        <v>3</v>
      </c>
      <c r="S35" s="268">
        <v>1</v>
      </c>
      <c r="T35" s="268">
        <v>8</v>
      </c>
      <c r="U35" s="268">
        <v>1</v>
      </c>
      <c r="V35" s="268">
        <f>SUM(D35:O35)</f>
        <v>14</v>
      </c>
      <c r="W35" s="268">
        <f>SUM(J35:U35)</f>
        <v>19</v>
      </c>
    </row>
    <row r="36" spans="1:23" x14ac:dyDescent="0.25">
      <c r="A36" s="513" t="s">
        <v>80</v>
      </c>
      <c r="B36" s="603" t="s">
        <v>81</v>
      </c>
      <c r="C36" s="603" t="s">
        <v>266</v>
      </c>
      <c r="D36" s="268">
        <v>1</v>
      </c>
      <c r="E36" s="268">
        <v>2</v>
      </c>
      <c r="F36" s="268">
        <v>6</v>
      </c>
      <c r="G36" s="268">
        <v>3</v>
      </c>
      <c r="H36" s="268">
        <v>4</v>
      </c>
      <c r="I36" s="268">
        <v>3</v>
      </c>
      <c r="J36" s="268">
        <v>6</v>
      </c>
      <c r="K36" s="268">
        <v>4</v>
      </c>
      <c r="L36" s="268">
        <v>7</v>
      </c>
      <c r="M36" s="268">
        <v>7</v>
      </c>
      <c r="N36" s="268">
        <v>6</v>
      </c>
      <c r="O36" s="268">
        <v>5</v>
      </c>
      <c r="P36" s="268">
        <v>8</v>
      </c>
      <c r="Q36" s="268">
        <v>12</v>
      </c>
      <c r="R36" s="268">
        <v>1</v>
      </c>
      <c r="S36" s="268">
        <v>11</v>
      </c>
      <c r="T36" s="268">
        <v>3</v>
      </c>
      <c r="U36" s="268">
        <v>4</v>
      </c>
      <c r="V36" s="268">
        <f>SUM(D36:O36)</f>
        <v>54</v>
      </c>
      <c r="W36" s="268">
        <f>SUM(J36:U36)</f>
        <v>74</v>
      </c>
    </row>
    <row r="37" spans="1:23" x14ac:dyDescent="0.25">
      <c r="A37" s="513" t="s">
        <v>84</v>
      </c>
      <c r="B37" s="603" t="s">
        <v>85</v>
      </c>
      <c r="C37" s="603" t="s">
        <v>265</v>
      </c>
      <c r="D37" s="268">
        <v>20</v>
      </c>
      <c r="E37" s="268">
        <v>26</v>
      </c>
      <c r="F37" s="268">
        <v>11</v>
      </c>
      <c r="G37" s="268">
        <v>9</v>
      </c>
      <c r="H37" s="268">
        <v>17</v>
      </c>
      <c r="I37" s="268">
        <v>16</v>
      </c>
      <c r="J37" s="268">
        <v>20</v>
      </c>
      <c r="K37" s="268">
        <v>9</v>
      </c>
      <c r="L37" s="268">
        <v>23</v>
      </c>
      <c r="M37" s="268">
        <v>19</v>
      </c>
      <c r="N37" s="268">
        <v>22</v>
      </c>
      <c r="O37" s="268">
        <v>17</v>
      </c>
      <c r="P37" s="268">
        <v>18</v>
      </c>
      <c r="Q37" s="268">
        <v>15</v>
      </c>
      <c r="R37" s="268">
        <v>8</v>
      </c>
      <c r="S37" s="268">
        <v>14</v>
      </c>
      <c r="T37" s="268">
        <v>11</v>
      </c>
      <c r="U37" s="268">
        <v>10</v>
      </c>
      <c r="V37" s="268">
        <f>SUM(D37:O37)</f>
        <v>209</v>
      </c>
      <c r="W37" s="268">
        <f>SUM(J37:U37)</f>
        <v>186</v>
      </c>
    </row>
    <row r="38" spans="1:23" x14ac:dyDescent="0.25">
      <c r="A38" s="513" t="s">
        <v>86</v>
      </c>
      <c r="B38" s="603" t="s">
        <v>87</v>
      </c>
      <c r="C38" s="603" t="s">
        <v>267</v>
      </c>
      <c r="D38" s="268">
        <v>10</v>
      </c>
      <c r="E38" s="268">
        <v>4</v>
      </c>
      <c r="F38" s="268">
        <v>4</v>
      </c>
      <c r="G38" s="268">
        <v>2</v>
      </c>
      <c r="H38" s="268">
        <v>2</v>
      </c>
      <c r="I38" s="268">
        <v>6</v>
      </c>
      <c r="J38" s="268">
        <v>2</v>
      </c>
      <c r="K38" s="268">
        <v>3</v>
      </c>
      <c r="L38" s="268">
        <v>11</v>
      </c>
      <c r="M38" s="268">
        <v>15</v>
      </c>
      <c r="N38" s="268">
        <v>21</v>
      </c>
      <c r="O38" s="268">
        <v>23</v>
      </c>
      <c r="P38" s="268">
        <v>22</v>
      </c>
      <c r="Q38" s="268">
        <v>20</v>
      </c>
      <c r="R38" s="268">
        <v>17</v>
      </c>
      <c r="S38" s="268">
        <v>17</v>
      </c>
      <c r="T38" s="268">
        <v>12</v>
      </c>
      <c r="U38" s="268">
        <v>11</v>
      </c>
      <c r="V38" s="268">
        <f>SUM(D38:O38)</f>
        <v>103</v>
      </c>
      <c r="W38" s="268">
        <f>SUM(J38:U38)</f>
        <v>174</v>
      </c>
    </row>
    <row r="39" spans="1:23" x14ac:dyDescent="0.25">
      <c r="A39" s="513" t="s">
        <v>92</v>
      </c>
      <c r="B39" s="603" t="s">
        <v>93</v>
      </c>
      <c r="C39" s="603" t="s">
        <v>268</v>
      </c>
      <c r="D39" s="268"/>
      <c r="E39" s="268">
        <v>5</v>
      </c>
      <c r="F39" s="268">
        <v>1</v>
      </c>
      <c r="G39" s="268"/>
      <c r="H39" s="268">
        <v>1</v>
      </c>
      <c r="I39" s="268"/>
      <c r="J39" s="268">
        <v>4</v>
      </c>
      <c r="K39" s="268">
        <v>1</v>
      </c>
      <c r="L39" s="268">
        <v>1</v>
      </c>
      <c r="M39" s="268"/>
      <c r="N39" s="268">
        <v>3</v>
      </c>
      <c r="O39" s="268">
        <v>1</v>
      </c>
      <c r="P39" s="268">
        <v>1</v>
      </c>
      <c r="Q39" s="268">
        <v>1</v>
      </c>
      <c r="R39" s="268">
        <v>2</v>
      </c>
      <c r="S39" s="268"/>
      <c r="T39" s="268">
        <v>4</v>
      </c>
      <c r="U39" s="268">
        <v>6</v>
      </c>
      <c r="V39" s="268">
        <f>SUM(D39:O39)</f>
        <v>17</v>
      </c>
      <c r="W39" s="268">
        <f>SUM(J39:U39)</f>
        <v>24</v>
      </c>
    </row>
    <row r="40" spans="1:23" x14ac:dyDescent="0.25">
      <c r="A40" s="513" t="s">
        <v>94</v>
      </c>
      <c r="B40" s="603" t="s">
        <v>95</v>
      </c>
      <c r="C40" s="603" t="s">
        <v>264</v>
      </c>
      <c r="D40" s="268">
        <v>8</v>
      </c>
      <c r="E40" s="268">
        <v>21</v>
      </c>
      <c r="F40" s="268">
        <v>18</v>
      </c>
      <c r="G40" s="268">
        <v>17</v>
      </c>
      <c r="H40" s="268">
        <v>16</v>
      </c>
      <c r="I40" s="268">
        <v>10</v>
      </c>
      <c r="J40" s="268">
        <v>3</v>
      </c>
      <c r="K40" s="268">
        <v>12</v>
      </c>
      <c r="L40" s="268">
        <v>11</v>
      </c>
      <c r="M40" s="268">
        <v>7</v>
      </c>
      <c r="N40" s="268">
        <v>11</v>
      </c>
      <c r="O40" s="268">
        <v>6</v>
      </c>
      <c r="P40" s="268">
        <v>3</v>
      </c>
      <c r="Q40" s="268">
        <v>7</v>
      </c>
      <c r="R40" s="268">
        <v>4</v>
      </c>
      <c r="S40" s="268">
        <v>5</v>
      </c>
      <c r="T40" s="268">
        <v>4</v>
      </c>
      <c r="U40" s="268">
        <v>7</v>
      </c>
      <c r="V40" s="268">
        <f>SUM(D40:O40)</f>
        <v>140</v>
      </c>
      <c r="W40" s="268">
        <f>SUM(J40:U40)</f>
        <v>80</v>
      </c>
    </row>
    <row r="41" spans="1:23" x14ac:dyDescent="0.25">
      <c r="A41" s="513" t="s">
        <v>96</v>
      </c>
      <c r="B41" s="603" t="s">
        <v>97</v>
      </c>
      <c r="C41" s="603" t="s">
        <v>266</v>
      </c>
      <c r="D41" s="268"/>
      <c r="E41" s="268"/>
      <c r="F41" s="268">
        <v>1</v>
      </c>
      <c r="G41" s="268">
        <v>2</v>
      </c>
      <c r="H41" s="268">
        <v>3</v>
      </c>
      <c r="I41" s="268">
        <v>2</v>
      </c>
      <c r="J41" s="268">
        <v>4</v>
      </c>
      <c r="K41" s="268"/>
      <c r="L41" s="268">
        <v>3</v>
      </c>
      <c r="M41" s="268">
        <v>1</v>
      </c>
      <c r="N41" s="268"/>
      <c r="O41" s="268">
        <v>2</v>
      </c>
      <c r="P41" s="268"/>
      <c r="Q41" s="268">
        <v>2</v>
      </c>
      <c r="R41" s="268"/>
      <c r="S41" s="268">
        <v>1</v>
      </c>
      <c r="T41" s="268"/>
      <c r="U41" s="268">
        <v>2</v>
      </c>
      <c r="V41" s="268">
        <f>SUM(D41:O41)</f>
        <v>18</v>
      </c>
      <c r="W41" s="268">
        <f>SUM(J41:U41)</f>
        <v>15</v>
      </c>
    </row>
    <row r="42" spans="1:23" x14ac:dyDescent="0.25">
      <c r="A42" s="513" t="s">
        <v>98</v>
      </c>
      <c r="B42" s="603" t="s">
        <v>99</v>
      </c>
      <c r="C42" s="603" t="s">
        <v>268</v>
      </c>
      <c r="D42" s="268">
        <v>2</v>
      </c>
      <c r="E42" s="268">
        <v>3</v>
      </c>
      <c r="F42" s="268">
        <v>1</v>
      </c>
      <c r="G42" s="268">
        <v>2</v>
      </c>
      <c r="H42" s="268">
        <v>4</v>
      </c>
      <c r="I42" s="268">
        <v>1</v>
      </c>
      <c r="J42" s="268">
        <v>6</v>
      </c>
      <c r="K42" s="268">
        <v>2</v>
      </c>
      <c r="L42" s="268">
        <v>2</v>
      </c>
      <c r="M42" s="268">
        <v>1</v>
      </c>
      <c r="N42" s="268">
        <v>4</v>
      </c>
      <c r="O42" s="268">
        <v>2</v>
      </c>
      <c r="P42" s="268">
        <v>1</v>
      </c>
      <c r="Q42" s="268">
        <v>1</v>
      </c>
      <c r="R42" s="268"/>
      <c r="S42" s="268">
        <v>2</v>
      </c>
      <c r="T42" s="268"/>
      <c r="U42" s="268"/>
      <c r="V42" s="268">
        <f>SUM(D42:O42)</f>
        <v>30</v>
      </c>
      <c r="W42" s="268">
        <f>SUM(J42:U42)</f>
        <v>21</v>
      </c>
    </row>
    <row r="43" spans="1:23" x14ac:dyDescent="0.25">
      <c r="A43" s="513" t="s">
        <v>100</v>
      </c>
      <c r="B43" s="603" t="s">
        <v>101</v>
      </c>
      <c r="C43" s="603" t="s">
        <v>267</v>
      </c>
      <c r="D43" s="268">
        <v>2</v>
      </c>
      <c r="E43" s="268">
        <v>3</v>
      </c>
      <c r="F43" s="268"/>
      <c r="G43" s="268">
        <v>2</v>
      </c>
      <c r="H43" s="268">
        <v>3</v>
      </c>
      <c r="I43" s="268">
        <v>1</v>
      </c>
      <c r="J43" s="268">
        <v>3</v>
      </c>
      <c r="K43" s="268"/>
      <c r="L43" s="268">
        <v>4</v>
      </c>
      <c r="M43" s="268"/>
      <c r="N43" s="268">
        <v>2</v>
      </c>
      <c r="O43" s="268">
        <v>2</v>
      </c>
      <c r="P43" s="268">
        <v>3</v>
      </c>
      <c r="Q43" s="268">
        <v>4</v>
      </c>
      <c r="R43" s="268">
        <v>1</v>
      </c>
      <c r="S43" s="268">
        <v>1</v>
      </c>
      <c r="T43" s="268">
        <v>2</v>
      </c>
      <c r="U43" s="268"/>
      <c r="V43" s="268">
        <f>SUM(D43:O43)</f>
        <v>22</v>
      </c>
      <c r="W43" s="268">
        <f>SUM(J43:U43)</f>
        <v>22</v>
      </c>
    </row>
    <row r="44" spans="1:23" x14ac:dyDescent="0.25">
      <c r="A44" s="513" t="s">
        <v>102</v>
      </c>
      <c r="B44" s="603" t="s">
        <v>282</v>
      </c>
      <c r="C44" s="603" t="s">
        <v>264</v>
      </c>
      <c r="D44" s="268">
        <v>9</v>
      </c>
      <c r="E44" s="268">
        <v>10</v>
      </c>
      <c r="F44" s="268">
        <v>7</v>
      </c>
      <c r="G44" s="268">
        <v>11</v>
      </c>
      <c r="H44" s="268">
        <v>4</v>
      </c>
      <c r="I44" s="268">
        <v>4</v>
      </c>
      <c r="J44" s="268">
        <v>7</v>
      </c>
      <c r="K44" s="268">
        <v>3</v>
      </c>
      <c r="L44" s="268">
        <v>4</v>
      </c>
      <c r="M44" s="268">
        <v>6</v>
      </c>
      <c r="N44" s="268">
        <v>9</v>
      </c>
      <c r="O44" s="268">
        <v>4</v>
      </c>
      <c r="P44" s="268">
        <v>11</v>
      </c>
      <c r="Q44" s="268">
        <v>3</v>
      </c>
      <c r="R44" s="268">
        <v>4</v>
      </c>
      <c r="S44" s="268">
        <v>6</v>
      </c>
      <c r="T44" s="268">
        <v>1</v>
      </c>
      <c r="U44" s="268">
        <v>3</v>
      </c>
      <c r="V44" s="268">
        <f>SUM(D44:O44)</f>
        <v>78</v>
      </c>
      <c r="W44" s="268">
        <f>SUM(J44:U44)</f>
        <v>61</v>
      </c>
    </row>
    <row r="45" spans="1:23" x14ac:dyDescent="0.25">
      <c r="A45" s="513" t="s">
        <v>104</v>
      </c>
      <c r="B45" s="603" t="s">
        <v>105</v>
      </c>
      <c r="C45" s="603" t="s">
        <v>265</v>
      </c>
      <c r="D45" s="268">
        <v>9</v>
      </c>
      <c r="E45" s="268">
        <v>19</v>
      </c>
      <c r="F45" s="268">
        <v>8</v>
      </c>
      <c r="G45" s="268">
        <v>10</v>
      </c>
      <c r="H45" s="268">
        <v>5</v>
      </c>
      <c r="I45" s="268">
        <v>1</v>
      </c>
      <c r="J45" s="268">
        <v>5</v>
      </c>
      <c r="K45" s="268">
        <v>4</v>
      </c>
      <c r="L45" s="268">
        <v>2</v>
      </c>
      <c r="M45" s="268">
        <v>4</v>
      </c>
      <c r="N45" s="268">
        <v>5</v>
      </c>
      <c r="O45" s="268">
        <v>11</v>
      </c>
      <c r="P45" s="268">
        <v>11</v>
      </c>
      <c r="Q45" s="268">
        <v>18</v>
      </c>
      <c r="R45" s="268">
        <v>11</v>
      </c>
      <c r="S45" s="268">
        <v>4</v>
      </c>
      <c r="T45" s="268">
        <v>10</v>
      </c>
      <c r="U45" s="268">
        <v>8</v>
      </c>
      <c r="V45" s="268">
        <f>SUM(D45:O45)</f>
        <v>83</v>
      </c>
      <c r="W45" s="268">
        <f>SUM(J45:U45)</f>
        <v>93</v>
      </c>
    </row>
    <row r="46" spans="1:23" x14ac:dyDescent="0.25">
      <c r="A46" s="513" t="s">
        <v>108</v>
      </c>
      <c r="B46" s="603" t="s">
        <v>109</v>
      </c>
      <c r="C46" s="603" t="s">
        <v>266</v>
      </c>
      <c r="D46" s="268">
        <v>23</v>
      </c>
      <c r="E46" s="268">
        <v>29</v>
      </c>
      <c r="F46" s="268">
        <v>12</v>
      </c>
      <c r="G46" s="268">
        <v>12</v>
      </c>
      <c r="H46" s="268">
        <v>12</v>
      </c>
      <c r="I46" s="268">
        <v>10</v>
      </c>
      <c r="J46" s="268">
        <v>11</v>
      </c>
      <c r="K46" s="268">
        <v>13</v>
      </c>
      <c r="L46" s="268">
        <v>11</v>
      </c>
      <c r="M46" s="268">
        <v>16</v>
      </c>
      <c r="N46" s="268">
        <v>17</v>
      </c>
      <c r="O46" s="268">
        <v>18</v>
      </c>
      <c r="P46" s="268">
        <v>26</v>
      </c>
      <c r="Q46" s="268">
        <v>32</v>
      </c>
      <c r="R46" s="268">
        <v>25</v>
      </c>
      <c r="S46" s="268">
        <v>21</v>
      </c>
      <c r="T46" s="268">
        <v>18</v>
      </c>
      <c r="U46" s="268">
        <v>17</v>
      </c>
      <c r="V46" s="268">
        <f>SUM(D46:O46)</f>
        <v>184</v>
      </c>
      <c r="W46" s="268">
        <f>SUM(J46:U46)</f>
        <v>225</v>
      </c>
    </row>
    <row r="47" spans="1:23" x14ac:dyDescent="0.25">
      <c r="A47" s="513" t="s">
        <v>110</v>
      </c>
      <c r="B47" s="603" t="s">
        <v>111</v>
      </c>
      <c r="C47" s="603" t="s">
        <v>266</v>
      </c>
      <c r="D47" s="268">
        <v>46</v>
      </c>
      <c r="E47" s="268">
        <v>50</v>
      </c>
      <c r="F47" s="268">
        <v>53</v>
      </c>
      <c r="G47" s="268">
        <v>43</v>
      </c>
      <c r="H47" s="268">
        <v>56</v>
      </c>
      <c r="I47" s="268">
        <v>45</v>
      </c>
      <c r="J47" s="268">
        <v>50</v>
      </c>
      <c r="K47" s="268">
        <v>43</v>
      </c>
      <c r="L47" s="268">
        <v>60</v>
      </c>
      <c r="M47" s="268">
        <v>51</v>
      </c>
      <c r="N47" s="268">
        <v>57</v>
      </c>
      <c r="O47" s="268">
        <v>64</v>
      </c>
      <c r="P47" s="268">
        <v>47</v>
      </c>
      <c r="Q47" s="268">
        <v>70</v>
      </c>
      <c r="R47" s="268">
        <v>59</v>
      </c>
      <c r="S47" s="268">
        <v>63</v>
      </c>
      <c r="T47" s="268">
        <v>45</v>
      </c>
      <c r="U47" s="268">
        <v>38</v>
      </c>
      <c r="V47" s="268">
        <f>SUM(D47:O47)</f>
        <v>618</v>
      </c>
      <c r="W47" s="268">
        <f>SUM(J47:U47)</f>
        <v>647</v>
      </c>
    </row>
    <row r="48" spans="1:23" x14ac:dyDescent="0.25">
      <c r="A48" s="513" t="s">
        <v>112</v>
      </c>
      <c r="B48" s="603" t="s">
        <v>300</v>
      </c>
      <c r="C48" s="603" t="s">
        <v>265</v>
      </c>
      <c r="D48" s="268">
        <v>40</v>
      </c>
      <c r="E48" s="268">
        <v>58</v>
      </c>
      <c r="F48" s="268">
        <v>34</v>
      </c>
      <c r="G48" s="268">
        <v>31</v>
      </c>
      <c r="H48" s="268">
        <v>33</v>
      </c>
      <c r="I48" s="268">
        <v>27</v>
      </c>
      <c r="J48" s="268">
        <v>28</v>
      </c>
      <c r="K48" s="268">
        <v>24</v>
      </c>
      <c r="L48" s="268">
        <v>32</v>
      </c>
      <c r="M48" s="268">
        <v>41</v>
      </c>
      <c r="N48" s="268">
        <v>60</v>
      </c>
      <c r="O48" s="268">
        <v>40</v>
      </c>
      <c r="P48" s="268">
        <v>27</v>
      </c>
      <c r="Q48" s="268">
        <v>39</v>
      </c>
      <c r="R48" s="268">
        <v>37</v>
      </c>
      <c r="S48" s="268">
        <v>28</v>
      </c>
      <c r="T48" s="268">
        <v>33</v>
      </c>
      <c r="U48" s="268">
        <v>18</v>
      </c>
      <c r="V48" s="268">
        <f>SUM(D48:O48)</f>
        <v>448</v>
      </c>
      <c r="W48" s="268">
        <f>SUM(J48:U48)</f>
        <v>407</v>
      </c>
    </row>
    <row r="49" spans="1:23" x14ac:dyDescent="0.25">
      <c r="A49" s="513" t="s">
        <v>114</v>
      </c>
      <c r="B49" s="603" t="s">
        <v>115</v>
      </c>
      <c r="C49" s="603" t="s">
        <v>265</v>
      </c>
      <c r="D49" s="268"/>
      <c r="E49" s="268"/>
      <c r="F49" s="268"/>
      <c r="G49" s="268"/>
      <c r="H49" s="268"/>
      <c r="I49" s="268"/>
      <c r="J49" s="268"/>
      <c r="K49" s="268"/>
      <c r="L49" s="268"/>
      <c r="M49" s="268"/>
      <c r="N49" s="268"/>
      <c r="O49" s="268">
        <v>1</v>
      </c>
      <c r="P49" s="268"/>
      <c r="Q49" s="268"/>
      <c r="R49" s="268"/>
      <c r="S49" s="268"/>
      <c r="T49" s="268"/>
      <c r="U49" s="268"/>
      <c r="V49" s="268">
        <f>SUM(D49:O49)</f>
        <v>1</v>
      </c>
      <c r="W49" s="268">
        <f>SUM(J49:U49)</f>
        <v>1</v>
      </c>
    </row>
    <row r="50" spans="1:23" x14ac:dyDescent="0.25">
      <c r="A50" s="513" t="s">
        <v>118</v>
      </c>
      <c r="B50" s="603" t="s">
        <v>270</v>
      </c>
      <c r="C50" s="603" t="s">
        <v>264</v>
      </c>
      <c r="D50" s="268">
        <v>2</v>
      </c>
      <c r="E50" s="268">
        <v>4</v>
      </c>
      <c r="F50" s="268">
        <v>1</v>
      </c>
      <c r="G50" s="268">
        <v>1</v>
      </c>
      <c r="H50" s="268"/>
      <c r="I50" s="268">
        <v>3</v>
      </c>
      <c r="J50" s="268">
        <v>1</v>
      </c>
      <c r="K50" s="268"/>
      <c r="L50" s="268">
        <v>4</v>
      </c>
      <c r="M50" s="268">
        <v>1</v>
      </c>
      <c r="N50" s="268">
        <v>2</v>
      </c>
      <c r="O50" s="268">
        <v>1</v>
      </c>
      <c r="P50" s="268">
        <v>1</v>
      </c>
      <c r="Q50" s="268">
        <v>1</v>
      </c>
      <c r="R50" s="268">
        <v>1</v>
      </c>
      <c r="S50" s="268"/>
      <c r="T50" s="268">
        <v>1</v>
      </c>
      <c r="U50" s="268"/>
      <c r="V50" s="268">
        <f>SUM(D50:O50)</f>
        <v>20</v>
      </c>
      <c r="W50" s="268">
        <f>SUM(J50:U50)</f>
        <v>13</v>
      </c>
    </row>
    <row r="51" spans="1:23" x14ac:dyDescent="0.25">
      <c r="A51" s="513" t="s">
        <v>120</v>
      </c>
      <c r="B51" s="603" t="s">
        <v>121</v>
      </c>
      <c r="C51" s="603" t="s">
        <v>264</v>
      </c>
      <c r="D51" s="268">
        <v>8</v>
      </c>
      <c r="E51" s="268">
        <v>8</v>
      </c>
      <c r="F51" s="268">
        <v>11</v>
      </c>
      <c r="G51" s="268">
        <v>15</v>
      </c>
      <c r="H51" s="268">
        <v>11</v>
      </c>
      <c r="I51" s="268">
        <v>25</v>
      </c>
      <c r="J51" s="268">
        <v>31</v>
      </c>
      <c r="K51" s="268">
        <v>33</v>
      </c>
      <c r="L51" s="268">
        <v>33</v>
      </c>
      <c r="M51" s="268">
        <v>27</v>
      </c>
      <c r="N51" s="268">
        <v>21</v>
      </c>
      <c r="O51" s="268">
        <v>3</v>
      </c>
      <c r="P51" s="268">
        <v>10</v>
      </c>
      <c r="Q51" s="268">
        <v>11</v>
      </c>
      <c r="R51" s="268">
        <v>12</v>
      </c>
      <c r="S51" s="268">
        <v>32</v>
      </c>
      <c r="T51" s="268">
        <v>24</v>
      </c>
      <c r="U51" s="268">
        <v>21</v>
      </c>
      <c r="V51" s="268">
        <f>SUM(D51:O51)</f>
        <v>226</v>
      </c>
      <c r="W51" s="268">
        <f>SUM(J51:U51)</f>
        <v>258</v>
      </c>
    </row>
    <row r="52" spans="1:23" x14ac:dyDescent="0.25">
      <c r="A52" s="513" t="s">
        <v>122</v>
      </c>
      <c r="B52" s="603" t="s">
        <v>287</v>
      </c>
      <c r="C52" s="603" t="s">
        <v>266</v>
      </c>
      <c r="D52" s="268">
        <v>1</v>
      </c>
      <c r="E52" s="268">
        <v>4</v>
      </c>
      <c r="F52" s="268">
        <v>10</v>
      </c>
      <c r="G52" s="268">
        <v>4</v>
      </c>
      <c r="H52" s="268"/>
      <c r="I52" s="268"/>
      <c r="J52" s="268">
        <v>2</v>
      </c>
      <c r="K52" s="268">
        <v>4</v>
      </c>
      <c r="L52" s="268">
        <v>2</v>
      </c>
      <c r="M52" s="268">
        <v>1</v>
      </c>
      <c r="N52" s="268">
        <v>1</v>
      </c>
      <c r="O52" s="268">
        <v>10</v>
      </c>
      <c r="P52" s="268">
        <v>5</v>
      </c>
      <c r="Q52" s="268">
        <v>1</v>
      </c>
      <c r="R52" s="268"/>
      <c r="S52" s="268">
        <v>1</v>
      </c>
      <c r="T52" s="268"/>
      <c r="U52" s="268">
        <v>2</v>
      </c>
      <c r="V52" s="268">
        <f>SUM(D52:O52)</f>
        <v>39</v>
      </c>
      <c r="W52" s="268">
        <f>SUM(J52:U52)</f>
        <v>29</v>
      </c>
    </row>
    <row r="53" spans="1:23" x14ac:dyDescent="0.25">
      <c r="A53" s="513" t="s">
        <v>124</v>
      </c>
      <c r="B53" s="603" t="s">
        <v>125</v>
      </c>
      <c r="C53" s="603" t="s">
        <v>267</v>
      </c>
      <c r="D53" s="268">
        <v>1</v>
      </c>
      <c r="E53" s="268"/>
      <c r="F53" s="268">
        <v>1</v>
      </c>
      <c r="G53" s="268">
        <v>4</v>
      </c>
      <c r="H53" s="268">
        <v>3</v>
      </c>
      <c r="I53" s="268">
        <v>4</v>
      </c>
      <c r="J53" s="268"/>
      <c r="K53" s="268">
        <v>2</v>
      </c>
      <c r="L53" s="268">
        <v>7</v>
      </c>
      <c r="M53" s="268">
        <v>1</v>
      </c>
      <c r="N53" s="268">
        <v>2</v>
      </c>
      <c r="O53" s="268">
        <v>3</v>
      </c>
      <c r="P53" s="268">
        <v>2</v>
      </c>
      <c r="Q53" s="268">
        <v>4</v>
      </c>
      <c r="R53" s="268">
        <v>6</v>
      </c>
      <c r="S53" s="268">
        <v>1</v>
      </c>
      <c r="T53" s="268">
        <v>3</v>
      </c>
      <c r="U53" s="268"/>
      <c r="V53" s="268">
        <f>SUM(D53:O53)</f>
        <v>28</v>
      </c>
      <c r="W53" s="268">
        <f>SUM(J53:U53)</f>
        <v>31</v>
      </c>
    </row>
    <row r="54" spans="1:23" x14ac:dyDescent="0.25">
      <c r="A54" s="513" t="s">
        <v>126</v>
      </c>
      <c r="B54" s="603" t="s">
        <v>127</v>
      </c>
      <c r="C54" s="603" t="s">
        <v>266</v>
      </c>
      <c r="D54" s="268">
        <v>4</v>
      </c>
      <c r="E54" s="268">
        <v>2</v>
      </c>
      <c r="F54" s="268">
        <v>9</v>
      </c>
      <c r="G54" s="268">
        <v>5</v>
      </c>
      <c r="H54" s="268">
        <v>4</v>
      </c>
      <c r="I54" s="268">
        <v>2</v>
      </c>
      <c r="J54" s="268">
        <v>8</v>
      </c>
      <c r="K54" s="268">
        <v>5</v>
      </c>
      <c r="L54" s="268">
        <v>4</v>
      </c>
      <c r="M54" s="268">
        <v>6</v>
      </c>
      <c r="N54" s="268">
        <v>1</v>
      </c>
      <c r="O54" s="268">
        <v>3</v>
      </c>
      <c r="P54" s="268">
        <v>6</v>
      </c>
      <c r="Q54" s="268">
        <v>8</v>
      </c>
      <c r="R54" s="268">
        <v>6</v>
      </c>
      <c r="S54" s="268">
        <v>12</v>
      </c>
      <c r="T54" s="268">
        <v>9</v>
      </c>
      <c r="U54" s="268">
        <v>5</v>
      </c>
      <c r="V54" s="268">
        <f>SUM(D54:O54)</f>
        <v>53</v>
      </c>
      <c r="W54" s="268">
        <f>SUM(J54:U54)</f>
        <v>73</v>
      </c>
    </row>
    <row r="55" spans="1:23" x14ac:dyDescent="0.25">
      <c r="A55" s="513" t="s">
        <v>128</v>
      </c>
      <c r="B55" s="603" t="s">
        <v>129</v>
      </c>
      <c r="C55" s="603" t="s">
        <v>266</v>
      </c>
      <c r="D55" s="268">
        <v>2</v>
      </c>
      <c r="E55" s="268">
        <v>3</v>
      </c>
      <c r="F55" s="268">
        <v>4</v>
      </c>
      <c r="G55" s="268">
        <v>1</v>
      </c>
      <c r="H55" s="268">
        <v>1</v>
      </c>
      <c r="I55" s="268">
        <v>3</v>
      </c>
      <c r="J55" s="268">
        <v>4</v>
      </c>
      <c r="K55" s="268">
        <v>2</v>
      </c>
      <c r="L55" s="268">
        <v>1</v>
      </c>
      <c r="M55" s="268"/>
      <c r="N55" s="268">
        <v>2</v>
      </c>
      <c r="O55" s="268">
        <v>1</v>
      </c>
      <c r="P55" s="268">
        <v>3</v>
      </c>
      <c r="Q55" s="268"/>
      <c r="R55" s="268">
        <v>1</v>
      </c>
      <c r="S55" s="268">
        <v>3</v>
      </c>
      <c r="T55" s="268">
        <v>1</v>
      </c>
      <c r="U55" s="268">
        <v>1</v>
      </c>
      <c r="V55" s="268">
        <f>SUM(D55:O55)</f>
        <v>24</v>
      </c>
      <c r="W55" s="268">
        <f>SUM(J55:U55)</f>
        <v>19</v>
      </c>
    </row>
    <row r="56" spans="1:23" x14ac:dyDescent="0.25">
      <c r="A56" s="513" t="s">
        <v>130</v>
      </c>
      <c r="B56" s="603" t="s">
        <v>131</v>
      </c>
      <c r="C56" s="603" t="s">
        <v>268</v>
      </c>
      <c r="D56" s="268">
        <v>5</v>
      </c>
      <c r="E56" s="268">
        <v>1</v>
      </c>
      <c r="F56" s="268">
        <v>3</v>
      </c>
      <c r="G56" s="268">
        <v>1</v>
      </c>
      <c r="H56" s="268">
        <v>2</v>
      </c>
      <c r="I56" s="268"/>
      <c r="J56" s="268">
        <v>1</v>
      </c>
      <c r="K56" s="268">
        <v>2</v>
      </c>
      <c r="L56" s="268">
        <v>1</v>
      </c>
      <c r="M56" s="268">
        <v>2</v>
      </c>
      <c r="N56" s="268">
        <v>6</v>
      </c>
      <c r="O56" s="268"/>
      <c r="P56" s="268">
        <v>7</v>
      </c>
      <c r="Q56" s="268">
        <v>2</v>
      </c>
      <c r="R56" s="268">
        <v>4</v>
      </c>
      <c r="S56" s="268">
        <v>5</v>
      </c>
      <c r="T56" s="268">
        <v>3</v>
      </c>
      <c r="U56" s="268"/>
      <c r="V56" s="268">
        <f>SUM(D56:O56)</f>
        <v>24</v>
      </c>
      <c r="W56" s="268">
        <f>SUM(J56:U56)</f>
        <v>33</v>
      </c>
    </row>
    <row r="57" spans="1:23" x14ac:dyDescent="0.25">
      <c r="A57" s="513" t="s">
        <v>132</v>
      </c>
      <c r="B57" s="603" t="s">
        <v>133</v>
      </c>
      <c r="C57" s="603" t="s">
        <v>267</v>
      </c>
      <c r="D57" s="268">
        <v>21</v>
      </c>
      <c r="E57" s="268">
        <v>47</v>
      </c>
      <c r="F57" s="268">
        <v>34</v>
      </c>
      <c r="G57" s="268">
        <v>43</v>
      </c>
      <c r="H57" s="268">
        <v>34</v>
      </c>
      <c r="I57" s="268">
        <v>45</v>
      </c>
      <c r="J57" s="268">
        <v>38</v>
      </c>
      <c r="K57" s="268">
        <v>31</v>
      </c>
      <c r="L57" s="268">
        <v>27</v>
      </c>
      <c r="M57" s="268">
        <v>20</v>
      </c>
      <c r="N57" s="268">
        <v>20</v>
      </c>
      <c r="O57" s="268">
        <v>18</v>
      </c>
      <c r="P57" s="268">
        <v>24</v>
      </c>
      <c r="Q57" s="268">
        <v>35</v>
      </c>
      <c r="R57" s="268">
        <v>29</v>
      </c>
      <c r="S57" s="268">
        <v>28</v>
      </c>
      <c r="T57" s="268">
        <v>19</v>
      </c>
      <c r="U57" s="268">
        <v>26</v>
      </c>
      <c r="V57" s="268">
        <f>SUM(D57:O57)</f>
        <v>378</v>
      </c>
      <c r="W57" s="268">
        <f>SUM(J57:U57)</f>
        <v>315</v>
      </c>
    </row>
    <row r="58" spans="1:23" x14ac:dyDescent="0.25">
      <c r="A58" s="513" t="s">
        <v>134</v>
      </c>
      <c r="B58" s="603" t="s">
        <v>135</v>
      </c>
      <c r="C58" s="603" t="s">
        <v>267</v>
      </c>
      <c r="D58" s="268">
        <v>8</v>
      </c>
      <c r="E58" s="268">
        <v>5</v>
      </c>
      <c r="F58" s="268">
        <v>1</v>
      </c>
      <c r="G58" s="268">
        <v>7</v>
      </c>
      <c r="H58" s="268">
        <v>5</v>
      </c>
      <c r="I58" s="268">
        <v>2</v>
      </c>
      <c r="J58" s="268">
        <v>5</v>
      </c>
      <c r="K58" s="268">
        <v>1</v>
      </c>
      <c r="L58" s="268">
        <v>3</v>
      </c>
      <c r="M58" s="268">
        <v>3</v>
      </c>
      <c r="N58" s="268">
        <v>3</v>
      </c>
      <c r="O58" s="268"/>
      <c r="P58" s="268">
        <v>3</v>
      </c>
      <c r="Q58" s="268">
        <v>5</v>
      </c>
      <c r="R58" s="268">
        <v>3</v>
      </c>
      <c r="S58" s="268">
        <v>7</v>
      </c>
      <c r="T58" s="268">
        <v>3</v>
      </c>
      <c r="U58" s="268"/>
      <c r="V58" s="268">
        <f>SUM(D58:O58)</f>
        <v>43</v>
      </c>
      <c r="W58" s="268">
        <f>SUM(J58:U58)</f>
        <v>36</v>
      </c>
    </row>
    <row r="59" spans="1:23" x14ac:dyDescent="0.25">
      <c r="A59" s="513" t="s">
        <v>136</v>
      </c>
      <c r="B59" s="603" t="s">
        <v>137</v>
      </c>
      <c r="C59" s="603" t="s">
        <v>266</v>
      </c>
      <c r="D59" s="268">
        <v>3</v>
      </c>
      <c r="E59" s="268">
        <v>5</v>
      </c>
      <c r="F59" s="268">
        <v>3</v>
      </c>
      <c r="G59" s="268">
        <v>1</v>
      </c>
      <c r="H59" s="268"/>
      <c r="I59" s="268">
        <v>2</v>
      </c>
      <c r="J59" s="268">
        <v>1</v>
      </c>
      <c r="K59" s="268"/>
      <c r="L59" s="268">
        <v>3</v>
      </c>
      <c r="M59" s="268">
        <v>1</v>
      </c>
      <c r="N59" s="268"/>
      <c r="O59" s="268">
        <v>3</v>
      </c>
      <c r="P59" s="268">
        <v>2</v>
      </c>
      <c r="Q59" s="268"/>
      <c r="R59" s="268">
        <v>1</v>
      </c>
      <c r="S59" s="268">
        <v>1</v>
      </c>
      <c r="T59" s="268"/>
      <c r="U59" s="268"/>
      <c r="V59" s="268">
        <f>SUM(D59:O59)</f>
        <v>22</v>
      </c>
      <c r="W59" s="268">
        <f>SUM(J59:U59)</f>
        <v>12</v>
      </c>
    </row>
    <row r="60" spans="1:23" x14ac:dyDescent="0.25">
      <c r="A60" s="513" t="s">
        <v>140</v>
      </c>
      <c r="B60" s="603" t="s">
        <v>141</v>
      </c>
      <c r="C60" s="603" t="s">
        <v>267</v>
      </c>
      <c r="D60" s="268">
        <v>2</v>
      </c>
      <c r="E60" s="268">
        <v>2</v>
      </c>
      <c r="F60" s="268">
        <v>2</v>
      </c>
      <c r="G60" s="268">
        <v>2</v>
      </c>
      <c r="H60" s="268">
        <v>1</v>
      </c>
      <c r="I60" s="268">
        <v>1</v>
      </c>
      <c r="J60" s="268"/>
      <c r="K60" s="268">
        <v>1</v>
      </c>
      <c r="L60" s="268"/>
      <c r="M60" s="268"/>
      <c r="N60" s="268">
        <v>1</v>
      </c>
      <c r="O60" s="268">
        <v>1</v>
      </c>
      <c r="P60" s="268">
        <v>2</v>
      </c>
      <c r="Q60" s="268">
        <v>4</v>
      </c>
      <c r="R60" s="268">
        <v>4</v>
      </c>
      <c r="S60" s="268">
        <v>1</v>
      </c>
      <c r="T60" s="268">
        <v>2</v>
      </c>
      <c r="U60" s="268"/>
      <c r="V60" s="268">
        <f>SUM(D60:O60)</f>
        <v>13</v>
      </c>
      <c r="W60" s="268">
        <f>SUM(J60:U60)</f>
        <v>16</v>
      </c>
    </row>
    <row r="61" spans="1:23" x14ac:dyDescent="0.25">
      <c r="A61" s="513" t="s">
        <v>146</v>
      </c>
      <c r="B61" s="603" t="s">
        <v>147</v>
      </c>
      <c r="C61" s="603" t="s">
        <v>264</v>
      </c>
      <c r="D61" s="268">
        <v>1</v>
      </c>
      <c r="E61" s="268">
        <v>2</v>
      </c>
      <c r="F61" s="268">
        <v>2</v>
      </c>
      <c r="G61" s="268"/>
      <c r="H61" s="268"/>
      <c r="I61" s="268"/>
      <c r="J61" s="268"/>
      <c r="K61" s="268">
        <v>1</v>
      </c>
      <c r="L61" s="268">
        <v>2</v>
      </c>
      <c r="M61" s="268">
        <v>2</v>
      </c>
      <c r="N61" s="268">
        <v>8</v>
      </c>
      <c r="O61" s="268">
        <v>7</v>
      </c>
      <c r="P61" s="268">
        <v>2</v>
      </c>
      <c r="Q61" s="268">
        <v>4</v>
      </c>
      <c r="R61" s="268">
        <v>2</v>
      </c>
      <c r="S61" s="268">
        <v>3</v>
      </c>
      <c r="T61" s="268"/>
      <c r="U61" s="268"/>
      <c r="V61" s="268">
        <f>SUM(D61:O61)</f>
        <v>25</v>
      </c>
      <c r="W61" s="268">
        <f>SUM(J61:U61)</f>
        <v>31</v>
      </c>
    </row>
    <row r="62" spans="1:23" x14ac:dyDescent="0.25">
      <c r="A62" s="513" t="s">
        <v>148</v>
      </c>
      <c r="B62" s="603" t="s">
        <v>149</v>
      </c>
      <c r="C62" s="603" t="s">
        <v>265</v>
      </c>
      <c r="D62" s="268">
        <v>1</v>
      </c>
      <c r="E62" s="268">
        <v>5</v>
      </c>
      <c r="F62" s="268">
        <v>3</v>
      </c>
      <c r="G62" s="268">
        <v>2</v>
      </c>
      <c r="H62" s="268">
        <v>2</v>
      </c>
      <c r="I62" s="268">
        <v>2</v>
      </c>
      <c r="J62" s="268">
        <v>5</v>
      </c>
      <c r="K62" s="268">
        <v>1</v>
      </c>
      <c r="L62" s="268">
        <v>6</v>
      </c>
      <c r="M62" s="268">
        <v>7</v>
      </c>
      <c r="N62" s="268">
        <v>8</v>
      </c>
      <c r="O62" s="268">
        <v>5</v>
      </c>
      <c r="P62" s="268">
        <v>4</v>
      </c>
      <c r="Q62" s="268">
        <v>8</v>
      </c>
      <c r="R62" s="268">
        <v>3</v>
      </c>
      <c r="S62" s="268">
        <v>10</v>
      </c>
      <c r="T62" s="268">
        <v>1</v>
      </c>
      <c r="U62" s="268">
        <v>3</v>
      </c>
      <c r="V62" s="268">
        <f>SUM(D62:O62)</f>
        <v>47</v>
      </c>
      <c r="W62" s="268">
        <f>SUM(J62:U62)</f>
        <v>61</v>
      </c>
    </row>
    <row r="63" spans="1:23" x14ac:dyDescent="0.25">
      <c r="A63" s="513" t="s">
        <v>150</v>
      </c>
      <c r="B63" s="603" t="s">
        <v>151</v>
      </c>
      <c r="C63" s="603" t="s">
        <v>266</v>
      </c>
      <c r="D63" s="268"/>
      <c r="E63" s="268"/>
      <c r="F63" s="268">
        <v>2</v>
      </c>
      <c r="G63" s="268">
        <v>1</v>
      </c>
      <c r="H63" s="268">
        <v>2</v>
      </c>
      <c r="I63" s="268"/>
      <c r="J63" s="268"/>
      <c r="K63" s="268">
        <v>3</v>
      </c>
      <c r="L63" s="268">
        <v>2</v>
      </c>
      <c r="M63" s="268"/>
      <c r="N63" s="268"/>
      <c r="O63" s="268">
        <v>1</v>
      </c>
      <c r="P63" s="268">
        <v>1</v>
      </c>
      <c r="Q63" s="268"/>
      <c r="R63" s="268">
        <v>1</v>
      </c>
      <c r="S63" s="268"/>
      <c r="T63" s="268"/>
      <c r="U63" s="268"/>
      <c r="V63" s="268">
        <f>SUM(D63:O63)</f>
        <v>11</v>
      </c>
      <c r="W63" s="268">
        <f>SUM(J63:U63)</f>
        <v>8</v>
      </c>
    </row>
    <row r="64" spans="1:23" x14ac:dyDescent="0.25">
      <c r="A64" s="513" t="s">
        <v>152</v>
      </c>
      <c r="B64" s="603" t="s">
        <v>153</v>
      </c>
      <c r="C64" s="603" t="s">
        <v>268</v>
      </c>
      <c r="D64" s="268">
        <v>9</v>
      </c>
      <c r="E64" s="268">
        <v>11</v>
      </c>
      <c r="F64" s="268">
        <v>6</v>
      </c>
      <c r="G64" s="268">
        <v>20</v>
      </c>
      <c r="H64" s="268">
        <v>8</v>
      </c>
      <c r="I64" s="268">
        <v>6</v>
      </c>
      <c r="J64" s="268">
        <v>10</v>
      </c>
      <c r="K64" s="268">
        <v>7</v>
      </c>
      <c r="L64" s="268">
        <v>14</v>
      </c>
      <c r="M64" s="268">
        <v>7</v>
      </c>
      <c r="N64" s="268">
        <v>13</v>
      </c>
      <c r="O64" s="268">
        <v>9</v>
      </c>
      <c r="P64" s="268">
        <v>8</v>
      </c>
      <c r="Q64" s="268">
        <v>14</v>
      </c>
      <c r="R64" s="268">
        <v>10</v>
      </c>
      <c r="S64" s="268">
        <v>8</v>
      </c>
      <c r="T64" s="268">
        <v>8</v>
      </c>
      <c r="U64" s="268">
        <v>4</v>
      </c>
      <c r="V64" s="268">
        <f>SUM(D64:O64)</f>
        <v>120</v>
      </c>
      <c r="W64" s="268">
        <f>SUM(J64:U64)</f>
        <v>112</v>
      </c>
    </row>
    <row r="65" spans="1:23" x14ac:dyDescent="0.25">
      <c r="A65" s="513" t="s">
        <v>154</v>
      </c>
      <c r="B65" s="603" t="s">
        <v>155</v>
      </c>
      <c r="C65" s="603" t="s">
        <v>265</v>
      </c>
      <c r="D65" s="268">
        <v>1</v>
      </c>
      <c r="E65" s="268">
        <v>2</v>
      </c>
      <c r="F65" s="268">
        <v>4</v>
      </c>
      <c r="G65" s="268">
        <v>2</v>
      </c>
      <c r="H65" s="268">
        <v>1</v>
      </c>
      <c r="I65" s="268">
        <v>1</v>
      </c>
      <c r="J65" s="268">
        <v>1</v>
      </c>
      <c r="K65" s="268">
        <v>2</v>
      </c>
      <c r="L65" s="268">
        <v>1</v>
      </c>
      <c r="M65" s="268">
        <v>4</v>
      </c>
      <c r="N65" s="268"/>
      <c r="O65" s="268">
        <v>1</v>
      </c>
      <c r="P65" s="268">
        <v>3</v>
      </c>
      <c r="Q65" s="268">
        <v>1</v>
      </c>
      <c r="R65" s="268">
        <v>2</v>
      </c>
      <c r="S65" s="268">
        <v>4</v>
      </c>
      <c r="T65" s="268">
        <v>2</v>
      </c>
      <c r="U65" s="268">
        <v>2</v>
      </c>
      <c r="V65" s="268">
        <f>SUM(D65:O65)</f>
        <v>20</v>
      </c>
      <c r="W65" s="268">
        <f>SUM(J65:U65)</f>
        <v>23</v>
      </c>
    </row>
    <row r="66" spans="1:23" x14ac:dyDescent="0.25">
      <c r="A66" s="513" t="s">
        <v>156</v>
      </c>
      <c r="B66" s="603" t="s">
        <v>157</v>
      </c>
      <c r="C66" s="603" t="s">
        <v>266</v>
      </c>
      <c r="D66" s="268"/>
      <c r="E66" s="268">
        <v>1</v>
      </c>
      <c r="F66" s="268"/>
      <c r="G66" s="268"/>
      <c r="H66" s="268">
        <v>2</v>
      </c>
      <c r="I66" s="268">
        <v>3</v>
      </c>
      <c r="J66" s="268">
        <v>1</v>
      </c>
      <c r="K66" s="268">
        <v>4</v>
      </c>
      <c r="L66" s="268">
        <v>3</v>
      </c>
      <c r="M66" s="268">
        <v>4</v>
      </c>
      <c r="N66" s="268">
        <v>5</v>
      </c>
      <c r="O66" s="268">
        <v>5</v>
      </c>
      <c r="P66" s="268">
        <v>5</v>
      </c>
      <c r="Q66" s="268">
        <v>11</v>
      </c>
      <c r="R66" s="268">
        <v>7</v>
      </c>
      <c r="S66" s="268">
        <v>4</v>
      </c>
      <c r="T66" s="268">
        <v>1</v>
      </c>
      <c r="U66" s="268">
        <v>1</v>
      </c>
      <c r="V66" s="268">
        <f>SUM(D66:O66)</f>
        <v>28</v>
      </c>
      <c r="W66" s="268">
        <f>SUM(J66:U66)</f>
        <v>51</v>
      </c>
    </row>
    <row r="67" spans="1:23" x14ac:dyDescent="0.25">
      <c r="A67" s="513" t="s">
        <v>162</v>
      </c>
      <c r="B67" s="603" t="s">
        <v>163</v>
      </c>
      <c r="C67" s="603" t="s">
        <v>264</v>
      </c>
      <c r="D67" s="268">
        <v>4</v>
      </c>
      <c r="E67" s="268">
        <v>5</v>
      </c>
      <c r="F67" s="268">
        <v>6</v>
      </c>
      <c r="G67" s="268">
        <v>6</v>
      </c>
      <c r="H67" s="268">
        <v>6</v>
      </c>
      <c r="I67" s="268">
        <v>2</v>
      </c>
      <c r="J67" s="268">
        <v>4</v>
      </c>
      <c r="K67" s="268"/>
      <c r="L67" s="268">
        <v>1</v>
      </c>
      <c r="M67" s="268">
        <v>1</v>
      </c>
      <c r="N67" s="268">
        <v>5</v>
      </c>
      <c r="O67" s="268">
        <v>3</v>
      </c>
      <c r="P67" s="268">
        <v>2</v>
      </c>
      <c r="Q67" s="268">
        <v>5</v>
      </c>
      <c r="R67" s="268">
        <v>2</v>
      </c>
      <c r="S67" s="268"/>
      <c r="T67" s="268">
        <v>3</v>
      </c>
      <c r="U67" s="268">
        <v>2</v>
      </c>
      <c r="V67" s="268">
        <f>SUM(D67:O67)</f>
        <v>43</v>
      </c>
      <c r="W67" s="268">
        <f>SUM(J67:U67)</f>
        <v>28</v>
      </c>
    </row>
    <row r="68" spans="1:23" x14ac:dyDescent="0.25">
      <c r="A68" s="513" t="s">
        <v>164</v>
      </c>
      <c r="B68" s="603" t="s">
        <v>165</v>
      </c>
      <c r="C68" s="603" t="s">
        <v>266</v>
      </c>
      <c r="D68" s="268">
        <v>1</v>
      </c>
      <c r="E68" s="268">
        <v>1</v>
      </c>
      <c r="F68" s="268">
        <v>2</v>
      </c>
      <c r="G68" s="268">
        <v>1</v>
      </c>
      <c r="H68" s="268">
        <v>1</v>
      </c>
      <c r="I68" s="268">
        <v>1</v>
      </c>
      <c r="J68" s="268"/>
      <c r="K68" s="268"/>
      <c r="L68" s="268"/>
      <c r="M68" s="268">
        <v>1</v>
      </c>
      <c r="N68" s="268">
        <v>2</v>
      </c>
      <c r="O68" s="268">
        <v>2</v>
      </c>
      <c r="P68" s="268">
        <v>1</v>
      </c>
      <c r="Q68" s="268"/>
      <c r="R68" s="268">
        <v>3</v>
      </c>
      <c r="S68" s="268"/>
      <c r="T68" s="268"/>
      <c r="U68" s="268">
        <v>1</v>
      </c>
      <c r="V68" s="268">
        <f>SUM(D68:O68)</f>
        <v>12</v>
      </c>
      <c r="W68" s="268">
        <f>SUM(J68:U68)</f>
        <v>10</v>
      </c>
    </row>
    <row r="69" spans="1:23" x14ac:dyDescent="0.25">
      <c r="A69" s="513" t="s">
        <v>168</v>
      </c>
      <c r="B69" s="603" t="s">
        <v>169</v>
      </c>
      <c r="C69" s="603" t="s">
        <v>266</v>
      </c>
      <c r="D69" s="268">
        <v>2</v>
      </c>
      <c r="E69" s="268">
        <v>5</v>
      </c>
      <c r="F69" s="268">
        <v>3</v>
      </c>
      <c r="G69" s="268">
        <v>2</v>
      </c>
      <c r="H69" s="268">
        <v>4</v>
      </c>
      <c r="I69" s="268">
        <v>1</v>
      </c>
      <c r="J69" s="268">
        <v>3</v>
      </c>
      <c r="K69" s="268">
        <v>2</v>
      </c>
      <c r="L69" s="268">
        <v>1</v>
      </c>
      <c r="M69" s="268">
        <v>2</v>
      </c>
      <c r="N69" s="268">
        <v>3</v>
      </c>
      <c r="O69" s="268">
        <v>5</v>
      </c>
      <c r="P69" s="268">
        <v>4</v>
      </c>
      <c r="Q69" s="268">
        <v>6</v>
      </c>
      <c r="R69" s="268">
        <v>7</v>
      </c>
      <c r="S69" s="268">
        <v>6</v>
      </c>
      <c r="T69" s="268"/>
      <c r="U69" s="268">
        <v>2</v>
      </c>
      <c r="V69" s="268">
        <f>SUM(D69:O69)</f>
        <v>33</v>
      </c>
      <c r="W69" s="268">
        <f>SUM(J69:U69)</f>
        <v>41</v>
      </c>
    </row>
    <row r="70" spans="1:23" x14ac:dyDescent="0.25">
      <c r="A70" s="513" t="s">
        <v>170</v>
      </c>
      <c r="B70" s="603" t="s">
        <v>171</v>
      </c>
      <c r="C70" s="603" t="s">
        <v>267</v>
      </c>
      <c r="D70" s="268">
        <v>8</v>
      </c>
      <c r="E70" s="268">
        <v>8</v>
      </c>
      <c r="F70" s="268">
        <v>8</v>
      </c>
      <c r="G70" s="268">
        <v>11</v>
      </c>
      <c r="H70" s="268">
        <v>8</v>
      </c>
      <c r="I70" s="268">
        <v>7</v>
      </c>
      <c r="J70" s="268">
        <v>17</v>
      </c>
      <c r="K70" s="268">
        <v>17</v>
      </c>
      <c r="L70" s="268">
        <v>10</v>
      </c>
      <c r="M70" s="268">
        <v>17</v>
      </c>
      <c r="N70" s="268">
        <v>12</v>
      </c>
      <c r="O70" s="268">
        <v>29</v>
      </c>
      <c r="P70" s="268">
        <v>15</v>
      </c>
      <c r="Q70" s="268">
        <v>22</v>
      </c>
      <c r="R70" s="268">
        <v>17</v>
      </c>
      <c r="S70" s="268">
        <v>12</v>
      </c>
      <c r="T70" s="268">
        <v>12</v>
      </c>
      <c r="U70" s="268">
        <v>6</v>
      </c>
      <c r="V70" s="268">
        <f>SUM(D70:O70)</f>
        <v>152</v>
      </c>
      <c r="W70" s="268">
        <f>SUM(J70:U70)</f>
        <v>186</v>
      </c>
    </row>
    <row r="71" spans="1:23" x14ac:dyDescent="0.25">
      <c r="A71" s="513" t="s">
        <v>172</v>
      </c>
      <c r="B71" s="603" t="s">
        <v>173</v>
      </c>
      <c r="C71" s="603" t="s">
        <v>267</v>
      </c>
      <c r="D71" s="268">
        <v>1</v>
      </c>
      <c r="E71" s="268"/>
      <c r="F71" s="268">
        <v>3</v>
      </c>
      <c r="G71" s="268">
        <v>1</v>
      </c>
      <c r="H71" s="268">
        <v>1</v>
      </c>
      <c r="I71" s="268">
        <v>2</v>
      </c>
      <c r="J71" s="268">
        <v>6</v>
      </c>
      <c r="K71" s="268">
        <v>1</v>
      </c>
      <c r="L71" s="268">
        <v>1</v>
      </c>
      <c r="M71" s="268">
        <v>3</v>
      </c>
      <c r="N71" s="268">
        <v>1</v>
      </c>
      <c r="O71" s="268">
        <v>5</v>
      </c>
      <c r="P71" s="268">
        <v>1</v>
      </c>
      <c r="Q71" s="268">
        <v>1</v>
      </c>
      <c r="R71" s="268">
        <v>1</v>
      </c>
      <c r="S71" s="268">
        <v>1</v>
      </c>
      <c r="T71" s="268">
        <v>2</v>
      </c>
      <c r="U71" s="268">
        <v>1</v>
      </c>
      <c r="V71" s="268">
        <f>SUM(D71:O71)</f>
        <v>25</v>
      </c>
      <c r="W71" s="268">
        <f>SUM(J71:U71)</f>
        <v>24</v>
      </c>
    </row>
    <row r="72" spans="1:23" x14ac:dyDescent="0.25">
      <c r="A72" s="513" t="s">
        <v>174</v>
      </c>
      <c r="B72" s="603" t="s">
        <v>175</v>
      </c>
      <c r="C72" s="603" t="s">
        <v>268</v>
      </c>
      <c r="D72" s="268">
        <v>3</v>
      </c>
      <c r="E72" s="268">
        <v>3</v>
      </c>
      <c r="F72" s="268">
        <v>1</v>
      </c>
      <c r="G72" s="268">
        <v>1</v>
      </c>
      <c r="H72" s="268"/>
      <c r="I72" s="268">
        <v>3</v>
      </c>
      <c r="J72" s="268">
        <v>3</v>
      </c>
      <c r="K72" s="268"/>
      <c r="L72" s="268"/>
      <c r="M72" s="268">
        <v>6</v>
      </c>
      <c r="N72" s="268">
        <v>5</v>
      </c>
      <c r="O72" s="268">
        <v>8</v>
      </c>
      <c r="P72" s="268">
        <v>5</v>
      </c>
      <c r="Q72" s="268">
        <v>4</v>
      </c>
      <c r="R72" s="268">
        <v>1</v>
      </c>
      <c r="S72" s="268"/>
      <c r="T72" s="268">
        <v>1</v>
      </c>
      <c r="U72" s="268">
        <v>1</v>
      </c>
      <c r="V72" s="268">
        <f>SUM(D72:O72)</f>
        <v>33</v>
      </c>
      <c r="W72" s="268">
        <f>SUM(J72:U72)</f>
        <v>34</v>
      </c>
    </row>
    <row r="73" spans="1:23" x14ac:dyDescent="0.25">
      <c r="A73" s="513" t="s">
        <v>178</v>
      </c>
      <c r="B73" s="603" t="s">
        <v>179</v>
      </c>
      <c r="C73" s="603" t="s">
        <v>265</v>
      </c>
      <c r="D73" s="268">
        <v>15</v>
      </c>
      <c r="E73" s="268">
        <v>10</v>
      </c>
      <c r="F73" s="268">
        <v>9</v>
      </c>
      <c r="G73" s="268">
        <v>19</v>
      </c>
      <c r="H73" s="268">
        <v>11</v>
      </c>
      <c r="I73" s="268">
        <v>9</v>
      </c>
      <c r="J73" s="268">
        <v>12</v>
      </c>
      <c r="K73" s="268">
        <v>13</v>
      </c>
      <c r="L73" s="268">
        <v>18</v>
      </c>
      <c r="M73" s="268">
        <v>9</v>
      </c>
      <c r="N73" s="268">
        <v>8</v>
      </c>
      <c r="O73" s="268">
        <v>7</v>
      </c>
      <c r="P73" s="268">
        <v>2</v>
      </c>
      <c r="Q73" s="268">
        <v>15</v>
      </c>
      <c r="R73" s="268">
        <v>7</v>
      </c>
      <c r="S73" s="268">
        <v>14</v>
      </c>
      <c r="T73" s="268">
        <v>15</v>
      </c>
      <c r="U73" s="268">
        <v>10</v>
      </c>
      <c r="V73" s="268">
        <f>SUM(D73:O73)</f>
        <v>140</v>
      </c>
      <c r="W73" s="268">
        <f>SUM(J73:U73)</f>
        <v>130</v>
      </c>
    </row>
    <row r="74" spans="1:23" x14ac:dyDescent="0.25">
      <c r="A74" s="513" t="s">
        <v>182</v>
      </c>
      <c r="B74" s="603" t="s">
        <v>183</v>
      </c>
      <c r="C74" s="603" t="s">
        <v>266</v>
      </c>
      <c r="D74" s="268"/>
      <c r="E74" s="268">
        <v>1</v>
      </c>
      <c r="F74" s="268">
        <v>3</v>
      </c>
      <c r="G74" s="268">
        <v>2</v>
      </c>
      <c r="H74" s="268">
        <v>6</v>
      </c>
      <c r="I74" s="268">
        <v>2</v>
      </c>
      <c r="J74" s="268">
        <v>3</v>
      </c>
      <c r="K74" s="268">
        <v>5</v>
      </c>
      <c r="L74" s="268">
        <v>2</v>
      </c>
      <c r="M74" s="268">
        <v>5</v>
      </c>
      <c r="N74" s="268">
        <v>7</v>
      </c>
      <c r="O74" s="268">
        <v>3</v>
      </c>
      <c r="P74" s="268">
        <v>4</v>
      </c>
      <c r="Q74" s="268">
        <v>6</v>
      </c>
      <c r="R74" s="268">
        <v>6</v>
      </c>
      <c r="S74" s="268">
        <v>8</v>
      </c>
      <c r="T74" s="268">
        <v>3</v>
      </c>
      <c r="U74" s="268">
        <v>4</v>
      </c>
      <c r="V74" s="268">
        <f>SUM(D74:O74)</f>
        <v>39</v>
      </c>
      <c r="W74" s="268">
        <f>SUM(J74:U74)</f>
        <v>56</v>
      </c>
    </row>
    <row r="75" spans="1:23" x14ac:dyDescent="0.25">
      <c r="A75" s="513" t="s">
        <v>184</v>
      </c>
      <c r="B75" s="603" t="s">
        <v>185</v>
      </c>
      <c r="C75" s="603" t="s">
        <v>266</v>
      </c>
      <c r="D75" s="268">
        <v>10</v>
      </c>
      <c r="E75" s="268">
        <v>7</v>
      </c>
      <c r="F75" s="268">
        <v>5</v>
      </c>
      <c r="G75" s="268">
        <v>9</v>
      </c>
      <c r="H75" s="268">
        <v>3</v>
      </c>
      <c r="I75" s="268">
        <v>5</v>
      </c>
      <c r="J75" s="268">
        <v>2</v>
      </c>
      <c r="K75" s="268">
        <v>3</v>
      </c>
      <c r="L75" s="268">
        <v>6</v>
      </c>
      <c r="M75" s="268">
        <v>5</v>
      </c>
      <c r="N75" s="268">
        <v>5</v>
      </c>
      <c r="O75" s="268">
        <v>4</v>
      </c>
      <c r="P75" s="268">
        <v>5</v>
      </c>
      <c r="Q75" s="268">
        <v>3</v>
      </c>
      <c r="R75" s="268">
        <v>2</v>
      </c>
      <c r="S75" s="268">
        <v>3</v>
      </c>
      <c r="T75" s="268">
        <v>2</v>
      </c>
      <c r="U75" s="268">
        <v>5</v>
      </c>
      <c r="V75" s="268">
        <f>SUM(D75:O75)</f>
        <v>64</v>
      </c>
      <c r="W75" s="268">
        <f>SUM(J75:U75)</f>
        <v>45</v>
      </c>
    </row>
    <row r="76" spans="1:23" x14ac:dyDescent="0.25">
      <c r="A76" s="513" t="s">
        <v>186</v>
      </c>
      <c r="B76" s="603" t="s">
        <v>187</v>
      </c>
      <c r="C76" s="603" t="s">
        <v>264</v>
      </c>
      <c r="D76" s="268">
        <v>3</v>
      </c>
      <c r="E76" s="268"/>
      <c r="F76" s="268"/>
      <c r="G76" s="268"/>
      <c r="H76" s="268">
        <v>2</v>
      </c>
      <c r="I76" s="268">
        <v>3</v>
      </c>
      <c r="J76" s="268">
        <v>2</v>
      </c>
      <c r="K76" s="268">
        <v>1</v>
      </c>
      <c r="L76" s="268">
        <v>2</v>
      </c>
      <c r="M76" s="268"/>
      <c r="N76" s="268">
        <v>3</v>
      </c>
      <c r="O76" s="268"/>
      <c r="P76" s="268">
        <v>1</v>
      </c>
      <c r="Q76" s="268">
        <v>1</v>
      </c>
      <c r="R76" s="268"/>
      <c r="S76" s="268"/>
      <c r="T76" s="268">
        <v>1</v>
      </c>
      <c r="U76" s="268">
        <v>1</v>
      </c>
      <c r="V76" s="268">
        <f>SUM(D76:O76)</f>
        <v>16</v>
      </c>
      <c r="W76" s="268">
        <f>SUM(J76:U76)</f>
        <v>12</v>
      </c>
    </row>
    <row r="77" spans="1:23" x14ac:dyDescent="0.25">
      <c r="A77" s="513" t="s">
        <v>188</v>
      </c>
      <c r="B77" s="603" t="s">
        <v>189</v>
      </c>
      <c r="C77" s="603" t="s">
        <v>267</v>
      </c>
      <c r="D77" s="268">
        <v>43</v>
      </c>
      <c r="E77" s="268">
        <v>36</v>
      </c>
      <c r="F77" s="268">
        <v>45</v>
      </c>
      <c r="G77" s="268">
        <v>46</v>
      </c>
      <c r="H77" s="268">
        <v>26</v>
      </c>
      <c r="I77" s="268">
        <v>39</v>
      </c>
      <c r="J77" s="268">
        <v>31</v>
      </c>
      <c r="K77" s="268">
        <v>33</v>
      </c>
      <c r="L77" s="268">
        <v>51</v>
      </c>
      <c r="M77" s="268">
        <v>40</v>
      </c>
      <c r="N77" s="268">
        <v>46</v>
      </c>
      <c r="O77" s="268">
        <v>37</v>
      </c>
      <c r="P77" s="268">
        <v>39</v>
      </c>
      <c r="Q77" s="268">
        <v>41</v>
      </c>
      <c r="R77" s="268">
        <v>46</v>
      </c>
      <c r="S77" s="268">
        <v>61</v>
      </c>
      <c r="T77" s="268">
        <v>56</v>
      </c>
      <c r="U77" s="268">
        <v>48</v>
      </c>
      <c r="V77" s="268">
        <f>SUM(D77:O77)</f>
        <v>473</v>
      </c>
      <c r="W77" s="268">
        <f>SUM(J77:U77)</f>
        <v>529</v>
      </c>
    </row>
    <row r="78" spans="1:23" x14ac:dyDescent="0.25">
      <c r="A78" s="513" t="s">
        <v>190</v>
      </c>
      <c r="B78" s="603" t="s">
        <v>191</v>
      </c>
      <c r="C78" s="603" t="s">
        <v>268</v>
      </c>
      <c r="D78" s="268">
        <v>7</v>
      </c>
      <c r="E78" s="268">
        <v>8</v>
      </c>
      <c r="F78" s="268">
        <v>4</v>
      </c>
      <c r="G78" s="268">
        <v>3</v>
      </c>
      <c r="H78" s="268">
        <v>6</v>
      </c>
      <c r="I78" s="268">
        <v>4</v>
      </c>
      <c r="J78" s="268">
        <v>7</v>
      </c>
      <c r="K78" s="268">
        <v>10</v>
      </c>
      <c r="L78" s="268">
        <v>8</v>
      </c>
      <c r="M78" s="268">
        <v>2</v>
      </c>
      <c r="N78" s="268">
        <v>7</v>
      </c>
      <c r="O78" s="268">
        <v>5</v>
      </c>
      <c r="P78" s="268">
        <v>3</v>
      </c>
      <c r="Q78" s="268">
        <v>4</v>
      </c>
      <c r="R78" s="268">
        <v>8</v>
      </c>
      <c r="S78" s="268">
        <v>10</v>
      </c>
      <c r="T78" s="268">
        <v>7</v>
      </c>
      <c r="U78" s="268">
        <v>7</v>
      </c>
      <c r="V78" s="268">
        <f>SUM(D78:O78)</f>
        <v>71</v>
      </c>
      <c r="W78" s="268">
        <f>SUM(J78:U78)</f>
        <v>78</v>
      </c>
    </row>
    <row r="79" spans="1:23" x14ac:dyDescent="0.25">
      <c r="A79" s="513" t="s">
        <v>194</v>
      </c>
      <c r="B79" s="603" t="s">
        <v>195</v>
      </c>
      <c r="C79" s="603" t="s">
        <v>267</v>
      </c>
      <c r="D79" s="268">
        <v>1</v>
      </c>
      <c r="E79" s="268"/>
      <c r="F79" s="268">
        <v>1</v>
      </c>
      <c r="G79" s="268">
        <v>1</v>
      </c>
      <c r="H79" s="268"/>
      <c r="I79" s="268"/>
      <c r="J79" s="268">
        <v>1</v>
      </c>
      <c r="K79" s="268">
        <v>1</v>
      </c>
      <c r="L79" s="268"/>
      <c r="M79" s="268">
        <v>1</v>
      </c>
      <c r="N79" s="268">
        <v>2</v>
      </c>
      <c r="O79" s="268">
        <v>3</v>
      </c>
      <c r="P79" s="268"/>
      <c r="Q79" s="268"/>
      <c r="R79" s="268">
        <v>1</v>
      </c>
      <c r="S79" s="268">
        <v>2</v>
      </c>
      <c r="T79" s="268">
        <v>2</v>
      </c>
      <c r="U79" s="268">
        <v>2</v>
      </c>
      <c r="V79" s="268">
        <f>SUM(D79:O79)</f>
        <v>11</v>
      </c>
      <c r="W79" s="268">
        <f>SUM(J79:U79)</f>
        <v>15</v>
      </c>
    </row>
    <row r="80" spans="1:23" x14ac:dyDescent="0.25">
      <c r="A80" s="513" t="s">
        <v>198</v>
      </c>
      <c r="B80" s="603" t="s">
        <v>272</v>
      </c>
      <c r="C80" s="603" t="s">
        <v>266</v>
      </c>
      <c r="D80" s="268"/>
      <c r="E80" s="268"/>
      <c r="F80" s="268"/>
      <c r="G80" s="268"/>
      <c r="H80" s="268"/>
      <c r="I80" s="268"/>
      <c r="J80" s="268"/>
      <c r="K80" s="268"/>
      <c r="L80" s="268"/>
      <c r="M80" s="268"/>
      <c r="N80" s="268">
        <v>1</v>
      </c>
      <c r="O80" s="268"/>
      <c r="P80" s="268"/>
      <c r="Q80" s="268">
        <v>2</v>
      </c>
      <c r="R80" s="268"/>
      <c r="S80" s="268">
        <v>1</v>
      </c>
      <c r="T80" s="268">
        <v>1</v>
      </c>
      <c r="U80" s="268">
        <v>1</v>
      </c>
      <c r="V80" s="268">
        <f>SUM(D80:O80)</f>
        <v>1</v>
      </c>
      <c r="W80" s="268">
        <f>SUM(J80:U80)</f>
        <v>6</v>
      </c>
    </row>
    <row r="81" spans="1:23" x14ac:dyDescent="0.25">
      <c r="A81" s="513" t="s">
        <v>202</v>
      </c>
      <c r="B81" s="603" t="s">
        <v>301</v>
      </c>
      <c r="C81" s="603" t="s">
        <v>265</v>
      </c>
      <c r="D81" s="268">
        <v>42</v>
      </c>
      <c r="E81" s="268">
        <v>36</v>
      </c>
      <c r="F81" s="268">
        <v>57</v>
      </c>
      <c r="G81" s="268">
        <v>39</v>
      </c>
      <c r="H81" s="268">
        <v>33</v>
      </c>
      <c r="I81" s="268">
        <v>48</v>
      </c>
      <c r="J81" s="268">
        <v>56</v>
      </c>
      <c r="K81" s="268">
        <v>45</v>
      </c>
      <c r="L81" s="268">
        <v>59</v>
      </c>
      <c r="M81" s="268">
        <v>73</v>
      </c>
      <c r="N81" s="268">
        <v>54</v>
      </c>
      <c r="O81" s="268">
        <v>27</v>
      </c>
      <c r="P81" s="268">
        <v>31</v>
      </c>
      <c r="Q81" s="268">
        <v>43</v>
      </c>
      <c r="R81" s="268">
        <v>31</v>
      </c>
      <c r="S81" s="268">
        <v>12</v>
      </c>
      <c r="T81" s="268">
        <v>26</v>
      </c>
      <c r="U81" s="268">
        <v>43</v>
      </c>
      <c r="V81" s="268">
        <f>SUM(D81:O81)</f>
        <v>569</v>
      </c>
      <c r="W81" s="268">
        <f>SUM(J81:U81)</f>
        <v>500</v>
      </c>
    </row>
    <row r="82" spans="1:23" x14ac:dyDescent="0.25">
      <c r="A82" s="513" t="s">
        <v>204</v>
      </c>
      <c r="B82" s="603" t="s">
        <v>293</v>
      </c>
      <c r="C82" s="603" t="s">
        <v>265</v>
      </c>
      <c r="D82" s="268">
        <v>7</v>
      </c>
      <c r="E82" s="268">
        <v>10</v>
      </c>
      <c r="F82" s="268">
        <v>3</v>
      </c>
      <c r="G82" s="268">
        <v>3</v>
      </c>
      <c r="H82" s="268">
        <v>2</v>
      </c>
      <c r="I82" s="268">
        <v>1</v>
      </c>
      <c r="J82" s="268">
        <v>6</v>
      </c>
      <c r="K82" s="268">
        <v>4</v>
      </c>
      <c r="L82" s="268">
        <v>6</v>
      </c>
      <c r="M82" s="268">
        <v>6</v>
      </c>
      <c r="N82" s="268">
        <v>7</v>
      </c>
      <c r="O82" s="268">
        <v>2</v>
      </c>
      <c r="P82" s="268">
        <v>1</v>
      </c>
      <c r="Q82" s="268">
        <v>4</v>
      </c>
      <c r="R82" s="268">
        <v>4</v>
      </c>
      <c r="S82" s="268">
        <v>4</v>
      </c>
      <c r="T82" s="268">
        <v>4</v>
      </c>
      <c r="U82" s="268">
        <v>1</v>
      </c>
      <c r="V82" s="268">
        <f>SUM(D82:O82)</f>
        <v>57</v>
      </c>
      <c r="W82" s="268">
        <f>SUM(J82:U82)</f>
        <v>49</v>
      </c>
    </row>
    <row r="83" spans="1:23" x14ac:dyDescent="0.25">
      <c r="A83" s="513" t="s">
        <v>206</v>
      </c>
      <c r="B83" s="603" t="s">
        <v>294</v>
      </c>
      <c r="C83" s="603" t="s">
        <v>267</v>
      </c>
      <c r="D83" s="268">
        <v>18</v>
      </c>
      <c r="E83" s="268">
        <v>26</v>
      </c>
      <c r="F83" s="268">
        <v>16</v>
      </c>
      <c r="G83" s="268">
        <v>19</v>
      </c>
      <c r="H83" s="268">
        <v>26</v>
      </c>
      <c r="I83" s="268">
        <v>16</v>
      </c>
      <c r="J83" s="268">
        <v>15</v>
      </c>
      <c r="K83" s="268">
        <v>21</v>
      </c>
      <c r="L83" s="268">
        <v>27</v>
      </c>
      <c r="M83" s="268">
        <v>24</v>
      </c>
      <c r="N83" s="268">
        <v>25</v>
      </c>
      <c r="O83" s="268">
        <v>23</v>
      </c>
      <c r="P83" s="268">
        <v>17</v>
      </c>
      <c r="Q83" s="268">
        <v>24</v>
      </c>
      <c r="R83" s="268">
        <v>13</v>
      </c>
      <c r="S83" s="268">
        <v>19</v>
      </c>
      <c r="T83" s="268">
        <v>25</v>
      </c>
      <c r="U83" s="268">
        <v>19</v>
      </c>
      <c r="V83" s="268">
        <f>SUM(D83:O83)</f>
        <v>256</v>
      </c>
      <c r="W83" s="268">
        <f>SUM(J83:U83)</f>
        <v>252</v>
      </c>
    </row>
    <row r="84" spans="1:23" x14ac:dyDescent="0.25">
      <c r="A84" s="513" t="s">
        <v>208</v>
      </c>
      <c r="B84" s="603" t="s">
        <v>209</v>
      </c>
      <c r="C84" s="603" t="s">
        <v>268</v>
      </c>
      <c r="D84" s="268"/>
      <c r="E84" s="268">
        <v>4</v>
      </c>
      <c r="F84" s="268">
        <v>1</v>
      </c>
      <c r="G84" s="268">
        <v>2</v>
      </c>
      <c r="H84" s="268">
        <v>2</v>
      </c>
      <c r="I84" s="268">
        <v>5</v>
      </c>
      <c r="J84" s="268">
        <v>4</v>
      </c>
      <c r="K84" s="268">
        <v>4</v>
      </c>
      <c r="L84" s="268">
        <v>2</v>
      </c>
      <c r="M84" s="268">
        <v>1</v>
      </c>
      <c r="N84" s="268">
        <v>4</v>
      </c>
      <c r="O84" s="268">
        <v>5</v>
      </c>
      <c r="P84" s="268">
        <v>5</v>
      </c>
      <c r="Q84" s="268">
        <v>5</v>
      </c>
      <c r="R84" s="268">
        <v>2</v>
      </c>
      <c r="S84" s="268">
        <v>1</v>
      </c>
      <c r="T84" s="268">
        <v>3</v>
      </c>
      <c r="U84" s="268"/>
      <c r="V84" s="268">
        <f>SUM(D84:O84)</f>
        <v>34</v>
      </c>
      <c r="W84" s="268">
        <f>SUM(J84:U84)</f>
        <v>36</v>
      </c>
    </row>
    <row r="85" spans="1:23" x14ac:dyDescent="0.25">
      <c r="A85" s="513" t="s">
        <v>210</v>
      </c>
      <c r="B85" s="603" t="s">
        <v>211</v>
      </c>
      <c r="C85" s="603" t="s">
        <v>268</v>
      </c>
      <c r="D85" s="268">
        <v>1</v>
      </c>
      <c r="E85" s="268"/>
      <c r="F85" s="268">
        <v>1</v>
      </c>
      <c r="G85" s="268">
        <v>2</v>
      </c>
      <c r="H85" s="268"/>
      <c r="I85" s="268"/>
      <c r="J85" s="268"/>
      <c r="K85" s="268">
        <v>1</v>
      </c>
      <c r="L85" s="268">
        <v>1</v>
      </c>
      <c r="M85" s="268">
        <v>2</v>
      </c>
      <c r="N85" s="268"/>
      <c r="O85" s="268">
        <v>1</v>
      </c>
      <c r="P85" s="268"/>
      <c r="Q85" s="268">
        <v>3</v>
      </c>
      <c r="R85" s="268">
        <v>1</v>
      </c>
      <c r="S85" s="268"/>
      <c r="T85" s="268">
        <v>2</v>
      </c>
      <c r="U85" s="268">
        <v>1</v>
      </c>
      <c r="V85" s="268">
        <f>SUM(D85:O85)</f>
        <v>9</v>
      </c>
      <c r="W85" s="268">
        <f>SUM(J85:U85)</f>
        <v>12</v>
      </c>
    </row>
    <row r="86" spans="1:23" x14ac:dyDescent="0.25">
      <c r="A86" s="513" t="s">
        <v>212</v>
      </c>
      <c r="B86" s="603" t="s">
        <v>213</v>
      </c>
      <c r="C86" s="603" t="s">
        <v>267</v>
      </c>
      <c r="D86" s="268">
        <v>5</v>
      </c>
      <c r="E86" s="268">
        <v>9</v>
      </c>
      <c r="F86" s="268">
        <v>13</v>
      </c>
      <c r="G86" s="268">
        <v>6</v>
      </c>
      <c r="H86" s="268">
        <v>8</v>
      </c>
      <c r="I86" s="268">
        <v>3</v>
      </c>
      <c r="J86" s="268">
        <v>2</v>
      </c>
      <c r="K86" s="268">
        <v>4</v>
      </c>
      <c r="L86" s="268">
        <v>1</v>
      </c>
      <c r="M86" s="268">
        <v>3</v>
      </c>
      <c r="N86" s="268">
        <v>1</v>
      </c>
      <c r="O86" s="268">
        <v>7</v>
      </c>
      <c r="P86" s="268">
        <v>4</v>
      </c>
      <c r="Q86" s="268">
        <v>1</v>
      </c>
      <c r="R86" s="268">
        <v>4</v>
      </c>
      <c r="S86" s="268">
        <v>3</v>
      </c>
      <c r="T86" s="268">
        <v>2</v>
      </c>
      <c r="U86" s="268"/>
      <c r="V86" s="268">
        <f>SUM(D86:O86)</f>
        <v>62</v>
      </c>
      <c r="W86" s="268">
        <f>SUM(J86:U86)</f>
        <v>32</v>
      </c>
    </row>
    <row r="87" spans="1:23" x14ac:dyDescent="0.25">
      <c r="A87" s="513" t="s">
        <v>214</v>
      </c>
      <c r="B87" s="603" t="s">
        <v>215</v>
      </c>
      <c r="C87" s="603" t="s">
        <v>268</v>
      </c>
      <c r="D87" s="268">
        <v>4</v>
      </c>
      <c r="E87" s="268">
        <v>6</v>
      </c>
      <c r="F87" s="268">
        <v>7</v>
      </c>
      <c r="G87" s="268">
        <v>6</v>
      </c>
      <c r="H87" s="268">
        <v>6</v>
      </c>
      <c r="I87" s="268">
        <v>5</v>
      </c>
      <c r="J87" s="268">
        <v>7</v>
      </c>
      <c r="K87" s="268">
        <v>3</v>
      </c>
      <c r="L87" s="268">
        <v>4</v>
      </c>
      <c r="M87" s="268">
        <v>5</v>
      </c>
      <c r="N87" s="268">
        <v>6</v>
      </c>
      <c r="O87" s="268">
        <v>12</v>
      </c>
      <c r="P87" s="268">
        <v>7</v>
      </c>
      <c r="Q87" s="268">
        <v>4</v>
      </c>
      <c r="R87" s="268">
        <v>2</v>
      </c>
      <c r="S87" s="268">
        <v>4</v>
      </c>
      <c r="T87" s="268">
        <v>2</v>
      </c>
      <c r="U87" s="268">
        <v>4</v>
      </c>
      <c r="V87" s="268">
        <f>SUM(D87:O87)</f>
        <v>71</v>
      </c>
      <c r="W87" s="268">
        <f>SUM(J87:U87)</f>
        <v>60</v>
      </c>
    </row>
    <row r="88" spans="1:23" x14ac:dyDescent="0.25">
      <c r="A88" s="513" t="s">
        <v>216</v>
      </c>
      <c r="B88" s="603" t="s">
        <v>217</v>
      </c>
      <c r="C88" s="603" t="s">
        <v>264</v>
      </c>
      <c r="D88" s="268">
        <v>4</v>
      </c>
      <c r="E88" s="268">
        <v>5</v>
      </c>
      <c r="F88" s="268">
        <v>3</v>
      </c>
      <c r="G88" s="268">
        <v>6</v>
      </c>
      <c r="H88" s="268">
        <v>4</v>
      </c>
      <c r="I88" s="268">
        <v>1</v>
      </c>
      <c r="J88" s="268">
        <v>2</v>
      </c>
      <c r="K88" s="268">
        <v>2</v>
      </c>
      <c r="L88" s="268">
        <v>2</v>
      </c>
      <c r="M88" s="268">
        <v>3</v>
      </c>
      <c r="N88" s="268">
        <v>6</v>
      </c>
      <c r="O88" s="268">
        <v>4</v>
      </c>
      <c r="P88" s="268">
        <v>9</v>
      </c>
      <c r="Q88" s="268">
        <v>1</v>
      </c>
      <c r="R88" s="268">
        <v>2</v>
      </c>
      <c r="S88" s="268">
        <v>5</v>
      </c>
      <c r="T88" s="268">
        <v>4</v>
      </c>
      <c r="U88" s="268">
        <v>1</v>
      </c>
      <c r="V88" s="268">
        <f>SUM(D88:O88)</f>
        <v>42</v>
      </c>
      <c r="W88" s="268">
        <f>SUM(J88:U88)</f>
        <v>41</v>
      </c>
    </row>
    <row r="89" spans="1:23" x14ac:dyDescent="0.25">
      <c r="A89" s="513" t="s">
        <v>218</v>
      </c>
      <c r="B89" s="603" t="s">
        <v>219</v>
      </c>
      <c r="C89" s="603" t="s">
        <v>267</v>
      </c>
      <c r="D89" s="268">
        <v>12</v>
      </c>
      <c r="E89" s="268">
        <v>19</v>
      </c>
      <c r="F89" s="268">
        <v>22</v>
      </c>
      <c r="G89" s="268">
        <v>23</v>
      </c>
      <c r="H89" s="268">
        <v>11</v>
      </c>
      <c r="I89" s="268">
        <v>9</v>
      </c>
      <c r="J89" s="268">
        <v>13</v>
      </c>
      <c r="K89" s="268">
        <v>10</v>
      </c>
      <c r="L89" s="268">
        <v>15</v>
      </c>
      <c r="M89" s="268">
        <v>10</v>
      </c>
      <c r="N89" s="268">
        <v>15</v>
      </c>
      <c r="O89" s="268">
        <v>19</v>
      </c>
      <c r="P89" s="268">
        <v>9</v>
      </c>
      <c r="Q89" s="268">
        <v>9</v>
      </c>
      <c r="R89" s="268">
        <v>12</v>
      </c>
      <c r="S89" s="268">
        <v>6</v>
      </c>
      <c r="T89" s="268">
        <v>12</v>
      </c>
      <c r="U89" s="268">
        <v>9</v>
      </c>
      <c r="V89" s="268">
        <f>SUM(D89:O89)</f>
        <v>178</v>
      </c>
      <c r="W89" s="268">
        <f>SUM(J89:U89)</f>
        <v>139</v>
      </c>
    </row>
    <row r="90" spans="1:23" x14ac:dyDescent="0.25">
      <c r="A90" s="513" t="s">
        <v>220</v>
      </c>
      <c r="B90" s="603" t="s">
        <v>221</v>
      </c>
      <c r="C90" s="603" t="s">
        <v>267</v>
      </c>
      <c r="D90" s="268">
        <v>16</v>
      </c>
      <c r="E90" s="268">
        <v>22</v>
      </c>
      <c r="F90" s="268">
        <v>13</v>
      </c>
      <c r="G90" s="268">
        <v>12</v>
      </c>
      <c r="H90" s="268">
        <v>13</v>
      </c>
      <c r="I90" s="268">
        <v>7</v>
      </c>
      <c r="J90" s="268">
        <v>7</v>
      </c>
      <c r="K90" s="268">
        <v>8</v>
      </c>
      <c r="L90" s="268">
        <v>14</v>
      </c>
      <c r="M90" s="268">
        <v>14</v>
      </c>
      <c r="N90" s="268">
        <v>14</v>
      </c>
      <c r="O90" s="268">
        <v>16</v>
      </c>
      <c r="P90" s="268">
        <v>9</v>
      </c>
      <c r="Q90" s="268">
        <v>9</v>
      </c>
      <c r="R90" s="268">
        <v>13</v>
      </c>
      <c r="S90" s="268">
        <v>19</v>
      </c>
      <c r="T90" s="268">
        <v>5</v>
      </c>
      <c r="U90" s="268">
        <v>12</v>
      </c>
      <c r="V90" s="268">
        <f>SUM(D90:O90)</f>
        <v>156</v>
      </c>
      <c r="W90" s="268">
        <f>SUM(J90:U90)</f>
        <v>140</v>
      </c>
    </row>
    <row r="91" spans="1:23" x14ac:dyDescent="0.25">
      <c r="A91" s="513" t="s">
        <v>224</v>
      </c>
      <c r="B91" s="603" t="s">
        <v>225</v>
      </c>
      <c r="C91" s="603" t="s">
        <v>264</v>
      </c>
      <c r="D91" s="268">
        <v>3</v>
      </c>
      <c r="E91" s="268">
        <v>10</v>
      </c>
      <c r="F91" s="268">
        <v>3</v>
      </c>
      <c r="G91" s="268">
        <v>2</v>
      </c>
      <c r="H91" s="268"/>
      <c r="I91" s="268"/>
      <c r="J91" s="268">
        <v>4</v>
      </c>
      <c r="K91" s="268">
        <v>2</v>
      </c>
      <c r="L91" s="268">
        <v>3</v>
      </c>
      <c r="M91" s="268">
        <v>2</v>
      </c>
      <c r="N91" s="268">
        <v>9</v>
      </c>
      <c r="O91" s="268">
        <v>3</v>
      </c>
      <c r="P91" s="268">
        <v>5</v>
      </c>
      <c r="Q91" s="268">
        <v>5</v>
      </c>
      <c r="R91" s="268"/>
      <c r="S91" s="268">
        <v>2</v>
      </c>
      <c r="T91" s="268">
        <v>1</v>
      </c>
      <c r="U91" s="268">
        <v>1</v>
      </c>
      <c r="V91" s="268">
        <f>SUM(D91:O91)</f>
        <v>41</v>
      </c>
      <c r="W91" s="268">
        <f>SUM(J91:U91)</f>
        <v>37</v>
      </c>
    </row>
    <row r="92" spans="1:23" x14ac:dyDescent="0.25">
      <c r="A92" s="513" t="s">
        <v>226</v>
      </c>
      <c r="B92" s="603" t="s">
        <v>227</v>
      </c>
      <c r="C92" s="603" t="s">
        <v>264</v>
      </c>
      <c r="D92" s="268">
        <v>3</v>
      </c>
      <c r="E92" s="268">
        <v>4</v>
      </c>
      <c r="F92" s="268">
        <v>2</v>
      </c>
      <c r="G92" s="268">
        <v>5</v>
      </c>
      <c r="H92" s="268">
        <v>2</v>
      </c>
      <c r="I92" s="268">
        <v>2</v>
      </c>
      <c r="J92" s="268">
        <v>2</v>
      </c>
      <c r="K92" s="268">
        <v>1</v>
      </c>
      <c r="L92" s="268">
        <v>4</v>
      </c>
      <c r="M92" s="268">
        <v>1</v>
      </c>
      <c r="N92" s="268">
        <v>2</v>
      </c>
      <c r="O92" s="268">
        <v>4</v>
      </c>
      <c r="P92" s="268">
        <v>3</v>
      </c>
      <c r="Q92" s="268"/>
      <c r="R92" s="268">
        <v>2</v>
      </c>
      <c r="S92" s="268">
        <v>4</v>
      </c>
      <c r="T92" s="268">
        <v>2</v>
      </c>
      <c r="U92" s="268"/>
      <c r="V92" s="268">
        <f>SUM(D92:O92)</f>
        <v>32</v>
      </c>
      <c r="W92" s="268">
        <f>SUM(J92:U92)</f>
        <v>25</v>
      </c>
    </row>
    <row r="93" spans="1:23" x14ac:dyDescent="0.25">
      <c r="A93" s="513" t="s">
        <v>228</v>
      </c>
      <c r="B93" s="603" t="s">
        <v>229</v>
      </c>
      <c r="C93" s="603" t="s">
        <v>268</v>
      </c>
      <c r="D93" s="268">
        <v>4</v>
      </c>
      <c r="E93" s="268">
        <v>6</v>
      </c>
      <c r="F93" s="268">
        <v>8</v>
      </c>
      <c r="G93" s="268">
        <v>10</v>
      </c>
      <c r="H93" s="268">
        <v>1</v>
      </c>
      <c r="I93" s="268">
        <v>6</v>
      </c>
      <c r="J93" s="268">
        <v>5</v>
      </c>
      <c r="K93" s="268">
        <v>5</v>
      </c>
      <c r="L93" s="268">
        <v>5</v>
      </c>
      <c r="M93" s="268">
        <v>4</v>
      </c>
      <c r="N93" s="268">
        <v>10</v>
      </c>
      <c r="O93" s="268">
        <v>9</v>
      </c>
      <c r="P93" s="268">
        <v>4</v>
      </c>
      <c r="Q93" s="268">
        <v>2</v>
      </c>
      <c r="R93" s="268">
        <v>3</v>
      </c>
      <c r="S93" s="268">
        <v>7</v>
      </c>
      <c r="T93" s="268">
        <v>6</v>
      </c>
      <c r="U93" s="268">
        <v>1</v>
      </c>
      <c r="V93" s="268">
        <f>SUM(D93:O93)</f>
        <v>73</v>
      </c>
      <c r="W93" s="268">
        <f>SUM(J93:U93)</f>
        <v>61</v>
      </c>
    </row>
    <row r="94" spans="1:23" x14ac:dyDescent="0.25">
      <c r="A94" s="513" t="s">
        <v>232</v>
      </c>
      <c r="B94" s="603" t="s">
        <v>233</v>
      </c>
      <c r="C94" s="603" t="s">
        <v>267</v>
      </c>
      <c r="D94" s="268">
        <v>14</v>
      </c>
      <c r="E94" s="268">
        <v>18</v>
      </c>
      <c r="F94" s="268">
        <v>12</v>
      </c>
      <c r="G94" s="268">
        <v>11</v>
      </c>
      <c r="H94" s="268">
        <v>16</v>
      </c>
      <c r="I94" s="268">
        <v>2</v>
      </c>
      <c r="J94" s="268">
        <v>2</v>
      </c>
      <c r="K94" s="268">
        <v>4</v>
      </c>
      <c r="L94" s="268">
        <v>4</v>
      </c>
      <c r="M94" s="268">
        <v>3</v>
      </c>
      <c r="N94" s="268">
        <v>7</v>
      </c>
      <c r="O94" s="268">
        <v>5</v>
      </c>
      <c r="P94" s="268">
        <v>5</v>
      </c>
      <c r="Q94" s="268"/>
      <c r="R94" s="268"/>
      <c r="S94" s="268">
        <v>2</v>
      </c>
      <c r="T94" s="268">
        <v>3</v>
      </c>
      <c r="U94" s="268">
        <v>3</v>
      </c>
      <c r="V94" s="268">
        <f>SUM(D94:O94)</f>
        <v>98</v>
      </c>
      <c r="W94" s="268">
        <f>SUM(J94:U94)</f>
        <v>38</v>
      </c>
    </row>
    <row r="95" spans="1:23" x14ac:dyDescent="0.25">
      <c r="A95" s="513" t="s">
        <v>234</v>
      </c>
      <c r="B95" s="603" t="s">
        <v>235</v>
      </c>
      <c r="C95" s="603" t="s">
        <v>268</v>
      </c>
      <c r="D95" s="268">
        <v>14</v>
      </c>
      <c r="E95" s="268">
        <v>9</v>
      </c>
      <c r="F95" s="268">
        <v>5</v>
      </c>
      <c r="G95" s="268">
        <v>11</v>
      </c>
      <c r="H95" s="268">
        <v>6</v>
      </c>
      <c r="I95" s="268">
        <v>2</v>
      </c>
      <c r="J95" s="268">
        <v>4</v>
      </c>
      <c r="K95" s="268">
        <v>9</v>
      </c>
      <c r="L95" s="268">
        <v>9</v>
      </c>
      <c r="M95" s="268">
        <v>11</v>
      </c>
      <c r="N95" s="268">
        <v>8</v>
      </c>
      <c r="O95" s="268">
        <v>4</v>
      </c>
      <c r="P95" s="268">
        <v>4</v>
      </c>
      <c r="Q95" s="268">
        <v>9</v>
      </c>
      <c r="R95" s="268">
        <v>6</v>
      </c>
      <c r="S95" s="268">
        <v>9</v>
      </c>
      <c r="T95" s="268">
        <v>7</v>
      </c>
      <c r="U95" s="268">
        <v>8</v>
      </c>
      <c r="V95" s="268">
        <f>SUM(D95:O95)</f>
        <v>92</v>
      </c>
      <c r="W95" s="268">
        <f>SUM(J95:U95)</f>
        <v>88</v>
      </c>
    </row>
    <row r="96" spans="1:23" x14ac:dyDescent="0.25">
      <c r="A96" s="513" t="s">
        <v>236</v>
      </c>
      <c r="B96" s="603" t="s">
        <v>237</v>
      </c>
      <c r="C96" s="603" t="s">
        <v>266</v>
      </c>
      <c r="D96" s="268">
        <v>8</v>
      </c>
      <c r="E96" s="268">
        <v>13</v>
      </c>
      <c r="F96" s="268">
        <v>3</v>
      </c>
      <c r="G96" s="268">
        <v>8</v>
      </c>
      <c r="H96" s="268">
        <v>6</v>
      </c>
      <c r="I96" s="268">
        <v>2</v>
      </c>
      <c r="J96" s="268">
        <v>3</v>
      </c>
      <c r="K96" s="268">
        <v>2</v>
      </c>
      <c r="L96" s="268">
        <v>3</v>
      </c>
      <c r="M96" s="268">
        <v>7</v>
      </c>
      <c r="N96" s="268">
        <v>12</v>
      </c>
      <c r="O96" s="268">
        <v>3</v>
      </c>
      <c r="P96" s="268">
        <v>5</v>
      </c>
      <c r="Q96" s="268">
        <v>4</v>
      </c>
      <c r="R96" s="268">
        <v>4</v>
      </c>
      <c r="S96" s="268">
        <v>4</v>
      </c>
      <c r="T96" s="268">
        <v>7</v>
      </c>
      <c r="U96" s="268"/>
      <c r="V96" s="268">
        <f>SUM(D96:O96)</f>
        <v>70</v>
      </c>
      <c r="W96" s="268">
        <f>SUM(J96:U96)</f>
        <v>54</v>
      </c>
    </row>
    <row r="97" spans="1:23" x14ac:dyDescent="0.25">
      <c r="A97" s="513" t="s">
        <v>242</v>
      </c>
      <c r="B97" s="603" t="s">
        <v>243</v>
      </c>
      <c r="C97" s="603" t="s">
        <v>268</v>
      </c>
      <c r="D97" s="268">
        <v>1</v>
      </c>
      <c r="E97" s="268">
        <v>5</v>
      </c>
      <c r="F97" s="268">
        <v>5</v>
      </c>
      <c r="G97" s="268">
        <v>4</v>
      </c>
      <c r="H97" s="268">
        <v>3</v>
      </c>
      <c r="I97" s="268">
        <v>8</v>
      </c>
      <c r="J97" s="268">
        <v>10</v>
      </c>
      <c r="K97" s="268">
        <v>6</v>
      </c>
      <c r="L97" s="268">
        <v>4</v>
      </c>
      <c r="M97" s="268">
        <v>8</v>
      </c>
      <c r="N97" s="268">
        <v>7</v>
      </c>
      <c r="O97" s="268">
        <v>11</v>
      </c>
      <c r="P97" s="268">
        <v>5</v>
      </c>
      <c r="Q97" s="268">
        <v>4</v>
      </c>
      <c r="R97" s="268">
        <v>3</v>
      </c>
      <c r="S97" s="268">
        <v>4</v>
      </c>
      <c r="T97" s="268">
        <v>2</v>
      </c>
      <c r="U97" s="268">
        <v>3</v>
      </c>
      <c r="V97" s="268">
        <f>SUM(D97:O97)</f>
        <v>72</v>
      </c>
      <c r="W97" s="268">
        <f>SUM(J97:U97)</f>
        <v>67</v>
      </c>
    </row>
    <row r="98" spans="1:23" x14ac:dyDescent="0.25">
      <c r="A98" s="513" t="s">
        <v>244</v>
      </c>
      <c r="B98" s="603" t="s">
        <v>245</v>
      </c>
      <c r="C98" s="603" t="s">
        <v>268</v>
      </c>
      <c r="D98" s="268">
        <v>8</v>
      </c>
      <c r="E98" s="268">
        <v>11</v>
      </c>
      <c r="F98" s="268">
        <v>9</v>
      </c>
      <c r="G98" s="268">
        <v>7</v>
      </c>
      <c r="H98" s="268">
        <v>7</v>
      </c>
      <c r="I98" s="268">
        <v>3</v>
      </c>
      <c r="J98" s="268">
        <v>5</v>
      </c>
      <c r="K98" s="268">
        <v>4</v>
      </c>
      <c r="L98" s="268">
        <v>11</v>
      </c>
      <c r="M98" s="268">
        <v>7</v>
      </c>
      <c r="N98" s="268">
        <v>13</v>
      </c>
      <c r="O98" s="268">
        <v>10</v>
      </c>
      <c r="P98" s="268">
        <v>5</v>
      </c>
      <c r="Q98" s="268">
        <v>12</v>
      </c>
      <c r="R98" s="268">
        <v>6</v>
      </c>
      <c r="S98" s="268">
        <v>7</v>
      </c>
      <c r="T98" s="268">
        <v>12</v>
      </c>
      <c r="U98" s="268">
        <v>5</v>
      </c>
      <c r="V98" s="268">
        <f>SUM(D98:O98)</f>
        <v>95</v>
      </c>
      <c r="W98" s="268">
        <f>SUM(J98:U98)</f>
        <v>97</v>
      </c>
    </row>
    <row r="99" spans="1:23" x14ac:dyDescent="0.25">
      <c r="A99" s="513" t="s">
        <v>246</v>
      </c>
      <c r="B99" s="603" t="s">
        <v>247</v>
      </c>
      <c r="C99" s="603" t="s">
        <v>264</v>
      </c>
      <c r="D99" s="268">
        <v>12</v>
      </c>
      <c r="E99" s="268">
        <v>29</v>
      </c>
      <c r="F99" s="268">
        <v>16</v>
      </c>
      <c r="G99" s="268">
        <v>20</v>
      </c>
      <c r="H99" s="268">
        <v>25</v>
      </c>
      <c r="I99" s="268">
        <v>13</v>
      </c>
      <c r="J99" s="268">
        <v>23</v>
      </c>
      <c r="K99" s="268">
        <v>9</v>
      </c>
      <c r="L99" s="268">
        <v>6</v>
      </c>
      <c r="M99" s="268">
        <v>18</v>
      </c>
      <c r="N99" s="268">
        <v>26</v>
      </c>
      <c r="O99" s="268">
        <v>16</v>
      </c>
      <c r="P99" s="268">
        <v>14</v>
      </c>
      <c r="Q99" s="268">
        <v>29</v>
      </c>
      <c r="R99" s="268">
        <v>20</v>
      </c>
      <c r="S99" s="268">
        <v>16</v>
      </c>
      <c r="T99" s="268">
        <v>18</v>
      </c>
      <c r="U99" s="268">
        <v>17</v>
      </c>
      <c r="V99" s="268">
        <f>SUM(D99:O99)</f>
        <v>213</v>
      </c>
      <c r="W99" s="268">
        <f>SUM(J99:U99)</f>
        <v>212</v>
      </c>
    </row>
    <row r="100" spans="1:23" x14ac:dyDescent="0.25">
      <c r="A100" s="513" t="s">
        <v>14</v>
      </c>
      <c r="B100" s="603" t="s">
        <v>15</v>
      </c>
      <c r="C100" s="603" t="s">
        <v>267</v>
      </c>
      <c r="D100" s="268">
        <v>8</v>
      </c>
      <c r="E100" s="268">
        <v>16</v>
      </c>
      <c r="F100" s="268">
        <v>36</v>
      </c>
      <c r="G100" s="268">
        <v>21</v>
      </c>
      <c r="H100" s="268">
        <v>19</v>
      </c>
      <c r="I100" s="268">
        <v>6</v>
      </c>
      <c r="J100" s="268">
        <v>29</v>
      </c>
      <c r="K100" s="268">
        <v>30</v>
      </c>
      <c r="L100" s="268">
        <v>23</v>
      </c>
      <c r="M100" s="268">
        <v>26</v>
      </c>
      <c r="N100" s="268">
        <v>40</v>
      </c>
      <c r="O100" s="268">
        <v>24</v>
      </c>
      <c r="P100" s="268">
        <v>9</v>
      </c>
      <c r="Q100" s="268">
        <v>26</v>
      </c>
      <c r="R100" s="268">
        <v>32</v>
      </c>
      <c r="S100" s="268">
        <v>38</v>
      </c>
      <c r="T100" s="268">
        <v>12</v>
      </c>
      <c r="U100" s="268">
        <v>25</v>
      </c>
      <c r="V100" s="268">
        <f>SUM(D100:O100)</f>
        <v>278</v>
      </c>
      <c r="W100" s="268">
        <f>SUM(J100:U100)</f>
        <v>314</v>
      </c>
    </row>
    <row r="101" spans="1:23" x14ac:dyDescent="0.25">
      <c r="A101" s="513" t="s">
        <v>34</v>
      </c>
      <c r="B101" s="603" t="s">
        <v>35</v>
      </c>
      <c r="C101" s="603" t="s">
        <v>268</v>
      </c>
      <c r="D101" s="268">
        <v>2</v>
      </c>
      <c r="E101" s="268">
        <v>10</v>
      </c>
      <c r="F101" s="268">
        <v>15</v>
      </c>
      <c r="G101" s="268">
        <v>7</v>
      </c>
      <c r="H101" s="268">
        <v>8</v>
      </c>
      <c r="I101" s="268">
        <v>7</v>
      </c>
      <c r="J101" s="268">
        <v>6</v>
      </c>
      <c r="K101" s="268">
        <v>2</v>
      </c>
      <c r="L101" s="268">
        <v>12</v>
      </c>
      <c r="M101" s="268">
        <v>9</v>
      </c>
      <c r="N101" s="268">
        <v>14</v>
      </c>
      <c r="O101" s="268">
        <v>17</v>
      </c>
      <c r="P101" s="268">
        <v>14</v>
      </c>
      <c r="Q101" s="268">
        <v>16</v>
      </c>
      <c r="R101" s="268">
        <v>8</v>
      </c>
      <c r="S101" s="268">
        <v>20</v>
      </c>
      <c r="T101" s="268">
        <v>11</v>
      </c>
      <c r="U101" s="268">
        <v>8</v>
      </c>
      <c r="V101" s="268">
        <f>SUM(D101:O101)</f>
        <v>109</v>
      </c>
      <c r="W101" s="268">
        <f>SUM(J101:U101)</f>
        <v>137</v>
      </c>
    </row>
    <row r="102" spans="1:23" x14ac:dyDescent="0.25">
      <c r="A102" s="513" t="s">
        <v>52</v>
      </c>
      <c r="B102" s="603" t="s">
        <v>53</v>
      </c>
      <c r="C102" s="603" t="s">
        <v>265</v>
      </c>
      <c r="D102" s="268">
        <v>16</v>
      </c>
      <c r="E102" s="268">
        <v>21</v>
      </c>
      <c r="F102" s="268">
        <v>21</v>
      </c>
      <c r="G102" s="268">
        <v>25</v>
      </c>
      <c r="H102" s="268">
        <v>10</v>
      </c>
      <c r="I102" s="268">
        <v>12</v>
      </c>
      <c r="J102" s="268">
        <v>28</v>
      </c>
      <c r="K102" s="268">
        <v>16</v>
      </c>
      <c r="L102" s="268">
        <v>21</v>
      </c>
      <c r="M102" s="268">
        <v>22</v>
      </c>
      <c r="N102" s="268">
        <v>25</v>
      </c>
      <c r="O102" s="268">
        <v>17</v>
      </c>
      <c r="P102" s="268">
        <v>19</v>
      </c>
      <c r="Q102" s="268">
        <v>27</v>
      </c>
      <c r="R102" s="268">
        <v>27</v>
      </c>
      <c r="S102" s="268">
        <v>32</v>
      </c>
      <c r="T102" s="268">
        <v>19</v>
      </c>
      <c r="U102" s="268">
        <v>11</v>
      </c>
      <c r="V102" s="268">
        <f>SUM(D102:O102)</f>
        <v>234</v>
      </c>
      <c r="W102" s="268">
        <f>SUM(J102:U102)</f>
        <v>264</v>
      </c>
    </row>
    <row r="103" spans="1:23" x14ac:dyDescent="0.25">
      <c r="A103" s="513" t="s">
        <v>54</v>
      </c>
      <c r="B103" s="603" t="s">
        <v>55</v>
      </c>
      <c r="C103" s="603" t="s">
        <v>264</v>
      </c>
      <c r="D103" s="268">
        <v>149</v>
      </c>
      <c r="E103" s="268">
        <v>180</v>
      </c>
      <c r="F103" s="268">
        <v>146</v>
      </c>
      <c r="G103" s="268">
        <v>150</v>
      </c>
      <c r="H103" s="268">
        <v>116</v>
      </c>
      <c r="I103" s="268">
        <v>147</v>
      </c>
      <c r="J103" s="268">
        <v>126</v>
      </c>
      <c r="K103" s="268">
        <v>116</v>
      </c>
      <c r="L103" s="268">
        <v>136</v>
      </c>
      <c r="M103" s="268">
        <v>111</v>
      </c>
      <c r="N103" s="268">
        <v>80</v>
      </c>
      <c r="O103" s="268">
        <v>117</v>
      </c>
      <c r="P103" s="268">
        <v>103</v>
      </c>
      <c r="Q103" s="268">
        <v>138</v>
      </c>
      <c r="R103" s="268">
        <v>136</v>
      </c>
      <c r="S103" s="268">
        <v>113</v>
      </c>
      <c r="T103" s="268">
        <v>82</v>
      </c>
      <c r="U103" s="268">
        <v>50</v>
      </c>
      <c r="V103" s="268">
        <f>SUM(D103:O103)</f>
        <v>1574</v>
      </c>
      <c r="W103" s="268">
        <f>SUM(J103:U103)</f>
        <v>1308</v>
      </c>
    </row>
    <row r="104" spans="1:23" x14ac:dyDescent="0.25">
      <c r="A104" s="513" t="s">
        <v>66</v>
      </c>
      <c r="B104" s="603" t="s">
        <v>67</v>
      </c>
      <c r="C104" s="603" t="s">
        <v>265</v>
      </c>
      <c r="D104" s="268">
        <v>13</v>
      </c>
      <c r="E104" s="268">
        <v>19</v>
      </c>
      <c r="F104" s="268">
        <v>31</v>
      </c>
      <c r="G104" s="268">
        <v>27</v>
      </c>
      <c r="H104" s="268">
        <v>16</v>
      </c>
      <c r="I104" s="268">
        <v>19</v>
      </c>
      <c r="J104" s="268">
        <v>38</v>
      </c>
      <c r="K104" s="268">
        <v>19</v>
      </c>
      <c r="L104" s="268">
        <v>30</v>
      </c>
      <c r="M104" s="268">
        <v>15</v>
      </c>
      <c r="N104" s="268">
        <v>27</v>
      </c>
      <c r="O104" s="268">
        <v>20</v>
      </c>
      <c r="P104" s="268">
        <v>12</v>
      </c>
      <c r="Q104" s="268">
        <v>22</v>
      </c>
      <c r="R104" s="268">
        <v>17</v>
      </c>
      <c r="S104" s="268">
        <v>29</v>
      </c>
      <c r="T104" s="268">
        <v>17</v>
      </c>
      <c r="U104" s="268">
        <v>14</v>
      </c>
      <c r="V104" s="268">
        <f>SUM(D104:O104)</f>
        <v>274</v>
      </c>
      <c r="W104" s="268">
        <f>SUM(J104:U104)</f>
        <v>260</v>
      </c>
    </row>
    <row r="105" spans="1:23" x14ac:dyDescent="0.25">
      <c r="A105" s="513" t="s">
        <v>82</v>
      </c>
      <c r="B105" s="603" t="s">
        <v>83</v>
      </c>
      <c r="C105" s="603" t="s">
        <v>264</v>
      </c>
      <c r="D105" s="268">
        <v>2</v>
      </c>
      <c r="E105" s="268">
        <v>3</v>
      </c>
      <c r="F105" s="268"/>
      <c r="G105" s="268"/>
      <c r="H105" s="268"/>
      <c r="I105" s="268">
        <v>1</v>
      </c>
      <c r="J105" s="268">
        <v>3</v>
      </c>
      <c r="K105" s="268">
        <v>3</v>
      </c>
      <c r="L105" s="268">
        <v>1</v>
      </c>
      <c r="M105" s="268"/>
      <c r="N105" s="268">
        <v>2</v>
      </c>
      <c r="O105" s="268">
        <v>3</v>
      </c>
      <c r="P105" s="268">
        <v>1</v>
      </c>
      <c r="Q105" s="268">
        <v>4</v>
      </c>
      <c r="R105" s="268">
        <v>6</v>
      </c>
      <c r="S105" s="268"/>
      <c r="T105" s="268"/>
      <c r="U105" s="268">
        <v>1</v>
      </c>
      <c r="V105" s="268">
        <f>SUM(D105:O105)</f>
        <v>18</v>
      </c>
      <c r="W105" s="268">
        <f>SUM(J105:U105)</f>
        <v>24</v>
      </c>
    </row>
    <row r="106" spans="1:23" x14ac:dyDescent="0.25">
      <c r="A106" s="513" t="s">
        <v>88</v>
      </c>
      <c r="B106" s="603" t="s">
        <v>89</v>
      </c>
      <c r="C106" s="603" t="s">
        <v>267</v>
      </c>
      <c r="D106" s="268">
        <v>15</v>
      </c>
      <c r="E106" s="268">
        <v>30</v>
      </c>
      <c r="F106" s="268">
        <v>24</v>
      </c>
      <c r="G106" s="268">
        <v>32</v>
      </c>
      <c r="H106" s="268">
        <v>29</v>
      </c>
      <c r="I106" s="268">
        <v>26</v>
      </c>
      <c r="J106" s="268">
        <v>12</v>
      </c>
      <c r="K106" s="268">
        <v>11</v>
      </c>
      <c r="L106" s="268">
        <v>18</v>
      </c>
      <c r="M106" s="268">
        <v>11</v>
      </c>
      <c r="N106" s="268">
        <v>17</v>
      </c>
      <c r="O106" s="268">
        <v>13</v>
      </c>
      <c r="P106" s="268">
        <v>16</v>
      </c>
      <c r="Q106" s="268">
        <v>18</v>
      </c>
      <c r="R106" s="268">
        <v>23</v>
      </c>
      <c r="S106" s="268">
        <v>19</v>
      </c>
      <c r="T106" s="268">
        <v>14</v>
      </c>
      <c r="U106" s="268">
        <v>5</v>
      </c>
      <c r="V106" s="268">
        <f>SUM(D106:O106)</f>
        <v>238</v>
      </c>
      <c r="W106" s="268">
        <f>SUM(J106:U106)</f>
        <v>177</v>
      </c>
    </row>
    <row r="107" spans="1:23" x14ac:dyDescent="0.25">
      <c r="A107" s="513" t="s">
        <v>90</v>
      </c>
      <c r="B107" s="603" t="s">
        <v>91</v>
      </c>
      <c r="C107" s="603" t="s">
        <v>268</v>
      </c>
      <c r="D107" s="268">
        <v>1</v>
      </c>
      <c r="E107" s="268">
        <v>3</v>
      </c>
      <c r="F107" s="268">
        <v>2</v>
      </c>
      <c r="G107" s="268"/>
      <c r="H107" s="268">
        <v>2</v>
      </c>
      <c r="I107" s="268">
        <v>3</v>
      </c>
      <c r="J107" s="268">
        <v>3</v>
      </c>
      <c r="K107" s="268"/>
      <c r="L107" s="268">
        <v>2</v>
      </c>
      <c r="M107" s="268"/>
      <c r="N107" s="268">
        <v>2</v>
      </c>
      <c r="O107" s="268">
        <v>2</v>
      </c>
      <c r="P107" s="268"/>
      <c r="Q107" s="268">
        <v>2</v>
      </c>
      <c r="R107" s="268">
        <v>2</v>
      </c>
      <c r="S107" s="268">
        <v>1</v>
      </c>
      <c r="T107" s="268">
        <v>1</v>
      </c>
      <c r="U107" s="268">
        <v>3</v>
      </c>
      <c r="V107" s="268">
        <f>SUM(D107:O107)</f>
        <v>20</v>
      </c>
      <c r="W107" s="268">
        <f>SUM(J107:U107)</f>
        <v>18</v>
      </c>
    </row>
    <row r="108" spans="1:23" x14ac:dyDescent="0.25">
      <c r="A108" s="513" t="s">
        <v>106</v>
      </c>
      <c r="B108" s="603" t="s">
        <v>107</v>
      </c>
      <c r="C108" s="603" t="s">
        <v>264</v>
      </c>
      <c r="D108" s="268">
        <v>45</v>
      </c>
      <c r="E108" s="268">
        <v>46</v>
      </c>
      <c r="F108" s="268">
        <v>51</v>
      </c>
      <c r="G108" s="268">
        <v>37</v>
      </c>
      <c r="H108" s="268">
        <v>34</v>
      </c>
      <c r="I108" s="268">
        <v>33</v>
      </c>
      <c r="J108" s="268">
        <v>83</v>
      </c>
      <c r="K108" s="268">
        <v>65</v>
      </c>
      <c r="L108" s="268">
        <v>91</v>
      </c>
      <c r="M108" s="268">
        <v>76</v>
      </c>
      <c r="N108" s="268">
        <v>88</v>
      </c>
      <c r="O108" s="268">
        <v>90</v>
      </c>
      <c r="P108" s="268">
        <v>61</v>
      </c>
      <c r="Q108" s="268">
        <v>59</v>
      </c>
      <c r="R108" s="268">
        <v>60</v>
      </c>
      <c r="S108" s="268">
        <v>40</v>
      </c>
      <c r="T108" s="268">
        <v>51</v>
      </c>
      <c r="U108" s="268">
        <v>42</v>
      </c>
      <c r="V108" s="268">
        <f>SUM(D108:O108)</f>
        <v>739</v>
      </c>
      <c r="W108" s="268">
        <f>SUM(J108:U108)</f>
        <v>806</v>
      </c>
    </row>
    <row r="109" spans="1:23" x14ac:dyDescent="0.25">
      <c r="A109" s="513" t="s">
        <v>116</v>
      </c>
      <c r="B109" s="603" t="s">
        <v>117</v>
      </c>
      <c r="C109" s="603" t="s">
        <v>266</v>
      </c>
      <c r="D109" s="268">
        <v>42</v>
      </c>
      <c r="E109" s="268">
        <v>45</v>
      </c>
      <c r="F109" s="268">
        <v>48</v>
      </c>
      <c r="G109" s="268">
        <v>29</v>
      </c>
      <c r="H109" s="268">
        <v>36</v>
      </c>
      <c r="I109" s="268">
        <v>22</v>
      </c>
      <c r="J109" s="268">
        <v>28</v>
      </c>
      <c r="K109" s="268">
        <v>16</v>
      </c>
      <c r="L109" s="268">
        <v>24</v>
      </c>
      <c r="M109" s="268">
        <v>24</v>
      </c>
      <c r="N109" s="268">
        <v>31</v>
      </c>
      <c r="O109" s="268">
        <v>27</v>
      </c>
      <c r="P109" s="268">
        <v>34</v>
      </c>
      <c r="Q109" s="268">
        <v>21</v>
      </c>
      <c r="R109" s="268">
        <v>21</v>
      </c>
      <c r="S109" s="268">
        <v>15</v>
      </c>
      <c r="T109" s="268">
        <v>22</v>
      </c>
      <c r="U109" s="268">
        <v>9</v>
      </c>
      <c r="V109" s="268">
        <f>SUM(D109:O109)</f>
        <v>372</v>
      </c>
      <c r="W109" s="268">
        <f>SUM(J109:U109)</f>
        <v>272</v>
      </c>
    </row>
    <row r="110" spans="1:23" x14ac:dyDescent="0.25">
      <c r="A110" s="513" t="s">
        <v>138</v>
      </c>
      <c r="B110" s="603" t="s">
        <v>139</v>
      </c>
      <c r="C110" s="603" t="s">
        <v>265</v>
      </c>
      <c r="D110" s="268">
        <v>62</v>
      </c>
      <c r="E110" s="268">
        <v>81</v>
      </c>
      <c r="F110" s="268">
        <v>51</v>
      </c>
      <c r="G110" s="268">
        <v>41</v>
      </c>
      <c r="H110" s="268">
        <v>61</v>
      </c>
      <c r="I110" s="268">
        <v>49</v>
      </c>
      <c r="J110" s="268">
        <v>55</v>
      </c>
      <c r="K110" s="268">
        <v>39</v>
      </c>
      <c r="L110" s="268">
        <v>50</v>
      </c>
      <c r="M110" s="268">
        <v>46</v>
      </c>
      <c r="N110" s="268">
        <v>69</v>
      </c>
      <c r="O110" s="268">
        <v>65</v>
      </c>
      <c r="P110" s="268">
        <v>59</v>
      </c>
      <c r="Q110" s="268">
        <v>77</v>
      </c>
      <c r="R110" s="268">
        <v>48</v>
      </c>
      <c r="S110" s="268">
        <v>50</v>
      </c>
      <c r="T110" s="268">
        <v>43</v>
      </c>
      <c r="U110" s="268">
        <v>30</v>
      </c>
      <c r="V110" s="268">
        <f>SUM(D110:O110)</f>
        <v>669</v>
      </c>
      <c r="W110" s="268">
        <f>SUM(J110:U110)</f>
        <v>631</v>
      </c>
    </row>
    <row r="111" spans="1:23" x14ac:dyDescent="0.25">
      <c r="A111" s="513" t="s">
        <v>142</v>
      </c>
      <c r="B111" s="603" t="s">
        <v>143</v>
      </c>
      <c r="C111" s="603" t="s">
        <v>267</v>
      </c>
      <c r="D111" s="268">
        <v>14</v>
      </c>
      <c r="E111" s="268">
        <v>9</v>
      </c>
      <c r="F111" s="268">
        <v>10</v>
      </c>
      <c r="G111" s="268">
        <v>10</v>
      </c>
      <c r="H111" s="268">
        <v>10</v>
      </c>
      <c r="I111" s="268">
        <v>9</v>
      </c>
      <c r="J111" s="268">
        <v>9</v>
      </c>
      <c r="K111" s="268">
        <v>7</v>
      </c>
      <c r="L111" s="268">
        <v>14</v>
      </c>
      <c r="M111" s="268">
        <v>10</v>
      </c>
      <c r="N111" s="268">
        <v>1</v>
      </c>
      <c r="O111" s="268">
        <v>3</v>
      </c>
      <c r="P111" s="268">
        <v>9</v>
      </c>
      <c r="Q111" s="268">
        <v>11</v>
      </c>
      <c r="R111" s="268">
        <v>19</v>
      </c>
      <c r="S111" s="268">
        <v>12</v>
      </c>
      <c r="T111" s="268">
        <v>6</v>
      </c>
      <c r="U111" s="268">
        <v>8</v>
      </c>
      <c r="V111" s="268">
        <f>SUM(D111:O111)</f>
        <v>106</v>
      </c>
      <c r="W111" s="268">
        <f>SUM(J111:U111)</f>
        <v>109</v>
      </c>
    </row>
    <row r="112" spans="1:23" x14ac:dyDescent="0.25">
      <c r="A112" s="513" t="s">
        <v>144</v>
      </c>
      <c r="B112" s="603" t="s">
        <v>145</v>
      </c>
      <c r="C112" s="603" t="s">
        <v>267</v>
      </c>
      <c r="D112" s="268">
        <v>2</v>
      </c>
      <c r="E112" s="268">
        <v>3</v>
      </c>
      <c r="F112" s="268">
        <v>7</v>
      </c>
      <c r="G112" s="268">
        <v>5</v>
      </c>
      <c r="H112" s="268">
        <v>4</v>
      </c>
      <c r="I112" s="268">
        <v>4</v>
      </c>
      <c r="J112" s="268">
        <v>12</v>
      </c>
      <c r="K112" s="268">
        <v>4</v>
      </c>
      <c r="L112" s="268">
        <v>5</v>
      </c>
      <c r="M112" s="268">
        <v>1</v>
      </c>
      <c r="N112" s="268">
        <v>11</v>
      </c>
      <c r="O112" s="268">
        <v>4</v>
      </c>
      <c r="P112" s="268">
        <v>4</v>
      </c>
      <c r="Q112" s="268">
        <v>5</v>
      </c>
      <c r="R112" s="268">
        <v>3</v>
      </c>
      <c r="S112" s="268">
        <v>1</v>
      </c>
      <c r="T112" s="268">
        <v>4</v>
      </c>
      <c r="U112" s="268">
        <v>1</v>
      </c>
      <c r="V112" s="268">
        <f>SUM(D112:O112)</f>
        <v>62</v>
      </c>
      <c r="W112" s="268">
        <f>SUM(J112:U112)</f>
        <v>55</v>
      </c>
    </row>
    <row r="113" spans="1:23" x14ac:dyDescent="0.25">
      <c r="A113" s="513" t="s">
        <v>158</v>
      </c>
      <c r="B113" s="603" t="s">
        <v>159</v>
      </c>
      <c r="C113" s="603" t="s">
        <v>264</v>
      </c>
      <c r="D113" s="268">
        <v>178</v>
      </c>
      <c r="E113" s="268">
        <v>229</v>
      </c>
      <c r="F113" s="268">
        <v>208</v>
      </c>
      <c r="G113" s="268">
        <v>216</v>
      </c>
      <c r="H113" s="268">
        <v>191</v>
      </c>
      <c r="I113" s="268">
        <v>157</v>
      </c>
      <c r="J113" s="268">
        <v>158</v>
      </c>
      <c r="K113" s="268">
        <v>102</v>
      </c>
      <c r="L113" s="268">
        <v>150</v>
      </c>
      <c r="M113" s="268">
        <v>202</v>
      </c>
      <c r="N113" s="268">
        <v>234</v>
      </c>
      <c r="O113" s="268">
        <v>123</v>
      </c>
      <c r="P113" s="268">
        <v>139</v>
      </c>
      <c r="Q113" s="268">
        <v>129</v>
      </c>
      <c r="R113" s="268">
        <v>112</v>
      </c>
      <c r="S113" s="268">
        <v>118</v>
      </c>
      <c r="T113" s="268">
        <v>66</v>
      </c>
      <c r="U113" s="268">
        <v>86</v>
      </c>
      <c r="V113" s="268">
        <f>SUM(D113:O113)</f>
        <v>2148</v>
      </c>
      <c r="W113" s="268">
        <f>SUM(J113:U113)</f>
        <v>1619</v>
      </c>
    </row>
    <row r="114" spans="1:23" x14ac:dyDescent="0.25">
      <c r="A114" s="513" t="s">
        <v>160</v>
      </c>
      <c r="B114" s="603" t="s">
        <v>161</v>
      </c>
      <c r="C114" s="603" t="s">
        <v>264</v>
      </c>
      <c r="D114" s="268">
        <v>130</v>
      </c>
      <c r="E114" s="268">
        <v>151</v>
      </c>
      <c r="F114" s="268">
        <v>155</v>
      </c>
      <c r="G114" s="268">
        <v>166</v>
      </c>
      <c r="H114" s="268">
        <v>136</v>
      </c>
      <c r="I114" s="268">
        <v>104</v>
      </c>
      <c r="J114" s="268">
        <v>101</v>
      </c>
      <c r="K114" s="268">
        <v>68</v>
      </c>
      <c r="L114" s="268">
        <v>58</v>
      </c>
      <c r="M114" s="268">
        <v>78</v>
      </c>
      <c r="N114" s="268">
        <v>136</v>
      </c>
      <c r="O114" s="268">
        <v>104</v>
      </c>
      <c r="P114" s="268">
        <v>83</v>
      </c>
      <c r="Q114" s="268">
        <v>117</v>
      </c>
      <c r="R114" s="268">
        <v>123</v>
      </c>
      <c r="S114" s="268">
        <v>89</v>
      </c>
      <c r="T114" s="268">
        <v>59</v>
      </c>
      <c r="U114" s="268">
        <v>56</v>
      </c>
      <c r="V114" s="268">
        <f>SUM(D114:O114)</f>
        <v>1387</v>
      </c>
      <c r="W114" s="268">
        <f>SUM(J114:U114)</f>
        <v>1072</v>
      </c>
    </row>
    <row r="115" spans="1:23" x14ac:dyDescent="0.25">
      <c r="A115" s="513" t="s">
        <v>166</v>
      </c>
      <c r="B115" s="603" t="s">
        <v>167</v>
      </c>
      <c r="C115" s="603" t="s">
        <v>268</v>
      </c>
      <c r="D115" s="268">
        <v>1</v>
      </c>
      <c r="E115" s="268">
        <v>1</v>
      </c>
      <c r="F115" s="268">
        <v>1</v>
      </c>
      <c r="G115" s="268"/>
      <c r="H115" s="268"/>
      <c r="I115" s="268"/>
      <c r="J115" s="268">
        <v>1</v>
      </c>
      <c r="K115" s="268"/>
      <c r="L115" s="268"/>
      <c r="M115" s="268">
        <v>1</v>
      </c>
      <c r="N115" s="268">
        <v>1</v>
      </c>
      <c r="O115" s="268">
        <v>1</v>
      </c>
      <c r="P115" s="268"/>
      <c r="Q115" s="268">
        <v>1</v>
      </c>
      <c r="R115" s="268">
        <v>1</v>
      </c>
      <c r="S115" s="268"/>
      <c r="T115" s="268"/>
      <c r="U115" s="268"/>
      <c r="V115" s="268">
        <f>SUM(D115:O115)</f>
        <v>7</v>
      </c>
      <c r="W115" s="268">
        <f>SUM(J115:U115)</f>
        <v>6</v>
      </c>
    </row>
    <row r="116" spans="1:23" x14ac:dyDescent="0.25">
      <c r="A116" s="513" t="s">
        <v>176</v>
      </c>
      <c r="B116" s="603" t="s">
        <v>177</v>
      </c>
      <c r="C116" s="603" t="s">
        <v>266</v>
      </c>
      <c r="D116" s="268">
        <v>41</v>
      </c>
      <c r="E116" s="268">
        <v>54</v>
      </c>
      <c r="F116" s="268">
        <v>53</v>
      </c>
      <c r="G116" s="268">
        <v>44</v>
      </c>
      <c r="H116" s="268">
        <v>53</v>
      </c>
      <c r="I116" s="268">
        <v>41</v>
      </c>
      <c r="J116" s="268">
        <v>49</v>
      </c>
      <c r="K116" s="268">
        <v>50</v>
      </c>
      <c r="L116" s="268">
        <v>75</v>
      </c>
      <c r="M116" s="268">
        <v>31</v>
      </c>
      <c r="N116" s="268">
        <v>56</v>
      </c>
      <c r="O116" s="268">
        <v>55</v>
      </c>
      <c r="P116" s="268">
        <v>46</v>
      </c>
      <c r="Q116" s="268">
        <v>42</v>
      </c>
      <c r="R116" s="268">
        <v>38</v>
      </c>
      <c r="S116" s="268">
        <v>37</v>
      </c>
      <c r="T116" s="268">
        <v>28</v>
      </c>
      <c r="U116" s="268">
        <v>28</v>
      </c>
      <c r="V116" s="268">
        <f>SUM(D116:O116)</f>
        <v>602</v>
      </c>
      <c r="W116" s="268">
        <f>SUM(J116:U116)</f>
        <v>535</v>
      </c>
    </row>
    <row r="117" spans="1:23" x14ac:dyDescent="0.25">
      <c r="A117" s="513" t="s">
        <v>180</v>
      </c>
      <c r="B117" s="603" t="s">
        <v>181</v>
      </c>
      <c r="C117" s="603" t="s">
        <v>264</v>
      </c>
      <c r="D117" s="268">
        <v>27</v>
      </c>
      <c r="E117" s="268">
        <v>54</v>
      </c>
      <c r="F117" s="268">
        <v>42</v>
      </c>
      <c r="G117" s="268">
        <v>38</v>
      </c>
      <c r="H117" s="268">
        <v>31</v>
      </c>
      <c r="I117" s="268">
        <v>26</v>
      </c>
      <c r="J117" s="268">
        <v>32</v>
      </c>
      <c r="K117" s="268">
        <v>33</v>
      </c>
      <c r="L117" s="268">
        <v>33</v>
      </c>
      <c r="M117" s="268">
        <v>32</v>
      </c>
      <c r="N117" s="268">
        <v>35</v>
      </c>
      <c r="O117" s="268">
        <v>47</v>
      </c>
      <c r="P117" s="268">
        <v>25</v>
      </c>
      <c r="Q117" s="268">
        <v>42</v>
      </c>
      <c r="R117" s="268">
        <v>32</v>
      </c>
      <c r="S117" s="268">
        <v>28</v>
      </c>
      <c r="T117" s="268">
        <v>22</v>
      </c>
      <c r="U117" s="268">
        <v>23</v>
      </c>
      <c r="V117" s="268">
        <f>SUM(D117:O117)</f>
        <v>430</v>
      </c>
      <c r="W117" s="268">
        <f>SUM(J117:U117)</f>
        <v>384</v>
      </c>
    </row>
    <row r="118" spans="1:23" x14ac:dyDescent="0.25">
      <c r="A118" s="513" t="s">
        <v>192</v>
      </c>
      <c r="B118" s="603" t="s">
        <v>193</v>
      </c>
      <c r="C118" s="603" t="s">
        <v>268</v>
      </c>
      <c r="D118" s="268">
        <v>6</v>
      </c>
      <c r="E118" s="268">
        <v>9</v>
      </c>
      <c r="F118" s="268">
        <v>3</v>
      </c>
      <c r="G118" s="268">
        <v>7</v>
      </c>
      <c r="H118" s="268"/>
      <c r="I118" s="268">
        <v>2</v>
      </c>
      <c r="J118" s="268">
        <v>6</v>
      </c>
      <c r="K118" s="268">
        <v>3</v>
      </c>
      <c r="L118" s="268"/>
      <c r="M118" s="268">
        <v>1</v>
      </c>
      <c r="N118" s="268">
        <v>2</v>
      </c>
      <c r="O118" s="268">
        <v>2</v>
      </c>
      <c r="P118" s="268"/>
      <c r="Q118" s="268">
        <v>4</v>
      </c>
      <c r="R118" s="268">
        <v>2</v>
      </c>
      <c r="S118" s="268">
        <v>1</v>
      </c>
      <c r="T118" s="268">
        <v>2</v>
      </c>
      <c r="U118" s="268">
        <v>3</v>
      </c>
      <c r="V118" s="268">
        <f>SUM(D118:O118)</f>
        <v>41</v>
      </c>
      <c r="W118" s="268">
        <f>SUM(J118:U118)</f>
        <v>26</v>
      </c>
    </row>
    <row r="119" spans="1:23" x14ac:dyDescent="0.25">
      <c r="A119" s="513" t="s">
        <v>196</v>
      </c>
      <c r="B119" s="603" t="s">
        <v>197</v>
      </c>
      <c r="C119" s="603" t="s">
        <v>266</v>
      </c>
      <c r="D119" s="268">
        <v>215</v>
      </c>
      <c r="E119" s="268">
        <v>270</v>
      </c>
      <c r="F119" s="268">
        <v>237</v>
      </c>
      <c r="G119" s="268">
        <v>239</v>
      </c>
      <c r="H119" s="268">
        <v>158</v>
      </c>
      <c r="I119" s="268">
        <v>152</v>
      </c>
      <c r="J119" s="268">
        <v>184</v>
      </c>
      <c r="K119" s="268">
        <v>128</v>
      </c>
      <c r="L119" s="268">
        <v>175</v>
      </c>
      <c r="M119" s="268">
        <v>140</v>
      </c>
      <c r="N119" s="268">
        <v>124</v>
      </c>
      <c r="O119" s="268">
        <v>120</v>
      </c>
      <c r="P119" s="268">
        <v>164</v>
      </c>
      <c r="Q119" s="268">
        <v>166</v>
      </c>
      <c r="R119" s="268">
        <v>130</v>
      </c>
      <c r="S119" s="268">
        <v>115</v>
      </c>
      <c r="T119" s="268">
        <v>119</v>
      </c>
      <c r="U119" s="268">
        <v>70</v>
      </c>
      <c r="V119" s="268">
        <f>SUM(D119:O119)</f>
        <v>2142</v>
      </c>
      <c r="W119" s="268">
        <f>SUM(J119:U119)</f>
        <v>1635</v>
      </c>
    </row>
    <row r="120" spans="1:23" x14ac:dyDescent="0.25">
      <c r="A120" s="513" t="s">
        <v>200</v>
      </c>
      <c r="B120" s="603" t="s">
        <v>201</v>
      </c>
      <c r="C120" s="603" t="s">
        <v>265</v>
      </c>
      <c r="D120" s="268">
        <v>135</v>
      </c>
      <c r="E120" s="268">
        <v>141</v>
      </c>
      <c r="F120" s="268">
        <v>119</v>
      </c>
      <c r="G120" s="268">
        <v>109</v>
      </c>
      <c r="H120" s="268">
        <v>96</v>
      </c>
      <c r="I120" s="268">
        <v>98</v>
      </c>
      <c r="J120" s="268">
        <v>108</v>
      </c>
      <c r="K120" s="268">
        <v>80</v>
      </c>
      <c r="L120" s="268">
        <v>143</v>
      </c>
      <c r="M120" s="268">
        <v>97</v>
      </c>
      <c r="N120" s="268">
        <v>84</v>
      </c>
      <c r="O120" s="268">
        <v>76</v>
      </c>
      <c r="P120" s="268">
        <v>109</v>
      </c>
      <c r="Q120" s="268">
        <v>100</v>
      </c>
      <c r="R120" s="268">
        <v>93</v>
      </c>
      <c r="S120" s="268">
        <v>63</v>
      </c>
      <c r="T120" s="268">
        <v>59</v>
      </c>
      <c r="U120" s="268">
        <v>71</v>
      </c>
      <c r="V120" s="268">
        <f>SUM(D120:O120)</f>
        <v>1286</v>
      </c>
      <c r="W120" s="268">
        <f>SUM(J120:U120)</f>
        <v>1083</v>
      </c>
    </row>
    <row r="121" spans="1:23" x14ac:dyDescent="0.25">
      <c r="A121" s="513" t="s">
        <v>222</v>
      </c>
      <c r="B121" s="603" t="s">
        <v>223</v>
      </c>
      <c r="C121" s="603" t="s">
        <v>264</v>
      </c>
      <c r="D121" s="268">
        <v>51</v>
      </c>
      <c r="E121" s="268">
        <v>85</v>
      </c>
      <c r="F121" s="268">
        <v>71</v>
      </c>
      <c r="G121" s="268">
        <v>55</v>
      </c>
      <c r="H121" s="268">
        <v>41</v>
      </c>
      <c r="I121" s="268">
        <v>40</v>
      </c>
      <c r="J121" s="268">
        <v>28</v>
      </c>
      <c r="K121" s="268">
        <v>39</v>
      </c>
      <c r="L121" s="268">
        <v>36</v>
      </c>
      <c r="M121" s="268">
        <v>54</v>
      </c>
      <c r="N121" s="268">
        <v>55</v>
      </c>
      <c r="O121" s="268">
        <v>55</v>
      </c>
      <c r="P121" s="268">
        <v>43</v>
      </c>
      <c r="Q121" s="268">
        <v>53</v>
      </c>
      <c r="R121" s="268">
        <v>62</v>
      </c>
      <c r="S121" s="268">
        <v>43</v>
      </c>
      <c r="T121" s="268">
        <v>39</v>
      </c>
      <c r="U121" s="268">
        <v>18</v>
      </c>
      <c r="V121" s="268">
        <f>SUM(D121:O121)</f>
        <v>610</v>
      </c>
      <c r="W121" s="268">
        <f>SUM(J121:U121)</f>
        <v>525</v>
      </c>
    </row>
    <row r="122" spans="1:23" x14ac:dyDescent="0.25">
      <c r="A122" s="513" t="s">
        <v>230</v>
      </c>
      <c r="B122" s="603" t="s">
        <v>231</v>
      </c>
      <c r="C122" s="603" t="s">
        <v>264</v>
      </c>
      <c r="D122" s="268">
        <v>222</v>
      </c>
      <c r="E122" s="268">
        <v>240</v>
      </c>
      <c r="F122" s="268">
        <v>274</v>
      </c>
      <c r="G122" s="268">
        <v>215</v>
      </c>
      <c r="H122" s="268">
        <v>232</v>
      </c>
      <c r="I122" s="268">
        <v>216</v>
      </c>
      <c r="J122" s="268">
        <v>219</v>
      </c>
      <c r="K122" s="268">
        <v>185</v>
      </c>
      <c r="L122" s="268">
        <v>204</v>
      </c>
      <c r="M122" s="268">
        <v>197</v>
      </c>
      <c r="N122" s="268">
        <v>228</v>
      </c>
      <c r="O122" s="268">
        <v>236</v>
      </c>
      <c r="P122" s="268">
        <v>228</v>
      </c>
      <c r="Q122" s="268">
        <v>253</v>
      </c>
      <c r="R122" s="268">
        <v>239</v>
      </c>
      <c r="S122" s="268">
        <v>197</v>
      </c>
      <c r="T122" s="268">
        <v>177</v>
      </c>
      <c r="U122" s="268">
        <v>137</v>
      </c>
      <c r="V122" s="268">
        <f>SUM(D122:O122)</f>
        <v>2668</v>
      </c>
      <c r="W122" s="268">
        <f>SUM(J122:U122)</f>
        <v>2500</v>
      </c>
    </row>
    <row r="123" spans="1:23" x14ac:dyDescent="0.25">
      <c r="A123" s="513" t="s">
        <v>238</v>
      </c>
      <c r="B123" s="603" t="s">
        <v>239</v>
      </c>
      <c r="C123" s="603" t="s">
        <v>264</v>
      </c>
      <c r="D123" s="268">
        <v>2</v>
      </c>
      <c r="E123" s="268">
        <v>4</v>
      </c>
      <c r="F123" s="268">
        <v>2</v>
      </c>
      <c r="G123" s="268">
        <v>4</v>
      </c>
      <c r="H123" s="268">
        <v>4</v>
      </c>
      <c r="I123" s="268">
        <v>3</v>
      </c>
      <c r="J123" s="268">
        <v>1</v>
      </c>
      <c r="K123" s="268">
        <v>3</v>
      </c>
      <c r="L123" s="268">
        <v>3</v>
      </c>
      <c r="M123" s="268">
        <v>3</v>
      </c>
      <c r="N123" s="268">
        <v>2</v>
      </c>
      <c r="O123" s="268">
        <v>6</v>
      </c>
      <c r="P123" s="268">
        <v>2</v>
      </c>
      <c r="Q123" s="268">
        <v>7</v>
      </c>
      <c r="R123" s="268">
        <v>2</v>
      </c>
      <c r="S123" s="268">
        <v>3</v>
      </c>
      <c r="T123" s="268">
        <v>4</v>
      </c>
      <c r="U123" s="268">
        <v>2</v>
      </c>
      <c r="V123" s="268">
        <f>SUM(D123:O123)</f>
        <v>37</v>
      </c>
      <c r="W123" s="268">
        <f>SUM(J123:U123)</f>
        <v>38</v>
      </c>
    </row>
    <row r="124" spans="1:23" x14ac:dyDescent="0.25">
      <c r="A124" s="514" t="s">
        <v>240</v>
      </c>
      <c r="B124" s="517" t="s">
        <v>241</v>
      </c>
      <c r="C124" s="517" t="s">
        <v>267</v>
      </c>
      <c r="D124" s="268">
        <v>9</v>
      </c>
      <c r="E124" s="268">
        <v>13</v>
      </c>
      <c r="F124" s="268">
        <v>10</v>
      </c>
      <c r="G124" s="268">
        <v>11</v>
      </c>
      <c r="H124" s="268">
        <v>10</v>
      </c>
      <c r="I124" s="268">
        <v>10</v>
      </c>
      <c r="J124" s="268">
        <v>7</v>
      </c>
      <c r="K124" s="268">
        <v>5</v>
      </c>
      <c r="L124" s="268">
        <v>11</v>
      </c>
      <c r="M124" s="268">
        <v>9</v>
      </c>
      <c r="N124" s="268">
        <v>9</v>
      </c>
      <c r="O124" s="268">
        <v>7</v>
      </c>
      <c r="P124" s="268">
        <v>5</v>
      </c>
      <c r="Q124" s="268">
        <v>7</v>
      </c>
      <c r="R124" s="268">
        <v>5</v>
      </c>
      <c r="S124" s="268">
        <v>11</v>
      </c>
      <c r="T124" s="268">
        <v>5</v>
      </c>
      <c r="U124" s="268">
        <v>12</v>
      </c>
      <c r="V124" s="268">
        <f>SUM(D124:O124)</f>
        <v>111</v>
      </c>
      <c r="W124" s="268">
        <f>SUM(J124:U124)</f>
        <v>93</v>
      </c>
    </row>
    <row r="126" spans="1:23" ht="65.25" customHeight="1" x14ac:dyDescent="0.25">
      <c r="A126" s="2737" t="s">
        <v>1455</v>
      </c>
      <c r="B126" s="2737"/>
      <c r="C126" s="2737"/>
    </row>
    <row r="128" spans="1:23" s="389" customFormat="1" x14ac:dyDescent="0.25">
      <c r="A128" s="389" t="s">
        <v>248</v>
      </c>
    </row>
    <row r="129" spans="1:3" s="389" customFormat="1" x14ac:dyDescent="0.25">
      <c r="A129" s="390" t="s">
        <v>249</v>
      </c>
      <c r="B129" s="391" t="s">
        <v>250</v>
      </c>
      <c r="C129" s="391"/>
    </row>
  </sheetData>
  <sortState ref="A5:W124">
    <sortCondition ref="A5:A124"/>
  </sortState>
  <mergeCells count="1">
    <mergeCell ref="A126:C126"/>
  </mergeCells>
  <hyperlinks>
    <hyperlink ref="B129"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129"/>
  <sheetViews>
    <sheetView workbookViewId="0">
      <pane xSplit="3" ySplit="4" topLeftCell="D111" activePane="bottomRight" state="frozen"/>
      <selection pane="topRight" activeCell="D1" sqref="D1"/>
      <selection pane="bottomLeft" activeCell="A5" sqref="A5"/>
      <selection pane="bottomRight" activeCell="H127" sqref="H127"/>
    </sheetView>
  </sheetViews>
  <sheetFormatPr defaultRowHeight="15.75" x14ac:dyDescent="0.25"/>
  <cols>
    <col min="1" max="1" width="9" style="505"/>
    <col min="2" max="2" width="33.375" style="505" customWidth="1"/>
    <col min="3" max="3" width="16.75" style="505" customWidth="1"/>
    <col min="4" max="4" width="7.25" style="505" customWidth="1"/>
    <col min="5" max="6" width="9.125" style="505" bestFit="1" customWidth="1"/>
    <col min="7" max="7" width="9.875" style="505" bestFit="1" customWidth="1"/>
    <col min="8" max="15" width="10.125" style="505" bestFit="1" customWidth="1"/>
    <col min="16" max="21" width="10.125" style="505" customWidth="1"/>
    <col min="22" max="22" width="11.125" style="505" bestFit="1" customWidth="1"/>
    <col min="23" max="23" width="11.125" style="505" customWidth="1"/>
    <col min="24" max="16384" width="9" style="505"/>
  </cols>
  <sheetData>
    <row r="1" spans="1:23" ht="12.75" customHeight="1" x14ac:dyDescent="0.25">
      <c r="A1" s="255" t="s">
        <v>1372</v>
      </c>
    </row>
    <row r="3" spans="1:23" ht="53.25" customHeight="1" x14ac:dyDescent="0.25">
      <c r="A3" s="510" t="s">
        <v>4</v>
      </c>
      <c r="B3" s="567" t="s">
        <v>5</v>
      </c>
      <c r="C3" s="567" t="s">
        <v>251</v>
      </c>
      <c r="D3" s="1675">
        <v>42552</v>
      </c>
      <c r="E3" s="1675">
        <v>42583</v>
      </c>
      <c r="F3" s="1675">
        <v>42614</v>
      </c>
      <c r="G3" s="1675">
        <v>42644</v>
      </c>
      <c r="H3" s="1676">
        <v>42675</v>
      </c>
      <c r="I3" s="1676">
        <v>42705</v>
      </c>
      <c r="J3" s="1676">
        <v>42736</v>
      </c>
      <c r="K3" s="1676">
        <v>42767</v>
      </c>
      <c r="L3" s="1676">
        <v>42795</v>
      </c>
      <c r="M3" s="1676">
        <v>42826</v>
      </c>
      <c r="N3" s="1676">
        <v>42856</v>
      </c>
      <c r="O3" s="1676">
        <v>42887</v>
      </c>
      <c r="P3" s="1676">
        <v>42917</v>
      </c>
      <c r="Q3" s="1676">
        <v>42948</v>
      </c>
      <c r="R3" s="1676">
        <v>42979</v>
      </c>
      <c r="S3" s="1676">
        <v>43009</v>
      </c>
      <c r="T3" s="1676">
        <v>43040</v>
      </c>
      <c r="U3" s="1676">
        <v>43070</v>
      </c>
      <c r="V3" s="1677" t="s">
        <v>1216</v>
      </c>
      <c r="W3" s="1677" t="s">
        <v>1365</v>
      </c>
    </row>
    <row r="4" spans="1:23" x14ac:dyDescent="0.25">
      <c r="A4" s="599">
        <v>999</v>
      </c>
      <c r="B4" s="600" t="s">
        <v>9</v>
      </c>
      <c r="C4" s="600"/>
      <c r="D4" s="1678">
        <f>SUM(D5:D124)</f>
        <v>2152</v>
      </c>
      <c r="E4" s="1679">
        <f t="shared" ref="E4:W4" si="0">SUM(E5:E124)</f>
        <v>2675</v>
      </c>
      <c r="F4" s="1679">
        <f t="shared" si="0"/>
        <v>2724</v>
      </c>
      <c r="G4" s="1679">
        <f t="shared" si="0"/>
        <v>2764</v>
      </c>
      <c r="H4" s="1680">
        <f t="shared" si="0"/>
        <v>2580</v>
      </c>
      <c r="I4" s="1680">
        <f t="shared" si="0"/>
        <v>2279</v>
      </c>
      <c r="J4" s="1680">
        <f t="shared" si="0"/>
        <v>2079</v>
      </c>
      <c r="K4" s="1680">
        <f t="shared" si="0"/>
        <v>2238</v>
      </c>
      <c r="L4" s="1680">
        <f t="shared" si="0"/>
        <v>2523</v>
      </c>
      <c r="M4" s="1680">
        <f t="shared" si="0"/>
        <v>2364</v>
      </c>
      <c r="N4" s="1680">
        <f t="shared" si="0"/>
        <v>2601</v>
      </c>
      <c r="O4" s="1680">
        <f t="shared" si="0"/>
        <v>2412</v>
      </c>
      <c r="P4" s="2357">
        <f t="shared" si="0"/>
        <v>1999</v>
      </c>
      <c r="Q4" s="2357">
        <f t="shared" si="0"/>
        <v>2383</v>
      </c>
      <c r="R4" s="2357">
        <f t="shared" si="0"/>
        <v>2311</v>
      </c>
      <c r="S4" s="2357">
        <f t="shared" si="0"/>
        <v>2122</v>
      </c>
      <c r="T4" s="2357">
        <f t="shared" si="0"/>
        <v>1808</v>
      </c>
      <c r="U4" s="2357">
        <f t="shared" si="0"/>
        <v>1526</v>
      </c>
      <c r="V4" s="1680">
        <f t="shared" si="0"/>
        <v>29391</v>
      </c>
      <c r="W4" s="2357">
        <f t="shared" si="0"/>
        <v>26366</v>
      </c>
    </row>
    <row r="5" spans="1:23" x14ac:dyDescent="0.25">
      <c r="A5" s="512" t="s">
        <v>10</v>
      </c>
      <c r="B5" s="569" t="s">
        <v>11</v>
      </c>
      <c r="C5" s="569" t="s">
        <v>264</v>
      </c>
      <c r="D5" s="268">
        <v>3</v>
      </c>
      <c r="E5" s="268">
        <v>7</v>
      </c>
      <c r="F5" s="268">
        <v>6</v>
      </c>
      <c r="G5" s="268">
        <v>6</v>
      </c>
      <c r="H5" s="268">
        <v>13</v>
      </c>
      <c r="I5" s="268">
        <v>7</v>
      </c>
      <c r="J5" s="268">
        <v>1</v>
      </c>
      <c r="K5" s="268">
        <v>8</v>
      </c>
      <c r="L5" s="268">
        <v>7</v>
      </c>
      <c r="M5" s="268">
        <v>7</v>
      </c>
      <c r="N5" s="268">
        <v>5</v>
      </c>
      <c r="O5" s="268">
        <v>5</v>
      </c>
      <c r="P5" s="268">
        <v>7</v>
      </c>
      <c r="Q5" s="268">
        <v>8</v>
      </c>
      <c r="R5" s="268">
        <v>2</v>
      </c>
      <c r="S5" s="268">
        <v>6</v>
      </c>
      <c r="T5" s="268">
        <v>3</v>
      </c>
      <c r="U5" s="268">
        <v>7</v>
      </c>
      <c r="V5" s="268">
        <f>SUM(D5:O5)</f>
        <v>75</v>
      </c>
      <c r="W5" s="268">
        <f>SUM(J5:U5)</f>
        <v>66</v>
      </c>
    </row>
    <row r="6" spans="1:23" x14ac:dyDescent="0.25">
      <c r="A6" s="513" t="s">
        <v>12</v>
      </c>
      <c r="B6" s="603" t="s">
        <v>13</v>
      </c>
      <c r="C6" s="603" t="s">
        <v>265</v>
      </c>
      <c r="D6" s="268">
        <v>24</v>
      </c>
      <c r="E6" s="268">
        <v>28</v>
      </c>
      <c r="F6" s="268">
        <v>38</v>
      </c>
      <c r="G6" s="268">
        <v>18</v>
      </c>
      <c r="H6" s="268">
        <v>20</v>
      </c>
      <c r="I6" s="268">
        <v>18</v>
      </c>
      <c r="J6" s="268">
        <v>20</v>
      </c>
      <c r="K6" s="268">
        <v>22</v>
      </c>
      <c r="L6" s="268">
        <v>28</v>
      </c>
      <c r="M6" s="268">
        <v>27</v>
      </c>
      <c r="N6" s="268">
        <v>16</v>
      </c>
      <c r="O6" s="268">
        <v>5</v>
      </c>
      <c r="P6" s="268">
        <v>18</v>
      </c>
      <c r="Q6" s="268">
        <v>14</v>
      </c>
      <c r="R6" s="268">
        <v>12</v>
      </c>
      <c r="S6" s="268">
        <v>14</v>
      </c>
      <c r="T6" s="268">
        <v>22</v>
      </c>
      <c r="U6" s="268">
        <v>28</v>
      </c>
      <c r="V6" s="268">
        <f>SUM(D6:O6)</f>
        <v>264</v>
      </c>
      <c r="W6" s="268">
        <f>SUM(J6:U6)</f>
        <v>226</v>
      </c>
    </row>
    <row r="7" spans="1:23" x14ac:dyDescent="0.25">
      <c r="A7" s="513" t="s">
        <v>16</v>
      </c>
      <c r="B7" s="603" t="s">
        <v>297</v>
      </c>
      <c r="C7" s="603" t="s">
        <v>265</v>
      </c>
      <c r="D7" s="268">
        <v>7</v>
      </c>
      <c r="E7" s="268">
        <v>9</v>
      </c>
      <c r="F7" s="268">
        <v>5</v>
      </c>
      <c r="G7" s="268">
        <v>4</v>
      </c>
      <c r="H7" s="268">
        <v>6</v>
      </c>
      <c r="I7" s="268">
        <v>3</v>
      </c>
      <c r="J7" s="268">
        <v>1</v>
      </c>
      <c r="K7" s="268">
        <v>4</v>
      </c>
      <c r="L7" s="268">
        <v>6</v>
      </c>
      <c r="M7" s="268">
        <v>7</v>
      </c>
      <c r="N7" s="268">
        <v>2</v>
      </c>
      <c r="O7" s="268">
        <v>4</v>
      </c>
      <c r="P7" s="268">
        <v>3</v>
      </c>
      <c r="Q7" s="268">
        <v>3</v>
      </c>
      <c r="R7" s="268">
        <v>10</v>
      </c>
      <c r="S7" s="268">
        <v>5</v>
      </c>
      <c r="T7" s="268">
        <v>1</v>
      </c>
      <c r="U7" s="268">
        <v>5</v>
      </c>
      <c r="V7" s="268">
        <f>SUM(D7:O7)</f>
        <v>58</v>
      </c>
      <c r="W7" s="268">
        <f>SUM(J7:U7)</f>
        <v>51</v>
      </c>
    </row>
    <row r="8" spans="1:23" x14ac:dyDescent="0.25">
      <c r="A8" s="513" t="s">
        <v>18</v>
      </c>
      <c r="B8" s="603" t="s">
        <v>19</v>
      </c>
      <c r="C8" s="603" t="s">
        <v>266</v>
      </c>
      <c r="D8" s="268">
        <v>1</v>
      </c>
      <c r="E8" s="268">
        <v>5</v>
      </c>
      <c r="F8" s="268">
        <v>2</v>
      </c>
      <c r="G8" s="268">
        <v>2</v>
      </c>
      <c r="H8" s="268">
        <v>2</v>
      </c>
      <c r="I8" s="268">
        <v>2</v>
      </c>
      <c r="J8" s="268">
        <v>3</v>
      </c>
      <c r="K8" s="268">
        <v>2</v>
      </c>
      <c r="L8" s="268">
        <v>3</v>
      </c>
      <c r="M8" s="268">
        <v>3</v>
      </c>
      <c r="N8" s="268">
        <v>4</v>
      </c>
      <c r="O8" s="268">
        <v>3</v>
      </c>
      <c r="P8" s="268">
        <v>2</v>
      </c>
      <c r="Q8" s="268">
        <v>2</v>
      </c>
      <c r="R8" s="268">
        <v>3</v>
      </c>
      <c r="S8" s="268">
        <v>2</v>
      </c>
      <c r="T8" s="268">
        <v>3</v>
      </c>
      <c r="U8" s="268">
        <v>1</v>
      </c>
      <c r="V8" s="268">
        <f>SUM(D8:O8)</f>
        <v>32</v>
      </c>
      <c r="W8" s="268">
        <f>SUM(J8:U8)</f>
        <v>31</v>
      </c>
    </row>
    <row r="9" spans="1:23" x14ac:dyDescent="0.25">
      <c r="A9" s="513" t="s">
        <v>20</v>
      </c>
      <c r="B9" s="603" t="s">
        <v>21</v>
      </c>
      <c r="C9" s="603" t="s">
        <v>265</v>
      </c>
      <c r="D9" s="268">
        <v>2</v>
      </c>
      <c r="E9" s="268">
        <v>13</v>
      </c>
      <c r="F9" s="268">
        <v>9</v>
      </c>
      <c r="G9" s="268">
        <v>10</v>
      </c>
      <c r="H9" s="268">
        <v>6</v>
      </c>
      <c r="I9" s="268">
        <v>3</v>
      </c>
      <c r="J9" s="268">
        <v>2</v>
      </c>
      <c r="K9" s="268"/>
      <c r="L9" s="268">
        <v>4</v>
      </c>
      <c r="M9" s="268">
        <v>13</v>
      </c>
      <c r="N9" s="268">
        <v>8</v>
      </c>
      <c r="O9" s="268">
        <v>17</v>
      </c>
      <c r="P9" s="268">
        <v>4</v>
      </c>
      <c r="Q9" s="268">
        <v>2</v>
      </c>
      <c r="R9" s="268">
        <v>5</v>
      </c>
      <c r="S9" s="268">
        <v>2</v>
      </c>
      <c r="T9" s="268"/>
      <c r="U9" s="268">
        <v>1</v>
      </c>
      <c r="V9" s="268">
        <f>SUM(D9:O9)</f>
        <v>87</v>
      </c>
      <c r="W9" s="268">
        <f>SUM(J9:U9)</f>
        <v>58</v>
      </c>
    </row>
    <row r="10" spans="1:23" x14ac:dyDescent="0.25">
      <c r="A10" s="513" t="s">
        <v>22</v>
      </c>
      <c r="B10" s="603" t="s">
        <v>23</v>
      </c>
      <c r="C10" s="603" t="s">
        <v>265</v>
      </c>
      <c r="D10" s="268">
        <v>3</v>
      </c>
      <c r="E10" s="268">
        <v>1</v>
      </c>
      <c r="F10" s="268"/>
      <c r="G10" s="268">
        <v>2</v>
      </c>
      <c r="H10" s="268"/>
      <c r="I10" s="268">
        <v>1</v>
      </c>
      <c r="J10" s="268">
        <v>2</v>
      </c>
      <c r="K10" s="268">
        <v>2</v>
      </c>
      <c r="L10" s="268">
        <v>4</v>
      </c>
      <c r="M10" s="268">
        <v>5</v>
      </c>
      <c r="N10" s="268">
        <v>2</v>
      </c>
      <c r="O10" s="268">
        <v>4</v>
      </c>
      <c r="P10" s="268">
        <v>3</v>
      </c>
      <c r="Q10" s="268"/>
      <c r="R10" s="268">
        <v>4</v>
      </c>
      <c r="S10" s="268">
        <v>3</v>
      </c>
      <c r="T10" s="268">
        <v>4</v>
      </c>
      <c r="U10" s="268">
        <v>5</v>
      </c>
      <c r="V10" s="268">
        <f>SUM(D10:O10)</f>
        <v>26</v>
      </c>
      <c r="W10" s="268">
        <f>SUM(J10:U10)</f>
        <v>38</v>
      </c>
    </row>
    <row r="11" spans="1:23" x14ac:dyDescent="0.25">
      <c r="A11" s="513" t="s">
        <v>24</v>
      </c>
      <c r="B11" s="603" t="s">
        <v>25</v>
      </c>
      <c r="C11" s="603" t="s">
        <v>267</v>
      </c>
      <c r="D11" s="268">
        <v>8</v>
      </c>
      <c r="E11" s="268">
        <v>23</v>
      </c>
      <c r="F11" s="268">
        <v>11</v>
      </c>
      <c r="G11" s="268">
        <v>16</v>
      </c>
      <c r="H11" s="268">
        <v>14</v>
      </c>
      <c r="I11" s="268">
        <v>12</v>
      </c>
      <c r="J11" s="268">
        <v>15</v>
      </c>
      <c r="K11" s="268">
        <v>13</v>
      </c>
      <c r="L11" s="268">
        <v>6</v>
      </c>
      <c r="M11" s="268">
        <v>16</v>
      </c>
      <c r="N11" s="268">
        <v>13</v>
      </c>
      <c r="O11" s="268">
        <v>10</v>
      </c>
      <c r="P11" s="268">
        <v>14</v>
      </c>
      <c r="Q11" s="268">
        <v>11</v>
      </c>
      <c r="R11" s="268">
        <v>15</v>
      </c>
      <c r="S11" s="268">
        <v>11</v>
      </c>
      <c r="T11" s="268">
        <v>6</v>
      </c>
      <c r="U11" s="268">
        <v>6</v>
      </c>
      <c r="V11" s="268">
        <f>SUM(D11:O11)</f>
        <v>157</v>
      </c>
      <c r="W11" s="268">
        <f>SUM(J11:U11)</f>
        <v>136</v>
      </c>
    </row>
    <row r="12" spans="1:23" x14ac:dyDescent="0.25">
      <c r="A12" s="513" t="s">
        <v>26</v>
      </c>
      <c r="B12" s="603" t="s">
        <v>685</v>
      </c>
      <c r="C12" s="603" t="s">
        <v>265</v>
      </c>
      <c r="D12" s="268">
        <v>47</v>
      </c>
      <c r="E12" s="268">
        <v>60</v>
      </c>
      <c r="F12" s="268">
        <v>62</v>
      </c>
      <c r="G12" s="268">
        <v>59</v>
      </c>
      <c r="H12" s="268">
        <v>53</v>
      </c>
      <c r="I12" s="268">
        <v>38</v>
      </c>
      <c r="J12" s="268">
        <v>41</v>
      </c>
      <c r="K12" s="268">
        <v>36</v>
      </c>
      <c r="L12" s="268">
        <v>35</v>
      </c>
      <c r="M12" s="268">
        <v>51</v>
      </c>
      <c r="N12" s="268">
        <v>50</v>
      </c>
      <c r="O12" s="268">
        <v>47</v>
      </c>
      <c r="P12" s="268">
        <v>41</v>
      </c>
      <c r="Q12" s="268">
        <v>58</v>
      </c>
      <c r="R12" s="268">
        <v>67</v>
      </c>
      <c r="S12" s="268">
        <v>46</v>
      </c>
      <c r="T12" s="268">
        <v>50</v>
      </c>
      <c r="U12" s="268">
        <v>39</v>
      </c>
      <c r="V12" s="268">
        <f>SUM(D12:O12)</f>
        <v>579</v>
      </c>
      <c r="W12" s="268">
        <f>SUM(J12:U12)</f>
        <v>561</v>
      </c>
    </row>
    <row r="13" spans="1:23" x14ac:dyDescent="0.25">
      <c r="A13" s="513" t="s">
        <v>27</v>
      </c>
      <c r="B13" s="603" t="s">
        <v>28</v>
      </c>
      <c r="C13" s="603" t="s">
        <v>265</v>
      </c>
      <c r="D13" s="268">
        <v>1</v>
      </c>
      <c r="E13" s="268"/>
      <c r="F13" s="268"/>
      <c r="G13" s="268">
        <v>1</v>
      </c>
      <c r="H13" s="268"/>
      <c r="I13" s="268"/>
      <c r="J13" s="268"/>
      <c r="K13" s="268"/>
      <c r="L13" s="268"/>
      <c r="M13" s="268"/>
      <c r="N13" s="268"/>
      <c r="O13" s="268"/>
      <c r="P13" s="268"/>
      <c r="Q13" s="268"/>
      <c r="R13" s="268"/>
      <c r="S13" s="268"/>
      <c r="T13" s="268"/>
      <c r="U13" s="268"/>
      <c r="V13" s="268">
        <f>SUM(D13:O13)</f>
        <v>2</v>
      </c>
      <c r="W13" s="268">
        <f>SUM(J13:U13)</f>
        <v>0</v>
      </c>
    </row>
    <row r="14" spans="1:23" x14ac:dyDescent="0.25">
      <c r="A14" s="513" t="s">
        <v>29</v>
      </c>
      <c r="B14" s="603" t="s">
        <v>901</v>
      </c>
      <c r="C14" s="603" t="s">
        <v>265</v>
      </c>
      <c r="D14" s="268">
        <v>11</v>
      </c>
      <c r="E14" s="268">
        <v>23</v>
      </c>
      <c r="F14" s="268">
        <v>15</v>
      </c>
      <c r="G14" s="268">
        <v>7</v>
      </c>
      <c r="H14" s="268">
        <v>30</v>
      </c>
      <c r="I14" s="268">
        <v>34</v>
      </c>
      <c r="J14" s="268">
        <v>29</v>
      </c>
      <c r="K14" s="268">
        <v>17</v>
      </c>
      <c r="L14" s="268">
        <v>16</v>
      </c>
      <c r="M14" s="268">
        <v>14</v>
      </c>
      <c r="N14" s="268">
        <v>15</v>
      </c>
      <c r="O14" s="268">
        <v>24</v>
      </c>
      <c r="P14" s="268">
        <v>21</v>
      </c>
      <c r="Q14" s="268">
        <v>20</v>
      </c>
      <c r="R14" s="268">
        <v>17</v>
      </c>
      <c r="S14" s="268">
        <v>29</v>
      </c>
      <c r="T14" s="268">
        <v>15</v>
      </c>
      <c r="U14" s="268">
        <v>21</v>
      </c>
      <c r="V14" s="268">
        <f>SUM(D14:O14)</f>
        <v>235</v>
      </c>
      <c r="W14" s="268">
        <f>SUM(J14:U14)</f>
        <v>238</v>
      </c>
    </row>
    <row r="15" spans="1:23" x14ac:dyDescent="0.25">
      <c r="A15" s="513" t="s">
        <v>30</v>
      </c>
      <c r="B15" s="603" t="s">
        <v>31</v>
      </c>
      <c r="C15" s="603" t="s">
        <v>268</v>
      </c>
      <c r="D15" s="268"/>
      <c r="E15" s="268">
        <v>1</v>
      </c>
      <c r="F15" s="268">
        <v>2</v>
      </c>
      <c r="G15" s="268"/>
      <c r="H15" s="268">
        <v>1</v>
      </c>
      <c r="I15" s="268"/>
      <c r="J15" s="268">
        <v>1</v>
      </c>
      <c r="K15" s="268"/>
      <c r="L15" s="268"/>
      <c r="M15" s="268">
        <v>1</v>
      </c>
      <c r="N15" s="268"/>
      <c r="O15" s="268">
        <v>2</v>
      </c>
      <c r="P15" s="268"/>
      <c r="Q15" s="268"/>
      <c r="R15" s="268">
        <v>1</v>
      </c>
      <c r="S15" s="268"/>
      <c r="T15" s="268"/>
      <c r="U15" s="268"/>
      <c r="V15" s="268">
        <f>SUM(D15:O15)</f>
        <v>8</v>
      </c>
      <c r="W15" s="268">
        <f>SUM(J15:U15)</f>
        <v>5</v>
      </c>
    </row>
    <row r="16" spans="1:23" x14ac:dyDescent="0.25">
      <c r="A16" s="513" t="s">
        <v>32</v>
      </c>
      <c r="B16" s="603" t="s">
        <v>33</v>
      </c>
      <c r="C16" s="603" t="s">
        <v>265</v>
      </c>
      <c r="D16" s="268">
        <v>10</v>
      </c>
      <c r="E16" s="268"/>
      <c r="F16" s="268">
        <v>4</v>
      </c>
      <c r="G16" s="268">
        <v>4</v>
      </c>
      <c r="H16" s="268">
        <v>2</v>
      </c>
      <c r="I16" s="268">
        <v>1</v>
      </c>
      <c r="J16" s="268"/>
      <c r="K16" s="268">
        <v>1</v>
      </c>
      <c r="L16" s="268">
        <v>4</v>
      </c>
      <c r="M16" s="268">
        <v>3</v>
      </c>
      <c r="N16" s="268">
        <v>3</v>
      </c>
      <c r="O16" s="268">
        <v>3</v>
      </c>
      <c r="P16" s="268"/>
      <c r="Q16" s="268">
        <v>2</v>
      </c>
      <c r="R16" s="268">
        <v>1</v>
      </c>
      <c r="S16" s="268">
        <v>2</v>
      </c>
      <c r="T16" s="268">
        <v>1</v>
      </c>
      <c r="U16" s="268">
        <v>1</v>
      </c>
      <c r="V16" s="268">
        <f>SUM(D16:O16)</f>
        <v>35</v>
      </c>
      <c r="W16" s="268">
        <f>SUM(J16:U16)</f>
        <v>21</v>
      </c>
    </row>
    <row r="17" spans="1:23" x14ac:dyDescent="0.25">
      <c r="A17" s="513" t="s">
        <v>36</v>
      </c>
      <c r="B17" s="603" t="s">
        <v>37</v>
      </c>
      <c r="C17" s="603" t="s">
        <v>264</v>
      </c>
      <c r="D17" s="268">
        <v>6</v>
      </c>
      <c r="E17" s="268"/>
      <c r="F17" s="268"/>
      <c r="G17" s="268"/>
      <c r="H17" s="268">
        <v>1</v>
      </c>
      <c r="I17" s="268"/>
      <c r="J17" s="268"/>
      <c r="K17" s="268"/>
      <c r="L17" s="268"/>
      <c r="M17" s="268">
        <v>2</v>
      </c>
      <c r="N17" s="268">
        <v>1</v>
      </c>
      <c r="O17" s="268"/>
      <c r="P17" s="268"/>
      <c r="Q17" s="268">
        <v>2</v>
      </c>
      <c r="R17" s="268">
        <v>2</v>
      </c>
      <c r="S17" s="268"/>
      <c r="T17" s="268"/>
      <c r="U17" s="268"/>
      <c r="V17" s="268">
        <f>SUM(D17:O17)</f>
        <v>10</v>
      </c>
      <c r="W17" s="268">
        <f>SUM(J17:U17)</f>
        <v>7</v>
      </c>
    </row>
    <row r="18" spans="1:23" x14ac:dyDescent="0.25">
      <c r="A18" s="513" t="s">
        <v>38</v>
      </c>
      <c r="B18" s="603" t="s">
        <v>39</v>
      </c>
      <c r="C18" s="603" t="s">
        <v>268</v>
      </c>
      <c r="D18" s="268">
        <v>2</v>
      </c>
      <c r="E18" s="268"/>
      <c r="F18" s="268"/>
      <c r="G18" s="268"/>
      <c r="H18" s="268"/>
      <c r="I18" s="268"/>
      <c r="J18" s="268"/>
      <c r="K18" s="268">
        <v>1</v>
      </c>
      <c r="L18" s="268"/>
      <c r="M18" s="268"/>
      <c r="N18" s="268"/>
      <c r="O18" s="268">
        <v>1</v>
      </c>
      <c r="P18" s="268">
        <v>2</v>
      </c>
      <c r="Q18" s="268">
        <v>1</v>
      </c>
      <c r="R18" s="268"/>
      <c r="S18" s="268"/>
      <c r="T18" s="268"/>
      <c r="U18" s="268"/>
      <c r="V18" s="268">
        <f>SUM(D18:O18)</f>
        <v>4</v>
      </c>
      <c r="W18" s="268">
        <f>SUM(J18:U18)</f>
        <v>5</v>
      </c>
    </row>
    <row r="19" spans="1:23" x14ac:dyDescent="0.25">
      <c r="A19" s="513" t="s">
        <v>40</v>
      </c>
      <c r="B19" s="603" t="s">
        <v>41</v>
      </c>
      <c r="C19" s="603" t="s">
        <v>266</v>
      </c>
      <c r="D19" s="268">
        <v>2</v>
      </c>
      <c r="E19" s="268">
        <v>6</v>
      </c>
      <c r="F19" s="268">
        <v>7</v>
      </c>
      <c r="G19" s="268">
        <v>3</v>
      </c>
      <c r="H19" s="268">
        <v>6</v>
      </c>
      <c r="I19" s="268">
        <v>3</v>
      </c>
      <c r="J19" s="268">
        <v>1</v>
      </c>
      <c r="K19" s="268">
        <v>3</v>
      </c>
      <c r="L19" s="268">
        <v>1</v>
      </c>
      <c r="M19" s="268">
        <v>1</v>
      </c>
      <c r="N19" s="268">
        <v>6</v>
      </c>
      <c r="O19" s="268">
        <v>7</v>
      </c>
      <c r="P19" s="268"/>
      <c r="Q19" s="268">
        <v>2</v>
      </c>
      <c r="R19" s="268">
        <v>2</v>
      </c>
      <c r="S19" s="268">
        <v>5</v>
      </c>
      <c r="T19" s="268">
        <v>2</v>
      </c>
      <c r="U19" s="268">
        <v>1</v>
      </c>
      <c r="V19" s="268">
        <f>SUM(D19:O19)</f>
        <v>46</v>
      </c>
      <c r="W19" s="268">
        <f>SUM(J19:U19)</f>
        <v>31</v>
      </c>
    </row>
    <row r="20" spans="1:23" x14ac:dyDescent="0.25">
      <c r="A20" s="513" t="s">
        <v>42</v>
      </c>
      <c r="B20" s="603" t="s">
        <v>43</v>
      </c>
      <c r="C20" s="603" t="s">
        <v>265</v>
      </c>
      <c r="D20" s="268">
        <v>24</v>
      </c>
      <c r="E20" s="268">
        <v>18</v>
      </c>
      <c r="F20" s="268">
        <v>26</v>
      </c>
      <c r="G20" s="268">
        <v>19</v>
      </c>
      <c r="H20" s="268">
        <v>19</v>
      </c>
      <c r="I20" s="268">
        <v>13</v>
      </c>
      <c r="J20" s="268">
        <v>10</v>
      </c>
      <c r="K20" s="268">
        <v>21</v>
      </c>
      <c r="L20" s="268">
        <v>17</v>
      </c>
      <c r="M20" s="268">
        <v>19</v>
      </c>
      <c r="N20" s="268">
        <v>17</v>
      </c>
      <c r="O20" s="268">
        <v>16</v>
      </c>
      <c r="P20" s="268">
        <v>3</v>
      </c>
      <c r="Q20" s="268">
        <v>8</v>
      </c>
      <c r="R20" s="268">
        <v>21</v>
      </c>
      <c r="S20" s="268">
        <v>25</v>
      </c>
      <c r="T20" s="268">
        <v>28</v>
      </c>
      <c r="U20" s="268">
        <v>7</v>
      </c>
      <c r="V20" s="268">
        <f>SUM(D20:O20)</f>
        <v>219</v>
      </c>
      <c r="W20" s="268">
        <f>SUM(J20:U20)</f>
        <v>192</v>
      </c>
    </row>
    <row r="21" spans="1:23" x14ac:dyDescent="0.25">
      <c r="A21" s="513" t="s">
        <v>44</v>
      </c>
      <c r="B21" s="603" t="s">
        <v>45</v>
      </c>
      <c r="C21" s="603" t="s">
        <v>266</v>
      </c>
      <c r="D21" s="268">
        <v>6</v>
      </c>
      <c r="E21" s="268">
        <v>8</v>
      </c>
      <c r="F21" s="268">
        <v>6</v>
      </c>
      <c r="G21" s="268">
        <v>43</v>
      </c>
      <c r="H21" s="268">
        <v>12</v>
      </c>
      <c r="I21" s="268">
        <v>8</v>
      </c>
      <c r="J21" s="268">
        <v>2</v>
      </c>
      <c r="K21" s="268">
        <v>4</v>
      </c>
      <c r="L21" s="268">
        <v>8</v>
      </c>
      <c r="M21" s="268">
        <v>16</v>
      </c>
      <c r="N21" s="268">
        <v>19</v>
      </c>
      <c r="O21" s="268">
        <v>22</v>
      </c>
      <c r="P21" s="268">
        <v>9</v>
      </c>
      <c r="Q21" s="268">
        <v>23</v>
      </c>
      <c r="R21" s="268">
        <v>16</v>
      </c>
      <c r="S21" s="268">
        <v>11</v>
      </c>
      <c r="T21" s="268">
        <v>14</v>
      </c>
      <c r="U21" s="268">
        <v>9</v>
      </c>
      <c r="V21" s="268">
        <f>SUM(D21:O21)</f>
        <v>154</v>
      </c>
      <c r="W21" s="268">
        <f>SUM(J21:U21)</f>
        <v>153</v>
      </c>
    </row>
    <row r="22" spans="1:23" x14ac:dyDescent="0.25">
      <c r="A22" s="513" t="s">
        <v>46</v>
      </c>
      <c r="B22" s="603" t="s">
        <v>47</v>
      </c>
      <c r="C22" s="603" t="s">
        <v>268</v>
      </c>
      <c r="D22" s="268">
        <v>11</v>
      </c>
      <c r="E22" s="268">
        <v>13</v>
      </c>
      <c r="F22" s="268">
        <v>12</v>
      </c>
      <c r="G22" s="268">
        <v>8</v>
      </c>
      <c r="H22" s="268">
        <v>4</v>
      </c>
      <c r="I22" s="268">
        <v>13</v>
      </c>
      <c r="J22" s="268">
        <v>12</v>
      </c>
      <c r="K22" s="268">
        <v>2</v>
      </c>
      <c r="L22" s="268">
        <v>12</v>
      </c>
      <c r="M22" s="268">
        <v>9</v>
      </c>
      <c r="N22" s="268">
        <v>14</v>
      </c>
      <c r="O22" s="268">
        <v>4</v>
      </c>
      <c r="P22" s="268">
        <v>7</v>
      </c>
      <c r="Q22" s="268">
        <v>6</v>
      </c>
      <c r="R22" s="268">
        <v>5</v>
      </c>
      <c r="S22" s="268">
        <v>3</v>
      </c>
      <c r="T22" s="268">
        <v>3</v>
      </c>
      <c r="U22" s="268">
        <v>3</v>
      </c>
      <c r="V22" s="268">
        <f>SUM(D22:O22)</f>
        <v>114</v>
      </c>
      <c r="W22" s="268">
        <f>SUM(J22:U22)</f>
        <v>80</v>
      </c>
    </row>
    <row r="23" spans="1:23" x14ac:dyDescent="0.25">
      <c r="A23" s="513" t="s">
        <v>48</v>
      </c>
      <c r="B23" s="603" t="s">
        <v>269</v>
      </c>
      <c r="C23" s="603" t="s">
        <v>266</v>
      </c>
      <c r="D23" s="268">
        <v>2</v>
      </c>
      <c r="E23" s="268">
        <v>3</v>
      </c>
      <c r="F23" s="268">
        <v>1</v>
      </c>
      <c r="G23" s="268">
        <v>2</v>
      </c>
      <c r="H23" s="268">
        <v>2</v>
      </c>
      <c r="I23" s="268"/>
      <c r="J23" s="268"/>
      <c r="K23" s="268"/>
      <c r="L23" s="268"/>
      <c r="M23" s="268"/>
      <c r="N23" s="268">
        <v>1</v>
      </c>
      <c r="O23" s="268"/>
      <c r="P23" s="268">
        <v>1</v>
      </c>
      <c r="Q23" s="268"/>
      <c r="R23" s="268">
        <v>1</v>
      </c>
      <c r="S23" s="268">
        <v>3</v>
      </c>
      <c r="T23" s="268">
        <v>1</v>
      </c>
      <c r="U23" s="268"/>
      <c r="V23" s="268">
        <f>SUM(D23:O23)</f>
        <v>11</v>
      </c>
      <c r="W23" s="268">
        <f>SUM(J23:U23)</f>
        <v>7</v>
      </c>
    </row>
    <row r="24" spans="1:23" x14ac:dyDescent="0.25">
      <c r="A24" s="513" t="s">
        <v>50</v>
      </c>
      <c r="B24" s="603" t="s">
        <v>51</v>
      </c>
      <c r="C24" s="603" t="s">
        <v>265</v>
      </c>
      <c r="D24" s="268"/>
      <c r="E24" s="268"/>
      <c r="F24" s="268"/>
      <c r="G24" s="268"/>
      <c r="H24" s="268"/>
      <c r="I24" s="268"/>
      <c r="J24" s="268"/>
      <c r="K24" s="268"/>
      <c r="L24" s="268"/>
      <c r="M24" s="268"/>
      <c r="N24" s="268"/>
      <c r="O24" s="268"/>
      <c r="P24" s="268">
        <v>1</v>
      </c>
      <c r="Q24" s="268"/>
      <c r="R24" s="268"/>
      <c r="S24" s="268"/>
      <c r="T24" s="268"/>
      <c r="U24" s="268"/>
      <c r="V24" s="268">
        <f>SUM(D24:O24)</f>
        <v>0</v>
      </c>
      <c r="W24" s="268">
        <f>SUM(J24:U24)</f>
        <v>1</v>
      </c>
    </row>
    <row r="25" spans="1:23" x14ac:dyDescent="0.25">
      <c r="A25" s="513" t="s">
        <v>56</v>
      </c>
      <c r="B25" s="603" t="s">
        <v>295</v>
      </c>
      <c r="C25" s="603" t="s">
        <v>266</v>
      </c>
      <c r="D25" s="268">
        <v>34</v>
      </c>
      <c r="E25" s="268">
        <v>45</v>
      </c>
      <c r="F25" s="268">
        <v>46</v>
      </c>
      <c r="G25" s="268">
        <v>40</v>
      </c>
      <c r="H25" s="268">
        <v>62</v>
      </c>
      <c r="I25" s="268">
        <v>45</v>
      </c>
      <c r="J25" s="268">
        <v>16</v>
      </c>
      <c r="K25" s="268">
        <v>38</v>
      </c>
      <c r="L25" s="268">
        <v>41</v>
      </c>
      <c r="M25" s="268">
        <v>29</v>
      </c>
      <c r="N25" s="268">
        <v>35</v>
      </c>
      <c r="O25" s="268">
        <v>44</v>
      </c>
      <c r="P25" s="268">
        <v>55</v>
      </c>
      <c r="Q25" s="268">
        <v>21</v>
      </c>
      <c r="R25" s="268">
        <v>33</v>
      </c>
      <c r="S25" s="268">
        <v>30</v>
      </c>
      <c r="T25" s="268">
        <v>25</v>
      </c>
      <c r="U25" s="268">
        <v>24</v>
      </c>
      <c r="V25" s="268">
        <f>SUM(D25:O25)</f>
        <v>475</v>
      </c>
      <c r="W25" s="268">
        <f>SUM(J25:U25)</f>
        <v>391</v>
      </c>
    </row>
    <row r="26" spans="1:23" x14ac:dyDescent="0.25">
      <c r="A26" s="513" t="s">
        <v>58</v>
      </c>
      <c r="B26" s="603" t="s">
        <v>59</v>
      </c>
      <c r="C26" s="603" t="s">
        <v>267</v>
      </c>
      <c r="D26" s="268">
        <v>1</v>
      </c>
      <c r="E26" s="268">
        <v>1</v>
      </c>
      <c r="F26" s="268">
        <v>3</v>
      </c>
      <c r="G26" s="268">
        <v>3</v>
      </c>
      <c r="H26" s="268"/>
      <c r="I26" s="268"/>
      <c r="J26" s="268"/>
      <c r="K26" s="268"/>
      <c r="L26" s="268"/>
      <c r="M26" s="268"/>
      <c r="N26" s="268">
        <v>1</v>
      </c>
      <c r="O26" s="268">
        <v>1</v>
      </c>
      <c r="P26" s="268">
        <v>2</v>
      </c>
      <c r="Q26" s="268"/>
      <c r="R26" s="268"/>
      <c r="S26" s="268"/>
      <c r="T26" s="268"/>
      <c r="U26" s="268"/>
      <c r="V26" s="268">
        <f>SUM(D26:O26)</f>
        <v>10</v>
      </c>
      <c r="W26" s="268">
        <f>SUM(J26:U26)</f>
        <v>4</v>
      </c>
    </row>
    <row r="27" spans="1:23" x14ac:dyDescent="0.25">
      <c r="A27" s="513" t="s">
        <v>60</v>
      </c>
      <c r="B27" s="603" t="s">
        <v>61</v>
      </c>
      <c r="C27" s="603" t="s">
        <v>265</v>
      </c>
      <c r="D27" s="268">
        <v>3</v>
      </c>
      <c r="E27" s="268">
        <v>5</v>
      </c>
      <c r="F27" s="268">
        <v>2</v>
      </c>
      <c r="G27" s="268"/>
      <c r="H27" s="268"/>
      <c r="I27" s="268">
        <v>2</v>
      </c>
      <c r="J27" s="268">
        <v>1</v>
      </c>
      <c r="K27" s="268">
        <v>2</v>
      </c>
      <c r="L27" s="268">
        <v>3</v>
      </c>
      <c r="M27" s="268"/>
      <c r="N27" s="268">
        <v>2</v>
      </c>
      <c r="O27" s="268">
        <v>1</v>
      </c>
      <c r="P27" s="268">
        <v>6</v>
      </c>
      <c r="Q27" s="268">
        <v>3</v>
      </c>
      <c r="R27" s="268">
        <v>2</v>
      </c>
      <c r="S27" s="268">
        <v>1</v>
      </c>
      <c r="T27" s="268"/>
      <c r="U27" s="268">
        <v>1</v>
      </c>
      <c r="V27" s="268">
        <f>SUM(D27:O27)</f>
        <v>21</v>
      </c>
      <c r="W27" s="268">
        <f>SUM(J27:U27)</f>
        <v>22</v>
      </c>
    </row>
    <row r="28" spans="1:23" x14ac:dyDescent="0.25">
      <c r="A28" s="513" t="s">
        <v>62</v>
      </c>
      <c r="B28" s="603" t="s">
        <v>63</v>
      </c>
      <c r="C28" s="603" t="s">
        <v>267</v>
      </c>
      <c r="D28" s="268">
        <v>8</v>
      </c>
      <c r="E28" s="268">
        <v>14</v>
      </c>
      <c r="F28" s="268">
        <v>21</v>
      </c>
      <c r="G28" s="268">
        <v>18</v>
      </c>
      <c r="H28" s="268">
        <v>16</v>
      </c>
      <c r="I28" s="268">
        <v>5</v>
      </c>
      <c r="J28" s="268">
        <v>24</v>
      </c>
      <c r="K28" s="268">
        <v>8</v>
      </c>
      <c r="L28" s="268">
        <v>6</v>
      </c>
      <c r="M28" s="268">
        <v>10</v>
      </c>
      <c r="N28" s="268">
        <v>21</v>
      </c>
      <c r="O28" s="268">
        <v>12</v>
      </c>
      <c r="P28" s="268">
        <v>22</v>
      </c>
      <c r="Q28" s="268">
        <v>6</v>
      </c>
      <c r="R28" s="268">
        <v>15</v>
      </c>
      <c r="S28" s="268">
        <v>18</v>
      </c>
      <c r="T28" s="268">
        <v>9</v>
      </c>
      <c r="U28" s="268">
        <v>5</v>
      </c>
      <c r="V28" s="268">
        <f>SUM(D28:O28)</f>
        <v>163</v>
      </c>
      <c r="W28" s="268">
        <f>SUM(J28:U28)</f>
        <v>156</v>
      </c>
    </row>
    <row r="29" spans="1:23" x14ac:dyDescent="0.25">
      <c r="A29" s="513" t="s">
        <v>64</v>
      </c>
      <c r="B29" s="603" t="s">
        <v>65</v>
      </c>
      <c r="C29" s="603" t="s">
        <v>266</v>
      </c>
      <c r="D29" s="268">
        <v>4</v>
      </c>
      <c r="E29" s="268">
        <v>5</v>
      </c>
      <c r="F29" s="268">
        <v>4</v>
      </c>
      <c r="G29" s="268">
        <v>1</v>
      </c>
      <c r="H29" s="268">
        <v>1</v>
      </c>
      <c r="I29" s="268">
        <v>4</v>
      </c>
      <c r="J29" s="268"/>
      <c r="K29" s="268">
        <v>4</v>
      </c>
      <c r="L29" s="268">
        <v>3</v>
      </c>
      <c r="M29" s="268">
        <v>4</v>
      </c>
      <c r="N29" s="268">
        <v>10</v>
      </c>
      <c r="O29" s="268">
        <v>3</v>
      </c>
      <c r="P29" s="268">
        <v>3</v>
      </c>
      <c r="Q29" s="268">
        <v>5</v>
      </c>
      <c r="R29" s="268">
        <v>6</v>
      </c>
      <c r="S29" s="268">
        <v>4</v>
      </c>
      <c r="T29" s="268">
        <v>4</v>
      </c>
      <c r="U29" s="268">
        <v>2</v>
      </c>
      <c r="V29" s="268">
        <f>SUM(D29:O29)</f>
        <v>43</v>
      </c>
      <c r="W29" s="268">
        <f>SUM(J29:U29)</f>
        <v>48</v>
      </c>
    </row>
    <row r="30" spans="1:23" x14ac:dyDescent="0.25">
      <c r="A30" s="513" t="s">
        <v>68</v>
      </c>
      <c r="B30" s="603" t="s">
        <v>69</v>
      </c>
      <c r="C30" s="603" t="s">
        <v>268</v>
      </c>
      <c r="D30" s="268">
        <v>1</v>
      </c>
      <c r="E30" s="268">
        <v>3</v>
      </c>
      <c r="F30" s="268"/>
      <c r="G30" s="268"/>
      <c r="H30" s="268">
        <v>1</v>
      </c>
      <c r="I30" s="268"/>
      <c r="J30" s="268"/>
      <c r="K30" s="268">
        <v>2</v>
      </c>
      <c r="L30" s="268"/>
      <c r="M30" s="268">
        <v>2</v>
      </c>
      <c r="N30" s="268">
        <v>2</v>
      </c>
      <c r="O30" s="268">
        <v>2</v>
      </c>
      <c r="P30" s="268">
        <v>2</v>
      </c>
      <c r="Q30" s="268">
        <v>2</v>
      </c>
      <c r="R30" s="268">
        <v>3</v>
      </c>
      <c r="S30" s="268">
        <v>4</v>
      </c>
      <c r="T30" s="268">
        <v>1</v>
      </c>
      <c r="U30" s="268">
        <v>1</v>
      </c>
      <c r="V30" s="268">
        <f>SUM(D30:O30)</f>
        <v>13</v>
      </c>
      <c r="W30" s="268">
        <f>SUM(J30:U30)</f>
        <v>21</v>
      </c>
    </row>
    <row r="31" spans="1:23" x14ac:dyDescent="0.25">
      <c r="A31" s="513" t="s">
        <v>70</v>
      </c>
      <c r="B31" s="603" t="s">
        <v>71</v>
      </c>
      <c r="C31" s="603" t="s">
        <v>264</v>
      </c>
      <c r="D31" s="268">
        <v>10</v>
      </c>
      <c r="E31" s="268">
        <v>14</v>
      </c>
      <c r="F31" s="268">
        <v>11</v>
      </c>
      <c r="G31" s="268">
        <v>16</v>
      </c>
      <c r="H31" s="268">
        <v>9</v>
      </c>
      <c r="I31" s="268">
        <v>12</v>
      </c>
      <c r="J31" s="268">
        <v>8</v>
      </c>
      <c r="K31" s="268">
        <v>7</v>
      </c>
      <c r="L31" s="268">
        <v>7</v>
      </c>
      <c r="M31" s="268">
        <v>4</v>
      </c>
      <c r="N31" s="268">
        <v>5</v>
      </c>
      <c r="O31" s="268">
        <v>6</v>
      </c>
      <c r="P31" s="268">
        <v>5</v>
      </c>
      <c r="Q31" s="268">
        <v>8</v>
      </c>
      <c r="R31" s="268">
        <v>3</v>
      </c>
      <c r="S31" s="268">
        <v>9</v>
      </c>
      <c r="T31" s="268">
        <v>2</v>
      </c>
      <c r="U31" s="268">
        <v>2</v>
      </c>
      <c r="V31" s="268">
        <f>SUM(D31:O31)</f>
        <v>109</v>
      </c>
      <c r="W31" s="268">
        <f>SUM(J31:U31)</f>
        <v>66</v>
      </c>
    </row>
    <row r="32" spans="1:23" x14ac:dyDescent="0.25">
      <c r="A32" s="513" t="s">
        <v>72</v>
      </c>
      <c r="B32" s="603" t="s">
        <v>73</v>
      </c>
      <c r="C32" s="603" t="s">
        <v>266</v>
      </c>
      <c r="D32" s="268">
        <v>2</v>
      </c>
      <c r="E32" s="268">
        <v>3</v>
      </c>
      <c r="F32" s="268">
        <v>1</v>
      </c>
      <c r="G32" s="268">
        <v>1</v>
      </c>
      <c r="H32" s="268">
        <v>2</v>
      </c>
      <c r="I32" s="268">
        <v>3</v>
      </c>
      <c r="J32" s="268">
        <v>2</v>
      </c>
      <c r="K32" s="268">
        <v>1</v>
      </c>
      <c r="L32" s="268">
        <v>2</v>
      </c>
      <c r="M32" s="268">
        <v>1</v>
      </c>
      <c r="N32" s="268"/>
      <c r="O32" s="268">
        <v>3</v>
      </c>
      <c r="P32" s="268"/>
      <c r="Q32" s="268"/>
      <c r="R32" s="268">
        <v>3</v>
      </c>
      <c r="S32" s="268">
        <v>2</v>
      </c>
      <c r="T32" s="268"/>
      <c r="U32" s="268">
        <v>1</v>
      </c>
      <c r="V32" s="268">
        <f>SUM(D32:O32)</f>
        <v>21</v>
      </c>
      <c r="W32" s="268">
        <f>SUM(J32:U32)</f>
        <v>15</v>
      </c>
    </row>
    <row r="33" spans="1:23" x14ac:dyDescent="0.25">
      <c r="A33" s="513" t="s">
        <v>74</v>
      </c>
      <c r="B33" s="603" t="s">
        <v>296</v>
      </c>
      <c r="C33" s="603" t="s">
        <v>267</v>
      </c>
      <c r="D33" s="268">
        <v>93</v>
      </c>
      <c r="E33" s="268">
        <v>102</v>
      </c>
      <c r="F33" s="268">
        <v>116</v>
      </c>
      <c r="G33" s="268">
        <v>133</v>
      </c>
      <c r="H33" s="268">
        <v>153</v>
      </c>
      <c r="I33" s="268">
        <v>183</v>
      </c>
      <c r="J33" s="268">
        <v>183</v>
      </c>
      <c r="K33" s="268">
        <v>345</v>
      </c>
      <c r="L33" s="268">
        <v>415</v>
      </c>
      <c r="M33" s="268">
        <v>368</v>
      </c>
      <c r="N33" s="268">
        <v>376</v>
      </c>
      <c r="O33" s="268">
        <v>180</v>
      </c>
      <c r="P33" s="268">
        <v>106</v>
      </c>
      <c r="Q33" s="268">
        <v>276</v>
      </c>
      <c r="R33" s="268">
        <v>231</v>
      </c>
      <c r="S33" s="268">
        <v>207</v>
      </c>
      <c r="T33" s="268">
        <v>144</v>
      </c>
      <c r="U33" s="268">
        <v>75</v>
      </c>
      <c r="V33" s="268">
        <f>SUM(D33:O33)</f>
        <v>2647</v>
      </c>
      <c r="W33" s="268">
        <f>SUM(J33:U33)</f>
        <v>2906</v>
      </c>
    </row>
    <row r="34" spans="1:23" x14ac:dyDescent="0.25">
      <c r="A34" s="513" t="s">
        <v>76</v>
      </c>
      <c r="B34" s="603" t="s">
        <v>77</v>
      </c>
      <c r="C34" s="603" t="s">
        <v>267</v>
      </c>
      <c r="D34" s="268">
        <v>2</v>
      </c>
      <c r="E34" s="268">
        <v>3</v>
      </c>
      <c r="F34" s="268">
        <v>6</v>
      </c>
      <c r="G34" s="268">
        <v>5</v>
      </c>
      <c r="H34" s="268">
        <v>8</v>
      </c>
      <c r="I34" s="268">
        <v>5</v>
      </c>
      <c r="J34" s="268">
        <v>2</v>
      </c>
      <c r="K34" s="268"/>
      <c r="L34" s="268"/>
      <c r="M34" s="268">
        <v>4</v>
      </c>
      <c r="N34" s="268">
        <v>4</v>
      </c>
      <c r="O34" s="268">
        <v>4</v>
      </c>
      <c r="P34" s="268">
        <v>1</v>
      </c>
      <c r="Q34" s="268">
        <v>1</v>
      </c>
      <c r="R34" s="268"/>
      <c r="S34" s="268"/>
      <c r="T34" s="268">
        <v>1</v>
      </c>
      <c r="U34" s="268"/>
      <c r="V34" s="268">
        <f>SUM(D34:O34)</f>
        <v>43</v>
      </c>
      <c r="W34" s="268">
        <f>SUM(J34:U34)</f>
        <v>17</v>
      </c>
    </row>
    <row r="35" spans="1:23" x14ac:dyDescent="0.25">
      <c r="A35" s="513" t="s">
        <v>78</v>
      </c>
      <c r="B35" s="603" t="s">
        <v>79</v>
      </c>
      <c r="C35" s="603" t="s">
        <v>268</v>
      </c>
      <c r="D35" s="268"/>
      <c r="E35" s="268">
        <v>5</v>
      </c>
      <c r="F35" s="268"/>
      <c r="G35" s="268"/>
      <c r="H35" s="268"/>
      <c r="I35" s="268">
        <v>3</v>
      </c>
      <c r="J35" s="268">
        <v>2</v>
      </c>
      <c r="K35" s="268"/>
      <c r="L35" s="268"/>
      <c r="M35" s="268"/>
      <c r="N35" s="268"/>
      <c r="O35" s="268">
        <v>4</v>
      </c>
      <c r="P35" s="268"/>
      <c r="Q35" s="268">
        <v>2</v>
      </c>
      <c r="R35" s="268">
        <v>1</v>
      </c>
      <c r="S35" s="268">
        <v>1</v>
      </c>
      <c r="T35" s="268">
        <v>8</v>
      </c>
      <c r="U35" s="268">
        <v>3</v>
      </c>
      <c r="V35" s="268">
        <f>SUM(D35:O35)</f>
        <v>14</v>
      </c>
      <c r="W35" s="268">
        <f>SUM(J35:U35)</f>
        <v>21</v>
      </c>
    </row>
    <row r="36" spans="1:23" x14ac:dyDescent="0.25">
      <c r="A36" s="513" t="s">
        <v>80</v>
      </c>
      <c r="B36" s="603" t="s">
        <v>81</v>
      </c>
      <c r="C36" s="603" t="s">
        <v>266</v>
      </c>
      <c r="D36" s="268">
        <v>1</v>
      </c>
      <c r="E36" s="268">
        <v>3</v>
      </c>
      <c r="F36" s="268">
        <v>2</v>
      </c>
      <c r="G36" s="268">
        <v>6</v>
      </c>
      <c r="H36" s="268">
        <v>3</v>
      </c>
      <c r="I36" s="268">
        <v>6</v>
      </c>
      <c r="J36" s="268">
        <v>4</v>
      </c>
      <c r="K36" s="268">
        <v>5</v>
      </c>
      <c r="L36" s="268">
        <v>3</v>
      </c>
      <c r="M36" s="268">
        <v>4</v>
      </c>
      <c r="N36" s="268">
        <v>5</v>
      </c>
      <c r="O36" s="268">
        <v>7</v>
      </c>
      <c r="P36" s="268">
        <v>7</v>
      </c>
      <c r="Q36" s="268">
        <v>8</v>
      </c>
      <c r="R36" s="268">
        <v>7</v>
      </c>
      <c r="S36" s="268">
        <v>7</v>
      </c>
      <c r="T36" s="268">
        <v>10</v>
      </c>
      <c r="U36" s="268">
        <v>4</v>
      </c>
      <c r="V36" s="268">
        <f>SUM(D36:O36)</f>
        <v>49</v>
      </c>
      <c r="W36" s="268">
        <f>SUM(J36:U36)</f>
        <v>71</v>
      </c>
    </row>
    <row r="37" spans="1:23" x14ac:dyDescent="0.25">
      <c r="A37" s="513" t="s">
        <v>84</v>
      </c>
      <c r="B37" s="603" t="s">
        <v>85</v>
      </c>
      <c r="C37" s="603" t="s">
        <v>265</v>
      </c>
      <c r="D37" s="268">
        <v>9</v>
      </c>
      <c r="E37" s="268">
        <v>30</v>
      </c>
      <c r="F37" s="268">
        <v>14</v>
      </c>
      <c r="G37" s="268">
        <v>12</v>
      </c>
      <c r="H37" s="268">
        <v>15</v>
      </c>
      <c r="I37" s="268">
        <v>13</v>
      </c>
      <c r="J37" s="268">
        <v>17</v>
      </c>
      <c r="K37" s="268">
        <v>16</v>
      </c>
      <c r="L37" s="268">
        <v>13</v>
      </c>
      <c r="M37" s="268">
        <v>22</v>
      </c>
      <c r="N37" s="268">
        <v>25</v>
      </c>
      <c r="O37" s="268">
        <v>21</v>
      </c>
      <c r="P37" s="268">
        <v>17</v>
      </c>
      <c r="Q37" s="268">
        <v>18</v>
      </c>
      <c r="R37" s="268">
        <v>4</v>
      </c>
      <c r="S37" s="268">
        <v>10</v>
      </c>
      <c r="T37" s="268">
        <v>17</v>
      </c>
      <c r="U37" s="268">
        <v>8</v>
      </c>
      <c r="V37" s="268">
        <f>SUM(D37:O37)</f>
        <v>207</v>
      </c>
      <c r="W37" s="268">
        <f>SUM(J37:U37)</f>
        <v>188</v>
      </c>
    </row>
    <row r="38" spans="1:23" x14ac:dyDescent="0.25">
      <c r="A38" s="513" t="s">
        <v>86</v>
      </c>
      <c r="B38" s="603" t="s">
        <v>87</v>
      </c>
      <c r="C38" s="603" t="s">
        <v>267</v>
      </c>
      <c r="D38" s="268">
        <v>10</v>
      </c>
      <c r="E38" s="268">
        <v>6</v>
      </c>
      <c r="F38" s="268">
        <v>9</v>
      </c>
      <c r="G38" s="268">
        <v>4</v>
      </c>
      <c r="H38" s="268">
        <v>7</v>
      </c>
      <c r="I38" s="268">
        <v>2</v>
      </c>
      <c r="J38" s="268">
        <v>6</v>
      </c>
      <c r="K38" s="268">
        <v>3</v>
      </c>
      <c r="L38" s="268">
        <v>3</v>
      </c>
      <c r="M38" s="268">
        <v>12</v>
      </c>
      <c r="N38" s="268">
        <v>17</v>
      </c>
      <c r="O38" s="268">
        <v>17</v>
      </c>
      <c r="P38" s="268">
        <v>25</v>
      </c>
      <c r="Q38" s="268">
        <v>30</v>
      </c>
      <c r="R38" s="268">
        <v>16</v>
      </c>
      <c r="S38" s="268">
        <v>23</v>
      </c>
      <c r="T38" s="268">
        <v>15</v>
      </c>
      <c r="U38" s="268">
        <v>11</v>
      </c>
      <c r="V38" s="268">
        <f>SUM(D38:O38)</f>
        <v>96</v>
      </c>
      <c r="W38" s="268">
        <f>SUM(J38:U38)</f>
        <v>178</v>
      </c>
    </row>
    <row r="39" spans="1:23" x14ac:dyDescent="0.25">
      <c r="A39" s="513" t="s">
        <v>92</v>
      </c>
      <c r="B39" s="603" t="s">
        <v>93</v>
      </c>
      <c r="C39" s="603" t="s">
        <v>268</v>
      </c>
      <c r="D39" s="268">
        <v>1</v>
      </c>
      <c r="E39" s="268">
        <v>2</v>
      </c>
      <c r="F39" s="268">
        <v>4</v>
      </c>
      <c r="G39" s="268">
        <v>1</v>
      </c>
      <c r="H39" s="268">
        <v>1</v>
      </c>
      <c r="I39" s="268"/>
      <c r="J39" s="268">
        <v>1</v>
      </c>
      <c r="K39" s="268">
        <v>2</v>
      </c>
      <c r="L39" s="268">
        <v>3</v>
      </c>
      <c r="M39" s="268"/>
      <c r="N39" s="268"/>
      <c r="O39" s="268"/>
      <c r="P39" s="268">
        <v>3</v>
      </c>
      <c r="Q39" s="268"/>
      <c r="R39" s="268">
        <v>1</v>
      </c>
      <c r="S39" s="268">
        <v>2</v>
      </c>
      <c r="T39" s="268">
        <v>1</v>
      </c>
      <c r="U39" s="268">
        <v>5</v>
      </c>
      <c r="V39" s="268">
        <f>SUM(D39:O39)</f>
        <v>15</v>
      </c>
      <c r="W39" s="268">
        <f>SUM(J39:U39)</f>
        <v>18</v>
      </c>
    </row>
    <row r="40" spans="1:23" x14ac:dyDescent="0.25">
      <c r="A40" s="513" t="s">
        <v>94</v>
      </c>
      <c r="B40" s="603" t="s">
        <v>95</v>
      </c>
      <c r="C40" s="603" t="s">
        <v>264</v>
      </c>
      <c r="D40" s="268">
        <v>7</v>
      </c>
      <c r="E40" s="268">
        <v>12</v>
      </c>
      <c r="F40" s="268">
        <v>15</v>
      </c>
      <c r="G40" s="268">
        <v>15</v>
      </c>
      <c r="H40" s="268">
        <v>13</v>
      </c>
      <c r="I40" s="268">
        <v>11</v>
      </c>
      <c r="J40" s="268">
        <v>6</v>
      </c>
      <c r="K40" s="268">
        <v>10</v>
      </c>
      <c r="L40" s="268">
        <v>11</v>
      </c>
      <c r="M40" s="268">
        <v>15</v>
      </c>
      <c r="N40" s="268">
        <v>9</v>
      </c>
      <c r="O40" s="268">
        <v>8</v>
      </c>
      <c r="P40" s="268">
        <v>6</v>
      </c>
      <c r="Q40" s="268">
        <v>6</v>
      </c>
      <c r="R40" s="268">
        <v>4</v>
      </c>
      <c r="S40" s="268">
        <v>5</v>
      </c>
      <c r="T40" s="268">
        <v>7</v>
      </c>
      <c r="U40" s="268">
        <v>5</v>
      </c>
      <c r="V40" s="268">
        <f>SUM(D40:O40)</f>
        <v>132</v>
      </c>
      <c r="W40" s="268">
        <f>SUM(J40:U40)</f>
        <v>92</v>
      </c>
    </row>
    <row r="41" spans="1:23" x14ac:dyDescent="0.25">
      <c r="A41" s="513" t="s">
        <v>96</v>
      </c>
      <c r="B41" s="603" t="s">
        <v>97</v>
      </c>
      <c r="C41" s="603" t="s">
        <v>266</v>
      </c>
      <c r="D41" s="268"/>
      <c r="E41" s="268">
        <v>1</v>
      </c>
      <c r="F41" s="268">
        <v>1</v>
      </c>
      <c r="G41" s="268"/>
      <c r="H41" s="268">
        <v>3</v>
      </c>
      <c r="I41" s="268">
        <v>3</v>
      </c>
      <c r="J41" s="268">
        <v>3</v>
      </c>
      <c r="K41" s="268">
        <v>2</v>
      </c>
      <c r="L41" s="268">
        <v>2</v>
      </c>
      <c r="M41" s="268">
        <v>2</v>
      </c>
      <c r="N41" s="268"/>
      <c r="O41" s="268">
        <v>1</v>
      </c>
      <c r="P41" s="268">
        <v>1</v>
      </c>
      <c r="Q41" s="268">
        <v>1</v>
      </c>
      <c r="R41" s="268">
        <v>1</v>
      </c>
      <c r="S41" s="268">
        <v>1</v>
      </c>
      <c r="T41" s="268"/>
      <c r="U41" s="268">
        <v>1</v>
      </c>
      <c r="V41" s="268">
        <f>SUM(D41:O41)</f>
        <v>18</v>
      </c>
      <c r="W41" s="268">
        <f>SUM(J41:U41)</f>
        <v>15</v>
      </c>
    </row>
    <row r="42" spans="1:23" x14ac:dyDescent="0.25">
      <c r="A42" s="513" t="s">
        <v>98</v>
      </c>
      <c r="B42" s="603" t="s">
        <v>99</v>
      </c>
      <c r="C42" s="603" t="s">
        <v>268</v>
      </c>
      <c r="D42" s="268">
        <v>2</v>
      </c>
      <c r="E42" s="268">
        <v>2</v>
      </c>
      <c r="F42" s="268">
        <v>2</v>
      </c>
      <c r="G42" s="268">
        <v>1</v>
      </c>
      <c r="H42" s="268">
        <v>2</v>
      </c>
      <c r="I42" s="268">
        <v>3</v>
      </c>
      <c r="J42" s="268">
        <v>2</v>
      </c>
      <c r="K42" s="268">
        <v>5</v>
      </c>
      <c r="L42" s="268"/>
      <c r="M42" s="268">
        <v>4</v>
      </c>
      <c r="N42" s="268">
        <v>2</v>
      </c>
      <c r="O42" s="268">
        <v>3</v>
      </c>
      <c r="P42" s="268">
        <v>1</v>
      </c>
      <c r="Q42" s="268">
        <v>2</v>
      </c>
      <c r="R42" s="268"/>
      <c r="S42" s="268">
        <v>2</v>
      </c>
      <c r="T42" s="268">
        <v>1</v>
      </c>
      <c r="U42" s="268"/>
      <c r="V42" s="268">
        <f>SUM(D42:O42)</f>
        <v>28</v>
      </c>
      <c r="W42" s="268">
        <f>SUM(J42:U42)</f>
        <v>22</v>
      </c>
    </row>
    <row r="43" spans="1:23" x14ac:dyDescent="0.25">
      <c r="A43" s="513" t="s">
        <v>100</v>
      </c>
      <c r="B43" s="603" t="s">
        <v>101</v>
      </c>
      <c r="C43" s="603" t="s">
        <v>267</v>
      </c>
      <c r="D43" s="268">
        <v>3</v>
      </c>
      <c r="E43" s="268">
        <v>3</v>
      </c>
      <c r="F43" s="268"/>
      <c r="G43" s="268"/>
      <c r="H43" s="268">
        <v>3</v>
      </c>
      <c r="I43" s="268">
        <v>2</v>
      </c>
      <c r="J43" s="268">
        <v>4</v>
      </c>
      <c r="K43" s="268"/>
      <c r="L43" s="268">
        <v>1</v>
      </c>
      <c r="M43" s="268">
        <v>3</v>
      </c>
      <c r="N43" s="268"/>
      <c r="O43" s="268">
        <v>1</v>
      </c>
      <c r="P43" s="268">
        <v>4</v>
      </c>
      <c r="Q43" s="268">
        <v>5</v>
      </c>
      <c r="R43" s="268">
        <v>2</v>
      </c>
      <c r="S43" s="268"/>
      <c r="T43" s="268">
        <v>3</v>
      </c>
      <c r="U43" s="268"/>
      <c r="V43" s="268">
        <f>SUM(D43:O43)</f>
        <v>20</v>
      </c>
      <c r="W43" s="268">
        <f>SUM(J43:U43)</f>
        <v>23</v>
      </c>
    </row>
    <row r="44" spans="1:23" x14ac:dyDescent="0.25">
      <c r="A44" s="513" t="s">
        <v>102</v>
      </c>
      <c r="B44" s="603" t="s">
        <v>282</v>
      </c>
      <c r="C44" s="603" t="s">
        <v>264</v>
      </c>
      <c r="D44" s="268">
        <v>11</v>
      </c>
      <c r="E44" s="268">
        <v>11</v>
      </c>
      <c r="F44" s="268">
        <v>6</v>
      </c>
      <c r="G44" s="268">
        <v>5</v>
      </c>
      <c r="H44" s="268">
        <v>10</v>
      </c>
      <c r="I44" s="268">
        <v>5</v>
      </c>
      <c r="J44" s="268">
        <v>3</v>
      </c>
      <c r="K44" s="268">
        <v>2</v>
      </c>
      <c r="L44" s="268">
        <v>8</v>
      </c>
      <c r="M44" s="268">
        <v>7</v>
      </c>
      <c r="N44" s="268">
        <v>10</v>
      </c>
      <c r="O44" s="268">
        <v>4</v>
      </c>
      <c r="P44" s="268">
        <v>7</v>
      </c>
      <c r="Q44" s="268">
        <v>6</v>
      </c>
      <c r="R44" s="268">
        <v>3</v>
      </c>
      <c r="S44" s="268">
        <v>5</v>
      </c>
      <c r="T44" s="268">
        <v>2</v>
      </c>
      <c r="U44" s="268">
        <v>1</v>
      </c>
      <c r="V44" s="268">
        <f>SUM(D44:O44)</f>
        <v>82</v>
      </c>
      <c r="W44" s="268">
        <f>SUM(J44:U44)</f>
        <v>58</v>
      </c>
    </row>
    <row r="45" spans="1:23" x14ac:dyDescent="0.25">
      <c r="A45" s="513" t="s">
        <v>104</v>
      </c>
      <c r="B45" s="603" t="s">
        <v>105</v>
      </c>
      <c r="C45" s="603" t="s">
        <v>265</v>
      </c>
      <c r="D45" s="268">
        <v>5</v>
      </c>
      <c r="E45" s="268">
        <v>16</v>
      </c>
      <c r="F45" s="268">
        <v>13</v>
      </c>
      <c r="G45" s="268">
        <v>9</v>
      </c>
      <c r="H45" s="268">
        <v>5</v>
      </c>
      <c r="I45" s="268">
        <v>4</v>
      </c>
      <c r="J45" s="268">
        <v>2</v>
      </c>
      <c r="K45" s="268">
        <v>4</v>
      </c>
      <c r="L45" s="268">
        <v>1</v>
      </c>
      <c r="M45" s="268">
        <v>5</v>
      </c>
      <c r="N45" s="268">
        <v>5</v>
      </c>
      <c r="O45" s="268">
        <v>6</v>
      </c>
      <c r="P45" s="268">
        <v>7</v>
      </c>
      <c r="Q45" s="268">
        <v>17</v>
      </c>
      <c r="R45" s="268">
        <v>14</v>
      </c>
      <c r="S45" s="268">
        <v>10</v>
      </c>
      <c r="T45" s="268">
        <v>6</v>
      </c>
      <c r="U45" s="268">
        <v>6</v>
      </c>
      <c r="V45" s="268">
        <f>SUM(D45:O45)</f>
        <v>75</v>
      </c>
      <c r="W45" s="268">
        <f>SUM(J45:U45)</f>
        <v>83</v>
      </c>
    </row>
    <row r="46" spans="1:23" x14ac:dyDescent="0.25">
      <c r="A46" s="513" t="s">
        <v>108</v>
      </c>
      <c r="B46" s="603" t="s">
        <v>109</v>
      </c>
      <c r="C46" s="603" t="s">
        <v>266</v>
      </c>
      <c r="D46" s="268">
        <v>18</v>
      </c>
      <c r="E46" s="268">
        <v>27</v>
      </c>
      <c r="F46" s="268">
        <v>26</v>
      </c>
      <c r="G46" s="268">
        <v>18</v>
      </c>
      <c r="H46" s="268">
        <v>11</v>
      </c>
      <c r="I46" s="268">
        <v>9</v>
      </c>
      <c r="J46" s="268">
        <v>10</v>
      </c>
      <c r="K46" s="268">
        <v>11</v>
      </c>
      <c r="L46" s="268">
        <v>18</v>
      </c>
      <c r="M46" s="268">
        <v>10</v>
      </c>
      <c r="N46" s="268">
        <v>16</v>
      </c>
      <c r="O46" s="268">
        <v>15</v>
      </c>
      <c r="P46" s="268">
        <v>23</v>
      </c>
      <c r="Q46" s="268">
        <v>32</v>
      </c>
      <c r="R46" s="268">
        <v>26</v>
      </c>
      <c r="S46" s="268">
        <v>25</v>
      </c>
      <c r="T46" s="268">
        <v>19</v>
      </c>
      <c r="U46" s="268">
        <v>22</v>
      </c>
      <c r="V46" s="268">
        <f>SUM(D46:O46)</f>
        <v>189</v>
      </c>
      <c r="W46" s="268">
        <f>SUM(J46:U46)</f>
        <v>227</v>
      </c>
    </row>
    <row r="47" spans="1:23" x14ac:dyDescent="0.25">
      <c r="A47" s="513" t="s">
        <v>110</v>
      </c>
      <c r="B47" s="603" t="s">
        <v>111</v>
      </c>
      <c r="C47" s="603" t="s">
        <v>266</v>
      </c>
      <c r="D47" s="268">
        <v>47</v>
      </c>
      <c r="E47" s="268">
        <v>47</v>
      </c>
      <c r="F47" s="268">
        <v>53</v>
      </c>
      <c r="G47" s="268">
        <v>71</v>
      </c>
      <c r="H47" s="268">
        <v>57</v>
      </c>
      <c r="I47" s="268">
        <v>43</v>
      </c>
      <c r="J47" s="268">
        <v>51</v>
      </c>
      <c r="K47" s="268">
        <v>39</v>
      </c>
      <c r="L47" s="268">
        <v>63</v>
      </c>
      <c r="M47" s="268">
        <v>58</v>
      </c>
      <c r="N47" s="268">
        <v>57</v>
      </c>
      <c r="O47" s="268">
        <v>50</v>
      </c>
      <c r="P47" s="268">
        <v>56</v>
      </c>
      <c r="Q47" s="268">
        <v>63</v>
      </c>
      <c r="R47" s="268">
        <v>61</v>
      </c>
      <c r="S47" s="268">
        <v>74</v>
      </c>
      <c r="T47" s="268">
        <v>47</v>
      </c>
      <c r="U47" s="268">
        <v>43</v>
      </c>
      <c r="V47" s="268">
        <f>SUM(D47:O47)</f>
        <v>636</v>
      </c>
      <c r="W47" s="268">
        <f>SUM(J47:U47)</f>
        <v>662</v>
      </c>
    </row>
    <row r="48" spans="1:23" x14ac:dyDescent="0.25">
      <c r="A48" s="513" t="s">
        <v>112</v>
      </c>
      <c r="B48" s="603" t="s">
        <v>300</v>
      </c>
      <c r="C48" s="603" t="s">
        <v>265</v>
      </c>
      <c r="D48" s="268">
        <v>72</v>
      </c>
      <c r="E48" s="268">
        <v>56</v>
      </c>
      <c r="F48" s="268">
        <v>44</v>
      </c>
      <c r="G48" s="268">
        <v>40</v>
      </c>
      <c r="H48" s="268">
        <v>38</v>
      </c>
      <c r="I48" s="268">
        <v>30</v>
      </c>
      <c r="J48" s="268">
        <v>19</v>
      </c>
      <c r="K48" s="268">
        <v>29</v>
      </c>
      <c r="L48" s="268">
        <v>34</v>
      </c>
      <c r="M48" s="268">
        <v>22</v>
      </c>
      <c r="N48" s="268">
        <v>48</v>
      </c>
      <c r="O48" s="268">
        <v>57</v>
      </c>
      <c r="P48" s="268">
        <v>31</v>
      </c>
      <c r="Q48" s="268">
        <v>40</v>
      </c>
      <c r="R48" s="268">
        <v>35</v>
      </c>
      <c r="S48" s="268">
        <v>37</v>
      </c>
      <c r="T48" s="268">
        <v>26</v>
      </c>
      <c r="U48" s="268">
        <v>24</v>
      </c>
      <c r="V48" s="268">
        <f>SUM(D48:O48)</f>
        <v>489</v>
      </c>
      <c r="W48" s="268">
        <f>SUM(J48:U48)</f>
        <v>402</v>
      </c>
    </row>
    <row r="49" spans="1:23" x14ac:dyDescent="0.25">
      <c r="A49" s="513" t="s">
        <v>114</v>
      </c>
      <c r="B49" s="603" t="s">
        <v>115</v>
      </c>
      <c r="C49" s="603" t="s">
        <v>265</v>
      </c>
      <c r="D49" s="268"/>
      <c r="E49" s="268"/>
      <c r="F49" s="268"/>
      <c r="G49" s="268"/>
      <c r="H49" s="268"/>
      <c r="I49" s="268"/>
      <c r="J49" s="268"/>
      <c r="K49" s="268"/>
      <c r="L49" s="268"/>
      <c r="M49" s="268"/>
      <c r="N49" s="268"/>
      <c r="O49" s="268">
        <v>1</v>
      </c>
      <c r="P49" s="268"/>
      <c r="Q49" s="268"/>
      <c r="R49" s="268"/>
      <c r="S49" s="268"/>
      <c r="T49" s="268"/>
      <c r="U49" s="268"/>
      <c r="V49" s="268">
        <f>SUM(D49:O49)</f>
        <v>1</v>
      </c>
      <c r="W49" s="268">
        <f>SUM(J49:U49)</f>
        <v>1</v>
      </c>
    </row>
    <row r="50" spans="1:23" x14ac:dyDescent="0.25">
      <c r="A50" s="513" t="s">
        <v>118</v>
      </c>
      <c r="B50" s="603" t="s">
        <v>270</v>
      </c>
      <c r="C50" s="603" t="s">
        <v>264</v>
      </c>
      <c r="D50" s="268">
        <v>2</v>
      </c>
      <c r="E50" s="268">
        <v>3</v>
      </c>
      <c r="F50" s="268">
        <v>3</v>
      </c>
      <c r="G50" s="268">
        <v>1</v>
      </c>
      <c r="H50" s="268"/>
      <c r="I50" s="268"/>
      <c r="J50" s="268">
        <v>2</v>
      </c>
      <c r="K50" s="268"/>
      <c r="L50" s="268">
        <v>4</v>
      </c>
      <c r="M50" s="268">
        <v>2</v>
      </c>
      <c r="N50" s="268">
        <v>1</v>
      </c>
      <c r="O50" s="268">
        <v>2</v>
      </c>
      <c r="P50" s="268"/>
      <c r="Q50" s="268">
        <v>2</v>
      </c>
      <c r="R50" s="268">
        <v>1</v>
      </c>
      <c r="S50" s="268"/>
      <c r="T50" s="268"/>
      <c r="U50" s="268">
        <v>1</v>
      </c>
      <c r="V50" s="268">
        <f>SUM(D50:O50)</f>
        <v>20</v>
      </c>
      <c r="W50" s="268">
        <f>SUM(J50:U50)</f>
        <v>15</v>
      </c>
    </row>
    <row r="51" spans="1:23" x14ac:dyDescent="0.25">
      <c r="A51" s="513" t="s">
        <v>120</v>
      </c>
      <c r="B51" s="603" t="s">
        <v>121</v>
      </c>
      <c r="C51" s="603" t="s">
        <v>264</v>
      </c>
      <c r="D51" s="268">
        <v>5</v>
      </c>
      <c r="E51" s="268">
        <v>8</v>
      </c>
      <c r="F51" s="268">
        <v>10</v>
      </c>
      <c r="G51" s="268">
        <v>13</v>
      </c>
      <c r="H51" s="268">
        <v>8</v>
      </c>
      <c r="I51" s="268">
        <v>24</v>
      </c>
      <c r="J51" s="268">
        <v>35</v>
      </c>
      <c r="K51" s="268">
        <v>16</v>
      </c>
      <c r="L51" s="268">
        <v>40</v>
      </c>
      <c r="M51" s="268">
        <v>27</v>
      </c>
      <c r="N51" s="268">
        <v>27</v>
      </c>
      <c r="O51" s="268">
        <v>9</v>
      </c>
      <c r="P51" s="268">
        <v>7</v>
      </c>
      <c r="Q51" s="268">
        <v>10</v>
      </c>
      <c r="R51" s="268">
        <v>13</v>
      </c>
      <c r="S51" s="268">
        <v>22</v>
      </c>
      <c r="T51" s="268">
        <v>24</v>
      </c>
      <c r="U51" s="268">
        <v>28</v>
      </c>
      <c r="V51" s="268">
        <f>SUM(D51:O51)</f>
        <v>222</v>
      </c>
      <c r="W51" s="268">
        <f>SUM(J51:U51)</f>
        <v>258</v>
      </c>
    </row>
    <row r="52" spans="1:23" x14ac:dyDescent="0.25">
      <c r="A52" s="513" t="s">
        <v>122</v>
      </c>
      <c r="B52" s="603" t="s">
        <v>287</v>
      </c>
      <c r="C52" s="603" t="s">
        <v>266</v>
      </c>
      <c r="D52" s="268">
        <v>1</v>
      </c>
      <c r="E52" s="268">
        <v>2</v>
      </c>
      <c r="F52" s="268">
        <v>4</v>
      </c>
      <c r="G52" s="268">
        <v>4</v>
      </c>
      <c r="H52" s="268">
        <v>1</v>
      </c>
      <c r="I52" s="268">
        <v>1</v>
      </c>
      <c r="J52" s="268"/>
      <c r="K52" s="268">
        <v>6</v>
      </c>
      <c r="L52" s="268">
        <v>2</v>
      </c>
      <c r="M52" s="268">
        <v>5</v>
      </c>
      <c r="N52" s="268">
        <v>2</v>
      </c>
      <c r="O52" s="268">
        <v>11</v>
      </c>
      <c r="P52" s="268">
        <v>7</v>
      </c>
      <c r="Q52" s="268">
        <v>7</v>
      </c>
      <c r="R52" s="268"/>
      <c r="S52" s="268">
        <v>1</v>
      </c>
      <c r="T52" s="268"/>
      <c r="U52" s="268">
        <v>1</v>
      </c>
      <c r="V52" s="268">
        <f>SUM(D52:O52)</f>
        <v>39</v>
      </c>
      <c r="W52" s="268">
        <f>SUM(J52:U52)</f>
        <v>42</v>
      </c>
    </row>
    <row r="53" spans="1:23" x14ac:dyDescent="0.25">
      <c r="A53" s="513" t="s">
        <v>124</v>
      </c>
      <c r="B53" s="603" t="s">
        <v>125</v>
      </c>
      <c r="C53" s="603" t="s">
        <v>267</v>
      </c>
      <c r="D53" s="268">
        <v>1</v>
      </c>
      <c r="E53" s="268"/>
      <c r="F53" s="268">
        <v>1</v>
      </c>
      <c r="G53" s="268">
        <v>2</v>
      </c>
      <c r="H53" s="268">
        <v>2</v>
      </c>
      <c r="I53" s="268">
        <v>5</v>
      </c>
      <c r="J53" s="268">
        <v>2</v>
      </c>
      <c r="K53" s="268">
        <v>3</v>
      </c>
      <c r="L53" s="268">
        <v>9</v>
      </c>
      <c r="M53" s="268">
        <v>3</v>
      </c>
      <c r="N53" s="268"/>
      <c r="O53" s="268">
        <v>4</v>
      </c>
      <c r="P53" s="268"/>
      <c r="Q53" s="268">
        <v>2</v>
      </c>
      <c r="R53" s="268">
        <v>4</v>
      </c>
      <c r="S53" s="268">
        <v>10</v>
      </c>
      <c r="T53" s="268">
        <v>2</v>
      </c>
      <c r="U53" s="268">
        <v>3</v>
      </c>
      <c r="V53" s="268">
        <f>SUM(D53:O53)</f>
        <v>32</v>
      </c>
      <c r="W53" s="268">
        <f>SUM(J53:U53)</f>
        <v>42</v>
      </c>
    </row>
    <row r="54" spans="1:23" x14ac:dyDescent="0.25">
      <c r="A54" s="513" t="s">
        <v>126</v>
      </c>
      <c r="B54" s="603" t="s">
        <v>127</v>
      </c>
      <c r="C54" s="603" t="s">
        <v>266</v>
      </c>
      <c r="D54" s="268">
        <v>6</v>
      </c>
      <c r="E54" s="268">
        <v>4</v>
      </c>
      <c r="F54" s="268">
        <v>7</v>
      </c>
      <c r="G54" s="268">
        <v>5</v>
      </c>
      <c r="H54" s="268">
        <v>5</v>
      </c>
      <c r="I54" s="268">
        <v>6</v>
      </c>
      <c r="J54" s="268"/>
      <c r="K54" s="268">
        <v>11</v>
      </c>
      <c r="L54" s="268">
        <v>3</v>
      </c>
      <c r="M54" s="268">
        <v>4</v>
      </c>
      <c r="N54" s="268">
        <v>6</v>
      </c>
      <c r="O54" s="268">
        <v>1</v>
      </c>
      <c r="P54" s="268">
        <v>6</v>
      </c>
      <c r="Q54" s="268">
        <v>4</v>
      </c>
      <c r="R54" s="268">
        <v>8</v>
      </c>
      <c r="S54" s="268">
        <v>8</v>
      </c>
      <c r="T54" s="268">
        <v>10</v>
      </c>
      <c r="U54" s="268">
        <v>10</v>
      </c>
      <c r="V54" s="268">
        <f>SUM(D54:O54)</f>
        <v>58</v>
      </c>
      <c r="W54" s="268">
        <f>SUM(J54:U54)</f>
        <v>71</v>
      </c>
    </row>
    <row r="55" spans="1:23" x14ac:dyDescent="0.25">
      <c r="A55" s="513" t="s">
        <v>128</v>
      </c>
      <c r="B55" s="603" t="s">
        <v>129</v>
      </c>
      <c r="C55" s="603" t="s">
        <v>266</v>
      </c>
      <c r="D55" s="268">
        <v>2</v>
      </c>
      <c r="E55" s="268">
        <v>3</v>
      </c>
      <c r="F55" s="268">
        <v>4</v>
      </c>
      <c r="G55" s="268">
        <v>2</v>
      </c>
      <c r="H55" s="268"/>
      <c r="I55" s="268">
        <v>2</v>
      </c>
      <c r="J55" s="268">
        <v>3</v>
      </c>
      <c r="K55" s="268">
        <v>3</v>
      </c>
      <c r="L55" s="268">
        <v>3</v>
      </c>
      <c r="M55" s="268"/>
      <c r="N55" s="268">
        <v>2</v>
      </c>
      <c r="O55" s="268">
        <v>1</v>
      </c>
      <c r="P55" s="268">
        <v>2</v>
      </c>
      <c r="Q55" s="268">
        <v>1</v>
      </c>
      <c r="R55" s="268">
        <v>1</v>
      </c>
      <c r="S55" s="268"/>
      <c r="T55" s="268">
        <v>3</v>
      </c>
      <c r="U55" s="268"/>
      <c r="V55" s="268">
        <f>SUM(D55:O55)</f>
        <v>25</v>
      </c>
      <c r="W55" s="268">
        <f>SUM(J55:U55)</f>
        <v>19</v>
      </c>
    </row>
    <row r="56" spans="1:23" x14ac:dyDescent="0.25">
      <c r="A56" s="513" t="s">
        <v>130</v>
      </c>
      <c r="B56" s="603" t="s">
        <v>131</v>
      </c>
      <c r="C56" s="603" t="s">
        <v>268</v>
      </c>
      <c r="D56" s="268">
        <v>1</v>
      </c>
      <c r="E56" s="268">
        <v>4</v>
      </c>
      <c r="F56" s="268">
        <v>2</v>
      </c>
      <c r="G56" s="268"/>
      <c r="H56" s="268"/>
      <c r="I56" s="268">
        <v>3</v>
      </c>
      <c r="J56" s="268"/>
      <c r="K56" s="268">
        <v>1</v>
      </c>
      <c r="L56" s="268">
        <v>4</v>
      </c>
      <c r="M56" s="268">
        <v>1</v>
      </c>
      <c r="N56" s="268">
        <v>6</v>
      </c>
      <c r="O56" s="268">
        <v>2</v>
      </c>
      <c r="P56" s="268"/>
      <c r="Q56" s="268">
        <v>9</v>
      </c>
      <c r="R56" s="268">
        <v>3</v>
      </c>
      <c r="S56" s="268">
        <v>4</v>
      </c>
      <c r="T56" s="268">
        <v>4</v>
      </c>
      <c r="U56" s="268">
        <v>1</v>
      </c>
      <c r="V56" s="268">
        <f>SUM(D56:O56)</f>
        <v>24</v>
      </c>
      <c r="W56" s="268">
        <f>SUM(J56:U56)</f>
        <v>35</v>
      </c>
    </row>
    <row r="57" spans="1:23" x14ac:dyDescent="0.25">
      <c r="A57" s="513" t="s">
        <v>132</v>
      </c>
      <c r="B57" s="603" t="s">
        <v>133</v>
      </c>
      <c r="C57" s="603" t="s">
        <v>267</v>
      </c>
      <c r="D57" s="268">
        <v>24</v>
      </c>
      <c r="E57" s="268">
        <v>58</v>
      </c>
      <c r="F57" s="268">
        <v>38</v>
      </c>
      <c r="G57" s="268">
        <v>38</v>
      </c>
      <c r="H57" s="268">
        <v>43</v>
      </c>
      <c r="I57" s="268">
        <v>39</v>
      </c>
      <c r="J57" s="268">
        <v>45</v>
      </c>
      <c r="K57" s="268">
        <v>30</v>
      </c>
      <c r="L57" s="268">
        <v>29</v>
      </c>
      <c r="M57" s="268">
        <v>20</v>
      </c>
      <c r="N57" s="268">
        <v>23</v>
      </c>
      <c r="O57" s="268">
        <v>18</v>
      </c>
      <c r="P57" s="268">
        <v>27</v>
      </c>
      <c r="Q57" s="268">
        <v>40</v>
      </c>
      <c r="R57" s="268">
        <v>25</v>
      </c>
      <c r="S57" s="268">
        <v>30</v>
      </c>
      <c r="T57" s="268">
        <v>18</v>
      </c>
      <c r="U57" s="268">
        <v>23</v>
      </c>
      <c r="V57" s="268">
        <f>SUM(D57:O57)</f>
        <v>405</v>
      </c>
      <c r="W57" s="268">
        <f>SUM(J57:U57)</f>
        <v>328</v>
      </c>
    </row>
    <row r="58" spans="1:23" x14ac:dyDescent="0.25">
      <c r="A58" s="513" t="s">
        <v>134</v>
      </c>
      <c r="B58" s="603" t="s">
        <v>135</v>
      </c>
      <c r="C58" s="603" t="s">
        <v>267</v>
      </c>
      <c r="D58" s="268">
        <v>4</v>
      </c>
      <c r="E58" s="268"/>
      <c r="F58" s="268">
        <v>17</v>
      </c>
      <c r="G58" s="268">
        <v>4</v>
      </c>
      <c r="H58" s="268">
        <v>22</v>
      </c>
      <c r="I58" s="268">
        <v>3</v>
      </c>
      <c r="J58" s="268">
        <v>13</v>
      </c>
      <c r="K58" s="268">
        <v>1</v>
      </c>
      <c r="L58" s="268">
        <v>1</v>
      </c>
      <c r="M58" s="268">
        <v>5</v>
      </c>
      <c r="N58" s="268"/>
      <c r="O58" s="268">
        <v>1</v>
      </c>
      <c r="P58" s="268">
        <v>1</v>
      </c>
      <c r="Q58" s="268">
        <v>2</v>
      </c>
      <c r="R58" s="268">
        <v>3</v>
      </c>
      <c r="S58" s="268">
        <v>1</v>
      </c>
      <c r="T58" s="268">
        <v>1</v>
      </c>
      <c r="U58" s="268">
        <v>6</v>
      </c>
      <c r="V58" s="268">
        <f>SUM(D58:O58)</f>
        <v>71</v>
      </c>
      <c r="W58" s="268">
        <f>SUM(J58:U58)</f>
        <v>35</v>
      </c>
    </row>
    <row r="59" spans="1:23" x14ac:dyDescent="0.25">
      <c r="A59" s="513" t="s">
        <v>136</v>
      </c>
      <c r="B59" s="603" t="s">
        <v>137</v>
      </c>
      <c r="C59" s="603" t="s">
        <v>266</v>
      </c>
      <c r="D59" s="268">
        <v>4</v>
      </c>
      <c r="E59" s="268">
        <v>3</v>
      </c>
      <c r="F59" s="268">
        <v>7</v>
      </c>
      <c r="G59" s="268">
        <v>2</v>
      </c>
      <c r="H59" s="268"/>
      <c r="I59" s="268">
        <v>2</v>
      </c>
      <c r="J59" s="268"/>
      <c r="K59" s="268">
        <v>1</v>
      </c>
      <c r="L59" s="268"/>
      <c r="M59" s="268">
        <v>2</v>
      </c>
      <c r="N59" s="268">
        <v>2</v>
      </c>
      <c r="O59" s="268"/>
      <c r="P59" s="268">
        <v>3</v>
      </c>
      <c r="Q59" s="268"/>
      <c r="R59" s="268">
        <v>2</v>
      </c>
      <c r="S59" s="268">
        <v>1</v>
      </c>
      <c r="T59" s="268">
        <v>1</v>
      </c>
      <c r="U59" s="268"/>
      <c r="V59" s="268">
        <f>SUM(D59:O59)</f>
        <v>23</v>
      </c>
      <c r="W59" s="268">
        <f>SUM(J59:U59)</f>
        <v>12</v>
      </c>
    </row>
    <row r="60" spans="1:23" x14ac:dyDescent="0.25">
      <c r="A60" s="513" t="s">
        <v>140</v>
      </c>
      <c r="B60" s="603" t="s">
        <v>141</v>
      </c>
      <c r="C60" s="603" t="s">
        <v>267</v>
      </c>
      <c r="D60" s="268"/>
      <c r="E60" s="268"/>
      <c r="F60" s="268"/>
      <c r="G60" s="268"/>
      <c r="H60" s="268"/>
      <c r="I60" s="268">
        <v>6</v>
      </c>
      <c r="J60" s="268">
        <v>1</v>
      </c>
      <c r="K60" s="268"/>
      <c r="L60" s="268">
        <v>3</v>
      </c>
      <c r="M60" s="268">
        <v>1</v>
      </c>
      <c r="N60" s="268">
        <v>2</v>
      </c>
      <c r="O60" s="268">
        <v>1</v>
      </c>
      <c r="P60" s="268">
        <v>2</v>
      </c>
      <c r="Q60" s="268">
        <v>2</v>
      </c>
      <c r="R60" s="268">
        <v>5</v>
      </c>
      <c r="S60" s="268"/>
      <c r="T60" s="268">
        <v>2</v>
      </c>
      <c r="U60" s="268">
        <v>1</v>
      </c>
      <c r="V60" s="268">
        <f>SUM(D60:O60)</f>
        <v>14</v>
      </c>
      <c r="W60" s="268">
        <f>SUM(J60:U60)</f>
        <v>20</v>
      </c>
    </row>
    <row r="61" spans="1:23" x14ac:dyDescent="0.25">
      <c r="A61" s="513" t="s">
        <v>146</v>
      </c>
      <c r="B61" s="603" t="s">
        <v>147</v>
      </c>
      <c r="C61" s="603" t="s">
        <v>264</v>
      </c>
      <c r="D61" s="268">
        <v>1</v>
      </c>
      <c r="E61" s="268">
        <v>2</v>
      </c>
      <c r="F61" s="268"/>
      <c r="G61" s="268">
        <v>1</v>
      </c>
      <c r="H61" s="268"/>
      <c r="I61" s="268"/>
      <c r="J61" s="268"/>
      <c r="K61" s="268"/>
      <c r="L61" s="268">
        <v>4</v>
      </c>
      <c r="M61" s="268"/>
      <c r="N61" s="268">
        <v>4</v>
      </c>
      <c r="O61" s="268">
        <v>5</v>
      </c>
      <c r="P61" s="268">
        <v>3</v>
      </c>
      <c r="Q61" s="268">
        <v>7</v>
      </c>
      <c r="R61" s="268">
        <v>3</v>
      </c>
      <c r="S61" s="268">
        <v>1</v>
      </c>
      <c r="T61" s="268">
        <v>5</v>
      </c>
      <c r="U61" s="268"/>
      <c r="V61" s="268">
        <f>SUM(D61:O61)</f>
        <v>17</v>
      </c>
      <c r="W61" s="268">
        <f>SUM(J61:U61)</f>
        <v>32</v>
      </c>
    </row>
    <row r="62" spans="1:23" x14ac:dyDescent="0.25">
      <c r="A62" s="513" t="s">
        <v>148</v>
      </c>
      <c r="B62" s="603" t="s">
        <v>149</v>
      </c>
      <c r="C62" s="603" t="s">
        <v>265</v>
      </c>
      <c r="D62" s="268">
        <v>1</v>
      </c>
      <c r="E62" s="268">
        <v>6</v>
      </c>
      <c r="F62" s="268">
        <v>3</v>
      </c>
      <c r="G62" s="268">
        <v>3</v>
      </c>
      <c r="H62" s="268">
        <v>1</v>
      </c>
      <c r="I62" s="268">
        <v>1</v>
      </c>
      <c r="J62" s="268">
        <v>2</v>
      </c>
      <c r="K62" s="268">
        <v>4</v>
      </c>
      <c r="L62" s="268">
        <v>5</v>
      </c>
      <c r="M62" s="268">
        <v>8</v>
      </c>
      <c r="N62" s="268">
        <v>4</v>
      </c>
      <c r="O62" s="268">
        <v>7</v>
      </c>
      <c r="P62" s="268">
        <v>7</v>
      </c>
      <c r="Q62" s="268"/>
      <c r="R62" s="268">
        <v>10</v>
      </c>
      <c r="S62" s="268">
        <v>6</v>
      </c>
      <c r="T62" s="268">
        <v>7</v>
      </c>
      <c r="U62" s="268">
        <v>2</v>
      </c>
      <c r="V62" s="268">
        <f>SUM(D62:O62)</f>
        <v>45</v>
      </c>
      <c r="W62" s="268">
        <f>SUM(J62:U62)</f>
        <v>62</v>
      </c>
    </row>
    <row r="63" spans="1:23" x14ac:dyDescent="0.25">
      <c r="A63" s="513" t="s">
        <v>150</v>
      </c>
      <c r="B63" s="603" t="s">
        <v>151</v>
      </c>
      <c r="C63" s="603" t="s">
        <v>266</v>
      </c>
      <c r="D63" s="268"/>
      <c r="E63" s="268"/>
      <c r="F63" s="268">
        <v>2</v>
      </c>
      <c r="G63" s="268">
        <v>1</v>
      </c>
      <c r="H63" s="268">
        <v>1</v>
      </c>
      <c r="I63" s="268">
        <v>1</v>
      </c>
      <c r="J63" s="268"/>
      <c r="K63" s="268">
        <v>2</v>
      </c>
      <c r="L63" s="268">
        <v>3</v>
      </c>
      <c r="M63" s="268">
        <v>1</v>
      </c>
      <c r="N63" s="268"/>
      <c r="O63" s="268">
        <v>1</v>
      </c>
      <c r="P63" s="268"/>
      <c r="Q63" s="268">
        <v>1</v>
      </c>
      <c r="R63" s="268"/>
      <c r="S63" s="268">
        <v>1</v>
      </c>
      <c r="T63" s="268"/>
      <c r="U63" s="268"/>
      <c r="V63" s="268">
        <f>SUM(D63:O63)</f>
        <v>12</v>
      </c>
      <c r="W63" s="268">
        <f>SUM(J63:U63)</f>
        <v>9</v>
      </c>
    </row>
    <row r="64" spans="1:23" x14ac:dyDescent="0.25">
      <c r="A64" s="513" t="s">
        <v>152</v>
      </c>
      <c r="B64" s="603" t="s">
        <v>153</v>
      </c>
      <c r="C64" s="603" t="s">
        <v>268</v>
      </c>
      <c r="D64" s="268">
        <v>5</v>
      </c>
      <c r="E64" s="268">
        <v>15</v>
      </c>
      <c r="F64" s="268">
        <v>7</v>
      </c>
      <c r="G64" s="268">
        <v>19</v>
      </c>
      <c r="H64" s="268">
        <v>10</v>
      </c>
      <c r="I64" s="268">
        <v>5</v>
      </c>
      <c r="J64" s="268">
        <v>6</v>
      </c>
      <c r="K64" s="268">
        <v>9</v>
      </c>
      <c r="L64" s="268">
        <v>11</v>
      </c>
      <c r="M64" s="268">
        <v>6</v>
      </c>
      <c r="N64" s="268">
        <v>11</v>
      </c>
      <c r="O64" s="268">
        <v>11</v>
      </c>
      <c r="P64" s="268">
        <v>11</v>
      </c>
      <c r="Q64" s="268">
        <v>11</v>
      </c>
      <c r="R64" s="268">
        <v>13</v>
      </c>
      <c r="S64" s="268">
        <v>8</v>
      </c>
      <c r="T64" s="268">
        <v>8</v>
      </c>
      <c r="U64" s="268">
        <v>9</v>
      </c>
      <c r="V64" s="268">
        <f>SUM(D64:O64)</f>
        <v>115</v>
      </c>
      <c r="W64" s="268">
        <f>SUM(J64:U64)</f>
        <v>114</v>
      </c>
    </row>
    <row r="65" spans="1:23" x14ac:dyDescent="0.25">
      <c r="A65" s="513" t="s">
        <v>154</v>
      </c>
      <c r="B65" s="603" t="s">
        <v>155</v>
      </c>
      <c r="C65" s="603" t="s">
        <v>265</v>
      </c>
      <c r="D65" s="268">
        <v>1</v>
      </c>
      <c r="E65" s="268">
        <v>3</v>
      </c>
      <c r="F65" s="268">
        <v>2</v>
      </c>
      <c r="G65" s="268">
        <v>3</v>
      </c>
      <c r="H65" s="268"/>
      <c r="I65" s="268">
        <v>1</v>
      </c>
      <c r="J65" s="268">
        <v>2</v>
      </c>
      <c r="K65" s="268"/>
      <c r="L65" s="268">
        <v>3</v>
      </c>
      <c r="M65" s="268">
        <v>1</v>
      </c>
      <c r="N65" s="268">
        <v>3</v>
      </c>
      <c r="O65" s="268"/>
      <c r="P65" s="268">
        <v>1</v>
      </c>
      <c r="Q65" s="268">
        <v>4</v>
      </c>
      <c r="R65" s="268"/>
      <c r="S65" s="268">
        <v>4</v>
      </c>
      <c r="T65" s="268">
        <v>3</v>
      </c>
      <c r="U65" s="268">
        <v>3</v>
      </c>
      <c r="V65" s="268">
        <f>SUM(D65:O65)</f>
        <v>19</v>
      </c>
      <c r="W65" s="268">
        <f>SUM(J65:U65)</f>
        <v>24</v>
      </c>
    </row>
    <row r="66" spans="1:23" x14ac:dyDescent="0.25">
      <c r="A66" s="513" t="s">
        <v>156</v>
      </c>
      <c r="B66" s="603" t="s">
        <v>157</v>
      </c>
      <c r="C66" s="603" t="s">
        <v>266</v>
      </c>
      <c r="D66" s="268"/>
      <c r="E66" s="268">
        <v>2</v>
      </c>
      <c r="F66" s="268"/>
      <c r="G66" s="268"/>
      <c r="H66" s="268">
        <v>2</v>
      </c>
      <c r="I66" s="268">
        <v>2</v>
      </c>
      <c r="J66" s="268">
        <v>1</v>
      </c>
      <c r="K66" s="268">
        <v>4</v>
      </c>
      <c r="L66" s="268">
        <v>3</v>
      </c>
      <c r="M66" s="268">
        <v>2</v>
      </c>
      <c r="N66" s="268">
        <v>4</v>
      </c>
      <c r="O66" s="268">
        <v>7</v>
      </c>
      <c r="P66" s="268">
        <v>5</v>
      </c>
      <c r="Q66" s="268">
        <v>4</v>
      </c>
      <c r="R66" s="268">
        <v>14</v>
      </c>
      <c r="S66" s="268">
        <v>4</v>
      </c>
      <c r="T66" s="268">
        <v>2</v>
      </c>
      <c r="U66" s="268">
        <v>1</v>
      </c>
      <c r="V66" s="268">
        <f>SUM(D66:O66)</f>
        <v>27</v>
      </c>
      <c r="W66" s="268">
        <f>SUM(J66:U66)</f>
        <v>51</v>
      </c>
    </row>
    <row r="67" spans="1:23" x14ac:dyDescent="0.25">
      <c r="A67" s="513" t="s">
        <v>162</v>
      </c>
      <c r="B67" s="603" t="s">
        <v>163</v>
      </c>
      <c r="C67" s="603" t="s">
        <v>264</v>
      </c>
      <c r="D67" s="268">
        <v>4</v>
      </c>
      <c r="E67" s="268">
        <v>3</v>
      </c>
      <c r="F67" s="268">
        <v>4</v>
      </c>
      <c r="G67" s="268">
        <v>9</v>
      </c>
      <c r="H67" s="268">
        <v>7</v>
      </c>
      <c r="I67" s="268">
        <v>3</v>
      </c>
      <c r="J67" s="268">
        <v>5</v>
      </c>
      <c r="K67" s="268">
        <v>1</v>
      </c>
      <c r="L67" s="268">
        <v>1</v>
      </c>
      <c r="M67" s="268"/>
      <c r="N67" s="268">
        <v>1</v>
      </c>
      <c r="O67" s="268">
        <v>2</v>
      </c>
      <c r="P67" s="268">
        <v>9</v>
      </c>
      <c r="Q67" s="268">
        <v>3</v>
      </c>
      <c r="R67" s="268">
        <v>3</v>
      </c>
      <c r="S67" s="268">
        <v>2</v>
      </c>
      <c r="T67" s="268">
        <v>1</v>
      </c>
      <c r="U67" s="268">
        <v>2</v>
      </c>
      <c r="V67" s="268">
        <f>SUM(D67:O67)</f>
        <v>40</v>
      </c>
      <c r="W67" s="268">
        <f>SUM(J67:U67)</f>
        <v>30</v>
      </c>
    </row>
    <row r="68" spans="1:23" x14ac:dyDescent="0.25">
      <c r="A68" s="513" t="s">
        <v>164</v>
      </c>
      <c r="B68" s="603" t="s">
        <v>165</v>
      </c>
      <c r="C68" s="603" t="s">
        <v>266</v>
      </c>
      <c r="D68" s="268">
        <v>1</v>
      </c>
      <c r="E68" s="268">
        <v>1</v>
      </c>
      <c r="F68" s="268">
        <v>2</v>
      </c>
      <c r="G68" s="268">
        <v>1</v>
      </c>
      <c r="H68" s="268">
        <v>1</v>
      </c>
      <c r="I68" s="268"/>
      <c r="J68" s="268">
        <v>1</v>
      </c>
      <c r="K68" s="268"/>
      <c r="L68" s="268"/>
      <c r="M68" s="268"/>
      <c r="N68" s="268">
        <v>2</v>
      </c>
      <c r="O68" s="268">
        <v>2</v>
      </c>
      <c r="P68" s="268">
        <v>2</v>
      </c>
      <c r="Q68" s="268"/>
      <c r="R68" s="268">
        <v>2</v>
      </c>
      <c r="S68" s="268">
        <v>1</v>
      </c>
      <c r="T68" s="268"/>
      <c r="U68" s="268">
        <v>1</v>
      </c>
      <c r="V68" s="268">
        <f>SUM(D68:O68)</f>
        <v>11</v>
      </c>
      <c r="W68" s="268">
        <f>SUM(J68:U68)</f>
        <v>11</v>
      </c>
    </row>
    <row r="69" spans="1:23" x14ac:dyDescent="0.25">
      <c r="A69" s="513" t="s">
        <v>168</v>
      </c>
      <c r="B69" s="603" t="s">
        <v>169</v>
      </c>
      <c r="C69" s="603" t="s">
        <v>266</v>
      </c>
      <c r="D69" s="268">
        <v>4</v>
      </c>
      <c r="E69" s="268">
        <v>5</v>
      </c>
      <c r="F69" s="268">
        <v>3</v>
      </c>
      <c r="G69" s="268">
        <v>3</v>
      </c>
      <c r="H69" s="268">
        <v>5</v>
      </c>
      <c r="I69" s="268"/>
      <c r="J69" s="268">
        <v>2</v>
      </c>
      <c r="K69" s="268">
        <v>2</v>
      </c>
      <c r="L69" s="268">
        <v>2</v>
      </c>
      <c r="M69" s="268">
        <v>2</v>
      </c>
      <c r="N69" s="268">
        <v>2</v>
      </c>
      <c r="O69" s="268">
        <v>5</v>
      </c>
      <c r="P69" s="268">
        <v>5</v>
      </c>
      <c r="Q69" s="268">
        <v>3</v>
      </c>
      <c r="R69" s="268">
        <v>8</v>
      </c>
      <c r="S69" s="268">
        <v>5</v>
      </c>
      <c r="T69" s="268">
        <v>4</v>
      </c>
      <c r="U69" s="268"/>
      <c r="V69" s="268">
        <f>SUM(D69:O69)</f>
        <v>35</v>
      </c>
      <c r="W69" s="268">
        <f>SUM(J69:U69)</f>
        <v>40</v>
      </c>
    </row>
    <row r="70" spans="1:23" x14ac:dyDescent="0.25">
      <c r="A70" s="513" t="s">
        <v>170</v>
      </c>
      <c r="B70" s="603" t="s">
        <v>171</v>
      </c>
      <c r="C70" s="603" t="s">
        <v>267</v>
      </c>
      <c r="D70" s="268">
        <v>5</v>
      </c>
      <c r="E70" s="268"/>
      <c r="F70" s="268">
        <v>5</v>
      </c>
      <c r="G70" s="268">
        <v>10</v>
      </c>
      <c r="H70" s="268">
        <v>19</v>
      </c>
      <c r="I70" s="268">
        <v>24</v>
      </c>
      <c r="J70" s="268">
        <v>11</v>
      </c>
      <c r="K70" s="268">
        <v>18</v>
      </c>
      <c r="L70" s="268">
        <v>8</v>
      </c>
      <c r="M70" s="268">
        <v>17</v>
      </c>
      <c r="N70" s="268">
        <v>15</v>
      </c>
      <c r="O70" s="268">
        <v>23</v>
      </c>
      <c r="P70" s="268">
        <v>16</v>
      </c>
      <c r="Q70" s="268">
        <v>25</v>
      </c>
      <c r="R70" s="268">
        <v>16</v>
      </c>
      <c r="S70" s="268">
        <v>14</v>
      </c>
      <c r="T70" s="268">
        <v>12</v>
      </c>
      <c r="U70" s="268">
        <v>9</v>
      </c>
      <c r="V70" s="268">
        <f>SUM(D70:O70)</f>
        <v>155</v>
      </c>
      <c r="W70" s="268">
        <f>SUM(J70:U70)</f>
        <v>184</v>
      </c>
    </row>
    <row r="71" spans="1:23" x14ac:dyDescent="0.25">
      <c r="A71" s="513" t="s">
        <v>172</v>
      </c>
      <c r="B71" s="603" t="s">
        <v>173</v>
      </c>
      <c r="C71" s="603" t="s">
        <v>267</v>
      </c>
      <c r="D71" s="268"/>
      <c r="E71" s="268">
        <v>6</v>
      </c>
      <c r="F71" s="268">
        <v>3</v>
      </c>
      <c r="G71" s="268">
        <v>1</v>
      </c>
      <c r="H71" s="268">
        <v>1</v>
      </c>
      <c r="I71" s="268">
        <v>3</v>
      </c>
      <c r="J71" s="268">
        <v>3</v>
      </c>
      <c r="K71" s="268">
        <v>2</v>
      </c>
      <c r="L71" s="268">
        <v>2</v>
      </c>
      <c r="M71" s="268">
        <v>3</v>
      </c>
      <c r="N71" s="268">
        <v>2</v>
      </c>
      <c r="O71" s="268">
        <v>4</v>
      </c>
      <c r="P71" s="268"/>
      <c r="Q71" s="268">
        <v>3</v>
      </c>
      <c r="R71" s="268">
        <v>1</v>
      </c>
      <c r="S71" s="268">
        <v>2</v>
      </c>
      <c r="T71" s="268">
        <v>1</v>
      </c>
      <c r="U71" s="268">
        <v>1</v>
      </c>
      <c r="V71" s="268">
        <f>SUM(D71:O71)</f>
        <v>30</v>
      </c>
      <c r="W71" s="268">
        <f>SUM(J71:U71)</f>
        <v>24</v>
      </c>
    </row>
    <row r="72" spans="1:23" x14ac:dyDescent="0.25">
      <c r="A72" s="513" t="s">
        <v>174</v>
      </c>
      <c r="B72" s="603" t="s">
        <v>175</v>
      </c>
      <c r="C72" s="603" t="s">
        <v>268</v>
      </c>
      <c r="D72" s="268">
        <v>6</v>
      </c>
      <c r="E72" s="268">
        <v>3</v>
      </c>
      <c r="F72" s="268">
        <v>3</v>
      </c>
      <c r="G72" s="268">
        <v>3</v>
      </c>
      <c r="H72" s="268"/>
      <c r="I72" s="268"/>
      <c r="J72" s="268"/>
      <c r="K72" s="268">
        <v>1</v>
      </c>
      <c r="L72" s="268"/>
      <c r="M72" s="268">
        <v>1</v>
      </c>
      <c r="N72" s="268">
        <v>2</v>
      </c>
      <c r="O72" s="268">
        <v>5</v>
      </c>
      <c r="P72" s="268">
        <v>9</v>
      </c>
      <c r="Q72" s="268">
        <v>4</v>
      </c>
      <c r="R72" s="268">
        <v>6</v>
      </c>
      <c r="S72" s="268"/>
      <c r="T72" s="268"/>
      <c r="U72" s="268">
        <v>2</v>
      </c>
      <c r="V72" s="268">
        <f>SUM(D72:O72)</f>
        <v>24</v>
      </c>
      <c r="W72" s="268">
        <f>SUM(J72:U72)</f>
        <v>30</v>
      </c>
    </row>
    <row r="73" spans="1:23" x14ac:dyDescent="0.25">
      <c r="A73" s="513" t="s">
        <v>178</v>
      </c>
      <c r="B73" s="603" t="s">
        <v>179</v>
      </c>
      <c r="C73" s="603" t="s">
        <v>265</v>
      </c>
      <c r="D73" s="268">
        <v>13</v>
      </c>
      <c r="E73" s="268">
        <v>10</v>
      </c>
      <c r="F73" s="268">
        <v>11</v>
      </c>
      <c r="G73" s="268">
        <v>11</v>
      </c>
      <c r="H73" s="268">
        <v>16</v>
      </c>
      <c r="I73" s="268">
        <v>5</v>
      </c>
      <c r="J73" s="268">
        <v>14</v>
      </c>
      <c r="K73" s="268">
        <v>13</v>
      </c>
      <c r="L73" s="268">
        <v>18</v>
      </c>
      <c r="M73" s="268">
        <v>12</v>
      </c>
      <c r="N73" s="268">
        <v>11</v>
      </c>
      <c r="O73" s="268">
        <v>6</v>
      </c>
      <c r="P73" s="268">
        <v>3</v>
      </c>
      <c r="Q73" s="268">
        <v>11</v>
      </c>
      <c r="R73" s="268">
        <v>7</v>
      </c>
      <c r="S73" s="268">
        <v>8</v>
      </c>
      <c r="T73" s="268">
        <v>16</v>
      </c>
      <c r="U73" s="268">
        <v>13</v>
      </c>
      <c r="V73" s="268">
        <f>SUM(D73:O73)</f>
        <v>140</v>
      </c>
      <c r="W73" s="268">
        <f>SUM(J73:U73)</f>
        <v>132</v>
      </c>
    </row>
    <row r="74" spans="1:23" x14ac:dyDescent="0.25">
      <c r="A74" s="513" t="s">
        <v>182</v>
      </c>
      <c r="B74" s="603" t="s">
        <v>183</v>
      </c>
      <c r="C74" s="603" t="s">
        <v>266</v>
      </c>
      <c r="D74" s="268"/>
      <c r="E74" s="268">
        <v>1</v>
      </c>
      <c r="F74" s="268">
        <v>2</v>
      </c>
      <c r="G74" s="268">
        <v>3</v>
      </c>
      <c r="H74" s="268">
        <v>6</v>
      </c>
      <c r="I74" s="268">
        <v>2</v>
      </c>
      <c r="J74" s="268">
        <v>3</v>
      </c>
      <c r="K74" s="268">
        <v>1</v>
      </c>
      <c r="L74" s="268">
        <v>5</v>
      </c>
      <c r="M74" s="268">
        <v>5</v>
      </c>
      <c r="N74" s="268">
        <v>8</v>
      </c>
      <c r="O74" s="268">
        <v>3</v>
      </c>
      <c r="P74" s="268">
        <v>4</v>
      </c>
      <c r="Q74" s="268">
        <v>5</v>
      </c>
      <c r="R74" s="268">
        <v>4</v>
      </c>
      <c r="S74" s="268">
        <v>8</v>
      </c>
      <c r="T74" s="268">
        <v>4</v>
      </c>
      <c r="U74" s="268">
        <v>3</v>
      </c>
      <c r="V74" s="268">
        <f>SUM(D74:O74)</f>
        <v>39</v>
      </c>
      <c r="W74" s="268">
        <f>SUM(J74:U74)</f>
        <v>53</v>
      </c>
    </row>
    <row r="75" spans="1:23" x14ac:dyDescent="0.25">
      <c r="A75" s="513" t="s">
        <v>184</v>
      </c>
      <c r="B75" s="603" t="s">
        <v>185</v>
      </c>
      <c r="C75" s="603" t="s">
        <v>266</v>
      </c>
      <c r="D75" s="268">
        <v>3</v>
      </c>
      <c r="E75" s="268">
        <v>7</v>
      </c>
      <c r="F75" s="268">
        <v>4</v>
      </c>
      <c r="G75" s="268">
        <v>6</v>
      </c>
      <c r="H75" s="268">
        <v>14</v>
      </c>
      <c r="I75" s="268">
        <v>5</v>
      </c>
      <c r="J75" s="268">
        <v>4</v>
      </c>
      <c r="K75" s="268">
        <v>3</v>
      </c>
      <c r="L75" s="268">
        <v>6</v>
      </c>
      <c r="M75" s="268">
        <v>3</v>
      </c>
      <c r="N75" s="268">
        <v>7</v>
      </c>
      <c r="O75" s="268">
        <v>2</v>
      </c>
      <c r="P75" s="268">
        <v>5</v>
      </c>
      <c r="Q75" s="268">
        <v>2</v>
      </c>
      <c r="R75" s="268">
        <v>5</v>
      </c>
      <c r="S75" s="268">
        <v>1</v>
      </c>
      <c r="T75" s="268">
        <v>3</v>
      </c>
      <c r="U75" s="268">
        <v>4</v>
      </c>
      <c r="V75" s="268">
        <f>SUM(D75:O75)</f>
        <v>64</v>
      </c>
      <c r="W75" s="268">
        <f>SUM(J75:U75)</f>
        <v>45</v>
      </c>
    </row>
    <row r="76" spans="1:23" x14ac:dyDescent="0.25">
      <c r="A76" s="513" t="s">
        <v>186</v>
      </c>
      <c r="B76" s="603" t="s">
        <v>187</v>
      </c>
      <c r="C76" s="603" t="s">
        <v>264</v>
      </c>
      <c r="D76" s="268">
        <v>3</v>
      </c>
      <c r="E76" s="268">
        <v>2</v>
      </c>
      <c r="F76" s="268"/>
      <c r="G76" s="268"/>
      <c r="H76" s="268"/>
      <c r="I76" s="268">
        <v>1</v>
      </c>
      <c r="J76" s="268">
        <v>4</v>
      </c>
      <c r="K76" s="268">
        <v>2</v>
      </c>
      <c r="L76" s="268">
        <v>1</v>
      </c>
      <c r="M76" s="268">
        <v>3</v>
      </c>
      <c r="N76" s="268">
        <v>1</v>
      </c>
      <c r="O76" s="268">
        <v>1</v>
      </c>
      <c r="P76" s="268">
        <v>1</v>
      </c>
      <c r="Q76" s="268">
        <v>1</v>
      </c>
      <c r="R76" s="268">
        <v>1</v>
      </c>
      <c r="S76" s="268">
        <v>2</v>
      </c>
      <c r="T76" s="268"/>
      <c r="U76" s="268">
        <v>2</v>
      </c>
      <c r="V76" s="268">
        <f>SUM(D76:O76)</f>
        <v>18</v>
      </c>
      <c r="W76" s="268">
        <f>SUM(J76:U76)</f>
        <v>19</v>
      </c>
    </row>
    <row r="77" spans="1:23" x14ac:dyDescent="0.25">
      <c r="A77" s="513" t="s">
        <v>188</v>
      </c>
      <c r="B77" s="603" t="s">
        <v>189</v>
      </c>
      <c r="C77" s="603" t="s">
        <v>267</v>
      </c>
      <c r="D77" s="268">
        <v>51</v>
      </c>
      <c r="E77" s="268">
        <v>48</v>
      </c>
      <c r="F77" s="268">
        <v>42</v>
      </c>
      <c r="G77" s="268">
        <v>62</v>
      </c>
      <c r="H77" s="268">
        <v>55</v>
      </c>
      <c r="I77" s="268">
        <v>53</v>
      </c>
      <c r="J77" s="268">
        <v>37</v>
      </c>
      <c r="K77" s="268">
        <v>30</v>
      </c>
      <c r="L77" s="268">
        <v>83</v>
      </c>
      <c r="M77" s="268">
        <v>31</v>
      </c>
      <c r="N77" s="268">
        <v>48</v>
      </c>
      <c r="O77" s="268">
        <v>48</v>
      </c>
      <c r="P77" s="268">
        <v>36</v>
      </c>
      <c r="Q77" s="268">
        <v>31</v>
      </c>
      <c r="R77" s="268">
        <v>45</v>
      </c>
      <c r="S77" s="268">
        <v>74</v>
      </c>
      <c r="T77" s="268">
        <v>57</v>
      </c>
      <c r="U77" s="268">
        <v>54</v>
      </c>
      <c r="V77" s="268">
        <f>SUM(D77:O77)</f>
        <v>588</v>
      </c>
      <c r="W77" s="268">
        <f>SUM(J77:U77)</f>
        <v>574</v>
      </c>
    </row>
    <row r="78" spans="1:23" x14ac:dyDescent="0.25">
      <c r="A78" s="513" t="s">
        <v>190</v>
      </c>
      <c r="B78" s="603" t="s">
        <v>191</v>
      </c>
      <c r="C78" s="603" t="s">
        <v>268</v>
      </c>
      <c r="D78" s="268">
        <v>6</v>
      </c>
      <c r="E78" s="268">
        <v>9</v>
      </c>
      <c r="F78" s="268">
        <v>5</v>
      </c>
      <c r="G78" s="268">
        <v>2</v>
      </c>
      <c r="H78" s="268">
        <v>3</v>
      </c>
      <c r="I78" s="268">
        <v>8</v>
      </c>
      <c r="J78" s="268">
        <v>7</v>
      </c>
      <c r="K78" s="268">
        <v>8</v>
      </c>
      <c r="L78" s="268">
        <v>9</v>
      </c>
      <c r="M78" s="268">
        <v>3</v>
      </c>
      <c r="N78" s="268">
        <v>5</v>
      </c>
      <c r="O78" s="268">
        <v>6</v>
      </c>
      <c r="P78" s="268">
        <v>2</v>
      </c>
      <c r="Q78" s="268">
        <v>6</v>
      </c>
      <c r="R78" s="268">
        <v>4</v>
      </c>
      <c r="S78" s="268">
        <v>11</v>
      </c>
      <c r="T78" s="268">
        <v>6</v>
      </c>
      <c r="U78" s="268">
        <v>8</v>
      </c>
      <c r="V78" s="268">
        <f>SUM(D78:O78)</f>
        <v>71</v>
      </c>
      <c r="W78" s="268">
        <f>SUM(J78:U78)</f>
        <v>75</v>
      </c>
    </row>
    <row r="79" spans="1:23" x14ac:dyDescent="0.25">
      <c r="A79" s="513" t="s">
        <v>194</v>
      </c>
      <c r="B79" s="603" t="s">
        <v>195</v>
      </c>
      <c r="C79" s="603" t="s">
        <v>267</v>
      </c>
      <c r="D79" s="268">
        <v>4</v>
      </c>
      <c r="E79" s="268"/>
      <c r="F79" s="268">
        <v>1</v>
      </c>
      <c r="G79" s="268"/>
      <c r="H79" s="268">
        <v>1</v>
      </c>
      <c r="I79" s="268"/>
      <c r="J79" s="268"/>
      <c r="K79" s="268">
        <v>1</v>
      </c>
      <c r="L79" s="268">
        <v>1</v>
      </c>
      <c r="M79" s="268">
        <v>1</v>
      </c>
      <c r="N79" s="268"/>
      <c r="O79" s="268">
        <v>2</v>
      </c>
      <c r="P79" s="268">
        <v>3</v>
      </c>
      <c r="Q79" s="268"/>
      <c r="R79" s="268"/>
      <c r="S79" s="268">
        <v>1</v>
      </c>
      <c r="T79" s="268">
        <v>2</v>
      </c>
      <c r="U79" s="268">
        <v>2</v>
      </c>
      <c r="V79" s="268">
        <f>SUM(D79:O79)</f>
        <v>11</v>
      </c>
      <c r="W79" s="268">
        <f>SUM(J79:U79)</f>
        <v>13</v>
      </c>
    </row>
    <row r="80" spans="1:23" x14ac:dyDescent="0.25">
      <c r="A80" s="513" t="s">
        <v>198</v>
      </c>
      <c r="B80" s="603" t="s">
        <v>272</v>
      </c>
      <c r="C80" s="603" t="s">
        <v>266</v>
      </c>
      <c r="D80" s="268"/>
      <c r="E80" s="268"/>
      <c r="F80" s="268"/>
      <c r="G80" s="268">
        <v>1</v>
      </c>
      <c r="H80" s="268"/>
      <c r="I80" s="268"/>
      <c r="J80" s="268"/>
      <c r="K80" s="268"/>
      <c r="L80" s="268"/>
      <c r="M80" s="268"/>
      <c r="N80" s="268">
        <v>1</v>
      </c>
      <c r="O80" s="268"/>
      <c r="P80" s="268"/>
      <c r="Q80" s="268">
        <v>1</v>
      </c>
      <c r="R80" s="268"/>
      <c r="S80" s="268">
        <v>1</v>
      </c>
      <c r="T80" s="268">
        <v>1</v>
      </c>
      <c r="U80" s="268">
        <v>1</v>
      </c>
      <c r="V80" s="268">
        <f>SUM(D80:O80)</f>
        <v>2</v>
      </c>
      <c r="W80" s="268">
        <f>SUM(J80:U80)</f>
        <v>5</v>
      </c>
    </row>
    <row r="81" spans="1:23" x14ac:dyDescent="0.25">
      <c r="A81" s="513" t="s">
        <v>202</v>
      </c>
      <c r="B81" s="603" t="s">
        <v>301</v>
      </c>
      <c r="C81" s="603" t="s">
        <v>265</v>
      </c>
      <c r="D81" s="268">
        <v>43</v>
      </c>
      <c r="E81" s="268">
        <v>41</v>
      </c>
      <c r="F81" s="268">
        <v>47</v>
      </c>
      <c r="G81" s="268">
        <v>45</v>
      </c>
      <c r="H81" s="268">
        <v>29</v>
      </c>
      <c r="I81" s="268">
        <v>44</v>
      </c>
      <c r="J81" s="268">
        <v>53</v>
      </c>
      <c r="K81" s="268">
        <v>42</v>
      </c>
      <c r="L81" s="268">
        <v>66</v>
      </c>
      <c r="M81" s="268">
        <v>68</v>
      </c>
      <c r="N81" s="268">
        <v>68</v>
      </c>
      <c r="O81" s="268">
        <v>25</v>
      </c>
      <c r="P81" s="268">
        <v>32</v>
      </c>
      <c r="Q81" s="268">
        <v>37</v>
      </c>
      <c r="R81" s="268">
        <v>35</v>
      </c>
      <c r="S81" s="268">
        <v>15</v>
      </c>
      <c r="T81" s="268">
        <v>29</v>
      </c>
      <c r="U81" s="268">
        <v>25</v>
      </c>
      <c r="V81" s="268">
        <f>SUM(D81:O81)</f>
        <v>571</v>
      </c>
      <c r="W81" s="268">
        <f>SUM(J81:U81)</f>
        <v>495</v>
      </c>
    </row>
    <row r="82" spans="1:23" x14ac:dyDescent="0.25">
      <c r="A82" s="513" t="s">
        <v>204</v>
      </c>
      <c r="B82" s="603" t="s">
        <v>293</v>
      </c>
      <c r="C82" s="603" t="s">
        <v>265</v>
      </c>
      <c r="D82" s="268">
        <v>4</v>
      </c>
      <c r="E82" s="268">
        <v>11</v>
      </c>
      <c r="F82" s="268">
        <v>6</v>
      </c>
      <c r="G82" s="268">
        <v>6</v>
      </c>
      <c r="H82" s="268">
        <v>1</v>
      </c>
      <c r="I82" s="268">
        <v>3</v>
      </c>
      <c r="J82" s="268">
        <v>1</v>
      </c>
      <c r="K82" s="268">
        <v>6</v>
      </c>
      <c r="L82" s="268">
        <v>5</v>
      </c>
      <c r="M82" s="268">
        <v>5</v>
      </c>
      <c r="N82" s="268">
        <v>9</v>
      </c>
      <c r="O82" s="268">
        <v>6</v>
      </c>
      <c r="P82" s="268"/>
      <c r="Q82" s="268">
        <v>3</v>
      </c>
      <c r="R82" s="268">
        <v>3</v>
      </c>
      <c r="S82" s="268">
        <v>6</v>
      </c>
      <c r="T82" s="268">
        <v>2</v>
      </c>
      <c r="U82" s="268">
        <v>4</v>
      </c>
      <c r="V82" s="268">
        <f>SUM(D82:O82)</f>
        <v>63</v>
      </c>
      <c r="W82" s="268">
        <f>SUM(J82:U82)</f>
        <v>50</v>
      </c>
    </row>
    <row r="83" spans="1:23" x14ac:dyDescent="0.25">
      <c r="A83" s="513" t="s">
        <v>206</v>
      </c>
      <c r="B83" s="603" t="s">
        <v>294</v>
      </c>
      <c r="C83" s="603" t="s">
        <v>267</v>
      </c>
      <c r="D83" s="268">
        <v>14</v>
      </c>
      <c r="E83" s="268">
        <v>25</v>
      </c>
      <c r="F83" s="268">
        <v>17</v>
      </c>
      <c r="G83" s="268">
        <v>18</v>
      </c>
      <c r="H83" s="268">
        <v>17</v>
      </c>
      <c r="I83" s="268">
        <v>23</v>
      </c>
      <c r="J83" s="268">
        <v>19</v>
      </c>
      <c r="K83" s="268">
        <v>19</v>
      </c>
      <c r="L83" s="268">
        <v>23</v>
      </c>
      <c r="M83" s="268">
        <v>28</v>
      </c>
      <c r="N83" s="268">
        <v>23</v>
      </c>
      <c r="O83" s="268">
        <v>23</v>
      </c>
      <c r="P83" s="268">
        <v>14</v>
      </c>
      <c r="Q83" s="268">
        <v>22</v>
      </c>
      <c r="R83" s="268">
        <v>18</v>
      </c>
      <c r="S83" s="268">
        <v>20</v>
      </c>
      <c r="T83" s="268">
        <v>21</v>
      </c>
      <c r="U83" s="268">
        <v>24</v>
      </c>
      <c r="V83" s="268">
        <f>SUM(D83:O83)</f>
        <v>249</v>
      </c>
      <c r="W83" s="268">
        <f>SUM(J83:U83)</f>
        <v>254</v>
      </c>
    </row>
    <row r="84" spans="1:23" x14ac:dyDescent="0.25">
      <c r="A84" s="513" t="s">
        <v>208</v>
      </c>
      <c r="B84" s="603" t="s">
        <v>209</v>
      </c>
      <c r="C84" s="603" t="s">
        <v>268</v>
      </c>
      <c r="D84" s="268">
        <v>1</v>
      </c>
      <c r="E84" s="268">
        <v>2</v>
      </c>
      <c r="F84" s="268">
        <v>4</v>
      </c>
      <c r="G84" s="268"/>
      <c r="H84" s="268">
        <v>4</v>
      </c>
      <c r="I84" s="268">
        <v>3</v>
      </c>
      <c r="J84" s="268">
        <v>7</v>
      </c>
      <c r="K84" s="268">
        <v>2</v>
      </c>
      <c r="L84" s="268">
        <v>4</v>
      </c>
      <c r="M84" s="268">
        <v>1</v>
      </c>
      <c r="N84" s="268"/>
      <c r="O84" s="268">
        <v>5</v>
      </c>
      <c r="P84" s="268">
        <v>5</v>
      </c>
      <c r="Q84" s="268">
        <v>5</v>
      </c>
      <c r="R84" s="268">
        <v>3</v>
      </c>
      <c r="S84" s="268">
        <v>3</v>
      </c>
      <c r="T84" s="268">
        <v>3</v>
      </c>
      <c r="U84" s="268">
        <v>1</v>
      </c>
      <c r="V84" s="268">
        <f>SUM(D84:O84)</f>
        <v>33</v>
      </c>
      <c r="W84" s="268">
        <f>SUM(J84:U84)</f>
        <v>39</v>
      </c>
    </row>
    <row r="85" spans="1:23" x14ac:dyDescent="0.25">
      <c r="A85" s="513" t="s">
        <v>210</v>
      </c>
      <c r="B85" s="603" t="s">
        <v>211</v>
      </c>
      <c r="C85" s="603" t="s">
        <v>268</v>
      </c>
      <c r="D85" s="268"/>
      <c r="E85" s="268"/>
      <c r="F85" s="268">
        <v>4</v>
      </c>
      <c r="G85" s="268"/>
      <c r="H85" s="268">
        <v>1</v>
      </c>
      <c r="I85" s="268"/>
      <c r="J85" s="268"/>
      <c r="K85" s="268">
        <v>1</v>
      </c>
      <c r="L85" s="268">
        <v>1</v>
      </c>
      <c r="M85" s="268">
        <v>3</v>
      </c>
      <c r="N85" s="268">
        <v>1</v>
      </c>
      <c r="O85" s="268">
        <v>1</v>
      </c>
      <c r="P85" s="268"/>
      <c r="Q85" s="268"/>
      <c r="R85" s="268">
        <v>3</v>
      </c>
      <c r="S85" s="268">
        <v>1</v>
      </c>
      <c r="T85" s="268"/>
      <c r="U85" s="268">
        <v>2</v>
      </c>
      <c r="V85" s="268">
        <f>SUM(D85:O85)</f>
        <v>12</v>
      </c>
      <c r="W85" s="268">
        <f>SUM(J85:U85)</f>
        <v>13</v>
      </c>
    </row>
    <row r="86" spans="1:23" x14ac:dyDescent="0.25">
      <c r="A86" s="513" t="s">
        <v>212</v>
      </c>
      <c r="B86" s="603" t="s">
        <v>213</v>
      </c>
      <c r="C86" s="603" t="s">
        <v>267</v>
      </c>
      <c r="D86" s="268">
        <v>4</v>
      </c>
      <c r="E86" s="268">
        <v>5</v>
      </c>
      <c r="F86" s="268">
        <v>9</v>
      </c>
      <c r="G86" s="268">
        <v>5</v>
      </c>
      <c r="H86" s="268">
        <v>12</v>
      </c>
      <c r="I86" s="268">
        <v>2</v>
      </c>
      <c r="J86" s="268">
        <v>4</v>
      </c>
      <c r="K86" s="268">
        <v>2</v>
      </c>
      <c r="L86" s="268">
        <v>2</v>
      </c>
      <c r="M86" s="268">
        <v>8</v>
      </c>
      <c r="N86" s="268"/>
      <c r="O86" s="268">
        <v>7</v>
      </c>
      <c r="P86" s="268">
        <v>4</v>
      </c>
      <c r="Q86" s="268">
        <v>2</v>
      </c>
      <c r="R86" s="268">
        <v>1</v>
      </c>
      <c r="S86" s="268">
        <v>4</v>
      </c>
      <c r="T86" s="268">
        <v>3</v>
      </c>
      <c r="U86" s="268">
        <v>1</v>
      </c>
      <c r="V86" s="268">
        <f>SUM(D86:O86)</f>
        <v>60</v>
      </c>
      <c r="W86" s="268">
        <f>SUM(J86:U86)</f>
        <v>38</v>
      </c>
    </row>
    <row r="87" spans="1:23" x14ac:dyDescent="0.25">
      <c r="A87" s="513" t="s">
        <v>214</v>
      </c>
      <c r="B87" s="603" t="s">
        <v>215</v>
      </c>
      <c r="C87" s="603" t="s">
        <v>268</v>
      </c>
      <c r="D87" s="268">
        <v>10</v>
      </c>
      <c r="E87" s="268">
        <v>8</v>
      </c>
      <c r="F87" s="268">
        <v>5</v>
      </c>
      <c r="G87" s="268">
        <v>6</v>
      </c>
      <c r="H87" s="268">
        <v>3</v>
      </c>
      <c r="I87" s="268">
        <v>9</v>
      </c>
      <c r="J87" s="268">
        <v>6</v>
      </c>
      <c r="K87" s="268">
        <v>4</v>
      </c>
      <c r="L87" s="268">
        <v>5</v>
      </c>
      <c r="M87" s="268">
        <v>2</v>
      </c>
      <c r="N87" s="268">
        <v>9</v>
      </c>
      <c r="O87" s="268">
        <v>11</v>
      </c>
      <c r="P87" s="268">
        <v>5</v>
      </c>
      <c r="Q87" s="268">
        <v>8</v>
      </c>
      <c r="R87" s="268">
        <v>3</v>
      </c>
      <c r="S87" s="268">
        <v>2</v>
      </c>
      <c r="T87" s="268">
        <v>3</v>
      </c>
      <c r="U87" s="268">
        <v>2</v>
      </c>
      <c r="V87" s="268">
        <f>SUM(D87:O87)</f>
        <v>78</v>
      </c>
      <c r="W87" s="268">
        <f>SUM(J87:U87)</f>
        <v>60</v>
      </c>
    </row>
    <row r="88" spans="1:23" x14ac:dyDescent="0.25">
      <c r="A88" s="513" t="s">
        <v>216</v>
      </c>
      <c r="B88" s="603" t="s">
        <v>217</v>
      </c>
      <c r="C88" s="603" t="s">
        <v>264</v>
      </c>
      <c r="D88" s="268">
        <v>5</v>
      </c>
      <c r="E88" s="268">
        <v>5</v>
      </c>
      <c r="F88" s="268">
        <v>2</v>
      </c>
      <c r="G88" s="268">
        <v>8</v>
      </c>
      <c r="H88" s="268">
        <v>3</v>
      </c>
      <c r="I88" s="268">
        <v>2</v>
      </c>
      <c r="J88" s="268">
        <v>1</v>
      </c>
      <c r="K88" s="268">
        <v>3</v>
      </c>
      <c r="L88" s="268"/>
      <c r="M88" s="268">
        <v>4</v>
      </c>
      <c r="N88" s="268">
        <v>6</v>
      </c>
      <c r="O88" s="268">
        <v>4</v>
      </c>
      <c r="P88" s="268">
        <v>4</v>
      </c>
      <c r="Q88" s="268">
        <v>5</v>
      </c>
      <c r="R88" s="268">
        <v>2</v>
      </c>
      <c r="S88" s="268">
        <v>4</v>
      </c>
      <c r="T88" s="268">
        <v>3</v>
      </c>
      <c r="U88" s="268">
        <v>4</v>
      </c>
      <c r="V88" s="268">
        <f>SUM(D88:O88)</f>
        <v>43</v>
      </c>
      <c r="W88" s="268">
        <f>SUM(J88:U88)</f>
        <v>40</v>
      </c>
    </row>
    <row r="89" spans="1:23" x14ac:dyDescent="0.25">
      <c r="A89" s="513" t="s">
        <v>218</v>
      </c>
      <c r="B89" s="603" t="s">
        <v>219</v>
      </c>
      <c r="C89" s="603" t="s">
        <v>267</v>
      </c>
      <c r="D89" s="268">
        <v>15</v>
      </c>
      <c r="E89" s="268">
        <v>15</v>
      </c>
      <c r="F89" s="268">
        <v>16</v>
      </c>
      <c r="G89" s="268">
        <v>32</v>
      </c>
      <c r="H89" s="268">
        <v>14</v>
      </c>
      <c r="I89" s="268">
        <v>12</v>
      </c>
      <c r="J89" s="268">
        <v>12</v>
      </c>
      <c r="K89" s="268">
        <v>10</v>
      </c>
      <c r="L89" s="268">
        <v>11</v>
      </c>
      <c r="M89" s="268">
        <v>12</v>
      </c>
      <c r="N89" s="268">
        <v>15</v>
      </c>
      <c r="O89" s="268">
        <v>19</v>
      </c>
      <c r="P89" s="268">
        <v>10</v>
      </c>
      <c r="Q89" s="268">
        <v>13</v>
      </c>
      <c r="R89" s="268">
        <v>8</v>
      </c>
      <c r="S89" s="268">
        <v>8</v>
      </c>
      <c r="T89" s="268">
        <v>9</v>
      </c>
      <c r="U89" s="268">
        <v>13</v>
      </c>
      <c r="V89" s="268">
        <f>SUM(D89:O89)</f>
        <v>183</v>
      </c>
      <c r="W89" s="268">
        <f>SUM(J89:U89)</f>
        <v>140</v>
      </c>
    </row>
    <row r="90" spans="1:23" x14ac:dyDescent="0.25">
      <c r="A90" s="513" t="s">
        <v>220</v>
      </c>
      <c r="B90" s="603" t="s">
        <v>221</v>
      </c>
      <c r="C90" s="603" t="s">
        <v>267</v>
      </c>
      <c r="D90" s="268">
        <v>17</v>
      </c>
      <c r="E90" s="268">
        <v>24</v>
      </c>
      <c r="F90" s="268">
        <v>15</v>
      </c>
      <c r="G90" s="268">
        <v>14</v>
      </c>
      <c r="H90" s="268">
        <v>11</v>
      </c>
      <c r="I90" s="268">
        <v>14</v>
      </c>
      <c r="J90" s="268">
        <v>6</v>
      </c>
      <c r="K90" s="268">
        <v>7</v>
      </c>
      <c r="L90" s="268">
        <v>13</v>
      </c>
      <c r="M90" s="268">
        <v>12</v>
      </c>
      <c r="N90" s="268">
        <v>9</v>
      </c>
      <c r="O90" s="268">
        <v>20</v>
      </c>
      <c r="P90" s="268">
        <v>13</v>
      </c>
      <c r="Q90" s="268">
        <v>12</v>
      </c>
      <c r="R90" s="268">
        <v>7</v>
      </c>
      <c r="S90" s="268">
        <v>17</v>
      </c>
      <c r="T90" s="268">
        <v>11</v>
      </c>
      <c r="U90" s="268">
        <v>11</v>
      </c>
      <c r="V90" s="268">
        <f>SUM(D90:O90)</f>
        <v>162</v>
      </c>
      <c r="W90" s="268">
        <f>SUM(J90:U90)</f>
        <v>138</v>
      </c>
    </row>
    <row r="91" spans="1:23" x14ac:dyDescent="0.25">
      <c r="A91" s="513" t="s">
        <v>224</v>
      </c>
      <c r="B91" s="603" t="s">
        <v>225</v>
      </c>
      <c r="C91" s="603" t="s">
        <v>264</v>
      </c>
      <c r="D91" s="268">
        <v>5</v>
      </c>
      <c r="E91" s="268">
        <v>4</v>
      </c>
      <c r="F91" s="268">
        <v>8</v>
      </c>
      <c r="G91" s="268"/>
      <c r="H91" s="268">
        <v>3</v>
      </c>
      <c r="I91" s="268"/>
      <c r="J91" s="268">
        <v>1</v>
      </c>
      <c r="K91" s="268">
        <v>2</v>
      </c>
      <c r="L91" s="268">
        <v>4</v>
      </c>
      <c r="M91" s="268">
        <v>2</v>
      </c>
      <c r="N91" s="268">
        <v>3</v>
      </c>
      <c r="O91" s="268">
        <v>8</v>
      </c>
      <c r="P91" s="268">
        <v>4</v>
      </c>
      <c r="Q91" s="268">
        <v>6</v>
      </c>
      <c r="R91" s="268">
        <v>3</v>
      </c>
      <c r="S91" s="268">
        <v>2</v>
      </c>
      <c r="T91" s="268"/>
      <c r="U91" s="268">
        <v>1</v>
      </c>
      <c r="V91" s="268">
        <f>SUM(D91:O91)</f>
        <v>40</v>
      </c>
      <c r="W91" s="268">
        <f>SUM(J91:U91)</f>
        <v>36</v>
      </c>
    </row>
    <row r="92" spans="1:23" x14ac:dyDescent="0.25">
      <c r="A92" s="513" t="s">
        <v>226</v>
      </c>
      <c r="B92" s="603" t="s">
        <v>227</v>
      </c>
      <c r="C92" s="603" t="s">
        <v>264</v>
      </c>
      <c r="D92" s="268">
        <v>4</v>
      </c>
      <c r="E92" s="268">
        <v>3</v>
      </c>
      <c r="F92" s="268">
        <v>3</v>
      </c>
      <c r="G92" s="268">
        <v>7</v>
      </c>
      <c r="H92" s="268">
        <v>4</v>
      </c>
      <c r="I92" s="268"/>
      <c r="J92" s="268"/>
      <c r="K92" s="268">
        <v>1</v>
      </c>
      <c r="L92" s="268">
        <v>4</v>
      </c>
      <c r="M92" s="268"/>
      <c r="N92" s="268">
        <v>3</v>
      </c>
      <c r="O92" s="268">
        <v>5</v>
      </c>
      <c r="P92" s="268">
        <v>4</v>
      </c>
      <c r="Q92" s="268"/>
      <c r="R92" s="268">
        <v>2</v>
      </c>
      <c r="S92" s="268"/>
      <c r="T92" s="268">
        <v>4</v>
      </c>
      <c r="U92" s="268"/>
      <c r="V92" s="268">
        <f>SUM(D92:O92)</f>
        <v>34</v>
      </c>
      <c r="W92" s="268">
        <f>SUM(J92:U92)</f>
        <v>23</v>
      </c>
    </row>
    <row r="93" spans="1:23" x14ac:dyDescent="0.25">
      <c r="A93" s="513" t="s">
        <v>228</v>
      </c>
      <c r="B93" s="603" t="s">
        <v>229</v>
      </c>
      <c r="C93" s="603" t="s">
        <v>268</v>
      </c>
      <c r="D93" s="268">
        <v>3</v>
      </c>
      <c r="E93" s="268">
        <v>2</v>
      </c>
      <c r="F93" s="268">
        <v>9</v>
      </c>
      <c r="G93" s="268">
        <v>9</v>
      </c>
      <c r="H93" s="268">
        <v>8</v>
      </c>
      <c r="I93" s="268">
        <v>1</v>
      </c>
      <c r="J93" s="268">
        <v>5</v>
      </c>
      <c r="K93" s="268">
        <v>7</v>
      </c>
      <c r="L93" s="268">
        <v>4</v>
      </c>
      <c r="M93" s="268">
        <v>3</v>
      </c>
      <c r="N93" s="268">
        <v>5</v>
      </c>
      <c r="O93" s="268">
        <v>13</v>
      </c>
      <c r="P93" s="268">
        <v>9</v>
      </c>
      <c r="Q93" s="268">
        <v>2</v>
      </c>
      <c r="R93" s="268">
        <v>3</v>
      </c>
      <c r="S93" s="268">
        <v>1</v>
      </c>
      <c r="T93" s="268">
        <v>7</v>
      </c>
      <c r="U93" s="268">
        <v>6</v>
      </c>
      <c r="V93" s="268">
        <f>SUM(D93:O93)</f>
        <v>69</v>
      </c>
      <c r="W93" s="268">
        <f>SUM(J93:U93)</f>
        <v>65</v>
      </c>
    </row>
    <row r="94" spans="1:23" x14ac:dyDescent="0.25">
      <c r="A94" s="513" t="s">
        <v>232</v>
      </c>
      <c r="B94" s="603" t="s">
        <v>233</v>
      </c>
      <c r="C94" s="603" t="s">
        <v>267</v>
      </c>
      <c r="D94" s="268">
        <v>21</v>
      </c>
      <c r="E94" s="268">
        <v>19</v>
      </c>
      <c r="F94" s="268">
        <v>16</v>
      </c>
      <c r="G94" s="268">
        <v>15</v>
      </c>
      <c r="H94" s="268">
        <v>13</v>
      </c>
      <c r="I94" s="268">
        <v>6</v>
      </c>
      <c r="J94" s="268"/>
      <c r="K94" s="268">
        <v>12</v>
      </c>
      <c r="L94" s="268">
        <v>4</v>
      </c>
      <c r="M94" s="268">
        <v>5</v>
      </c>
      <c r="N94" s="268">
        <v>6</v>
      </c>
      <c r="O94" s="268">
        <v>5</v>
      </c>
      <c r="P94" s="268">
        <v>2</v>
      </c>
      <c r="Q94" s="268">
        <v>4</v>
      </c>
      <c r="R94" s="268"/>
      <c r="S94" s="268">
        <v>1</v>
      </c>
      <c r="T94" s="268"/>
      <c r="U94" s="268">
        <v>2</v>
      </c>
      <c r="V94" s="268">
        <f>SUM(D94:O94)</f>
        <v>122</v>
      </c>
      <c r="W94" s="268">
        <f>SUM(J94:U94)</f>
        <v>41</v>
      </c>
    </row>
    <row r="95" spans="1:23" x14ac:dyDescent="0.25">
      <c r="A95" s="513" t="s">
        <v>234</v>
      </c>
      <c r="B95" s="603" t="s">
        <v>235</v>
      </c>
      <c r="C95" s="603" t="s">
        <v>268</v>
      </c>
      <c r="D95" s="268">
        <v>9</v>
      </c>
      <c r="E95" s="268">
        <v>21</v>
      </c>
      <c r="F95" s="268">
        <v>6</v>
      </c>
      <c r="G95" s="268">
        <v>6</v>
      </c>
      <c r="H95" s="268">
        <v>13</v>
      </c>
      <c r="I95" s="268">
        <v>5</v>
      </c>
      <c r="J95" s="268">
        <v>1</v>
      </c>
      <c r="K95" s="268">
        <v>9</v>
      </c>
      <c r="L95" s="268">
        <v>6</v>
      </c>
      <c r="M95" s="268">
        <v>8</v>
      </c>
      <c r="N95" s="268">
        <v>11</v>
      </c>
      <c r="O95" s="268">
        <v>9</v>
      </c>
      <c r="P95" s="268">
        <v>5</v>
      </c>
      <c r="Q95" s="268">
        <v>6</v>
      </c>
      <c r="R95" s="268">
        <v>4</v>
      </c>
      <c r="S95" s="268">
        <v>9</v>
      </c>
      <c r="T95" s="268">
        <v>6</v>
      </c>
      <c r="U95" s="268">
        <v>7</v>
      </c>
      <c r="V95" s="268">
        <f>SUM(D95:O95)</f>
        <v>104</v>
      </c>
      <c r="W95" s="268">
        <f>SUM(J95:U95)</f>
        <v>81</v>
      </c>
    </row>
    <row r="96" spans="1:23" x14ac:dyDescent="0.25">
      <c r="A96" s="513" t="s">
        <v>236</v>
      </c>
      <c r="B96" s="603" t="s">
        <v>237</v>
      </c>
      <c r="C96" s="603" t="s">
        <v>266</v>
      </c>
      <c r="D96" s="268">
        <v>9</v>
      </c>
      <c r="E96" s="268">
        <v>8</v>
      </c>
      <c r="F96" s="268">
        <v>8</v>
      </c>
      <c r="G96" s="268">
        <v>9</v>
      </c>
      <c r="H96" s="268">
        <v>6</v>
      </c>
      <c r="I96" s="268">
        <v>2</v>
      </c>
      <c r="J96" s="268">
        <v>2</v>
      </c>
      <c r="K96" s="268">
        <v>3</v>
      </c>
      <c r="L96" s="268">
        <v>1</v>
      </c>
      <c r="M96" s="268">
        <v>8</v>
      </c>
      <c r="N96" s="268">
        <v>7</v>
      </c>
      <c r="O96" s="268">
        <v>7</v>
      </c>
      <c r="P96" s="268">
        <v>6</v>
      </c>
      <c r="Q96" s="268">
        <v>3</v>
      </c>
      <c r="R96" s="268">
        <v>4</v>
      </c>
      <c r="S96" s="268">
        <v>6</v>
      </c>
      <c r="T96" s="268">
        <v>2</v>
      </c>
      <c r="U96" s="268">
        <v>5</v>
      </c>
      <c r="V96" s="268">
        <f>SUM(D96:O96)</f>
        <v>70</v>
      </c>
      <c r="W96" s="268">
        <f>SUM(J96:U96)</f>
        <v>54</v>
      </c>
    </row>
    <row r="97" spans="1:23" x14ac:dyDescent="0.25">
      <c r="A97" s="513" t="s">
        <v>242</v>
      </c>
      <c r="B97" s="603" t="s">
        <v>243</v>
      </c>
      <c r="C97" s="603" t="s">
        <v>268</v>
      </c>
      <c r="D97" s="268">
        <v>4</v>
      </c>
      <c r="E97" s="268">
        <v>2</v>
      </c>
      <c r="F97" s="268">
        <v>3</v>
      </c>
      <c r="G97" s="268">
        <v>6</v>
      </c>
      <c r="H97" s="268">
        <v>5</v>
      </c>
      <c r="I97" s="268">
        <v>3</v>
      </c>
      <c r="J97" s="268">
        <v>9</v>
      </c>
      <c r="K97" s="268">
        <v>11</v>
      </c>
      <c r="L97" s="268">
        <v>5</v>
      </c>
      <c r="M97" s="268">
        <v>2</v>
      </c>
      <c r="N97" s="268">
        <v>9</v>
      </c>
      <c r="O97" s="268">
        <v>8</v>
      </c>
      <c r="P97" s="268">
        <v>8</v>
      </c>
      <c r="Q97" s="268">
        <v>6</v>
      </c>
      <c r="R97" s="268">
        <v>4</v>
      </c>
      <c r="S97" s="268">
        <v>3</v>
      </c>
      <c r="T97" s="268">
        <v>3</v>
      </c>
      <c r="U97" s="268">
        <v>2</v>
      </c>
      <c r="V97" s="268">
        <f>SUM(D97:O97)</f>
        <v>67</v>
      </c>
      <c r="W97" s="268">
        <f>SUM(J97:U97)</f>
        <v>70</v>
      </c>
    </row>
    <row r="98" spans="1:23" x14ac:dyDescent="0.25">
      <c r="A98" s="513" t="s">
        <v>244</v>
      </c>
      <c r="B98" s="603" t="s">
        <v>245</v>
      </c>
      <c r="C98" s="603" t="s">
        <v>268</v>
      </c>
      <c r="D98" s="268">
        <v>4</v>
      </c>
      <c r="E98" s="268">
        <v>8</v>
      </c>
      <c r="F98" s="268">
        <v>16</v>
      </c>
      <c r="G98" s="268">
        <v>5</v>
      </c>
      <c r="H98" s="268">
        <v>8</v>
      </c>
      <c r="I98" s="268">
        <v>6</v>
      </c>
      <c r="J98" s="268">
        <v>3</v>
      </c>
      <c r="K98" s="268">
        <v>4</v>
      </c>
      <c r="L98" s="268">
        <v>6</v>
      </c>
      <c r="M98" s="268">
        <v>11</v>
      </c>
      <c r="N98" s="268">
        <v>13</v>
      </c>
      <c r="O98" s="268">
        <v>14</v>
      </c>
      <c r="P98" s="268">
        <v>1</v>
      </c>
      <c r="Q98" s="268">
        <v>13</v>
      </c>
      <c r="R98" s="268">
        <v>7</v>
      </c>
      <c r="S98" s="268">
        <v>8</v>
      </c>
      <c r="T98" s="268">
        <v>9</v>
      </c>
      <c r="U98" s="268">
        <v>5</v>
      </c>
      <c r="V98" s="268">
        <f>SUM(D98:O98)</f>
        <v>98</v>
      </c>
      <c r="W98" s="268">
        <f>SUM(J98:U98)</f>
        <v>94</v>
      </c>
    </row>
    <row r="99" spans="1:23" x14ac:dyDescent="0.25">
      <c r="A99" s="513" t="s">
        <v>246</v>
      </c>
      <c r="B99" s="603" t="s">
        <v>247</v>
      </c>
      <c r="C99" s="603" t="s">
        <v>264</v>
      </c>
      <c r="D99" s="268">
        <v>12</v>
      </c>
      <c r="E99" s="268">
        <v>26</v>
      </c>
      <c r="F99" s="268">
        <v>18</v>
      </c>
      <c r="G99" s="268">
        <v>17</v>
      </c>
      <c r="H99" s="268">
        <v>19</v>
      </c>
      <c r="I99" s="268">
        <v>20</v>
      </c>
      <c r="J99" s="268">
        <v>22</v>
      </c>
      <c r="K99" s="268">
        <v>16</v>
      </c>
      <c r="L99" s="268">
        <v>7</v>
      </c>
      <c r="M99" s="268">
        <v>11</v>
      </c>
      <c r="N99" s="268">
        <v>22</v>
      </c>
      <c r="O99" s="268">
        <v>21</v>
      </c>
      <c r="P99" s="268">
        <v>16</v>
      </c>
      <c r="Q99" s="268">
        <v>16</v>
      </c>
      <c r="R99" s="268">
        <v>30</v>
      </c>
      <c r="S99" s="268">
        <v>21</v>
      </c>
      <c r="T99" s="268">
        <v>9</v>
      </c>
      <c r="U99" s="268">
        <v>20</v>
      </c>
      <c r="V99" s="268">
        <f>SUM(D99:O99)</f>
        <v>211</v>
      </c>
      <c r="W99" s="268">
        <f>SUM(J99:U99)</f>
        <v>211</v>
      </c>
    </row>
    <row r="100" spans="1:23" x14ac:dyDescent="0.25">
      <c r="A100" s="513" t="s">
        <v>14</v>
      </c>
      <c r="B100" s="603" t="s">
        <v>15</v>
      </c>
      <c r="C100" s="603" t="s">
        <v>267</v>
      </c>
      <c r="D100" s="268">
        <v>18</v>
      </c>
      <c r="E100" s="268">
        <v>11</v>
      </c>
      <c r="F100" s="268">
        <v>24</v>
      </c>
      <c r="G100" s="268">
        <v>28</v>
      </c>
      <c r="H100" s="268">
        <v>15</v>
      </c>
      <c r="I100" s="268">
        <v>7</v>
      </c>
      <c r="J100" s="268">
        <v>35</v>
      </c>
      <c r="K100" s="268">
        <v>28</v>
      </c>
      <c r="L100" s="268">
        <v>17</v>
      </c>
      <c r="M100" s="268">
        <v>23</v>
      </c>
      <c r="N100" s="268">
        <v>36</v>
      </c>
      <c r="O100" s="268">
        <v>46</v>
      </c>
      <c r="P100" s="268">
        <v>18</v>
      </c>
      <c r="Q100" s="268">
        <v>30</v>
      </c>
      <c r="R100" s="268">
        <v>35</v>
      </c>
      <c r="S100" s="268">
        <v>40</v>
      </c>
      <c r="T100" s="268">
        <v>13</v>
      </c>
      <c r="U100" s="268">
        <v>28</v>
      </c>
      <c r="V100" s="268">
        <f>SUM(D100:O100)</f>
        <v>288</v>
      </c>
      <c r="W100" s="268">
        <f>SUM(J100:U100)</f>
        <v>349</v>
      </c>
    </row>
    <row r="101" spans="1:23" x14ac:dyDescent="0.25">
      <c r="A101" s="513" t="s">
        <v>34</v>
      </c>
      <c r="B101" s="603" t="s">
        <v>35</v>
      </c>
      <c r="C101" s="603" t="s">
        <v>268</v>
      </c>
      <c r="D101" s="268">
        <v>6</v>
      </c>
      <c r="E101" s="268">
        <v>8</v>
      </c>
      <c r="F101" s="268">
        <v>15</v>
      </c>
      <c r="G101" s="268">
        <v>9</v>
      </c>
      <c r="H101" s="268">
        <v>3</v>
      </c>
      <c r="I101" s="268">
        <v>7</v>
      </c>
      <c r="J101" s="268">
        <v>7</v>
      </c>
      <c r="K101" s="268">
        <v>4</v>
      </c>
      <c r="L101" s="268">
        <v>6</v>
      </c>
      <c r="M101" s="268">
        <v>6</v>
      </c>
      <c r="N101" s="268">
        <v>11</v>
      </c>
      <c r="O101" s="268">
        <v>17</v>
      </c>
      <c r="P101" s="268">
        <v>19</v>
      </c>
      <c r="Q101" s="268">
        <v>19</v>
      </c>
      <c r="R101" s="268">
        <v>9</v>
      </c>
      <c r="S101" s="268">
        <v>13</v>
      </c>
      <c r="T101" s="268">
        <v>18</v>
      </c>
      <c r="U101" s="268">
        <v>8</v>
      </c>
      <c r="V101" s="268">
        <f>SUM(D101:O101)</f>
        <v>99</v>
      </c>
      <c r="W101" s="268">
        <f>SUM(J101:U101)</f>
        <v>137</v>
      </c>
    </row>
    <row r="102" spans="1:23" x14ac:dyDescent="0.25">
      <c r="A102" s="513" t="s">
        <v>52</v>
      </c>
      <c r="B102" s="603" t="s">
        <v>53</v>
      </c>
      <c r="C102" s="603" t="s">
        <v>265</v>
      </c>
      <c r="D102" s="268">
        <v>18</v>
      </c>
      <c r="E102" s="268">
        <v>18</v>
      </c>
      <c r="F102" s="268">
        <v>21</v>
      </c>
      <c r="G102" s="268">
        <v>31</v>
      </c>
      <c r="H102" s="268">
        <v>18</v>
      </c>
      <c r="I102" s="268">
        <v>15</v>
      </c>
      <c r="J102" s="268">
        <v>17</v>
      </c>
      <c r="K102" s="268">
        <v>28</v>
      </c>
      <c r="L102" s="268">
        <v>20</v>
      </c>
      <c r="M102" s="268">
        <v>21</v>
      </c>
      <c r="N102" s="268">
        <v>24</v>
      </c>
      <c r="O102" s="268">
        <v>18</v>
      </c>
      <c r="P102" s="268">
        <v>23</v>
      </c>
      <c r="Q102" s="268">
        <v>15</v>
      </c>
      <c r="R102" s="268">
        <v>36</v>
      </c>
      <c r="S102" s="268">
        <v>30</v>
      </c>
      <c r="T102" s="268">
        <v>26</v>
      </c>
      <c r="U102" s="268">
        <v>17</v>
      </c>
      <c r="V102" s="268">
        <f>SUM(D102:O102)</f>
        <v>249</v>
      </c>
      <c r="W102" s="268">
        <f>SUM(J102:U102)</f>
        <v>275</v>
      </c>
    </row>
    <row r="103" spans="1:23" x14ac:dyDescent="0.25">
      <c r="A103" s="513" t="s">
        <v>54</v>
      </c>
      <c r="B103" s="603" t="s">
        <v>55</v>
      </c>
      <c r="C103" s="603" t="s">
        <v>264</v>
      </c>
      <c r="D103" s="268">
        <v>92</v>
      </c>
      <c r="E103" s="268">
        <v>99</v>
      </c>
      <c r="F103" s="268">
        <v>186</v>
      </c>
      <c r="G103" s="268">
        <v>218</v>
      </c>
      <c r="H103" s="268">
        <v>149</v>
      </c>
      <c r="I103" s="268">
        <v>157</v>
      </c>
      <c r="J103" s="268">
        <v>137</v>
      </c>
      <c r="K103" s="268">
        <v>171</v>
      </c>
      <c r="L103" s="268">
        <v>133</v>
      </c>
      <c r="M103" s="268">
        <v>103</v>
      </c>
      <c r="N103" s="268">
        <v>114</v>
      </c>
      <c r="O103" s="268">
        <v>102</v>
      </c>
      <c r="P103" s="268">
        <v>83</v>
      </c>
      <c r="Q103" s="268">
        <v>114</v>
      </c>
      <c r="R103" s="268">
        <v>134</v>
      </c>
      <c r="S103" s="268">
        <v>112</v>
      </c>
      <c r="T103" s="268">
        <v>101</v>
      </c>
      <c r="U103" s="268">
        <v>92</v>
      </c>
      <c r="V103" s="268">
        <f>SUM(D103:O103)</f>
        <v>1661</v>
      </c>
      <c r="W103" s="268">
        <f>SUM(J103:U103)</f>
        <v>1396</v>
      </c>
    </row>
    <row r="104" spans="1:23" x14ac:dyDescent="0.25">
      <c r="A104" s="513" t="s">
        <v>66</v>
      </c>
      <c r="B104" s="603" t="s">
        <v>67</v>
      </c>
      <c r="C104" s="603" t="s">
        <v>265</v>
      </c>
      <c r="D104" s="268">
        <v>16</v>
      </c>
      <c r="E104" s="268">
        <v>13</v>
      </c>
      <c r="F104" s="268">
        <v>30</v>
      </c>
      <c r="G104" s="268">
        <v>24</v>
      </c>
      <c r="H104" s="268">
        <v>22</v>
      </c>
      <c r="I104" s="268">
        <v>22</v>
      </c>
      <c r="J104" s="268">
        <v>34</v>
      </c>
      <c r="K104" s="268">
        <v>21</v>
      </c>
      <c r="L104" s="268">
        <v>31</v>
      </c>
      <c r="M104" s="268">
        <v>24</v>
      </c>
      <c r="N104" s="268">
        <v>23</v>
      </c>
      <c r="O104" s="268">
        <v>22</v>
      </c>
      <c r="P104" s="268">
        <v>12</v>
      </c>
      <c r="Q104" s="268">
        <v>19</v>
      </c>
      <c r="R104" s="268">
        <v>20</v>
      </c>
      <c r="S104" s="268">
        <v>27</v>
      </c>
      <c r="T104" s="268">
        <v>18</v>
      </c>
      <c r="U104" s="268">
        <v>12</v>
      </c>
      <c r="V104" s="268">
        <f>SUM(D104:O104)</f>
        <v>282</v>
      </c>
      <c r="W104" s="268">
        <f>SUM(J104:U104)</f>
        <v>263</v>
      </c>
    </row>
    <row r="105" spans="1:23" x14ac:dyDescent="0.25">
      <c r="A105" s="513" t="s">
        <v>82</v>
      </c>
      <c r="B105" s="603" t="s">
        <v>83</v>
      </c>
      <c r="C105" s="603" t="s">
        <v>264</v>
      </c>
      <c r="D105" s="268">
        <v>2</v>
      </c>
      <c r="E105" s="268">
        <v>4</v>
      </c>
      <c r="F105" s="268"/>
      <c r="G105" s="268"/>
      <c r="H105" s="268"/>
      <c r="I105" s="268"/>
      <c r="J105" s="268"/>
      <c r="K105" s="268">
        <v>1</v>
      </c>
      <c r="L105" s="268">
        <v>3</v>
      </c>
      <c r="M105" s="268">
        <v>1</v>
      </c>
      <c r="N105" s="268"/>
      <c r="O105" s="268">
        <v>2</v>
      </c>
      <c r="P105" s="268">
        <v>3</v>
      </c>
      <c r="Q105" s="268">
        <v>2</v>
      </c>
      <c r="R105" s="268">
        <v>6</v>
      </c>
      <c r="S105" s="268">
        <v>1</v>
      </c>
      <c r="T105" s="268"/>
      <c r="U105" s="268"/>
      <c r="V105" s="268">
        <f>SUM(D105:O105)</f>
        <v>13</v>
      </c>
      <c r="W105" s="268">
        <f>SUM(J105:U105)</f>
        <v>19</v>
      </c>
    </row>
    <row r="106" spans="1:23" x14ac:dyDescent="0.25">
      <c r="A106" s="513" t="s">
        <v>88</v>
      </c>
      <c r="B106" s="603" t="s">
        <v>89</v>
      </c>
      <c r="C106" s="603" t="s">
        <v>267</v>
      </c>
      <c r="D106" s="268">
        <v>14</v>
      </c>
      <c r="E106" s="268">
        <v>24</v>
      </c>
      <c r="F106" s="268">
        <v>20</v>
      </c>
      <c r="G106" s="268">
        <v>29</v>
      </c>
      <c r="H106" s="268">
        <v>26</v>
      </c>
      <c r="I106" s="268">
        <v>30</v>
      </c>
      <c r="J106" s="268">
        <v>12</v>
      </c>
      <c r="K106" s="268">
        <v>5</v>
      </c>
      <c r="L106" s="268">
        <v>21</v>
      </c>
      <c r="M106" s="268">
        <v>13</v>
      </c>
      <c r="N106" s="268">
        <v>11</v>
      </c>
      <c r="O106" s="268">
        <v>19</v>
      </c>
      <c r="P106" s="268">
        <v>10</v>
      </c>
      <c r="Q106" s="268">
        <v>18</v>
      </c>
      <c r="R106" s="268">
        <v>22</v>
      </c>
      <c r="S106" s="268">
        <v>24</v>
      </c>
      <c r="T106" s="268">
        <v>16</v>
      </c>
      <c r="U106" s="268">
        <v>10</v>
      </c>
      <c r="V106" s="268">
        <f>SUM(D106:O106)</f>
        <v>224</v>
      </c>
      <c r="W106" s="268">
        <f>SUM(J106:U106)</f>
        <v>181</v>
      </c>
    </row>
    <row r="107" spans="1:23" x14ac:dyDescent="0.25">
      <c r="A107" s="513" t="s">
        <v>90</v>
      </c>
      <c r="B107" s="603" t="s">
        <v>91</v>
      </c>
      <c r="C107" s="603" t="s">
        <v>268</v>
      </c>
      <c r="D107" s="268">
        <v>1</v>
      </c>
      <c r="E107" s="268">
        <v>2</v>
      </c>
      <c r="F107" s="268">
        <v>2</v>
      </c>
      <c r="G107" s="268"/>
      <c r="H107" s="268">
        <v>2</v>
      </c>
      <c r="I107" s="268">
        <v>2</v>
      </c>
      <c r="J107" s="268">
        <v>1</v>
      </c>
      <c r="K107" s="268">
        <v>2</v>
      </c>
      <c r="L107" s="268">
        <v>2</v>
      </c>
      <c r="M107" s="268"/>
      <c r="N107" s="268"/>
      <c r="O107" s="268">
        <v>3</v>
      </c>
      <c r="P107" s="268">
        <v>1</v>
      </c>
      <c r="Q107" s="268">
        <v>2</v>
      </c>
      <c r="R107" s="268"/>
      <c r="S107" s="268">
        <v>2</v>
      </c>
      <c r="T107" s="268">
        <v>1</v>
      </c>
      <c r="U107" s="268">
        <v>2</v>
      </c>
      <c r="V107" s="268">
        <f>SUM(D107:O107)</f>
        <v>17</v>
      </c>
      <c r="W107" s="268">
        <f>SUM(J107:U107)</f>
        <v>16</v>
      </c>
    </row>
    <row r="108" spans="1:23" x14ac:dyDescent="0.25">
      <c r="A108" s="513" t="s">
        <v>106</v>
      </c>
      <c r="B108" s="603" t="s">
        <v>107</v>
      </c>
      <c r="C108" s="603" t="s">
        <v>264</v>
      </c>
      <c r="D108" s="268">
        <v>60</v>
      </c>
      <c r="E108" s="268">
        <v>59</v>
      </c>
      <c r="F108" s="268">
        <v>62</v>
      </c>
      <c r="G108" s="268">
        <v>59</v>
      </c>
      <c r="H108" s="268">
        <v>50</v>
      </c>
      <c r="I108" s="268">
        <v>42</v>
      </c>
      <c r="J108" s="268">
        <v>80</v>
      </c>
      <c r="K108" s="268">
        <v>87</v>
      </c>
      <c r="L108" s="268">
        <v>95</v>
      </c>
      <c r="M108" s="268">
        <v>75</v>
      </c>
      <c r="N108" s="268">
        <v>92</v>
      </c>
      <c r="O108" s="268">
        <v>96</v>
      </c>
      <c r="P108" s="268">
        <v>61</v>
      </c>
      <c r="Q108" s="268">
        <v>58</v>
      </c>
      <c r="R108" s="268">
        <v>60</v>
      </c>
      <c r="S108" s="268">
        <v>39</v>
      </c>
      <c r="T108" s="268">
        <v>51</v>
      </c>
      <c r="U108" s="268">
        <v>52</v>
      </c>
      <c r="V108" s="268">
        <f>SUM(D108:O108)</f>
        <v>857</v>
      </c>
      <c r="W108" s="268">
        <f>SUM(J108:U108)</f>
        <v>846</v>
      </c>
    </row>
    <row r="109" spans="1:23" x14ac:dyDescent="0.25">
      <c r="A109" s="513" t="s">
        <v>116</v>
      </c>
      <c r="B109" s="603" t="s">
        <v>117</v>
      </c>
      <c r="C109" s="603" t="s">
        <v>266</v>
      </c>
      <c r="D109" s="268">
        <v>38</v>
      </c>
      <c r="E109" s="268">
        <v>46</v>
      </c>
      <c r="F109" s="268">
        <v>56</v>
      </c>
      <c r="G109" s="268">
        <v>44</v>
      </c>
      <c r="H109" s="268">
        <v>38</v>
      </c>
      <c r="I109" s="268">
        <v>47</v>
      </c>
      <c r="J109" s="268">
        <v>20</v>
      </c>
      <c r="K109" s="268">
        <v>20</v>
      </c>
      <c r="L109" s="268">
        <v>25</v>
      </c>
      <c r="M109" s="268">
        <v>25</v>
      </c>
      <c r="N109" s="268">
        <v>28</v>
      </c>
      <c r="O109" s="268">
        <v>29</v>
      </c>
      <c r="P109" s="268">
        <v>25</v>
      </c>
      <c r="Q109" s="268">
        <v>27</v>
      </c>
      <c r="R109" s="268">
        <v>26</v>
      </c>
      <c r="S109" s="268">
        <v>15</v>
      </c>
      <c r="T109" s="268">
        <v>17</v>
      </c>
      <c r="U109" s="268">
        <v>16</v>
      </c>
      <c r="V109" s="268">
        <f>SUM(D109:O109)</f>
        <v>416</v>
      </c>
      <c r="W109" s="268">
        <f>SUM(J109:U109)</f>
        <v>273</v>
      </c>
    </row>
    <row r="110" spans="1:23" x14ac:dyDescent="0.25">
      <c r="A110" s="513" t="s">
        <v>138</v>
      </c>
      <c r="B110" s="603" t="s">
        <v>139</v>
      </c>
      <c r="C110" s="603" t="s">
        <v>265</v>
      </c>
      <c r="D110" s="268">
        <v>58</v>
      </c>
      <c r="E110" s="268">
        <v>64</v>
      </c>
      <c r="F110" s="268">
        <v>75</v>
      </c>
      <c r="G110" s="268">
        <v>37</v>
      </c>
      <c r="H110" s="268">
        <v>55</v>
      </c>
      <c r="I110" s="268">
        <v>64</v>
      </c>
      <c r="J110" s="268">
        <v>38</v>
      </c>
      <c r="K110" s="268">
        <v>56</v>
      </c>
      <c r="L110" s="268">
        <v>39</v>
      </c>
      <c r="M110" s="268">
        <v>47</v>
      </c>
      <c r="N110" s="268">
        <v>60</v>
      </c>
      <c r="O110" s="268">
        <v>73</v>
      </c>
      <c r="P110" s="268">
        <v>46</v>
      </c>
      <c r="Q110" s="268">
        <v>75</v>
      </c>
      <c r="R110" s="268">
        <v>66</v>
      </c>
      <c r="S110" s="268">
        <v>51</v>
      </c>
      <c r="T110" s="268">
        <v>42</v>
      </c>
      <c r="U110" s="268">
        <v>46</v>
      </c>
      <c r="V110" s="268">
        <f>SUM(D110:O110)</f>
        <v>666</v>
      </c>
      <c r="W110" s="268">
        <f>SUM(J110:U110)</f>
        <v>639</v>
      </c>
    </row>
    <row r="111" spans="1:23" x14ac:dyDescent="0.25">
      <c r="A111" s="513" t="s">
        <v>142</v>
      </c>
      <c r="B111" s="603" t="s">
        <v>143</v>
      </c>
      <c r="C111" s="603" t="s">
        <v>267</v>
      </c>
      <c r="D111" s="268">
        <v>17</v>
      </c>
      <c r="E111" s="268">
        <v>7</v>
      </c>
      <c r="F111" s="268">
        <v>10</v>
      </c>
      <c r="G111" s="268">
        <v>6</v>
      </c>
      <c r="H111" s="268">
        <v>18</v>
      </c>
      <c r="I111" s="268">
        <v>14</v>
      </c>
      <c r="J111" s="268">
        <v>7</v>
      </c>
      <c r="K111" s="268">
        <v>8</v>
      </c>
      <c r="L111" s="268">
        <v>9</v>
      </c>
      <c r="M111" s="268">
        <v>16</v>
      </c>
      <c r="N111" s="268">
        <v>4</v>
      </c>
      <c r="O111" s="268">
        <v>2</v>
      </c>
      <c r="P111" s="268">
        <v>10</v>
      </c>
      <c r="Q111" s="268">
        <v>8</v>
      </c>
      <c r="R111" s="268">
        <v>12</v>
      </c>
      <c r="S111" s="268">
        <v>19</v>
      </c>
      <c r="T111" s="268">
        <v>8</v>
      </c>
      <c r="U111" s="268">
        <v>8</v>
      </c>
      <c r="V111" s="268">
        <f>SUM(D111:O111)</f>
        <v>118</v>
      </c>
      <c r="W111" s="268">
        <f>SUM(J111:U111)</f>
        <v>111</v>
      </c>
    </row>
    <row r="112" spans="1:23" x14ac:dyDescent="0.25">
      <c r="A112" s="513" t="s">
        <v>144</v>
      </c>
      <c r="B112" s="603" t="s">
        <v>145</v>
      </c>
      <c r="C112" s="603" t="s">
        <v>267</v>
      </c>
      <c r="D112" s="268">
        <v>1</v>
      </c>
      <c r="E112" s="268">
        <v>3</v>
      </c>
      <c r="F112" s="268">
        <v>6</v>
      </c>
      <c r="G112" s="268">
        <v>3</v>
      </c>
      <c r="H112" s="268">
        <v>10</v>
      </c>
      <c r="I112" s="268">
        <v>5</v>
      </c>
      <c r="J112" s="268">
        <v>11</v>
      </c>
      <c r="K112" s="268">
        <v>3</v>
      </c>
      <c r="L112" s="268">
        <v>5</v>
      </c>
      <c r="M112" s="268">
        <v>3</v>
      </c>
      <c r="N112" s="268">
        <v>4</v>
      </c>
      <c r="O112" s="268">
        <v>11</v>
      </c>
      <c r="P112" s="268">
        <v>2</v>
      </c>
      <c r="Q112" s="268">
        <v>4</v>
      </c>
      <c r="R112" s="268">
        <v>3</v>
      </c>
      <c r="S112" s="268">
        <v>1</v>
      </c>
      <c r="T112" s="268">
        <v>3</v>
      </c>
      <c r="U112" s="268">
        <v>5</v>
      </c>
      <c r="V112" s="268">
        <f>SUM(D112:O112)</f>
        <v>65</v>
      </c>
      <c r="W112" s="268">
        <f>SUM(J112:U112)</f>
        <v>55</v>
      </c>
    </row>
    <row r="113" spans="1:23" x14ac:dyDescent="0.25">
      <c r="A113" s="513" t="s">
        <v>158</v>
      </c>
      <c r="B113" s="603" t="s">
        <v>159</v>
      </c>
      <c r="C113" s="603" t="s">
        <v>264</v>
      </c>
      <c r="D113" s="268">
        <v>141</v>
      </c>
      <c r="E113" s="268">
        <v>186</v>
      </c>
      <c r="F113" s="268">
        <v>159</v>
      </c>
      <c r="G113" s="268">
        <v>213</v>
      </c>
      <c r="H113" s="268">
        <v>372</v>
      </c>
      <c r="I113" s="268">
        <v>184</v>
      </c>
      <c r="J113" s="268">
        <v>132</v>
      </c>
      <c r="K113" s="268">
        <v>124</v>
      </c>
      <c r="L113" s="268">
        <v>196</v>
      </c>
      <c r="M113" s="268">
        <v>189</v>
      </c>
      <c r="N113" s="268">
        <v>272</v>
      </c>
      <c r="O113" s="268">
        <v>167</v>
      </c>
      <c r="P113" s="268">
        <v>131</v>
      </c>
      <c r="Q113" s="268">
        <v>101</v>
      </c>
      <c r="R113" s="268">
        <v>138</v>
      </c>
      <c r="S113" s="268">
        <v>97</v>
      </c>
      <c r="T113" s="268">
        <v>110</v>
      </c>
      <c r="U113" s="268">
        <v>80</v>
      </c>
      <c r="V113" s="268">
        <f>SUM(D113:O113)</f>
        <v>2335</v>
      </c>
      <c r="W113" s="268">
        <f>SUM(J113:U113)</f>
        <v>1737</v>
      </c>
    </row>
    <row r="114" spans="1:23" x14ac:dyDescent="0.25">
      <c r="A114" s="513" t="s">
        <v>160</v>
      </c>
      <c r="B114" s="603" t="s">
        <v>161</v>
      </c>
      <c r="C114" s="603" t="s">
        <v>264</v>
      </c>
      <c r="D114" s="268">
        <v>145</v>
      </c>
      <c r="E114" s="268">
        <v>151</v>
      </c>
      <c r="F114" s="268">
        <v>150</v>
      </c>
      <c r="G114" s="268">
        <v>175</v>
      </c>
      <c r="H114" s="268">
        <v>140</v>
      </c>
      <c r="I114" s="268">
        <v>129</v>
      </c>
      <c r="J114" s="268">
        <v>97</v>
      </c>
      <c r="K114" s="268">
        <v>84</v>
      </c>
      <c r="L114" s="268">
        <v>87</v>
      </c>
      <c r="M114" s="268">
        <v>64</v>
      </c>
      <c r="N114" s="268">
        <v>90</v>
      </c>
      <c r="O114" s="268">
        <v>120</v>
      </c>
      <c r="P114" s="268">
        <v>120</v>
      </c>
      <c r="Q114" s="268">
        <v>116</v>
      </c>
      <c r="R114" s="268">
        <v>121</v>
      </c>
      <c r="S114" s="268">
        <v>109</v>
      </c>
      <c r="T114" s="268">
        <v>77</v>
      </c>
      <c r="U114" s="268">
        <v>56</v>
      </c>
      <c r="V114" s="268">
        <f>SUM(D114:O114)</f>
        <v>1432</v>
      </c>
      <c r="W114" s="268">
        <f>SUM(J114:U114)</f>
        <v>1141</v>
      </c>
    </row>
    <row r="115" spans="1:23" x14ac:dyDescent="0.25">
      <c r="A115" s="513" t="s">
        <v>166</v>
      </c>
      <c r="B115" s="603" t="s">
        <v>167</v>
      </c>
      <c r="C115" s="603" t="s">
        <v>268</v>
      </c>
      <c r="D115" s="268">
        <v>1</v>
      </c>
      <c r="E115" s="268"/>
      <c r="F115" s="268">
        <v>2</v>
      </c>
      <c r="G115" s="268"/>
      <c r="H115" s="268"/>
      <c r="I115" s="268"/>
      <c r="J115" s="268"/>
      <c r="K115" s="268">
        <v>1</v>
      </c>
      <c r="L115" s="268"/>
      <c r="M115" s="268">
        <v>1</v>
      </c>
      <c r="N115" s="268">
        <v>1</v>
      </c>
      <c r="O115" s="268">
        <v>1</v>
      </c>
      <c r="P115" s="268"/>
      <c r="Q115" s="268">
        <v>1</v>
      </c>
      <c r="R115" s="268">
        <v>1</v>
      </c>
      <c r="S115" s="268"/>
      <c r="T115" s="268"/>
      <c r="U115" s="268"/>
      <c r="V115" s="268">
        <f>SUM(D115:O115)</f>
        <v>7</v>
      </c>
      <c r="W115" s="268">
        <f>SUM(J115:U115)</f>
        <v>6</v>
      </c>
    </row>
    <row r="116" spans="1:23" x14ac:dyDescent="0.25">
      <c r="A116" s="513" t="s">
        <v>176</v>
      </c>
      <c r="B116" s="603" t="s">
        <v>177</v>
      </c>
      <c r="C116" s="603" t="s">
        <v>266</v>
      </c>
      <c r="D116" s="268">
        <v>47</v>
      </c>
      <c r="E116" s="268">
        <v>56</v>
      </c>
      <c r="F116" s="268">
        <v>56</v>
      </c>
      <c r="G116" s="268">
        <v>52</v>
      </c>
      <c r="H116" s="268">
        <v>39</v>
      </c>
      <c r="I116" s="268">
        <v>54</v>
      </c>
      <c r="J116" s="268">
        <v>49</v>
      </c>
      <c r="K116" s="268">
        <v>34</v>
      </c>
      <c r="L116" s="268">
        <v>66</v>
      </c>
      <c r="M116" s="268">
        <v>47</v>
      </c>
      <c r="N116" s="268">
        <v>47</v>
      </c>
      <c r="O116" s="268">
        <v>82</v>
      </c>
      <c r="P116" s="268">
        <v>50</v>
      </c>
      <c r="Q116" s="268">
        <v>38</v>
      </c>
      <c r="R116" s="268">
        <v>42</v>
      </c>
      <c r="S116" s="268">
        <v>40</v>
      </c>
      <c r="T116" s="268">
        <v>23</v>
      </c>
      <c r="U116" s="268">
        <v>25</v>
      </c>
      <c r="V116" s="268">
        <f>SUM(D116:O116)</f>
        <v>629</v>
      </c>
      <c r="W116" s="268">
        <f>SUM(J116:U116)</f>
        <v>543</v>
      </c>
    </row>
    <row r="117" spans="1:23" x14ac:dyDescent="0.25">
      <c r="A117" s="513" t="s">
        <v>180</v>
      </c>
      <c r="B117" s="603" t="s">
        <v>181</v>
      </c>
      <c r="C117" s="603" t="s">
        <v>264</v>
      </c>
      <c r="D117" s="268">
        <v>28</v>
      </c>
      <c r="E117" s="268">
        <v>56</v>
      </c>
      <c r="F117" s="268">
        <v>74</v>
      </c>
      <c r="G117" s="268">
        <v>45</v>
      </c>
      <c r="H117" s="268">
        <v>32</v>
      </c>
      <c r="I117" s="268">
        <v>24</v>
      </c>
      <c r="J117" s="268">
        <v>32</v>
      </c>
      <c r="K117" s="268">
        <v>32</v>
      </c>
      <c r="L117" s="268">
        <v>33</v>
      </c>
      <c r="M117" s="268">
        <v>33</v>
      </c>
      <c r="N117" s="268">
        <v>35</v>
      </c>
      <c r="O117" s="268">
        <v>42</v>
      </c>
      <c r="P117" s="268">
        <v>23</v>
      </c>
      <c r="Q117" s="268">
        <v>38</v>
      </c>
      <c r="R117" s="268">
        <v>40</v>
      </c>
      <c r="S117" s="268">
        <v>27</v>
      </c>
      <c r="T117" s="268">
        <v>24</v>
      </c>
      <c r="U117" s="268">
        <v>23</v>
      </c>
      <c r="V117" s="268">
        <f>SUM(D117:O117)</f>
        <v>466</v>
      </c>
      <c r="W117" s="268">
        <f>SUM(J117:U117)</f>
        <v>382</v>
      </c>
    </row>
    <row r="118" spans="1:23" x14ac:dyDescent="0.25">
      <c r="A118" s="513" t="s">
        <v>192</v>
      </c>
      <c r="B118" s="603" t="s">
        <v>193</v>
      </c>
      <c r="C118" s="603" t="s">
        <v>268</v>
      </c>
      <c r="D118" s="268">
        <v>2</v>
      </c>
      <c r="E118" s="268">
        <v>12</v>
      </c>
      <c r="F118" s="268">
        <v>2</v>
      </c>
      <c r="G118" s="268">
        <v>7</v>
      </c>
      <c r="H118" s="268">
        <v>1</v>
      </c>
      <c r="I118" s="268">
        <v>2</v>
      </c>
      <c r="J118" s="268">
        <v>3</v>
      </c>
      <c r="K118" s="268">
        <v>6</v>
      </c>
      <c r="L118" s="268"/>
      <c r="M118" s="268">
        <v>1</v>
      </c>
      <c r="N118" s="268">
        <v>1</v>
      </c>
      <c r="O118" s="268">
        <v>1</v>
      </c>
      <c r="P118" s="268">
        <v>1</v>
      </c>
      <c r="Q118" s="268">
        <v>5</v>
      </c>
      <c r="R118" s="268">
        <v>1</v>
      </c>
      <c r="S118" s="268">
        <v>1</v>
      </c>
      <c r="T118" s="268">
        <v>2</v>
      </c>
      <c r="U118" s="268">
        <v>1</v>
      </c>
      <c r="V118" s="268">
        <f>SUM(D118:O118)</f>
        <v>38</v>
      </c>
      <c r="W118" s="268">
        <f>SUM(J118:U118)</f>
        <v>23</v>
      </c>
    </row>
    <row r="119" spans="1:23" x14ac:dyDescent="0.25">
      <c r="A119" s="513" t="s">
        <v>196</v>
      </c>
      <c r="B119" s="603" t="s">
        <v>197</v>
      </c>
      <c r="C119" s="603" t="s">
        <v>266</v>
      </c>
      <c r="D119" s="268">
        <v>190</v>
      </c>
      <c r="E119" s="268">
        <v>244</v>
      </c>
      <c r="F119" s="268">
        <v>276</v>
      </c>
      <c r="G119" s="268">
        <v>237</v>
      </c>
      <c r="H119" s="268">
        <v>175</v>
      </c>
      <c r="I119" s="268">
        <v>162</v>
      </c>
      <c r="J119" s="268">
        <v>171</v>
      </c>
      <c r="K119" s="268">
        <v>147</v>
      </c>
      <c r="L119" s="268">
        <v>178</v>
      </c>
      <c r="M119" s="268">
        <v>153</v>
      </c>
      <c r="N119" s="268">
        <v>130</v>
      </c>
      <c r="O119" s="268">
        <v>132</v>
      </c>
      <c r="P119" s="268">
        <v>141</v>
      </c>
      <c r="Q119" s="268">
        <v>200</v>
      </c>
      <c r="R119" s="268">
        <v>131</v>
      </c>
      <c r="S119" s="268">
        <v>111</v>
      </c>
      <c r="T119" s="268">
        <v>117</v>
      </c>
      <c r="U119" s="268">
        <v>91</v>
      </c>
      <c r="V119" s="268">
        <f>SUM(D119:O119)</f>
        <v>2195</v>
      </c>
      <c r="W119" s="268">
        <f>SUM(J119:U119)</f>
        <v>1702</v>
      </c>
    </row>
    <row r="120" spans="1:23" x14ac:dyDescent="0.25">
      <c r="A120" s="513" t="s">
        <v>200</v>
      </c>
      <c r="B120" s="603" t="s">
        <v>201</v>
      </c>
      <c r="C120" s="603" t="s">
        <v>265</v>
      </c>
      <c r="D120" s="268">
        <v>114</v>
      </c>
      <c r="E120" s="268">
        <v>146</v>
      </c>
      <c r="F120" s="268">
        <v>130</v>
      </c>
      <c r="G120" s="268">
        <v>134</v>
      </c>
      <c r="H120" s="268">
        <v>107</v>
      </c>
      <c r="I120" s="268">
        <v>97</v>
      </c>
      <c r="J120" s="268">
        <v>90</v>
      </c>
      <c r="K120" s="268">
        <v>124</v>
      </c>
      <c r="L120" s="268">
        <v>104</v>
      </c>
      <c r="M120" s="268">
        <v>116</v>
      </c>
      <c r="N120" s="268">
        <v>92</v>
      </c>
      <c r="O120" s="268">
        <v>94</v>
      </c>
      <c r="P120" s="268">
        <v>109</v>
      </c>
      <c r="Q120" s="268">
        <v>87</v>
      </c>
      <c r="R120" s="268">
        <v>89</v>
      </c>
      <c r="S120" s="268">
        <v>80</v>
      </c>
      <c r="T120" s="268">
        <v>68</v>
      </c>
      <c r="U120" s="268">
        <v>62</v>
      </c>
      <c r="V120" s="268">
        <f>SUM(D120:O120)</f>
        <v>1348</v>
      </c>
      <c r="W120" s="268">
        <f>SUM(J120:U120)</f>
        <v>1115</v>
      </c>
    </row>
    <row r="121" spans="1:23" x14ac:dyDescent="0.25">
      <c r="A121" s="513" t="s">
        <v>222</v>
      </c>
      <c r="B121" s="603" t="s">
        <v>223</v>
      </c>
      <c r="C121" s="603" t="s">
        <v>264</v>
      </c>
      <c r="D121" s="268">
        <v>61</v>
      </c>
      <c r="E121" s="268">
        <v>81</v>
      </c>
      <c r="F121" s="268">
        <v>66</v>
      </c>
      <c r="G121" s="268">
        <v>57</v>
      </c>
      <c r="H121" s="268">
        <v>46</v>
      </c>
      <c r="I121" s="268">
        <v>50</v>
      </c>
      <c r="J121" s="268">
        <v>27</v>
      </c>
      <c r="K121" s="268">
        <v>38</v>
      </c>
      <c r="L121" s="268">
        <v>29</v>
      </c>
      <c r="M121" s="268">
        <v>48</v>
      </c>
      <c r="N121" s="268">
        <v>48</v>
      </c>
      <c r="O121" s="268">
        <v>63</v>
      </c>
      <c r="P121" s="268">
        <v>48</v>
      </c>
      <c r="Q121" s="268">
        <v>48</v>
      </c>
      <c r="R121" s="268">
        <v>59</v>
      </c>
      <c r="S121" s="268">
        <v>48</v>
      </c>
      <c r="T121" s="268">
        <v>54</v>
      </c>
      <c r="U121" s="268">
        <v>20</v>
      </c>
      <c r="V121" s="268">
        <f>SUM(D121:O121)</f>
        <v>614</v>
      </c>
      <c r="W121" s="268">
        <f>SUM(J121:U121)</f>
        <v>530</v>
      </c>
    </row>
    <row r="122" spans="1:23" x14ac:dyDescent="0.25">
      <c r="A122" s="513" t="s">
        <v>230</v>
      </c>
      <c r="B122" s="603" t="s">
        <v>231</v>
      </c>
      <c r="C122" s="603" t="s">
        <v>264</v>
      </c>
      <c r="D122" s="268">
        <v>217</v>
      </c>
      <c r="E122" s="268">
        <v>297</v>
      </c>
      <c r="F122" s="268">
        <v>275</v>
      </c>
      <c r="G122" s="268">
        <v>321</v>
      </c>
      <c r="H122" s="268">
        <v>247</v>
      </c>
      <c r="I122" s="268">
        <v>238</v>
      </c>
      <c r="J122" s="268">
        <v>210</v>
      </c>
      <c r="K122" s="268">
        <v>203</v>
      </c>
      <c r="L122" s="268">
        <v>191</v>
      </c>
      <c r="M122" s="268">
        <v>200</v>
      </c>
      <c r="N122" s="268">
        <v>218</v>
      </c>
      <c r="O122" s="268">
        <v>233</v>
      </c>
      <c r="P122" s="268">
        <v>210</v>
      </c>
      <c r="Q122" s="268">
        <v>269</v>
      </c>
      <c r="R122" s="268">
        <v>246</v>
      </c>
      <c r="S122" s="268">
        <v>217</v>
      </c>
      <c r="T122" s="268">
        <v>187</v>
      </c>
      <c r="U122" s="268">
        <v>156</v>
      </c>
      <c r="V122" s="268">
        <f>SUM(D122:O122)</f>
        <v>2850</v>
      </c>
      <c r="W122" s="268">
        <f>SUM(J122:U122)</f>
        <v>2540</v>
      </c>
    </row>
    <row r="123" spans="1:23" x14ac:dyDescent="0.25">
      <c r="A123" s="513" t="s">
        <v>238</v>
      </c>
      <c r="B123" s="603" t="s">
        <v>239</v>
      </c>
      <c r="C123" s="603" t="s">
        <v>264</v>
      </c>
      <c r="D123" s="268">
        <v>1</v>
      </c>
      <c r="E123" s="268">
        <v>4</v>
      </c>
      <c r="F123" s="268">
        <v>3</v>
      </c>
      <c r="G123" s="268">
        <v>2</v>
      </c>
      <c r="H123" s="268">
        <v>1</v>
      </c>
      <c r="I123" s="268">
        <v>7</v>
      </c>
      <c r="J123" s="268">
        <v>2</v>
      </c>
      <c r="K123" s="268">
        <v>3</v>
      </c>
      <c r="L123" s="268">
        <v>2</v>
      </c>
      <c r="M123" s="268">
        <v>3</v>
      </c>
      <c r="N123" s="268">
        <v>2</v>
      </c>
      <c r="O123" s="268">
        <v>5</v>
      </c>
      <c r="P123" s="268">
        <v>4</v>
      </c>
      <c r="Q123" s="268">
        <v>1</v>
      </c>
      <c r="R123" s="268">
        <v>7</v>
      </c>
      <c r="S123" s="268">
        <v>3</v>
      </c>
      <c r="T123" s="268">
        <v>4</v>
      </c>
      <c r="U123" s="268">
        <v>3</v>
      </c>
      <c r="V123" s="268">
        <f>SUM(D123:O123)</f>
        <v>35</v>
      </c>
      <c r="W123" s="268">
        <f>SUM(J123:U123)</f>
        <v>39</v>
      </c>
    </row>
    <row r="124" spans="1:23" x14ac:dyDescent="0.25">
      <c r="A124" s="514" t="s">
        <v>240</v>
      </c>
      <c r="B124" s="517" t="s">
        <v>241</v>
      </c>
      <c r="C124" s="517" t="s">
        <v>267</v>
      </c>
      <c r="D124" s="268">
        <v>8</v>
      </c>
      <c r="E124" s="268">
        <v>13</v>
      </c>
      <c r="F124" s="268">
        <v>15</v>
      </c>
      <c r="G124" s="268">
        <v>12</v>
      </c>
      <c r="H124" s="268">
        <v>6</v>
      </c>
      <c r="I124" s="268">
        <v>11</v>
      </c>
      <c r="J124" s="268">
        <v>6</v>
      </c>
      <c r="K124" s="268">
        <v>3</v>
      </c>
      <c r="L124" s="268">
        <v>9</v>
      </c>
      <c r="M124" s="268">
        <v>10</v>
      </c>
      <c r="N124" s="268">
        <v>11</v>
      </c>
      <c r="O124" s="268">
        <v>6</v>
      </c>
      <c r="P124" s="268">
        <v>4</v>
      </c>
      <c r="Q124" s="268">
        <v>10</v>
      </c>
      <c r="R124" s="268">
        <v>5</v>
      </c>
      <c r="S124" s="268">
        <v>9</v>
      </c>
      <c r="T124" s="268">
        <v>6</v>
      </c>
      <c r="U124" s="268">
        <v>9</v>
      </c>
      <c r="V124" s="268">
        <f>SUM(D124:O124)</f>
        <v>110</v>
      </c>
      <c r="W124" s="268">
        <f>SUM(J124:U124)</f>
        <v>88</v>
      </c>
    </row>
    <row r="126" spans="1:23" ht="65.25" customHeight="1" x14ac:dyDescent="0.25">
      <c r="A126" s="2737" t="s">
        <v>1455</v>
      </c>
      <c r="B126" s="2737"/>
      <c r="C126" s="2737"/>
    </row>
    <row r="128" spans="1:23" s="389" customFormat="1" x14ac:dyDescent="0.25">
      <c r="A128" s="389" t="s">
        <v>248</v>
      </c>
    </row>
    <row r="129" spans="1:3" s="389" customFormat="1" x14ac:dyDescent="0.25">
      <c r="A129" s="390" t="s">
        <v>249</v>
      </c>
      <c r="B129" s="391" t="s">
        <v>250</v>
      </c>
      <c r="C129" s="391"/>
    </row>
  </sheetData>
  <sortState ref="A5:W124">
    <sortCondition ref="A5:A124"/>
  </sortState>
  <mergeCells count="1">
    <mergeCell ref="A126:C126"/>
  </mergeCells>
  <hyperlinks>
    <hyperlink ref="B129"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28"/>
  <sheetViews>
    <sheetView topLeftCell="A109" workbookViewId="0">
      <selection activeCell="A125" sqref="A125:H125"/>
    </sheetView>
  </sheetViews>
  <sheetFormatPr defaultRowHeight="15.75" x14ac:dyDescent="0.25"/>
  <cols>
    <col min="1" max="1" width="9" style="505"/>
    <col min="2" max="2" width="33.375" style="505" customWidth="1"/>
    <col min="3" max="3" width="16.75" style="505" customWidth="1"/>
    <col min="4" max="4" width="9.75" style="505" customWidth="1"/>
    <col min="5" max="9" width="8.875" style="505" customWidth="1"/>
    <col min="10" max="10" width="4.625" style="505" customWidth="1"/>
    <col min="11" max="16384" width="9" style="505"/>
  </cols>
  <sheetData>
    <row r="1" spans="1:13" ht="12.75" customHeight="1" x14ac:dyDescent="0.25">
      <c r="A1" s="255" t="s">
        <v>1398</v>
      </c>
    </row>
    <row r="3" spans="1:13" ht="53.25" customHeight="1" x14ac:dyDescent="0.25">
      <c r="A3" s="510" t="s">
        <v>4</v>
      </c>
      <c r="B3" s="567" t="s">
        <v>5</v>
      </c>
      <c r="C3" s="567" t="s">
        <v>251</v>
      </c>
      <c r="D3" s="613">
        <v>2012</v>
      </c>
      <c r="E3" s="613">
        <v>2013</v>
      </c>
      <c r="F3" s="613">
        <v>2014</v>
      </c>
      <c r="G3" s="1337">
        <v>2015</v>
      </c>
      <c r="H3" s="1337">
        <v>2016</v>
      </c>
      <c r="I3" s="2265">
        <v>2017</v>
      </c>
      <c r="J3" s="507"/>
      <c r="K3" s="507"/>
      <c r="L3" s="507"/>
      <c r="M3" s="507"/>
    </row>
    <row r="4" spans="1:13" x14ac:dyDescent="0.25">
      <c r="A4" s="2426" t="s">
        <v>10</v>
      </c>
      <c r="B4" s="2427" t="s">
        <v>11</v>
      </c>
      <c r="C4" s="2427" t="s">
        <v>264</v>
      </c>
      <c r="D4" s="2266">
        <v>9358</v>
      </c>
      <c r="E4" s="2266">
        <v>9320</v>
      </c>
      <c r="F4" s="2266">
        <v>9010</v>
      </c>
      <c r="G4" s="2266">
        <v>8176</v>
      </c>
      <c r="H4" s="2266">
        <v>7133</v>
      </c>
      <c r="I4" s="2266">
        <v>7009</v>
      </c>
    </row>
    <row r="5" spans="1:13" x14ac:dyDescent="0.25">
      <c r="A5" s="513" t="s">
        <v>12</v>
      </c>
      <c r="B5" s="603" t="s">
        <v>13</v>
      </c>
      <c r="C5" s="603" t="s">
        <v>265</v>
      </c>
      <c r="D5" s="887">
        <v>10017</v>
      </c>
      <c r="E5" s="887">
        <v>9944</v>
      </c>
      <c r="F5" s="887">
        <v>9442</v>
      </c>
      <c r="G5" s="1514">
        <v>8717</v>
      </c>
      <c r="H5" s="1514">
        <v>6980</v>
      </c>
      <c r="I5" s="2266">
        <v>7216</v>
      </c>
    </row>
    <row r="6" spans="1:13" x14ac:dyDescent="0.25">
      <c r="A6" s="513" t="s">
        <v>16</v>
      </c>
      <c r="B6" s="603" t="s">
        <v>297</v>
      </c>
      <c r="C6" s="603" t="s">
        <v>265</v>
      </c>
      <c r="D6" s="887">
        <v>5325</v>
      </c>
      <c r="E6" s="887">
        <v>5448</v>
      </c>
      <c r="F6" s="887">
        <v>4934</v>
      </c>
      <c r="G6" s="1514">
        <v>4895</v>
      </c>
      <c r="H6" s="1514">
        <v>4448</v>
      </c>
      <c r="I6" s="2266">
        <v>4862</v>
      </c>
    </row>
    <row r="7" spans="1:13" x14ac:dyDescent="0.25">
      <c r="A7" s="513" t="s">
        <v>18</v>
      </c>
      <c r="B7" s="603" t="s">
        <v>19</v>
      </c>
      <c r="C7" s="603" t="s">
        <v>266</v>
      </c>
      <c r="D7" s="887">
        <v>3008</v>
      </c>
      <c r="E7" s="887">
        <v>2843</v>
      </c>
      <c r="F7" s="887">
        <v>2615</v>
      </c>
      <c r="G7" s="1514">
        <v>2349</v>
      </c>
      <c r="H7" s="1514">
        <v>2188</v>
      </c>
      <c r="I7" s="2266">
        <v>2131</v>
      </c>
    </row>
    <row r="8" spans="1:13" x14ac:dyDescent="0.25">
      <c r="A8" s="513" t="s">
        <v>20</v>
      </c>
      <c r="B8" s="603" t="s">
        <v>21</v>
      </c>
      <c r="C8" s="603" t="s">
        <v>265</v>
      </c>
      <c r="D8" s="887">
        <v>6106</v>
      </c>
      <c r="E8" s="887">
        <v>5892</v>
      </c>
      <c r="F8" s="887">
        <v>5379</v>
      </c>
      <c r="G8" s="1514">
        <v>5212</v>
      </c>
      <c r="H8" s="1514">
        <v>4858</v>
      </c>
      <c r="I8" s="2266">
        <v>4913</v>
      </c>
    </row>
    <row r="9" spans="1:13" x14ac:dyDescent="0.25">
      <c r="A9" s="513" t="s">
        <v>22</v>
      </c>
      <c r="B9" s="603" t="s">
        <v>23</v>
      </c>
      <c r="C9" s="603" t="s">
        <v>265</v>
      </c>
      <c r="D9" s="887">
        <v>3742</v>
      </c>
      <c r="E9" s="887">
        <v>3716</v>
      </c>
      <c r="F9" s="887">
        <v>3570</v>
      </c>
      <c r="G9" s="1514">
        <v>3403</v>
      </c>
      <c r="H9" s="1514">
        <v>3182</v>
      </c>
      <c r="I9" s="2266">
        <v>3206</v>
      </c>
    </row>
    <row r="10" spans="1:13" x14ac:dyDescent="0.25">
      <c r="A10" s="513" t="s">
        <v>24</v>
      </c>
      <c r="B10" s="603" t="s">
        <v>25</v>
      </c>
      <c r="C10" s="603" t="s">
        <v>267</v>
      </c>
      <c r="D10" s="887">
        <v>10851</v>
      </c>
      <c r="E10" s="887">
        <v>11320</v>
      </c>
      <c r="F10" s="887">
        <v>11315</v>
      </c>
      <c r="G10" s="1514">
        <v>10798</v>
      </c>
      <c r="H10" s="1514">
        <v>9645</v>
      </c>
      <c r="I10" s="2266">
        <v>9591</v>
      </c>
    </row>
    <row r="11" spans="1:13" x14ac:dyDescent="0.25">
      <c r="A11" s="513" t="s">
        <v>26</v>
      </c>
      <c r="B11" s="603" t="s">
        <v>685</v>
      </c>
      <c r="C11" s="603" t="s">
        <v>265</v>
      </c>
      <c r="D11" s="887">
        <v>23481</v>
      </c>
      <c r="E11" s="887">
        <v>24224</v>
      </c>
      <c r="F11" s="887">
        <v>20974</v>
      </c>
      <c r="G11" s="1514">
        <v>19347</v>
      </c>
      <c r="H11" s="1514">
        <v>17490</v>
      </c>
      <c r="I11" s="2266">
        <v>19149</v>
      </c>
    </row>
    <row r="12" spans="1:13" x14ac:dyDescent="0.25">
      <c r="A12" s="513" t="s">
        <v>27</v>
      </c>
      <c r="B12" s="603" t="s">
        <v>28</v>
      </c>
      <c r="C12" s="603" t="s">
        <v>265</v>
      </c>
      <c r="D12" s="887">
        <v>690</v>
      </c>
      <c r="E12" s="887">
        <v>701</v>
      </c>
      <c r="F12" s="887">
        <v>625</v>
      </c>
      <c r="G12" s="1514">
        <v>584</v>
      </c>
      <c r="H12" s="1514">
        <v>509</v>
      </c>
      <c r="I12" s="2266">
        <v>477</v>
      </c>
    </row>
    <row r="13" spans="1:13" x14ac:dyDescent="0.25">
      <c r="A13" s="513" t="s">
        <v>29</v>
      </c>
      <c r="B13" s="603" t="s">
        <v>901</v>
      </c>
      <c r="C13" s="603" t="s">
        <v>265</v>
      </c>
      <c r="D13" s="887">
        <v>10623</v>
      </c>
      <c r="E13" s="887">
        <v>11578</v>
      </c>
      <c r="F13" s="887">
        <v>9670</v>
      </c>
      <c r="G13" s="1514">
        <v>9060</v>
      </c>
      <c r="H13" s="1514">
        <v>7498</v>
      </c>
      <c r="I13" s="2266">
        <v>8151</v>
      </c>
    </row>
    <row r="14" spans="1:13" x14ac:dyDescent="0.25">
      <c r="A14" s="513" t="s">
        <v>30</v>
      </c>
      <c r="B14" s="603" t="s">
        <v>31</v>
      </c>
      <c r="C14" s="603" t="s">
        <v>268</v>
      </c>
      <c r="D14" s="887">
        <v>1001</v>
      </c>
      <c r="E14" s="887">
        <v>936</v>
      </c>
      <c r="F14" s="887">
        <v>891</v>
      </c>
      <c r="G14" s="1514">
        <v>827</v>
      </c>
      <c r="H14" s="1514">
        <v>720</v>
      </c>
      <c r="I14" s="2266">
        <v>733</v>
      </c>
    </row>
    <row r="15" spans="1:13" x14ac:dyDescent="0.25">
      <c r="A15" s="513" t="s">
        <v>32</v>
      </c>
      <c r="B15" s="603" t="s">
        <v>33</v>
      </c>
      <c r="C15" s="603" t="s">
        <v>265</v>
      </c>
      <c r="D15" s="887">
        <v>2707</v>
      </c>
      <c r="E15" s="887">
        <v>2752</v>
      </c>
      <c r="F15" s="887">
        <v>2717</v>
      </c>
      <c r="G15" s="1514">
        <v>2706</v>
      </c>
      <c r="H15" s="1514">
        <v>2527</v>
      </c>
      <c r="I15" s="2266">
        <v>2498</v>
      </c>
    </row>
    <row r="16" spans="1:13" x14ac:dyDescent="0.25">
      <c r="A16" s="513" t="s">
        <v>36</v>
      </c>
      <c r="B16" s="603" t="s">
        <v>37</v>
      </c>
      <c r="C16" s="603" t="s">
        <v>264</v>
      </c>
      <c r="D16" s="887">
        <v>5201</v>
      </c>
      <c r="E16" s="887">
        <v>5094</v>
      </c>
      <c r="F16" s="887">
        <v>4977</v>
      </c>
      <c r="G16" s="1514">
        <v>4618</v>
      </c>
      <c r="H16" s="1514">
        <v>4311</v>
      </c>
      <c r="I16" s="2266">
        <v>4325</v>
      </c>
    </row>
    <row r="17" spans="1:9" x14ac:dyDescent="0.25">
      <c r="A17" s="513" t="s">
        <v>38</v>
      </c>
      <c r="B17" s="603" t="s">
        <v>39</v>
      </c>
      <c r="C17" s="603" t="s">
        <v>268</v>
      </c>
      <c r="D17" s="887">
        <v>6335</v>
      </c>
      <c r="E17" s="887">
        <v>6430</v>
      </c>
      <c r="F17" s="887">
        <v>6204</v>
      </c>
      <c r="G17" s="1514">
        <v>6160</v>
      </c>
      <c r="H17" s="1514">
        <v>6002</v>
      </c>
      <c r="I17" s="2266">
        <v>5849</v>
      </c>
    </row>
    <row r="18" spans="1:9" x14ac:dyDescent="0.25">
      <c r="A18" s="513" t="s">
        <v>40</v>
      </c>
      <c r="B18" s="603" t="s">
        <v>41</v>
      </c>
      <c r="C18" s="603" t="s">
        <v>266</v>
      </c>
      <c r="D18" s="887">
        <v>4850</v>
      </c>
      <c r="E18" s="887">
        <v>4628</v>
      </c>
      <c r="F18" s="887">
        <v>4291</v>
      </c>
      <c r="G18" s="1514">
        <v>3979</v>
      </c>
      <c r="H18" s="1514">
        <v>3583</v>
      </c>
      <c r="I18" s="2266">
        <v>3599</v>
      </c>
    </row>
    <row r="19" spans="1:9" x14ac:dyDescent="0.25">
      <c r="A19" s="513" t="s">
        <v>42</v>
      </c>
      <c r="B19" s="603" t="s">
        <v>43</v>
      </c>
      <c r="C19" s="603" t="s">
        <v>265</v>
      </c>
      <c r="D19" s="887">
        <v>11251</v>
      </c>
      <c r="E19" s="887">
        <v>11133</v>
      </c>
      <c r="F19" s="887">
        <v>10779</v>
      </c>
      <c r="G19" s="1514">
        <v>10359</v>
      </c>
      <c r="H19" s="1514">
        <v>9314</v>
      </c>
      <c r="I19" s="2266">
        <v>9211</v>
      </c>
    </row>
    <row r="20" spans="1:9" x14ac:dyDescent="0.25">
      <c r="A20" s="513" t="s">
        <v>44</v>
      </c>
      <c r="B20" s="603" t="s">
        <v>45</v>
      </c>
      <c r="C20" s="603" t="s">
        <v>266</v>
      </c>
      <c r="D20" s="887">
        <v>7393</v>
      </c>
      <c r="E20" s="887">
        <v>7256</v>
      </c>
      <c r="F20" s="887">
        <v>6852</v>
      </c>
      <c r="G20" s="1514">
        <v>6639</v>
      </c>
      <c r="H20" s="1514">
        <v>5665</v>
      </c>
      <c r="I20" s="2266">
        <v>5473</v>
      </c>
    </row>
    <row r="21" spans="1:9" x14ac:dyDescent="0.25">
      <c r="A21" s="513" t="s">
        <v>46</v>
      </c>
      <c r="B21" s="603" t="s">
        <v>47</v>
      </c>
      <c r="C21" s="603" t="s">
        <v>268</v>
      </c>
      <c r="D21" s="887">
        <v>7802</v>
      </c>
      <c r="E21" s="887">
        <v>7740</v>
      </c>
      <c r="F21" s="887">
        <v>7319</v>
      </c>
      <c r="G21" s="1514">
        <v>6861</v>
      </c>
      <c r="H21" s="1514">
        <v>6083</v>
      </c>
      <c r="I21" s="2266">
        <v>5987</v>
      </c>
    </row>
    <row r="22" spans="1:9" x14ac:dyDescent="0.25">
      <c r="A22" s="513" t="s">
        <v>48</v>
      </c>
      <c r="B22" s="603" t="s">
        <v>269</v>
      </c>
      <c r="C22" s="603" t="s">
        <v>266</v>
      </c>
      <c r="D22" s="887">
        <v>1525</v>
      </c>
      <c r="E22" s="887">
        <v>1482</v>
      </c>
      <c r="F22" s="887">
        <v>1391</v>
      </c>
      <c r="G22" s="1514">
        <v>1319</v>
      </c>
      <c r="H22" s="1514">
        <v>1252</v>
      </c>
      <c r="I22" s="2266">
        <v>1190</v>
      </c>
    </row>
    <row r="23" spans="1:9" x14ac:dyDescent="0.25">
      <c r="A23" s="513" t="s">
        <v>50</v>
      </c>
      <c r="B23" s="603" t="s">
        <v>51</v>
      </c>
      <c r="C23" s="603" t="s">
        <v>265</v>
      </c>
      <c r="D23" s="887">
        <v>3426</v>
      </c>
      <c r="E23" s="887">
        <v>3300</v>
      </c>
      <c r="F23" s="887">
        <v>3146</v>
      </c>
      <c r="G23" s="1514">
        <v>3027</v>
      </c>
      <c r="H23" s="1514">
        <v>2746</v>
      </c>
      <c r="I23" s="2266">
        <v>2726</v>
      </c>
    </row>
    <row r="24" spans="1:9" x14ac:dyDescent="0.25">
      <c r="A24" s="513" t="s">
        <v>56</v>
      </c>
      <c r="B24" s="603" t="s">
        <v>295</v>
      </c>
      <c r="C24" s="603" t="s">
        <v>266</v>
      </c>
      <c r="D24" s="887">
        <v>47541</v>
      </c>
      <c r="E24" s="887">
        <v>48858</v>
      </c>
      <c r="F24" s="887">
        <v>46920</v>
      </c>
      <c r="G24" s="1514">
        <v>44579</v>
      </c>
      <c r="H24" s="1514">
        <v>39068</v>
      </c>
      <c r="I24" s="2266">
        <v>41308</v>
      </c>
    </row>
    <row r="25" spans="1:9" x14ac:dyDescent="0.25">
      <c r="A25" s="513" t="s">
        <v>58</v>
      </c>
      <c r="B25" s="603" t="s">
        <v>59</v>
      </c>
      <c r="C25" s="603" t="s">
        <v>267</v>
      </c>
      <c r="D25" s="887">
        <v>1304</v>
      </c>
      <c r="E25" s="887">
        <v>1245</v>
      </c>
      <c r="F25" s="887">
        <v>1019</v>
      </c>
      <c r="G25" s="1514">
        <v>935</v>
      </c>
      <c r="H25" s="1514">
        <v>755</v>
      </c>
      <c r="I25" s="2266">
        <v>723</v>
      </c>
    </row>
    <row r="26" spans="1:9" x14ac:dyDescent="0.25">
      <c r="A26" s="513" t="s">
        <v>60</v>
      </c>
      <c r="B26" s="603" t="s">
        <v>61</v>
      </c>
      <c r="C26" s="603" t="s">
        <v>265</v>
      </c>
      <c r="D26" s="887">
        <v>905</v>
      </c>
      <c r="E26" s="887">
        <v>895</v>
      </c>
      <c r="F26" s="887">
        <v>843</v>
      </c>
      <c r="G26" s="1514">
        <v>865</v>
      </c>
      <c r="H26" s="1514">
        <v>813</v>
      </c>
      <c r="I26" s="2266">
        <v>816</v>
      </c>
    </row>
    <row r="27" spans="1:9" x14ac:dyDescent="0.25">
      <c r="A27" s="513" t="s">
        <v>62</v>
      </c>
      <c r="B27" s="603" t="s">
        <v>63</v>
      </c>
      <c r="C27" s="603" t="s">
        <v>267</v>
      </c>
      <c r="D27" s="887">
        <v>8629</v>
      </c>
      <c r="E27" s="887">
        <v>8494</v>
      </c>
      <c r="F27" s="887">
        <v>8048</v>
      </c>
      <c r="G27" s="1514">
        <v>7613</v>
      </c>
      <c r="H27" s="1514">
        <v>6671</v>
      </c>
      <c r="I27" s="2266">
        <v>6730</v>
      </c>
    </row>
    <row r="28" spans="1:9" x14ac:dyDescent="0.25">
      <c r="A28" s="513" t="s">
        <v>64</v>
      </c>
      <c r="B28" s="603" t="s">
        <v>65</v>
      </c>
      <c r="C28" s="603" t="s">
        <v>266</v>
      </c>
      <c r="D28" s="887">
        <v>3213</v>
      </c>
      <c r="E28" s="887">
        <v>3159</v>
      </c>
      <c r="F28" s="887">
        <v>3064</v>
      </c>
      <c r="G28" s="1514">
        <v>2769</v>
      </c>
      <c r="H28" s="1514">
        <v>2366</v>
      </c>
      <c r="I28" s="2266">
        <v>2475</v>
      </c>
    </row>
    <row r="29" spans="1:9" x14ac:dyDescent="0.25">
      <c r="A29" s="513" t="s">
        <v>68</v>
      </c>
      <c r="B29" s="603" t="s">
        <v>69</v>
      </c>
      <c r="C29" s="603" t="s">
        <v>268</v>
      </c>
      <c r="D29" s="887">
        <v>4738</v>
      </c>
      <c r="E29" s="887">
        <v>4642</v>
      </c>
      <c r="F29" s="887">
        <v>4486</v>
      </c>
      <c r="G29" s="1514">
        <v>4373</v>
      </c>
      <c r="H29" s="1514">
        <v>4283</v>
      </c>
      <c r="I29" s="2266">
        <v>4082</v>
      </c>
    </row>
    <row r="30" spans="1:9" x14ac:dyDescent="0.25">
      <c r="A30" s="513" t="s">
        <v>70</v>
      </c>
      <c r="B30" s="603" t="s">
        <v>71</v>
      </c>
      <c r="C30" s="603" t="s">
        <v>264</v>
      </c>
      <c r="D30" s="887">
        <v>6730</v>
      </c>
      <c r="E30" s="887">
        <v>6582</v>
      </c>
      <c r="F30" s="887">
        <v>6356</v>
      </c>
      <c r="G30" s="1514">
        <v>6070</v>
      </c>
      <c r="H30" s="1514">
        <v>5516</v>
      </c>
      <c r="I30" s="2266">
        <v>5473</v>
      </c>
    </row>
    <row r="31" spans="1:9" x14ac:dyDescent="0.25">
      <c r="A31" s="513" t="s">
        <v>72</v>
      </c>
      <c r="B31" s="603" t="s">
        <v>73</v>
      </c>
      <c r="C31" s="603" t="s">
        <v>266</v>
      </c>
      <c r="D31" s="887">
        <v>3547</v>
      </c>
      <c r="E31" s="887">
        <v>3393</v>
      </c>
      <c r="F31" s="887">
        <v>3240</v>
      </c>
      <c r="G31" s="1514">
        <v>2958</v>
      </c>
      <c r="H31" s="1514">
        <v>2595</v>
      </c>
      <c r="I31" s="2266">
        <v>2739</v>
      </c>
    </row>
    <row r="32" spans="1:9" x14ac:dyDescent="0.25">
      <c r="A32" s="513" t="s">
        <v>74</v>
      </c>
      <c r="B32" s="603" t="s">
        <v>296</v>
      </c>
      <c r="C32" s="603" t="s">
        <v>267</v>
      </c>
      <c r="D32" s="887">
        <v>67667</v>
      </c>
      <c r="E32" s="887">
        <v>70644</v>
      </c>
      <c r="F32" s="887">
        <v>69655</v>
      </c>
      <c r="G32" s="1514">
        <v>67881</v>
      </c>
      <c r="H32" s="1514">
        <v>62036</v>
      </c>
      <c r="I32" s="2266">
        <v>63292</v>
      </c>
    </row>
    <row r="33" spans="1:9" x14ac:dyDescent="0.25">
      <c r="A33" s="513" t="s">
        <v>76</v>
      </c>
      <c r="B33" s="603" t="s">
        <v>77</v>
      </c>
      <c r="C33" s="603" t="s">
        <v>267</v>
      </c>
      <c r="D33" s="887">
        <v>6685</v>
      </c>
      <c r="E33" s="887">
        <v>6498</v>
      </c>
      <c r="F33" s="887">
        <v>6113</v>
      </c>
      <c r="G33" s="1514">
        <v>5450</v>
      </c>
      <c r="H33" s="1514">
        <v>4644</v>
      </c>
      <c r="I33" s="2266">
        <v>4559</v>
      </c>
    </row>
    <row r="34" spans="1:9" x14ac:dyDescent="0.25">
      <c r="A34" s="513" t="s">
        <v>78</v>
      </c>
      <c r="B34" s="603" t="s">
        <v>79</v>
      </c>
      <c r="C34" s="603" t="s">
        <v>268</v>
      </c>
      <c r="D34" s="887">
        <v>3026</v>
      </c>
      <c r="E34" s="887">
        <v>2851</v>
      </c>
      <c r="F34" s="887">
        <v>2654</v>
      </c>
      <c r="G34" s="1514">
        <v>2477</v>
      </c>
      <c r="H34" s="1514">
        <v>2337</v>
      </c>
      <c r="I34" s="2266">
        <v>2558</v>
      </c>
    </row>
    <row r="35" spans="1:9" x14ac:dyDescent="0.25">
      <c r="A35" s="513" t="s">
        <v>80</v>
      </c>
      <c r="B35" s="603" t="s">
        <v>81</v>
      </c>
      <c r="C35" s="603" t="s">
        <v>266</v>
      </c>
      <c r="D35" s="887">
        <v>2833</v>
      </c>
      <c r="E35" s="887">
        <v>2758</v>
      </c>
      <c r="F35" s="887">
        <v>2637</v>
      </c>
      <c r="G35" s="1514">
        <v>2494</v>
      </c>
      <c r="H35" s="1514">
        <v>2123</v>
      </c>
      <c r="I35" s="2266">
        <v>2299</v>
      </c>
    </row>
    <row r="36" spans="1:9" x14ac:dyDescent="0.25">
      <c r="A36" s="513" t="s">
        <v>84</v>
      </c>
      <c r="B36" s="603" t="s">
        <v>85</v>
      </c>
      <c r="C36" s="603" t="s">
        <v>265</v>
      </c>
      <c r="D36" s="887">
        <v>11682</v>
      </c>
      <c r="E36" s="887">
        <v>11357</v>
      </c>
      <c r="F36" s="887">
        <v>10749</v>
      </c>
      <c r="G36" s="1514">
        <v>10042</v>
      </c>
      <c r="H36" s="1514">
        <v>9007</v>
      </c>
      <c r="I36" s="2266">
        <v>8784</v>
      </c>
    </row>
    <row r="37" spans="1:9" x14ac:dyDescent="0.25">
      <c r="A37" s="513" t="s">
        <v>86</v>
      </c>
      <c r="B37" s="603" t="s">
        <v>87</v>
      </c>
      <c r="C37" s="603" t="s">
        <v>267</v>
      </c>
      <c r="D37" s="887">
        <v>11308</v>
      </c>
      <c r="E37" s="887">
        <v>10648</v>
      </c>
      <c r="F37" s="887">
        <v>9676</v>
      </c>
      <c r="G37" s="1514">
        <v>8939</v>
      </c>
      <c r="H37" s="1514">
        <v>7575</v>
      </c>
      <c r="I37" s="2266">
        <v>7486</v>
      </c>
    </row>
    <row r="38" spans="1:9" x14ac:dyDescent="0.25">
      <c r="A38" s="513" t="s">
        <v>92</v>
      </c>
      <c r="B38" s="603" t="s">
        <v>93</v>
      </c>
      <c r="C38" s="603" t="s">
        <v>268</v>
      </c>
      <c r="D38" s="887">
        <v>3453</v>
      </c>
      <c r="E38" s="887">
        <v>3447</v>
      </c>
      <c r="F38" s="887">
        <v>3317</v>
      </c>
      <c r="G38" s="1514">
        <v>3106</v>
      </c>
      <c r="H38" s="1514">
        <v>2851</v>
      </c>
      <c r="I38" s="2266">
        <v>2920</v>
      </c>
    </row>
    <row r="39" spans="1:9" x14ac:dyDescent="0.25">
      <c r="A39" s="513" t="s">
        <v>94</v>
      </c>
      <c r="B39" s="603" t="s">
        <v>95</v>
      </c>
      <c r="C39" s="603" t="s">
        <v>264</v>
      </c>
      <c r="D39" s="887">
        <v>6433</v>
      </c>
      <c r="E39" s="887">
        <v>6283</v>
      </c>
      <c r="F39" s="887">
        <v>6018</v>
      </c>
      <c r="G39" s="1514">
        <v>5610</v>
      </c>
      <c r="H39" s="1514">
        <v>4829</v>
      </c>
      <c r="I39" s="2266">
        <v>4724</v>
      </c>
    </row>
    <row r="40" spans="1:9" x14ac:dyDescent="0.25">
      <c r="A40" s="513" t="s">
        <v>96</v>
      </c>
      <c r="B40" s="603" t="s">
        <v>97</v>
      </c>
      <c r="C40" s="603" t="s">
        <v>266</v>
      </c>
      <c r="D40" s="887">
        <v>1961</v>
      </c>
      <c r="E40" s="887">
        <v>1958</v>
      </c>
      <c r="F40" s="887">
        <v>1871</v>
      </c>
      <c r="G40" s="1514">
        <v>1771</v>
      </c>
      <c r="H40" s="1514">
        <v>1493</v>
      </c>
      <c r="I40" s="2266">
        <v>1554</v>
      </c>
    </row>
    <row r="41" spans="1:9" x14ac:dyDescent="0.25">
      <c r="A41" s="513" t="s">
        <v>98</v>
      </c>
      <c r="B41" s="603" t="s">
        <v>99</v>
      </c>
      <c r="C41" s="603" t="s">
        <v>268</v>
      </c>
      <c r="D41" s="887">
        <v>4092</v>
      </c>
      <c r="E41" s="887">
        <v>4049</v>
      </c>
      <c r="F41" s="887">
        <v>3863</v>
      </c>
      <c r="G41" s="1514">
        <v>3728</v>
      </c>
      <c r="H41" s="1514">
        <v>3370</v>
      </c>
      <c r="I41" s="2266">
        <v>3232</v>
      </c>
    </row>
    <row r="42" spans="1:9" x14ac:dyDescent="0.25">
      <c r="A42" s="513" t="s">
        <v>100</v>
      </c>
      <c r="B42" s="603" t="s">
        <v>101</v>
      </c>
      <c r="C42" s="603" t="s">
        <v>267</v>
      </c>
      <c r="D42" s="887">
        <v>3202</v>
      </c>
      <c r="E42" s="887">
        <v>3031</v>
      </c>
      <c r="F42" s="887">
        <v>3059</v>
      </c>
      <c r="G42" s="1514">
        <v>2950</v>
      </c>
      <c r="H42" s="1514">
        <v>2775</v>
      </c>
      <c r="I42" s="2266">
        <v>2653</v>
      </c>
    </row>
    <row r="43" spans="1:9" x14ac:dyDescent="0.25">
      <c r="A43" s="513" t="s">
        <v>102</v>
      </c>
      <c r="B43" s="603" t="s">
        <v>282</v>
      </c>
      <c r="C43" s="603" t="s">
        <v>264</v>
      </c>
      <c r="D43" s="887">
        <v>5840</v>
      </c>
      <c r="E43" s="887">
        <v>6242</v>
      </c>
      <c r="F43" s="887">
        <v>5777</v>
      </c>
      <c r="G43" s="1514">
        <v>5511</v>
      </c>
      <c r="H43" s="1514">
        <v>5027</v>
      </c>
      <c r="I43" s="2266">
        <v>5530</v>
      </c>
    </row>
    <row r="44" spans="1:9" x14ac:dyDescent="0.25">
      <c r="A44" s="513" t="s">
        <v>104</v>
      </c>
      <c r="B44" s="603" t="s">
        <v>105</v>
      </c>
      <c r="C44" s="603" t="s">
        <v>265</v>
      </c>
      <c r="D44" s="887">
        <v>9503</v>
      </c>
      <c r="E44" s="887">
        <v>9190</v>
      </c>
      <c r="F44" s="887">
        <v>9033</v>
      </c>
      <c r="G44" s="1514">
        <v>8873</v>
      </c>
      <c r="H44" s="1514">
        <v>7719</v>
      </c>
      <c r="I44" s="2266">
        <v>8037</v>
      </c>
    </row>
    <row r="45" spans="1:9" x14ac:dyDescent="0.25">
      <c r="A45" s="513" t="s">
        <v>108</v>
      </c>
      <c r="B45" s="603" t="s">
        <v>109</v>
      </c>
      <c r="C45" s="603" t="s">
        <v>266</v>
      </c>
      <c r="D45" s="887">
        <v>8982</v>
      </c>
      <c r="E45" s="887">
        <v>8887</v>
      </c>
      <c r="F45" s="887">
        <v>8389</v>
      </c>
      <c r="G45" s="1514">
        <v>7796</v>
      </c>
      <c r="H45" s="1514">
        <v>6898</v>
      </c>
      <c r="I45" s="2266">
        <v>7165</v>
      </c>
    </row>
    <row r="46" spans="1:9" x14ac:dyDescent="0.25">
      <c r="A46" s="513" t="s">
        <v>110</v>
      </c>
      <c r="B46" s="603" t="s">
        <v>111</v>
      </c>
      <c r="C46" s="603" t="s">
        <v>266</v>
      </c>
      <c r="D46" s="887">
        <v>49690</v>
      </c>
      <c r="E46" s="887">
        <v>49682</v>
      </c>
      <c r="F46" s="887">
        <v>47950</v>
      </c>
      <c r="G46" s="1514">
        <v>46723</v>
      </c>
      <c r="H46" s="1514">
        <v>42582</v>
      </c>
      <c r="I46" s="2266">
        <v>44375</v>
      </c>
    </row>
    <row r="47" spans="1:9" x14ac:dyDescent="0.25">
      <c r="A47" s="513" t="s">
        <v>112</v>
      </c>
      <c r="B47" s="603" t="s">
        <v>300</v>
      </c>
      <c r="C47" s="603" t="s">
        <v>265</v>
      </c>
      <c r="D47" s="887">
        <v>22844</v>
      </c>
      <c r="E47" s="887">
        <v>22790</v>
      </c>
      <c r="F47" s="887">
        <v>21152</v>
      </c>
      <c r="G47" s="1514">
        <v>20614</v>
      </c>
      <c r="H47" s="1514">
        <v>17714</v>
      </c>
      <c r="I47" s="2266">
        <v>18723</v>
      </c>
    </row>
    <row r="48" spans="1:9" x14ac:dyDescent="0.25">
      <c r="A48" s="513" t="s">
        <v>114</v>
      </c>
      <c r="B48" s="603" t="s">
        <v>115</v>
      </c>
      <c r="C48" s="603" t="s">
        <v>265</v>
      </c>
      <c r="D48" s="887">
        <v>243</v>
      </c>
      <c r="E48" s="887">
        <v>237</v>
      </c>
      <c r="F48" s="887">
        <v>226</v>
      </c>
      <c r="G48" s="1514">
        <v>203</v>
      </c>
      <c r="H48" s="1514">
        <v>170</v>
      </c>
      <c r="I48" s="2266">
        <v>215</v>
      </c>
    </row>
    <row r="49" spans="1:9" x14ac:dyDescent="0.25">
      <c r="A49" s="513" t="s">
        <v>118</v>
      </c>
      <c r="B49" s="603" t="s">
        <v>270</v>
      </c>
      <c r="C49" s="603" t="s">
        <v>264</v>
      </c>
      <c r="D49" s="887">
        <v>5949</v>
      </c>
      <c r="E49" s="887">
        <v>5909</v>
      </c>
      <c r="F49" s="887">
        <v>5616</v>
      </c>
      <c r="G49" s="1514">
        <v>5396</v>
      </c>
      <c r="H49" s="1514">
        <v>4768</v>
      </c>
      <c r="I49" s="2266">
        <v>4761</v>
      </c>
    </row>
    <row r="50" spans="1:9" x14ac:dyDescent="0.25">
      <c r="A50" s="513" t="s">
        <v>120</v>
      </c>
      <c r="B50" s="603" t="s">
        <v>121</v>
      </c>
      <c r="C50" s="603" t="s">
        <v>264</v>
      </c>
      <c r="D50" s="887">
        <v>7244</v>
      </c>
      <c r="E50" s="887">
        <v>7244</v>
      </c>
      <c r="F50" s="887">
        <v>7005</v>
      </c>
      <c r="G50" s="1514">
        <v>6717</v>
      </c>
      <c r="H50" s="1514">
        <v>6130</v>
      </c>
      <c r="I50" s="2266">
        <v>6081</v>
      </c>
    </row>
    <row r="51" spans="1:9" x14ac:dyDescent="0.25">
      <c r="A51" s="513" t="s">
        <v>122</v>
      </c>
      <c r="B51" s="603" t="s">
        <v>287</v>
      </c>
      <c r="C51" s="603" t="s">
        <v>266</v>
      </c>
      <c r="D51" s="887">
        <v>1751</v>
      </c>
      <c r="E51" s="887">
        <v>1789</v>
      </c>
      <c r="F51" s="887">
        <v>1753</v>
      </c>
      <c r="G51" s="1514">
        <v>1562</v>
      </c>
      <c r="H51" s="1514">
        <v>1394</v>
      </c>
      <c r="I51" s="2266">
        <v>1422</v>
      </c>
    </row>
    <row r="52" spans="1:9" x14ac:dyDescent="0.25">
      <c r="A52" s="513" t="s">
        <v>124</v>
      </c>
      <c r="B52" s="603" t="s">
        <v>125</v>
      </c>
      <c r="C52" s="603" t="s">
        <v>267</v>
      </c>
      <c r="D52" s="887">
        <v>4293</v>
      </c>
      <c r="E52" s="887">
        <v>4463</v>
      </c>
      <c r="F52" s="887">
        <v>4238</v>
      </c>
      <c r="G52" s="1514">
        <v>3914</v>
      </c>
      <c r="H52" s="1514">
        <v>3394</v>
      </c>
      <c r="I52" s="2266">
        <v>3396</v>
      </c>
    </row>
    <row r="53" spans="1:9" x14ac:dyDescent="0.25">
      <c r="A53" s="513" t="s">
        <v>126</v>
      </c>
      <c r="B53" s="603" t="s">
        <v>127</v>
      </c>
      <c r="C53" s="603" t="s">
        <v>266</v>
      </c>
      <c r="D53" s="887">
        <v>2858</v>
      </c>
      <c r="E53" s="887">
        <v>2743</v>
      </c>
      <c r="F53" s="887">
        <v>2551</v>
      </c>
      <c r="G53" s="1514">
        <v>2349</v>
      </c>
      <c r="H53" s="1514">
        <v>2108</v>
      </c>
      <c r="I53" s="2266">
        <v>2021</v>
      </c>
    </row>
    <row r="54" spans="1:9" x14ac:dyDescent="0.25">
      <c r="A54" s="513" t="s">
        <v>128</v>
      </c>
      <c r="B54" s="603" t="s">
        <v>129</v>
      </c>
      <c r="C54" s="603" t="s">
        <v>266</v>
      </c>
      <c r="D54" s="887">
        <v>2453</v>
      </c>
      <c r="E54" s="887">
        <v>2440</v>
      </c>
      <c r="F54" s="887">
        <v>2278</v>
      </c>
      <c r="G54" s="1514">
        <v>2081</v>
      </c>
      <c r="H54" s="1514">
        <v>1895</v>
      </c>
      <c r="I54" s="2266">
        <v>1963</v>
      </c>
    </row>
    <row r="55" spans="1:9" x14ac:dyDescent="0.25">
      <c r="A55" s="513" t="s">
        <v>130</v>
      </c>
      <c r="B55" s="603" t="s">
        <v>131</v>
      </c>
      <c r="C55" s="603" t="s">
        <v>268</v>
      </c>
      <c r="D55" s="887">
        <v>8131</v>
      </c>
      <c r="E55" s="887">
        <v>8137</v>
      </c>
      <c r="F55" s="887">
        <v>8001</v>
      </c>
      <c r="G55" s="1514">
        <v>7544</v>
      </c>
      <c r="H55" s="1514">
        <v>7158</v>
      </c>
      <c r="I55" s="2266">
        <v>7146</v>
      </c>
    </row>
    <row r="56" spans="1:9" x14ac:dyDescent="0.25">
      <c r="A56" s="513" t="s">
        <v>132</v>
      </c>
      <c r="B56" s="603" t="s">
        <v>133</v>
      </c>
      <c r="C56" s="603" t="s">
        <v>267</v>
      </c>
      <c r="D56" s="887">
        <v>13764</v>
      </c>
      <c r="E56" s="887">
        <v>14238</v>
      </c>
      <c r="F56" s="887">
        <v>14221</v>
      </c>
      <c r="G56" s="1514">
        <v>13976</v>
      </c>
      <c r="H56" s="1514">
        <v>12922</v>
      </c>
      <c r="I56" s="2266">
        <v>13484</v>
      </c>
    </row>
    <row r="57" spans="1:9" x14ac:dyDescent="0.25">
      <c r="A57" s="513" t="s">
        <v>134</v>
      </c>
      <c r="B57" s="603" t="s">
        <v>135</v>
      </c>
      <c r="C57" s="603" t="s">
        <v>267</v>
      </c>
      <c r="D57" s="887">
        <v>6578</v>
      </c>
      <c r="E57" s="887">
        <v>6605</v>
      </c>
      <c r="F57" s="887">
        <v>6513</v>
      </c>
      <c r="G57" s="1514">
        <v>5990</v>
      </c>
      <c r="H57" s="1514">
        <v>5310</v>
      </c>
      <c r="I57" s="2266">
        <v>5171</v>
      </c>
    </row>
    <row r="58" spans="1:9" x14ac:dyDescent="0.25">
      <c r="A58" s="513" t="s">
        <v>136</v>
      </c>
      <c r="B58" s="603" t="s">
        <v>137</v>
      </c>
      <c r="C58" s="603" t="s">
        <v>266</v>
      </c>
      <c r="D58" s="887">
        <v>3399</v>
      </c>
      <c r="E58" s="887">
        <v>3356</v>
      </c>
      <c r="F58" s="887">
        <v>3299</v>
      </c>
      <c r="G58" s="1514">
        <v>3145</v>
      </c>
      <c r="H58" s="1514">
        <v>2747</v>
      </c>
      <c r="I58" s="2266">
        <v>2712</v>
      </c>
    </row>
    <row r="59" spans="1:9" x14ac:dyDescent="0.25">
      <c r="A59" s="513" t="s">
        <v>140</v>
      </c>
      <c r="B59" s="603" t="s">
        <v>141</v>
      </c>
      <c r="C59" s="603" t="s">
        <v>267</v>
      </c>
      <c r="D59" s="887">
        <v>2428</v>
      </c>
      <c r="E59" s="887">
        <v>2438</v>
      </c>
      <c r="F59" s="887">
        <v>2364</v>
      </c>
      <c r="G59" s="1514">
        <v>2124</v>
      </c>
      <c r="H59" s="1514">
        <v>1812</v>
      </c>
      <c r="I59" s="2266">
        <v>1629</v>
      </c>
    </row>
    <row r="60" spans="1:9" x14ac:dyDescent="0.25">
      <c r="A60" s="513" t="s">
        <v>146</v>
      </c>
      <c r="B60" s="603" t="s">
        <v>147</v>
      </c>
      <c r="C60" s="603" t="s">
        <v>264</v>
      </c>
      <c r="D60" s="887">
        <v>1465</v>
      </c>
      <c r="E60" s="887">
        <v>1479</v>
      </c>
      <c r="F60" s="887">
        <v>1385</v>
      </c>
      <c r="G60" s="1514">
        <v>1302</v>
      </c>
      <c r="H60" s="1514">
        <v>1149</v>
      </c>
      <c r="I60" s="2266">
        <v>1137</v>
      </c>
    </row>
    <row r="61" spans="1:9" x14ac:dyDescent="0.25">
      <c r="A61" s="513" t="s">
        <v>148</v>
      </c>
      <c r="B61" s="603" t="s">
        <v>149</v>
      </c>
      <c r="C61" s="603" t="s">
        <v>265</v>
      </c>
      <c r="D61" s="887">
        <v>7652</v>
      </c>
      <c r="E61" s="887">
        <v>7673</v>
      </c>
      <c r="F61" s="887">
        <v>7412</v>
      </c>
      <c r="G61" s="1514">
        <v>6989</v>
      </c>
      <c r="H61" s="1514">
        <v>6117</v>
      </c>
      <c r="I61" s="2266">
        <v>6218</v>
      </c>
    </row>
    <row r="62" spans="1:9" x14ac:dyDescent="0.25">
      <c r="A62" s="513" t="s">
        <v>150</v>
      </c>
      <c r="B62" s="603" t="s">
        <v>151</v>
      </c>
      <c r="C62" s="603" t="s">
        <v>266</v>
      </c>
      <c r="D62" s="887">
        <v>2278</v>
      </c>
      <c r="E62" s="887">
        <v>2286</v>
      </c>
      <c r="F62" s="887">
        <v>2216</v>
      </c>
      <c r="G62" s="1514">
        <v>2160</v>
      </c>
      <c r="H62" s="1514">
        <v>1989</v>
      </c>
      <c r="I62" s="2266">
        <v>2024</v>
      </c>
    </row>
    <row r="63" spans="1:9" x14ac:dyDescent="0.25">
      <c r="A63" s="513" t="s">
        <v>152</v>
      </c>
      <c r="B63" s="603" t="s">
        <v>153</v>
      </c>
      <c r="C63" s="603" t="s">
        <v>268</v>
      </c>
      <c r="D63" s="887">
        <v>11388</v>
      </c>
      <c r="E63" s="887">
        <v>11153</v>
      </c>
      <c r="F63" s="887">
        <v>10464</v>
      </c>
      <c r="G63" s="1514">
        <v>9700</v>
      </c>
      <c r="H63" s="1514">
        <v>8830</v>
      </c>
      <c r="I63" s="2266">
        <v>8579</v>
      </c>
    </row>
    <row r="64" spans="1:9" x14ac:dyDescent="0.25">
      <c r="A64" s="513" t="s">
        <v>154</v>
      </c>
      <c r="B64" s="603" t="s">
        <v>155</v>
      </c>
      <c r="C64" s="603" t="s">
        <v>265</v>
      </c>
      <c r="D64" s="887">
        <v>3311</v>
      </c>
      <c r="E64" s="887">
        <v>3250</v>
      </c>
      <c r="F64" s="887">
        <v>3040</v>
      </c>
      <c r="G64" s="1514">
        <v>2690</v>
      </c>
      <c r="H64" s="1514">
        <v>2447</v>
      </c>
      <c r="I64" s="2266">
        <v>2410</v>
      </c>
    </row>
    <row r="65" spans="1:9" x14ac:dyDescent="0.25">
      <c r="A65" s="513" t="s">
        <v>156</v>
      </c>
      <c r="B65" s="603" t="s">
        <v>157</v>
      </c>
      <c r="C65" s="603" t="s">
        <v>266</v>
      </c>
      <c r="D65" s="887">
        <v>1920</v>
      </c>
      <c r="E65" s="887">
        <v>1841</v>
      </c>
      <c r="F65" s="887">
        <v>1888</v>
      </c>
      <c r="G65" s="1514">
        <v>1877</v>
      </c>
      <c r="H65" s="1514">
        <v>1561</v>
      </c>
      <c r="I65" s="2266">
        <v>1620</v>
      </c>
    </row>
    <row r="66" spans="1:9" x14ac:dyDescent="0.25">
      <c r="A66" s="513" t="s">
        <v>162</v>
      </c>
      <c r="B66" s="603" t="s">
        <v>163</v>
      </c>
      <c r="C66" s="603" t="s">
        <v>264</v>
      </c>
      <c r="D66" s="887">
        <v>3963</v>
      </c>
      <c r="E66" s="887">
        <v>3897</v>
      </c>
      <c r="F66" s="887">
        <v>3741</v>
      </c>
      <c r="G66" s="1514">
        <v>3532</v>
      </c>
      <c r="H66" s="1514">
        <v>3082</v>
      </c>
      <c r="I66" s="2266">
        <v>3034</v>
      </c>
    </row>
    <row r="67" spans="1:9" x14ac:dyDescent="0.25">
      <c r="A67" s="513" t="s">
        <v>164</v>
      </c>
      <c r="B67" s="603" t="s">
        <v>165</v>
      </c>
      <c r="C67" s="603" t="s">
        <v>266</v>
      </c>
      <c r="D67" s="887">
        <v>2413</v>
      </c>
      <c r="E67" s="887">
        <v>2512</v>
      </c>
      <c r="F67" s="887">
        <v>2499</v>
      </c>
      <c r="G67" s="1514">
        <v>2412</v>
      </c>
      <c r="H67" s="1514">
        <v>2120</v>
      </c>
      <c r="I67" s="2266">
        <v>2122</v>
      </c>
    </row>
    <row r="68" spans="1:9" x14ac:dyDescent="0.25">
      <c r="A68" s="513" t="s">
        <v>168</v>
      </c>
      <c r="B68" s="603" t="s">
        <v>169</v>
      </c>
      <c r="C68" s="603" t="s">
        <v>266</v>
      </c>
      <c r="D68" s="887">
        <v>4849</v>
      </c>
      <c r="E68" s="887">
        <v>4856</v>
      </c>
      <c r="F68" s="887">
        <v>4647</v>
      </c>
      <c r="G68" s="1514">
        <v>4348</v>
      </c>
      <c r="H68" s="1514">
        <v>3923</v>
      </c>
      <c r="I68" s="2266">
        <v>3888</v>
      </c>
    </row>
    <row r="69" spans="1:9" x14ac:dyDescent="0.25">
      <c r="A69" s="513" t="s">
        <v>170</v>
      </c>
      <c r="B69" s="603" t="s">
        <v>171</v>
      </c>
      <c r="C69" s="603" t="s">
        <v>267</v>
      </c>
      <c r="D69" s="887">
        <v>5361</v>
      </c>
      <c r="E69" s="887">
        <v>5208</v>
      </c>
      <c r="F69" s="887">
        <v>5152</v>
      </c>
      <c r="G69" s="1514">
        <v>4768</v>
      </c>
      <c r="H69" s="1514">
        <v>4125</v>
      </c>
      <c r="I69" s="2266">
        <v>4140</v>
      </c>
    </row>
    <row r="70" spans="1:9" x14ac:dyDescent="0.25">
      <c r="A70" s="513" t="s">
        <v>172</v>
      </c>
      <c r="B70" s="603" t="s">
        <v>173</v>
      </c>
      <c r="C70" s="603" t="s">
        <v>267</v>
      </c>
      <c r="D70" s="887">
        <v>5738</v>
      </c>
      <c r="E70" s="887">
        <v>5463</v>
      </c>
      <c r="F70" s="887">
        <v>5352</v>
      </c>
      <c r="G70" s="1514">
        <v>5149</v>
      </c>
      <c r="H70" s="1514">
        <v>4404</v>
      </c>
      <c r="I70" s="2266">
        <v>4096</v>
      </c>
    </row>
    <row r="71" spans="1:9" x14ac:dyDescent="0.25">
      <c r="A71" s="513" t="s">
        <v>174</v>
      </c>
      <c r="B71" s="603" t="s">
        <v>175</v>
      </c>
      <c r="C71" s="603" t="s">
        <v>268</v>
      </c>
      <c r="D71" s="887">
        <v>4929</v>
      </c>
      <c r="E71" s="887">
        <v>4629</v>
      </c>
      <c r="F71" s="887">
        <v>4397</v>
      </c>
      <c r="G71" s="1514">
        <v>4133</v>
      </c>
      <c r="H71" s="1514">
        <v>3733</v>
      </c>
      <c r="I71" s="2266">
        <v>3698</v>
      </c>
    </row>
    <row r="72" spans="1:9" x14ac:dyDescent="0.25">
      <c r="A72" s="513" t="s">
        <v>178</v>
      </c>
      <c r="B72" s="603" t="s">
        <v>179</v>
      </c>
      <c r="C72" s="603" t="s">
        <v>265</v>
      </c>
      <c r="D72" s="887">
        <v>14291</v>
      </c>
      <c r="E72" s="887">
        <v>14340</v>
      </c>
      <c r="F72" s="887">
        <v>14035</v>
      </c>
      <c r="G72" s="1514">
        <v>12998</v>
      </c>
      <c r="H72" s="1514">
        <v>10930</v>
      </c>
      <c r="I72" s="2266">
        <v>11737</v>
      </c>
    </row>
    <row r="73" spans="1:9" x14ac:dyDescent="0.25">
      <c r="A73" s="513" t="s">
        <v>182</v>
      </c>
      <c r="B73" s="603" t="s">
        <v>183</v>
      </c>
      <c r="C73" s="603" t="s">
        <v>266</v>
      </c>
      <c r="D73" s="887">
        <v>2263</v>
      </c>
      <c r="E73" s="887">
        <v>2305</v>
      </c>
      <c r="F73" s="887">
        <v>2141</v>
      </c>
      <c r="G73" s="1514">
        <v>1876</v>
      </c>
      <c r="H73" s="1514">
        <v>1639</v>
      </c>
      <c r="I73" s="2266">
        <v>1653</v>
      </c>
    </row>
    <row r="74" spans="1:9" x14ac:dyDescent="0.25">
      <c r="A74" s="513" t="s">
        <v>184</v>
      </c>
      <c r="B74" s="603" t="s">
        <v>185</v>
      </c>
      <c r="C74" s="603" t="s">
        <v>266</v>
      </c>
      <c r="D74" s="887">
        <v>5228</v>
      </c>
      <c r="E74" s="887">
        <v>5189</v>
      </c>
      <c r="F74" s="887">
        <v>4964</v>
      </c>
      <c r="G74" s="1514">
        <v>4740</v>
      </c>
      <c r="H74" s="1514">
        <v>4264</v>
      </c>
      <c r="I74" s="2266">
        <v>4266</v>
      </c>
    </row>
    <row r="75" spans="1:9" x14ac:dyDescent="0.25">
      <c r="A75" s="513" t="s">
        <v>186</v>
      </c>
      <c r="B75" s="603" t="s">
        <v>187</v>
      </c>
      <c r="C75" s="603" t="s">
        <v>264</v>
      </c>
      <c r="D75" s="887">
        <v>4445</v>
      </c>
      <c r="E75" s="887">
        <v>4621</v>
      </c>
      <c r="F75" s="887">
        <v>4624</v>
      </c>
      <c r="G75" s="1514">
        <v>4624</v>
      </c>
      <c r="H75" s="1514">
        <v>4380</v>
      </c>
      <c r="I75" s="2266">
        <v>4474</v>
      </c>
    </row>
    <row r="76" spans="1:9" x14ac:dyDescent="0.25">
      <c r="A76" s="513" t="s">
        <v>188</v>
      </c>
      <c r="B76" s="603" t="s">
        <v>189</v>
      </c>
      <c r="C76" s="603" t="s">
        <v>267</v>
      </c>
      <c r="D76" s="887">
        <v>43434</v>
      </c>
      <c r="E76" s="887">
        <v>44120</v>
      </c>
      <c r="F76" s="887">
        <v>43507</v>
      </c>
      <c r="G76" s="1514">
        <v>42238</v>
      </c>
      <c r="H76" s="1514">
        <v>37373</v>
      </c>
      <c r="I76" s="2266">
        <v>37535</v>
      </c>
    </row>
    <row r="77" spans="1:9" x14ac:dyDescent="0.25">
      <c r="A77" s="513" t="s">
        <v>190</v>
      </c>
      <c r="B77" s="603" t="s">
        <v>191</v>
      </c>
      <c r="C77" s="603" t="s">
        <v>268</v>
      </c>
      <c r="D77" s="887">
        <v>8377</v>
      </c>
      <c r="E77" s="887">
        <v>8149</v>
      </c>
      <c r="F77" s="887">
        <v>7901</v>
      </c>
      <c r="G77" s="1514">
        <v>7263</v>
      </c>
      <c r="H77" s="1514">
        <v>6912</v>
      </c>
      <c r="I77" s="2266">
        <v>7060</v>
      </c>
    </row>
    <row r="78" spans="1:9" x14ac:dyDescent="0.25">
      <c r="A78" s="513" t="s">
        <v>194</v>
      </c>
      <c r="B78" s="603" t="s">
        <v>195</v>
      </c>
      <c r="C78" s="603" t="s">
        <v>267</v>
      </c>
      <c r="D78" s="887">
        <v>867</v>
      </c>
      <c r="E78" s="887">
        <v>772</v>
      </c>
      <c r="F78" s="887">
        <v>676</v>
      </c>
      <c r="G78" s="1514">
        <v>572</v>
      </c>
      <c r="H78" s="1514">
        <v>525</v>
      </c>
      <c r="I78" s="2266">
        <v>581</v>
      </c>
    </row>
    <row r="79" spans="1:9" x14ac:dyDescent="0.25">
      <c r="A79" s="513" t="s">
        <v>198</v>
      </c>
      <c r="B79" s="603" t="s">
        <v>272</v>
      </c>
      <c r="C79" s="603" t="s">
        <v>266</v>
      </c>
      <c r="D79" s="887">
        <v>2100</v>
      </c>
      <c r="E79" s="887">
        <v>2175</v>
      </c>
      <c r="F79" s="887">
        <v>2082</v>
      </c>
      <c r="G79" s="1514">
        <v>2023</v>
      </c>
      <c r="H79" s="1514">
        <v>1910</v>
      </c>
      <c r="I79" s="2266">
        <v>1927</v>
      </c>
    </row>
    <row r="80" spans="1:9" x14ac:dyDescent="0.25">
      <c r="A80" s="513" t="s">
        <v>202</v>
      </c>
      <c r="B80" s="603" t="s">
        <v>301</v>
      </c>
      <c r="C80" s="603" t="s">
        <v>265</v>
      </c>
      <c r="D80" s="887">
        <v>12520</v>
      </c>
      <c r="E80" s="887">
        <v>12734</v>
      </c>
      <c r="F80" s="887">
        <v>12404</v>
      </c>
      <c r="G80" s="1514">
        <v>11746</v>
      </c>
      <c r="H80" s="1514">
        <v>9544</v>
      </c>
      <c r="I80" s="2266">
        <v>10334</v>
      </c>
    </row>
    <row r="81" spans="1:9" x14ac:dyDescent="0.25">
      <c r="A81" s="513" t="s">
        <v>204</v>
      </c>
      <c r="B81" s="603" t="s">
        <v>293</v>
      </c>
      <c r="C81" s="603" t="s">
        <v>265</v>
      </c>
      <c r="D81" s="887">
        <v>5994</v>
      </c>
      <c r="E81" s="887">
        <v>6282</v>
      </c>
      <c r="F81" s="887">
        <v>5815</v>
      </c>
      <c r="G81" s="1514">
        <v>5620</v>
      </c>
      <c r="H81" s="1514">
        <v>5103</v>
      </c>
      <c r="I81" s="2266">
        <v>5351</v>
      </c>
    </row>
    <row r="82" spans="1:9" x14ac:dyDescent="0.25">
      <c r="A82" s="513" t="s">
        <v>206</v>
      </c>
      <c r="B82" s="603" t="s">
        <v>294</v>
      </c>
      <c r="C82" s="603" t="s">
        <v>267</v>
      </c>
      <c r="D82" s="887">
        <v>17940</v>
      </c>
      <c r="E82" s="887">
        <v>18593</v>
      </c>
      <c r="F82" s="887">
        <v>16668</v>
      </c>
      <c r="G82" s="1514">
        <v>15792</v>
      </c>
      <c r="H82" s="1514">
        <v>14045</v>
      </c>
      <c r="I82" s="2266">
        <v>14796</v>
      </c>
    </row>
    <row r="83" spans="1:9" x14ac:dyDescent="0.25">
      <c r="A83" s="513" t="s">
        <v>208</v>
      </c>
      <c r="B83" s="603" t="s">
        <v>209</v>
      </c>
      <c r="C83" s="603" t="s">
        <v>268</v>
      </c>
      <c r="D83" s="887">
        <v>8092</v>
      </c>
      <c r="E83" s="887">
        <v>8032</v>
      </c>
      <c r="F83" s="887">
        <v>8020</v>
      </c>
      <c r="G83" s="1514">
        <v>7535</v>
      </c>
      <c r="H83" s="1514">
        <v>6996</v>
      </c>
      <c r="I83" s="2266">
        <v>6883</v>
      </c>
    </row>
    <row r="84" spans="1:9" x14ac:dyDescent="0.25">
      <c r="A84" s="513" t="s">
        <v>210</v>
      </c>
      <c r="B84" s="603" t="s">
        <v>211</v>
      </c>
      <c r="C84" s="603" t="s">
        <v>268</v>
      </c>
      <c r="D84" s="887">
        <v>5620</v>
      </c>
      <c r="E84" s="887">
        <v>5632</v>
      </c>
      <c r="F84" s="887">
        <v>5368</v>
      </c>
      <c r="G84" s="1514">
        <v>5030</v>
      </c>
      <c r="H84" s="1514">
        <v>4671</v>
      </c>
      <c r="I84" s="2266">
        <v>4751</v>
      </c>
    </row>
    <row r="85" spans="1:9" x14ac:dyDescent="0.25">
      <c r="A85" s="513" t="s">
        <v>212</v>
      </c>
      <c r="B85" s="603" t="s">
        <v>213</v>
      </c>
      <c r="C85" s="603" t="s">
        <v>267</v>
      </c>
      <c r="D85" s="887">
        <v>8294</v>
      </c>
      <c r="E85" s="887">
        <v>8003</v>
      </c>
      <c r="F85" s="887">
        <v>7671</v>
      </c>
      <c r="G85" s="1514">
        <v>7173</v>
      </c>
      <c r="H85" s="1514">
        <v>6250</v>
      </c>
      <c r="I85" s="2266">
        <v>6294</v>
      </c>
    </row>
    <row r="86" spans="1:9" x14ac:dyDescent="0.25">
      <c r="A86" s="513" t="s">
        <v>214</v>
      </c>
      <c r="B86" s="603" t="s">
        <v>215</v>
      </c>
      <c r="C86" s="603" t="s">
        <v>268</v>
      </c>
      <c r="D86" s="887">
        <v>9223</v>
      </c>
      <c r="E86" s="887">
        <v>8956</v>
      </c>
      <c r="F86" s="887">
        <v>8559</v>
      </c>
      <c r="G86" s="1514">
        <v>8280</v>
      </c>
      <c r="H86" s="1514">
        <v>7564</v>
      </c>
      <c r="I86" s="2266">
        <v>7570</v>
      </c>
    </row>
    <row r="87" spans="1:9" x14ac:dyDescent="0.25">
      <c r="A87" s="513" t="s">
        <v>216</v>
      </c>
      <c r="B87" s="603" t="s">
        <v>217</v>
      </c>
      <c r="C87" s="603" t="s">
        <v>264</v>
      </c>
      <c r="D87" s="887">
        <v>4312</v>
      </c>
      <c r="E87" s="887">
        <v>4254</v>
      </c>
      <c r="F87" s="887">
        <v>4091</v>
      </c>
      <c r="G87" s="1514">
        <v>3788</v>
      </c>
      <c r="H87" s="1514">
        <v>3525</v>
      </c>
      <c r="I87" s="2266">
        <v>3506</v>
      </c>
    </row>
    <row r="88" spans="1:9" x14ac:dyDescent="0.25">
      <c r="A88" s="513" t="s">
        <v>218</v>
      </c>
      <c r="B88" s="603" t="s">
        <v>219</v>
      </c>
      <c r="C88" s="603" t="s">
        <v>267</v>
      </c>
      <c r="D88" s="887">
        <v>18118</v>
      </c>
      <c r="E88" s="887">
        <v>18342</v>
      </c>
      <c r="F88" s="887">
        <v>17934</v>
      </c>
      <c r="G88" s="1514">
        <v>17096</v>
      </c>
      <c r="H88" s="1514">
        <v>15304</v>
      </c>
      <c r="I88" s="2266">
        <v>15469</v>
      </c>
    </row>
    <row r="89" spans="1:9" x14ac:dyDescent="0.25">
      <c r="A89" s="513" t="s">
        <v>220</v>
      </c>
      <c r="B89" s="603" t="s">
        <v>221</v>
      </c>
      <c r="C89" s="603" t="s">
        <v>267</v>
      </c>
      <c r="D89" s="887">
        <v>14530</v>
      </c>
      <c r="E89" s="887">
        <v>15066</v>
      </c>
      <c r="F89" s="887">
        <v>14768</v>
      </c>
      <c r="G89" s="1514">
        <v>13917</v>
      </c>
      <c r="H89" s="1514">
        <v>12315</v>
      </c>
      <c r="I89" s="2266">
        <v>12394</v>
      </c>
    </row>
    <row r="90" spans="1:9" x14ac:dyDescent="0.25">
      <c r="A90" s="513" t="s">
        <v>224</v>
      </c>
      <c r="B90" s="603" t="s">
        <v>225</v>
      </c>
      <c r="C90" s="603" t="s">
        <v>264</v>
      </c>
      <c r="D90" s="887">
        <v>1497</v>
      </c>
      <c r="E90" s="887">
        <v>1512</v>
      </c>
      <c r="F90" s="887">
        <v>1424</v>
      </c>
      <c r="G90" s="1514">
        <v>1347</v>
      </c>
      <c r="H90" s="1514">
        <v>1241</v>
      </c>
      <c r="I90" s="2266">
        <v>1210</v>
      </c>
    </row>
    <row r="91" spans="1:9" x14ac:dyDescent="0.25">
      <c r="A91" s="513" t="s">
        <v>226</v>
      </c>
      <c r="B91" s="603" t="s">
        <v>227</v>
      </c>
      <c r="C91" s="603" t="s">
        <v>264</v>
      </c>
      <c r="D91" s="887">
        <v>2744</v>
      </c>
      <c r="E91" s="887">
        <v>2790</v>
      </c>
      <c r="F91" s="887">
        <v>2769</v>
      </c>
      <c r="G91" s="1514">
        <v>2671</v>
      </c>
      <c r="H91" s="1514">
        <v>2392</v>
      </c>
      <c r="I91" s="2266">
        <v>2401</v>
      </c>
    </row>
    <row r="92" spans="1:9" x14ac:dyDescent="0.25">
      <c r="A92" s="513" t="s">
        <v>228</v>
      </c>
      <c r="B92" s="603" t="s">
        <v>229</v>
      </c>
      <c r="C92" s="603" t="s">
        <v>268</v>
      </c>
      <c r="D92" s="887">
        <v>11134</v>
      </c>
      <c r="E92" s="887">
        <v>11541</v>
      </c>
      <c r="F92" s="887">
        <v>11473</v>
      </c>
      <c r="G92" s="1514">
        <v>11153</v>
      </c>
      <c r="H92" s="1514">
        <v>10351</v>
      </c>
      <c r="I92" s="2266">
        <v>10417</v>
      </c>
    </row>
    <row r="93" spans="1:9" x14ac:dyDescent="0.25">
      <c r="A93" s="513" t="s">
        <v>232</v>
      </c>
      <c r="B93" s="603" t="s">
        <v>233</v>
      </c>
      <c r="C93" s="603" t="s">
        <v>267</v>
      </c>
      <c r="D93" s="887">
        <v>7542</v>
      </c>
      <c r="E93" s="887">
        <v>7378</v>
      </c>
      <c r="F93" s="887">
        <v>6961</v>
      </c>
      <c r="G93" s="1514">
        <v>6590</v>
      </c>
      <c r="H93" s="1514">
        <v>5616</v>
      </c>
      <c r="I93" s="2266">
        <v>5687</v>
      </c>
    </row>
    <row r="94" spans="1:9" x14ac:dyDescent="0.25">
      <c r="A94" s="513" t="s">
        <v>234</v>
      </c>
      <c r="B94" s="603" t="s">
        <v>235</v>
      </c>
      <c r="C94" s="603" t="s">
        <v>268</v>
      </c>
      <c r="D94" s="887">
        <v>11164</v>
      </c>
      <c r="E94" s="887">
        <v>10998</v>
      </c>
      <c r="F94" s="887">
        <v>10711</v>
      </c>
      <c r="G94" s="1514">
        <v>10329</v>
      </c>
      <c r="H94" s="1514">
        <v>9429</v>
      </c>
      <c r="I94" s="2266">
        <v>9544</v>
      </c>
    </row>
    <row r="95" spans="1:9" x14ac:dyDescent="0.25">
      <c r="A95" s="513" t="s">
        <v>236</v>
      </c>
      <c r="B95" s="603" t="s">
        <v>237</v>
      </c>
      <c r="C95" s="603" t="s">
        <v>266</v>
      </c>
      <c r="D95" s="887">
        <v>4712</v>
      </c>
      <c r="E95" s="887">
        <v>4614</v>
      </c>
      <c r="F95" s="887">
        <v>4564</v>
      </c>
      <c r="G95" s="1514">
        <v>4494</v>
      </c>
      <c r="H95" s="1514">
        <v>4061</v>
      </c>
      <c r="I95" s="2266">
        <v>4136</v>
      </c>
    </row>
    <row r="96" spans="1:9" x14ac:dyDescent="0.25">
      <c r="A96" s="513" t="s">
        <v>242</v>
      </c>
      <c r="B96" s="603" t="s">
        <v>243</v>
      </c>
      <c r="C96" s="603" t="s">
        <v>268</v>
      </c>
      <c r="D96" s="887">
        <v>12160</v>
      </c>
      <c r="E96" s="887">
        <v>12316</v>
      </c>
      <c r="F96" s="887">
        <v>11749</v>
      </c>
      <c r="G96" s="1514">
        <v>10885</v>
      </c>
      <c r="H96" s="1514">
        <v>10427</v>
      </c>
      <c r="I96" s="2266">
        <v>10290</v>
      </c>
    </row>
    <row r="97" spans="1:9" x14ac:dyDescent="0.25">
      <c r="A97" s="513" t="s">
        <v>244</v>
      </c>
      <c r="B97" s="603" t="s">
        <v>245</v>
      </c>
      <c r="C97" s="603" t="s">
        <v>268</v>
      </c>
      <c r="D97" s="887">
        <v>6620</v>
      </c>
      <c r="E97" s="887">
        <v>6390</v>
      </c>
      <c r="F97" s="887">
        <v>6152</v>
      </c>
      <c r="G97" s="1514">
        <v>5746</v>
      </c>
      <c r="H97" s="1514">
        <v>5202</v>
      </c>
      <c r="I97" s="2266">
        <v>5283</v>
      </c>
    </row>
    <row r="98" spans="1:9" x14ac:dyDescent="0.25">
      <c r="A98" s="513" t="s">
        <v>246</v>
      </c>
      <c r="B98" s="603" t="s">
        <v>247</v>
      </c>
      <c r="C98" s="603" t="s">
        <v>264</v>
      </c>
      <c r="D98" s="887">
        <v>5269</v>
      </c>
      <c r="E98" s="887">
        <v>5430</v>
      </c>
      <c r="F98" s="887">
        <v>5177</v>
      </c>
      <c r="G98" s="1514">
        <v>5003</v>
      </c>
      <c r="H98" s="1514">
        <v>4409</v>
      </c>
      <c r="I98" s="2266">
        <v>4542</v>
      </c>
    </row>
    <row r="99" spans="1:9" x14ac:dyDescent="0.25">
      <c r="A99" s="513" t="s">
        <v>14</v>
      </c>
      <c r="B99" s="603" t="s">
        <v>15</v>
      </c>
      <c r="C99" s="603" t="s">
        <v>267</v>
      </c>
      <c r="D99" s="887">
        <v>12953</v>
      </c>
      <c r="E99" s="887">
        <v>12906</v>
      </c>
      <c r="F99" s="887">
        <v>12769</v>
      </c>
      <c r="G99" s="1514">
        <v>12778</v>
      </c>
      <c r="H99" s="1514">
        <v>12021</v>
      </c>
      <c r="I99" s="2266">
        <v>13457</v>
      </c>
    </row>
    <row r="100" spans="1:9" x14ac:dyDescent="0.25">
      <c r="A100" s="513" t="s">
        <v>34</v>
      </c>
      <c r="B100" s="603" t="s">
        <v>35</v>
      </c>
      <c r="C100" s="603" t="s">
        <v>268</v>
      </c>
      <c r="D100" s="887">
        <v>6866</v>
      </c>
      <c r="E100" s="887">
        <v>6807</v>
      </c>
      <c r="F100" s="887">
        <v>6512</v>
      </c>
      <c r="G100" s="1514">
        <v>6067</v>
      </c>
      <c r="H100" s="1514">
        <v>5542</v>
      </c>
      <c r="I100" s="2266">
        <v>5526</v>
      </c>
    </row>
    <row r="101" spans="1:9" x14ac:dyDescent="0.25">
      <c r="A101" s="513" t="s">
        <v>52</v>
      </c>
      <c r="B101" s="603" t="s">
        <v>53</v>
      </c>
      <c r="C101" s="603" t="s">
        <v>265</v>
      </c>
      <c r="D101" s="887">
        <v>8306</v>
      </c>
      <c r="E101" s="887">
        <v>8053</v>
      </c>
      <c r="F101" s="887">
        <v>7386</v>
      </c>
      <c r="G101" s="1514">
        <v>6916</v>
      </c>
      <c r="H101" s="1514">
        <v>5723</v>
      </c>
      <c r="I101" s="2266">
        <v>6033</v>
      </c>
    </row>
    <row r="102" spans="1:9" x14ac:dyDescent="0.25">
      <c r="A102" s="513" t="s">
        <v>54</v>
      </c>
      <c r="B102" s="603" t="s">
        <v>55</v>
      </c>
      <c r="C102" s="603" t="s">
        <v>264</v>
      </c>
      <c r="D102" s="887">
        <v>35216</v>
      </c>
      <c r="E102" s="887">
        <v>35556</v>
      </c>
      <c r="F102" s="887">
        <v>34480</v>
      </c>
      <c r="G102" s="1514">
        <v>32632</v>
      </c>
      <c r="H102" s="1514">
        <v>29363</v>
      </c>
      <c r="I102" s="2266">
        <v>28990</v>
      </c>
    </row>
    <row r="103" spans="1:9" x14ac:dyDescent="0.25">
      <c r="A103" s="513" t="s">
        <v>66</v>
      </c>
      <c r="B103" s="603" t="s">
        <v>67</v>
      </c>
      <c r="C103" s="603" t="s">
        <v>265</v>
      </c>
      <c r="D103" s="887">
        <v>18151</v>
      </c>
      <c r="E103" s="887">
        <v>17892</v>
      </c>
      <c r="F103" s="887">
        <v>17579</v>
      </c>
      <c r="G103" s="1514">
        <v>16901</v>
      </c>
      <c r="H103" s="1514">
        <v>14564</v>
      </c>
      <c r="I103" s="2266">
        <v>15354</v>
      </c>
    </row>
    <row r="104" spans="1:9" x14ac:dyDescent="0.25">
      <c r="A104" s="513" t="s">
        <v>82</v>
      </c>
      <c r="B104" s="603" t="s">
        <v>83</v>
      </c>
      <c r="C104" s="603" t="s">
        <v>264</v>
      </c>
      <c r="D104" s="887">
        <v>3723</v>
      </c>
      <c r="E104" s="887">
        <v>3702</v>
      </c>
      <c r="F104" s="887">
        <v>3476</v>
      </c>
      <c r="G104" s="1514">
        <v>3337</v>
      </c>
      <c r="H104" s="1514">
        <v>3127</v>
      </c>
      <c r="I104" s="2266">
        <v>3267</v>
      </c>
    </row>
    <row r="105" spans="1:9" x14ac:dyDescent="0.25">
      <c r="A105" s="513" t="s">
        <v>88</v>
      </c>
      <c r="B105" s="603" t="s">
        <v>89</v>
      </c>
      <c r="C105" s="603" t="s">
        <v>267</v>
      </c>
      <c r="D105" s="887">
        <v>7006</v>
      </c>
      <c r="E105" s="887">
        <v>7082</v>
      </c>
      <c r="F105" s="887">
        <v>6749</v>
      </c>
      <c r="G105" s="1514">
        <v>6385</v>
      </c>
      <c r="H105" s="1514">
        <v>5504</v>
      </c>
      <c r="I105" s="2266">
        <v>5955</v>
      </c>
    </row>
    <row r="106" spans="1:9" x14ac:dyDescent="0.25">
      <c r="A106" s="513" t="s">
        <v>90</v>
      </c>
      <c r="B106" s="603" t="s">
        <v>91</v>
      </c>
      <c r="C106" s="603" t="s">
        <v>268</v>
      </c>
      <c r="D106" s="887">
        <v>2654</v>
      </c>
      <c r="E106" s="887">
        <v>2749</v>
      </c>
      <c r="F106" s="887">
        <v>2641</v>
      </c>
      <c r="G106" s="1514">
        <v>2511</v>
      </c>
      <c r="H106" s="1514">
        <v>2344</v>
      </c>
      <c r="I106" s="2266">
        <v>2384</v>
      </c>
    </row>
    <row r="107" spans="1:9" x14ac:dyDescent="0.25">
      <c r="A107" s="513" t="s">
        <v>106</v>
      </c>
      <c r="B107" s="603" t="s">
        <v>107</v>
      </c>
      <c r="C107" s="603" t="s">
        <v>264</v>
      </c>
      <c r="D107" s="887">
        <v>33121</v>
      </c>
      <c r="E107" s="887">
        <v>33700</v>
      </c>
      <c r="F107" s="887">
        <v>32335</v>
      </c>
      <c r="G107" s="1514">
        <v>30345</v>
      </c>
      <c r="H107" s="1514">
        <v>27522</v>
      </c>
      <c r="I107" s="2266">
        <v>28327</v>
      </c>
    </row>
    <row r="108" spans="1:9" x14ac:dyDescent="0.25">
      <c r="A108" s="513" t="s">
        <v>116</v>
      </c>
      <c r="B108" s="603" t="s">
        <v>117</v>
      </c>
      <c r="C108" s="603" t="s">
        <v>266</v>
      </c>
      <c r="D108" s="887">
        <v>9770</v>
      </c>
      <c r="E108" s="887">
        <v>9739</v>
      </c>
      <c r="F108" s="887">
        <v>9684</v>
      </c>
      <c r="G108" s="1514">
        <v>9556</v>
      </c>
      <c r="H108" s="1514">
        <v>9071</v>
      </c>
      <c r="I108" s="2266">
        <v>9187</v>
      </c>
    </row>
    <row r="109" spans="1:9" x14ac:dyDescent="0.25">
      <c r="A109" s="513" t="s">
        <v>138</v>
      </c>
      <c r="B109" s="603" t="s">
        <v>139</v>
      </c>
      <c r="C109" s="603" t="s">
        <v>265</v>
      </c>
      <c r="D109" s="887">
        <v>19036</v>
      </c>
      <c r="E109" s="887">
        <v>19110</v>
      </c>
      <c r="F109" s="887">
        <v>18476</v>
      </c>
      <c r="G109" s="1514">
        <v>17265</v>
      </c>
      <c r="H109" s="1514">
        <v>14670</v>
      </c>
      <c r="I109" s="2266">
        <v>15544</v>
      </c>
    </row>
    <row r="110" spans="1:9" x14ac:dyDescent="0.25">
      <c r="A110" s="513" t="s">
        <v>142</v>
      </c>
      <c r="B110" s="603" t="s">
        <v>143</v>
      </c>
      <c r="C110" s="603" t="s">
        <v>267</v>
      </c>
      <c r="D110" s="887">
        <v>6409</v>
      </c>
      <c r="E110" s="887">
        <v>6582</v>
      </c>
      <c r="F110" s="887">
        <v>6245</v>
      </c>
      <c r="G110" s="1514">
        <v>5966</v>
      </c>
      <c r="H110" s="1514">
        <v>5225</v>
      </c>
      <c r="I110" s="2266">
        <v>5389</v>
      </c>
    </row>
    <row r="111" spans="1:9" x14ac:dyDescent="0.25">
      <c r="A111" s="513" t="s">
        <v>144</v>
      </c>
      <c r="B111" s="603" t="s">
        <v>145</v>
      </c>
      <c r="C111" s="603" t="s">
        <v>267</v>
      </c>
      <c r="D111" s="887">
        <v>1882</v>
      </c>
      <c r="E111" s="887">
        <v>2005</v>
      </c>
      <c r="F111" s="887">
        <v>1887</v>
      </c>
      <c r="G111" s="1514">
        <v>1830</v>
      </c>
      <c r="H111" s="1514">
        <v>1600</v>
      </c>
      <c r="I111" s="2266">
        <v>1749</v>
      </c>
    </row>
    <row r="112" spans="1:9" x14ac:dyDescent="0.25">
      <c r="A112" s="513" t="s">
        <v>158</v>
      </c>
      <c r="B112" s="603" t="s">
        <v>159</v>
      </c>
      <c r="C112" s="603" t="s">
        <v>264</v>
      </c>
      <c r="D112" s="887">
        <v>51022</v>
      </c>
      <c r="E112" s="887">
        <v>51772</v>
      </c>
      <c r="F112" s="887">
        <v>50253</v>
      </c>
      <c r="G112" s="1514">
        <v>47694</v>
      </c>
      <c r="H112" s="1514">
        <v>43558</v>
      </c>
      <c r="I112" s="2266">
        <v>43338</v>
      </c>
    </row>
    <row r="113" spans="1:9" x14ac:dyDescent="0.25">
      <c r="A113" s="513" t="s">
        <v>160</v>
      </c>
      <c r="B113" s="603" t="s">
        <v>161</v>
      </c>
      <c r="C113" s="603" t="s">
        <v>264</v>
      </c>
      <c r="D113" s="887">
        <v>68597</v>
      </c>
      <c r="E113" s="887">
        <v>68891</v>
      </c>
      <c r="F113" s="887">
        <v>65810</v>
      </c>
      <c r="G113" s="1514">
        <v>61792</v>
      </c>
      <c r="H113" s="1514">
        <v>55590</v>
      </c>
      <c r="I113" s="2266">
        <v>54073</v>
      </c>
    </row>
    <row r="114" spans="1:9" x14ac:dyDescent="0.25">
      <c r="A114" s="513" t="s">
        <v>166</v>
      </c>
      <c r="B114" s="603" t="s">
        <v>167</v>
      </c>
      <c r="C114" s="603" t="s">
        <v>268</v>
      </c>
      <c r="D114" s="887">
        <v>1549</v>
      </c>
      <c r="E114" s="887">
        <v>1541</v>
      </c>
      <c r="F114" s="887">
        <v>1465</v>
      </c>
      <c r="G114" s="1514">
        <v>1434</v>
      </c>
      <c r="H114" s="1514">
        <v>1381</v>
      </c>
      <c r="I114" s="2266">
        <v>1329</v>
      </c>
    </row>
    <row r="115" spans="1:9" x14ac:dyDescent="0.25">
      <c r="A115" s="513" t="s">
        <v>176</v>
      </c>
      <c r="B115" s="603" t="s">
        <v>177</v>
      </c>
      <c r="C115" s="603" t="s">
        <v>266</v>
      </c>
      <c r="D115" s="887">
        <v>15158</v>
      </c>
      <c r="E115" s="887">
        <v>15312</v>
      </c>
      <c r="F115" s="887">
        <v>14872</v>
      </c>
      <c r="G115" s="1514">
        <v>14220</v>
      </c>
      <c r="H115" s="1514">
        <v>12983</v>
      </c>
      <c r="I115" s="2266">
        <v>13235</v>
      </c>
    </row>
    <row r="116" spans="1:9" x14ac:dyDescent="0.25">
      <c r="A116" s="513" t="s">
        <v>180</v>
      </c>
      <c r="B116" s="603" t="s">
        <v>181</v>
      </c>
      <c r="C116" s="603" t="s">
        <v>264</v>
      </c>
      <c r="D116" s="887">
        <v>33019</v>
      </c>
      <c r="E116" s="887">
        <v>33265</v>
      </c>
      <c r="F116" s="887">
        <v>31667</v>
      </c>
      <c r="G116" s="1514">
        <v>30213</v>
      </c>
      <c r="H116" s="1514">
        <v>28170</v>
      </c>
      <c r="I116" s="2266">
        <v>28343</v>
      </c>
    </row>
    <row r="117" spans="1:9" x14ac:dyDescent="0.25">
      <c r="A117" s="513" t="s">
        <v>192</v>
      </c>
      <c r="B117" s="603" t="s">
        <v>193</v>
      </c>
      <c r="C117" s="603" t="s">
        <v>268</v>
      </c>
      <c r="D117" s="887">
        <v>2684</v>
      </c>
      <c r="E117" s="887">
        <v>2697</v>
      </c>
      <c r="F117" s="887">
        <v>2594</v>
      </c>
      <c r="G117" s="1514">
        <v>2394</v>
      </c>
      <c r="H117" s="1514">
        <v>2137</v>
      </c>
      <c r="I117" s="2266">
        <v>2139</v>
      </c>
    </row>
    <row r="118" spans="1:9" x14ac:dyDescent="0.25">
      <c r="A118" s="513" t="s">
        <v>196</v>
      </c>
      <c r="B118" s="603" t="s">
        <v>197</v>
      </c>
      <c r="C118" s="603" t="s">
        <v>266</v>
      </c>
      <c r="D118" s="887">
        <v>71923</v>
      </c>
      <c r="E118" s="887">
        <v>72134</v>
      </c>
      <c r="F118" s="887">
        <v>68064</v>
      </c>
      <c r="G118" s="1514">
        <v>63789</v>
      </c>
      <c r="H118" s="1514">
        <v>57336</v>
      </c>
      <c r="I118" s="2266">
        <v>56976</v>
      </c>
    </row>
    <row r="119" spans="1:9" x14ac:dyDescent="0.25">
      <c r="A119" s="513" t="s">
        <v>200</v>
      </c>
      <c r="B119" s="603" t="s">
        <v>201</v>
      </c>
      <c r="C119" s="603" t="s">
        <v>265</v>
      </c>
      <c r="D119" s="887">
        <v>33889</v>
      </c>
      <c r="E119" s="887">
        <v>34567</v>
      </c>
      <c r="F119" s="887">
        <v>33376</v>
      </c>
      <c r="G119" s="1514">
        <v>31049</v>
      </c>
      <c r="H119" s="1514">
        <v>26407</v>
      </c>
      <c r="I119" s="2266">
        <v>28466</v>
      </c>
    </row>
    <row r="120" spans="1:9" x14ac:dyDescent="0.25">
      <c r="A120" s="513" t="s">
        <v>222</v>
      </c>
      <c r="B120" s="603" t="s">
        <v>223</v>
      </c>
      <c r="C120" s="603" t="s">
        <v>264</v>
      </c>
      <c r="D120" s="887">
        <v>18013</v>
      </c>
      <c r="E120" s="887">
        <v>18197</v>
      </c>
      <c r="F120" s="887">
        <v>17771</v>
      </c>
      <c r="G120" s="1514">
        <v>16912</v>
      </c>
      <c r="H120" s="1514">
        <v>15414</v>
      </c>
      <c r="I120" s="2266">
        <v>15345</v>
      </c>
    </row>
    <row r="121" spans="1:9" x14ac:dyDescent="0.25">
      <c r="A121" s="513" t="s">
        <v>230</v>
      </c>
      <c r="B121" s="603" t="s">
        <v>231</v>
      </c>
      <c r="C121" s="603" t="s">
        <v>264</v>
      </c>
      <c r="D121" s="887">
        <v>53283</v>
      </c>
      <c r="E121" s="887">
        <v>53639</v>
      </c>
      <c r="F121" s="887">
        <v>53278</v>
      </c>
      <c r="G121" s="1514">
        <v>50170</v>
      </c>
      <c r="H121" s="1514">
        <v>43348</v>
      </c>
      <c r="I121" s="2266">
        <v>42711</v>
      </c>
    </row>
    <row r="122" spans="1:9" x14ac:dyDescent="0.25">
      <c r="A122" s="513" t="s">
        <v>238</v>
      </c>
      <c r="B122" s="603" t="s">
        <v>239</v>
      </c>
      <c r="C122" s="603" t="s">
        <v>264</v>
      </c>
      <c r="D122" s="887">
        <v>1895</v>
      </c>
      <c r="E122" s="887">
        <v>2053</v>
      </c>
      <c r="F122" s="887">
        <v>1914</v>
      </c>
      <c r="G122" s="1514">
        <v>1872</v>
      </c>
      <c r="H122" s="1514">
        <v>1672</v>
      </c>
      <c r="I122" s="2266">
        <v>1812</v>
      </c>
    </row>
    <row r="123" spans="1:9" x14ac:dyDescent="0.25">
      <c r="A123" s="514" t="s">
        <v>240</v>
      </c>
      <c r="B123" s="517" t="s">
        <v>241</v>
      </c>
      <c r="C123" s="517" t="s">
        <v>267</v>
      </c>
      <c r="D123" s="888">
        <v>6984</v>
      </c>
      <c r="E123" s="888">
        <v>6883</v>
      </c>
      <c r="F123" s="888">
        <v>6365</v>
      </c>
      <c r="G123" s="1515">
        <v>5949</v>
      </c>
      <c r="H123" s="1515">
        <v>5295</v>
      </c>
      <c r="I123" s="2267">
        <v>5358</v>
      </c>
    </row>
    <row r="125" spans="1:9" ht="43.5" customHeight="1" x14ac:dyDescent="0.25">
      <c r="A125" s="2737" t="s">
        <v>1409</v>
      </c>
      <c r="B125" s="2737"/>
      <c r="C125" s="2737"/>
      <c r="D125" s="2737"/>
      <c r="E125" s="2737"/>
      <c r="F125" s="2737"/>
      <c r="G125" s="2737"/>
      <c r="H125" s="2737"/>
      <c r="I125" s="2231"/>
    </row>
    <row r="127" spans="1:9" s="389" customFormat="1" x14ac:dyDescent="0.25">
      <c r="A127" s="389" t="s">
        <v>248</v>
      </c>
    </row>
    <row r="128" spans="1:9" s="389" customFormat="1" x14ac:dyDescent="0.25">
      <c r="A128" s="390" t="s">
        <v>249</v>
      </c>
      <c r="B128" s="391" t="s">
        <v>250</v>
      </c>
      <c r="C128" s="391"/>
    </row>
  </sheetData>
  <sortState ref="A4:M123">
    <sortCondition ref="A4:A123"/>
  </sortState>
  <mergeCells count="1">
    <mergeCell ref="A125:H125"/>
  </mergeCells>
  <hyperlinks>
    <hyperlink ref="B128"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pane ySplit="4" topLeftCell="A106" activePane="bottomLeft" state="frozen"/>
      <selection pane="bottomLeft" sqref="A1:XFD1048576"/>
    </sheetView>
  </sheetViews>
  <sheetFormatPr defaultRowHeight="15.75" x14ac:dyDescent="0.25"/>
  <cols>
    <col min="1" max="1" width="5.875" style="505" customWidth="1"/>
    <col min="2" max="2" width="30.25" style="505" customWidth="1"/>
    <col min="3" max="3" width="12.375" style="505" customWidth="1"/>
    <col min="4" max="14" width="10.875" style="505" customWidth="1"/>
    <col min="15" max="15" width="2.5" style="505" customWidth="1"/>
    <col min="16" max="16384" width="9" style="505"/>
  </cols>
  <sheetData>
    <row r="1" spans="1:14" x14ac:dyDescent="0.25">
      <c r="A1" s="255" t="s">
        <v>1067</v>
      </c>
    </row>
    <row r="3" spans="1:14" ht="31.5" x14ac:dyDescent="0.25">
      <c r="A3" s="530" t="s">
        <v>4</v>
      </c>
      <c r="B3" s="511" t="s">
        <v>5</v>
      </c>
      <c r="C3" s="567" t="s">
        <v>251</v>
      </c>
      <c r="D3" s="531" t="s">
        <v>536</v>
      </c>
      <c r="E3" s="531" t="s">
        <v>537</v>
      </c>
      <c r="F3" s="531" t="s">
        <v>538</v>
      </c>
      <c r="G3" s="531" t="s">
        <v>539</v>
      </c>
      <c r="H3" s="531" t="s">
        <v>540</v>
      </c>
      <c r="I3" s="531" t="s">
        <v>541</v>
      </c>
      <c r="J3" s="531" t="s">
        <v>588</v>
      </c>
      <c r="K3" s="506" t="s">
        <v>732</v>
      </c>
      <c r="L3" s="506" t="s">
        <v>814</v>
      </c>
      <c r="M3" s="506" t="s">
        <v>857</v>
      </c>
      <c r="N3" s="506" t="s">
        <v>1068</v>
      </c>
    </row>
    <row r="4" spans="1:14" x14ac:dyDescent="0.25">
      <c r="A4" s="572">
        <v>999</v>
      </c>
      <c r="B4" s="571" t="s">
        <v>9</v>
      </c>
      <c r="C4" s="568"/>
      <c r="D4" s="532">
        <f t="shared" ref="D4:L4" si="0">SUM(D5:D124)</f>
        <v>180378</v>
      </c>
      <c r="E4" s="532">
        <f t="shared" si="0"/>
        <v>179388</v>
      </c>
      <c r="F4" s="532">
        <f t="shared" si="0"/>
        <v>168934</v>
      </c>
      <c r="G4" s="532">
        <f t="shared" si="0"/>
        <v>161280</v>
      </c>
      <c r="H4" s="532">
        <f t="shared" si="0"/>
        <v>177017</v>
      </c>
      <c r="I4" s="532">
        <f t="shared" si="0"/>
        <v>194549</v>
      </c>
      <c r="J4" s="532">
        <f t="shared" si="0"/>
        <v>195553</v>
      </c>
      <c r="K4" s="533">
        <f t="shared" si="0"/>
        <v>185234</v>
      </c>
      <c r="L4" s="533">
        <f t="shared" si="0"/>
        <v>172295</v>
      </c>
      <c r="M4" s="1024">
        <v>154991</v>
      </c>
      <c r="N4" s="1335">
        <v>134462</v>
      </c>
    </row>
    <row r="5" spans="1:14" x14ac:dyDescent="0.25">
      <c r="A5" s="524" t="s">
        <v>10</v>
      </c>
      <c r="B5" s="515" t="s">
        <v>11</v>
      </c>
      <c r="C5" s="569" t="s">
        <v>264</v>
      </c>
      <c r="D5" s="518">
        <v>1056</v>
      </c>
      <c r="E5" s="518">
        <v>1003</v>
      </c>
      <c r="F5" s="518">
        <v>878</v>
      </c>
      <c r="G5" s="518">
        <v>898</v>
      </c>
      <c r="H5" s="518">
        <v>946</v>
      </c>
      <c r="I5" s="518">
        <v>1098</v>
      </c>
      <c r="J5" s="518">
        <v>1096</v>
      </c>
      <c r="K5" s="525">
        <v>1127</v>
      </c>
      <c r="L5" s="527">
        <v>1131</v>
      </c>
      <c r="M5" s="527">
        <v>974</v>
      </c>
      <c r="N5" s="1336">
        <v>810</v>
      </c>
    </row>
    <row r="6" spans="1:14" x14ac:dyDescent="0.25">
      <c r="A6" s="526" t="s">
        <v>12</v>
      </c>
      <c r="B6" s="516" t="s">
        <v>13</v>
      </c>
      <c r="C6" s="570" t="s">
        <v>265</v>
      </c>
      <c r="D6" s="520">
        <v>703</v>
      </c>
      <c r="E6" s="520">
        <v>797</v>
      </c>
      <c r="F6" s="520">
        <v>664</v>
      </c>
      <c r="G6" s="520">
        <v>611</v>
      </c>
      <c r="H6" s="520">
        <v>809</v>
      </c>
      <c r="I6" s="520">
        <v>921</v>
      </c>
      <c r="J6" s="520">
        <v>855</v>
      </c>
      <c r="K6" s="527">
        <v>746</v>
      </c>
      <c r="L6" s="527">
        <v>837</v>
      </c>
      <c r="M6" s="527">
        <v>807</v>
      </c>
      <c r="N6" s="1336">
        <v>707</v>
      </c>
    </row>
    <row r="7" spans="1:14" x14ac:dyDescent="0.25">
      <c r="A7" s="526" t="s">
        <v>16</v>
      </c>
      <c r="B7" s="516" t="s">
        <v>297</v>
      </c>
      <c r="C7" s="570" t="s">
        <v>265</v>
      </c>
      <c r="D7" s="520">
        <v>741</v>
      </c>
      <c r="E7" s="520">
        <v>693</v>
      </c>
      <c r="F7" s="520">
        <v>706</v>
      </c>
      <c r="G7" s="520">
        <v>664</v>
      </c>
      <c r="H7" s="520">
        <v>704</v>
      </c>
      <c r="I7" s="520">
        <v>677</v>
      </c>
      <c r="J7" s="520">
        <v>644</v>
      </c>
      <c r="K7" s="527">
        <v>528</v>
      </c>
      <c r="L7" s="527">
        <v>512</v>
      </c>
      <c r="M7" s="527">
        <v>476</v>
      </c>
      <c r="N7" s="1336">
        <v>439</v>
      </c>
    </row>
    <row r="8" spans="1:14" x14ac:dyDescent="0.25">
      <c r="A8" s="526" t="s">
        <v>18</v>
      </c>
      <c r="B8" s="516" t="s">
        <v>19</v>
      </c>
      <c r="C8" s="570" t="s">
        <v>266</v>
      </c>
      <c r="D8" s="520">
        <v>324</v>
      </c>
      <c r="E8" s="520">
        <v>364</v>
      </c>
      <c r="F8" s="520">
        <v>319</v>
      </c>
      <c r="G8" s="520">
        <v>321</v>
      </c>
      <c r="H8" s="520">
        <v>373</v>
      </c>
      <c r="I8" s="520">
        <v>430</v>
      </c>
      <c r="J8" s="520">
        <v>434</v>
      </c>
      <c r="K8" s="527">
        <v>408</v>
      </c>
      <c r="L8" s="527">
        <v>378</v>
      </c>
      <c r="M8" s="527">
        <v>275</v>
      </c>
      <c r="N8" s="1336">
        <v>205</v>
      </c>
    </row>
    <row r="9" spans="1:14" x14ac:dyDescent="0.25">
      <c r="A9" s="526" t="s">
        <v>20</v>
      </c>
      <c r="B9" s="516" t="s">
        <v>21</v>
      </c>
      <c r="C9" s="570" t="s">
        <v>265</v>
      </c>
      <c r="D9" s="520">
        <v>608</v>
      </c>
      <c r="E9" s="520">
        <v>613</v>
      </c>
      <c r="F9" s="520">
        <v>443</v>
      </c>
      <c r="G9" s="520">
        <v>449</v>
      </c>
      <c r="H9" s="520">
        <v>533</v>
      </c>
      <c r="I9" s="520">
        <v>645</v>
      </c>
      <c r="J9" s="520">
        <v>573</v>
      </c>
      <c r="K9" s="527">
        <v>538</v>
      </c>
      <c r="L9" s="527">
        <v>538</v>
      </c>
      <c r="M9" s="527">
        <v>456</v>
      </c>
      <c r="N9" s="1336">
        <v>407</v>
      </c>
    </row>
    <row r="10" spans="1:14" x14ac:dyDescent="0.25">
      <c r="A10" s="526" t="s">
        <v>22</v>
      </c>
      <c r="B10" s="516" t="s">
        <v>23</v>
      </c>
      <c r="C10" s="570" t="s">
        <v>265</v>
      </c>
      <c r="D10" s="520">
        <v>436</v>
      </c>
      <c r="E10" s="520">
        <v>404</v>
      </c>
      <c r="F10" s="520">
        <v>394</v>
      </c>
      <c r="G10" s="520">
        <v>417</v>
      </c>
      <c r="H10" s="520">
        <v>419</v>
      </c>
      <c r="I10" s="520">
        <v>507</v>
      </c>
      <c r="J10" s="520">
        <v>456</v>
      </c>
      <c r="K10" s="527">
        <v>477</v>
      </c>
      <c r="L10" s="527">
        <v>522</v>
      </c>
      <c r="M10" s="527">
        <v>492</v>
      </c>
      <c r="N10" s="1336">
        <v>395</v>
      </c>
    </row>
    <row r="11" spans="1:14" x14ac:dyDescent="0.25">
      <c r="A11" s="526" t="s">
        <v>24</v>
      </c>
      <c r="B11" s="516" t="s">
        <v>25</v>
      </c>
      <c r="C11" s="570" t="s">
        <v>267</v>
      </c>
      <c r="D11" s="520">
        <v>1469</v>
      </c>
      <c r="E11" s="520">
        <v>1479</v>
      </c>
      <c r="F11" s="520">
        <v>1312</v>
      </c>
      <c r="G11" s="520">
        <v>1233</v>
      </c>
      <c r="H11" s="520">
        <v>1547</v>
      </c>
      <c r="I11" s="520">
        <v>1702</v>
      </c>
      <c r="J11" s="520">
        <v>1633</v>
      </c>
      <c r="K11" s="527">
        <v>1512</v>
      </c>
      <c r="L11" s="527">
        <v>1315</v>
      </c>
      <c r="M11" s="527">
        <v>1107</v>
      </c>
      <c r="N11" s="1336">
        <v>1008</v>
      </c>
    </row>
    <row r="12" spans="1:14" x14ac:dyDescent="0.25">
      <c r="A12" s="526" t="s">
        <v>26</v>
      </c>
      <c r="B12" s="516" t="s">
        <v>685</v>
      </c>
      <c r="C12" s="570" t="s">
        <v>265</v>
      </c>
      <c r="D12" s="520">
        <v>3004</v>
      </c>
      <c r="E12" s="520">
        <v>3221</v>
      </c>
      <c r="F12" s="520">
        <v>3029</v>
      </c>
      <c r="G12" s="520">
        <v>2946</v>
      </c>
      <c r="H12" s="520">
        <v>3320</v>
      </c>
      <c r="I12" s="520">
        <v>3468</v>
      </c>
      <c r="J12" s="520">
        <v>3345</v>
      </c>
      <c r="K12" s="527">
        <v>3125</v>
      </c>
      <c r="L12" s="527">
        <v>2949</v>
      </c>
      <c r="M12" s="527">
        <v>2534</v>
      </c>
      <c r="N12" s="1336">
        <v>1916</v>
      </c>
    </row>
    <row r="13" spans="1:14" x14ac:dyDescent="0.25">
      <c r="A13" s="526" t="s">
        <v>27</v>
      </c>
      <c r="B13" s="516" t="s">
        <v>28</v>
      </c>
      <c r="C13" s="570" t="s">
        <v>265</v>
      </c>
      <c r="D13" s="520">
        <v>31</v>
      </c>
      <c r="E13" s="520">
        <v>33</v>
      </c>
      <c r="F13" s="520">
        <v>24</v>
      </c>
      <c r="G13" s="520">
        <v>41</v>
      </c>
      <c r="H13" s="520">
        <v>28</v>
      </c>
      <c r="I13" s="520">
        <v>47</v>
      </c>
      <c r="J13" s="520">
        <v>40</v>
      </c>
      <c r="K13" s="527">
        <v>42</v>
      </c>
      <c r="L13" s="527">
        <v>24</v>
      </c>
      <c r="M13" s="527">
        <v>24</v>
      </c>
      <c r="N13" s="1336">
        <v>13</v>
      </c>
    </row>
    <row r="14" spans="1:14" x14ac:dyDescent="0.25">
      <c r="A14" s="526" t="s">
        <v>29</v>
      </c>
      <c r="B14" s="516" t="s">
        <v>901</v>
      </c>
      <c r="C14" s="570" t="s">
        <v>265</v>
      </c>
      <c r="D14" s="520">
        <v>1178</v>
      </c>
      <c r="E14" s="520">
        <v>1115</v>
      </c>
      <c r="F14" s="520">
        <v>1092</v>
      </c>
      <c r="G14" s="520">
        <v>953</v>
      </c>
      <c r="H14" s="520">
        <v>1096</v>
      </c>
      <c r="I14" s="520">
        <v>1235</v>
      </c>
      <c r="J14" s="520">
        <v>1269</v>
      </c>
      <c r="K14" s="527">
        <v>1163</v>
      </c>
      <c r="L14" s="527">
        <v>1046</v>
      </c>
      <c r="M14" s="527">
        <v>1080</v>
      </c>
      <c r="N14" s="1336">
        <v>859</v>
      </c>
    </row>
    <row r="15" spans="1:14" x14ac:dyDescent="0.25">
      <c r="A15" s="526" t="s">
        <v>30</v>
      </c>
      <c r="B15" s="603" t="s">
        <v>31</v>
      </c>
      <c r="C15" s="570" t="s">
        <v>268</v>
      </c>
      <c r="D15" s="520">
        <v>131</v>
      </c>
      <c r="E15" s="520">
        <v>147</v>
      </c>
      <c r="F15" s="520">
        <v>127</v>
      </c>
      <c r="G15" s="520">
        <v>110</v>
      </c>
      <c r="H15" s="520">
        <v>115</v>
      </c>
      <c r="I15" s="520">
        <v>86</v>
      </c>
      <c r="J15" s="520">
        <v>120</v>
      </c>
      <c r="K15" s="527">
        <v>103</v>
      </c>
      <c r="L15" s="527">
        <v>85</v>
      </c>
      <c r="M15" s="527">
        <v>78</v>
      </c>
      <c r="N15" s="1336">
        <v>65</v>
      </c>
    </row>
    <row r="16" spans="1:14" x14ac:dyDescent="0.25">
      <c r="A16" s="526" t="s">
        <v>32</v>
      </c>
      <c r="B16" s="516" t="s">
        <v>33</v>
      </c>
      <c r="C16" s="570" t="s">
        <v>265</v>
      </c>
      <c r="D16" s="520">
        <v>198</v>
      </c>
      <c r="E16" s="520">
        <v>200</v>
      </c>
      <c r="F16" s="520">
        <v>155</v>
      </c>
      <c r="G16" s="520">
        <v>158</v>
      </c>
      <c r="H16" s="520">
        <v>175</v>
      </c>
      <c r="I16" s="520">
        <v>219</v>
      </c>
      <c r="J16" s="520">
        <v>223</v>
      </c>
      <c r="K16" s="527">
        <v>238</v>
      </c>
      <c r="L16" s="527">
        <v>212</v>
      </c>
      <c r="M16" s="527">
        <v>175</v>
      </c>
      <c r="N16" s="1336">
        <v>166</v>
      </c>
    </row>
    <row r="17" spans="1:14" x14ac:dyDescent="0.25">
      <c r="A17" s="526" t="s">
        <v>36</v>
      </c>
      <c r="B17" s="516" t="s">
        <v>37</v>
      </c>
      <c r="C17" s="570" t="s">
        <v>264</v>
      </c>
      <c r="D17" s="520">
        <v>680</v>
      </c>
      <c r="E17" s="520">
        <v>752</v>
      </c>
      <c r="F17" s="520">
        <v>712</v>
      </c>
      <c r="G17" s="520">
        <v>598</v>
      </c>
      <c r="H17" s="520">
        <v>597</v>
      </c>
      <c r="I17" s="520">
        <v>646</v>
      </c>
      <c r="J17" s="520">
        <v>609</v>
      </c>
      <c r="K17" s="527">
        <v>595</v>
      </c>
      <c r="L17" s="527">
        <v>545</v>
      </c>
      <c r="M17" s="527">
        <v>501</v>
      </c>
      <c r="N17" s="1336">
        <v>442</v>
      </c>
    </row>
    <row r="18" spans="1:14" x14ac:dyDescent="0.25">
      <c r="A18" s="526" t="s">
        <v>38</v>
      </c>
      <c r="B18" s="516" t="s">
        <v>39</v>
      </c>
      <c r="C18" s="570" t="s">
        <v>268</v>
      </c>
      <c r="D18" s="520">
        <v>1375</v>
      </c>
      <c r="E18" s="520">
        <v>1260</v>
      </c>
      <c r="F18" s="520">
        <v>1119</v>
      </c>
      <c r="G18" s="520">
        <v>1027</v>
      </c>
      <c r="H18" s="520">
        <v>971</v>
      </c>
      <c r="I18" s="520">
        <v>906</v>
      </c>
      <c r="J18" s="520">
        <v>743</v>
      </c>
      <c r="K18" s="527">
        <v>611</v>
      </c>
      <c r="L18" s="527">
        <v>724</v>
      </c>
      <c r="M18" s="527">
        <v>693</v>
      </c>
      <c r="N18" s="1336">
        <v>640</v>
      </c>
    </row>
    <row r="19" spans="1:14" x14ac:dyDescent="0.25">
      <c r="A19" s="526" t="s">
        <v>40</v>
      </c>
      <c r="B19" s="516" t="s">
        <v>41</v>
      </c>
      <c r="C19" s="570" t="s">
        <v>266</v>
      </c>
      <c r="D19" s="520">
        <v>590</v>
      </c>
      <c r="E19" s="520">
        <v>451</v>
      </c>
      <c r="F19" s="520">
        <v>480</v>
      </c>
      <c r="G19" s="520">
        <v>432</v>
      </c>
      <c r="H19" s="520">
        <v>500</v>
      </c>
      <c r="I19" s="520">
        <v>532</v>
      </c>
      <c r="J19" s="520">
        <v>432</v>
      </c>
      <c r="K19" s="527">
        <v>430</v>
      </c>
      <c r="L19" s="527">
        <v>416</v>
      </c>
      <c r="M19" s="527">
        <v>335</v>
      </c>
      <c r="N19" s="1336">
        <v>302</v>
      </c>
    </row>
    <row r="20" spans="1:14" x14ac:dyDescent="0.25">
      <c r="A20" s="526" t="s">
        <v>42</v>
      </c>
      <c r="B20" s="516" t="s">
        <v>43</v>
      </c>
      <c r="C20" s="570" t="s">
        <v>265</v>
      </c>
      <c r="D20" s="520">
        <v>1481</v>
      </c>
      <c r="E20" s="520">
        <v>1340</v>
      </c>
      <c r="F20" s="520">
        <v>1344</v>
      </c>
      <c r="G20" s="520">
        <v>1258</v>
      </c>
      <c r="H20" s="520">
        <v>1366</v>
      </c>
      <c r="I20" s="520">
        <v>1511</v>
      </c>
      <c r="J20" s="520">
        <v>1498</v>
      </c>
      <c r="K20" s="527">
        <v>1562</v>
      </c>
      <c r="L20" s="527">
        <v>1382</v>
      </c>
      <c r="M20" s="527">
        <v>1204</v>
      </c>
      <c r="N20" s="1336">
        <v>1026</v>
      </c>
    </row>
    <row r="21" spans="1:14" x14ac:dyDescent="0.25">
      <c r="A21" s="526" t="s">
        <v>44</v>
      </c>
      <c r="B21" s="516" t="s">
        <v>45</v>
      </c>
      <c r="C21" s="570" t="s">
        <v>266</v>
      </c>
      <c r="D21" s="520">
        <v>686</v>
      </c>
      <c r="E21" s="520">
        <v>640</v>
      </c>
      <c r="F21" s="520">
        <v>613</v>
      </c>
      <c r="G21" s="520">
        <v>634</v>
      </c>
      <c r="H21" s="520">
        <v>915</v>
      </c>
      <c r="I21" s="520">
        <v>1096</v>
      </c>
      <c r="J21" s="520">
        <v>1148</v>
      </c>
      <c r="K21" s="527">
        <v>1048</v>
      </c>
      <c r="L21" s="527">
        <v>959</v>
      </c>
      <c r="M21" s="527">
        <v>850</v>
      </c>
      <c r="N21" s="1336">
        <v>709</v>
      </c>
    </row>
    <row r="22" spans="1:14" x14ac:dyDescent="0.25">
      <c r="A22" s="526" t="s">
        <v>46</v>
      </c>
      <c r="B22" s="516" t="s">
        <v>47</v>
      </c>
      <c r="C22" s="570" t="s">
        <v>268</v>
      </c>
      <c r="D22" s="520">
        <v>802</v>
      </c>
      <c r="E22" s="520">
        <v>707</v>
      </c>
      <c r="F22" s="520">
        <v>662</v>
      </c>
      <c r="G22" s="520">
        <v>617</v>
      </c>
      <c r="H22" s="520">
        <v>702</v>
      </c>
      <c r="I22" s="520">
        <v>746</v>
      </c>
      <c r="J22" s="520">
        <v>675</v>
      </c>
      <c r="K22" s="527">
        <v>704</v>
      </c>
      <c r="L22" s="527">
        <v>585</v>
      </c>
      <c r="M22" s="527">
        <v>502</v>
      </c>
      <c r="N22" s="1336">
        <v>428</v>
      </c>
    </row>
    <row r="23" spans="1:14" x14ac:dyDescent="0.25">
      <c r="A23" s="526" t="s">
        <v>48</v>
      </c>
      <c r="B23" s="516" t="s">
        <v>269</v>
      </c>
      <c r="C23" s="570" t="s">
        <v>266</v>
      </c>
      <c r="D23" s="520">
        <v>118</v>
      </c>
      <c r="E23" s="520">
        <v>108</v>
      </c>
      <c r="F23" s="520">
        <v>113</v>
      </c>
      <c r="G23" s="520">
        <v>135</v>
      </c>
      <c r="H23" s="520">
        <v>118</v>
      </c>
      <c r="I23" s="520">
        <v>99</v>
      </c>
      <c r="J23" s="520">
        <v>145</v>
      </c>
      <c r="K23" s="527">
        <v>125</v>
      </c>
      <c r="L23" s="527">
        <v>96</v>
      </c>
      <c r="M23" s="527">
        <v>69</v>
      </c>
      <c r="N23" s="1336">
        <v>76</v>
      </c>
    </row>
    <row r="24" spans="1:14" x14ac:dyDescent="0.25">
      <c r="A24" s="526" t="s">
        <v>50</v>
      </c>
      <c r="B24" s="516" t="s">
        <v>51</v>
      </c>
      <c r="C24" s="570" t="s">
        <v>265</v>
      </c>
      <c r="D24" s="520">
        <v>452</v>
      </c>
      <c r="E24" s="520">
        <v>491</v>
      </c>
      <c r="F24" s="520">
        <v>405</v>
      </c>
      <c r="G24" s="520">
        <v>310</v>
      </c>
      <c r="H24" s="520">
        <v>422</v>
      </c>
      <c r="I24" s="520">
        <v>472</v>
      </c>
      <c r="J24" s="520">
        <v>452</v>
      </c>
      <c r="K24" s="527">
        <v>508</v>
      </c>
      <c r="L24" s="527">
        <v>504</v>
      </c>
      <c r="M24" s="527">
        <v>424</v>
      </c>
      <c r="N24" s="1336">
        <v>333</v>
      </c>
    </row>
    <row r="25" spans="1:14" x14ac:dyDescent="0.25">
      <c r="A25" s="526" t="s">
        <v>56</v>
      </c>
      <c r="B25" s="516" t="s">
        <v>295</v>
      </c>
      <c r="C25" s="570" t="s">
        <v>266</v>
      </c>
      <c r="D25" s="520">
        <v>4958</v>
      </c>
      <c r="E25" s="520">
        <v>4835</v>
      </c>
      <c r="F25" s="520">
        <v>4528</v>
      </c>
      <c r="G25" s="520">
        <v>4450</v>
      </c>
      <c r="H25" s="520">
        <v>5198</v>
      </c>
      <c r="I25" s="520">
        <v>5833</v>
      </c>
      <c r="J25" s="520">
        <v>6002</v>
      </c>
      <c r="K25" s="527">
        <v>5765</v>
      </c>
      <c r="L25" s="527">
        <v>5269</v>
      </c>
      <c r="M25" s="527">
        <v>4523</v>
      </c>
      <c r="N25" s="1336">
        <v>3656</v>
      </c>
    </row>
    <row r="26" spans="1:14" x14ac:dyDescent="0.25">
      <c r="A26" s="526" t="s">
        <v>58</v>
      </c>
      <c r="B26" s="516" t="s">
        <v>59</v>
      </c>
      <c r="C26" s="570" t="s">
        <v>267</v>
      </c>
      <c r="D26" s="520">
        <v>70</v>
      </c>
      <c r="E26" s="520">
        <v>72</v>
      </c>
      <c r="F26" s="520">
        <v>67</v>
      </c>
      <c r="G26" s="520">
        <v>63</v>
      </c>
      <c r="H26" s="520">
        <v>101</v>
      </c>
      <c r="I26" s="520">
        <v>110</v>
      </c>
      <c r="J26" s="520">
        <v>121</v>
      </c>
      <c r="K26" s="527">
        <v>117</v>
      </c>
      <c r="L26" s="527">
        <v>114</v>
      </c>
      <c r="M26" s="527">
        <v>80</v>
      </c>
      <c r="N26" s="1336">
        <v>48</v>
      </c>
    </row>
    <row r="27" spans="1:14" x14ac:dyDescent="0.25">
      <c r="A27" s="526" t="s">
        <v>60</v>
      </c>
      <c r="B27" s="516" t="s">
        <v>61</v>
      </c>
      <c r="C27" s="570" t="s">
        <v>265</v>
      </c>
      <c r="D27" s="520">
        <v>57</v>
      </c>
      <c r="E27" s="520">
        <v>55</v>
      </c>
      <c r="F27" s="520">
        <v>46</v>
      </c>
      <c r="G27" s="520">
        <v>45</v>
      </c>
      <c r="H27" s="520">
        <v>55</v>
      </c>
      <c r="I27" s="520">
        <v>59</v>
      </c>
      <c r="J27" s="520">
        <v>67</v>
      </c>
      <c r="K27" s="527">
        <v>78</v>
      </c>
      <c r="L27" s="527">
        <v>59</v>
      </c>
      <c r="M27" s="527">
        <v>59</v>
      </c>
      <c r="N27" s="1336">
        <v>66</v>
      </c>
    </row>
    <row r="28" spans="1:14" x14ac:dyDescent="0.25">
      <c r="A28" s="526" t="s">
        <v>62</v>
      </c>
      <c r="B28" s="516" t="s">
        <v>63</v>
      </c>
      <c r="C28" s="570" t="s">
        <v>267</v>
      </c>
      <c r="D28" s="520">
        <v>836</v>
      </c>
      <c r="E28" s="520">
        <v>801</v>
      </c>
      <c r="F28" s="520">
        <v>818</v>
      </c>
      <c r="G28" s="520">
        <v>841</v>
      </c>
      <c r="H28" s="520">
        <v>995</v>
      </c>
      <c r="I28" s="520">
        <v>1105</v>
      </c>
      <c r="J28" s="520">
        <v>1059</v>
      </c>
      <c r="K28" s="527">
        <v>932</v>
      </c>
      <c r="L28" s="527">
        <v>900</v>
      </c>
      <c r="M28" s="527">
        <v>792</v>
      </c>
      <c r="N28" s="1336">
        <v>641</v>
      </c>
    </row>
    <row r="29" spans="1:14" x14ac:dyDescent="0.25">
      <c r="A29" s="526" t="s">
        <v>64</v>
      </c>
      <c r="B29" s="516" t="s">
        <v>65</v>
      </c>
      <c r="C29" s="570" t="s">
        <v>266</v>
      </c>
      <c r="D29" s="520">
        <v>378</v>
      </c>
      <c r="E29" s="520">
        <v>307</v>
      </c>
      <c r="F29" s="520">
        <v>309</v>
      </c>
      <c r="G29" s="520">
        <v>313</v>
      </c>
      <c r="H29" s="520">
        <v>361</v>
      </c>
      <c r="I29" s="520">
        <v>354</v>
      </c>
      <c r="J29" s="520">
        <v>346</v>
      </c>
      <c r="K29" s="527">
        <v>336</v>
      </c>
      <c r="L29" s="527">
        <v>399</v>
      </c>
      <c r="M29" s="527">
        <v>328</v>
      </c>
      <c r="N29" s="1336">
        <v>289</v>
      </c>
    </row>
    <row r="30" spans="1:14" x14ac:dyDescent="0.25">
      <c r="A30" s="526" t="s">
        <v>68</v>
      </c>
      <c r="B30" s="516" t="s">
        <v>69</v>
      </c>
      <c r="C30" s="570" t="s">
        <v>268</v>
      </c>
      <c r="D30" s="520">
        <v>722</v>
      </c>
      <c r="E30" s="520">
        <v>666</v>
      </c>
      <c r="F30" s="520">
        <v>604</v>
      </c>
      <c r="G30" s="520">
        <v>595</v>
      </c>
      <c r="H30" s="520">
        <v>524</v>
      </c>
      <c r="I30" s="520">
        <v>547</v>
      </c>
      <c r="J30" s="520">
        <v>480</v>
      </c>
      <c r="K30" s="527">
        <v>440</v>
      </c>
      <c r="L30" s="527">
        <v>343</v>
      </c>
      <c r="M30" s="527">
        <v>364</v>
      </c>
      <c r="N30" s="1336">
        <v>293</v>
      </c>
    </row>
    <row r="31" spans="1:14" x14ac:dyDescent="0.25">
      <c r="A31" s="526" t="s">
        <v>70</v>
      </c>
      <c r="B31" s="516" t="s">
        <v>71</v>
      </c>
      <c r="C31" s="570" t="s">
        <v>264</v>
      </c>
      <c r="D31" s="520">
        <v>714</v>
      </c>
      <c r="E31" s="520">
        <v>761</v>
      </c>
      <c r="F31" s="520">
        <v>644</v>
      </c>
      <c r="G31" s="520">
        <v>581</v>
      </c>
      <c r="H31" s="520">
        <v>662</v>
      </c>
      <c r="I31" s="520">
        <v>772</v>
      </c>
      <c r="J31" s="520">
        <v>773</v>
      </c>
      <c r="K31" s="527">
        <v>726</v>
      </c>
      <c r="L31" s="527">
        <v>700</v>
      </c>
      <c r="M31" s="527">
        <v>693</v>
      </c>
      <c r="N31" s="1336">
        <v>561</v>
      </c>
    </row>
    <row r="32" spans="1:14" x14ac:dyDescent="0.25">
      <c r="A32" s="526" t="s">
        <v>72</v>
      </c>
      <c r="B32" s="516" t="s">
        <v>73</v>
      </c>
      <c r="C32" s="570" t="s">
        <v>266</v>
      </c>
      <c r="D32" s="520">
        <v>341</v>
      </c>
      <c r="E32" s="520">
        <v>355</v>
      </c>
      <c r="F32" s="520">
        <v>325</v>
      </c>
      <c r="G32" s="520">
        <v>415</v>
      </c>
      <c r="H32" s="520">
        <v>462</v>
      </c>
      <c r="I32" s="520">
        <v>529</v>
      </c>
      <c r="J32" s="520">
        <v>466</v>
      </c>
      <c r="K32" s="527">
        <v>480</v>
      </c>
      <c r="L32" s="527">
        <v>386</v>
      </c>
      <c r="M32" s="527">
        <v>389</v>
      </c>
      <c r="N32" s="1336">
        <v>347</v>
      </c>
    </row>
    <row r="33" spans="1:14" x14ac:dyDescent="0.25">
      <c r="A33" s="526" t="s">
        <v>74</v>
      </c>
      <c r="B33" s="516" t="s">
        <v>296</v>
      </c>
      <c r="C33" s="570" t="s">
        <v>267</v>
      </c>
      <c r="D33" s="520">
        <v>6971</v>
      </c>
      <c r="E33" s="520">
        <v>7215</v>
      </c>
      <c r="F33" s="520">
        <v>7034</v>
      </c>
      <c r="G33" s="520">
        <v>6735</v>
      </c>
      <c r="H33" s="520">
        <v>7821</v>
      </c>
      <c r="I33" s="520">
        <v>8890</v>
      </c>
      <c r="J33" s="520">
        <v>9227</v>
      </c>
      <c r="K33" s="527">
        <v>8653</v>
      </c>
      <c r="L33" s="527">
        <v>8530</v>
      </c>
      <c r="M33" s="527">
        <v>7508</v>
      </c>
      <c r="N33" s="1336">
        <v>6270</v>
      </c>
    </row>
    <row r="34" spans="1:14" x14ac:dyDescent="0.25">
      <c r="A34" s="526" t="s">
        <v>76</v>
      </c>
      <c r="B34" s="516" t="s">
        <v>77</v>
      </c>
      <c r="C34" s="570" t="s">
        <v>267</v>
      </c>
      <c r="D34" s="520">
        <v>567</v>
      </c>
      <c r="E34" s="520">
        <v>550</v>
      </c>
      <c r="F34" s="520">
        <v>560</v>
      </c>
      <c r="G34" s="520">
        <v>577</v>
      </c>
      <c r="H34" s="520">
        <v>681</v>
      </c>
      <c r="I34" s="520">
        <v>684</v>
      </c>
      <c r="J34" s="520">
        <v>646</v>
      </c>
      <c r="K34" s="527">
        <v>631</v>
      </c>
      <c r="L34" s="527">
        <v>517</v>
      </c>
      <c r="M34" s="527">
        <v>449</v>
      </c>
      <c r="N34" s="1336">
        <v>383</v>
      </c>
    </row>
    <row r="35" spans="1:14" x14ac:dyDescent="0.25">
      <c r="A35" s="526" t="s">
        <v>78</v>
      </c>
      <c r="B35" s="516" t="s">
        <v>79</v>
      </c>
      <c r="C35" s="570" t="s">
        <v>268</v>
      </c>
      <c r="D35" s="520">
        <v>227</v>
      </c>
      <c r="E35" s="520">
        <v>286</v>
      </c>
      <c r="F35" s="520">
        <v>230</v>
      </c>
      <c r="G35" s="520">
        <v>212</v>
      </c>
      <c r="H35" s="520">
        <v>247</v>
      </c>
      <c r="I35" s="520">
        <v>280</v>
      </c>
      <c r="J35" s="520">
        <v>317</v>
      </c>
      <c r="K35" s="527">
        <v>336</v>
      </c>
      <c r="L35" s="527">
        <v>329</v>
      </c>
      <c r="M35" s="527">
        <v>254</v>
      </c>
      <c r="N35" s="1336">
        <v>185</v>
      </c>
    </row>
    <row r="36" spans="1:14" x14ac:dyDescent="0.25">
      <c r="A36" s="526" t="s">
        <v>80</v>
      </c>
      <c r="B36" s="516" t="s">
        <v>81</v>
      </c>
      <c r="C36" s="570" t="s">
        <v>266</v>
      </c>
      <c r="D36" s="520">
        <v>154</v>
      </c>
      <c r="E36" s="520">
        <v>142</v>
      </c>
      <c r="F36" s="520">
        <v>122</v>
      </c>
      <c r="G36" s="520">
        <v>131</v>
      </c>
      <c r="H36" s="520">
        <v>146</v>
      </c>
      <c r="I36" s="520">
        <v>168</v>
      </c>
      <c r="J36" s="520">
        <v>239</v>
      </c>
      <c r="K36" s="527">
        <v>286</v>
      </c>
      <c r="L36" s="527">
        <v>261</v>
      </c>
      <c r="M36" s="527">
        <v>204</v>
      </c>
      <c r="N36" s="1336">
        <v>214</v>
      </c>
    </row>
    <row r="37" spans="1:14" x14ac:dyDescent="0.25">
      <c r="A37" s="526" t="s">
        <v>84</v>
      </c>
      <c r="B37" s="516" t="s">
        <v>85</v>
      </c>
      <c r="C37" s="570" t="s">
        <v>265</v>
      </c>
      <c r="D37" s="520">
        <v>1106</v>
      </c>
      <c r="E37" s="520">
        <v>1147</v>
      </c>
      <c r="F37" s="520">
        <v>1015</v>
      </c>
      <c r="G37" s="520">
        <v>1048</v>
      </c>
      <c r="H37" s="520">
        <v>1291</v>
      </c>
      <c r="I37" s="520">
        <v>1302</v>
      </c>
      <c r="J37" s="520">
        <v>1398</v>
      </c>
      <c r="K37" s="527">
        <v>1319</v>
      </c>
      <c r="L37" s="527">
        <v>1158</v>
      </c>
      <c r="M37" s="527">
        <v>1018</v>
      </c>
      <c r="N37" s="1336">
        <v>860</v>
      </c>
    </row>
    <row r="38" spans="1:14" x14ac:dyDescent="0.25">
      <c r="A38" s="526" t="s">
        <v>86</v>
      </c>
      <c r="B38" s="516" t="s">
        <v>87</v>
      </c>
      <c r="C38" s="570" t="s">
        <v>267</v>
      </c>
      <c r="D38" s="520">
        <v>444</v>
      </c>
      <c r="E38" s="520">
        <v>505</v>
      </c>
      <c r="F38" s="520">
        <v>543</v>
      </c>
      <c r="G38" s="520">
        <v>603</v>
      </c>
      <c r="H38" s="520">
        <v>843</v>
      </c>
      <c r="I38" s="520">
        <v>1006</v>
      </c>
      <c r="J38" s="520">
        <v>1133</v>
      </c>
      <c r="K38" s="527">
        <v>1048</v>
      </c>
      <c r="L38" s="527">
        <v>932</v>
      </c>
      <c r="M38" s="527">
        <v>648</v>
      </c>
      <c r="N38" s="1336">
        <v>381</v>
      </c>
    </row>
    <row r="39" spans="1:14" x14ac:dyDescent="0.25">
      <c r="A39" s="526" t="s">
        <v>92</v>
      </c>
      <c r="B39" s="516" t="s">
        <v>93</v>
      </c>
      <c r="C39" s="570" t="s">
        <v>268</v>
      </c>
      <c r="D39" s="520">
        <v>293</v>
      </c>
      <c r="E39" s="520">
        <v>237</v>
      </c>
      <c r="F39" s="520">
        <v>241</v>
      </c>
      <c r="G39" s="520">
        <v>214</v>
      </c>
      <c r="H39" s="520">
        <v>272</v>
      </c>
      <c r="I39" s="520">
        <v>282</v>
      </c>
      <c r="J39" s="520">
        <v>325</v>
      </c>
      <c r="K39" s="527">
        <v>284</v>
      </c>
      <c r="L39" s="527">
        <v>331</v>
      </c>
      <c r="M39" s="527">
        <v>223</v>
      </c>
      <c r="N39" s="1336">
        <v>174</v>
      </c>
    </row>
    <row r="40" spans="1:14" x14ac:dyDescent="0.25">
      <c r="A40" s="526" t="s">
        <v>94</v>
      </c>
      <c r="B40" s="516" t="s">
        <v>95</v>
      </c>
      <c r="C40" s="570" t="s">
        <v>264</v>
      </c>
      <c r="D40" s="520">
        <v>530</v>
      </c>
      <c r="E40" s="520">
        <v>530</v>
      </c>
      <c r="F40" s="520">
        <v>518</v>
      </c>
      <c r="G40" s="520">
        <v>543</v>
      </c>
      <c r="H40" s="520">
        <v>567</v>
      </c>
      <c r="I40" s="520">
        <v>668</v>
      </c>
      <c r="J40" s="520">
        <v>593</v>
      </c>
      <c r="K40" s="527">
        <v>543</v>
      </c>
      <c r="L40" s="527">
        <v>486</v>
      </c>
      <c r="M40" s="527">
        <v>528</v>
      </c>
      <c r="N40" s="1336">
        <v>535</v>
      </c>
    </row>
    <row r="41" spans="1:14" x14ac:dyDescent="0.25">
      <c r="A41" s="526" t="s">
        <v>96</v>
      </c>
      <c r="B41" s="516" t="s">
        <v>97</v>
      </c>
      <c r="C41" s="570" t="s">
        <v>266</v>
      </c>
      <c r="D41" s="520">
        <v>117</v>
      </c>
      <c r="E41" s="520">
        <v>166</v>
      </c>
      <c r="F41" s="520">
        <v>158</v>
      </c>
      <c r="G41" s="520">
        <v>178</v>
      </c>
      <c r="H41" s="520">
        <v>162</v>
      </c>
      <c r="I41" s="520">
        <v>222</v>
      </c>
      <c r="J41" s="520">
        <v>265</v>
      </c>
      <c r="K41" s="527">
        <v>230</v>
      </c>
      <c r="L41" s="527">
        <v>178</v>
      </c>
      <c r="M41" s="527">
        <v>121</v>
      </c>
      <c r="N41" s="1336">
        <v>127</v>
      </c>
    </row>
    <row r="42" spans="1:14" x14ac:dyDescent="0.25">
      <c r="A42" s="526" t="s">
        <v>98</v>
      </c>
      <c r="B42" s="516" t="s">
        <v>99</v>
      </c>
      <c r="C42" s="570" t="s">
        <v>268</v>
      </c>
      <c r="D42" s="520">
        <v>465</v>
      </c>
      <c r="E42" s="520">
        <v>481</v>
      </c>
      <c r="F42" s="520">
        <v>377</v>
      </c>
      <c r="G42" s="520">
        <v>253</v>
      </c>
      <c r="H42" s="520">
        <v>294</v>
      </c>
      <c r="I42" s="520">
        <v>312</v>
      </c>
      <c r="J42" s="520">
        <v>274</v>
      </c>
      <c r="K42" s="527">
        <v>263</v>
      </c>
      <c r="L42" s="527">
        <v>251</v>
      </c>
      <c r="M42" s="527">
        <v>251</v>
      </c>
      <c r="N42" s="1336">
        <v>196</v>
      </c>
    </row>
    <row r="43" spans="1:14" x14ac:dyDescent="0.25">
      <c r="A43" s="526" t="s">
        <v>100</v>
      </c>
      <c r="B43" s="516" t="s">
        <v>101</v>
      </c>
      <c r="C43" s="570" t="s">
        <v>267</v>
      </c>
      <c r="D43" s="520">
        <v>269</v>
      </c>
      <c r="E43" s="520">
        <v>305</v>
      </c>
      <c r="F43" s="520">
        <v>308</v>
      </c>
      <c r="G43" s="520">
        <v>248</v>
      </c>
      <c r="H43" s="520">
        <v>313</v>
      </c>
      <c r="I43" s="520">
        <v>328</v>
      </c>
      <c r="J43" s="520">
        <v>303</v>
      </c>
      <c r="K43" s="527">
        <v>286</v>
      </c>
      <c r="L43" s="527">
        <v>220</v>
      </c>
      <c r="M43" s="527">
        <v>202</v>
      </c>
      <c r="N43" s="1336">
        <v>246</v>
      </c>
    </row>
    <row r="44" spans="1:14" x14ac:dyDescent="0.25">
      <c r="A44" s="526" t="s">
        <v>102</v>
      </c>
      <c r="B44" s="516" t="s">
        <v>282</v>
      </c>
      <c r="C44" s="570" t="s">
        <v>264</v>
      </c>
      <c r="D44" s="520">
        <v>674</v>
      </c>
      <c r="E44" s="520">
        <v>824</v>
      </c>
      <c r="F44" s="520">
        <v>792</v>
      </c>
      <c r="G44" s="520">
        <v>851</v>
      </c>
      <c r="H44" s="520">
        <v>801</v>
      </c>
      <c r="I44" s="520">
        <v>824</v>
      </c>
      <c r="J44" s="520">
        <v>893</v>
      </c>
      <c r="K44" s="527">
        <v>803</v>
      </c>
      <c r="L44" s="527">
        <v>824</v>
      </c>
      <c r="M44" s="527">
        <v>834</v>
      </c>
      <c r="N44" s="1336">
        <v>707</v>
      </c>
    </row>
    <row r="45" spans="1:14" x14ac:dyDescent="0.25">
      <c r="A45" s="526" t="s">
        <v>104</v>
      </c>
      <c r="B45" s="516" t="s">
        <v>105</v>
      </c>
      <c r="C45" s="570" t="s">
        <v>265</v>
      </c>
      <c r="D45" s="520">
        <v>1533</v>
      </c>
      <c r="E45" s="520">
        <v>1532</v>
      </c>
      <c r="F45" s="520">
        <v>1472</v>
      </c>
      <c r="G45" s="520">
        <v>1418</v>
      </c>
      <c r="H45" s="520">
        <v>1374</v>
      </c>
      <c r="I45" s="520">
        <v>1362</v>
      </c>
      <c r="J45" s="520">
        <v>1324</v>
      </c>
      <c r="K45" s="527">
        <v>1150</v>
      </c>
      <c r="L45" s="527">
        <v>1053</v>
      </c>
      <c r="M45" s="527">
        <v>945</v>
      </c>
      <c r="N45" s="1336">
        <v>843</v>
      </c>
    </row>
    <row r="46" spans="1:14" x14ac:dyDescent="0.25">
      <c r="A46" s="526" t="s">
        <v>108</v>
      </c>
      <c r="B46" s="516" t="s">
        <v>109</v>
      </c>
      <c r="C46" s="570" t="s">
        <v>266</v>
      </c>
      <c r="D46" s="520">
        <v>794</v>
      </c>
      <c r="E46" s="520">
        <v>737</v>
      </c>
      <c r="F46" s="520">
        <v>708</v>
      </c>
      <c r="G46" s="520">
        <v>723</v>
      </c>
      <c r="H46" s="520">
        <v>820</v>
      </c>
      <c r="I46" s="520">
        <v>965</v>
      </c>
      <c r="J46" s="520">
        <v>988</v>
      </c>
      <c r="K46" s="527">
        <v>834</v>
      </c>
      <c r="L46" s="527">
        <v>731</v>
      </c>
      <c r="M46" s="527">
        <v>718</v>
      </c>
      <c r="N46" s="1336">
        <v>565</v>
      </c>
    </row>
    <row r="47" spans="1:14" x14ac:dyDescent="0.25">
      <c r="A47" s="526" t="s">
        <v>110</v>
      </c>
      <c r="B47" s="516" t="s">
        <v>111</v>
      </c>
      <c r="C47" s="570" t="s">
        <v>266</v>
      </c>
      <c r="D47" s="520">
        <v>6186</v>
      </c>
      <c r="E47" s="520">
        <v>6388</v>
      </c>
      <c r="F47" s="520">
        <v>6032</v>
      </c>
      <c r="G47" s="520">
        <v>5646</v>
      </c>
      <c r="H47" s="520">
        <v>6393</v>
      </c>
      <c r="I47" s="520">
        <v>7706</v>
      </c>
      <c r="J47" s="520">
        <v>7953</v>
      </c>
      <c r="K47" s="527">
        <v>7735</v>
      </c>
      <c r="L47" s="527">
        <v>6921</v>
      </c>
      <c r="M47" s="527">
        <v>6101</v>
      </c>
      <c r="N47" s="1336">
        <v>5482</v>
      </c>
    </row>
    <row r="48" spans="1:14" x14ac:dyDescent="0.25">
      <c r="A48" s="526" t="s">
        <v>112</v>
      </c>
      <c r="B48" s="516" t="s">
        <v>300</v>
      </c>
      <c r="C48" s="570" t="s">
        <v>265</v>
      </c>
      <c r="D48" s="520">
        <v>2840</v>
      </c>
      <c r="E48" s="520">
        <v>2769</v>
      </c>
      <c r="F48" s="520">
        <v>2605</v>
      </c>
      <c r="G48" s="520">
        <v>2515</v>
      </c>
      <c r="H48" s="520">
        <v>2783</v>
      </c>
      <c r="I48" s="520">
        <v>2992</v>
      </c>
      <c r="J48" s="520">
        <v>2932</v>
      </c>
      <c r="K48" s="527">
        <v>2620</v>
      </c>
      <c r="L48" s="527">
        <v>2347</v>
      </c>
      <c r="M48" s="527">
        <v>2085</v>
      </c>
      <c r="N48" s="1336">
        <v>1969</v>
      </c>
    </row>
    <row r="49" spans="1:14" x14ac:dyDescent="0.25">
      <c r="A49" s="526" t="s">
        <v>114</v>
      </c>
      <c r="B49" s="516" t="s">
        <v>115</v>
      </c>
      <c r="C49" s="570" t="s">
        <v>265</v>
      </c>
      <c r="D49" s="520">
        <v>21</v>
      </c>
      <c r="E49" s="520">
        <v>19</v>
      </c>
      <c r="F49" s="520">
        <v>11</v>
      </c>
      <c r="G49" s="520">
        <v>4</v>
      </c>
      <c r="H49" s="520">
        <v>4</v>
      </c>
      <c r="I49" s="520">
        <v>1</v>
      </c>
      <c r="J49" s="520">
        <v>6</v>
      </c>
      <c r="K49" s="527">
        <v>8</v>
      </c>
      <c r="L49" s="527">
        <v>12</v>
      </c>
      <c r="M49" s="527">
        <v>9</v>
      </c>
      <c r="N49" s="1336">
        <v>10</v>
      </c>
    </row>
    <row r="50" spans="1:14" x14ac:dyDescent="0.25">
      <c r="A50" s="526" t="s">
        <v>118</v>
      </c>
      <c r="B50" s="516" t="s">
        <v>270</v>
      </c>
      <c r="C50" s="570" t="s">
        <v>264</v>
      </c>
      <c r="D50" s="520">
        <v>655</v>
      </c>
      <c r="E50" s="520">
        <v>681</v>
      </c>
      <c r="F50" s="520">
        <v>635</v>
      </c>
      <c r="G50" s="520">
        <v>615</v>
      </c>
      <c r="H50" s="520">
        <v>711</v>
      </c>
      <c r="I50" s="520">
        <v>812</v>
      </c>
      <c r="J50" s="520">
        <v>832</v>
      </c>
      <c r="K50" s="527">
        <v>709</v>
      </c>
      <c r="L50" s="527">
        <v>632</v>
      </c>
      <c r="M50" s="527">
        <v>555</v>
      </c>
      <c r="N50" s="1336">
        <v>464</v>
      </c>
    </row>
    <row r="51" spans="1:14" x14ac:dyDescent="0.25">
      <c r="A51" s="526" t="s">
        <v>120</v>
      </c>
      <c r="B51" s="516" t="s">
        <v>121</v>
      </c>
      <c r="C51" s="570" t="s">
        <v>264</v>
      </c>
      <c r="D51" s="520">
        <v>624</v>
      </c>
      <c r="E51" s="520">
        <v>606</v>
      </c>
      <c r="F51" s="520">
        <v>522</v>
      </c>
      <c r="G51" s="520">
        <v>522</v>
      </c>
      <c r="H51" s="520">
        <v>624</v>
      </c>
      <c r="I51" s="520">
        <v>791</v>
      </c>
      <c r="J51" s="520">
        <v>820</v>
      </c>
      <c r="K51" s="527">
        <v>836</v>
      </c>
      <c r="L51" s="527">
        <v>881</v>
      </c>
      <c r="M51" s="527">
        <v>763</v>
      </c>
      <c r="N51" s="1336">
        <v>700</v>
      </c>
    </row>
    <row r="52" spans="1:14" x14ac:dyDescent="0.25">
      <c r="A52" s="526" t="s">
        <v>122</v>
      </c>
      <c r="B52" s="516" t="s">
        <v>287</v>
      </c>
      <c r="C52" s="570" t="s">
        <v>266</v>
      </c>
      <c r="D52" s="520">
        <v>163</v>
      </c>
      <c r="E52" s="520">
        <v>153</v>
      </c>
      <c r="F52" s="520">
        <v>130</v>
      </c>
      <c r="G52" s="520">
        <v>128</v>
      </c>
      <c r="H52" s="520">
        <v>147</v>
      </c>
      <c r="I52" s="520">
        <v>178</v>
      </c>
      <c r="J52" s="520">
        <v>162</v>
      </c>
      <c r="K52" s="527">
        <v>145</v>
      </c>
      <c r="L52" s="527">
        <v>133</v>
      </c>
      <c r="M52" s="527">
        <v>134</v>
      </c>
      <c r="N52" s="1336">
        <v>180</v>
      </c>
    </row>
    <row r="53" spans="1:14" x14ac:dyDescent="0.25">
      <c r="A53" s="526" t="s">
        <v>124</v>
      </c>
      <c r="B53" s="516" t="s">
        <v>125</v>
      </c>
      <c r="C53" s="570" t="s">
        <v>267</v>
      </c>
      <c r="D53" s="520">
        <v>176</v>
      </c>
      <c r="E53" s="520">
        <v>183</v>
      </c>
      <c r="F53" s="520">
        <v>209</v>
      </c>
      <c r="G53" s="520">
        <v>249</v>
      </c>
      <c r="H53" s="520">
        <v>234</v>
      </c>
      <c r="I53" s="520">
        <v>292</v>
      </c>
      <c r="J53" s="520">
        <v>330</v>
      </c>
      <c r="K53" s="527">
        <v>338</v>
      </c>
      <c r="L53" s="527">
        <v>367</v>
      </c>
      <c r="M53" s="527">
        <v>361</v>
      </c>
      <c r="N53" s="1336">
        <v>258</v>
      </c>
    </row>
    <row r="54" spans="1:14" x14ac:dyDescent="0.25">
      <c r="A54" s="526" t="s">
        <v>126</v>
      </c>
      <c r="B54" s="516" t="s">
        <v>127</v>
      </c>
      <c r="C54" s="570" t="s">
        <v>266</v>
      </c>
      <c r="D54" s="520">
        <v>241</v>
      </c>
      <c r="E54" s="520">
        <v>189</v>
      </c>
      <c r="F54" s="520">
        <v>193</v>
      </c>
      <c r="G54" s="520">
        <v>164</v>
      </c>
      <c r="H54" s="520">
        <v>215</v>
      </c>
      <c r="I54" s="520">
        <v>296</v>
      </c>
      <c r="J54" s="520">
        <v>295</v>
      </c>
      <c r="K54" s="527">
        <v>246</v>
      </c>
      <c r="L54" s="527">
        <v>231</v>
      </c>
      <c r="M54" s="527">
        <v>217</v>
      </c>
      <c r="N54" s="1336">
        <v>167</v>
      </c>
    </row>
    <row r="55" spans="1:14" x14ac:dyDescent="0.25">
      <c r="A55" s="526" t="s">
        <v>128</v>
      </c>
      <c r="B55" s="516" t="s">
        <v>129</v>
      </c>
      <c r="C55" s="570" t="s">
        <v>266</v>
      </c>
      <c r="D55" s="520">
        <v>286</v>
      </c>
      <c r="E55" s="520">
        <v>268</v>
      </c>
      <c r="F55" s="520">
        <v>216</v>
      </c>
      <c r="G55" s="520">
        <v>195</v>
      </c>
      <c r="H55" s="520">
        <v>250</v>
      </c>
      <c r="I55" s="520">
        <v>236</v>
      </c>
      <c r="J55" s="520">
        <v>250</v>
      </c>
      <c r="K55" s="527">
        <v>295</v>
      </c>
      <c r="L55" s="527">
        <v>216</v>
      </c>
      <c r="M55" s="527">
        <v>196</v>
      </c>
      <c r="N55" s="1336">
        <v>177</v>
      </c>
    </row>
    <row r="56" spans="1:14" x14ac:dyDescent="0.25">
      <c r="A56" s="526" t="s">
        <v>130</v>
      </c>
      <c r="B56" s="516" t="s">
        <v>131</v>
      </c>
      <c r="C56" s="570" t="s">
        <v>268</v>
      </c>
      <c r="D56" s="520">
        <v>1634</v>
      </c>
      <c r="E56" s="520">
        <v>1562</v>
      </c>
      <c r="F56" s="520">
        <v>1426</v>
      </c>
      <c r="G56" s="520">
        <v>1267</v>
      </c>
      <c r="H56" s="520">
        <v>1288</v>
      </c>
      <c r="I56" s="520">
        <v>1422</v>
      </c>
      <c r="J56" s="520">
        <v>1426</v>
      </c>
      <c r="K56" s="527">
        <v>1403</v>
      </c>
      <c r="L56" s="527">
        <v>1402</v>
      </c>
      <c r="M56" s="527">
        <v>1262</v>
      </c>
      <c r="N56" s="1336">
        <v>1098</v>
      </c>
    </row>
    <row r="57" spans="1:14" x14ac:dyDescent="0.25">
      <c r="A57" s="526" t="s">
        <v>132</v>
      </c>
      <c r="B57" s="516" t="s">
        <v>133</v>
      </c>
      <c r="C57" s="570" t="s">
        <v>267</v>
      </c>
      <c r="D57" s="520">
        <v>1331</v>
      </c>
      <c r="E57" s="520">
        <v>1415</v>
      </c>
      <c r="F57" s="520">
        <v>1409</v>
      </c>
      <c r="G57" s="520">
        <v>1550</v>
      </c>
      <c r="H57" s="520">
        <v>1690</v>
      </c>
      <c r="I57" s="520">
        <v>1838</v>
      </c>
      <c r="J57" s="520">
        <v>1554</v>
      </c>
      <c r="K57" s="527">
        <v>1523</v>
      </c>
      <c r="L57" s="527">
        <v>1438</v>
      </c>
      <c r="M57" s="527">
        <v>1298</v>
      </c>
      <c r="N57" s="1336">
        <v>1274</v>
      </c>
    </row>
    <row r="58" spans="1:14" x14ac:dyDescent="0.25">
      <c r="A58" s="526" t="s">
        <v>134</v>
      </c>
      <c r="B58" s="516" t="s">
        <v>135</v>
      </c>
      <c r="C58" s="570" t="s">
        <v>267</v>
      </c>
      <c r="D58" s="520">
        <v>558</v>
      </c>
      <c r="E58" s="520">
        <v>568</v>
      </c>
      <c r="F58" s="520">
        <v>558</v>
      </c>
      <c r="G58" s="520">
        <v>503</v>
      </c>
      <c r="H58" s="520">
        <v>578</v>
      </c>
      <c r="I58" s="520">
        <v>621</v>
      </c>
      <c r="J58" s="520">
        <v>651</v>
      </c>
      <c r="K58" s="527">
        <v>567</v>
      </c>
      <c r="L58" s="527">
        <v>603</v>
      </c>
      <c r="M58" s="527">
        <v>539</v>
      </c>
      <c r="N58" s="1336">
        <v>486</v>
      </c>
    </row>
    <row r="59" spans="1:14" x14ac:dyDescent="0.25">
      <c r="A59" s="526" t="s">
        <v>136</v>
      </c>
      <c r="B59" s="516" t="s">
        <v>137</v>
      </c>
      <c r="C59" s="570" t="s">
        <v>266</v>
      </c>
      <c r="D59" s="520">
        <v>225</v>
      </c>
      <c r="E59" s="520">
        <v>210</v>
      </c>
      <c r="F59" s="520">
        <v>187</v>
      </c>
      <c r="G59" s="520">
        <v>216</v>
      </c>
      <c r="H59" s="520">
        <v>229</v>
      </c>
      <c r="I59" s="520">
        <v>285</v>
      </c>
      <c r="J59" s="520">
        <v>349</v>
      </c>
      <c r="K59" s="527">
        <v>412</v>
      </c>
      <c r="L59" s="527">
        <v>336</v>
      </c>
      <c r="M59" s="527">
        <v>326</v>
      </c>
      <c r="N59" s="1336">
        <v>211</v>
      </c>
    </row>
    <row r="60" spans="1:14" x14ac:dyDescent="0.25">
      <c r="A60" s="526" t="s">
        <v>140</v>
      </c>
      <c r="B60" s="516" t="s">
        <v>141</v>
      </c>
      <c r="C60" s="570" t="s">
        <v>267</v>
      </c>
      <c r="D60" s="520">
        <v>182</v>
      </c>
      <c r="E60" s="520">
        <v>154</v>
      </c>
      <c r="F60" s="520">
        <v>187</v>
      </c>
      <c r="G60" s="520">
        <v>161</v>
      </c>
      <c r="H60" s="520">
        <v>197</v>
      </c>
      <c r="I60" s="520">
        <v>199</v>
      </c>
      <c r="J60" s="520">
        <v>173</v>
      </c>
      <c r="K60" s="527">
        <v>152</v>
      </c>
      <c r="L60" s="527">
        <v>143</v>
      </c>
      <c r="M60" s="527">
        <v>135</v>
      </c>
      <c r="N60" s="1336">
        <v>132</v>
      </c>
    </row>
    <row r="61" spans="1:14" x14ac:dyDescent="0.25">
      <c r="A61" s="526" t="s">
        <v>146</v>
      </c>
      <c r="B61" s="516" t="s">
        <v>147</v>
      </c>
      <c r="C61" s="570" t="s">
        <v>264</v>
      </c>
      <c r="D61" s="520">
        <v>118</v>
      </c>
      <c r="E61" s="520">
        <v>108</v>
      </c>
      <c r="F61" s="520">
        <v>110</v>
      </c>
      <c r="G61" s="520">
        <v>83</v>
      </c>
      <c r="H61" s="520">
        <v>107</v>
      </c>
      <c r="I61" s="520">
        <v>115</v>
      </c>
      <c r="J61" s="520">
        <v>121</v>
      </c>
      <c r="K61" s="527">
        <v>113</v>
      </c>
      <c r="L61" s="527">
        <v>123</v>
      </c>
      <c r="M61" s="527">
        <v>92</v>
      </c>
      <c r="N61" s="1336">
        <v>81</v>
      </c>
    </row>
    <row r="62" spans="1:14" x14ac:dyDescent="0.25">
      <c r="A62" s="526" t="s">
        <v>148</v>
      </c>
      <c r="B62" s="516" t="s">
        <v>149</v>
      </c>
      <c r="C62" s="570" t="s">
        <v>265</v>
      </c>
      <c r="D62" s="520">
        <v>932</v>
      </c>
      <c r="E62" s="520">
        <v>969</v>
      </c>
      <c r="F62" s="520">
        <v>862</v>
      </c>
      <c r="G62" s="520">
        <v>862</v>
      </c>
      <c r="H62" s="520">
        <v>930</v>
      </c>
      <c r="I62" s="520">
        <v>1009</v>
      </c>
      <c r="J62" s="520">
        <v>920</v>
      </c>
      <c r="K62" s="527">
        <v>814</v>
      </c>
      <c r="L62" s="527">
        <v>814</v>
      </c>
      <c r="M62" s="527">
        <v>813</v>
      </c>
      <c r="N62" s="1336">
        <v>630</v>
      </c>
    </row>
    <row r="63" spans="1:14" x14ac:dyDescent="0.25">
      <c r="A63" s="526" t="s">
        <v>150</v>
      </c>
      <c r="B63" s="516" t="s">
        <v>151</v>
      </c>
      <c r="C63" s="570" t="s">
        <v>266</v>
      </c>
      <c r="D63" s="520">
        <v>178</v>
      </c>
      <c r="E63" s="520">
        <v>215</v>
      </c>
      <c r="F63" s="520">
        <v>195</v>
      </c>
      <c r="G63" s="520">
        <v>146</v>
      </c>
      <c r="H63" s="520">
        <v>221</v>
      </c>
      <c r="I63" s="520">
        <v>258</v>
      </c>
      <c r="J63" s="520">
        <v>222</v>
      </c>
      <c r="K63" s="527">
        <v>253</v>
      </c>
      <c r="L63" s="527">
        <v>282</v>
      </c>
      <c r="M63" s="527">
        <v>331</v>
      </c>
      <c r="N63" s="1336">
        <v>232</v>
      </c>
    </row>
    <row r="64" spans="1:14" x14ac:dyDescent="0.25">
      <c r="A64" s="526" t="s">
        <v>152</v>
      </c>
      <c r="B64" s="516" t="s">
        <v>153</v>
      </c>
      <c r="C64" s="570" t="s">
        <v>268</v>
      </c>
      <c r="D64" s="520">
        <v>1868</v>
      </c>
      <c r="E64" s="520">
        <v>1987</v>
      </c>
      <c r="F64" s="520">
        <v>1890</v>
      </c>
      <c r="G64" s="520">
        <v>1717</v>
      </c>
      <c r="H64" s="520">
        <v>1897</v>
      </c>
      <c r="I64" s="520">
        <v>2045</v>
      </c>
      <c r="J64" s="520">
        <v>2069</v>
      </c>
      <c r="K64" s="527">
        <v>1851</v>
      </c>
      <c r="L64" s="527">
        <v>1570</v>
      </c>
      <c r="M64" s="527">
        <v>1421</v>
      </c>
      <c r="N64" s="1336">
        <v>1129</v>
      </c>
    </row>
    <row r="65" spans="1:14" x14ac:dyDescent="0.25">
      <c r="A65" s="526" t="s">
        <v>154</v>
      </c>
      <c r="B65" s="516" t="s">
        <v>155</v>
      </c>
      <c r="C65" s="570" t="s">
        <v>265</v>
      </c>
      <c r="D65" s="520">
        <v>173</v>
      </c>
      <c r="E65" s="520">
        <v>182</v>
      </c>
      <c r="F65" s="520">
        <v>225</v>
      </c>
      <c r="G65" s="520">
        <v>172</v>
      </c>
      <c r="H65" s="520">
        <v>214</v>
      </c>
      <c r="I65" s="520">
        <v>229</v>
      </c>
      <c r="J65" s="520">
        <v>212</v>
      </c>
      <c r="K65" s="527">
        <v>241</v>
      </c>
      <c r="L65" s="527">
        <v>217</v>
      </c>
      <c r="M65" s="527">
        <v>189</v>
      </c>
      <c r="N65" s="1336">
        <v>189</v>
      </c>
    </row>
    <row r="66" spans="1:14" x14ac:dyDescent="0.25">
      <c r="A66" s="526" t="s">
        <v>156</v>
      </c>
      <c r="B66" s="516" t="s">
        <v>157</v>
      </c>
      <c r="C66" s="570" t="s">
        <v>266</v>
      </c>
      <c r="D66" s="520">
        <v>219</v>
      </c>
      <c r="E66" s="520">
        <v>197</v>
      </c>
      <c r="F66" s="520">
        <v>159</v>
      </c>
      <c r="G66" s="520">
        <v>166</v>
      </c>
      <c r="H66" s="520">
        <v>197</v>
      </c>
      <c r="I66" s="520">
        <v>198</v>
      </c>
      <c r="J66" s="520">
        <v>238</v>
      </c>
      <c r="K66" s="527">
        <v>266</v>
      </c>
      <c r="L66" s="527">
        <v>219</v>
      </c>
      <c r="M66" s="527">
        <v>196</v>
      </c>
      <c r="N66" s="1336">
        <v>196</v>
      </c>
    </row>
    <row r="67" spans="1:14" x14ac:dyDescent="0.25">
      <c r="A67" s="526" t="s">
        <v>162</v>
      </c>
      <c r="B67" s="516" t="s">
        <v>163</v>
      </c>
      <c r="C67" s="570" t="s">
        <v>264</v>
      </c>
      <c r="D67" s="520">
        <v>587</v>
      </c>
      <c r="E67" s="520">
        <v>621</v>
      </c>
      <c r="F67" s="520">
        <v>596</v>
      </c>
      <c r="G67" s="520">
        <v>557</v>
      </c>
      <c r="H67" s="520">
        <v>560</v>
      </c>
      <c r="I67" s="520">
        <v>561</v>
      </c>
      <c r="J67" s="520">
        <v>615</v>
      </c>
      <c r="K67" s="527">
        <v>552</v>
      </c>
      <c r="L67" s="527">
        <v>491</v>
      </c>
      <c r="M67" s="527">
        <v>428</v>
      </c>
      <c r="N67" s="1336">
        <v>378</v>
      </c>
    </row>
    <row r="68" spans="1:14" x14ac:dyDescent="0.25">
      <c r="A68" s="526" t="s">
        <v>164</v>
      </c>
      <c r="B68" s="516" t="s">
        <v>165</v>
      </c>
      <c r="C68" s="570" t="s">
        <v>266</v>
      </c>
      <c r="D68" s="520">
        <v>199</v>
      </c>
      <c r="E68" s="520">
        <v>187</v>
      </c>
      <c r="F68" s="520">
        <v>186</v>
      </c>
      <c r="G68" s="520">
        <v>174</v>
      </c>
      <c r="H68" s="520">
        <v>147</v>
      </c>
      <c r="I68" s="520">
        <v>144</v>
      </c>
      <c r="J68" s="520">
        <v>168</v>
      </c>
      <c r="K68" s="527">
        <v>168</v>
      </c>
      <c r="L68" s="527">
        <v>194</v>
      </c>
      <c r="M68" s="527">
        <v>182</v>
      </c>
      <c r="N68" s="1336">
        <v>177</v>
      </c>
    </row>
    <row r="69" spans="1:14" x14ac:dyDescent="0.25">
      <c r="A69" s="526" t="s">
        <v>168</v>
      </c>
      <c r="B69" s="516" t="s">
        <v>169</v>
      </c>
      <c r="C69" s="570" t="s">
        <v>266</v>
      </c>
      <c r="D69" s="520">
        <v>572</v>
      </c>
      <c r="E69" s="520">
        <v>683</v>
      </c>
      <c r="F69" s="520">
        <v>754</v>
      </c>
      <c r="G69" s="520">
        <v>692</v>
      </c>
      <c r="H69" s="520">
        <v>686</v>
      </c>
      <c r="I69" s="520">
        <v>652</v>
      </c>
      <c r="J69" s="520">
        <v>719</v>
      </c>
      <c r="K69" s="527">
        <v>730</v>
      </c>
      <c r="L69" s="527">
        <v>737</v>
      </c>
      <c r="M69" s="527">
        <v>653</v>
      </c>
      <c r="N69" s="1336">
        <v>522</v>
      </c>
    </row>
    <row r="70" spans="1:14" x14ac:dyDescent="0.25">
      <c r="A70" s="526" t="s">
        <v>170</v>
      </c>
      <c r="B70" s="516" t="s">
        <v>171</v>
      </c>
      <c r="C70" s="570" t="s">
        <v>267</v>
      </c>
      <c r="D70" s="520">
        <v>475</v>
      </c>
      <c r="E70" s="520">
        <v>447</v>
      </c>
      <c r="F70" s="520">
        <v>404</v>
      </c>
      <c r="G70" s="520">
        <v>421</v>
      </c>
      <c r="H70" s="520">
        <v>434</v>
      </c>
      <c r="I70" s="520">
        <v>463</v>
      </c>
      <c r="J70" s="520">
        <v>466</v>
      </c>
      <c r="K70" s="527">
        <v>433</v>
      </c>
      <c r="L70" s="527">
        <v>393</v>
      </c>
      <c r="M70" s="527">
        <v>408</v>
      </c>
      <c r="N70" s="1336">
        <v>437</v>
      </c>
    </row>
    <row r="71" spans="1:14" x14ac:dyDescent="0.25">
      <c r="A71" s="526" t="s">
        <v>172</v>
      </c>
      <c r="B71" s="516" t="s">
        <v>173</v>
      </c>
      <c r="C71" s="570" t="s">
        <v>267</v>
      </c>
      <c r="D71" s="520">
        <v>384</v>
      </c>
      <c r="E71" s="520">
        <v>396</v>
      </c>
      <c r="F71" s="520">
        <v>326</v>
      </c>
      <c r="G71" s="520">
        <v>289</v>
      </c>
      <c r="H71" s="520">
        <v>428</v>
      </c>
      <c r="I71" s="520">
        <v>555</v>
      </c>
      <c r="J71" s="520">
        <v>522</v>
      </c>
      <c r="K71" s="527">
        <v>443</v>
      </c>
      <c r="L71" s="527">
        <v>385</v>
      </c>
      <c r="M71" s="527">
        <v>323</v>
      </c>
      <c r="N71" s="1336">
        <v>237</v>
      </c>
    </row>
    <row r="72" spans="1:14" x14ac:dyDescent="0.25">
      <c r="A72" s="526" t="s">
        <v>174</v>
      </c>
      <c r="B72" s="516" t="s">
        <v>175</v>
      </c>
      <c r="C72" s="570" t="s">
        <v>268</v>
      </c>
      <c r="D72" s="520">
        <v>749</v>
      </c>
      <c r="E72" s="520">
        <v>780</v>
      </c>
      <c r="F72" s="520">
        <v>731</v>
      </c>
      <c r="G72" s="520">
        <v>664</v>
      </c>
      <c r="H72" s="520">
        <v>653</v>
      </c>
      <c r="I72" s="520">
        <v>614</v>
      </c>
      <c r="J72" s="520">
        <v>623</v>
      </c>
      <c r="K72" s="527">
        <v>664</v>
      </c>
      <c r="L72" s="527">
        <v>539</v>
      </c>
      <c r="M72" s="527">
        <v>508</v>
      </c>
      <c r="N72" s="1336">
        <v>438</v>
      </c>
    </row>
    <row r="73" spans="1:14" x14ac:dyDescent="0.25">
      <c r="A73" s="526" t="s">
        <v>178</v>
      </c>
      <c r="B73" s="516" t="s">
        <v>179</v>
      </c>
      <c r="C73" s="570" t="s">
        <v>265</v>
      </c>
      <c r="D73" s="520">
        <v>1510</v>
      </c>
      <c r="E73" s="520">
        <v>1453</v>
      </c>
      <c r="F73" s="520">
        <v>1360</v>
      </c>
      <c r="G73" s="520">
        <v>1292</v>
      </c>
      <c r="H73" s="520">
        <v>1380</v>
      </c>
      <c r="I73" s="520">
        <v>1418</v>
      </c>
      <c r="J73" s="520">
        <v>1355</v>
      </c>
      <c r="K73" s="527">
        <v>1273</v>
      </c>
      <c r="L73" s="527">
        <v>1191</v>
      </c>
      <c r="M73" s="527">
        <v>1137</v>
      </c>
      <c r="N73" s="1336">
        <v>940</v>
      </c>
    </row>
    <row r="74" spans="1:14" x14ac:dyDescent="0.25">
      <c r="A74" s="526" t="s">
        <v>182</v>
      </c>
      <c r="B74" s="516" t="s">
        <v>183</v>
      </c>
      <c r="C74" s="570" t="s">
        <v>266</v>
      </c>
      <c r="D74" s="520">
        <v>186</v>
      </c>
      <c r="E74" s="520">
        <v>217</v>
      </c>
      <c r="F74" s="520">
        <v>169</v>
      </c>
      <c r="G74" s="520">
        <v>183</v>
      </c>
      <c r="H74" s="520">
        <v>192</v>
      </c>
      <c r="I74" s="520">
        <v>188</v>
      </c>
      <c r="J74" s="520">
        <v>268</v>
      </c>
      <c r="K74" s="527">
        <v>244</v>
      </c>
      <c r="L74" s="527">
        <v>246</v>
      </c>
      <c r="M74" s="527">
        <v>194</v>
      </c>
      <c r="N74" s="1336">
        <v>176</v>
      </c>
    </row>
    <row r="75" spans="1:14" x14ac:dyDescent="0.25">
      <c r="A75" s="526" t="s">
        <v>184</v>
      </c>
      <c r="B75" s="516" t="s">
        <v>185</v>
      </c>
      <c r="C75" s="570" t="s">
        <v>266</v>
      </c>
      <c r="D75" s="520">
        <v>687</v>
      </c>
      <c r="E75" s="520">
        <v>799</v>
      </c>
      <c r="F75" s="520">
        <v>779</v>
      </c>
      <c r="G75" s="520">
        <v>726</v>
      </c>
      <c r="H75" s="520">
        <v>729</v>
      </c>
      <c r="I75" s="520">
        <v>822</v>
      </c>
      <c r="J75" s="520">
        <v>795</v>
      </c>
      <c r="K75" s="527">
        <v>700</v>
      </c>
      <c r="L75" s="527">
        <v>766</v>
      </c>
      <c r="M75" s="527">
        <v>680</v>
      </c>
      <c r="N75" s="1336">
        <v>563</v>
      </c>
    </row>
    <row r="76" spans="1:14" x14ac:dyDescent="0.25">
      <c r="A76" s="526" t="s">
        <v>186</v>
      </c>
      <c r="B76" s="516" t="s">
        <v>187</v>
      </c>
      <c r="C76" s="570" t="s">
        <v>264</v>
      </c>
      <c r="D76" s="520">
        <v>472</v>
      </c>
      <c r="E76" s="520">
        <v>535</v>
      </c>
      <c r="F76" s="520">
        <v>522</v>
      </c>
      <c r="G76" s="520">
        <v>508</v>
      </c>
      <c r="H76" s="520">
        <v>558</v>
      </c>
      <c r="I76" s="520">
        <v>546</v>
      </c>
      <c r="J76" s="520">
        <v>502</v>
      </c>
      <c r="K76" s="527">
        <v>465</v>
      </c>
      <c r="L76" s="527">
        <v>471</v>
      </c>
      <c r="M76" s="527">
        <v>466</v>
      </c>
      <c r="N76" s="1336">
        <v>510</v>
      </c>
    </row>
    <row r="77" spans="1:14" x14ac:dyDescent="0.25">
      <c r="A77" s="526" t="s">
        <v>188</v>
      </c>
      <c r="B77" s="516" t="s">
        <v>189</v>
      </c>
      <c r="C77" s="570" t="s">
        <v>267</v>
      </c>
      <c r="D77" s="520">
        <v>6216</v>
      </c>
      <c r="E77" s="520">
        <v>6226</v>
      </c>
      <c r="F77" s="520">
        <v>5952</v>
      </c>
      <c r="G77" s="520">
        <v>5958</v>
      </c>
      <c r="H77" s="520">
        <v>6900</v>
      </c>
      <c r="I77" s="520">
        <v>7959</v>
      </c>
      <c r="J77" s="520">
        <v>7877</v>
      </c>
      <c r="K77" s="527">
        <v>7093</v>
      </c>
      <c r="L77" s="527">
        <v>6379</v>
      </c>
      <c r="M77" s="527">
        <v>5702</v>
      </c>
      <c r="N77" s="1336">
        <v>4887</v>
      </c>
    </row>
    <row r="78" spans="1:14" x14ac:dyDescent="0.25">
      <c r="A78" s="526" t="s">
        <v>190</v>
      </c>
      <c r="B78" s="516" t="s">
        <v>191</v>
      </c>
      <c r="C78" s="570" t="s">
        <v>268</v>
      </c>
      <c r="D78" s="520">
        <v>1078</v>
      </c>
      <c r="E78" s="520">
        <v>988</v>
      </c>
      <c r="F78" s="520">
        <v>1030</v>
      </c>
      <c r="G78" s="520">
        <v>954</v>
      </c>
      <c r="H78" s="520">
        <v>992</v>
      </c>
      <c r="I78" s="520">
        <v>1043</v>
      </c>
      <c r="J78" s="520">
        <v>1048</v>
      </c>
      <c r="K78" s="527">
        <v>992</v>
      </c>
      <c r="L78" s="527">
        <v>866</v>
      </c>
      <c r="M78" s="527">
        <v>814</v>
      </c>
      <c r="N78" s="1336">
        <v>654</v>
      </c>
    </row>
    <row r="79" spans="1:14" x14ac:dyDescent="0.25">
      <c r="A79" s="526" t="s">
        <v>194</v>
      </c>
      <c r="B79" s="516" t="s">
        <v>195</v>
      </c>
      <c r="C79" s="570" t="s">
        <v>267</v>
      </c>
      <c r="D79" s="520">
        <v>41</v>
      </c>
      <c r="E79" s="520">
        <v>26</v>
      </c>
      <c r="F79" s="520">
        <v>26</v>
      </c>
      <c r="G79" s="520">
        <v>51</v>
      </c>
      <c r="H79" s="520">
        <v>54</v>
      </c>
      <c r="I79" s="520">
        <v>29</v>
      </c>
      <c r="J79" s="520">
        <v>38</v>
      </c>
      <c r="K79" s="527">
        <v>47</v>
      </c>
      <c r="L79" s="527">
        <v>66</v>
      </c>
      <c r="M79" s="527">
        <v>54</v>
      </c>
      <c r="N79" s="1336">
        <v>52</v>
      </c>
    </row>
    <row r="80" spans="1:14" x14ac:dyDescent="0.25">
      <c r="A80" s="526" t="s">
        <v>198</v>
      </c>
      <c r="B80" s="516" t="s">
        <v>272</v>
      </c>
      <c r="C80" s="570" t="s">
        <v>266</v>
      </c>
      <c r="D80" s="520">
        <v>255</v>
      </c>
      <c r="E80" s="520">
        <v>236</v>
      </c>
      <c r="F80" s="520">
        <v>218</v>
      </c>
      <c r="G80" s="520">
        <v>190</v>
      </c>
      <c r="H80" s="520">
        <v>213</v>
      </c>
      <c r="I80" s="520">
        <v>212</v>
      </c>
      <c r="J80" s="520">
        <v>198</v>
      </c>
      <c r="K80" s="527">
        <v>208</v>
      </c>
      <c r="L80" s="527">
        <v>227</v>
      </c>
      <c r="M80" s="527">
        <v>216</v>
      </c>
      <c r="N80" s="1336">
        <v>183</v>
      </c>
    </row>
    <row r="81" spans="1:14" x14ac:dyDescent="0.25">
      <c r="A81" s="526" t="s">
        <v>202</v>
      </c>
      <c r="B81" s="516" t="s">
        <v>301</v>
      </c>
      <c r="C81" s="570" t="s">
        <v>265</v>
      </c>
      <c r="D81" s="520">
        <v>1383</v>
      </c>
      <c r="E81" s="520">
        <v>1386</v>
      </c>
      <c r="F81" s="520">
        <v>1438</v>
      </c>
      <c r="G81" s="520">
        <v>1467</v>
      </c>
      <c r="H81" s="520">
        <v>1623</v>
      </c>
      <c r="I81" s="520">
        <v>1762</v>
      </c>
      <c r="J81" s="520">
        <v>1720</v>
      </c>
      <c r="K81" s="527">
        <v>1527</v>
      </c>
      <c r="L81" s="527">
        <v>1394</v>
      </c>
      <c r="M81" s="527">
        <v>1281</v>
      </c>
      <c r="N81" s="1336">
        <v>1056</v>
      </c>
    </row>
    <row r="82" spans="1:14" x14ac:dyDescent="0.25">
      <c r="A82" s="526" t="s">
        <v>204</v>
      </c>
      <c r="B82" s="516" t="s">
        <v>293</v>
      </c>
      <c r="C82" s="570" t="s">
        <v>265</v>
      </c>
      <c r="D82" s="520">
        <v>470</v>
      </c>
      <c r="E82" s="520">
        <v>430</v>
      </c>
      <c r="F82" s="520">
        <v>383</v>
      </c>
      <c r="G82" s="520">
        <v>330</v>
      </c>
      <c r="H82" s="520">
        <v>434</v>
      </c>
      <c r="I82" s="520">
        <v>443</v>
      </c>
      <c r="J82" s="520">
        <v>529</v>
      </c>
      <c r="K82" s="527">
        <v>420</v>
      </c>
      <c r="L82" s="527">
        <v>381</v>
      </c>
      <c r="M82" s="527">
        <v>396</v>
      </c>
      <c r="N82" s="1336">
        <v>303</v>
      </c>
    </row>
    <row r="83" spans="1:14" x14ac:dyDescent="0.25">
      <c r="A83" s="526" t="s">
        <v>206</v>
      </c>
      <c r="B83" s="516" t="s">
        <v>294</v>
      </c>
      <c r="C83" s="570" t="s">
        <v>267</v>
      </c>
      <c r="D83" s="520">
        <v>1680</v>
      </c>
      <c r="E83" s="520">
        <v>1967</v>
      </c>
      <c r="F83" s="520">
        <v>1842</v>
      </c>
      <c r="G83" s="520">
        <v>1676</v>
      </c>
      <c r="H83" s="520">
        <v>1758</v>
      </c>
      <c r="I83" s="520">
        <v>2208</v>
      </c>
      <c r="J83" s="520">
        <v>2243</v>
      </c>
      <c r="K83" s="527">
        <v>2001</v>
      </c>
      <c r="L83" s="527">
        <v>1886</v>
      </c>
      <c r="M83" s="527">
        <v>1636</v>
      </c>
      <c r="N83" s="1336">
        <v>1332</v>
      </c>
    </row>
    <row r="84" spans="1:14" x14ac:dyDescent="0.25">
      <c r="A84" s="526" t="s">
        <v>208</v>
      </c>
      <c r="B84" s="516" t="s">
        <v>209</v>
      </c>
      <c r="C84" s="570" t="s">
        <v>268</v>
      </c>
      <c r="D84" s="520">
        <v>1511</v>
      </c>
      <c r="E84" s="520">
        <v>1462</v>
      </c>
      <c r="F84" s="520">
        <v>1360</v>
      </c>
      <c r="G84" s="520">
        <v>1245</v>
      </c>
      <c r="H84" s="520">
        <v>1306</v>
      </c>
      <c r="I84" s="520">
        <v>1411</v>
      </c>
      <c r="J84" s="520">
        <v>1293</v>
      </c>
      <c r="K84" s="527">
        <v>1113</v>
      </c>
      <c r="L84" s="527">
        <v>1094</v>
      </c>
      <c r="M84" s="527">
        <v>1050</v>
      </c>
      <c r="N84" s="1336">
        <v>836</v>
      </c>
    </row>
    <row r="85" spans="1:14" x14ac:dyDescent="0.25">
      <c r="A85" s="526" t="s">
        <v>210</v>
      </c>
      <c r="B85" s="516" t="s">
        <v>211</v>
      </c>
      <c r="C85" s="570" t="s">
        <v>268</v>
      </c>
      <c r="D85" s="520">
        <v>1054</v>
      </c>
      <c r="E85" s="520">
        <v>983</v>
      </c>
      <c r="F85" s="520">
        <v>991</v>
      </c>
      <c r="G85" s="520">
        <v>916</v>
      </c>
      <c r="H85" s="520">
        <v>1020</v>
      </c>
      <c r="I85" s="520">
        <v>1100</v>
      </c>
      <c r="J85" s="520">
        <v>1051</v>
      </c>
      <c r="K85" s="527">
        <v>963</v>
      </c>
      <c r="L85" s="527">
        <v>829</v>
      </c>
      <c r="M85" s="527">
        <v>768</v>
      </c>
      <c r="N85" s="1336">
        <v>700</v>
      </c>
    </row>
    <row r="86" spans="1:14" x14ac:dyDescent="0.25">
      <c r="A86" s="526" t="s">
        <v>212</v>
      </c>
      <c r="B86" s="516" t="s">
        <v>213</v>
      </c>
      <c r="C86" s="570" t="s">
        <v>267</v>
      </c>
      <c r="D86" s="520">
        <v>244</v>
      </c>
      <c r="E86" s="520">
        <v>287</v>
      </c>
      <c r="F86" s="520">
        <v>227</v>
      </c>
      <c r="G86" s="520">
        <v>244</v>
      </c>
      <c r="H86" s="520">
        <v>358</v>
      </c>
      <c r="I86" s="520">
        <v>320</v>
      </c>
      <c r="J86" s="520">
        <v>386</v>
      </c>
      <c r="K86" s="527">
        <v>397</v>
      </c>
      <c r="L86" s="527">
        <v>329</v>
      </c>
      <c r="M86" s="527">
        <v>297</v>
      </c>
      <c r="N86" s="1336">
        <v>316</v>
      </c>
    </row>
    <row r="87" spans="1:14" x14ac:dyDescent="0.25">
      <c r="A87" s="526" t="s">
        <v>214</v>
      </c>
      <c r="B87" s="516" t="s">
        <v>215</v>
      </c>
      <c r="C87" s="570" t="s">
        <v>268</v>
      </c>
      <c r="D87" s="520">
        <v>925</v>
      </c>
      <c r="E87" s="520">
        <v>967</v>
      </c>
      <c r="F87" s="520">
        <v>907</v>
      </c>
      <c r="G87" s="520">
        <v>867</v>
      </c>
      <c r="H87" s="520">
        <v>1069</v>
      </c>
      <c r="I87" s="520">
        <v>1173</v>
      </c>
      <c r="J87" s="520">
        <v>1214</v>
      </c>
      <c r="K87" s="527">
        <v>1138</v>
      </c>
      <c r="L87" s="527">
        <v>1054</v>
      </c>
      <c r="M87" s="527">
        <v>976</v>
      </c>
      <c r="N87" s="1336">
        <v>893</v>
      </c>
    </row>
    <row r="88" spans="1:14" x14ac:dyDescent="0.25">
      <c r="A88" s="526" t="s">
        <v>216</v>
      </c>
      <c r="B88" s="516" t="s">
        <v>217</v>
      </c>
      <c r="C88" s="570" t="s">
        <v>264</v>
      </c>
      <c r="D88" s="520">
        <v>598</v>
      </c>
      <c r="E88" s="520">
        <v>637</v>
      </c>
      <c r="F88" s="520">
        <v>632</v>
      </c>
      <c r="G88" s="520">
        <v>654</v>
      </c>
      <c r="H88" s="520">
        <v>663</v>
      </c>
      <c r="I88" s="520">
        <v>663</v>
      </c>
      <c r="J88" s="520">
        <v>699</v>
      </c>
      <c r="K88" s="527">
        <v>676</v>
      </c>
      <c r="L88" s="527">
        <v>565</v>
      </c>
      <c r="M88" s="527">
        <v>463</v>
      </c>
      <c r="N88" s="1336">
        <v>376</v>
      </c>
    </row>
    <row r="89" spans="1:14" x14ac:dyDescent="0.25">
      <c r="A89" s="526" t="s">
        <v>218</v>
      </c>
      <c r="B89" s="516" t="s">
        <v>219</v>
      </c>
      <c r="C89" s="570" t="s">
        <v>267</v>
      </c>
      <c r="D89" s="520">
        <v>1133</v>
      </c>
      <c r="E89" s="520">
        <v>1185</v>
      </c>
      <c r="F89" s="520">
        <v>1321</v>
      </c>
      <c r="G89" s="520">
        <v>1442</v>
      </c>
      <c r="H89" s="520">
        <v>1898</v>
      </c>
      <c r="I89" s="520">
        <v>2280</v>
      </c>
      <c r="J89" s="520">
        <v>2468</v>
      </c>
      <c r="K89" s="527">
        <v>2343</v>
      </c>
      <c r="L89" s="527">
        <v>2149</v>
      </c>
      <c r="M89" s="527">
        <v>2019</v>
      </c>
      <c r="N89" s="1336">
        <v>1948</v>
      </c>
    </row>
    <row r="90" spans="1:14" x14ac:dyDescent="0.25">
      <c r="A90" s="526" t="s">
        <v>220</v>
      </c>
      <c r="B90" s="516" t="s">
        <v>221</v>
      </c>
      <c r="C90" s="570" t="s">
        <v>267</v>
      </c>
      <c r="D90" s="520">
        <v>1124</v>
      </c>
      <c r="E90" s="520">
        <v>1355</v>
      </c>
      <c r="F90" s="520">
        <v>1465</v>
      </c>
      <c r="G90" s="520">
        <v>1623</v>
      </c>
      <c r="H90" s="520">
        <v>1806</v>
      </c>
      <c r="I90" s="520">
        <v>1842</v>
      </c>
      <c r="J90" s="520">
        <v>1799</v>
      </c>
      <c r="K90" s="527">
        <v>1866</v>
      </c>
      <c r="L90" s="527">
        <v>1840</v>
      </c>
      <c r="M90" s="527">
        <v>1580</v>
      </c>
      <c r="N90" s="1336">
        <v>1492</v>
      </c>
    </row>
    <row r="91" spans="1:14" x14ac:dyDescent="0.25">
      <c r="A91" s="526" t="s">
        <v>224</v>
      </c>
      <c r="B91" s="516" t="s">
        <v>225</v>
      </c>
      <c r="C91" s="570" t="s">
        <v>264</v>
      </c>
      <c r="D91" s="520">
        <v>179</v>
      </c>
      <c r="E91" s="520">
        <v>218</v>
      </c>
      <c r="F91" s="520">
        <v>181</v>
      </c>
      <c r="G91" s="520">
        <v>145</v>
      </c>
      <c r="H91" s="520">
        <v>221</v>
      </c>
      <c r="I91" s="520">
        <v>290</v>
      </c>
      <c r="J91" s="520">
        <v>261</v>
      </c>
      <c r="K91" s="527">
        <v>237</v>
      </c>
      <c r="L91" s="527">
        <v>229</v>
      </c>
      <c r="M91" s="527">
        <v>195</v>
      </c>
      <c r="N91" s="1336">
        <v>165</v>
      </c>
    </row>
    <row r="92" spans="1:14" x14ac:dyDescent="0.25">
      <c r="A92" s="526" t="s">
        <v>226</v>
      </c>
      <c r="B92" s="516" t="s">
        <v>227</v>
      </c>
      <c r="C92" s="570" t="s">
        <v>264</v>
      </c>
      <c r="D92" s="520">
        <v>410</v>
      </c>
      <c r="E92" s="520">
        <v>443</v>
      </c>
      <c r="F92" s="520">
        <v>451</v>
      </c>
      <c r="G92" s="520">
        <v>443</v>
      </c>
      <c r="H92" s="520">
        <v>414</v>
      </c>
      <c r="I92" s="520">
        <v>434</v>
      </c>
      <c r="J92" s="520">
        <v>433</v>
      </c>
      <c r="K92" s="527">
        <v>406</v>
      </c>
      <c r="L92" s="527">
        <v>354</v>
      </c>
      <c r="M92" s="527">
        <v>404</v>
      </c>
      <c r="N92" s="1336">
        <v>368</v>
      </c>
    </row>
    <row r="93" spans="1:14" x14ac:dyDescent="0.25">
      <c r="A93" s="526" t="s">
        <v>228</v>
      </c>
      <c r="B93" s="516" t="s">
        <v>229</v>
      </c>
      <c r="C93" s="570" t="s">
        <v>268</v>
      </c>
      <c r="D93" s="520">
        <v>2148</v>
      </c>
      <c r="E93" s="520">
        <v>1963</v>
      </c>
      <c r="F93" s="520">
        <v>1851</v>
      </c>
      <c r="G93" s="520">
        <v>1615</v>
      </c>
      <c r="H93" s="520">
        <v>1584</v>
      </c>
      <c r="I93" s="520">
        <v>1696</v>
      </c>
      <c r="J93" s="520">
        <v>1454</v>
      </c>
      <c r="K93" s="527">
        <v>1398</v>
      </c>
      <c r="L93" s="527">
        <v>1290</v>
      </c>
      <c r="M93" s="527">
        <v>1183</v>
      </c>
      <c r="N93" s="1336">
        <v>990</v>
      </c>
    </row>
    <row r="94" spans="1:14" x14ac:dyDescent="0.25">
      <c r="A94" s="526" t="s">
        <v>232</v>
      </c>
      <c r="B94" s="516" t="s">
        <v>233</v>
      </c>
      <c r="C94" s="570" t="s">
        <v>267</v>
      </c>
      <c r="D94" s="520">
        <v>540</v>
      </c>
      <c r="E94" s="520">
        <v>535</v>
      </c>
      <c r="F94" s="520">
        <v>495</v>
      </c>
      <c r="G94" s="520">
        <v>512</v>
      </c>
      <c r="H94" s="520">
        <v>731</v>
      </c>
      <c r="I94" s="520">
        <v>773</v>
      </c>
      <c r="J94" s="520">
        <v>767</v>
      </c>
      <c r="K94" s="527">
        <v>718</v>
      </c>
      <c r="L94" s="527">
        <v>687</v>
      </c>
      <c r="M94" s="527">
        <v>632</v>
      </c>
      <c r="N94" s="1336">
        <v>529</v>
      </c>
    </row>
    <row r="95" spans="1:14" x14ac:dyDescent="0.25">
      <c r="A95" s="526" t="s">
        <v>234</v>
      </c>
      <c r="B95" s="516" t="s">
        <v>235</v>
      </c>
      <c r="C95" s="570" t="s">
        <v>268</v>
      </c>
      <c r="D95" s="520">
        <v>990</v>
      </c>
      <c r="E95" s="520">
        <v>990</v>
      </c>
      <c r="F95" s="520">
        <v>1042</v>
      </c>
      <c r="G95" s="520">
        <v>945</v>
      </c>
      <c r="H95" s="520">
        <v>1125</v>
      </c>
      <c r="I95" s="520">
        <v>1282</v>
      </c>
      <c r="J95" s="520">
        <v>1188</v>
      </c>
      <c r="K95" s="527">
        <v>1045</v>
      </c>
      <c r="L95" s="527">
        <v>1016</v>
      </c>
      <c r="M95" s="527">
        <v>980</v>
      </c>
      <c r="N95" s="1336">
        <v>882</v>
      </c>
    </row>
    <row r="96" spans="1:14" x14ac:dyDescent="0.25">
      <c r="A96" s="526" t="s">
        <v>236</v>
      </c>
      <c r="B96" s="516" t="s">
        <v>237</v>
      </c>
      <c r="C96" s="570" t="s">
        <v>266</v>
      </c>
      <c r="D96" s="520">
        <v>513</v>
      </c>
      <c r="E96" s="520">
        <v>452</v>
      </c>
      <c r="F96" s="520">
        <v>425</v>
      </c>
      <c r="G96" s="520">
        <v>416</v>
      </c>
      <c r="H96" s="520">
        <v>472</v>
      </c>
      <c r="I96" s="520">
        <v>443</v>
      </c>
      <c r="J96" s="520">
        <v>556</v>
      </c>
      <c r="K96" s="527">
        <v>461</v>
      </c>
      <c r="L96" s="527">
        <v>417</v>
      </c>
      <c r="M96" s="527">
        <v>345</v>
      </c>
      <c r="N96" s="1336">
        <v>384</v>
      </c>
    </row>
    <row r="97" spans="1:14" x14ac:dyDescent="0.25">
      <c r="A97" s="526" t="s">
        <v>242</v>
      </c>
      <c r="B97" s="516" t="s">
        <v>243</v>
      </c>
      <c r="C97" s="570" t="s">
        <v>268</v>
      </c>
      <c r="D97" s="520">
        <v>2566</v>
      </c>
      <c r="E97" s="520">
        <v>2449</v>
      </c>
      <c r="F97" s="520">
        <v>2297</v>
      </c>
      <c r="G97" s="520">
        <v>2245</v>
      </c>
      <c r="H97" s="520">
        <v>2288</v>
      </c>
      <c r="I97" s="520">
        <v>2402</v>
      </c>
      <c r="J97" s="520">
        <v>2138</v>
      </c>
      <c r="K97" s="527">
        <v>2100</v>
      </c>
      <c r="L97" s="527">
        <v>2030</v>
      </c>
      <c r="M97" s="527">
        <v>1815</v>
      </c>
      <c r="N97" s="1336">
        <v>1426</v>
      </c>
    </row>
    <row r="98" spans="1:14" x14ac:dyDescent="0.25">
      <c r="A98" s="526" t="s">
        <v>244</v>
      </c>
      <c r="B98" s="516" t="s">
        <v>245</v>
      </c>
      <c r="C98" s="570" t="s">
        <v>268</v>
      </c>
      <c r="D98" s="520">
        <v>785</v>
      </c>
      <c r="E98" s="520">
        <v>845</v>
      </c>
      <c r="F98" s="520">
        <v>772</v>
      </c>
      <c r="G98" s="520">
        <v>724</v>
      </c>
      <c r="H98" s="520">
        <v>744</v>
      </c>
      <c r="I98" s="520">
        <v>812</v>
      </c>
      <c r="J98" s="520">
        <v>812</v>
      </c>
      <c r="K98" s="527">
        <v>706</v>
      </c>
      <c r="L98" s="527">
        <v>540</v>
      </c>
      <c r="M98" s="527">
        <v>525</v>
      </c>
      <c r="N98" s="1336">
        <v>497</v>
      </c>
    </row>
    <row r="99" spans="1:14" x14ac:dyDescent="0.25">
      <c r="A99" s="602" t="s">
        <v>246</v>
      </c>
      <c r="B99" s="603" t="s">
        <v>247</v>
      </c>
      <c r="C99" s="603" t="s">
        <v>264</v>
      </c>
      <c r="D99" s="604">
        <v>450</v>
      </c>
      <c r="E99" s="604">
        <v>514</v>
      </c>
      <c r="F99" s="604">
        <v>478</v>
      </c>
      <c r="G99" s="604">
        <v>442</v>
      </c>
      <c r="H99" s="604">
        <v>523</v>
      </c>
      <c r="I99" s="604">
        <v>628</v>
      </c>
      <c r="J99" s="604">
        <v>752</v>
      </c>
      <c r="K99" s="527">
        <v>712</v>
      </c>
      <c r="L99" s="527">
        <v>685</v>
      </c>
      <c r="M99" s="527">
        <v>639</v>
      </c>
      <c r="N99" s="1336">
        <v>569</v>
      </c>
    </row>
    <row r="100" spans="1:14" x14ac:dyDescent="0.25">
      <c r="A100" s="526" t="s">
        <v>14</v>
      </c>
      <c r="B100" s="516" t="s">
        <v>15</v>
      </c>
      <c r="C100" s="570" t="s">
        <v>267</v>
      </c>
      <c r="D100" s="520">
        <v>2564</v>
      </c>
      <c r="E100" s="520">
        <v>2274</v>
      </c>
      <c r="F100" s="520">
        <v>2167</v>
      </c>
      <c r="G100" s="520">
        <v>2154</v>
      </c>
      <c r="H100" s="520">
        <v>2332</v>
      </c>
      <c r="I100" s="520">
        <v>2520</v>
      </c>
      <c r="J100" s="520">
        <v>2596</v>
      </c>
      <c r="K100" s="527">
        <v>2346</v>
      </c>
      <c r="L100" s="527">
        <v>2184</v>
      </c>
      <c r="M100" s="527">
        <v>2121</v>
      </c>
      <c r="N100" s="1336">
        <v>2195</v>
      </c>
    </row>
    <row r="101" spans="1:14" x14ac:dyDescent="0.25">
      <c r="A101" s="526" t="s">
        <v>34</v>
      </c>
      <c r="B101" s="516" t="s">
        <v>35</v>
      </c>
      <c r="C101" s="570" t="s">
        <v>268</v>
      </c>
      <c r="D101" s="520">
        <v>1224</v>
      </c>
      <c r="E101" s="520">
        <v>1318</v>
      </c>
      <c r="F101" s="520">
        <v>1301</v>
      </c>
      <c r="G101" s="520">
        <v>1284</v>
      </c>
      <c r="H101" s="520">
        <v>1355</v>
      </c>
      <c r="I101" s="520">
        <v>1401</v>
      </c>
      <c r="J101" s="520">
        <v>1518</v>
      </c>
      <c r="K101" s="527">
        <v>1559</v>
      </c>
      <c r="L101" s="527">
        <v>1475</v>
      </c>
      <c r="M101" s="527">
        <v>1225</v>
      </c>
      <c r="N101" s="1336">
        <v>1018</v>
      </c>
    </row>
    <row r="102" spans="1:14" x14ac:dyDescent="0.25">
      <c r="A102" s="526" t="s">
        <v>52</v>
      </c>
      <c r="B102" s="516" t="s">
        <v>53</v>
      </c>
      <c r="C102" s="570" t="s">
        <v>265</v>
      </c>
      <c r="D102" s="520">
        <v>1699</v>
      </c>
      <c r="E102" s="520">
        <v>1614</v>
      </c>
      <c r="F102" s="520">
        <v>1469</v>
      </c>
      <c r="G102" s="520">
        <v>1451</v>
      </c>
      <c r="H102" s="520">
        <v>1614</v>
      </c>
      <c r="I102" s="520">
        <v>1699</v>
      </c>
      <c r="J102" s="520">
        <v>1691</v>
      </c>
      <c r="K102" s="527">
        <v>1604</v>
      </c>
      <c r="L102" s="527">
        <v>1499</v>
      </c>
      <c r="M102" s="527">
        <v>1329</v>
      </c>
      <c r="N102" s="1336">
        <v>1189</v>
      </c>
    </row>
    <row r="103" spans="1:14" x14ac:dyDescent="0.25">
      <c r="A103" s="526" t="s">
        <v>54</v>
      </c>
      <c r="B103" s="516" t="s">
        <v>55</v>
      </c>
      <c r="C103" s="570" t="s">
        <v>264</v>
      </c>
      <c r="D103" s="520">
        <v>5474</v>
      </c>
      <c r="E103" s="520">
        <v>5520</v>
      </c>
      <c r="F103" s="520">
        <v>4950</v>
      </c>
      <c r="G103" s="520">
        <v>5052</v>
      </c>
      <c r="H103" s="520">
        <v>5636</v>
      </c>
      <c r="I103" s="520">
        <v>6110</v>
      </c>
      <c r="J103" s="520">
        <v>6029</v>
      </c>
      <c r="K103" s="527">
        <v>5484</v>
      </c>
      <c r="L103" s="527">
        <v>5058</v>
      </c>
      <c r="M103" s="527">
        <v>4574</v>
      </c>
      <c r="N103" s="1336">
        <v>4136</v>
      </c>
    </row>
    <row r="104" spans="1:14" x14ac:dyDescent="0.25">
      <c r="A104" s="526" t="s">
        <v>66</v>
      </c>
      <c r="B104" s="516" t="s">
        <v>67</v>
      </c>
      <c r="C104" s="570" t="s">
        <v>265</v>
      </c>
      <c r="D104" s="520">
        <v>3276</v>
      </c>
      <c r="E104" s="520">
        <v>3249</v>
      </c>
      <c r="F104" s="520">
        <v>3126</v>
      </c>
      <c r="G104" s="520">
        <v>2779</v>
      </c>
      <c r="H104" s="520">
        <v>2892</v>
      </c>
      <c r="I104" s="520">
        <v>2912</v>
      </c>
      <c r="J104" s="520">
        <v>2697</v>
      </c>
      <c r="K104" s="527">
        <v>2571</v>
      </c>
      <c r="L104" s="527">
        <v>2499</v>
      </c>
      <c r="M104" s="527">
        <v>2272</v>
      </c>
      <c r="N104" s="1336">
        <v>2086</v>
      </c>
    </row>
    <row r="105" spans="1:14" x14ac:dyDescent="0.25">
      <c r="A105" s="526" t="s">
        <v>82</v>
      </c>
      <c r="B105" s="516" t="s">
        <v>83</v>
      </c>
      <c r="C105" s="570" t="s">
        <v>264</v>
      </c>
      <c r="D105" s="520">
        <v>600</v>
      </c>
      <c r="E105" s="520">
        <v>626</v>
      </c>
      <c r="F105" s="520">
        <v>493</v>
      </c>
      <c r="G105" s="520">
        <v>483</v>
      </c>
      <c r="H105" s="520">
        <v>487</v>
      </c>
      <c r="I105" s="520">
        <v>575</v>
      </c>
      <c r="J105" s="520">
        <v>644</v>
      </c>
      <c r="K105" s="527">
        <v>748</v>
      </c>
      <c r="L105" s="527">
        <v>667</v>
      </c>
      <c r="M105" s="527">
        <v>493</v>
      </c>
      <c r="N105" s="1336">
        <v>413</v>
      </c>
    </row>
    <row r="106" spans="1:14" x14ac:dyDescent="0.25">
      <c r="A106" s="526" t="s">
        <v>88</v>
      </c>
      <c r="B106" s="516" t="s">
        <v>89</v>
      </c>
      <c r="C106" s="570" t="s">
        <v>267</v>
      </c>
      <c r="D106" s="520">
        <v>827</v>
      </c>
      <c r="E106" s="520">
        <v>874</v>
      </c>
      <c r="F106" s="520">
        <v>851</v>
      </c>
      <c r="G106" s="520">
        <v>904</v>
      </c>
      <c r="H106" s="520">
        <v>1105</v>
      </c>
      <c r="I106" s="520">
        <v>1208</v>
      </c>
      <c r="J106" s="520">
        <v>1219</v>
      </c>
      <c r="K106" s="527">
        <v>1162</v>
      </c>
      <c r="L106" s="527">
        <v>1055</v>
      </c>
      <c r="M106" s="527">
        <v>980</v>
      </c>
      <c r="N106" s="1336">
        <v>912</v>
      </c>
    </row>
    <row r="107" spans="1:14" x14ac:dyDescent="0.25">
      <c r="A107" s="526" t="s">
        <v>90</v>
      </c>
      <c r="B107" s="516" t="s">
        <v>91</v>
      </c>
      <c r="C107" s="570" t="s">
        <v>268</v>
      </c>
      <c r="D107" s="520">
        <v>398</v>
      </c>
      <c r="E107" s="520">
        <v>370</v>
      </c>
      <c r="F107" s="520">
        <v>366</v>
      </c>
      <c r="G107" s="520">
        <v>365</v>
      </c>
      <c r="H107" s="520">
        <v>481</v>
      </c>
      <c r="I107" s="520">
        <v>559</v>
      </c>
      <c r="J107" s="520">
        <v>480</v>
      </c>
      <c r="K107" s="527">
        <v>426</v>
      </c>
      <c r="L107" s="527">
        <v>368</v>
      </c>
      <c r="M107" s="527">
        <v>280</v>
      </c>
      <c r="N107" s="1336">
        <v>210</v>
      </c>
    </row>
    <row r="108" spans="1:14" x14ac:dyDescent="0.25">
      <c r="A108" s="526" t="s">
        <v>106</v>
      </c>
      <c r="B108" s="516" t="s">
        <v>107</v>
      </c>
      <c r="C108" s="570" t="s">
        <v>264</v>
      </c>
      <c r="D108" s="520">
        <v>6707</v>
      </c>
      <c r="E108" s="520">
        <v>6416</v>
      </c>
      <c r="F108" s="520">
        <v>5896</v>
      </c>
      <c r="G108" s="520">
        <v>5425</v>
      </c>
      <c r="H108" s="520">
        <v>5890</v>
      </c>
      <c r="I108" s="520">
        <v>6335</v>
      </c>
      <c r="J108" s="520">
        <v>6670</v>
      </c>
      <c r="K108" s="527">
        <v>6619</v>
      </c>
      <c r="L108" s="527">
        <v>6201</v>
      </c>
      <c r="M108" s="527">
        <v>5656</v>
      </c>
      <c r="N108" s="1336">
        <v>4807</v>
      </c>
    </row>
    <row r="109" spans="1:14" x14ac:dyDescent="0.25">
      <c r="A109" s="526" t="s">
        <v>116</v>
      </c>
      <c r="B109" s="516" t="s">
        <v>117</v>
      </c>
      <c r="C109" s="570" t="s">
        <v>266</v>
      </c>
      <c r="D109" s="520">
        <v>1613</v>
      </c>
      <c r="E109" s="520">
        <v>1650</v>
      </c>
      <c r="F109" s="520">
        <v>1472</v>
      </c>
      <c r="G109" s="520">
        <v>1513</v>
      </c>
      <c r="H109" s="520">
        <v>1642</v>
      </c>
      <c r="I109" s="520">
        <v>1726</v>
      </c>
      <c r="J109" s="520">
        <v>1732</v>
      </c>
      <c r="K109" s="527">
        <v>1610</v>
      </c>
      <c r="L109" s="527">
        <v>1604</v>
      </c>
      <c r="M109" s="527">
        <v>1554</v>
      </c>
      <c r="N109" s="1336">
        <v>1468</v>
      </c>
    </row>
    <row r="110" spans="1:14" x14ac:dyDescent="0.25">
      <c r="A110" s="526" t="s">
        <v>138</v>
      </c>
      <c r="B110" s="516" t="s">
        <v>139</v>
      </c>
      <c r="C110" s="570" t="s">
        <v>265</v>
      </c>
      <c r="D110" s="520">
        <v>3009</v>
      </c>
      <c r="E110" s="520">
        <v>2946</v>
      </c>
      <c r="F110" s="520">
        <v>2805</v>
      </c>
      <c r="G110" s="520">
        <v>2632</v>
      </c>
      <c r="H110" s="520">
        <v>2821</v>
      </c>
      <c r="I110" s="520">
        <v>3316</v>
      </c>
      <c r="J110" s="520">
        <v>3361</v>
      </c>
      <c r="K110" s="527">
        <v>3308</v>
      </c>
      <c r="L110" s="527">
        <v>2938</v>
      </c>
      <c r="M110" s="527">
        <v>2628</v>
      </c>
      <c r="N110" s="1336">
        <v>2333</v>
      </c>
    </row>
    <row r="111" spans="1:14" x14ac:dyDescent="0.25">
      <c r="A111" s="526" t="s">
        <v>142</v>
      </c>
      <c r="B111" s="516" t="s">
        <v>143</v>
      </c>
      <c r="C111" s="570" t="s">
        <v>267</v>
      </c>
      <c r="D111" s="520">
        <v>912</v>
      </c>
      <c r="E111" s="520">
        <v>882</v>
      </c>
      <c r="F111" s="520">
        <v>876</v>
      </c>
      <c r="G111" s="520">
        <v>1015</v>
      </c>
      <c r="H111" s="520">
        <v>1120</v>
      </c>
      <c r="I111" s="520">
        <v>1298</v>
      </c>
      <c r="J111" s="520">
        <v>1317</v>
      </c>
      <c r="K111" s="527">
        <v>1176</v>
      </c>
      <c r="L111" s="527">
        <v>921</v>
      </c>
      <c r="M111" s="527">
        <v>911</v>
      </c>
      <c r="N111" s="1336">
        <v>783</v>
      </c>
    </row>
    <row r="112" spans="1:14" x14ac:dyDescent="0.25">
      <c r="A112" s="526" t="s">
        <v>144</v>
      </c>
      <c r="B112" s="516" t="s">
        <v>145</v>
      </c>
      <c r="C112" s="570" t="s">
        <v>267</v>
      </c>
      <c r="D112" s="520">
        <v>270</v>
      </c>
      <c r="E112" s="520">
        <v>337</v>
      </c>
      <c r="F112" s="520">
        <v>312</v>
      </c>
      <c r="G112" s="520">
        <v>334</v>
      </c>
      <c r="H112" s="520">
        <v>336</v>
      </c>
      <c r="I112" s="520">
        <v>337</v>
      </c>
      <c r="J112" s="520">
        <v>250</v>
      </c>
      <c r="K112" s="527">
        <v>274</v>
      </c>
      <c r="L112" s="527">
        <v>250</v>
      </c>
      <c r="M112" s="527">
        <v>238</v>
      </c>
      <c r="N112" s="1336">
        <v>175</v>
      </c>
    </row>
    <row r="113" spans="1:14" x14ac:dyDescent="0.25">
      <c r="A113" s="526" t="s">
        <v>158</v>
      </c>
      <c r="B113" s="516" t="s">
        <v>159</v>
      </c>
      <c r="C113" s="570" t="s">
        <v>264</v>
      </c>
      <c r="D113" s="520">
        <v>8771</v>
      </c>
      <c r="E113" s="520">
        <v>8922</v>
      </c>
      <c r="F113" s="520">
        <v>8257</v>
      </c>
      <c r="G113" s="520">
        <v>7622</v>
      </c>
      <c r="H113" s="520">
        <v>8469</v>
      </c>
      <c r="I113" s="520">
        <v>9376</v>
      </c>
      <c r="J113" s="520">
        <v>9737</v>
      </c>
      <c r="K113" s="527">
        <v>9540</v>
      </c>
      <c r="L113" s="527">
        <v>9135</v>
      </c>
      <c r="M113" s="527">
        <v>8051</v>
      </c>
      <c r="N113" s="1336">
        <v>7164</v>
      </c>
    </row>
    <row r="114" spans="1:14" x14ac:dyDescent="0.25">
      <c r="A114" s="526" t="s">
        <v>160</v>
      </c>
      <c r="B114" s="516" t="s">
        <v>161</v>
      </c>
      <c r="C114" s="570" t="s">
        <v>264</v>
      </c>
      <c r="D114" s="520">
        <v>11826</v>
      </c>
      <c r="E114" s="520">
        <v>11398</v>
      </c>
      <c r="F114" s="520">
        <v>10790</v>
      </c>
      <c r="G114" s="520">
        <v>10129</v>
      </c>
      <c r="H114" s="520">
        <v>10847</v>
      </c>
      <c r="I114" s="520">
        <v>11828</v>
      </c>
      <c r="J114" s="520">
        <v>11996</v>
      </c>
      <c r="K114" s="527">
        <v>11553</v>
      </c>
      <c r="L114" s="527">
        <v>10730</v>
      </c>
      <c r="M114" s="527">
        <v>9675</v>
      </c>
      <c r="N114" s="1336">
        <v>8098</v>
      </c>
    </row>
    <row r="115" spans="1:14" x14ac:dyDescent="0.25">
      <c r="A115" s="526" t="s">
        <v>166</v>
      </c>
      <c r="B115" s="516" t="s">
        <v>167</v>
      </c>
      <c r="C115" s="570" t="s">
        <v>268</v>
      </c>
      <c r="D115" s="520">
        <v>273</v>
      </c>
      <c r="E115" s="520">
        <v>319</v>
      </c>
      <c r="F115" s="520">
        <v>291</v>
      </c>
      <c r="G115" s="520">
        <v>280</v>
      </c>
      <c r="H115" s="520">
        <v>297</v>
      </c>
      <c r="I115" s="520">
        <v>329</v>
      </c>
      <c r="J115" s="520">
        <v>280</v>
      </c>
      <c r="K115" s="527">
        <v>255</v>
      </c>
      <c r="L115" s="527">
        <v>244</v>
      </c>
      <c r="M115" s="527">
        <v>259</v>
      </c>
      <c r="N115" s="1336">
        <v>245</v>
      </c>
    </row>
    <row r="116" spans="1:14" x14ac:dyDescent="0.25">
      <c r="A116" s="526" t="s">
        <v>176</v>
      </c>
      <c r="B116" s="516" t="s">
        <v>177</v>
      </c>
      <c r="C116" s="570" t="s">
        <v>266</v>
      </c>
      <c r="D116" s="520">
        <v>2982</v>
      </c>
      <c r="E116" s="520">
        <v>2896</v>
      </c>
      <c r="F116" s="520">
        <v>2620</v>
      </c>
      <c r="G116" s="520">
        <v>2508</v>
      </c>
      <c r="H116" s="520">
        <v>2744</v>
      </c>
      <c r="I116" s="520">
        <v>3147</v>
      </c>
      <c r="J116" s="520">
        <v>3158</v>
      </c>
      <c r="K116" s="527">
        <v>2741</v>
      </c>
      <c r="L116" s="527">
        <v>2556</v>
      </c>
      <c r="M116" s="527">
        <v>2417</v>
      </c>
      <c r="N116" s="1336">
        <v>2319</v>
      </c>
    </row>
    <row r="117" spans="1:14" x14ac:dyDescent="0.25">
      <c r="A117" s="526" t="s">
        <v>180</v>
      </c>
      <c r="B117" s="516" t="s">
        <v>181</v>
      </c>
      <c r="C117" s="570" t="s">
        <v>264</v>
      </c>
      <c r="D117" s="520">
        <v>6846</v>
      </c>
      <c r="E117" s="520">
        <v>6807</v>
      </c>
      <c r="F117" s="520">
        <v>6503</v>
      </c>
      <c r="G117" s="520">
        <v>5774</v>
      </c>
      <c r="H117" s="520">
        <v>5917</v>
      </c>
      <c r="I117" s="520">
        <v>6307</v>
      </c>
      <c r="J117" s="520">
        <v>6223</v>
      </c>
      <c r="K117" s="527">
        <v>5988</v>
      </c>
      <c r="L117" s="527">
        <v>5595</v>
      </c>
      <c r="M117" s="527">
        <v>5041</v>
      </c>
      <c r="N117" s="1336">
        <v>4571</v>
      </c>
    </row>
    <row r="118" spans="1:14" x14ac:dyDescent="0.25">
      <c r="A118" s="526" t="s">
        <v>192</v>
      </c>
      <c r="B118" s="516" t="s">
        <v>193</v>
      </c>
      <c r="C118" s="570" t="s">
        <v>268</v>
      </c>
      <c r="D118" s="520">
        <v>449</v>
      </c>
      <c r="E118" s="520">
        <v>469</v>
      </c>
      <c r="F118" s="520">
        <v>480</v>
      </c>
      <c r="G118" s="520">
        <v>435</v>
      </c>
      <c r="H118" s="520">
        <v>418</v>
      </c>
      <c r="I118" s="520">
        <v>454</v>
      </c>
      <c r="J118" s="520">
        <v>447</v>
      </c>
      <c r="K118" s="527">
        <v>434</v>
      </c>
      <c r="L118" s="527">
        <v>402</v>
      </c>
      <c r="M118" s="527">
        <v>427</v>
      </c>
      <c r="N118" s="1336">
        <v>322</v>
      </c>
    </row>
    <row r="119" spans="1:14" x14ac:dyDescent="0.25">
      <c r="A119" s="526" t="s">
        <v>196</v>
      </c>
      <c r="B119" s="516" t="s">
        <v>197</v>
      </c>
      <c r="C119" s="570" t="s">
        <v>266</v>
      </c>
      <c r="D119" s="520">
        <v>15835</v>
      </c>
      <c r="E119" s="520">
        <v>15094</v>
      </c>
      <c r="F119" s="520">
        <v>13822</v>
      </c>
      <c r="G119" s="520">
        <v>12850</v>
      </c>
      <c r="H119" s="520">
        <v>12937</v>
      </c>
      <c r="I119" s="520">
        <v>14143</v>
      </c>
      <c r="J119" s="520">
        <v>14534</v>
      </c>
      <c r="K119" s="527">
        <v>13800</v>
      </c>
      <c r="L119" s="527">
        <v>12727</v>
      </c>
      <c r="M119" s="527">
        <v>11361</v>
      </c>
      <c r="N119" s="1336">
        <v>9957</v>
      </c>
    </row>
    <row r="120" spans="1:14" x14ac:dyDescent="0.25">
      <c r="A120" s="526" t="s">
        <v>200</v>
      </c>
      <c r="B120" s="516" t="s">
        <v>201</v>
      </c>
      <c r="C120" s="570" t="s">
        <v>265</v>
      </c>
      <c r="D120" s="520">
        <v>6087</v>
      </c>
      <c r="E120" s="520">
        <v>5921</v>
      </c>
      <c r="F120" s="520">
        <v>5611</v>
      </c>
      <c r="G120" s="520">
        <v>5580</v>
      </c>
      <c r="H120" s="520">
        <v>6098</v>
      </c>
      <c r="I120" s="520">
        <v>6773</v>
      </c>
      <c r="J120" s="520">
        <v>6918</v>
      </c>
      <c r="K120" s="527">
        <v>6804</v>
      </c>
      <c r="L120" s="527">
        <v>6265</v>
      </c>
      <c r="M120" s="527">
        <v>5658</v>
      </c>
      <c r="N120" s="1336">
        <v>4841</v>
      </c>
    </row>
    <row r="121" spans="1:14" x14ac:dyDescent="0.25">
      <c r="A121" s="602" t="s">
        <v>222</v>
      </c>
      <c r="B121" s="603" t="s">
        <v>223</v>
      </c>
      <c r="C121" s="603" t="s">
        <v>264</v>
      </c>
      <c r="D121" s="604">
        <v>2668</v>
      </c>
      <c r="E121" s="604">
        <v>2793</v>
      </c>
      <c r="F121" s="604">
        <v>2567</v>
      </c>
      <c r="G121" s="604">
        <v>2142</v>
      </c>
      <c r="H121" s="604">
        <v>2227</v>
      </c>
      <c r="I121" s="604">
        <v>2401</v>
      </c>
      <c r="J121" s="604">
        <v>2323</v>
      </c>
      <c r="K121" s="527">
        <v>2095</v>
      </c>
      <c r="L121" s="527">
        <v>2090</v>
      </c>
      <c r="M121" s="527">
        <v>2019</v>
      </c>
      <c r="N121" s="1336">
        <v>1765</v>
      </c>
    </row>
    <row r="122" spans="1:14" x14ac:dyDescent="0.25">
      <c r="A122" s="526" t="s">
        <v>230</v>
      </c>
      <c r="B122" s="516" t="s">
        <v>231</v>
      </c>
      <c r="C122" s="570" t="s">
        <v>264</v>
      </c>
      <c r="D122" s="520">
        <v>6267</v>
      </c>
      <c r="E122" s="520">
        <v>6022</v>
      </c>
      <c r="F122" s="520">
        <v>5708</v>
      </c>
      <c r="G122" s="520">
        <v>5498</v>
      </c>
      <c r="H122" s="520">
        <v>5784</v>
      </c>
      <c r="I122" s="520">
        <v>6268</v>
      </c>
      <c r="J122" s="520">
        <v>6378</v>
      </c>
      <c r="K122" s="527">
        <v>6070</v>
      </c>
      <c r="L122" s="527">
        <v>5464</v>
      </c>
      <c r="M122" s="527">
        <v>4838</v>
      </c>
      <c r="N122" s="1336">
        <v>3986</v>
      </c>
    </row>
    <row r="123" spans="1:14" x14ac:dyDescent="0.25">
      <c r="A123" s="526" t="s">
        <v>238</v>
      </c>
      <c r="B123" s="516" t="s">
        <v>239</v>
      </c>
      <c r="C123" s="570" t="s">
        <v>264</v>
      </c>
      <c r="D123" s="520">
        <v>166</v>
      </c>
      <c r="E123" s="520">
        <v>229</v>
      </c>
      <c r="F123" s="520">
        <v>184</v>
      </c>
      <c r="G123" s="520">
        <v>156</v>
      </c>
      <c r="H123" s="520">
        <v>217</v>
      </c>
      <c r="I123" s="520">
        <v>258</v>
      </c>
      <c r="J123" s="520">
        <v>277</v>
      </c>
      <c r="K123" s="527">
        <v>283</v>
      </c>
      <c r="L123" s="527">
        <v>248</v>
      </c>
      <c r="M123" s="527">
        <v>220</v>
      </c>
      <c r="N123" s="1336">
        <v>191</v>
      </c>
    </row>
    <row r="124" spans="1:14" x14ac:dyDescent="0.25">
      <c r="A124" s="528" t="s">
        <v>240</v>
      </c>
      <c r="B124" s="517" t="s">
        <v>241</v>
      </c>
      <c r="C124" s="517" t="s">
        <v>267</v>
      </c>
      <c r="D124" s="522">
        <v>628</v>
      </c>
      <c r="E124" s="522">
        <v>630</v>
      </c>
      <c r="F124" s="522">
        <v>635</v>
      </c>
      <c r="G124" s="522">
        <v>575</v>
      </c>
      <c r="H124" s="522">
        <v>833</v>
      </c>
      <c r="I124" s="522">
        <v>933</v>
      </c>
      <c r="J124" s="522">
        <v>977</v>
      </c>
      <c r="K124" s="529">
        <v>888</v>
      </c>
      <c r="L124" s="529">
        <v>782</v>
      </c>
      <c r="M124" s="529">
        <v>605</v>
      </c>
      <c r="N124" s="1336">
        <v>464</v>
      </c>
    </row>
    <row r="126" spans="1:14" ht="33.75" customHeight="1" x14ac:dyDescent="0.25">
      <c r="A126" s="2737" t="s">
        <v>1065</v>
      </c>
      <c r="B126" s="2737"/>
      <c r="C126" s="2737"/>
      <c r="D126" s="2737"/>
      <c r="E126" s="2737"/>
      <c r="F126" s="2737"/>
      <c r="G126" s="2737"/>
      <c r="H126" s="2737"/>
      <c r="I126" s="2737"/>
      <c r="J126" s="2737"/>
      <c r="K126" s="2737"/>
      <c r="L126" s="2737"/>
      <c r="M126" s="998"/>
      <c r="N126" s="1310"/>
    </row>
    <row r="128" spans="1:14" s="389" customFormat="1" x14ac:dyDescent="0.25">
      <c r="A128" s="389" t="s">
        <v>248</v>
      </c>
    </row>
    <row r="129" spans="1:3" s="389" customFormat="1" x14ac:dyDescent="0.25">
      <c r="A129" s="390" t="s">
        <v>249</v>
      </c>
      <c r="B129" s="391" t="s">
        <v>250</v>
      </c>
      <c r="C129" s="391"/>
    </row>
  </sheetData>
  <autoFilter ref="A3:C3"/>
  <sortState ref="A5:N124">
    <sortCondition ref="A5:A124"/>
  </sortState>
  <mergeCells count="1">
    <mergeCell ref="A126:L126"/>
  </mergeCells>
  <hyperlinks>
    <hyperlink ref="B129" r:id="rId1"/>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128"/>
  <sheetViews>
    <sheetView topLeftCell="A103" workbookViewId="0">
      <selection activeCell="N114" sqref="N114"/>
    </sheetView>
  </sheetViews>
  <sheetFormatPr defaultRowHeight="15.75" x14ac:dyDescent="0.25"/>
  <cols>
    <col min="1" max="1" width="5.875" style="505" customWidth="1"/>
    <col min="2" max="2" width="30.25" style="505" customWidth="1"/>
    <col min="3" max="3" width="12.375" style="505" customWidth="1"/>
    <col min="4" max="9" width="10.875" style="505" customWidth="1"/>
    <col min="10" max="10" width="2.5" style="505" customWidth="1"/>
    <col min="11" max="16384" width="9" style="505"/>
  </cols>
  <sheetData>
    <row r="1" spans="1:9" x14ac:dyDescent="0.25">
      <c r="A1" s="255" t="s">
        <v>1399</v>
      </c>
    </row>
    <row r="3" spans="1:9" x14ac:dyDescent="0.25">
      <c r="A3" s="607" t="s">
        <v>4</v>
      </c>
      <c r="B3" s="567" t="s">
        <v>5</v>
      </c>
      <c r="C3" s="567" t="s">
        <v>251</v>
      </c>
      <c r="D3" s="506">
        <v>2012</v>
      </c>
      <c r="E3" s="506">
        <v>2013</v>
      </c>
      <c r="F3" s="2413">
        <v>2014</v>
      </c>
      <c r="G3" s="2413">
        <v>2015</v>
      </c>
      <c r="H3" s="2413">
        <v>2016</v>
      </c>
      <c r="I3" s="2413">
        <v>2017</v>
      </c>
    </row>
    <row r="4" spans="1:9" x14ac:dyDescent="0.25">
      <c r="A4" s="524" t="s">
        <v>10</v>
      </c>
      <c r="B4" s="569" t="s">
        <v>11</v>
      </c>
      <c r="C4" s="569" t="s">
        <v>264</v>
      </c>
      <c r="D4" s="525">
        <v>886</v>
      </c>
      <c r="E4" s="527">
        <v>789</v>
      </c>
      <c r="F4" s="527">
        <v>658</v>
      </c>
      <c r="G4" s="1516">
        <v>609</v>
      </c>
      <c r="H4" s="1516">
        <v>454</v>
      </c>
      <c r="I4" s="2414">
        <v>472</v>
      </c>
    </row>
    <row r="5" spans="1:9" x14ac:dyDescent="0.25">
      <c r="A5" s="602" t="s">
        <v>12</v>
      </c>
      <c r="B5" s="603" t="s">
        <v>13</v>
      </c>
      <c r="C5" s="603" t="s">
        <v>265</v>
      </c>
      <c r="D5" s="527">
        <v>636</v>
      </c>
      <c r="E5" s="527">
        <v>686</v>
      </c>
      <c r="F5" s="527">
        <v>660</v>
      </c>
      <c r="G5" s="1516">
        <v>618</v>
      </c>
      <c r="H5" s="1516">
        <v>518</v>
      </c>
      <c r="I5" s="2414">
        <v>582</v>
      </c>
    </row>
    <row r="6" spans="1:9" x14ac:dyDescent="0.25">
      <c r="A6" s="602" t="s">
        <v>16</v>
      </c>
      <c r="B6" s="603" t="s">
        <v>297</v>
      </c>
      <c r="C6" s="603" t="s">
        <v>265</v>
      </c>
      <c r="D6" s="527">
        <v>424</v>
      </c>
      <c r="E6" s="527">
        <v>410</v>
      </c>
      <c r="F6" s="527">
        <v>322</v>
      </c>
      <c r="G6" s="1516">
        <v>338</v>
      </c>
      <c r="H6" s="1516">
        <v>322</v>
      </c>
      <c r="I6" s="2414">
        <v>307</v>
      </c>
    </row>
    <row r="7" spans="1:9" x14ac:dyDescent="0.25">
      <c r="A7" s="602" t="s">
        <v>18</v>
      </c>
      <c r="B7" s="603" t="s">
        <v>19</v>
      </c>
      <c r="C7" s="603" t="s">
        <v>266</v>
      </c>
      <c r="D7" s="527">
        <v>330</v>
      </c>
      <c r="E7" s="527">
        <v>265</v>
      </c>
      <c r="F7" s="527">
        <v>193</v>
      </c>
      <c r="G7" s="1516">
        <v>129</v>
      </c>
      <c r="H7" s="1516">
        <v>93</v>
      </c>
      <c r="I7" s="2414">
        <v>98</v>
      </c>
    </row>
    <row r="8" spans="1:9" x14ac:dyDescent="0.25">
      <c r="A8" s="602" t="s">
        <v>20</v>
      </c>
      <c r="B8" s="603" t="s">
        <v>21</v>
      </c>
      <c r="C8" s="603" t="s">
        <v>265</v>
      </c>
      <c r="D8" s="527">
        <v>457</v>
      </c>
      <c r="E8" s="527">
        <v>405</v>
      </c>
      <c r="F8" s="527">
        <v>344</v>
      </c>
      <c r="G8" s="1516">
        <v>347</v>
      </c>
      <c r="H8" s="1516">
        <v>312</v>
      </c>
      <c r="I8" s="2414">
        <v>336</v>
      </c>
    </row>
    <row r="9" spans="1:9" x14ac:dyDescent="0.25">
      <c r="A9" s="602" t="s">
        <v>22</v>
      </c>
      <c r="B9" s="603" t="s">
        <v>23</v>
      </c>
      <c r="C9" s="603" t="s">
        <v>265</v>
      </c>
      <c r="D9" s="527">
        <v>423</v>
      </c>
      <c r="E9" s="527">
        <v>483</v>
      </c>
      <c r="F9" s="527">
        <v>358</v>
      </c>
      <c r="G9" s="1516">
        <v>263</v>
      </c>
      <c r="H9" s="1516">
        <v>237</v>
      </c>
      <c r="I9" s="2414">
        <v>217</v>
      </c>
    </row>
    <row r="10" spans="1:9" x14ac:dyDescent="0.25">
      <c r="A10" s="602" t="s">
        <v>24</v>
      </c>
      <c r="B10" s="603" t="s">
        <v>25</v>
      </c>
      <c r="C10" s="603" t="s">
        <v>267</v>
      </c>
      <c r="D10" s="527">
        <v>1030</v>
      </c>
      <c r="E10" s="527">
        <v>916</v>
      </c>
      <c r="F10" s="527">
        <v>821</v>
      </c>
      <c r="G10" s="1516">
        <v>793</v>
      </c>
      <c r="H10" s="1516">
        <v>627</v>
      </c>
      <c r="I10" s="2414">
        <v>717</v>
      </c>
    </row>
    <row r="11" spans="1:9" x14ac:dyDescent="0.25">
      <c r="A11" s="602" t="s">
        <v>26</v>
      </c>
      <c r="B11" s="603" t="s">
        <v>685</v>
      </c>
      <c r="C11" s="603" t="s">
        <v>265</v>
      </c>
      <c r="D11" s="527">
        <v>2393</v>
      </c>
      <c r="E11" s="527">
        <v>2204</v>
      </c>
      <c r="F11" s="527">
        <v>1675</v>
      </c>
      <c r="G11" s="1516">
        <v>1535</v>
      </c>
      <c r="H11" s="1516">
        <v>1326</v>
      </c>
      <c r="I11" s="2414">
        <v>1628</v>
      </c>
    </row>
    <row r="12" spans="1:9" x14ac:dyDescent="0.25">
      <c r="A12" s="602" t="s">
        <v>27</v>
      </c>
      <c r="B12" s="603" t="s">
        <v>28</v>
      </c>
      <c r="C12" s="603" t="s">
        <v>265</v>
      </c>
      <c r="D12" s="527">
        <v>33</v>
      </c>
      <c r="E12" s="527">
        <v>14</v>
      </c>
      <c r="F12" s="527">
        <v>13</v>
      </c>
      <c r="G12" s="1516">
        <v>9</v>
      </c>
      <c r="H12" s="1516">
        <v>15</v>
      </c>
      <c r="I12" s="2414">
        <v>19</v>
      </c>
    </row>
    <row r="13" spans="1:9" x14ac:dyDescent="0.25">
      <c r="A13" s="602" t="s">
        <v>29</v>
      </c>
      <c r="B13" s="603" t="s">
        <v>901</v>
      </c>
      <c r="C13" s="603" t="s">
        <v>265</v>
      </c>
      <c r="D13" s="527">
        <v>975</v>
      </c>
      <c r="E13" s="527">
        <v>989</v>
      </c>
      <c r="F13" s="527">
        <v>774</v>
      </c>
      <c r="G13" s="1516">
        <v>679</v>
      </c>
      <c r="H13" s="1516">
        <v>550</v>
      </c>
      <c r="I13" s="2414">
        <v>487</v>
      </c>
    </row>
    <row r="14" spans="1:9" x14ac:dyDescent="0.25">
      <c r="A14" s="602" t="s">
        <v>30</v>
      </c>
      <c r="B14" s="603" t="s">
        <v>31</v>
      </c>
      <c r="C14" s="603" t="s">
        <v>268</v>
      </c>
      <c r="D14" s="527">
        <v>72</v>
      </c>
      <c r="E14" s="527">
        <v>78</v>
      </c>
      <c r="F14" s="527">
        <v>59</v>
      </c>
      <c r="G14" s="1516">
        <v>58</v>
      </c>
      <c r="H14" s="1516">
        <v>60</v>
      </c>
      <c r="I14" s="2414">
        <v>70</v>
      </c>
    </row>
    <row r="15" spans="1:9" x14ac:dyDescent="0.25">
      <c r="A15" s="602" t="s">
        <v>32</v>
      </c>
      <c r="B15" s="603" t="s">
        <v>33</v>
      </c>
      <c r="C15" s="603" t="s">
        <v>265</v>
      </c>
      <c r="D15" s="527">
        <v>167</v>
      </c>
      <c r="E15" s="527">
        <v>174</v>
      </c>
      <c r="F15" s="527">
        <v>131</v>
      </c>
      <c r="G15" s="1516">
        <v>141</v>
      </c>
      <c r="H15" s="1516">
        <v>122</v>
      </c>
      <c r="I15" s="2414">
        <v>136</v>
      </c>
    </row>
    <row r="16" spans="1:9" x14ac:dyDescent="0.25">
      <c r="A16" s="602" t="s">
        <v>36</v>
      </c>
      <c r="B16" s="603" t="s">
        <v>37</v>
      </c>
      <c r="C16" s="603" t="s">
        <v>264</v>
      </c>
      <c r="D16" s="527">
        <v>497</v>
      </c>
      <c r="E16" s="527">
        <v>433</v>
      </c>
      <c r="F16" s="527">
        <v>372</v>
      </c>
      <c r="G16" s="1516">
        <v>336</v>
      </c>
      <c r="H16" s="1516">
        <v>250</v>
      </c>
      <c r="I16" s="2414">
        <v>267</v>
      </c>
    </row>
    <row r="17" spans="1:9" x14ac:dyDescent="0.25">
      <c r="A17" s="602" t="s">
        <v>38</v>
      </c>
      <c r="B17" s="603" t="s">
        <v>39</v>
      </c>
      <c r="C17" s="603" t="s">
        <v>268</v>
      </c>
      <c r="D17" s="527">
        <v>478</v>
      </c>
      <c r="E17" s="527">
        <v>531</v>
      </c>
      <c r="F17" s="527">
        <v>499</v>
      </c>
      <c r="G17" s="1516">
        <v>421</v>
      </c>
      <c r="H17" s="1516">
        <v>338</v>
      </c>
      <c r="I17" s="2414">
        <v>335</v>
      </c>
    </row>
    <row r="18" spans="1:9" x14ac:dyDescent="0.25">
      <c r="A18" s="602" t="s">
        <v>40</v>
      </c>
      <c r="B18" s="603" t="s">
        <v>41</v>
      </c>
      <c r="C18" s="603" t="s">
        <v>266</v>
      </c>
      <c r="D18" s="527">
        <v>332</v>
      </c>
      <c r="E18" s="527">
        <v>306</v>
      </c>
      <c r="F18" s="527">
        <v>222</v>
      </c>
      <c r="G18" s="1516">
        <v>239</v>
      </c>
      <c r="H18" s="1516">
        <v>191</v>
      </c>
      <c r="I18" s="2414">
        <v>198</v>
      </c>
    </row>
    <row r="19" spans="1:9" x14ac:dyDescent="0.25">
      <c r="A19" s="602" t="s">
        <v>42</v>
      </c>
      <c r="B19" s="603" t="s">
        <v>43</v>
      </c>
      <c r="C19" s="603" t="s">
        <v>265</v>
      </c>
      <c r="D19" s="527">
        <v>1243</v>
      </c>
      <c r="E19" s="527">
        <v>1055</v>
      </c>
      <c r="F19" s="527">
        <v>924</v>
      </c>
      <c r="G19" s="1516">
        <v>884</v>
      </c>
      <c r="H19" s="1516">
        <v>722</v>
      </c>
      <c r="I19" s="2414">
        <v>675</v>
      </c>
    </row>
    <row r="20" spans="1:9" x14ac:dyDescent="0.25">
      <c r="A20" s="602" t="s">
        <v>44</v>
      </c>
      <c r="B20" s="603" t="s">
        <v>45</v>
      </c>
      <c r="C20" s="603" t="s">
        <v>266</v>
      </c>
      <c r="D20" s="527">
        <v>911</v>
      </c>
      <c r="E20" s="527">
        <v>840</v>
      </c>
      <c r="F20" s="527">
        <v>652</v>
      </c>
      <c r="G20" s="1516">
        <v>578</v>
      </c>
      <c r="H20" s="1516">
        <v>428</v>
      </c>
      <c r="I20" s="2414">
        <v>465</v>
      </c>
    </row>
    <row r="21" spans="1:9" x14ac:dyDescent="0.25">
      <c r="A21" s="602" t="s">
        <v>46</v>
      </c>
      <c r="B21" s="603" t="s">
        <v>47</v>
      </c>
      <c r="C21" s="603" t="s">
        <v>268</v>
      </c>
      <c r="D21" s="527">
        <v>480</v>
      </c>
      <c r="E21" s="527">
        <v>433</v>
      </c>
      <c r="F21" s="527">
        <v>363</v>
      </c>
      <c r="G21" s="1516">
        <v>362</v>
      </c>
      <c r="H21" s="1516">
        <v>279</v>
      </c>
      <c r="I21" s="2414">
        <v>352</v>
      </c>
    </row>
    <row r="22" spans="1:9" x14ac:dyDescent="0.25">
      <c r="A22" s="602" t="s">
        <v>48</v>
      </c>
      <c r="B22" s="603" t="s">
        <v>269</v>
      </c>
      <c r="C22" s="603" t="s">
        <v>266</v>
      </c>
      <c r="D22" s="527">
        <v>82</v>
      </c>
      <c r="E22" s="527">
        <v>67</v>
      </c>
      <c r="F22" s="527">
        <v>55</v>
      </c>
      <c r="G22" s="1516">
        <v>66</v>
      </c>
      <c r="H22" s="1516">
        <v>36</v>
      </c>
      <c r="I22" s="2414">
        <v>36</v>
      </c>
    </row>
    <row r="23" spans="1:9" x14ac:dyDescent="0.25">
      <c r="A23" s="602" t="s">
        <v>50</v>
      </c>
      <c r="B23" s="603" t="s">
        <v>51</v>
      </c>
      <c r="C23" s="603" t="s">
        <v>265</v>
      </c>
      <c r="D23" s="527">
        <v>394</v>
      </c>
      <c r="E23" s="527">
        <v>389</v>
      </c>
      <c r="F23" s="527">
        <v>321</v>
      </c>
      <c r="G23" s="1516">
        <v>237</v>
      </c>
      <c r="H23" s="1516">
        <v>213</v>
      </c>
      <c r="I23" s="2414">
        <v>215</v>
      </c>
    </row>
    <row r="24" spans="1:9" x14ac:dyDescent="0.25">
      <c r="A24" s="602" t="s">
        <v>56</v>
      </c>
      <c r="B24" s="603" t="s">
        <v>295</v>
      </c>
      <c r="C24" s="603" t="s">
        <v>266</v>
      </c>
      <c r="D24" s="527">
        <v>4401</v>
      </c>
      <c r="E24" s="527">
        <v>4086</v>
      </c>
      <c r="F24" s="527">
        <v>3218</v>
      </c>
      <c r="G24" s="1516">
        <v>2770</v>
      </c>
      <c r="H24" s="1516">
        <v>2213</v>
      </c>
      <c r="I24" s="2414">
        <v>2601</v>
      </c>
    </row>
    <row r="25" spans="1:9" x14ac:dyDescent="0.25">
      <c r="A25" s="602" t="s">
        <v>58</v>
      </c>
      <c r="B25" s="603" t="s">
        <v>59</v>
      </c>
      <c r="C25" s="603" t="s">
        <v>267</v>
      </c>
      <c r="D25" s="527">
        <v>83</v>
      </c>
      <c r="E25" s="527">
        <v>72</v>
      </c>
      <c r="F25" s="527">
        <v>56</v>
      </c>
      <c r="G25" s="1516">
        <v>36</v>
      </c>
      <c r="H25" s="1516">
        <v>27</v>
      </c>
      <c r="I25" s="2414">
        <v>29</v>
      </c>
    </row>
    <row r="26" spans="1:9" x14ac:dyDescent="0.25">
      <c r="A26" s="602" t="s">
        <v>60</v>
      </c>
      <c r="B26" s="603" t="s">
        <v>61</v>
      </c>
      <c r="C26" s="603" t="s">
        <v>265</v>
      </c>
      <c r="D26" s="527">
        <v>61</v>
      </c>
      <c r="E26" s="527">
        <v>49</v>
      </c>
      <c r="F26" s="527">
        <v>52</v>
      </c>
      <c r="G26" s="1516">
        <v>55</v>
      </c>
      <c r="H26" s="1516">
        <v>38</v>
      </c>
      <c r="I26" s="2414">
        <v>50</v>
      </c>
    </row>
    <row r="27" spans="1:9" x14ac:dyDescent="0.25">
      <c r="A27" s="602" t="s">
        <v>62</v>
      </c>
      <c r="B27" s="603" t="s">
        <v>63</v>
      </c>
      <c r="C27" s="603" t="s">
        <v>267</v>
      </c>
      <c r="D27" s="527">
        <v>757</v>
      </c>
      <c r="E27" s="527">
        <v>691</v>
      </c>
      <c r="F27" s="527">
        <v>563</v>
      </c>
      <c r="G27" s="1516">
        <v>542</v>
      </c>
      <c r="H27" s="1516">
        <v>459</v>
      </c>
      <c r="I27" s="2414">
        <v>500</v>
      </c>
    </row>
    <row r="28" spans="1:9" x14ac:dyDescent="0.25">
      <c r="A28" s="602" t="s">
        <v>64</v>
      </c>
      <c r="B28" s="603" t="s">
        <v>65</v>
      </c>
      <c r="C28" s="603" t="s">
        <v>266</v>
      </c>
      <c r="D28" s="527">
        <v>313</v>
      </c>
      <c r="E28" s="527">
        <v>302</v>
      </c>
      <c r="F28" s="527">
        <v>226</v>
      </c>
      <c r="G28" s="1516">
        <v>203</v>
      </c>
      <c r="H28" s="1516">
        <v>179</v>
      </c>
      <c r="I28" s="2414">
        <v>158</v>
      </c>
    </row>
    <row r="29" spans="1:9" x14ac:dyDescent="0.25">
      <c r="A29" s="602" t="s">
        <v>68</v>
      </c>
      <c r="B29" s="603" t="s">
        <v>69</v>
      </c>
      <c r="C29" s="603" t="s">
        <v>268</v>
      </c>
      <c r="D29" s="527">
        <v>305</v>
      </c>
      <c r="E29" s="527">
        <v>307</v>
      </c>
      <c r="F29" s="527">
        <v>245</v>
      </c>
      <c r="G29" s="1516">
        <v>221</v>
      </c>
      <c r="H29" s="1516">
        <v>181</v>
      </c>
      <c r="I29" s="2414">
        <v>196</v>
      </c>
    </row>
    <row r="30" spans="1:9" x14ac:dyDescent="0.25">
      <c r="A30" s="602" t="s">
        <v>70</v>
      </c>
      <c r="B30" s="603" t="s">
        <v>71</v>
      </c>
      <c r="C30" s="603" t="s">
        <v>264</v>
      </c>
      <c r="D30" s="527">
        <v>556</v>
      </c>
      <c r="E30" s="527">
        <v>519</v>
      </c>
      <c r="F30" s="527">
        <v>449</v>
      </c>
      <c r="G30" s="1516">
        <v>362</v>
      </c>
      <c r="H30" s="1516">
        <v>286</v>
      </c>
      <c r="I30" s="2414">
        <v>274</v>
      </c>
    </row>
    <row r="31" spans="1:9" x14ac:dyDescent="0.25">
      <c r="A31" s="602" t="s">
        <v>72</v>
      </c>
      <c r="B31" s="603" t="s">
        <v>73</v>
      </c>
      <c r="C31" s="603" t="s">
        <v>266</v>
      </c>
      <c r="D31" s="527">
        <v>287</v>
      </c>
      <c r="E31" s="527">
        <v>278</v>
      </c>
      <c r="F31" s="527">
        <v>251</v>
      </c>
      <c r="G31" s="1516">
        <v>229</v>
      </c>
      <c r="H31" s="1516">
        <v>194</v>
      </c>
      <c r="I31" s="2414">
        <v>230</v>
      </c>
    </row>
    <row r="32" spans="1:9" x14ac:dyDescent="0.25">
      <c r="A32" s="602" t="s">
        <v>74</v>
      </c>
      <c r="B32" s="603" t="s">
        <v>296</v>
      </c>
      <c r="C32" s="603" t="s">
        <v>267</v>
      </c>
      <c r="D32" s="527">
        <v>6545</v>
      </c>
      <c r="E32" s="527">
        <v>6187</v>
      </c>
      <c r="F32" s="527">
        <v>5356</v>
      </c>
      <c r="G32" s="1516">
        <v>4876</v>
      </c>
      <c r="H32" s="1516">
        <v>3869</v>
      </c>
      <c r="I32" s="2414">
        <v>4620</v>
      </c>
    </row>
    <row r="33" spans="1:9" x14ac:dyDescent="0.25">
      <c r="A33" s="602" t="s">
        <v>76</v>
      </c>
      <c r="B33" s="603" t="s">
        <v>77</v>
      </c>
      <c r="C33" s="603" t="s">
        <v>267</v>
      </c>
      <c r="D33" s="527">
        <v>472</v>
      </c>
      <c r="E33" s="527">
        <v>401</v>
      </c>
      <c r="F33" s="527">
        <v>367</v>
      </c>
      <c r="G33" s="1516">
        <v>323</v>
      </c>
      <c r="H33" s="1516">
        <v>278</v>
      </c>
      <c r="I33" s="2414">
        <v>351</v>
      </c>
    </row>
    <row r="34" spans="1:9" x14ac:dyDescent="0.25">
      <c r="A34" s="602" t="s">
        <v>78</v>
      </c>
      <c r="B34" s="603" t="s">
        <v>79</v>
      </c>
      <c r="C34" s="603" t="s">
        <v>268</v>
      </c>
      <c r="D34" s="527">
        <v>286</v>
      </c>
      <c r="E34" s="527">
        <v>232</v>
      </c>
      <c r="F34" s="527">
        <v>159</v>
      </c>
      <c r="G34" s="1516">
        <v>153</v>
      </c>
      <c r="H34" s="1516">
        <v>151</v>
      </c>
      <c r="I34" s="2414">
        <v>179</v>
      </c>
    </row>
    <row r="35" spans="1:9" x14ac:dyDescent="0.25">
      <c r="A35" s="602" t="s">
        <v>80</v>
      </c>
      <c r="B35" s="603" t="s">
        <v>81</v>
      </c>
      <c r="C35" s="603" t="s">
        <v>266</v>
      </c>
      <c r="D35" s="527">
        <v>279</v>
      </c>
      <c r="E35" s="527">
        <v>214</v>
      </c>
      <c r="F35" s="527">
        <v>197</v>
      </c>
      <c r="G35" s="1516">
        <v>178</v>
      </c>
      <c r="H35" s="1516">
        <v>140</v>
      </c>
      <c r="I35" s="2414">
        <v>132</v>
      </c>
    </row>
    <row r="36" spans="1:9" x14ac:dyDescent="0.25">
      <c r="A36" s="602" t="s">
        <v>84</v>
      </c>
      <c r="B36" s="603" t="s">
        <v>85</v>
      </c>
      <c r="C36" s="603" t="s">
        <v>265</v>
      </c>
      <c r="D36" s="527">
        <v>999</v>
      </c>
      <c r="E36" s="527">
        <v>866</v>
      </c>
      <c r="F36" s="527">
        <v>742</v>
      </c>
      <c r="G36" s="1516">
        <v>694</v>
      </c>
      <c r="H36" s="1516">
        <v>524</v>
      </c>
      <c r="I36" s="2414">
        <v>547</v>
      </c>
    </row>
    <row r="37" spans="1:9" x14ac:dyDescent="0.25">
      <c r="A37" s="602" t="s">
        <v>86</v>
      </c>
      <c r="B37" s="603" t="s">
        <v>87</v>
      </c>
      <c r="C37" s="603" t="s">
        <v>267</v>
      </c>
      <c r="D37" s="527">
        <v>795</v>
      </c>
      <c r="E37" s="527">
        <v>634</v>
      </c>
      <c r="F37" s="527">
        <v>356</v>
      </c>
      <c r="G37" s="1516">
        <v>318</v>
      </c>
      <c r="H37" s="1516">
        <v>267</v>
      </c>
      <c r="I37" s="2414">
        <v>368</v>
      </c>
    </row>
    <row r="38" spans="1:9" x14ac:dyDescent="0.25">
      <c r="A38" s="602" t="s">
        <v>92</v>
      </c>
      <c r="B38" s="603" t="s">
        <v>93</v>
      </c>
      <c r="C38" s="603" t="s">
        <v>268</v>
      </c>
      <c r="D38" s="527">
        <v>261</v>
      </c>
      <c r="E38" s="527">
        <v>219</v>
      </c>
      <c r="F38" s="527">
        <v>162</v>
      </c>
      <c r="G38" s="1516">
        <v>147</v>
      </c>
      <c r="H38" s="1516">
        <v>134</v>
      </c>
      <c r="I38" s="2414">
        <v>173</v>
      </c>
    </row>
    <row r="39" spans="1:9" x14ac:dyDescent="0.25">
      <c r="A39" s="602" t="s">
        <v>94</v>
      </c>
      <c r="B39" s="603" t="s">
        <v>95</v>
      </c>
      <c r="C39" s="603" t="s">
        <v>264</v>
      </c>
      <c r="D39" s="527">
        <v>429</v>
      </c>
      <c r="E39" s="527">
        <v>470</v>
      </c>
      <c r="F39" s="527">
        <v>454</v>
      </c>
      <c r="G39" s="1516">
        <v>443</v>
      </c>
      <c r="H39" s="1516">
        <v>269</v>
      </c>
      <c r="I39" s="2414">
        <v>328</v>
      </c>
    </row>
    <row r="40" spans="1:9" x14ac:dyDescent="0.25">
      <c r="A40" s="602" t="s">
        <v>96</v>
      </c>
      <c r="B40" s="603" t="s">
        <v>97</v>
      </c>
      <c r="C40" s="603" t="s">
        <v>266</v>
      </c>
      <c r="D40" s="527">
        <v>178</v>
      </c>
      <c r="E40" s="527">
        <v>137</v>
      </c>
      <c r="F40" s="527">
        <v>100</v>
      </c>
      <c r="G40" s="1516">
        <v>122</v>
      </c>
      <c r="H40" s="1516">
        <v>87</v>
      </c>
      <c r="I40" s="2414">
        <v>86</v>
      </c>
    </row>
    <row r="41" spans="1:9" x14ac:dyDescent="0.25">
      <c r="A41" s="602" t="s">
        <v>98</v>
      </c>
      <c r="B41" s="603" t="s">
        <v>99</v>
      </c>
      <c r="C41" s="603" t="s">
        <v>268</v>
      </c>
      <c r="D41" s="527">
        <v>238</v>
      </c>
      <c r="E41" s="527">
        <v>188</v>
      </c>
      <c r="F41" s="527">
        <v>144</v>
      </c>
      <c r="G41" s="1516">
        <v>137</v>
      </c>
      <c r="H41" s="1516">
        <v>81</v>
      </c>
      <c r="I41" s="2414">
        <v>91</v>
      </c>
    </row>
    <row r="42" spans="1:9" x14ac:dyDescent="0.25">
      <c r="A42" s="602" t="s">
        <v>100</v>
      </c>
      <c r="B42" s="603" t="s">
        <v>101</v>
      </c>
      <c r="C42" s="603" t="s">
        <v>267</v>
      </c>
      <c r="D42" s="527">
        <v>217</v>
      </c>
      <c r="E42" s="527">
        <v>166</v>
      </c>
      <c r="F42" s="527">
        <v>176</v>
      </c>
      <c r="G42" s="1516">
        <v>242</v>
      </c>
      <c r="H42" s="1516">
        <v>210</v>
      </c>
      <c r="I42" s="2414">
        <v>227</v>
      </c>
    </row>
    <row r="43" spans="1:9" x14ac:dyDescent="0.25">
      <c r="A43" s="602" t="s">
        <v>102</v>
      </c>
      <c r="B43" s="603" t="s">
        <v>282</v>
      </c>
      <c r="C43" s="603" t="s">
        <v>264</v>
      </c>
      <c r="D43" s="527">
        <v>622</v>
      </c>
      <c r="E43" s="527">
        <v>689</v>
      </c>
      <c r="F43" s="527">
        <v>588</v>
      </c>
      <c r="G43" s="1516">
        <v>507</v>
      </c>
      <c r="H43" s="1516">
        <v>382</v>
      </c>
      <c r="I43" s="2414">
        <v>432</v>
      </c>
    </row>
    <row r="44" spans="1:9" x14ac:dyDescent="0.25">
      <c r="A44" s="602" t="s">
        <v>104</v>
      </c>
      <c r="B44" s="603" t="s">
        <v>105</v>
      </c>
      <c r="C44" s="603" t="s">
        <v>265</v>
      </c>
      <c r="D44" s="527">
        <v>807</v>
      </c>
      <c r="E44" s="527">
        <v>796</v>
      </c>
      <c r="F44" s="527">
        <v>685</v>
      </c>
      <c r="G44" s="1516">
        <v>658</v>
      </c>
      <c r="H44" s="1516">
        <v>518</v>
      </c>
      <c r="I44" s="2414">
        <v>472</v>
      </c>
    </row>
    <row r="45" spans="1:9" x14ac:dyDescent="0.25">
      <c r="A45" s="602" t="s">
        <v>108</v>
      </c>
      <c r="B45" s="603" t="s">
        <v>109</v>
      </c>
      <c r="C45" s="603" t="s">
        <v>266</v>
      </c>
      <c r="D45" s="527">
        <v>699</v>
      </c>
      <c r="E45" s="527">
        <v>595</v>
      </c>
      <c r="F45" s="527">
        <v>564</v>
      </c>
      <c r="G45" s="1516">
        <v>450</v>
      </c>
      <c r="H45" s="1516">
        <v>391</v>
      </c>
      <c r="I45" s="2414">
        <v>459</v>
      </c>
    </row>
    <row r="46" spans="1:9" x14ac:dyDescent="0.25">
      <c r="A46" s="602" t="s">
        <v>110</v>
      </c>
      <c r="B46" s="603" t="s">
        <v>111</v>
      </c>
      <c r="C46" s="603" t="s">
        <v>266</v>
      </c>
      <c r="D46" s="527">
        <v>6164</v>
      </c>
      <c r="E46" s="527">
        <v>5339</v>
      </c>
      <c r="F46" s="527">
        <v>4640</v>
      </c>
      <c r="G46" s="1516">
        <v>4225</v>
      </c>
      <c r="H46" s="1516">
        <v>3491</v>
      </c>
      <c r="I46" s="2414">
        <v>4267</v>
      </c>
    </row>
    <row r="47" spans="1:9" x14ac:dyDescent="0.25">
      <c r="A47" s="602" t="s">
        <v>112</v>
      </c>
      <c r="B47" s="603" t="s">
        <v>300</v>
      </c>
      <c r="C47" s="603" t="s">
        <v>265</v>
      </c>
      <c r="D47" s="527">
        <v>2027</v>
      </c>
      <c r="E47" s="527">
        <v>1837</v>
      </c>
      <c r="F47" s="527">
        <v>1575</v>
      </c>
      <c r="G47" s="1516">
        <v>1575</v>
      </c>
      <c r="H47" s="1516">
        <v>1261</v>
      </c>
      <c r="I47" s="2414">
        <v>1277</v>
      </c>
    </row>
    <row r="48" spans="1:9" x14ac:dyDescent="0.25">
      <c r="A48" s="602" t="s">
        <v>114</v>
      </c>
      <c r="B48" s="603" t="s">
        <v>115</v>
      </c>
      <c r="C48" s="603" t="s">
        <v>265</v>
      </c>
      <c r="D48" s="527">
        <v>10</v>
      </c>
      <c r="E48" s="527">
        <v>10</v>
      </c>
      <c r="F48" s="527">
        <v>9</v>
      </c>
      <c r="G48" s="1516">
        <v>10</v>
      </c>
      <c r="H48" s="1516">
        <v>7</v>
      </c>
      <c r="I48" s="2414">
        <v>8</v>
      </c>
    </row>
    <row r="49" spans="1:9" x14ac:dyDescent="0.25">
      <c r="A49" s="602" t="s">
        <v>118</v>
      </c>
      <c r="B49" s="603" t="s">
        <v>270</v>
      </c>
      <c r="C49" s="603" t="s">
        <v>264</v>
      </c>
      <c r="D49" s="527">
        <v>520</v>
      </c>
      <c r="E49" s="527">
        <v>495</v>
      </c>
      <c r="F49" s="527">
        <v>416</v>
      </c>
      <c r="G49" s="1516">
        <v>373</v>
      </c>
      <c r="H49" s="1516">
        <v>318</v>
      </c>
      <c r="I49" s="2414">
        <v>331</v>
      </c>
    </row>
    <row r="50" spans="1:9" x14ac:dyDescent="0.25">
      <c r="A50" s="602" t="s">
        <v>120</v>
      </c>
      <c r="B50" s="603" t="s">
        <v>121</v>
      </c>
      <c r="C50" s="603" t="s">
        <v>264</v>
      </c>
      <c r="D50" s="527">
        <v>773</v>
      </c>
      <c r="E50" s="527">
        <v>716</v>
      </c>
      <c r="F50" s="527">
        <v>611</v>
      </c>
      <c r="G50" s="1516">
        <v>630</v>
      </c>
      <c r="H50" s="1516">
        <v>548</v>
      </c>
      <c r="I50" s="2414">
        <v>544</v>
      </c>
    </row>
    <row r="51" spans="1:9" x14ac:dyDescent="0.25">
      <c r="A51" s="602" t="s">
        <v>122</v>
      </c>
      <c r="B51" s="603" t="s">
        <v>287</v>
      </c>
      <c r="C51" s="603" t="s">
        <v>266</v>
      </c>
      <c r="D51" s="527">
        <v>138</v>
      </c>
      <c r="E51" s="527">
        <v>99</v>
      </c>
      <c r="F51" s="527">
        <v>155</v>
      </c>
      <c r="G51" s="1516">
        <v>116</v>
      </c>
      <c r="H51" s="1516">
        <v>102</v>
      </c>
      <c r="I51" s="2414">
        <v>130</v>
      </c>
    </row>
    <row r="52" spans="1:9" x14ac:dyDescent="0.25">
      <c r="A52" s="602" t="s">
        <v>124</v>
      </c>
      <c r="B52" s="603" t="s">
        <v>125</v>
      </c>
      <c r="C52" s="603" t="s">
        <v>267</v>
      </c>
      <c r="D52" s="527">
        <v>251</v>
      </c>
      <c r="E52" s="527">
        <v>322</v>
      </c>
      <c r="F52" s="527">
        <v>234</v>
      </c>
      <c r="G52" s="1516">
        <v>230</v>
      </c>
      <c r="H52" s="1516">
        <v>215</v>
      </c>
      <c r="I52" s="2414">
        <v>224</v>
      </c>
    </row>
    <row r="53" spans="1:9" x14ac:dyDescent="0.25">
      <c r="A53" s="602" t="s">
        <v>126</v>
      </c>
      <c r="B53" s="603" t="s">
        <v>127</v>
      </c>
      <c r="C53" s="603" t="s">
        <v>266</v>
      </c>
      <c r="D53" s="527">
        <v>218</v>
      </c>
      <c r="E53" s="527">
        <v>174</v>
      </c>
      <c r="F53" s="527">
        <v>143</v>
      </c>
      <c r="G53" s="1516">
        <v>128</v>
      </c>
      <c r="H53" s="1516">
        <v>94</v>
      </c>
      <c r="I53" s="2414">
        <v>107</v>
      </c>
    </row>
    <row r="54" spans="1:9" x14ac:dyDescent="0.25">
      <c r="A54" s="602" t="s">
        <v>128</v>
      </c>
      <c r="B54" s="603" t="s">
        <v>129</v>
      </c>
      <c r="C54" s="603" t="s">
        <v>266</v>
      </c>
      <c r="D54" s="527">
        <v>188</v>
      </c>
      <c r="E54" s="527">
        <v>152</v>
      </c>
      <c r="F54" s="527">
        <v>127</v>
      </c>
      <c r="G54" s="1516">
        <v>109</v>
      </c>
      <c r="H54" s="1516">
        <v>119</v>
      </c>
      <c r="I54" s="2414">
        <v>139</v>
      </c>
    </row>
    <row r="55" spans="1:9" x14ac:dyDescent="0.25">
      <c r="A55" s="602" t="s">
        <v>130</v>
      </c>
      <c r="B55" s="603" t="s">
        <v>131</v>
      </c>
      <c r="C55" s="603" t="s">
        <v>268</v>
      </c>
      <c r="D55" s="527">
        <v>1140</v>
      </c>
      <c r="E55" s="527">
        <v>1063</v>
      </c>
      <c r="F55" s="527">
        <v>971</v>
      </c>
      <c r="G55" s="1516">
        <v>845</v>
      </c>
      <c r="H55" s="1516">
        <v>789</v>
      </c>
      <c r="I55" s="2414">
        <v>804</v>
      </c>
    </row>
    <row r="56" spans="1:9" x14ac:dyDescent="0.25">
      <c r="A56" s="602" t="s">
        <v>132</v>
      </c>
      <c r="B56" s="603" t="s">
        <v>133</v>
      </c>
      <c r="C56" s="603" t="s">
        <v>267</v>
      </c>
      <c r="D56" s="527">
        <v>1242</v>
      </c>
      <c r="E56" s="527">
        <v>1183</v>
      </c>
      <c r="F56" s="527">
        <v>1160</v>
      </c>
      <c r="G56" s="1516">
        <v>1179</v>
      </c>
      <c r="H56" s="1516">
        <v>941</v>
      </c>
      <c r="I56" s="2414">
        <v>1041</v>
      </c>
    </row>
    <row r="57" spans="1:9" x14ac:dyDescent="0.25">
      <c r="A57" s="602" t="s">
        <v>134</v>
      </c>
      <c r="B57" s="603" t="s">
        <v>135</v>
      </c>
      <c r="C57" s="603" t="s">
        <v>267</v>
      </c>
      <c r="D57" s="527">
        <v>511</v>
      </c>
      <c r="E57" s="527">
        <v>495</v>
      </c>
      <c r="F57" s="527">
        <v>428</v>
      </c>
      <c r="G57" s="1516">
        <v>366</v>
      </c>
      <c r="H57" s="1516">
        <v>266</v>
      </c>
      <c r="I57" s="2414">
        <v>299</v>
      </c>
    </row>
    <row r="58" spans="1:9" x14ac:dyDescent="0.25">
      <c r="A58" s="602" t="s">
        <v>136</v>
      </c>
      <c r="B58" s="603" t="s">
        <v>137</v>
      </c>
      <c r="C58" s="603" t="s">
        <v>266</v>
      </c>
      <c r="D58" s="527">
        <v>309</v>
      </c>
      <c r="E58" s="527">
        <v>272</v>
      </c>
      <c r="F58" s="527">
        <v>181</v>
      </c>
      <c r="G58" s="1516">
        <v>159</v>
      </c>
      <c r="H58" s="1516">
        <v>140</v>
      </c>
      <c r="I58" s="2414">
        <v>154</v>
      </c>
    </row>
    <row r="59" spans="1:9" x14ac:dyDescent="0.25">
      <c r="A59" s="602" t="s">
        <v>140</v>
      </c>
      <c r="B59" s="603" t="s">
        <v>141</v>
      </c>
      <c r="C59" s="603" t="s">
        <v>267</v>
      </c>
      <c r="D59" s="527">
        <v>115</v>
      </c>
      <c r="E59" s="527">
        <v>100</v>
      </c>
      <c r="F59" s="527">
        <v>100</v>
      </c>
      <c r="G59" s="1516">
        <v>99</v>
      </c>
      <c r="H59" s="1516">
        <v>72</v>
      </c>
      <c r="I59" s="2414">
        <v>86</v>
      </c>
    </row>
    <row r="60" spans="1:9" x14ac:dyDescent="0.25">
      <c r="A60" s="602" t="s">
        <v>146</v>
      </c>
      <c r="B60" s="603" t="s">
        <v>147</v>
      </c>
      <c r="C60" s="603" t="s">
        <v>264</v>
      </c>
      <c r="D60" s="527">
        <v>112</v>
      </c>
      <c r="E60" s="527">
        <v>95</v>
      </c>
      <c r="F60" s="527">
        <v>77</v>
      </c>
      <c r="G60" s="1516">
        <v>76</v>
      </c>
      <c r="H60" s="1516">
        <v>70</v>
      </c>
      <c r="I60" s="2414">
        <v>86</v>
      </c>
    </row>
    <row r="61" spans="1:9" x14ac:dyDescent="0.25">
      <c r="A61" s="602" t="s">
        <v>148</v>
      </c>
      <c r="B61" s="603" t="s">
        <v>149</v>
      </c>
      <c r="C61" s="603" t="s">
        <v>265</v>
      </c>
      <c r="D61" s="527">
        <v>635</v>
      </c>
      <c r="E61" s="527">
        <v>648</v>
      </c>
      <c r="F61" s="527">
        <v>507</v>
      </c>
      <c r="G61" s="1516">
        <v>458</v>
      </c>
      <c r="H61" s="1516">
        <v>322</v>
      </c>
      <c r="I61" s="2414">
        <v>401</v>
      </c>
    </row>
    <row r="62" spans="1:9" x14ac:dyDescent="0.25">
      <c r="A62" s="602" t="s">
        <v>150</v>
      </c>
      <c r="B62" s="603" t="s">
        <v>151</v>
      </c>
      <c r="C62" s="603" t="s">
        <v>266</v>
      </c>
      <c r="D62" s="527">
        <v>237</v>
      </c>
      <c r="E62" s="527">
        <v>288</v>
      </c>
      <c r="F62" s="527">
        <v>258</v>
      </c>
      <c r="G62" s="1516">
        <v>202</v>
      </c>
      <c r="H62" s="1516">
        <v>176</v>
      </c>
      <c r="I62" s="2414">
        <v>211</v>
      </c>
    </row>
    <row r="63" spans="1:9" x14ac:dyDescent="0.25">
      <c r="A63" s="602" t="s">
        <v>152</v>
      </c>
      <c r="B63" s="603" t="s">
        <v>153</v>
      </c>
      <c r="C63" s="603" t="s">
        <v>268</v>
      </c>
      <c r="D63" s="527">
        <v>1328</v>
      </c>
      <c r="E63" s="527">
        <v>1211</v>
      </c>
      <c r="F63" s="527">
        <v>1020</v>
      </c>
      <c r="G63" s="1516">
        <v>909</v>
      </c>
      <c r="H63" s="1516">
        <v>777</v>
      </c>
      <c r="I63" s="2414">
        <v>889</v>
      </c>
    </row>
    <row r="64" spans="1:9" x14ac:dyDescent="0.25">
      <c r="A64" s="602" t="s">
        <v>154</v>
      </c>
      <c r="B64" s="603" t="s">
        <v>155</v>
      </c>
      <c r="C64" s="603" t="s">
        <v>265</v>
      </c>
      <c r="D64" s="527">
        <v>187</v>
      </c>
      <c r="E64" s="527">
        <v>182</v>
      </c>
      <c r="F64" s="527">
        <v>152</v>
      </c>
      <c r="G64" s="1516">
        <v>171</v>
      </c>
      <c r="H64" s="1516">
        <v>149</v>
      </c>
      <c r="I64" s="2414">
        <v>155</v>
      </c>
    </row>
    <row r="65" spans="1:9" x14ac:dyDescent="0.25">
      <c r="A65" s="602" t="s">
        <v>156</v>
      </c>
      <c r="B65" s="603" t="s">
        <v>157</v>
      </c>
      <c r="C65" s="603" t="s">
        <v>266</v>
      </c>
      <c r="D65" s="527">
        <v>210</v>
      </c>
      <c r="E65" s="527">
        <v>179</v>
      </c>
      <c r="F65" s="527">
        <v>179</v>
      </c>
      <c r="G65" s="1516">
        <v>165</v>
      </c>
      <c r="H65" s="1516">
        <v>136</v>
      </c>
      <c r="I65" s="2414">
        <v>110</v>
      </c>
    </row>
    <row r="66" spans="1:9" x14ac:dyDescent="0.25">
      <c r="A66" s="602" t="s">
        <v>162</v>
      </c>
      <c r="B66" s="603" t="s">
        <v>163</v>
      </c>
      <c r="C66" s="603" t="s">
        <v>264</v>
      </c>
      <c r="D66" s="527">
        <v>438</v>
      </c>
      <c r="E66" s="527">
        <v>375</v>
      </c>
      <c r="F66" s="527">
        <v>352</v>
      </c>
      <c r="G66" s="1516">
        <v>278</v>
      </c>
      <c r="H66" s="1516">
        <v>188</v>
      </c>
      <c r="I66" s="2414">
        <v>208</v>
      </c>
    </row>
    <row r="67" spans="1:9" x14ac:dyDescent="0.25">
      <c r="A67" s="602" t="s">
        <v>164</v>
      </c>
      <c r="B67" s="603" t="s">
        <v>165</v>
      </c>
      <c r="C67" s="603" t="s">
        <v>266</v>
      </c>
      <c r="D67" s="527">
        <v>91</v>
      </c>
      <c r="E67" s="527">
        <v>129</v>
      </c>
      <c r="F67" s="527">
        <v>128</v>
      </c>
      <c r="G67" s="1516">
        <v>108</v>
      </c>
      <c r="H67" s="1516">
        <v>85</v>
      </c>
      <c r="I67" s="2414">
        <v>115</v>
      </c>
    </row>
    <row r="68" spans="1:9" x14ac:dyDescent="0.25">
      <c r="A68" s="602" t="s">
        <v>168</v>
      </c>
      <c r="B68" s="603" t="s">
        <v>169</v>
      </c>
      <c r="C68" s="603" t="s">
        <v>266</v>
      </c>
      <c r="D68" s="527">
        <v>620</v>
      </c>
      <c r="E68" s="527">
        <v>597</v>
      </c>
      <c r="F68" s="527">
        <v>463</v>
      </c>
      <c r="G68" s="1516">
        <v>386</v>
      </c>
      <c r="H68" s="1516">
        <v>262</v>
      </c>
      <c r="I68" s="2414">
        <v>275</v>
      </c>
    </row>
    <row r="69" spans="1:9" x14ac:dyDescent="0.25">
      <c r="A69" s="602" t="s">
        <v>170</v>
      </c>
      <c r="B69" s="603" t="s">
        <v>171</v>
      </c>
      <c r="C69" s="603" t="s">
        <v>267</v>
      </c>
      <c r="D69" s="527">
        <v>340</v>
      </c>
      <c r="E69" s="527">
        <v>332</v>
      </c>
      <c r="F69" s="527">
        <v>391</v>
      </c>
      <c r="G69" s="1516">
        <v>392</v>
      </c>
      <c r="H69" s="1516">
        <v>334</v>
      </c>
      <c r="I69" s="2414">
        <v>301</v>
      </c>
    </row>
    <row r="70" spans="1:9" x14ac:dyDescent="0.25">
      <c r="A70" s="602" t="s">
        <v>172</v>
      </c>
      <c r="B70" s="603" t="s">
        <v>173</v>
      </c>
      <c r="C70" s="603" t="s">
        <v>267</v>
      </c>
      <c r="D70" s="527">
        <v>332</v>
      </c>
      <c r="E70" s="527">
        <v>295</v>
      </c>
      <c r="F70" s="527">
        <v>249</v>
      </c>
      <c r="G70" s="1516">
        <v>166</v>
      </c>
      <c r="H70" s="1516">
        <v>136</v>
      </c>
      <c r="I70" s="2414">
        <v>178</v>
      </c>
    </row>
    <row r="71" spans="1:9" x14ac:dyDescent="0.25">
      <c r="A71" s="602" t="s">
        <v>174</v>
      </c>
      <c r="B71" s="603" t="s">
        <v>175</v>
      </c>
      <c r="C71" s="603" t="s">
        <v>268</v>
      </c>
      <c r="D71" s="527">
        <v>491</v>
      </c>
      <c r="E71" s="527">
        <v>438</v>
      </c>
      <c r="F71" s="527">
        <v>384</v>
      </c>
      <c r="G71" s="1516">
        <v>341</v>
      </c>
      <c r="H71" s="1516">
        <v>261</v>
      </c>
      <c r="I71" s="2414">
        <v>315</v>
      </c>
    </row>
    <row r="72" spans="1:9" x14ac:dyDescent="0.25">
      <c r="A72" s="602" t="s">
        <v>178</v>
      </c>
      <c r="B72" s="603" t="s">
        <v>179</v>
      </c>
      <c r="C72" s="603" t="s">
        <v>265</v>
      </c>
      <c r="D72" s="527">
        <v>984</v>
      </c>
      <c r="E72" s="527">
        <v>878</v>
      </c>
      <c r="F72" s="527">
        <v>816</v>
      </c>
      <c r="G72" s="1516">
        <v>770</v>
      </c>
      <c r="H72" s="1516">
        <v>580</v>
      </c>
      <c r="I72" s="2414">
        <v>580</v>
      </c>
    </row>
    <row r="73" spans="1:9" x14ac:dyDescent="0.25">
      <c r="A73" s="602" t="s">
        <v>182</v>
      </c>
      <c r="B73" s="603" t="s">
        <v>183</v>
      </c>
      <c r="C73" s="603" t="s">
        <v>266</v>
      </c>
      <c r="D73" s="527">
        <v>203</v>
      </c>
      <c r="E73" s="527">
        <v>202</v>
      </c>
      <c r="F73" s="527">
        <v>142</v>
      </c>
      <c r="G73" s="1516">
        <v>135</v>
      </c>
      <c r="H73" s="1516">
        <v>100</v>
      </c>
      <c r="I73" s="2414">
        <v>108</v>
      </c>
    </row>
    <row r="74" spans="1:9" x14ac:dyDescent="0.25">
      <c r="A74" s="602" t="s">
        <v>184</v>
      </c>
      <c r="B74" s="603" t="s">
        <v>185</v>
      </c>
      <c r="C74" s="603" t="s">
        <v>266</v>
      </c>
      <c r="D74" s="527">
        <v>562</v>
      </c>
      <c r="E74" s="527">
        <v>597</v>
      </c>
      <c r="F74" s="527">
        <v>477</v>
      </c>
      <c r="G74" s="1516">
        <v>465</v>
      </c>
      <c r="H74" s="1516">
        <v>330</v>
      </c>
      <c r="I74" s="2414">
        <v>356</v>
      </c>
    </row>
    <row r="75" spans="1:9" x14ac:dyDescent="0.25">
      <c r="A75" s="602" t="s">
        <v>186</v>
      </c>
      <c r="B75" s="603" t="s">
        <v>187</v>
      </c>
      <c r="C75" s="603" t="s">
        <v>264</v>
      </c>
      <c r="D75" s="527">
        <v>356</v>
      </c>
      <c r="E75" s="527">
        <v>416</v>
      </c>
      <c r="F75" s="527">
        <v>403</v>
      </c>
      <c r="G75" s="1516">
        <v>438</v>
      </c>
      <c r="H75" s="1516">
        <v>274</v>
      </c>
      <c r="I75" s="2414">
        <v>282</v>
      </c>
    </row>
    <row r="76" spans="1:9" x14ac:dyDescent="0.25">
      <c r="A76" s="602" t="s">
        <v>188</v>
      </c>
      <c r="B76" s="603" t="s">
        <v>189</v>
      </c>
      <c r="C76" s="603" t="s">
        <v>267</v>
      </c>
      <c r="D76" s="527">
        <v>5391</v>
      </c>
      <c r="E76" s="527">
        <v>4890</v>
      </c>
      <c r="F76" s="527">
        <v>4270</v>
      </c>
      <c r="G76" s="1516">
        <v>3896</v>
      </c>
      <c r="H76" s="1516">
        <v>3248</v>
      </c>
      <c r="I76" s="2414">
        <v>3600</v>
      </c>
    </row>
    <row r="77" spans="1:9" x14ac:dyDescent="0.25">
      <c r="A77" s="602" t="s">
        <v>190</v>
      </c>
      <c r="B77" s="603" t="s">
        <v>191</v>
      </c>
      <c r="C77" s="603" t="s">
        <v>268</v>
      </c>
      <c r="D77" s="527">
        <v>745</v>
      </c>
      <c r="E77" s="527">
        <v>713</v>
      </c>
      <c r="F77" s="527">
        <v>586</v>
      </c>
      <c r="G77" s="1516">
        <v>483</v>
      </c>
      <c r="H77" s="1516">
        <v>365</v>
      </c>
      <c r="I77" s="2414">
        <v>423</v>
      </c>
    </row>
    <row r="78" spans="1:9" x14ac:dyDescent="0.25">
      <c r="A78" s="602" t="s">
        <v>194</v>
      </c>
      <c r="B78" s="603" t="s">
        <v>195</v>
      </c>
      <c r="C78" s="603" t="s">
        <v>267</v>
      </c>
      <c r="D78" s="527">
        <v>56</v>
      </c>
      <c r="E78" s="527">
        <v>60</v>
      </c>
      <c r="F78" s="527">
        <v>43</v>
      </c>
      <c r="G78" s="1516">
        <v>37</v>
      </c>
      <c r="H78" s="1516">
        <v>32</v>
      </c>
      <c r="I78" s="2414">
        <v>19</v>
      </c>
    </row>
    <row r="79" spans="1:9" x14ac:dyDescent="0.25">
      <c r="A79" s="602" t="s">
        <v>198</v>
      </c>
      <c r="B79" s="603" t="s">
        <v>272</v>
      </c>
      <c r="C79" s="603" t="s">
        <v>266</v>
      </c>
      <c r="D79" s="527">
        <v>136</v>
      </c>
      <c r="E79" s="527">
        <v>188</v>
      </c>
      <c r="F79" s="527">
        <v>160</v>
      </c>
      <c r="G79" s="1516">
        <v>152</v>
      </c>
      <c r="H79" s="1516">
        <v>101</v>
      </c>
      <c r="I79" s="2414">
        <v>113</v>
      </c>
    </row>
    <row r="80" spans="1:9" x14ac:dyDescent="0.25">
      <c r="A80" s="602" t="s">
        <v>202</v>
      </c>
      <c r="B80" s="603" t="s">
        <v>301</v>
      </c>
      <c r="C80" s="603" t="s">
        <v>265</v>
      </c>
      <c r="D80" s="527">
        <v>1183</v>
      </c>
      <c r="E80" s="527">
        <v>1189</v>
      </c>
      <c r="F80" s="527">
        <v>982</v>
      </c>
      <c r="G80" s="1516">
        <v>914</v>
      </c>
      <c r="H80" s="1516">
        <v>730</v>
      </c>
      <c r="I80" s="2414">
        <v>847</v>
      </c>
    </row>
    <row r="81" spans="1:9" x14ac:dyDescent="0.25">
      <c r="A81" s="602" t="s">
        <v>204</v>
      </c>
      <c r="B81" s="603" t="s">
        <v>293</v>
      </c>
      <c r="C81" s="603" t="s">
        <v>265</v>
      </c>
      <c r="D81" s="527">
        <v>312</v>
      </c>
      <c r="E81" s="527">
        <v>330</v>
      </c>
      <c r="F81" s="527">
        <v>294</v>
      </c>
      <c r="G81" s="1516">
        <v>222</v>
      </c>
      <c r="H81" s="1516">
        <v>228</v>
      </c>
      <c r="I81" s="2414">
        <v>261</v>
      </c>
    </row>
    <row r="82" spans="1:9" x14ac:dyDescent="0.25">
      <c r="A82" s="602" t="s">
        <v>206</v>
      </c>
      <c r="B82" s="603" t="s">
        <v>294</v>
      </c>
      <c r="C82" s="603" t="s">
        <v>267</v>
      </c>
      <c r="D82" s="527">
        <v>1646</v>
      </c>
      <c r="E82" s="527">
        <v>1439</v>
      </c>
      <c r="F82" s="527">
        <v>1189</v>
      </c>
      <c r="G82" s="1516">
        <v>1143</v>
      </c>
      <c r="H82" s="1516">
        <v>951</v>
      </c>
      <c r="I82" s="2414">
        <v>1318</v>
      </c>
    </row>
    <row r="83" spans="1:9" x14ac:dyDescent="0.25">
      <c r="A83" s="602" t="s">
        <v>208</v>
      </c>
      <c r="B83" s="603" t="s">
        <v>209</v>
      </c>
      <c r="C83" s="603" t="s">
        <v>268</v>
      </c>
      <c r="D83" s="527">
        <v>889</v>
      </c>
      <c r="E83" s="527">
        <v>848</v>
      </c>
      <c r="F83" s="527">
        <v>755</v>
      </c>
      <c r="G83" s="1516">
        <v>607</v>
      </c>
      <c r="H83" s="1516">
        <v>480</v>
      </c>
      <c r="I83" s="2414">
        <v>471</v>
      </c>
    </row>
    <row r="84" spans="1:9" x14ac:dyDescent="0.25">
      <c r="A84" s="602" t="s">
        <v>210</v>
      </c>
      <c r="B84" s="603" t="s">
        <v>211</v>
      </c>
      <c r="C84" s="603" t="s">
        <v>268</v>
      </c>
      <c r="D84" s="527">
        <v>702</v>
      </c>
      <c r="E84" s="527">
        <v>649</v>
      </c>
      <c r="F84" s="527">
        <v>612</v>
      </c>
      <c r="G84" s="1516">
        <v>560</v>
      </c>
      <c r="H84" s="1516">
        <v>398</v>
      </c>
      <c r="I84" s="2414">
        <v>413</v>
      </c>
    </row>
    <row r="85" spans="1:9" x14ac:dyDescent="0.25">
      <c r="A85" s="602" t="s">
        <v>212</v>
      </c>
      <c r="B85" s="603" t="s">
        <v>213</v>
      </c>
      <c r="C85" s="603" t="s">
        <v>267</v>
      </c>
      <c r="D85" s="527">
        <v>293</v>
      </c>
      <c r="E85" s="527">
        <v>222</v>
      </c>
      <c r="F85" s="527">
        <v>273</v>
      </c>
      <c r="G85" s="1516">
        <v>235</v>
      </c>
      <c r="H85" s="1516">
        <v>217</v>
      </c>
      <c r="I85" s="2414">
        <v>321</v>
      </c>
    </row>
    <row r="86" spans="1:9" x14ac:dyDescent="0.25">
      <c r="A86" s="602" t="s">
        <v>214</v>
      </c>
      <c r="B86" s="603" t="s">
        <v>215</v>
      </c>
      <c r="C86" s="603" t="s">
        <v>268</v>
      </c>
      <c r="D86" s="527">
        <v>936</v>
      </c>
      <c r="E86" s="527">
        <v>834</v>
      </c>
      <c r="F86" s="527">
        <v>746</v>
      </c>
      <c r="G86" s="1516">
        <v>677</v>
      </c>
      <c r="H86" s="1516">
        <v>527</v>
      </c>
      <c r="I86" s="2414">
        <v>552</v>
      </c>
    </row>
    <row r="87" spans="1:9" x14ac:dyDescent="0.25">
      <c r="A87" s="602" t="s">
        <v>216</v>
      </c>
      <c r="B87" s="603" t="s">
        <v>217</v>
      </c>
      <c r="C87" s="603" t="s">
        <v>264</v>
      </c>
      <c r="D87" s="527">
        <v>435</v>
      </c>
      <c r="E87" s="527">
        <v>418</v>
      </c>
      <c r="F87" s="527">
        <v>325</v>
      </c>
      <c r="G87" s="1516">
        <v>280</v>
      </c>
      <c r="H87" s="1516">
        <v>278</v>
      </c>
      <c r="I87" s="2414">
        <v>303</v>
      </c>
    </row>
    <row r="88" spans="1:9" x14ac:dyDescent="0.25">
      <c r="A88" s="602" t="s">
        <v>218</v>
      </c>
      <c r="B88" s="603" t="s">
        <v>219</v>
      </c>
      <c r="C88" s="603" t="s">
        <v>267</v>
      </c>
      <c r="D88" s="527">
        <v>2013</v>
      </c>
      <c r="E88" s="527">
        <v>1838</v>
      </c>
      <c r="F88" s="527">
        <v>1718</v>
      </c>
      <c r="G88" s="1516">
        <v>1581</v>
      </c>
      <c r="H88" s="1516">
        <v>1279</v>
      </c>
      <c r="I88" s="2414">
        <v>1568</v>
      </c>
    </row>
    <row r="89" spans="1:9" x14ac:dyDescent="0.25">
      <c r="A89" s="602" t="s">
        <v>220</v>
      </c>
      <c r="B89" s="603" t="s">
        <v>221</v>
      </c>
      <c r="C89" s="603" t="s">
        <v>267</v>
      </c>
      <c r="D89" s="527">
        <v>1433</v>
      </c>
      <c r="E89" s="527">
        <v>1347</v>
      </c>
      <c r="F89" s="527">
        <v>1228</v>
      </c>
      <c r="G89" s="1516">
        <v>1098</v>
      </c>
      <c r="H89" s="1516">
        <v>1019</v>
      </c>
      <c r="I89" s="2414">
        <v>1322</v>
      </c>
    </row>
    <row r="90" spans="1:9" x14ac:dyDescent="0.25">
      <c r="A90" s="602" t="s">
        <v>224</v>
      </c>
      <c r="B90" s="603" t="s">
        <v>225</v>
      </c>
      <c r="C90" s="603" t="s">
        <v>264</v>
      </c>
      <c r="D90" s="527">
        <v>227</v>
      </c>
      <c r="E90" s="527">
        <v>184</v>
      </c>
      <c r="F90" s="527">
        <v>143</v>
      </c>
      <c r="G90" s="1516">
        <v>141</v>
      </c>
      <c r="H90" s="1516">
        <v>98</v>
      </c>
      <c r="I90" s="2414">
        <v>75</v>
      </c>
    </row>
    <row r="91" spans="1:9" x14ac:dyDescent="0.25">
      <c r="A91" s="602" t="s">
        <v>226</v>
      </c>
      <c r="B91" s="603" t="s">
        <v>227</v>
      </c>
      <c r="C91" s="603" t="s">
        <v>264</v>
      </c>
      <c r="D91" s="527">
        <v>351</v>
      </c>
      <c r="E91" s="527">
        <v>341</v>
      </c>
      <c r="F91" s="527">
        <v>291</v>
      </c>
      <c r="G91" s="1516">
        <v>287</v>
      </c>
      <c r="H91" s="1516">
        <v>222</v>
      </c>
      <c r="I91" s="2414">
        <v>264</v>
      </c>
    </row>
    <row r="92" spans="1:9" x14ac:dyDescent="0.25">
      <c r="A92" s="602" t="s">
        <v>228</v>
      </c>
      <c r="B92" s="603" t="s">
        <v>229</v>
      </c>
      <c r="C92" s="603" t="s">
        <v>268</v>
      </c>
      <c r="D92" s="527">
        <v>1103</v>
      </c>
      <c r="E92" s="527">
        <v>1045</v>
      </c>
      <c r="F92" s="527">
        <v>909</v>
      </c>
      <c r="G92" s="1516">
        <v>721</v>
      </c>
      <c r="H92" s="1516">
        <v>611</v>
      </c>
      <c r="I92" s="2414">
        <v>642</v>
      </c>
    </row>
    <row r="93" spans="1:9" x14ac:dyDescent="0.25">
      <c r="A93" s="602" t="s">
        <v>232</v>
      </c>
      <c r="B93" s="603" t="s">
        <v>233</v>
      </c>
      <c r="C93" s="603" t="s">
        <v>267</v>
      </c>
      <c r="D93" s="527">
        <v>607</v>
      </c>
      <c r="E93" s="527">
        <v>574</v>
      </c>
      <c r="F93" s="527">
        <v>496</v>
      </c>
      <c r="G93" s="1516">
        <v>464</v>
      </c>
      <c r="H93" s="1516">
        <v>345</v>
      </c>
      <c r="I93" s="2414">
        <v>403</v>
      </c>
    </row>
    <row r="94" spans="1:9" x14ac:dyDescent="0.25">
      <c r="A94" s="602" t="s">
        <v>234</v>
      </c>
      <c r="B94" s="603" t="s">
        <v>235</v>
      </c>
      <c r="C94" s="603" t="s">
        <v>268</v>
      </c>
      <c r="D94" s="527">
        <v>856</v>
      </c>
      <c r="E94" s="527">
        <v>786</v>
      </c>
      <c r="F94" s="527">
        <v>750</v>
      </c>
      <c r="G94" s="1516">
        <v>707</v>
      </c>
      <c r="H94" s="1516">
        <v>572</v>
      </c>
      <c r="I94" s="2414">
        <v>667</v>
      </c>
    </row>
    <row r="95" spans="1:9" x14ac:dyDescent="0.25">
      <c r="A95" s="602" t="s">
        <v>236</v>
      </c>
      <c r="B95" s="603" t="s">
        <v>237</v>
      </c>
      <c r="C95" s="603" t="s">
        <v>266</v>
      </c>
      <c r="D95" s="527">
        <v>336</v>
      </c>
      <c r="E95" s="527">
        <v>295</v>
      </c>
      <c r="F95" s="527">
        <v>279</v>
      </c>
      <c r="G95" s="1516">
        <v>296</v>
      </c>
      <c r="H95" s="1516">
        <v>288</v>
      </c>
      <c r="I95" s="2414">
        <v>331</v>
      </c>
    </row>
    <row r="96" spans="1:9" x14ac:dyDescent="0.25">
      <c r="A96" s="602" t="s">
        <v>242</v>
      </c>
      <c r="B96" s="603" t="s">
        <v>243</v>
      </c>
      <c r="C96" s="603" t="s">
        <v>268</v>
      </c>
      <c r="D96" s="527">
        <v>1527</v>
      </c>
      <c r="E96" s="527">
        <v>1475</v>
      </c>
      <c r="F96" s="527">
        <v>1272</v>
      </c>
      <c r="G96" s="1516">
        <v>1096</v>
      </c>
      <c r="H96" s="1516">
        <v>994</v>
      </c>
      <c r="I96" s="2414">
        <v>1093</v>
      </c>
    </row>
    <row r="97" spans="1:9" x14ac:dyDescent="0.25">
      <c r="A97" s="602" t="s">
        <v>244</v>
      </c>
      <c r="B97" s="603" t="s">
        <v>245</v>
      </c>
      <c r="C97" s="603" t="s">
        <v>268</v>
      </c>
      <c r="D97" s="527">
        <v>519</v>
      </c>
      <c r="E97" s="527">
        <v>453</v>
      </c>
      <c r="F97" s="527">
        <v>399</v>
      </c>
      <c r="G97" s="1516">
        <v>372</v>
      </c>
      <c r="H97" s="1516">
        <v>322</v>
      </c>
      <c r="I97" s="2414">
        <v>352</v>
      </c>
    </row>
    <row r="98" spans="1:9" x14ac:dyDescent="0.25">
      <c r="A98" s="602" t="s">
        <v>246</v>
      </c>
      <c r="B98" s="603" t="s">
        <v>247</v>
      </c>
      <c r="C98" s="603" t="s">
        <v>264</v>
      </c>
      <c r="D98" s="527">
        <v>613</v>
      </c>
      <c r="E98" s="527">
        <v>626</v>
      </c>
      <c r="F98" s="527">
        <v>517</v>
      </c>
      <c r="G98" s="1516">
        <v>521</v>
      </c>
      <c r="H98" s="1516">
        <v>434</v>
      </c>
      <c r="I98" s="2414">
        <v>441</v>
      </c>
    </row>
    <row r="99" spans="1:9" x14ac:dyDescent="0.25">
      <c r="A99" s="602" t="s">
        <v>14</v>
      </c>
      <c r="B99" s="603" t="s">
        <v>15</v>
      </c>
      <c r="C99" s="603" t="s">
        <v>267</v>
      </c>
      <c r="D99" s="527">
        <v>1744</v>
      </c>
      <c r="E99" s="527">
        <v>1598</v>
      </c>
      <c r="F99" s="527">
        <v>1802</v>
      </c>
      <c r="G99" s="1516">
        <v>1879</v>
      </c>
      <c r="H99" s="1516">
        <v>1514</v>
      </c>
      <c r="I99" s="2414">
        <v>2317</v>
      </c>
    </row>
    <row r="100" spans="1:9" x14ac:dyDescent="0.25">
      <c r="A100" s="602" t="s">
        <v>34</v>
      </c>
      <c r="B100" s="603" t="s">
        <v>35</v>
      </c>
      <c r="C100" s="603" t="s">
        <v>268</v>
      </c>
      <c r="D100" s="527">
        <v>1230</v>
      </c>
      <c r="E100" s="527">
        <v>1071</v>
      </c>
      <c r="F100" s="527">
        <v>886</v>
      </c>
      <c r="G100" s="1516">
        <v>816</v>
      </c>
      <c r="H100" s="1516">
        <v>600</v>
      </c>
      <c r="I100" s="2414">
        <v>634</v>
      </c>
    </row>
    <row r="101" spans="1:9" x14ac:dyDescent="0.25">
      <c r="A101" s="602" t="s">
        <v>52</v>
      </c>
      <c r="B101" s="603" t="s">
        <v>53</v>
      </c>
      <c r="C101" s="603" t="s">
        <v>265</v>
      </c>
      <c r="D101" s="527">
        <v>1320</v>
      </c>
      <c r="E101" s="527">
        <v>1167</v>
      </c>
      <c r="F101" s="527">
        <v>1036</v>
      </c>
      <c r="G101" s="1516">
        <v>1024</v>
      </c>
      <c r="H101" s="1516">
        <v>823</v>
      </c>
      <c r="I101" s="2414">
        <v>894</v>
      </c>
    </row>
    <row r="102" spans="1:9" x14ac:dyDescent="0.25">
      <c r="A102" s="602" t="s">
        <v>54</v>
      </c>
      <c r="B102" s="603" t="s">
        <v>55</v>
      </c>
      <c r="C102" s="603" t="s">
        <v>264</v>
      </c>
      <c r="D102" s="527">
        <v>4480</v>
      </c>
      <c r="E102" s="527">
        <v>4155</v>
      </c>
      <c r="F102" s="527">
        <v>3615</v>
      </c>
      <c r="G102" s="1516">
        <v>3249</v>
      </c>
      <c r="H102" s="1516">
        <v>2525</v>
      </c>
      <c r="I102" s="2414">
        <v>2615</v>
      </c>
    </row>
    <row r="103" spans="1:9" x14ac:dyDescent="0.25">
      <c r="A103" s="602" t="s">
        <v>66</v>
      </c>
      <c r="B103" s="603" t="s">
        <v>67</v>
      </c>
      <c r="C103" s="603" t="s">
        <v>265</v>
      </c>
      <c r="D103" s="527">
        <v>1925</v>
      </c>
      <c r="E103" s="527">
        <v>1800</v>
      </c>
      <c r="F103" s="527">
        <v>1689</v>
      </c>
      <c r="G103" s="1516">
        <v>1506</v>
      </c>
      <c r="H103" s="1516">
        <v>1102</v>
      </c>
      <c r="I103" s="2414">
        <v>1118</v>
      </c>
    </row>
    <row r="104" spans="1:9" x14ac:dyDescent="0.25">
      <c r="A104" s="602" t="s">
        <v>82</v>
      </c>
      <c r="B104" s="603" t="s">
        <v>83</v>
      </c>
      <c r="C104" s="603" t="s">
        <v>264</v>
      </c>
      <c r="D104" s="527">
        <v>504</v>
      </c>
      <c r="E104" s="527">
        <v>442</v>
      </c>
      <c r="F104" s="527">
        <v>351</v>
      </c>
      <c r="G104" s="1516">
        <v>264</v>
      </c>
      <c r="H104" s="1516">
        <v>218</v>
      </c>
      <c r="I104" s="2414">
        <v>261</v>
      </c>
    </row>
    <row r="105" spans="1:9" x14ac:dyDescent="0.25">
      <c r="A105" s="602" t="s">
        <v>88</v>
      </c>
      <c r="B105" s="603" t="s">
        <v>89</v>
      </c>
      <c r="C105" s="603" t="s">
        <v>267</v>
      </c>
      <c r="D105" s="527">
        <v>893</v>
      </c>
      <c r="E105" s="527">
        <v>906</v>
      </c>
      <c r="F105" s="527">
        <v>791</v>
      </c>
      <c r="G105" s="1516">
        <v>757</v>
      </c>
      <c r="H105" s="1516">
        <v>613</v>
      </c>
      <c r="I105" s="2414">
        <v>777</v>
      </c>
    </row>
    <row r="106" spans="1:9" x14ac:dyDescent="0.25">
      <c r="A106" s="602" t="s">
        <v>90</v>
      </c>
      <c r="B106" s="603" t="s">
        <v>91</v>
      </c>
      <c r="C106" s="603" t="s">
        <v>268</v>
      </c>
      <c r="D106" s="527">
        <v>282</v>
      </c>
      <c r="E106" s="527">
        <v>240</v>
      </c>
      <c r="F106" s="527">
        <v>152</v>
      </c>
      <c r="G106" s="1516">
        <v>165</v>
      </c>
      <c r="H106" s="1516">
        <v>130</v>
      </c>
      <c r="I106" s="2414">
        <v>127</v>
      </c>
    </row>
    <row r="107" spans="1:9" x14ac:dyDescent="0.25">
      <c r="A107" s="602" t="s">
        <v>106</v>
      </c>
      <c r="B107" s="603" t="s">
        <v>107</v>
      </c>
      <c r="C107" s="603" t="s">
        <v>264</v>
      </c>
      <c r="D107" s="527">
        <v>5414</v>
      </c>
      <c r="E107" s="527">
        <v>5164</v>
      </c>
      <c r="F107" s="527">
        <v>4328</v>
      </c>
      <c r="G107" s="1516">
        <v>3982</v>
      </c>
      <c r="H107" s="1516">
        <v>3265</v>
      </c>
      <c r="I107" s="2414">
        <v>3421</v>
      </c>
    </row>
    <row r="108" spans="1:9" x14ac:dyDescent="0.25">
      <c r="A108" s="602" t="s">
        <v>116</v>
      </c>
      <c r="B108" s="603" t="s">
        <v>117</v>
      </c>
      <c r="C108" s="603" t="s">
        <v>266</v>
      </c>
      <c r="D108" s="527">
        <v>1309</v>
      </c>
      <c r="E108" s="527">
        <v>1274</v>
      </c>
      <c r="F108" s="527">
        <v>1154</v>
      </c>
      <c r="G108" s="1516">
        <v>1042</v>
      </c>
      <c r="H108" s="1516">
        <v>923</v>
      </c>
      <c r="I108" s="2414">
        <v>993</v>
      </c>
    </row>
    <row r="109" spans="1:9" x14ac:dyDescent="0.25">
      <c r="A109" s="602" t="s">
        <v>138</v>
      </c>
      <c r="B109" s="603" t="s">
        <v>139</v>
      </c>
      <c r="C109" s="603" t="s">
        <v>265</v>
      </c>
      <c r="D109" s="527">
        <v>2330</v>
      </c>
      <c r="E109" s="527">
        <v>2196</v>
      </c>
      <c r="F109" s="527">
        <v>1909</v>
      </c>
      <c r="G109" s="1516">
        <v>1728</v>
      </c>
      <c r="H109" s="1516">
        <v>1361</v>
      </c>
      <c r="I109" s="2414">
        <v>1334</v>
      </c>
    </row>
    <row r="110" spans="1:9" x14ac:dyDescent="0.25">
      <c r="A110" s="602" t="s">
        <v>142</v>
      </c>
      <c r="B110" s="603" t="s">
        <v>143</v>
      </c>
      <c r="C110" s="603" t="s">
        <v>267</v>
      </c>
      <c r="D110" s="527">
        <v>803</v>
      </c>
      <c r="E110" s="527">
        <v>724</v>
      </c>
      <c r="F110" s="527">
        <v>618</v>
      </c>
      <c r="G110" s="1516">
        <v>546</v>
      </c>
      <c r="H110" s="1516">
        <v>315</v>
      </c>
      <c r="I110" s="2414">
        <v>405</v>
      </c>
    </row>
    <row r="111" spans="1:9" x14ac:dyDescent="0.25">
      <c r="A111" s="602" t="s">
        <v>144</v>
      </c>
      <c r="B111" s="603" t="s">
        <v>145</v>
      </c>
      <c r="C111" s="603" t="s">
        <v>267</v>
      </c>
      <c r="D111" s="527">
        <v>205</v>
      </c>
      <c r="E111" s="527">
        <v>187</v>
      </c>
      <c r="F111" s="527">
        <v>124</v>
      </c>
      <c r="G111" s="1516">
        <v>124</v>
      </c>
      <c r="H111" s="1516">
        <v>117</v>
      </c>
      <c r="I111" s="2414">
        <v>128</v>
      </c>
    </row>
    <row r="112" spans="1:9" x14ac:dyDescent="0.25">
      <c r="A112" s="602" t="s">
        <v>158</v>
      </c>
      <c r="B112" s="603" t="s">
        <v>159</v>
      </c>
      <c r="C112" s="603" t="s">
        <v>264</v>
      </c>
      <c r="D112" s="527">
        <v>7768</v>
      </c>
      <c r="E112" s="527">
        <v>7029</v>
      </c>
      <c r="F112" s="527">
        <v>6267</v>
      </c>
      <c r="G112" s="1516">
        <v>5942</v>
      </c>
      <c r="H112" s="1516">
        <v>5115</v>
      </c>
      <c r="I112" s="2414">
        <v>5596</v>
      </c>
    </row>
    <row r="113" spans="1:9" x14ac:dyDescent="0.25">
      <c r="A113" s="602" t="s">
        <v>160</v>
      </c>
      <c r="B113" s="603" t="s">
        <v>161</v>
      </c>
      <c r="C113" s="603" t="s">
        <v>264</v>
      </c>
      <c r="D113" s="527">
        <v>9256</v>
      </c>
      <c r="E113" s="527">
        <v>8346</v>
      </c>
      <c r="F113" s="527">
        <v>7297</v>
      </c>
      <c r="G113" s="1516">
        <v>6332</v>
      </c>
      <c r="H113" s="1516">
        <v>4948</v>
      </c>
      <c r="I113" s="2414">
        <v>4860</v>
      </c>
    </row>
    <row r="114" spans="1:9" x14ac:dyDescent="0.25">
      <c r="A114" s="602" t="s">
        <v>166</v>
      </c>
      <c r="B114" s="603" t="s">
        <v>167</v>
      </c>
      <c r="C114" s="603" t="s">
        <v>268</v>
      </c>
      <c r="D114" s="527">
        <v>197</v>
      </c>
      <c r="E114" s="527">
        <v>211</v>
      </c>
      <c r="F114" s="527">
        <v>220</v>
      </c>
      <c r="G114" s="1516">
        <v>195</v>
      </c>
      <c r="H114" s="1516">
        <v>154</v>
      </c>
      <c r="I114" s="2414">
        <v>138</v>
      </c>
    </row>
    <row r="115" spans="1:9" x14ac:dyDescent="0.25">
      <c r="A115" s="602" t="s">
        <v>176</v>
      </c>
      <c r="B115" s="603" t="s">
        <v>177</v>
      </c>
      <c r="C115" s="603" t="s">
        <v>266</v>
      </c>
      <c r="D115" s="527">
        <v>2032</v>
      </c>
      <c r="E115" s="527">
        <v>1947</v>
      </c>
      <c r="F115" s="527">
        <v>1873</v>
      </c>
      <c r="G115" s="1516">
        <v>1739</v>
      </c>
      <c r="H115" s="1516">
        <v>1318</v>
      </c>
      <c r="I115" s="2414">
        <v>1380</v>
      </c>
    </row>
    <row r="116" spans="1:9" x14ac:dyDescent="0.25">
      <c r="A116" s="602" t="s">
        <v>180</v>
      </c>
      <c r="B116" s="603" t="s">
        <v>181</v>
      </c>
      <c r="C116" s="603" t="s">
        <v>264</v>
      </c>
      <c r="D116" s="527">
        <v>4692</v>
      </c>
      <c r="E116" s="527">
        <v>4307</v>
      </c>
      <c r="F116" s="527">
        <v>3880</v>
      </c>
      <c r="G116" s="1516">
        <v>3535</v>
      </c>
      <c r="H116" s="1516">
        <v>2782</v>
      </c>
      <c r="I116" s="2414">
        <v>2777</v>
      </c>
    </row>
    <row r="117" spans="1:9" x14ac:dyDescent="0.25">
      <c r="A117" s="602" t="s">
        <v>192</v>
      </c>
      <c r="B117" s="603" t="s">
        <v>193</v>
      </c>
      <c r="C117" s="603" t="s">
        <v>268</v>
      </c>
      <c r="D117" s="527">
        <v>338</v>
      </c>
      <c r="E117" s="527">
        <v>357</v>
      </c>
      <c r="F117" s="527">
        <v>294</v>
      </c>
      <c r="G117" s="1516">
        <v>252</v>
      </c>
      <c r="H117" s="1516">
        <v>196</v>
      </c>
      <c r="I117" s="2414">
        <v>230</v>
      </c>
    </row>
    <row r="118" spans="1:9" x14ac:dyDescent="0.25">
      <c r="A118" s="602" t="s">
        <v>196</v>
      </c>
      <c r="B118" s="603" t="s">
        <v>197</v>
      </c>
      <c r="C118" s="603" t="s">
        <v>266</v>
      </c>
      <c r="D118" s="527">
        <v>10459</v>
      </c>
      <c r="E118" s="527">
        <v>9368</v>
      </c>
      <c r="F118" s="527">
        <v>8084</v>
      </c>
      <c r="G118" s="1516">
        <v>7403</v>
      </c>
      <c r="H118" s="1516">
        <v>5941</v>
      </c>
      <c r="I118" s="2414">
        <v>6116</v>
      </c>
    </row>
    <row r="119" spans="1:9" x14ac:dyDescent="0.25">
      <c r="A119" s="602" t="s">
        <v>200</v>
      </c>
      <c r="B119" s="603" t="s">
        <v>201</v>
      </c>
      <c r="C119" s="603" t="s">
        <v>265</v>
      </c>
      <c r="D119" s="527">
        <v>4909</v>
      </c>
      <c r="E119" s="527">
        <v>4526</v>
      </c>
      <c r="F119" s="527">
        <v>3858</v>
      </c>
      <c r="G119" s="1516">
        <v>3485</v>
      </c>
      <c r="H119" s="1516">
        <v>2815</v>
      </c>
      <c r="I119" s="2414">
        <v>3086</v>
      </c>
    </row>
    <row r="120" spans="1:9" x14ac:dyDescent="0.25">
      <c r="A120" s="602" t="s">
        <v>222</v>
      </c>
      <c r="B120" s="603" t="s">
        <v>223</v>
      </c>
      <c r="C120" s="603" t="s">
        <v>264</v>
      </c>
      <c r="D120" s="527">
        <v>1617</v>
      </c>
      <c r="E120" s="527">
        <v>1658</v>
      </c>
      <c r="F120" s="527">
        <v>1453</v>
      </c>
      <c r="G120" s="1516">
        <v>1401</v>
      </c>
      <c r="H120" s="1516">
        <v>1182</v>
      </c>
      <c r="I120" s="2414">
        <v>1257</v>
      </c>
    </row>
    <row r="121" spans="1:9" x14ac:dyDescent="0.25">
      <c r="A121" s="602" t="s">
        <v>230</v>
      </c>
      <c r="B121" s="603" t="s">
        <v>231</v>
      </c>
      <c r="C121" s="603" t="s">
        <v>264</v>
      </c>
      <c r="D121" s="527">
        <v>4852</v>
      </c>
      <c r="E121" s="527">
        <v>4285</v>
      </c>
      <c r="F121" s="527">
        <v>3634</v>
      </c>
      <c r="G121" s="1516">
        <v>3070</v>
      </c>
      <c r="H121" s="1516">
        <v>2202</v>
      </c>
      <c r="I121" s="2414">
        <v>2376</v>
      </c>
    </row>
    <row r="122" spans="1:9" x14ac:dyDescent="0.25">
      <c r="A122" s="602" t="s">
        <v>238</v>
      </c>
      <c r="B122" s="603" t="s">
        <v>239</v>
      </c>
      <c r="C122" s="603" t="s">
        <v>264</v>
      </c>
      <c r="D122" s="527">
        <v>219</v>
      </c>
      <c r="E122" s="527">
        <v>240</v>
      </c>
      <c r="F122" s="527">
        <v>168</v>
      </c>
      <c r="G122" s="1516">
        <v>150</v>
      </c>
      <c r="H122" s="1516">
        <v>94</v>
      </c>
      <c r="I122" s="2414">
        <v>152</v>
      </c>
    </row>
    <row r="123" spans="1:9" x14ac:dyDescent="0.25">
      <c r="A123" s="528" t="s">
        <v>240</v>
      </c>
      <c r="B123" s="517" t="s">
        <v>241</v>
      </c>
      <c r="C123" s="517" t="s">
        <v>267</v>
      </c>
      <c r="D123" s="529">
        <v>654</v>
      </c>
      <c r="E123" s="529">
        <v>532</v>
      </c>
      <c r="F123" s="529">
        <v>401</v>
      </c>
      <c r="G123" s="1517">
        <v>383</v>
      </c>
      <c r="H123" s="1517">
        <v>309</v>
      </c>
      <c r="I123" s="2415">
        <v>349</v>
      </c>
    </row>
    <row r="125" spans="1:9" ht="63.75" customHeight="1" x14ac:dyDescent="0.25">
      <c r="A125" s="2737" t="s">
        <v>1412</v>
      </c>
      <c r="B125" s="2737"/>
      <c r="C125" s="2737"/>
      <c r="D125" s="2737"/>
      <c r="E125" s="2737"/>
      <c r="F125" s="2737"/>
      <c r="G125" s="2737"/>
      <c r="H125" s="2737"/>
      <c r="I125" s="2355"/>
    </row>
    <row r="127" spans="1:9" s="389" customFormat="1" x14ac:dyDescent="0.25">
      <c r="A127" s="389" t="s">
        <v>248</v>
      </c>
    </row>
    <row r="128" spans="1:9" s="389" customFormat="1" x14ac:dyDescent="0.25">
      <c r="A128" s="390" t="s">
        <v>249</v>
      </c>
      <c r="B128" s="391" t="s">
        <v>250</v>
      </c>
      <c r="C128" s="391"/>
    </row>
  </sheetData>
  <sortState ref="A4:I123">
    <sortCondition ref="A4:A123"/>
  </sortState>
  <mergeCells count="1">
    <mergeCell ref="A125:H125"/>
  </mergeCells>
  <hyperlinks>
    <hyperlink ref="B128" r:id="rId1"/>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32"/>
  <sheetViews>
    <sheetView workbookViewId="0">
      <pane ySplit="4" topLeftCell="A101" activePane="bottomLeft" state="frozen"/>
      <selection pane="bottomLeft" sqref="A1:XFD1048576"/>
    </sheetView>
  </sheetViews>
  <sheetFormatPr defaultRowHeight="15.75" x14ac:dyDescent="0.25"/>
  <cols>
    <col min="1" max="1" width="5.875" style="505" customWidth="1"/>
    <col min="2" max="2" width="29.5" style="505" customWidth="1"/>
    <col min="3" max="3" width="16.25" style="505" customWidth="1"/>
    <col min="4" max="10" width="11.375" style="505" customWidth="1"/>
    <col min="11" max="11" width="3.875" style="505" customWidth="1"/>
    <col min="12" max="16384" width="9" style="505"/>
  </cols>
  <sheetData>
    <row r="1" spans="1:10" x14ac:dyDescent="0.25">
      <c r="A1" s="255" t="s">
        <v>1070</v>
      </c>
    </row>
    <row r="3" spans="1:10" ht="31.5" x14ac:dyDescent="0.25">
      <c r="A3" s="607" t="s">
        <v>4</v>
      </c>
      <c r="B3" s="567" t="s">
        <v>5</v>
      </c>
      <c r="C3" s="567" t="s">
        <v>251</v>
      </c>
      <c r="D3" s="613" t="s">
        <v>753</v>
      </c>
      <c r="E3" s="613" t="s">
        <v>754</v>
      </c>
      <c r="F3" s="613" t="s">
        <v>755</v>
      </c>
      <c r="G3" s="613" t="s">
        <v>756</v>
      </c>
      <c r="H3" s="613" t="s">
        <v>815</v>
      </c>
      <c r="I3" s="613" t="s">
        <v>858</v>
      </c>
      <c r="J3" s="1337" t="s">
        <v>1069</v>
      </c>
    </row>
    <row r="4" spans="1:10" x14ac:dyDescent="0.25">
      <c r="A4" s="610">
        <v>999</v>
      </c>
      <c r="B4" s="611" t="s">
        <v>783</v>
      </c>
      <c r="C4" s="611"/>
      <c r="D4" s="612">
        <f>SUM(D5:D124)</f>
        <v>1063886</v>
      </c>
      <c r="E4" s="612">
        <f>SUM(E5:E124)</f>
        <v>1129713</v>
      </c>
      <c r="F4" s="612">
        <f>SUM(F5:F124)</f>
        <v>1188712</v>
      </c>
      <c r="G4" s="612">
        <f>SUM(G5:G124)</f>
        <v>1236732</v>
      </c>
      <c r="H4" s="889">
        <f>SUM(H5:H124)</f>
        <v>1291480</v>
      </c>
      <c r="I4" s="889">
        <v>1313599</v>
      </c>
      <c r="J4" s="1338">
        <v>1389412</v>
      </c>
    </row>
    <row r="5" spans="1:10" s="606" customFormat="1" x14ac:dyDescent="0.25">
      <c r="A5" s="602" t="s">
        <v>10</v>
      </c>
      <c r="B5" s="603" t="s">
        <v>11</v>
      </c>
      <c r="C5" s="603" t="s">
        <v>264</v>
      </c>
      <c r="D5" s="604">
        <v>7838</v>
      </c>
      <c r="E5" s="604">
        <v>7933</v>
      </c>
      <c r="F5" s="604">
        <v>8275</v>
      </c>
      <c r="G5" s="605">
        <v>8453</v>
      </c>
      <c r="H5" s="890">
        <v>8723</v>
      </c>
      <c r="I5" s="890">
        <v>8834</v>
      </c>
      <c r="J5" s="1339">
        <v>9118</v>
      </c>
    </row>
    <row r="6" spans="1:10" s="606" customFormat="1" x14ac:dyDescent="0.25">
      <c r="A6" s="602" t="s">
        <v>12</v>
      </c>
      <c r="B6" s="603" t="s">
        <v>13</v>
      </c>
      <c r="C6" s="603" t="s">
        <v>265</v>
      </c>
      <c r="D6" s="604">
        <v>8176</v>
      </c>
      <c r="E6" s="604">
        <v>8802</v>
      </c>
      <c r="F6" s="604">
        <v>9342</v>
      </c>
      <c r="G6" s="605">
        <v>9739</v>
      </c>
      <c r="H6" s="890">
        <v>10033</v>
      </c>
      <c r="I6" s="890">
        <v>10311</v>
      </c>
      <c r="J6" s="1339">
        <v>11019</v>
      </c>
    </row>
    <row r="7" spans="1:10" s="606" customFormat="1" x14ac:dyDescent="0.25">
      <c r="A7" s="602" t="s">
        <v>16</v>
      </c>
      <c r="B7" s="603" t="s">
        <v>297</v>
      </c>
      <c r="C7" s="603" t="s">
        <v>265</v>
      </c>
      <c r="D7" s="604">
        <v>4828</v>
      </c>
      <c r="E7" s="604">
        <v>4948</v>
      </c>
      <c r="F7" s="604">
        <v>5104</v>
      </c>
      <c r="G7" s="605">
        <v>5268</v>
      </c>
      <c r="H7" s="890">
        <v>5201</v>
      </c>
      <c r="I7" s="890">
        <v>5268</v>
      </c>
      <c r="J7" s="1339">
        <v>5544</v>
      </c>
    </row>
    <row r="8" spans="1:10" s="606" customFormat="1" x14ac:dyDescent="0.25">
      <c r="A8" s="602" t="s">
        <v>18</v>
      </c>
      <c r="B8" s="603" t="s">
        <v>19</v>
      </c>
      <c r="C8" s="603" t="s">
        <v>266</v>
      </c>
      <c r="D8" s="604">
        <v>2246</v>
      </c>
      <c r="E8" s="604">
        <v>2521</v>
      </c>
      <c r="F8" s="604">
        <v>2605</v>
      </c>
      <c r="G8" s="605">
        <v>2798</v>
      </c>
      <c r="H8" s="890">
        <v>2751</v>
      </c>
      <c r="I8" s="890">
        <v>2678</v>
      </c>
      <c r="J8" s="1339">
        <v>2712</v>
      </c>
    </row>
    <row r="9" spans="1:10" s="606" customFormat="1" x14ac:dyDescent="0.25">
      <c r="A9" s="602" t="s">
        <v>20</v>
      </c>
      <c r="B9" s="603" t="s">
        <v>21</v>
      </c>
      <c r="C9" s="603" t="s">
        <v>265</v>
      </c>
      <c r="D9" s="604">
        <v>5174</v>
      </c>
      <c r="E9" s="604">
        <v>5467</v>
      </c>
      <c r="F9" s="604">
        <v>5594</v>
      </c>
      <c r="G9" s="605">
        <v>5642</v>
      </c>
      <c r="H9" s="890">
        <v>5907</v>
      </c>
      <c r="I9" s="890">
        <v>5814</v>
      </c>
      <c r="J9" s="1339">
        <v>6134</v>
      </c>
    </row>
    <row r="10" spans="1:10" s="606" customFormat="1" x14ac:dyDescent="0.25">
      <c r="A10" s="602" t="s">
        <v>22</v>
      </c>
      <c r="B10" s="603" t="s">
        <v>23</v>
      </c>
      <c r="C10" s="603" t="s">
        <v>265</v>
      </c>
      <c r="D10" s="604">
        <v>2975</v>
      </c>
      <c r="E10" s="604">
        <v>3152</v>
      </c>
      <c r="F10" s="604">
        <v>3225</v>
      </c>
      <c r="G10" s="605">
        <v>3410</v>
      </c>
      <c r="H10" s="890">
        <v>3595</v>
      </c>
      <c r="I10" s="890">
        <v>3521</v>
      </c>
      <c r="J10" s="1339">
        <v>3731</v>
      </c>
    </row>
    <row r="11" spans="1:10" s="606" customFormat="1" x14ac:dyDescent="0.25">
      <c r="A11" s="602" t="s">
        <v>24</v>
      </c>
      <c r="B11" s="603" t="s">
        <v>25</v>
      </c>
      <c r="C11" s="603" t="s">
        <v>267</v>
      </c>
      <c r="D11" s="604">
        <v>12005</v>
      </c>
      <c r="E11" s="604">
        <v>12767</v>
      </c>
      <c r="F11" s="604">
        <v>13291</v>
      </c>
      <c r="G11" s="605">
        <v>13920</v>
      </c>
      <c r="H11" s="890">
        <v>14811</v>
      </c>
      <c r="I11" s="890">
        <v>15509</v>
      </c>
      <c r="J11" s="1339">
        <v>16707</v>
      </c>
    </row>
    <row r="12" spans="1:10" s="606" customFormat="1" x14ac:dyDescent="0.25">
      <c r="A12" s="602" t="s">
        <v>26</v>
      </c>
      <c r="B12" s="603" t="s">
        <v>685</v>
      </c>
      <c r="C12" s="603" t="s">
        <v>265</v>
      </c>
      <c r="D12" s="604">
        <v>18094</v>
      </c>
      <c r="E12" s="604">
        <v>19350</v>
      </c>
      <c r="F12" s="604">
        <v>20252</v>
      </c>
      <c r="G12" s="605">
        <v>21261</v>
      </c>
      <c r="H12" s="890">
        <v>22605</v>
      </c>
      <c r="I12" s="890">
        <v>22667</v>
      </c>
      <c r="J12" s="1339">
        <v>23088</v>
      </c>
    </row>
    <row r="13" spans="1:10" s="606" customFormat="1" x14ac:dyDescent="0.25">
      <c r="A13" s="602" t="s">
        <v>27</v>
      </c>
      <c r="B13" s="603" t="s">
        <v>28</v>
      </c>
      <c r="C13" s="603" t="s">
        <v>265</v>
      </c>
      <c r="D13" s="604">
        <v>581</v>
      </c>
      <c r="E13" s="604">
        <v>645</v>
      </c>
      <c r="F13" s="604">
        <v>700</v>
      </c>
      <c r="G13" s="605">
        <v>711</v>
      </c>
      <c r="H13" s="890">
        <v>794</v>
      </c>
      <c r="I13" s="890">
        <v>736</v>
      </c>
      <c r="J13" s="1339">
        <v>847</v>
      </c>
    </row>
    <row r="14" spans="1:10" s="606" customFormat="1" x14ac:dyDescent="0.25">
      <c r="A14" s="602" t="s">
        <v>29</v>
      </c>
      <c r="B14" s="603" t="s">
        <v>901</v>
      </c>
      <c r="C14" s="603" t="s">
        <v>265</v>
      </c>
      <c r="D14" s="604">
        <v>8794</v>
      </c>
      <c r="E14" s="604">
        <v>9666</v>
      </c>
      <c r="F14" s="604">
        <v>10011</v>
      </c>
      <c r="G14" s="605">
        <v>10434</v>
      </c>
      <c r="H14" s="890">
        <v>10773</v>
      </c>
      <c r="I14" s="890">
        <v>11727</v>
      </c>
      <c r="J14" s="1339">
        <v>11159</v>
      </c>
    </row>
    <row r="15" spans="1:10" s="606" customFormat="1" x14ac:dyDescent="0.25">
      <c r="A15" s="602" t="s">
        <v>30</v>
      </c>
      <c r="B15" s="603" t="s">
        <v>31</v>
      </c>
      <c r="C15" s="603" t="s">
        <v>268</v>
      </c>
      <c r="D15" s="604">
        <v>1012</v>
      </c>
      <c r="E15" s="604">
        <v>1033</v>
      </c>
      <c r="F15" s="604">
        <v>1013</v>
      </c>
      <c r="G15" s="605">
        <v>1072</v>
      </c>
      <c r="H15" s="890">
        <v>1141</v>
      </c>
      <c r="I15" s="890">
        <v>1071</v>
      </c>
      <c r="J15" s="1339">
        <v>1135</v>
      </c>
    </row>
    <row r="16" spans="1:10" s="606" customFormat="1" x14ac:dyDescent="0.25">
      <c r="A16" s="602" t="s">
        <v>32</v>
      </c>
      <c r="B16" s="603" t="s">
        <v>33</v>
      </c>
      <c r="C16" s="603" t="s">
        <v>265</v>
      </c>
      <c r="D16" s="604">
        <v>2552</v>
      </c>
      <c r="E16" s="604">
        <v>2753</v>
      </c>
      <c r="F16" s="604">
        <v>2765</v>
      </c>
      <c r="G16" s="605">
        <v>2911</v>
      </c>
      <c r="H16" s="890">
        <v>3022</v>
      </c>
      <c r="I16" s="890">
        <v>3149</v>
      </c>
      <c r="J16" s="1339">
        <v>3509</v>
      </c>
    </row>
    <row r="17" spans="1:10" s="606" customFormat="1" x14ac:dyDescent="0.25">
      <c r="A17" s="602" t="s">
        <v>36</v>
      </c>
      <c r="B17" s="603" t="s">
        <v>37</v>
      </c>
      <c r="C17" s="603" t="s">
        <v>264</v>
      </c>
      <c r="D17" s="604">
        <v>4252</v>
      </c>
      <c r="E17" s="604">
        <v>4356</v>
      </c>
      <c r="F17" s="604">
        <v>4431</v>
      </c>
      <c r="G17" s="605">
        <v>4447</v>
      </c>
      <c r="H17" s="890">
        <v>4598</v>
      </c>
      <c r="I17" s="890">
        <v>4694</v>
      </c>
      <c r="J17" s="1339">
        <v>4883</v>
      </c>
    </row>
    <row r="18" spans="1:10" s="606" customFormat="1" x14ac:dyDescent="0.25">
      <c r="A18" s="602" t="s">
        <v>38</v>
      </c>
      <c r="B18" s="603" t="s">
        <v>39</v>
      </c>
      <c r="C18" s="603" t="s">
        <v>268</v>
      </c>
      <c r="D18" s="604">
        <v>6675</v>
      </c>
      <c r="E18" s="604">
        <v>6666</v>
      </c>
      <c r="F18" s="604">
        <v>6581</v>
      </c>
      <c r="G18" s="605">
        <v>6599</v>
      </c>
      <c r="H18" s="890">
        <v>6789</v>
      </c>
      <c r="I18" s="890">
        <v>6755</v>
      </c>
      <c r="J18" s="1339">
        <v>6989</v>
      </c>
    </row>
    <row r="19" spans="1:10" s="606" customFormat="1" x14ac:dyDescent="0.25">
      <c r="A19" s="602" t="s">
        <v>40</v>
      </c>
      <c r="B19" s="603" t="s">
        <v>41</v>
      </c>
      <c r="C19" s="603" t="s">
        <v>266</v>
      </c>
      <c r="D19" s="604">
        <v>3183</v>
      </c>
      <c r="E19" s="604">
        <v>3390</v>
      </c>
      <c r="F19" s="604">
        <v>3515</v>
      </c>
      <c r="G19" s="605">
        <v>3661</v>
      </c>
      <c r="H19" s="890">
        <v>3855</v>
      </c>
      <c r="I19" s="890">
        <v>3873</v>
      </c>
      <c r="J19" s="1339">
        <v>4087</v>
      </c>
    </row>
    <row r="20" spans="1:10" s="606" customFormat="1" x14ac:dyDescent="0.25">
      <c r="A20" s="602" t="s">
        <v>42</v>
      </c>
      <c r="B20" s="603" t="s">
        <v>43</v>
      </c>
      <c r="C20" s="603" t="s">
        <v>265</v>
      </c>
      <c r="D20" s="604">
        <v>9260</v>
      </c>
      <c r="E20" s="604">
        <v>9829</v>
      </c>
      <c r="F20" s="604">
        <v>10297</v>
      </c>
      <c r="G20" s="605">
        <v>10702</v>
      </c>
      <c r="H20" s="890">
        <v>11112</v>
      </c>
      <c r="I20" s="890">
        <v>11215</v>
      </c>
      <c r="J20" s="1339">
        <v>11752</v>
      </c>
    </row>
    <row r="21" spans="1:10" s="606" customFormat="1" x14ac:dyDescent="0.25">
      <c r="A21" s="602" t="s">
        <v>44</v>
      </c>
      <c r="B21" s="603" t="s">
        <v>45</v>
      </c>
      <c r="C21" s="603" t="s">
        <v>266</v>
      </c>
      <c r="D21" s="604">
        <v>4948</v>
      </c>
      <c r="E21" s="604">
        <v>5235</v>
      </c>
      <c r="F21" s="604">
        <v>5427</v>
      </c>
      <c r="G21" s="605">
        <v>5688</v>
      </c>
      <c r="H21" s="890">
        <v>5852</v>
      </c>
      <c r="I21" s="890">
        <v>5813</v>
      </c>
      <c r="J21" s="1339">
        <v>6396</v>
      </c>
    </row>
    <row r="22" spans="1:10" s="606" customFormat="1" x14ac:dyDescent="0.25">
      <c r="A22" s="602" t="s">
        <v>46</v>
      </c>
      <c r="B22" s="603" t="s">
        <v>47</v>
      </c>
      <c r="C22" s="603" t="s">
        <v>268</v>
      </c>
      <c r="D22" s="604">
        <v>6445</v>
      </c>
      <c r="E22" s="604">
        <v>6690</v>
      </c>
      <c r="F22" s="604">
        <v>6980</v>
      </c>
      <c r="G22" s="605">
        <v>7218</v>
      </c>
      <c r="H22" s="890">
        <v>7309</v>
      </c>
      <c r="I22" s="890">
        <v>7237</v>
      </c>
      <c r="J22" s="1339">
        <v>7486</v>
      </c>
    </row>
    <row r="23" spans="1:10" s="606" customFormat="1" x14ac:dyDescent="0.25">
      <c r="A23" s="602" t="s">
        <v>48</v>
      </c>
      <c r="B23" s="603" t="s">
        <v>269</v>
      </c>
      <c r="C23" s="603" t="s">
        <v>266</v>
      </c>
      <c r="D23" s="604">
        <v>1111</v>
      </c>
      <c r="E23" s="604">
        <v>1161</v>
      </c>
      <c r="F23" s="604">
        <v>1216</v>
      </c>
      <c r="G23" s="605">
        <v>1224</v>
      </c>
      <c r="H23" s="890">
        <v>1262</v>
      </c>
      <c r="I23" s="890">
        <v>1227</v>
      </c>
      <c r="J23" s="1339">
        <v>1344</v>
      </c>
    </row>
    <row r="24" spans="1:10" s="606" customFormat="1" x14ac:dyDescent="0.25">
      <c r="A24" s="602" t="s">
        <v>50</v>
      </c>
      <c r="B24" s="603" t="s">
        <v>51</v>
      </c>
      <c r="C24" s="603" t="s">
        <v>265</v>
      </c>
      <c r="D24" s="604">
        <v>3207</v>
      </c>
      <c r="E24" s="604">
        <v>3258</v>
      </c>
      <c r="F24" s="604">
        <v>3332</v>
      </c>
      <c r="G24" s="605">
        <v>3389</v>
      </c>
      <c r="H24" s="890">
        <v>3384</v>
      </c>
      <c r="I24" s="890">
        <v>3295</v>
      </c>
      <c r="J24" s="1339">
        <v>3441</v>
      </c>
    </row>
    <row r="25" spans="1:10" s="606" customFormat="1" x14ac:dyDescent="0.25">
      <c r="A25" s="602" t="s">
        <v>56</v>
      </c>
      <c r="B25" s="603" t="s">
        <v>295</v>
      </c>
      <c r="C25" s="603" t="s">
        <v>266</v>
      </c>
      <c r="D25" s="604">
        <v>35855</v>
      </c>
      <c r="E25" s="604">
        <v>39703</v>
      </c>
      <c r="F25" s="604">
        <v>42522</v>
      </c>
      <c r="G25" s="605">
        <v>44327</v>
      </c>
      <c r="H25" s="890">
        <v>46644</v>
      </c>
      <c r="I25" s="890">
        <v>47977</v>
      </c>
      <c r="J25" s="1339">
        <v>52998</v>
      </c>
    </row>
    <row r="26" spans="1:10" s="606" customFormat="1" x14ac:dyDescent="0.25">
      <c r="A26" s="602" t="s">
        <v>58</v>
      </c>
      <c r="B26" s="603" t="s">
        <v>59</v>
      </c>
      <c r="C26" s="603" t="s">
        <v>267</v>
      </c>
      <c r="D26" s="604">
        <v>1146</v>
      </c>
      <c r="E26" s="604">
        <v>1243</v>
      </c>
      <c r="F26" s="604">
        <v>1250</v>
      </c>
      <c r="G26" s="605">
        <v>1266</v>
      </c>
      <c r="H26" s="890">
        <v>1329</v>
      </c>
      <c r="I26" s="890">
        <v>1366</v>
      </c>
      <c r="J26" s="1339">
        <v>1380</v>
      </c>
    </row>
    <row r="27" spans="1:10" s="606" customFormat="1" x14ac:dyDescent="0.25">
      <c r="A27" s="602" t="s">
        <v>60</v>
      </c>
      <c r="B27" s="603" t="s">
        <v>61</v>
      </c>
      <c r="C27" s="603" t="s">
        <v>265</v>
      </c>
      <c r="D27" s="604">
        <v>768</v>
      </c>
      <c r="E27" s="604">
        <v>856</v>
      </c>
      <c r="F27" s="604">
        <v>908</v>
      </c>
      <c r="G27" s="605">
        <v>931</v>
      </c>
      <c r="H27" s="890">
        <v>1004</v>
      </c>
      <c r="I27" s="890">
        <v>992</v>
      </c>
      <c r="J27" s="1339">
        <v>1091</v>
      </c>
    </row>
    <row r="28" spans="1:10" s="606" customFormat="1" x14ac:dyDescent="0.25">
      <c r="A28" s="602" t="s">
        <v>62</v>
      </c>
      <c r="B28" s="603" t="s">
        <v>63</v>
      </c>
      <c r="C28" s="603" t="s">
        <v>267</v>
      </c>
      <c r="D28" s="604">
        <v>6626</v>
      </c>
      <c r="E28" s="604">
        <v>7181</v>
      </c>
      <c r="F28" s="604">
        <v>7680</v>
      </c>
      <c r="G28" s="605">
        <v>8058</v>
      </c>
      <c r="H28" s="890">
        <v>8468</v>
      </c>
      <c r="I28" s="890">
        <v>8570</v>
      </c>
      <c r="J28" s="1339">
        <v>9104</v>
      </c>
    </row>
    <row r="29" spans="1:10" s="606" customFormat="1" x14ac:dyDescent="0.25">
      <c r="A29" s="602" t="s">
        <v>64</v>
      </c>
      <c r="B29" s="603" t="s">
        <v>65</v>
      </c>
      <c r="C29" s="603" t="s">
        <v>266</v>
      </c>
      <c r="D29" s="604">
        <v>2383</v>
      </c>
      <c r="E29" s="604">
        <v>2460</v>
      </c>
      <c r="F29" s="604">
        <v>2552</v>
      </c>
      <c r="G29" s="605">
        <v>2632</v>
      </c>
      <c r="H29" s="890">
        <v>2756</v>
      </c>
      <c r="I29" s="890">
        <v>2814</v>
      </c>
      <c r="J29" s="1339">
        <v>2900</v>
      </c>
    </row>
    <row r="30" spans="1:10" s="606" customFormat="1" x14ac:dyDescent="0.25">
      <c r="A30" s="602" t="s">
        <v>68</v>
      </c>
      <c r="B30" s="603" t="s">
        <v>69</v>
      </c>
      <c r="C30" s="603" t="s">
        <v>268</v>
      </c>
      <c r="D30" s="604">
        <v>4826</v>
      </c>
      <c r="E30" s="604">
        <v>4741</v>
      </c>
      <c r="F30" s="604">
        <v>4783</v>
      </c>
      <c r="G30" s="605">
        <v>4812</v>
      </c>
      <c r="H30" s="890">
        <v>4986</v>
      </c>
      <c r="I30" s="890">
        <v>4913</v>
      </c>
      <c r="J30" s="1339">
        <v>5086</v>
      </c>
    </row>
    <row r="31" spans="1:10" s="606" customFormat="1" x14ac:dyDescent="0.25">
      <c r="A31" s="602" t="s">
        <v>70</v>
      </c>
      <c r="B31" s="603" t="s">
        <v>71</v>
      </c>
      <c r="C31" s="603" t="s">
        <v>264</v>
      </c>
      <c r="D31" s="604">
        <v>4897</v>
      </c>
      <c r="E31" s="604">
        <v>5141</v>
      </c>
      <c r="F31" s="604">
        <v>5363</v>
      </c>
      <c r="G31" s="605">
        <v>5597</v>
      </c>
      <c r="H31" s="890">
        <v>5744</v>
      </c>
      <c r="I31" s="890">
        <v>5702</v>
      </c>
      <c r="J31" s="1339">
        <v>6145</v>
      </c>
    </row>
    <row r="32" spans="1:10" s="606" customFormat="1" x14ac:dyDescent="0.25">
      <c r="A32" s="602" t="s">
        <v>72</v>
      </c>
      <c r="B32" s="603" t="s">
        <v>73</v>
      </c>
      <c r="C32" s="603" t="s">
        <v>266</v>
      </c>
      <c r="D32" s="604">
        <v>2500</v>
      </c>
      <c r="E32" s="604">
        <v>2606</v>
      </c>
      <c r="F32" s="604">
        <v>2734</v>
      </c>
      <c r="G32" s="605">
        <v>2886</v>
      </c>
      <c r="H32" s="890">
        <v>2966</v>
      </c>
      <c r="I32" s="890">
        <v>2901</v>
      </c>
      <c r="J32" s="1339">
        <v>3036</v>
      </c>
    </row>
    <row r="33" spans="1:10" s="606" customFormat="1" x14ac:dyDescent="0.25">
      <c r="A33" s="602" t="s">
        <v>74</v>
      </c>
      <c r="B33" s="603" t="s">
        <v>296</v>
      </c>
      <c r="C33" s="603" t="s">
        <v>267</v>
      </c>
      <c r="D33" s="604">
        <v>75812</v>
      </c>
      <c r="E33" s="604">
        <v>84858</v>
      </c>
      <c r="F33" s="604">
        <v>92407</v>
      </c>
      <c r="G33" s="605">
        <v>93029</v>
      </c>
      <c r="H33" s="890">
        <v>98429</v>
      </c>
      <c r="I33" s="890">
        <v>100667</v>
      </c>
      <c r="J33" s="1339">
        <v>109634</v>
      </c>
    </row>
    <row r="34" spans="1:10" s="606" customFormat="1" x14ac:dyDescent="0.25">
      <c r="A34" s="602" t="s">
        <v>76</v>
      </c>
      <c r="B34" s="603" t="s">
        <v>77</v>
      </c>
      <c r="C34" s="603" t="s">
        <v>267</v>
      </c>
      <c r="D34" s="604">
        <v>5699</v>
      </c>
      <c r="E34" s="604">
        <v>6253</v>
      </c>
      <c r="F34" s="604">
        <v>6341</v>
      </c>
      <c r="G34" s="605">
        <v>6717</v>
      </c>
      <c r="H34" s="890">
        <v>7064</v>
      </c>
      <c r="I34" s="890">
        <v>7051</v>
      </c>
      <c r="J34" s="1339">
        <v>7690</v>
      </c>
    </row>
    <row r="35" spans="1:10" s="606" customFormat="1" x14ac:dyDescent="0.25">
      <c r="A35" s="602" t="s">
        <v>78</v>
      </c>
      <c r="B35" s="603" t="s">
        <v>79</v>
      </c>
      <c r="C35" s="603" t="s">
        <v>268</v>
      </c>
      <c r="D35" s="604">
        <v>2390</v>
      </c>
      <c r="E35" s="604">
        <v>2606</v>
      </c>
      <c r="F35" s="604">
        <v>2757</v>
      </c>
      <c r="G35" s="605">
        <v>2879</v>
      </c>
      <c r="H35" s="890">
        <v>2997</v>
      </c>
      <c r="I35" s="890">
        <v>2979</v>
      </c>
      <c r="J35" s="1339">
        <v>3154</v>
      </c>
    </row>
    <row r="36" spans="1:10" s="606" customFormat="1" x14ac:dyDescent="0.25">
      <c r="A36" s="602" t="s">
        <v>80</v>
      </c>
      <c r="B36" s="603" t="s">
        <v>81</v>
      </c>
      <c r="C36" s="603" t="s">
        <v>266</v>
      </c>
      <c r="D36" s="604">
        <v>2221</v>
      </c>
      <c r="E36" s="604">
        <v>2414</v>
      </c>
      <c r="F36" s="604">
        <v>2576</v>
      </c>
      <c r="G36" s="605">
        <v>2788</v>
      </c>
      <c r="H36" s="890">
        <v>3055</v>
      </c>
      <c r="I36" s="890">
        <v>3091</v>
      </c>
      <c r="J36" s="1339">
        <v>3269</v>
      </c>
    </row>
    <row r="37" spans="1:10" s="606" customFormat="1" x14ac:dyDescent="0.25">
      <c r="A37" s="602" t="s">
        <v>84</v>
      </c>
      <c r="B37" s="603" t="s">
        <v>85</v>
      </c>
      <c r="C37" s="603" t="s">
        <v>265</v>
      </c>
      <c r="D37" s="604">
        <v>9262</v>
      </c>
      <c r="E37" s="604">
        <v>9646</v>
      </c>
      <c r="F37" s="604">
        <v>9931</v>
      </c>
      <c r="G37" s="605">
        <v>10534</v>
      </c>
      <c r="H37" s="890">
        <v>10836</v>
      </c>
      <c r="I37" s="890">
        <v>10648</v>
      </c>
      <c r="J37" s="1339">
        <v>11100</v>
      </c>
    </row>
    <row r="38" spans="1:10" s="606" customFormat="1" x14ac:dyDescent="0.25">
      <c r="A38" s="602" t="s">
        <v>86</v>
      </c>
      <c r="B38" s="603" t="s">
        <v>87</v>
      </c>
      <c r="C38" s="603" t="s">
        <v>267</v>
      </c>
      <c r="D38" s="604">
        <v>8033</v>
      </c>
      <c r="E38" s="604">
        <v>9008</v>
      </c>
      <c r="F38" s="604">
        <v>10014</v>
      </c>
      <c r="G38" s="605">
        <v>10594</v>
      </c>
      <c r="H38" s="890">
        <v>11299</v>
      </c>
      <c r="I38" s="890">
        <v>11379</v>
      </c>
      <c r="J38" s="1339">
        <v>11993</v>
      </c>
    </row>
    <row r="39" spans="1:10" s="606" customFormat="1" x14ac:dyDescent="0.25">
      <c r="A39" s="602" t="s">
        <v>92</v>
      </c>
      <c r="B39" s="603" t="s">
        <v>93</v>
      </c>
      <c r="C39" s="603" t="s">
        <v>268</v>
      </c>
      <c r="D39" s="604">
        <v>3194</v>
      </c>
      <c r="E39" s="604">
        <v>3335</v>
      </c>
      <c r="F39" s="604">
        <v>3529</v>
      </c>
      <c r="G39" s="605">
        <v>3525</v>
      </c>
      <c r="H39" s="890">
        <v>3480</v>
      </c>
      <c r="I39" s="890">
        <v>3563</v>
      </c>
      <c r="J39" s="1339">
        <v>3854</v>
      </c>
    </row>
    <row r="40" spans="1:10" s="606" customFormat="1" x14ac:dyDescent="0.25">
      <c r="A40" s="602" t="s">
        <v>94</v>
      </c>
      <c r="B40" s="603" t="s">
        <v>95</v>
      </c>
      <c r="C40" s="603" t="s">
        <v>264</v>
      </c>
      <c r="D40" s="604">
        <v>4441</v>
      </c>
      <c r="E40" s="604">
        <v>4854</v>
      </c>
      <c r="F40" s="604">
        <v>5019</v>
      </c>
      <c r="G40" s="605">
        <v>5270</v>
      </c>
      <c r="H40" s="890">
        <v>5430</v>
      </c>
      <c r="I40" s="890">
        <v>5549</v>
      </c>
      <c r="J40" s="1339">
        <v>5882</v>
      </c>
    </row>
    <row r="41" spans="1:10" s="606" customFormat="1" x14ac:dyDescent="0.25">
      <c r="A41" s="602" t="s">
        <v>96</v>
      </c>
      <c r="B41" s="603" t="s">
        <v>97</v>
      </c>
      <c r="C41" s="603" t="s">
        <v>266</v>
      </c>
      <c r="D41" s="604">
        <v>1610</v>
      </c>
      <c r="E41" s="604">
        <v>1710</v>
      </c>
      <c r="F41" s="604">
        <v>1846</v>
      </c>
      <c r="G41" s="605">
        <v>1847</v>
      </c>
      <c r="H41" s="890">
        <v>1930</v>
      </c>
      <c r="I41" s="890">
        <v>1965</v>
      </c>
      <c r="J41" s="1339">
        <v>2153</v>
      </c>
    </row>
    <row r="42" spans="1:10" s="606" customFormat="1" x14ac:dyDescent="0.25">
      <c r="A42" s="602" t="s">
        <v>98</v>
      </c>
      <c r="B42" s="603" t="s">
        <v>99</v>
      </c>
      <c r="C42" s="603" t="s">
        <v>268</v>
      </c>
      <c r="D42" s="604">
        <v>3701</v>
      </c>
      <c r="E42" s="604">
        <v>3745</v>
      </c>
      <c r="F42" s="604">
        <v>3855</v>
      </c>
      <c r="G42" s="605">
        <v>3956</v>
      </c>
      <c r="H42" s="890">
        <v>4123</v>
      </c>
      <c r="I42" s="890">
        <v>4094</v>
      </c>
      <c r="J42" s="1339">
        <v>4204</v>
      </c>
    </row>
    <row r="43" spans="1:10" s="606" customFormat="1" x14ac:dyDescent="0.25">
      <c r="A43" s="602" t="s">
        <v>100</v>
      </c>
      <c r="B43" s="603" t="s">
        <v>101</v>
      </c>
      <c r="C43" s="603" t="s">
        <v>267</v>
      </c>
      <c r="D43" s="604">
        <v>2456</v>
      </c>
      <c r="E43" s="604">
        <v>2711</v>
      </c>
      <c r="F43" s="604">
        <v>2814</v>
      </c>
      <c r="G43" s="605">
        <v>2943</v>
      </c>
      <c r="H43" s="890">
        <v>3142</v>
      </c>
      <c r="I43" s="890">
        <v>3216</v>
      </c>
      <c r="J43" s="1339">
        <v>3371</v>
      </c>
    </row>
    <row r="44" spans="1:10" s="606" customFormat="1" x14ac:dyDescent="0.25">
      <c r="A44" s="602" t="s">
        <v>102</v>
      </c>
      <c r="B44" s="603" t="s">
        <v>282</v>
      </c>
      <c r="C44" s="603" t="s">
        <v>264</v>
      </c>
      <c r="D44" s="604">
        <v>4538</v>
      </c>
      <c r="E44" s="604">
        <v>4651</v>
      </c>
      <c r="F44" s="604">
        <v>4913</v>
      </c>
      <c r="G44" s="605">
        <v>5090</v>
      </c>
      <c r="H44" s="890">
        <v>5264</v>
      </c>
      <c r="I44" s="890">
        <v>5214</v>
      </c>
      <c r="J44" s="1339">
        <v>5555</v>
      </c>
    </row>
    <row r="45" spans="1:10" s="606" customFormat="1" x14ac:dyDescent="0.25">
      <c r="A45" s="602" t="s">
        <v>104</v>
      </c>
      <c r="B45" s="603" t="s">
        <v>105</v>
      </c>
      <c r="C45" s="603" t="s">
        <v>265</v>
      </c>
      <c r="D45" s="604">
        <v>8753</v>
      </c>
      <c r="E45" s="604">
        <v>9055</v>
      </c>
      <c r="F45" s="604">
        <v>9295</v>
      </c>
      <c r="G45" s="605">
        <v>9493</v>
      </c>
      <c r="H45" s="890">
        <v>9608</v>
      </c>
      <c r="I45" s="890">
        <v>9623</v>
      </c>
      <c r="J45" s="1339">
        <v>10065</v>
      </c>
    </row>
    <row r="46" spans="1:10" s="606" customFormat="1" x14ac:dyDescent="0.25">
      <c r="A46" s="602" t="s">
        <v>108</v>
      </c>
      <c r="B46" s="603" t="s">
        <v>109</v>
      </c>
      <c r="C46" s="603" t="s">
        <v>266</v>
      </c>
      <c r="D46" s="604">
        <v>6854</v>
      </c>
      <c r="E46" s="604">
        <v>7567</v>
      </c>
      <c r="F46" s="604">
        <v>8063</v>
      </c>
      <c r="G46" s="605">
        <v>8392</v>
      </c>
      <c r="H46" s="890">
        <v>8666</v>
      </c>
      <c r="I46" s="890">
        <v>8913</v>
      </c>
      <c r="J46" s="1339">
        <v>9663</v>
      </c>
    </row>
    <row r="47" spans="1:10" s="606" customFormat="1" x14ac:dyDescent="0.25">
      <c r="A47" s="602" t="s">
        <v>110</v>
      </c>
      <c r="B47" s="603" t="s">
        <v>111</v>
      </c>
      <c r="C47" s="603" t="s">
        <v>266</v>
      </c>
      <c r="D47" s="604">
        <v>35618</v>
      </c>
      <c r="E47" s="604">
        <v>39553</v>
      </c>
      <c r="F47" s="604">
        <v>42070</v>
      </c>
      <c r="G47" s="605">
        <v>44367</v>
      </c>
      <c r="H47" s="890">
        <v>46486</v>
      </c>
      <c r="I47" s="890">
        <v>47798</v>
      </c>
      <c r="J47" s="1339">
        <v>49934</v>
      </c>
    </row>
    <row r="48" spans="1:10" s="606" customFormat="1" x14ac:dyDescent="0.25">
      <c r="A48" s="602" t="s">
        <v>112</v>
      </c>
      <c r="B48" s="603" t="s">
        <v>300</v>
      </c>
      <c r="C48" s="603" t="s">
        <v>265</v>
      </c>
      <c r="D48" s="604">
        <v>17644</v>
      </c>
      <c r="E48" s="604">
        <v>18295</v>
      </c>
      <c r="F48" s="604">
        <v>18853</v>
      </c>
      <c r="G48" s="605">
        <v>20095</v>
      </c>
      <c r="H48" s="890">
        <v>20770</v>
      </c>
      <c r="I48" s="890">
        <v>20831</v>
      </c>
      <c r="J48" s="1339">
        <v>21857</v>
      </c>
    </row>
    <row r="49" spans="1:10" s="606" customFormat="1" x14ac:dyDescent="0.25">
      <c r="A49" s="602" t="s">
        <v>114</v>
      </c>
      <c r="B49" s="603" t="s">
        <v>115</v>
      </c>
      <c r="C49" s="603" t="s">
        <v>265</v>
      </c>
      <c r="D49" s="604">
        <v>275</v>
      </c>
      <c r="E49" s="604">
        <v>261</v>
      </c>
      <c r="F49" s="604">
        <v>287</v>
      </c>
      <c r="G49" s="605">
        <v>295</v>
      </c>
      <c r="H49" s="890">
        <v>267</v>
      </c>
      <c r="I49" s="890">
        <v>351</v>
      </c>
      <c r="J49" s="1339">
        <v>442</v>
      </c>
    </row>
    <row r="50" spans="1:10" s="606" customFormat="1" x14ac:dyDescent="0.25">
      <c r="A50" s="602" t="s">
        <v>118</v>
      </c>
      <c r="B50" s="603" t="s">
        <v>270</v>
      </c>
      <c r="C50" s="603" t="s">
        <v>264</v>
      </c>
      <c r="D50" s="604">
        <v>4709</v>
      </c>
      <c r="E50" s="604">
        <v>4874</v>
      </c>
      <c r="F50" s="604">
        <v>5101</v>
      </c>
      <c r="G50" s="605">
        <v>5242</v>
      </c>
      <c r="H50" s="890">
        <v>5453</v>
      </c>
      <c r="I50" s="890">
        <v>5323</v>
      </c>
      <c r="J50" s="1339">
        <v>5693</v>
      </c>
    </row>
    <row r="51" spans="1:10" s="606" customFormat="1" x14ac:dyDescent="0.25">
      <c r="A51" s="602" t="s">
        <v>120</v>
      </c>
      <c r="B51" s="603" t="s">
        <v>121</v>
      </c>
      <c r="C51" s="603" t="s">
        <v>264</v>
      </c>
      <c r="D51" s="604">
        <v>5508</v>
      </c>
      <c r="E51" s="604">
        <v>5830</v>
      </c>
      <c r="F51" s="604">
        <v>6130</v>
      </c>
      <c r="G51" s="605">
        <v>6540</v>
      </c>
      <c r="H51" s="890">
        <v>6928</v>
      </c>
      <c r="I51" s="890">
        <v>7079</v>
      </c>
      <c r="J51" s="1339">
        <v>7542</v>
      </c>
    </row>
    <row r="52" spans="1:10" s="606" customFormat="1" x14ac:dyDescent="0.25">
      <c r="A52" s="602" t="s">
        <v>122</v>
      </c>
      <c r="B52" s="603" t="s">
        <v>287</v>
      </c>
      <c r="C52" s="603" t="s">
        <v>266</v>
      </c>
      <c r="D52" s="604">
        <v>1384</v>
      </c>
      <c r="E52" s="604">
        <v>1512</v>
      </c>
      <c r="F52" s="604">
        <v>1551</v>
      </c>
      <c r="G52" s="605">
        <v>1573</v>
      </c>
      <c r="H52" s="890">
        <v>1638</v>
      </c>
      <c r="I52" s="890">
        <v>1720</v>
      </c>
      <c r="J52" s="1339">
        <v>1765</v>
      </c>
    </row>
    <row r="53" spans="1:10" s="606" customFormat="1" x14ac:dyDescent="0.25">
      <c r="A53" s="602" t="s">
        <v>124</v>
      </c>
      <c r="B53" s="603" t="s">
        <v>125</v>
      </c>
      <c r="C53" s="603" t="s">
        <v>267</v>
      </c>
      <c r="D53" s="604">
        <v>2611</v>
      </c>
      <c r="E53" s="604">
        <v>2863</v>
      </c>
      <c r="F53" s="604">
        <v>3263</v>
      </c>
      <c r="G53" s="605">
        <v>3559</v>
      </c>
      <c r="H53" s="890">
        <v>3685</v>
      </c>
      <c r="I53" s="890">
        <v>3720</v>
      </c>
      <c r="J53" s="1339">
        <v>3985</v>
      </c>
    </row>
    <row r="54" spans="1:10" s="606" customFormat="1" x14ac:dyDescent="0.25">
      <c r="A54" s="602" t="s">
        <v>126</v>
      </c>
      <c r="B54" s="603" t="s">
        <v>127</v>
      </c>
      <c r="C54" s="603" t="s">
        <v>266</v>
      </c>
      <c r="D54" s="604">
        <v>1893</v>
      </c>
      <c r="E54" s="604">
        <v>2108</v>
      </c>
      <c r="F54" s="604">
        <v>2304</v>
      </c>
      <c r="G54" s="605">
        <v>2499</v>
      </c>
      <c r="H54" s="890">
        <v>2536</v>
      </c>
      <c r="I54" s="890">
        <v>2563</v>
      </c>
      <c r="J54" s="1339">
        <v>2623</v>
      </c>
    </row>
    <row r="55" spans="1:10" s="606" customFormat="1" x14ac:dyDescent="0.25">
      <c r="A55" s="602" t="s">
        <v>128</v>
      </c>
      <c r="B55" s="603" t="s">
        <v>129</v>
      </c>
      <c r="C55" s="603" t="s">
        <v>266</v>
      </c>
      <c r="D55" s="604">
        <v>1959</v>
      </c>
      <c r="E55" s="604">
        <v>2012</v>
      </c>
      <c r="F55" s="604">
        <v>2116</v>
      </c>
      <c r="G55" s="605">
        <v>2213</v>
      </c>
      <c r="H55" s="890">
        <v>2298</v>
      </c>
      <c r="I55" s="890">
        <v>2289</v>
      </c>
      <c r="J55" s="1339">
        <v>2376</v>
      </c>
    </row>
    <row r="56" spans="1:10" s="606" customFormat="1" x14ac:dyDescent="0.25">
      <c r="A56" s="602" t="s">
        <v>130</v>
      </c>
      <c r="B56" s="603" t="s">
        <v>131</v>
      </c>
      <c r="C56" s="603" t="s">
        <v>268</v>
      </c>
      <c r="D56" s="604">
        <v>7825</v>
      </c>
      <c r="E56" s="604">
        <v>7866</v>
      </c>
      <c r="F56" s="604">
        <v>7907</v>
      </c>
      <c r="G56" s="605">
        <v>8111</v>
      </c>
      <c r="H56" s="890">
        <v>8264</v>
      </c>
      <c r="I56" s="890">
        <v>8287</v>
      </c>
      <c r="J56" s="1339">
        <v>8384</v>
      </c>
    </row>
    <row r="57" spans="1:10" s="606" customFormat="1" x14ac:dyDescent="0.25">
      <c r="A57" s="602" t="s">
        <v>132</v>
      </c>
      <c r="B57" s="603" t="s">
        <v>133</v>
      </c>
      <c r="C57" s="603" t="s">
        <v>267</v>
      </c>
      <c r="D57" s="604">
        <v>13527</v>
      </c>
      <c r="E57" s="604">
        <v>15547</v>
      </c>
      <c r="F57" s="604">
        <v>17321</v>
      </c>
      <c r="G57" s="605">
        <v>18721</v>
      </c>
      <c r="H57" s="890">
        <v>20358</v>
      </c>
      <c r="I57" s="890">
        <v>21076</v>
      </c>
      <c r="J57" s="1339">
        <v>24210</v>
      </c>
    </row>
    <row r="58" spans="1:10" s="606" customFormat="1" x14ac:dyDescent="0.25">
      <c r="A58" s="602" t="s">
        <v>134</v>
      </c>
      <c r="B58" s="603" t="s">
        <v>135</v>
      </c>
      <c r="C58" s="603" t="s">
        <v>267</v>
      </c>
      <c r="D58" s="604">
        <v>4734</v>
      </c>
      <c r="E58" s="604">
        <v>5158</v>
      </c>
      <c r="F58" s="604">
        <v>5533</v>
      </c>
      <c r="G58" s="605">
        <v>5794</v>
      </c>
      <c r="H58" s="890">
        <v>6083</v>
      </c>
      <c r="I58" s="890">
        <v>6281</v>
      </c>
      <c r="J58" s="1339">
        <v>6853</v>
      </c>
    </row>
    <row r="59" spans="1:10" s="606" customFormat="1" x14ac:dyDescent="0.25">
      <c r="A59" s="602" t="s">
        <v>136</v>
      </c>
      <c r="B59" s="603" t="s">
        <v>137</v>
      </c>
      <c r="C59" s="603" t="s">
        <v>266</v>
      </c>
      <c r="D59" s="604">
        <v>2964</v>
      </c>
      <c r="E59" s="604">
        <v>2969</v>
      </c>
      <c r="F59" s="604">
        <v>3156</v>
      </c>
      <c r="G59" s="605">
        <v>3163</v>
      </c>
      <c r="H59" s="890">
        <v>3160</v>
      </c>
      <c r="I59" s="890">
        <v>3264</v>
      </c>
      <c r="J59" s="1339">
        <v>3422</v>
      </c>
    </row>
    <row r="60" spans="1:10" s="606" customFormat="1" x14ac:dyDescent="0.25">
      <c r="A60" s="602" t="s">
        <v>140</v>
      </c>
      <c r="B60" s="603" t="s">
        <v>141</v>
      </c>
      <c r="C60" s="603" t="s">
        <v>267</v>
      </c>
      <c r="D60" s="604">
        <v>1705</v>
      </c>
      <c r="E60" s="604">
        <v>1925</v>
      </c>
      <c r="F60" s="604">
        <v>2021</v>
      </c>
      <c r="G60" s="605">
        <v>2143</v>
      </c>
      <c r="H60" s="890">
        <v>2306</v>
      </c>
      <c r="I60" s="890">
        <v>2312</v>
      </c>
      <c r="J60" s="1339">
        <v>2483</v>
      </c>
    </row>
    <row r="61" spans="1:10" s="606" customFormat="1" x14ac:dyDescent="0.25">
      <c r="A61" s="602" t="s">
        <v>146</v>
      </c>
      <c r="B61" s="603" t="s">
        <v>147</v>
      </c>
      <c r="C61" s="603" t="s">
        <v>264</v>
      </c>
      <c r="D61" s="604">
        <v>1066</v>
      </c>
      <c r="E61" s="604">
        <v>1162</v>
      </c>
      <c r="F61" s="604">
        <v>1164</v>
      </c>
      <c r="G61" s="605">
        <v>1206</v>
      </c>
      <c r="H61" s="890">
        <v>1249</v>
      </c>
      <c r="I61" s="890">
        <v>1254</v>
      </c>
      <c r="J61" s="1339">
        <v>1352</v>
      </c>
    </row>
    <row r="62" spans="1:10" s="606" customFormat="1" x14ac:dyDescent="0.25">
      <c r="A62" s="602" t="s">
        <v>148</v>
      </c>
      <c r="B62" s="603" t="s">
        <v>149</v>
      </c>
      <c r="C62" s="603" t="s">
        <v>265</v>
      </c>
      <c r="D62" s="604">
        <v>6628</v>
      </c>
      <c r="E62" s="604">
        <v>6924</v>
      </c>
      <c r="F62" s="604">
        <v>7151</v>
      </c>
      <c r="G62" s="605">
        <v>7468</v>
      </c>
      <c r="H62" s="890">
        <v>7722</v>
      </c>
      <c r="I62" s="890">
        <v>7792</v>
      </c>
      <c r="J62" s="1339">
        <v>7996</v>
      </c>
    </row>
    <row r="63" spans="1:10" s="606" customFormat="1" x14ac:dyDescent="0.25">
      <c r="A63" s="602" t="s">
        <v>150</v>
      </c>
      <c r="B63" s="603" t="s">
        <v>151</v>
      </c>
      <c r="C63" s="603" t="s">
        <v>266</v>
      </c>
      <c r="D63" s="604">
        <v>1547</v>
      </c>
      <c r="E63" s="604">
        <v>1614</v>
      </c>
      <c r="F63" s="604">
        <v>1767</v>
      </c>
      <c r="G63" s="605">
        <v>2018</v>
      </c>
      <c r="H63" s="890">
        <v>2100</v>
      </c>
      <c r="I63" s="890">
        <v>2108</v>
      </c>
      <c r="J63" s="1339">
        <v>2268</v>
      </c>
    </row>
    <row r="64" spans="1:10" s="606" customFormat="1" x14ac:dyDescent="0.25">
      <c r="A64" s="602" t="s">
        <v>152</v>
      </c>
      <c r="B64" s="603" t="s">
        <v>153</v>
      </c>
      <c r="C64" s="603" t="s">
        <v>268</v>
      </c>
      <c r="D64" s="604">
        <v>9697</v>
      </c>
      <c r="E64" s="604">
        <v>10197</v>
      </c>
      <c r="F64" s="604">
        <v>10461</v>
      </c>
      <c r="G64" s="605">
        <v>10787</v>
      </c>
      <c r="H64" s="890">
        <v>11158</v>
      </c>
      <c r="I64" s="890">
        <v>11243</v>
      </c>
      <c r="J64" s="1339">
        <v>11453</v>
      </c>
    </row>
    <row r="65" spans="1:10" s="606" customFormat="1" x14ac:dyDescent="0.25">
      <c r="A65" s="602" t="s">
        <v>154</v>
      </c>
      <c r="B65" s="603" t="s">
        <v>155</v>
      </c>
      <c r="C65" s="603" t="s">
        <v>265</v>
      </c>
      <c r="D65" s="604">
        <v>2711</v>
      </c>
      <c r="E65" s="604">
        <v>2812</v>
      </c>
      <c r="F65" s="604">
        <v>2904</v>
      </c>
      <c r="G65" s="605">
        <v>3017</v>
      </c>
      <c r="H65" s="890">
        <v>3094</v>
      </c>
      <c r="I65" s="890">
        <v>3113</v>
      </c>
      <c r="J65" s="1339">
        <v>3327</v>
      </c>
    </row>
    <row r="66" spans="1:10" s="606" customFormat="1" x14ac:dyDescent="0.25">
      <c r="A66" s="602" t="s">
        <v>156</v>
      </c>
      <c r="B66" s="603" t="s">
        <v>157</v>
      </c>
      <c r="C66" s="603" t="s">
        <v>266</v>
      </c>
      <c r="D66" s="604">
        <v>1293</v>
      </c>
      <c r="E66" s="604">
        <v>1499</v>
      </c>
      <c r="F66" s="604">
        <v>1602</v>
      </c>
      <c r="G66" s="605">
        <v>1778</v>
      </c>
      <c r="H66" s="890">
        <v>1812</v>
      </c>
      <c r="I66" s="890">
        <v>1879</v>
      </c>
      <c r="J66" s="1339">
        <v>2187</v>
      </c>
    </row>
    <row r="67" spans="1:10" s="606" customFormat="1" x14ac:dyDescent="0.25">
      <c r="A67" s="602" t="s">
        <v>162</v>
      </c>
      <c r="B67" s="603" t="s">
        <v>163</v>
      </c>
      <c r="C67" s="603" t="s">
        <v>264</v>
      </c>
      <c r="D67" s="604">
        <v>3586</v>
      </c>
      <c r="E67" s="604">
        <v>3602</v>
      </c>
      <c r="F67" s="604">
        <v>3685</v>
      </c>
      <c r="G67" s="605">
        <v>3771</v>
      </c>
      <c r="H67" s="890">
        <v>3905</v>
      </c>
      <c r="I67" s="890">
        <v>3874</v>
      </c>
      <c r="J67" s="1339">
        <v>3933</v>
      </c>
    </row>
    <row r="68" spans="1:10" s="606" customFormat="1" x14ac:dyDescent="0.25">
      <c r="A68" s="602" t="s">
        <v>164</v>
      </c>
      <c r="B68" s="603" t="s">
        <v>165</v>
      </c>
      <c r="C68" s="603" t="s">
        <v>266</v>
      </c>
      <c r="D68" s="604">
        <v>1835</v>
      </c>
      <c r="E68" s="604">
        <v>1998</v>
      </c>
      <c r="F68" s="604">
        <v>2101</v>
      </c>
      <c r="G68" s="605">
        <v>2234</v>
      </c>
      <c r="H68" s="890">
        <v>2458</v>
      </c>
      <c r="I68" s="890">
        <v>2492</v>
      </c>
      <c r="J68" s="1339">
        <v>2579</v>
      </c>
    </row>
    <row r="69" spans="1:10" s="606" customFormat="1" x14ac:dyDescent="0.25">
      <c r="A69" s="602" t="s">
        <v>168</v>
      </c>
      <c r="B69" s="603" t="s">
        <v>169</v>
      </c>
      <c r="C69" s="603" t="s">
        <v>266</v>
      </c>
      <c r="D69" s="604">
        <v>3728</v>
      </c>
      <c r="E69" s="604">
        <v>3802</v>
      </c>
      <c r="F69" s="604">
        <v>4039</v>
      </c>
      <c r="G69" s="605">
        <v>4252</v>
      </c>
      <c r="H69" s="890">
        <v>4410</v>
      </c>
      <c r="I69" s="890">
        <v>4431</v>
      </c>
      <c r="J69" s="1339">
        <v>4600</v>
      </c>
    </row>
    <row r="70" spans="1:10" s="606" customFormat="1" x14ac:dyDescent="0.25">
      <c r="A70" s="602" t="s">
        <v>170</v>
      </c>
      <c r="B70" s="603" t="s">
        <v>171</v>
      </c>
      <c r="C70" s="603" t="s">
        <v>267</v>
      </c>
      <c r="D70" s="604">
        <v>4386</v>
      </c>
      <c r="E70" s="604">
        <v>4670</v>
      </c>
      <c r="F70" s="604">
        <v>4928</v>
      </c>
      <c r="G70" s="605">
        <v>5150</v>
      </c>
      <c r="H70" s="890">
        <v>5445</v>
      </c>
      <c r="I70" s="890">
        <v>5604</v>
      </c>
      <c r="J70" s="1339">
        <v>6030</v>
      </c>
    </row>
    <row r="71" spans="1:10" s="606" customFormat="1" x14ac:dyDescent="0.25">
      <c r="A71" s="602" t="s">
        <v>172</v>
      </c>
      <c r="B71" s="603" t="s">
        <v>173</v>
      </c>
      <c r="C71" s="603" t="s">
        <v>267</v>
      </c>
      <c r="D71" s="604">
        <v>4471</v>
      </c>
      <c r="E71" s="604">
        <v>4781</v>
      </c>
      <c r="F71" s="604">
        <v>4859</v>
      </c>
      <c r="G71" s="605">
        <v>5128</v>
      </c>
      <c r="H71" s="890">
        <v>5306</v>
      </c>
      <c r="I71" s="890">
        <v>5237</v>
      </c>
      <c r="J71" s="1339">
        <v>5512</v>
      </c>
    </row>
    <row r="72" spans="1:10" s="606" customFormat="1" x14ac:dyDescent="0.25">
      <c r="A72" s="602" t="s">
        <v>174</v>
      </c>
      <c r="B72" s="603" t="s">
        <v>175</v>
      </c>
      <c r="C72" s="603" t="s">
        <v>268</v>
      </c>
      <c r="D72" s="604">
        <v>4334</v>
      </c>
      <c r="E72" s="604">
        <v>4332</v>
      </c>
      <c r="F72" s="604">
        <v>4497</v>
      </c>
      <c r="G72" s="605">
        <v>4727</v>
      </c>
      <c r="H72" s="890">
        <v>4850</v>
      </c>
      <c r="I72" s="890">
        <v>4753</v>
      </c>
      <c r="J72" s="1339">
        <v>4882</v>
      </c>
    </row>
    <row r="73" spans="1:10" s="606" customFormat="1" x14ac:dyDescent="0.25">
      <c r="A73" s="602" t="s">
        <v>178</v>
      </c>
      <c r="B73" s="603" t="s">
        <v>179</v>
      </c>
      <c r="C73" s="603" t="s">
        <v>265</v>
      </c>
      <c r="D73" s="604">
        <v>12093</v>
      </c>
      <c r="E73" s="604">
        <v>12723</v>
      </c>
      <c r="F73" s="604">
        <v>13387</v>
      </c>
      <c r="G73" s="605">
        <v>13553</v>
      </c>
      <c r="H73" s="890">
        <v>14060</v>
      </c>
      <c r="I73" s="890">
        <v>14469</v>
      </c>
      <c r="J73" s="1339">
        <v>15185</v>
      </c>
    </row>
    <row r="74" spans="1:10" s="606" customFormat="1" x14ac:dyDescent="0.25">
      <c r="A74" s="602" t="s">
        <v>182</v>
      </c>
      <c r="B74" s="603" t="s">
        <v>183</v>
      </c>
      <c r="C74" s="603" t="s">
        <v>266</v>
      </c>
      <c r="D74" s="604">
        <v>1774</v>
      </c>
      <c r="E74" s="604">
        <v>1994</v>
      </c>
      <c r="F74" s="604">
        <v>2185</v>
      </c>
      <c r="G74" s="605">
        <v>2340</v>
      </c>
      <c r="H74" s="890">
        <v>2414</v>
      </c>
      <c r="I74" s="890">
        <v>2398</v>
      </c>
      <c r="J74" s="1339">
        <v>2552</v>
      </c>
    </row>
    <row r="75" spans="1:10" s="606" customFormat="1" x14ac:dyDescent="0.25">
      <c r="A75" s="602" t="s">
        <v>184</v>
      </c>
      <c r="B75" s="603" t="s">
        <v>185</v>
      </c>
      <c r="C75" s="603" t="s">
        <v>266</v>
      </c>
      <c r="D75" s="604">
        <v>4344</v>
      </c>
      <c r="E75" s="604">
        <v>4516</v>
      </c>
      <c r="F75" s="604">
        <v>4758</v>
      </c>
      <c r="G75" s="605">
        <v>4873</v>
      </c>
      <c r="H75" s="890">
        <v>4999</v>
      </c>
      <c r="I75" s="890">
        <v>5166</v>
      </c>
      <c r="J75" s="1339">
        <v>5249</v>
      </c>
    </row>
    <row r="76" spans="1:10" s="606" customFormat="1" x14ac:dyDescent="0.25">
      <c r="A76" s="602" t="s">
        <v>186</v>
      </c>
      <c r="B76" s="603" t="s">
        <v>187</v>
      </c>
      <c r="C76" s="603" t="s">
        <v>264</v>
      </c>
      <c r="D76" s="604">
        <v>3101</v>
      </c>
      <c r="E76" s="604">
        <v>3307</v>
      </c>
      <c r="F76" s="604">
        <v>3567</v>
      </c>
      <c r="G76" s="605">
        <v>3756</v>
      </c>
      <c r="H76" s="890">
        <v>3948</v>
      </c>
      <c r="I76" s="890">
        <v>4265</v>
      </c>
      <c r="J76" s="1339">
        <v>4774</v>
      </c>
    </row>
    <row r="77" spans="1:10" s="606" customFormat="1" x14ac:dyDescent="0.25">
      <c r="A77" s="602" t="s">
        <v>188</v>
      </c>
      <c r="B77" s="603" t="s">
        <v>189</v>
      </c>
      <c r="C77" s="603" t="s">
        <v>267</v>
      </c>
      <c r="D77" s="604">
        <v>41210</v>
      </c>
      <c r="E77" s="604">
        <v>45513</v>
      </c>
      <c r="F77" s="604">
        <v>49733</v>
      </c>
      <c r="G77" s="605">
        <v>52912</v>
      </c>
      <c r="H77" s="890">
        <v>56295</v>
      </c>
      <c r="I77" s="890">
        <v>57308</v>
      </c>
      <c r="J77" s="1339">
        <v>61561</v>
      </c>
    </row>
    <row r="78" spans="1:10" s="606" customFormat="1" x14ac:dyDescent="0.25">
      <c r="A78" s="602" t="s">
        <v>190</v>
      </c>
      <c r="B78" s="603" t="s">
        <v>191</v>
      </c>
      <c r="C78" s="603" t="s">
        <v>268</v>
      </c>
      <c r="D78" s="604">
        <v>6537</v>
      </c>
      <c r="E78" s="604">
        <v>6915</v>
      </c>
      <c r="F78" s="604">
        <v>7262</v>
      </c>
      <c r="G78" s="605">
        <v>7440</v>
      </c>
      <c r="H78" s="890">
        <v>7718</v>
      </c>
      <c r="I78" s="890">
        <v>7885</v>
      </c>
      <c r="J78" s="1339">
        <v>8022</v>
      </c>
    </row>
    <row r="79" spans="1:10" s="606" customFormat="1" x14ac:dyDescent="0.25">
      <c r="A79" s="602" t="s">
        <v>194</v>
      </c>
      <c r="B79" s="603" t="s">
        <v>195</v>
      </c>
      <c r="C79" s="603" t="s">
        <v>267</v>
      </c>
      <c r="D79" s="604">
        <v>750</v>
      </c>
      <c r="E79" s="604">
        <v>778</v>
      </c>
      <c r="F79" s="604">
        <v>857</v>
      </c>
      <c r="G79" s="605">
        <v>972</v>
      </c>
      <c r="H79" s="890">
        <v>986</v>
      </c>
      <c r="I79" s="890">
        <v>977</v>
      </c>
      <c r="J79" s="1339">
        <v>1027</v>
      </c>
    </row>
    <row r="80" spans="1:10" s="606" customFormat="1" x14ac:dyDescent="0.25">
      <c r="A80" s="602" t="s">
        <v>198</v>
      </c>
      <c r="B80" s="603" t="s">
        <v>272</v>
      </c>
      <c r="C80" s="603" t="s">
        <v>266</v>
      </c>
      <c r="D80" s="604">
        <v>1605</v>
      </c>
      <c r="E80" s="604">
        <v>1668</v>
      </c>
      <c r="F80" s="604">
        <v>1752</v>
      </c>
      <c r="G80" s="605">
        <v>1755</v>
      </c>
      <c r="H80" s="890">
        <v>1874</v>
      </c>
      <c r="I80" s="890">
        <v>1914</v>
      </c>
      <c r="J80" s="1339">
        <v>2077</v>
      </c>
    </row>
    <row r="81" spans="1:10" s="606" customFormat="1" x14ac:dyDescent="0.25">
      <c r="A81" s="602" t="s">
        <v>202</v>
      </c>
      <c r="B81" s="603" t="s">
        <v>301</v>
      </c>
      <c r="C81" s="603" t="s">
        <v>265</v>
      </c>
      <c r="D81" s="604">
        <v>11187</v>
      </c>
      <c r="E81" s="604">
        <v>12292</v>
      </c>
      <c r="F81" s="604">
        <v>13171</v>
      </c>
      <c r="G81" s="605">
        <v>13784</v>
      </c>
      <c r="H81" s="890">
        <v>14474</v>
      </c>
      <c r="I81" s="890">
        <v>14703</v>
      </c>
      <c r="J81" s="1339">
        <v>15407</v>
      </c>
    </row>
    <row r="82" spans="1:10" s="606" customFormat="1" x14ac:dyDescent="0.25">
      <c r="A82" s="602" t="s">
        <v>204</v>
      </c>
      <c r="B82" s="603" t="s">
        <v>293</v>
      </c>
      <c r="C82" s="603" t="s">
        <v>265</v>
      </c>
      <c r="D82" s="604">
        <v>5155</v>
      </c>
      <c r="E82" s="604">
        <v>5260</v>
      </c>
      <c r="F82" s="604">
        <v>5506</v>
      </c>
      <c r="G82" s="605">
        <v>5785</v>
      </c>
      <c r="H82" s="890">
        <v>6052</v>
      </c>
      <c r="I82" s="890">
        <v>6236</v>
      </c>
      <c r="J82" s="1339">
        <v>6453</v>
      </c>
    </row>
    <row r="83" spans="1:10" s="606" customFormat="1" x14ac:dyDescent="0.25">
      <c r="A83" s="602" t="s">
        <v>206</v>
      </c>
      <c r="B83" s="603" t="s">
        <v>294</v>
      </c>
      <c r="C83" s="603" t="s">
        <v>267</v>
      </c>
      <c r="D83" s="604">
        <v>15002</v>
      </c>
      <c r="E83" s="604">
        <v>16315</v>
      </c>
      <c r="F83" s="604">
        <v>17090</v>
      </c>
      <c r="G83" s="605">
        <v>17852</v>
      </c>
      <c r="H83" s="890">
        <v>18900</v>
      </c>
      <c r="I83" s="890">
        <v>19327</v>
      </c>
      <c r="J83" s="1339">
        <v>20248</v>
      </c>
    </row>
    <row r="84" spans="1:10" s="606" customFormat="1" x14ac:dyDescent="0.25">
      <c r="A84" s="602" t="s">
        <v>208</v>
      </c>
      <c r="B84" s="603" t="s">
        <v>209</v>
      </c>
      <c r="C84" s="603" t="s">
        <v>268</v>
      </c>
      <c r="D84" s="604">
        <v>7701</v>
      </c>
      <c r="E84" s="604">
        <v>7806</v>
      </c>
      <c r="F84" s="604">
        <v>7863</v>
      </c>
      <c r="G84" s="605">
        <v>7829</v>
      </c>
      <c r="H84" s="890">
        <v>8019</v>
      </c>
      <c r="I84" s="890">
        <v>8260</v>
      </c>
      <c r="J84" s="1339">
        <v>8420</v>
      </c>
    </row>
    <row r="85" spans="1:10" s="606" customFormat="1" x14ac:dyDescent="0.25">
      <c r="A85" s="602" t="s">
        <v>210</v>
      </c>
      <c r="B85" s="603" t="s">
        <v>211</v>
      </c>
      <c r="C85" s="603" t="s">
        <v>268</v>
      </c>
      <c r="D85" s="604">
        <v>5369</v>
      </c>
      <c r="E85" s="604">
        <v>5449</v>
      </c>
      <c r="F85" s="604">
        <v>5614</v>
      </c>
      <c r="G85" s="605">
        <v>5825</v>
      </c>
      <c r="H85" s="890">
        <v>6025</v>
      </c>
      <c r="I85" s="890">
        <v>6067</v>
      </c>
      <c r="J85" s="1339">
        <v>6114</v>
      </c>
    </row>
    <row r="86" spans="1:10" s="606" customFormat="1" x14ac:dyDescent="0.25">
      <c r="A86" s="602" t="s">
        <v>212</v>
      </c>
      <c r="B86" s="603" t="s">
        <v>213</v>
      </c>
      <c r="C86" s="603" t="s">
        <v>267</v>
      </c>
      <c r="D86" s="604">
        <v>6009</v>
      </c>
      <c r="E86" s="604">
        <v>6355</v>
      </c>
      <c r="F86" s="604">
        <v>6712</v>
      </c>
      <c r="G86" s="605">
        <v>7275</v>
      </c>
      <c r="H86" s="890">
        <v>7645</v>
      </c>
      <c r="I86" s="890">
        <v>7718</v>
      </c>
      <c r="J86" s="1339">
        <v>7931</v>
      </c>
    </row>
    <row r="87" spans="1:10" s="606" customFormat="1" x14ac:dyDescent="0.25">
      <c r="A87" s="602" t="s">
        <v>214</v>
      </c>
      <c r="B87" s="603" t="s">
        <v>215</v>
      </c>
      <c r="C87" s="603" t="s">
        <v>268</v>
      </c>
      <c r="D87" s="604">
        <v>7664</v>
      </c>
      <c r="E87" s="604">
        <v>7866</v>
      </c>
      <c r="F87" s="604">
        <v>8130</v>
      </c>
      <c r="G87" s="605">
        <v>8383</v>
      </c>
      <c r="H87" s="890">
        <v>8746</v>
      </c>
      <c r="I87" s="890">
        <v>8726</v>
      </c>
      <c r="J87" s="1339">
        <v>8822</v>
      </c>
    </row>
    <row r="88" spans="1:10" s="606" customFormat="1" x14ac:dyDescent="0.25">
      <c r="A88" s="602" t="s">
        <v>216</v>
      </c>
      <c r="B88" s="603" t="s">
        <v>217</v>
      </c>
      <c r="C88" s="603" t="s">
        <v>264</v>
      </c>
      <c r="D88" s="604">
        <v>3635</v>
      </c>
      <c r="E88" s="604">
        <v>3656</v>
      </c>
      <c r="F88" s="604">
        <v>3702</v>
      </c>
      <c r="G88" s="605">
        <v>3898</v>
      </c>
      <c r="H88" s="890">
        <v>3971</v>
      </c>
      <c r="I88" s="890">
        <v>4048</v>
      </c>
      <c r="J88" s="1339">
        <v>4156</v>
      </c>
    </row>
    <row r="89" spans="1:10" s="606" customFormat="1" x14ac:dyDescent="0.25">
      <c r="A89" s="602" t="s">
        <v>218</v>
      </c>
      <c r="B89" s="603" t="s">
        <v>219</v>
      </c>
      <c r="C89" s="603" t="s">
        <v>267</v>
      </c>
      <c r="D89" s="604">
        <v>13315</v>
      </c>
      <c r="E89" s="604">
        <v>14447</v>
      </c>
      <c r="F89" s="604">
        <v>15933</v>
      </c>
      <c r="G89" s="605">
        <v>16451</v>
      </c>
      <c r="H89" s="890">
        <v>17598</v>
      </c>
      <c r="I89" s="890">
        <v>18481</v>
      </c>
      <c r="J89" s="1339">
        <v>20416</v>
      </c>
    </row>
    <row r="90" spans="1:10" s="606" customFormat="1" x14ac:dyDescent="0.25">
      <c r="A90" s="602" t="s">
        <v>220</v>
      </c>
      <c r="B90" s="603" t="s">
        <v>221</v>
      </c>
      <c r="C90" s="603" t="s">
        <v>267</v>
      </c>
      <c r="D90" s="604">
        <v>11208</v>
      </c>
      <c r="E90" s="604">
        <v>12273</v>
      </c>
      <c r="F90" s="604">
        <v>13088</v>
      </c>
      <c r="G90" s="605">
        <v>13923</v>
      </c>
      <c r="H90" s="890">
        <v>14780</v>
      </c>
      <c r="I90" s="890">
        <v>15224</v>
      </c>
      <c r="J90" s="1339">
        <v>16832</v>
      </c>
    </row>
    <row r="91" spans="1:10" s="606" customFormat="1" x14ac:dyDescent="0.25">
      <c r="A91" s="602" t="s">
        <v>224</v>
      </c>
      <c r="B91" s="603" t="s">
        <v>225</v>
      </c>
      <c r="C91" s="603" t="s">
        <v>264</v>
      </c>
      <c r="D91" s="604">
        <v>1186</v>
      </c>
      <c r="E91" s="604">
        <v>1276</v>
      </c>
      <c r="F91" s="604">
        <v>1312</v>
      </c>
      <c r="G91" s="605">
        <v>1314</v>
      </c>
      <c r="H91" s="890">
        <v>1369</v>
      </c>
      <c r="I91" s="890">
        <v>1407</v>
      </c>
      <c r="J91" s="1339">
        <v>1433</v>
      </c>
    </row>
    <row r="92" spans="1:10" s="606" customFormat="1" x14ac:dyDescent="0.25">
      <c r="A92" s="602" t="s">
        <v>226</v>
      </c>
      <c r="B92" s="603" t="s">
        <v>227</v>
      </c>
      <c r="C92" s="603" t="s">
        <v>264</v>
      </c>
      <c r="D92" s="604">
        <v>2270</v>
      </c>
      <c r="E92" s="604">
        <v>2364</v>
      </c>
      <c r="F92" s="604">
        <v>2319</v>
      </c>
      <c r="G92" s="605">
        <v>2430</v>
      </c>
      <c r="H92" s="890">
        <v>2579</v>
      </c>
      <c r="I92" s="890">
        <v>2575</v>
      </c>
      <c r="J92" s="1339">
        <v>2658</v>
      </c>
    </row>
    <row r="93" spans="1:10" s="606" customFormat="1" x14ac:dyDescent="0.25">
      <c r="A93" s="602" t="s">
        <v>228</v>
      </c>
      <c r="B93" s="603" t="s">
        <v>229</v>
      </c>
      <c r="C93" s="603" t="s">
        <v>268</v>
      </c>
      <c r="D93" s="604">
        <v>10056</v>
      </c>
      <c r="E93" s="604">
        <v>10416</v>
      </c>
      <c r="F93" s="604">
        <v>10534</v>
      </c>
      <c r="G93" s="605">
        <v>10662</v>
      </c>
      <c r="H93" s="890">
        <v>11056</v>
      </c>
      <c r="I93" s="890">
        <v>11169</v>
      </c>
      <c r="J93" s="1339">
        <v>11591</v>
      </c>
    </row>
    <row r="94" spans="1:10" s="606" customFormat="1" x14ac:dyDescent="0.25">
      <c r="A94" s="602" t="s">
        <v>232</v>
      </c>
      <c r="B94" s="603" t="s">
        <v>233</v>
      </c>
      <c r="C94" s="603" t="s">
        <v>267</v>
      </c>
      <c r="D94" s="604">
        <v>5021</v>
      </c>
      <c r="E94" s="604">
        <v>5496</v>
      </c>
      <c r="F94" s="604">
        <v>5898</v>
      </c>
      <c r="G94" s="605">
        <v>6197</v>
      </c>
      <c r="H94" s="890">
        <v>6615</v>
      </c>
      <c r="I94" s="890">
        <v>6678</v>
      </c>
      <c r="J94" s="1339">
        <v>7167</v>
      </c>
    </row>
    <row r="95" spans="1:10" s="606" customFormat="1" x14ac:dyDescent="0.25">
      <c r="A95" s="602" t="s">
        <v>234</v>
      </c>
      <c r="B95" s="603" t="s">
        <v>235</v>
      </c>
      <c r="C95" s="603" t="s">
        <v>268</v>
      </c>
      <c r="D95" s="604">
        <v>9268</v>
      </c>
      <c r="E95" s="604">
        <v>9845</v>
      </c>
      <c r="F95" s="604">
        <v>10107</v>
      </c>
      <c r="G95" s="605">
        <v>10502</v>
      </c>
      <c r="H95" s="890">
        <v>11157</v>
      </c>
      <c r="I95" s="890">
        <v>11412</v>
      </c>
      <c r="J95" s="1339">
        <v>11609</v>
      </c>
    </row>
    <row r="96" spans="1:10" s="606" customFormat="1" x14ac:dyDescent="0.25">
      <c r="A96" s="602" t="s">
        <v>236</v>
      </c>
      <c r="B96" s="603" t="s">
        <v>237</v>
      </c>
      <c r="C96" s="603" t="s">
        <v>266</v>
      </c>
      <c r="D96" s="604">
        <v>3399</v>
      </c>
      <c r="E96" s="604">
        <v>3659</v>
      </c>
      <c r="F96" s="604">
        <v>3951</v>
      </c>
      <c r="G96" s="605">
        <v>4039</v>
      </c>
      <c r="H96" s="890">
        <v>4123</v>
      </c>
      <c r="I96" s="890">
        <v>4117</v>
      </c>
      <c r="J96" s="1339">
        <v>4495</v>
      </c>
    </row>
    <row r="97" spans="1:10" s="606" customFormat="1" x14ac:dyDescent="0.25">
      <c r="A97" s="602" t="s">
        <v>242</v>
      </c>
      <c r="B97" s="603" t="s">
        <v>243</v>
      </c>
      <c r="C97" s="603" t="s">
        <v>268</v>
      </c>
      <c r="D97" s="604">
        <v>11363</v>
      </c>
      <c r="E97" s="604">
        <v>11376</v>
      </c>
      <c r="F97" s="604">
        <v>11483</v>
      </c>
      <c r="G97" s="605">
        <v>11654</v>
      </c>
      <c r="H97" s="890">
        <v>12033</v>
      </c>
      <c r="I97" s="890">
        <v>12226</v>
      </c>
      <c r="J97" s="1339">
        <v>12301</v>
      </c>
    </row>
    <row r="98" spans="1:10" s="606" customFormat="1" x14ac:dyDescent="0.25">
      <c r="A98" s="602" t="s">
        <v>244</v>
      </c>
      <c r="B98" s="603" t="s">
        <v>245</v>
      </c>
      <c r="C98" s="603" t="s">
        <v>268</v>
      </c>
      <c r="D98" s="604">
        <v>5811</v>
      </c>
      <c r="E98" s="604">
        <v>5977</v>
      </c>
      <c r="F98" s="604">
        <v>6171</v>
      </c>
      <c r="G98" s="605">
        <v>6459</v>
      </c>
      <c r="H98" s="890">
        <v>6701</v>
      </c>
      <c r="I98" s="890">
        <v>6669</v>
      </c>
      <c r="J98" s="1339">
        <v>6866</v>
      </c>
    </row>
    <row r="99" spans="1:10" s="606" customFormat="1" x14ac:dyDescent="0.25">
      <c r="A99" s="602" t="s">
        <v>246</v>
      </c>
      <c r="B99" s="603" t="s">
        <v>247</v>
      </c>
      <c r="C99" s="603" t="s">
        <v>264</v>
      </c>
      <c r="D99" s="604">
        <v>4081</v>
      </c>
      <c r="E99" s="604">
        <v>4442</v>
      </c>
      <c r="F99" s="604">
        <v>4995</v>
      </c>
      <c r="G99" s="605">
        <v>5306</v>
      </c>
      <c r="H99" s="890">
        <v>5520</v>
      </c>
      <c r="I99" s="890">
        <v>5698</v>
      </c>
      <c r="J99" s="1339">
        <v>6071</v>
      </c>
    </row>
    <row r="100" spans="1:10" s="606" customFormat="1" x14ac:dyDescent="0.25">
      <c r="A100" s="602" t="s">
        <v>14</v>
      </c>
      <c r="B100" s="603" t="s">
        <v>15</v>
      </c>
      <c r="C100" s="603" t="s">
        <v>267</v>
      </c>
      <c r="D100" s="604">
        <v>13029</v>
      </c>
      <c r="E100" s="604">
        <v>14056</v>
      </c>
      <c r="F100" s="604">
        <v>14657</v>
      </c>
      <c r="G100" s="605">
        <v>15158</v>
      </c>
      <c r="H100" s="890">
        <v>16053</v>
      </c>
      <c r="I100" s="890">
        <v>16347</v>
      </c>
      <c r="J100" s="1339">
        <v>18338</v>
      </c>
    </row>
    <row r="101" spans="1:10" s="606" customFormat="1" x14ac:dyDescent="0.25">
      <c r="A101" s="602" t="s">
        <v>34</v>
      </c>
      <c r="B101" s="603" t="s">
        <v>35</v>
      </c>
      <c r="C101" s="603" t="s">
        <v>268</v>
      </c>
      <c r="D101" s="604">
        <v>5372</v>
      </c>
      <c r="E101" s="604">
        <v>5548</v>
      </c>
      <c r="F101" s="604">
        <v>5763</v>
      </c>
      <c r="G101" s="605">
        <v>5907</v>
      </c>
      <c r="H101" s="890">
        <v>6229</v>
      </c>
      <c r="I101" s="890">
        <v>6006</v>
      </c>
      <c r="J101" s="1339">
        <v>5833</v>
      </c>
    </row>
    <row r="102" spans="1:10" s="606" customFormat="1" x14ac:dyDescent="0.25">
      <c r="A102" s="602" t="s">
        <v>52</v>
      </c>
      <c r="B102" s="603" t="s">
        <v>53</v>
      </c>
      <c r="C102" s="603" t="s">
        <v>265</v>
      </c>
      <c r="D102" s="604">
        <v>7041</v>
      </c>
      <c r="E102" s="604">
        <v>7248</v>
      </c>
      <c r="F102" s="604">
        <v>7391</v>
      </c>
      <c r="G102" s="605">
        <v>7564</v>
      </c>
      <c r="H102" s="890">
        <v>7765</v>
      </c>
      <c r="I102" s="890">
        <v>7497</v>
      </c>
      <c r="J102" s="1339">
        <v>7686</v>
      </c>
    </row>
    <row r="103" spans="1:10" s="606" customFormat="1" x14ac:dyDescent="0.25">
      <c r="A103" s="602" t="s">
        <v>54</v>
      </c>
      <c r="B103" s="603" t="s">
        <v>55</v>
      </c>
      <c r="C103" s="603" t="s">
        <v>264</v>
      </c>
      <c r="D103" s="604">
        <v>26544</v>
      </c>
      <c r="E103" s="604">
        <v>28694</v>
      </c>
      <c r="F103" s="604">
        <v>30023</v>
      </c>
      <c r="G103" s="605">
        <v>31405</v>
      </c>
      <c r="H103" s="890">
        <v>33054</v>
      </c>
      <c r="I103" s="890">
        <v>34104</v>
      </c>
      <c r="J103" s="1339">
        <v>35837</v>
      </c>
    </row>
    <row r="104" spans="1:10" s="606" customFormat="1" x14ac:dyDescent="0.25">
      <c r="A104" s="602" t="s">
        <v>66</v>
      </c>
      <c r="B104" s="603" t="s">
        <v>67</v>
      </c>
      <c r="C104" s="603" t="s">
        <v>265</v>
      </c>
      <c r="D104" s="604">
        <v>14027</v>
      </c>
      <c r="E104" s="604">
        <v>14616</v>
      </c>
      <c r="F104" s="604">
        <v>15065</v>
      </c>
      <c r="G104" s="605">
        <v>15726</v>
      </c>
      <c r="H104" s="890">
        <v>16291</v>
      </c>
      <c r="I104" s="890">
        <v>16561</v>
      </c>
      <c r="J104" s="1339">
        <v>17125</v>
      </c>
    </row>
    <row r="105" spans="1:10" s="606" customFormat="1" x14ac:dyDescent="0.25">
      <c r="A105" s="602" t="s">
        <v>82</v>
      </c>
      <c r="B105" s="603" t="s">
        <v>83</v>
      </c>
      <c r="C105" s="603" t="s">
        <v>264</v>
      </c>
      <c r="D105" s="604">
        <v>2546</v>
      </c>
      <c r="E105" s="604">
        <v>2688</v>
      </c>
      <c r="F105" s="604">
        <v>2894</v>
      </c>
      <c r="G105" s="605">
        <v>3194</v>
      </c>
      <c r="H105" s="890">
        <v>3315</v>
      </c>
      <c r="I105" s="890">
        <v>3311</v>
      </c>
      <c r="J105" s="1339">
        <v>3374</v>
      </c>
    </row>
    <row r="106" spans="1:10" s="606" customFormat="1" x14ac:dyDescent="0.25">
      <c r="A106" s="602" t="s">
        <v>88</v>
      </c>
      <c r="B106" s="603" t="s">
        <v>89</v>
      </c>
      <c r="C106" s="603" t="s">
        <v>267</v>
      </c>
      <c r="D106" s="604">
        <v>4846</v>
      </c>
      <c r="E106" s="604">
        <v>5187</v>
      </c>
      <c r="F106" s="604">
        <v>5534</v>
      </c>
      <c r="G106" s="605">
        <v>5906</v>
      </c>
      <c r="H106" s="890">
        <v>6094</v>
      </c>
      <c r="I106" s="890">
        <v>6324</v>
      </c>
      <c r="J106" s="1339">
        <v>6788</v>
      </c>
    </row>
    <row r="107" spans="1:10" s="606" customFormat="1" x14ac:dyDescent="0.25">
      <c r="A107" s="602" t="s">
        <v>90</v>
      </c>
      <c r="B107" s="603" t="s">
        <v>91</v>
      </c>
      <c r="C107" s="603" t="s">
        <v>268</v>
      </c>
      <c r="D107" s="604">
        <v>2525</v>
      </c>
      <c r="E107" s="604">
        <v>2574</v>
      </c>
      <c r="F107" s="604">
        <v>2486</v>
      </c>
      <c r="G107" s="605">
        <v>2518</v>
      </c>
      <c r="H107" s="890">
        <v>2566</v>
      </c>
      <c r="I107" s="890">
        <v>2682</v>
      </c>
      <c r="J107" s="1339">
        <v>2661</v>
      </c>
    </row>
    <row r="108" spans="1:10" s="606" customFormat="1" x14ac:dyDescent="0.25">
      <c r="A108" s="602" t="s">
        <v>106</v>
      </c>
      <c r="B108" s="603" t="s">
        <v>107</v>
      </c>
      <c r="C108" s="603" t="s">
        <v>264</v>
      </c>
      <c r="D108" s="604">
        <v>23612</v>
      </c>
      <c r="E108" s="604">
        <v>24651</v>
      </c>
      <c r="F108" s="604">
        <v>26228</v>
      </c>
      <c r="G108" s="605">
        <v>27614</v>
      </c>
      <c r="H108" s="890">
        <v>28769</v>
      </c>
      <c r="I108" s="890">
        <v>29538</v>
      </c>
      <c r="J108" s="1339">
        <v>31530</v>
      </c>
    </row>
    <row r="109" spans="1:10" s="606" customFormat="1" x14ac:dyDescent="0.25">
      <c r="A109" s="602" t="s">
        <v>116</v>
      </c>
      <c r="B109" s="603" t="s">
        <v>117</v>
      </c>
      <c r="C109" s="603" t="s">
        <v>266</v>
      </c>
      <c r="D109" s="604">
        <v>6711</v>
      </c>
      <c r="E109" s="604">
        <v>6971</v>
      </c>
      <c r="F109" s="604">
        <v>7303</v>
      </c>
      <c r="G109" s="605">
        <v>7704</v>
      </c>
      <c r="H109" s="890">
        <v>8056</v>
      </c>
      <c r="I109" s="890">
        <v>8292</v>
      </c>
      <c r="J109" s="1339">
        <v>9004</v>
      </c>
    </row>
    <row r="110" spans="1:10" s="606" customFormat="1" x14ac:dyDescent="0.25">
      <c r="A110" s="602" t="s">
        <v>138</v>
      </c>
      <c r="B110" s="603" t="s">
        <v>139</v>
      </c>
      <c r="C110" s="603" t="s">
        <v>265</v>
      </c>
      <c r="D110" s="604">
        <v>14716</v>
      </c>
      <c r="E110" s="604">
        <v>15489</v>
      </c>
      <c r="F110" s="604">
        <v>16122</v>
      </c>
      <c r="G110" s="605">
        <v>16822</v>
      </c>
      <c r="H110" s="890">
        <v>17494</v>
      </c>
      <c r="I110" s="890">
        <v>17725</v>
      </c>
      <c r="J110" s="1339">
        <v>18584</v>
      </c>
    </row>
    <row r="111" spans="1:10" s="606" customFormat="1" x14ac:dyDescent="0.25">
      <c r="A111" s="602" t="s">
        <v>142</v>
      </c>
      <c r="B111" s="603" t="s">
        <v>143</v>
      </c>
      <c r="C111" s="603" t="s">
        <v>267</v>
      </c>
      <c r="D111" s="604">
        <v>6165</v>
      </c>
      <c r="E111" s="604">
        <v>6953</v>
      </c>
      <c r="F111" s="604">
        <v>7318</v>
      </c>
      <c r="G111" s="605">
        <v>7505</v>
      </c>
      <c r="H111" s="890">
        <v>7934</v>
      </c>
      <c r="I111" s="890">
        <v>8376</v>
      </c>
      <c r="J111" s="1339">
        <v>8943</v>
      </c>
    </row>
    <row r="112" spans="1:10" s="606" customFormat="1" x14ac:dyDescent="0.25">
      <c r="A112" s="602" t="s">
        <v>144</v>
      </c>
      <c r="B112" s="603" t="s">
        <v>145</v>
      </c>
      <c r="C112" s="603" t="s">
        <v>267</v>
      </c>
      <c r="D112" s="604">
        <v>2321</v>
      </c>
      <c r="E112" s="604">
        <v>2366</v>
      </c>
      <c r="F112" s="604">
        <v>2460</v>
      </c>
      <c r="G112" s="605">
        <v>2507</v>
      </c>
      <c r="H112" s="890">
        <v>2804</v>
      </c>
      <c r="I112" s="890">
        <v>2748</v>
      </c>
      <c r="J112" s="1339">
        <v>3220</v>
      </c>
    </row>
    <row r="113" spans="1:11" s="606" customFormat="1" x14ac:dyDescent="0.25">
      <c r="A113" s="602" t="s">
        <v>158</v>
      </c>
      <c r="B113" s="603" t="s">
        <v>159</v>
      </c>
      <c r="C113" s="603" t="s">
        <v>264</v>
      </c>
      <c r="D113" s="604">
        <v>36779</v>
      </c>
      <c r="E113" s="604">
        <v>38337</v>
      </c>
      <c r="F113" s="604">
        <v>40818</v>
      </c>
      <c r="G113" s="605">
        <v>42505</v>
      </c>
      <c r="H113" s="890">
        <v>43949</v>
      </c>
      <c r="I113" s="890">
        <v>44162</v>
      </c>
      <c r="J113" s="1339">
        <v>45837</v>
      </c>
    </row>
    <row r="114" spans="1:11" s="606" customFormat="1" x14ac:dyDescent="0.25">
      <c r="A114" s="602" t="s">
        <v>160</v>
      </c>
      <c r="B114" s="603" t="s">
        <v>161</v>
      </c>
      <c r="C114" s="603" t="s">
        <v>264</v>
      </c>
      <c r="D114" s="604">
        <v>50442</v>
      </c>
      <c r="E114" s="604">
        <v>50455</v>
      </c>
      <c r="F114" s="604">
        <v>52054</v>
      </c>
      <c r="G114" s="605">
        <v>54448</v>
      </c>
      <c r="H114" s="890">
        <v>56361</v>
      </c>
      <c r="I114" s="890">
        <v>57649</v>
      </c>
      <c r="J114" s="1339">
        <v>60128</v>
      </c>
    </row>
    <row r="115" spans="1:11" s="606" customFormat="1" x14ac:dyDescent="0.25">
      <c r="A115" s="602" t="s">
        <v>166</v>
      </c>
      <c r="B115" s="603" t="s">
        <v>167</v>
      </c>
      <c r="C115" s="603" t="s">
        <v>268</v>
      </c>
      <c r="D115" s="604">
        <v>1419</v>
      </c>
      <c r="E115" s="604">
        <v>1377</v>
      </c>
      <c r="F115" s="604">
        <v>1392</v>
      </c>
      <c r="G115" s="605">
        <v>1494</v>
      </c>
      <c r="H115" s="890">
        <v>1503</v>
      </c>
      <c r="I115" s="890">
        <v>1494</v>
      </c>
      <c r="J115" s="1339">
        <v>1486</v>
      </c>
    </row>
    <row r="116" spans="1:11" s="606" customFormat="1" x14ac:dyDescent="0.25">
      <c r="A116" s="602" t="s">
        <v>176</v>
      </c>
      <c r="B116" s="603" t="s">
        <v>177</v>
      </c>
      <c r="C116" s="603" t="s">
        <v>266</v>
      </c>
      <c r="D116" s="604">
        <v>11093</v>
      </c>
      <c r="E116" s="604">
        <v>11308</v>
      </c>
      <c r="F116" s="604">
        <v>11830</v>
      </c>
      <c r="G116" s="605">
        <v>11991</v>
      </c>
      <c r="H116" s="890">
        <v>12152</v>
      </c>
      <c r="I116" s="890">
        <v>12186</v>
      </c>
      <c r="J116" s="1339">
        <v>12744</v>
      </c>
    </row>
    <row r="117" spans="1:11" s="606" customFormat="1" x14ac:dyDescent="0.25">
      <c r="A117" s="602" t="s">
        <v>180</v>
      </c>
      <c r="B117" s="603" t="s">
        <v>181</v>
      </c>
      <c r="C117" s="603" t="s">
        <v>264</v>
      </c>
      <c r="D117" s="604">
        <v>23479</v>
      </c>
      <c r="E117" s="604">
        <v>24259</v>
      </c>
      <c r="F117" s="604">
        <v>25241</v>
      </c>
      <c r="G117" s="605">
        <v>26822</v>
      </c>
      <c r="H117" s="890">
        <v>27875</v>
      </c>
      <c r="I117" s="890">
        <v>28467</v>
      </c>
      <c r="J117" s="1339">
        <v>30501</v>
      </c>
    </row>
    <row r="118" spans="1:11" s="606" customFormat="1" x14ac:dyDescent="0.25">
      <c r="A118" s="602" t="s">
        <v>192</v>
      </c>
      <c r="B118" s="603" t="s">
        <v>193</v>
      </c>
      <c r="C118" s="603" t="s">
        <v>268</v>
      </c>
      <c r="D118" s="604">
        <v>2076</v>
      </c>
      <c r="E118" s="604">
        <v>2127</v>
      </c>
      <c r="F118" s="604">
        <v>2238</v>
      </c>
      <c r="G118" s="605">
        <v>2314</v>
      </c>
      <c r="H118" s="890">
        <v>2371</v>
      </c>
      <c r="I118" s="890">
        <v>2467</v>
      </c>
      <c r="J118" s="1339">
        <v>2540</v>
      </c>
    </row>
    <row r="119" spans="1:11" s="606" customFormat="1" x14ac:dyDescent="0.25">
      <c r="A119" s="602" t="s">
        <v>196</v>
      </c>
      <c r="B119" s="603" t="s">
        <v>197</v>
      </c>
      <c r="C119" s="603" t="s">
        <v>266</v>
      </c>
      <c r="D119" s="604">
        <v>53763</v>
      </c>
      <c r="E119" s="604">
        <v>54660</v>
      </c>
      <c r="F119" s="604">
        <v>55559</v>
      </c>
      <c r="G119" s="605">
        <v>56264</v>
      </c>
      <c r="H119" s="890">
        <v>57781</v>
      </c>
      <c r="I119" s="890">
        <v>58266</v>
      </c>
      <c r="J119" s="1339">
        <v>60000</v>
      </c>
    </row>
    <row r="120" spans="1:11" s="606" customFormat="1" x14ac:dyDescent="0.25">
      <c r="A120" s="602" t="s">
        <v>200</v>
      </c>
      <c r="B120" s="603" t="s">
        <v>201</v>
      </c>
      <c r="C120" s="603" t="s">
        <v>265</v>
      </c>
      <c r="D120" s="604">
        <v>26027</v>
      </c>
      <c r="E120" s="604">
        <v>27247</v>
      </c>
      <c r="F120" s="604">
        <v>28258</v>
      </c>
      <c r="G120" s="605">
        <v>29646</v>
      </c>
      <c r="H120" s="890">
        <v>30805</v>
      </c>
      <c r="I120" s="890">
        <v>31083</v>
      </c>
      <c r="J120" s="1339">
        <v>31771</v>
      </c>
    </row>
    <row r="121" spans="1:11" s="606" customFormat="1" x14ac:dyDescent="0.25">
      <c r="A121" s="602" t="s">
        <v>222</v>
      </c>
      <c r="B121" s="603" t="s">
        <v>223</v>
      </c>
      <c r="C121" s="603" t="s">
        <v>264</v>
      </c>
      <c r="D121" s="604">
        <v>13356</v>
      </c>
      <c r="E121" s="604">
        <v>14165</v>
      </c>
      <c r="F121" s="604">
        <v>15116</v>
      </c>
      <c r="G121" s="605">
        <v>15757</v>
      </c>
      <c r="H121" s="890">
        <v>16510</v>
      </c>
      <c r="I121" s="890">
        <v>16884</v>
      </c>
      <c r="J121" s="1339">
        <v>17519</v>
      </c>
    </row>
    <row r="122" spans="1:11" s="606" customFormat="1" x14ac:dyDescent="0.25">
      <c r="A122" s="602" t="s">
        <v>230</v>
      </c>
      <c r="B122" s="603" t="s">
        <v>231</v>
      </c>
      <c r="C122" s="603" t="s">
        <v>264</v>
      </c>
      <c r="D122" s="604">
        <v>40826</v>
      </c>
      <c r="E122" s="604">
        <v>43882</v>
      </c>
      <c r="F122" s="604">
        <v>46581</v>
      </c>
      <c r="G122" s="605">
        <v>49219</v>
      </c>
      <c r="H122" s="890">
        <v>51524</v>
      </c>
      <c r="I122" s="890">
        <v>52794</v>
      </c>
      <c r="J122" s="1339">
        <v>57656</v>
      </c>
    </row>
    <row r="123" spans="1:11" s="606" customFormat="1" x14ac:dyDescent="0.25">
      <c r="A123" s="602" t="s">
        <v>238</v>
      </c>
      <c r="B123" s="603" t="s">
        <v>239</v>
      </c>
      <c r="C123" s="603" t="s">
        <v>264</v>
      </c>
      <c r="D123" s="604">
        <v>1132</v>
      </c>
      <c r="E123" s="604">
        <v>1262</v>
      </c>
      <c r="F123" s="604">
        <v>1479</v>
      </c>
      <c r="G123" s="605">
        <v>1524</v>
      </c>
      <c r="H123" s="890">
        <v>1610</v>
      </c>
      <c r="I123" s="890">
        <v>1678</v>
      </c>
      <c r="J123" s="1339">
        <v>1781</v>
      </c>
    </row>
    <row r="124" spans="1:11" s="606" customFormat="1" x14ac:dyDescent="0.25">
      <c r="A124" s="602" t="s">
        <v>240</v>
      </c>
      <c r="B124" s="603" t="s">
        <v>241</v>
      </c>
      <c r="C124" s="603" t="s">
        <v>267</v>
      </c>
      <c r="D124" s="604">
        <v>4966</v>
      </c>
      <c r="E124" s="604">
        <v>5477</v>
      </c>
      <c r="F124" s="604">
        <v>5943</v>
      </c>
      <c r="G124" s="605">
        <v>6085</v>
      </c>
      <c r="H124" s="890">
        <v>6480</v>
      </c>
      <c r="I124" s="890">
        <v>6580</v>
      </c>
      <c r="J124" s="1339">
        <v>6993</v>
      </c>
    </row>
    <row r="125" spans="1:11" ht="29.25" customHeight="1" x14ac:dyDescent="0.25">
      <c r="A125" s="534" t="s">
        <v>8</v>
      </c>
      <c r="B125" s="608" t="s">
        <v>784</v>
      </c>
      <c r="C125" s="601"/>
      <c r="D125" s="523">
        <v>1065610</v>
      </c>
      <c r="E125" s="523">
        <v>1131369</v>
      </c>
      <c r="F125" s="523">
        <v>1190299</v>
      </c>
      <c r="G125" s="609">
        <v>1238189</v>
      </c>
      <c r="H125" s="609">
        <v>1292800</v>
      </c>
      <c r="I125" s="609">
        <v>1314786</v>
      </c>
      <c r="J125" s="1340">
        <v>1390460</v>
      </c>
    </row>
    <row r="127" spans="1:11" ht="12.75" customHeight="1" x14ac:dyDescent="0.25">
      <c r="A127" s="2737" t="s">
        <v>1071</v>
      </c>
      <c r="B127" s="2738"/>
      <c r="C127" s="2738"/>
      <c r="D127" s="2738"/>
      <c r="E127" s="2738"/>
      <c r="F127" s="2738"/>
      <c r="G127" s="2738"/>
      <c r="H127" s="2738"/>
      <c r="I127" s="2738"/>
      <c r="J127" s="2738"/>
      <c r="K127" s="2738"/>
    </row>
    <row r="128" spans="1:11" x14ac:dyDescent="0.25">
      <c r="A128" s="2738"/>
      <c r="B128" s="2738"/>
      <c r="C128" s="2738"/>
      <c r="D128" s="2738"/>
      <c r="E128" s="2738"/>
      <c r="F128" s="2738"/>
      <c r="G128" s="2738"/>
      <c r="H128" s="2738"/>
      <c r="I128" s="2738"/>
      <c r="J128" s="2738"/>
      <c r="K128" s="2738"/>
    </row>
    <row r="129" spans="1:11" ht="18" customHeight="1" x14ac:dyDescent="0.25">
      <c r="A129" s="2738"/>
      <c r="B129" s="2738"/>
      <c r="C129" s="2738"/>
      <c r="D129" s="2738"/>
      <c r="E129" s="2738"/>
      <c r="F129" s="2738"/>
      <c r="G129" s="2738"/>
      <c r="H129" s="2738"/>
      <c r="I129" s="2738"/>
      <c r="J129" s="2738"/>
      <c r="K129" s="2738"/>
    </row>
    <row r="130" spans="1:11" x14ac:dyDescent="0.25">
      <c r="A130" s="535"/>
      <c r="B130" s="535"/>
      <c r="C130" s="535"/>
      <c r="D130" s="535"/>
      <c r="E130" s="535"/>
      <c r="F130" s="535"/>
      <c r="G130" s="535"/>
      <c r="H130" s="885"/>
      <c r="I130" s="999"/>
      <c r="J130" s="1331"/>
      <c r="K130" s="535"/>
    </row>
    <row r="131" spans="1:11" s="389" customFormat="1" x14ac:dyDescent="0.25">
      <c r="A131" s="389" t="s">
        <v>248</v>
      </c>
    </row>
    <row r="132" spans="1:11" s="389" customFormat="1" x14ac:dyDescent="0.25">
      <c r="A132" s="390" t="s">
        <v>249</v>
      </c>
      <c r="B132" s="391" t="s">
        <v>250</v>
      </c>
      <c r="C132" s="391"/>
    </row>
  </sheetData>
  <autoFilter ref="A3:C3"/>
  <sortState ref="A5:K124">
    <sortCondition ref="A5:A124"/>
  </sortState>
  <mergeCells count="1">
    <mergeCell ref="A127:K129"/>
  </mergeCells>
  <hyperlinks>
    <hyperlink ref="B132"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J17" sqref="J17"/>
    </sheetView>
  </sheetViews>
  <sheetFormatPr defaultRowHeight="15.75" x14ac:dyDescent="0.25"/>
  <cols>
    <col min="6" max="6" width="9.875" bestFit="1" customWidth="1"/>
    <col min="9" max="11" width="11.625" customWidth="1"/>
    <col min="12" max="12" width="12.5" customWidth="1"/>
  </cols>
  <sheetData>
    <row r="1" spans="1:24" s="66" customFormat="1" ht="15.75" customHeight="1" x14ac:dyDescent="0.2">
      <c r="A1" s="2566" t="s">
        <v>1058</v>
      </c>
      <c r="B1" s="2566"/>
      <c r="C1" s="2696" t="s">
        <v>265</v>
      </c>
      <c r="D1" s="2697"/>
      <c r="E1" s="2697"/>
      <c r="F1" s="2698"/>
      <c r="G1" s="1291"/>
      <c r="H1" s="1288"/>
      <c r="I1" s="1287"/>
      <c r="J1" s="1289"/>
      <c r="K1" s="1292"/>
      <c r="L1" s="1292"/>
      <c r="M1" s="161"/>
      <c r="N1" s="161"/>
      <c r="Q1" s="71"/>
      <c r="R1" s="71"/>
      <c r="S1" s="71"/>
    </row>
    <row r="2" spans="1:24" s="66" customFormat="1" ht="15.75" customHeight="1" x14ac:dyDescent="0.2">
      <c r="A2" s="1275"/>
      <c r="B2" s="1275"/>
      <c r="C2" s="1290"/>
      <c r="D2" s="1290"/>
      <c r="E2" s="1290"/>
      <c r="F2" s="1290"/>
      <c r="G2" s="1287"/>
      <c r="H2" s="1288"/>
      <c r="I2" s="1287"/>
      <c r="J2" s="1289"/>
      <c r="K2" s="161"/>
      <c r="L2" s="161"/>
      <c r="M2" s="161"/>
      <c r="N2" s="161"/>
      <c r="Q2" s="71"/>
      <c r="R2" s="71"/>
      <c r="S2" s="71"/>
    </row>
    <row r="3" spans="1:24" s="66" customFormat="1" ht="13.5" customHeight="1" x14ac:dyDescent="0.2">
      <c r="F3" s="2497" t="s">
        <v>1315</v>
      </c>
      <c r="G3" s="2498"/>
      <c r="H3" s="2499"/>
      <c r="I3" s="2508" t="s">
        <v>314</v>
      </c>
      <c r="J3" s="2491" t="s">
        <v>315</v>
      </c>
      <c r="K3" s="2493" t="s">
        <v>661</v>
      </c>
      <c r="L3" s="2500" t="s">
        <v>1033</v>
      </c>
      <c r="M3" s="78"/>
      <c r="N3" s="83"/>
      <c r="S3" s="82"/>
      <c r="T3" s="92"/>
      <c r="U3" s="127"/>
      <c r="V3" s="80"/>
      <c r="W3" s="80"/>
      <c r="X3" s="87"/>
    </row>
    <row r="4" spans="1:24" s="66" customFormat="1" ht="13.5" customHeight="1" x14ac:dyDescent="0.2">
      <c r="F4" s="2502" t="str">
        <f>C1</f>
        <v>Piedmont</v>
      </c>
      <c r="G4" s="2503"/>
      <c r="H4" s="2504"/>
      <c r="I4" s="2509"/>
      <c r="J4" s="2492"/>
      <c r="K4" s="2494"/>
      <c r="L4" s="2501"/>
      <c r="M4" s="78"/>
      <c r="N4" s="83"/>
      <c r="S4" s="82"/>
      <c r="T4" s="92"/>
      <c r="U4" s="127"/>
      <c r="V4" s="80"/>
      <c r="W4" s="80"/>
      <c r="X4" s="87"/>
    </row>
    <row r="5" spans="1:24" s="66" customFormat="1" ht="13.5" customHeight="1" x14ac:dyDescent="0.2">
      <c r="F5" s="2489" t="s">
        <v>317</v>
      </c>
      <c r="G5" s="2490"/>
      <c r="H5" s="2490"/>
      <c r="I5" s="1237">
        <f>I6+I7</f>
        <v>51810140.38340088</v>
      </c>
      <c r="J5" s="1237">
        <f t="shared" ref="J5:L5" si="0">J6+J7</f>
        <v>20788855.176599119</v>
      </c>
      <c r="K5" s="1237">
        <f t="shared" si="0"/>
        <v>37568393.100000009</v>
      </c>
      <c r="L5" s="1238">
        <f t="shared" si="0"/>
        <v>110167388.66000001</v>
      </c>
      <c r="M5" s="78"/>
      <c r="N5" s="83"/>
      <c r="S5" s="82"/>
      <c r="U5" s="87"/>
      <c r="V5" s="87"/>
      <c r="W5" s="87"/>
      <c r="X5" s="87"/>
    </row>
    <row r="6" spans="1:24" s="66" customFormat="1" ht="13.5" customHeight="1" x14ac:dyDescent="0.2">
      <c r="F6" s="2459" t="s">
        <v>903</v>
      </c>
      <c r="G6" s="2460"/>
      <c r="H6" s="2460"/>
      <c r="I6" s="1194">
        <f>VLOOKUP(C1,Admin_Costs_LASER,4,FALSE)</f>
        <v>48569102.763400882</v>
      </c>
      <c r="J6" s="1239">
        <f>VLOOKUP(C1,Admin_Costs_LASER,5,FALSE)</f>
        <v>20788855.176599119</v>
      </c>
      <c r="K6" s="1239">
        <f>VLOOKUP(C1,Admin_Costs_LASER,11,FALSE)</f>
        <v>28984056.530000005</v>
      </c>
      <c r="L6" s="366">
        <f>VLOOKUP(C1,Admin_Costs_LASER,9,FALSE)</f>
        <v>98342014.470000014</v>
      </c>
      <c r="M6" s="78"/>
      <c r="N6" s="83"/>
      <c r="S6" s="82"/>
      <c r="U6" s="128"/>
      <c r="V6" s="80"/>
      <c r="W6" s="80"/>
      <c r="X6" s="87"/>
    </row>
    <row r="7" spans="1:24" s="66" customFormat="1" ht="13.5" customHeight="1" x14ac:dyDescent="0.2">
      <c r="F7" s="2459" t="s">
        <v>932</v>
      </c>
      <c r="G7" s="2460"/>
      <c r="H7" s="2460"/>
      <c r="I7" s="1194">
        <f>VLOOKUP(C1,Other_Oper_Exp_LASER,4,FALSE)</f>
        <v>3241037.62</v>
      </c>
      <c r="J7" s="1239">
        <f>VLOOKUP(C1,Other_Oper_Exp_LASER,5,FALSE)</f>
        <v>0</v>
      </c>
      <c r="K7" s="1239">
        <f>VLOOKUP(C1,Other_Oper_Exp_LASER,11,FALSE)</f>
        <v>8584336.5700000003</v>
      </c>
      <c r="L7" s="366">
        <f>VLOOKUP(C1,Other_Oper_Exp_LASER,9,FALSE)</f>
        <v>11825374.190000001</v>
      </c>
      <c r="O7" s="306"/>
      <c r="P7" s="306"/>
      <c r="Q7" s="296"/>
      <c r="R7" s="295"/>
      <c r="S7" s="82"/>
      <c r="T7" s="81"/>
      <c r="U7" s="81"/>
      <c r="V7" s="81"/>
      <c r="W7" s="81"/>
    </row>
    <row r="8" spans="1:24" s="66" customFormat="1" ht="13.5" customHeight="1" x14ac:dyDescent="0.2">
      <c r="F8" s="2471" t="s">
        <v>1026</v>
      </c>
      <c r="G8" s="2472"/>
      <c r="H8" s="2472"/>
      <c r="I8" s="1211">
        <f>I5/L5</f>
        <v>0.47028563546421154</v>
      </c>
      <c r="J8" s="1211">
        <f>J5/L5</f>
        <v>0.18870244116212961</v>
      </c>
      <c r="K8" s="1211">
        <f>K5/L5</f>
        <v>0.34101192337365877</v>
      </c>
      <c r="L8" s="1212">
        <f>L5/L5</f>
        <v>1</v>
      </c>
      <c r="O8" s="306"/>
      <c r="P8" s="306"/>
      <c r="Q8" s="296"/>
      <c r="R8" s="295"/>
      <c r="S8" s="82"/>
    </row>
    <row r="9" spans="1:24" s="66" customFormat="1" ht="13.5" customHeight="1" x14ac:dyDescent="0.2">
      <c r="F9" s="2476" t="s">
        <v>1023</v>
      </c>
      <c r="G9" s="2477"/>
      <c r="H9" s="2477"/>
      <c r="I9" s="1240">
        <f>I5/I24</f>
        <v>4.5783587416710757E-2</v>
      </c>
      <c r="J9" s="1240">
        <f>J5/J24</f>
        <v>2.2632828810213293E-2</v>
      </c>
      <c r="K9" s="1240">
        <f>K5/K24</f>
        <v>0.52920054109603143</v>
      </c>
      <c r="L9" s="1241">
        <f>L5/L24</f>
        <v>5.1937606651012387E-2</v>
      </c>
      <c r="O9" s="306"/>
      <c r="P9" s="306"/>
      <c r="Q9" s="297"/>
      <c r="R9" s="295"/>
      <c r="S9" s="82"/>
    </row>
    <row r="10" spans="1:24" s="66" customFormat="1" ht="13.5" customHeight="1" x14ac:dyDescent="0.2">
      <c r="F10" s="2469" t="s">
        <v>935</v>
      </c>
      <c r="G10" s="2470"/>
      <c r="H10" s="2470"/>
      <c r="I10" s="1415">
        <f>VLOOKUP(C1,Client_Svcs_LASER,4,FALSE)</f>
        <v>2353190.7936088406</v>
      </c>
      <c r="J10" s="1416">
        <f>VLOOKUP(C1,Client_Svcs_LASER,5,FALSE)</f>
        <v>1565505.9363911592</v>
      </c>
      <c r="K10" s="1416">
        <f>VLOOKUP(C1,Client_Svcs_LASER,11,FALSE)</f>
        <v>844289.31999999983</v>
      </c>
      <c r="L10" s="1417">
        <f>VLOOKUP(C1,Client_Svcs_LASER,9, FALSE)</f>
        <v>4762986.0499999989</v>
      </c>
      <c r="O10" s="306"/>
      <c r="P10" s="306"/>
      <c r="Q10" s="297"/>
      <c r="R10" s="295"/>
      <c r="S10" s="82"/>
      <c r="T10" s="81"/>
      <c r="U10" s="81" t="s">
        <v>1032</v>
      </c>
      <c r="V10" s="81" t="s">
        <v>1031</v>
      </c>
      <c r="W10" s="81" t="s">
        <v>1030</v>
      </c>
    </row>
    <row r="11" spans="1:24" s="66" customFormat="1" ht="13.5" customHeight="1" x14ac:dyDescent="0.2">
      <c r="F11" s="1274" t="s">
        <v>1027</v>
      </c>
      <c r="G11" s="1209"/>
      <c r="H11" s="1209"/>
      <c r="I11" s="1211">
        <f>I10/L10</f>
        <v>0.49405788068785988</v>
      </c>
      <c r="J11" s="1213">
        <f>J10/L10</f>
        <v>0.32868161274399693</v>
      </c>
      <c r="K11" s="1213">
        <f>K10/L10</f>
        <v>0.17726050656814332</v>
      </c>
      <c r="L11" s="1214">
        <f>L10/L10</f>
        <v>1</v>
      </c>
      <c r="O11" s="306"/>
      <c r="P11" s="306"/>
      <c r="Q11" s="297"/>
      <c r="R11" s="295"/>
      <c r="S11" s="82"/>
      <c r="T11" s="81"/>
      <c r="U11" s="81"/>
      <c r="V11" s="81"/>
      <c r="W11" s="81"/>
    </row>
    <row r="12" spans="1:24" s="66" customFormat="1" ht="13.5" customHeight="1" x14ac:dyDescent="0.2">
      <c r="F12" s="2467" t="s">
        <v>1024</v>
      </c>
      <c r="G12" s="2468"/>
      <c r="H12" s="2468"/>
      <c r="I12" s="1242">
        <f>I10/I24</f>
        <v>2.07946775689314E-3</v>
      </c>
      <c r="J12" s="1243">
        <f>J10/J24</f>
        <v>1.70436647707265E-3</v>
      </c>
      <c r="K12" s="1243">
        <f>K10/K24</f>
        <v>1.1892932545619054E-2</v>
      </c>
      <c r="L12" s="1244">
        <f>L10/L24</f>
        <v>2.2454748084537119E-3</v>
      </c>
      <c r="O12" s="305"/>
      <c r="P12" s="305"/>
      <c r="S12" s="82"/>
      <c r="T12" s="81" t="s">
        <v>314</v>
      </c>
      <c r="U12" s="1220">
        <f>I9</f>
        <v>4.5783587416710757E-2</v>
      </c>
      <c r="V12" s="1220">
        <f>I12</f>
        <v>2.07946775689314E-3</v>
      </c>
      <c r="W12" s="1220">
        <f>I23</f>
        <v>0.95213694482639599</v>
      </c>
      <c r="X12" s="87"/>
    </row>
    <row r="13" spans="1:24" s="66" customFormat="1" ht="13.5" customHeight="1" x14ac:dyDescent="0.2">
      <c r="F13" s="2465" t="s">
        <v>640</v>
      </c>
      <c r="G13" s="2466"/>
      <c r="H13" s="2466"/>
      <c r="I13" s="1237">
        <f>SUM(I14:I21)</f>
        <v>1077467965.2488894</v>
      </c>
      <c r="J13" s="1237">
        <f>SUM(J14:J21)</f>
        <v>896172233.63675392</v>
      </c>
      <c r="K13" s="1237">
        <f>SUM(K14:K21)</f>
        <v>32578161.660000004</v>
      </c>
      <c r="L13" s="1238">
        <f>SUM(L14:L21)</f>
        <v>2006218360.5456433</v>
      </c>
      <c r="O13" s="305"/>
      <c r="P13" s="305"/>
      <c r="S13" s="82"/>
      <c r="T13" s="81" t="s">
        <v>315</v>
      </c>
      <c r="U13" s="1220">
        <f>J9</f>
        <v>2.2632828810213293E-2</v>
      </c>
      <c r="V13" s="1220">
        <f>J12</f>
        <v>1.70436647707265E-3</v>
      </c>
      <c r="W13" s="1220">
        <f>J23</f>
        <v>0.97566280471271405</v>
      </c>
      <c r="X13" s="87"/>
    </row>
    <row r="14" spans="1:24" s="66" customFormat="1" ht="13.5" customHeight="1" x14ac:dyDescent="0.2">
      <c r="F14" s="2459" t="s">
        <v>936</v>
      </c>
      <c r="G14" s="2460"/>
      <c r="H14" s="2460"/>
      <c r="I14" s="1418">
        <f>VLOOKUP(C1,Medicaid_FAMIS_LASER,5,FALSE)</f>
        <v>827242735.0164454</v>
      </c>
      <c r="J14" s="1419">
        <f>VLOOKUP(C1,Medicaid_FAMIS_LASER,6,FALSE)</f>
        <v>787868903.41379464</v>
      </c>
      <c r="K14" s="1419">
        <f>VLOOKUP(C1,Medicaid_FAMIS_LASER,7,FALSE)</f>
        <v>3949235.79</v>
      </c>
      <c r="L14" s="1420">
        <f>VLOOKUP(C1,Medicaid_FAMIS_LASER,4,FALSE)</f>
        <v>1619060874.2202404</v>
      </c>
      <c r="O14" s="305"/>
      <c r="P14" s="305"/>
      <c r="S14" s="82"/>
      <c r="T14" s="81" t="s">
        <v>661</v>
      </c>
      <c r="U14" s="1220">
        <f>K9</f>
        <v>0.52920054109603143</v>
      </c>
      <c r="V14" s="1220">
        <f>K12</f>
        <v>1.1892932545619054E-2</v>
      </c>
      <c r="W14" s="1220">
        <f>K23</f>
        <v>0.4589065263583495</v>
      </c>
      <c r="X14" s="87"/>
    </row>
    <row r="15" spans="1:24" s="66" customFormat="1" ht="13.5" customHeight="1" x14ac:dyDescent="0.2">
      <c r="F15" s="2459" t="s">
        <v>1038</v>
      </c>
      <c r="G15" s="2460"/>
      <c r="H15" s="2460"/>
      <c r="I15" s="1418">
        <f>VLOOKUP(C1,SNAP_LASER,5,FALSE)</f>
        <v>197310978.23999998</v>
      </c>
      <c r="J15" s="1419">
        <v>0</v>
      </c>
      <c r="K15" s="1419">
        <v>0</v>
      </c>
      <c r="L15" s="1420">
        <f>VLOOKUP(C1,SNAP_LASER,4,FALSE)</f>
        <v>197310978.23999998</v>
      </c>
      <c r="M15" s="78"/>
      <c r="N15" s="83"/>
      <c r="O15" s="83"/>
      <c r="P15" s="83"/>
      <c r="S15" s="82"/>
      <c r="T15" s="81" t="s">
        <v>281</v>
      </c>
      <c r="U15" s="1220">
        <f>L9</f>
        <v>5.1937606651012387E-2</v>
      </c>
      <c r="V15" s="1220">
        <f>L12</f>
        <v>2.2454748084537119E-3</v>
      </c>
      <c r="W15" s="1220">
        <f>L23</f>
        <v>0.94581691854053385</v>
      </c>
      <c r="X15" s="87"/>
    </row>
    <row r="16" spans="1:24" s="66" customFormat="1" ht="13.5" customHeight="1" x14ac:dyDescent="0.2">
      <c r="F16" s="2459" t="s">
        <v>942</v>
      </c>
      <c r="G16" s="2460"/>
      <c r="H16" s="2460"/>
      <c r="I16" s="1418">
        <f>VLOOKUP(C1,TANF_LASER,4,FALSE)</f>
        <v>4708577.5660870038</v>
      </c>
      <c r="J16" s="1418">
        <f>VLOOKUP(C1,TANF_LASER,5,FALSE)</f>
        <v>7656435.709316114</v>
      </c>
      <c r="K16" s="1418">
        <f>VLOOKUP(C1,TANF_LASER,9,FALSE)</f>
        <v>0</v>
      </c>
      <c r="L16" s="1421">
        <f>VLOOKUP(C1,TANF_LASER,8,FALSE)</f>
        <v>12365013.275403118</v>
      </c>
      <c r="M16" s="78"/>
      <c r="N16" s="83"/>
      <c r="O16" s="83"/>
      <c r="P16" s="83"/>
      <c r="S16" s="82"/>
      <c r="T16" s="81"/>
      <c r="U16" s="81"/>
      <c r="V16" s="81"/>
      <c r="W16" s="81"/>
    </row>
    <row r="17" spans="1:23" s="66" customFormat="1" ht="13.5" customHeight="1" x14ac:dyDescent="0.2">
      <c r="F17" s="2459" t="s">
        <v>1039</v>
      </c>
      <c r="G17" s="2460"/>
      <c r="H17" s="2460"/>
      <c r="I17" s="1418">
        <f>VLOOKUP(C1,EA_LASER,5,FALSE)</f>
        <v>16538794.940000001</v>
      </c>
      <c r="J17" s="1419">
        <f>VLOOKUP(C1,EA_LASER,7,FALSE)</f>
        <v>0</v>
      </c>
      <c r="K17" s="1419">
        <f>VLOOKUP(C1,EA_LASER,9,FALSE)</f>
        <v>0</v>
      </c>
      <c r="L17" s="1420">
        <f>VLOOKUP(C1,EA_LASER,4,FALSE)</f>
        <v>16538794.940000001</v>
      </c>
      <c r="M17" s="78"/>
      <c r="N17" s="83"/>
      <c r="O17" s="83"/>
      <c r="P17" s="83"/>
      <c r="S17" s="82"/>
      <c r="T17" s="81"/>
      <c r="U17" s="81"/>
      <c r="V17" s="81"/>
      <c r="W17" s="81"/>
    </row>
    <row r="18" spans="1:23" s="66" customFormat="1" ht="13.5" customHeight="1" x14ac:dyDescent="0.2">
      <c r="F18" s="2459" t="s">
        <v>960</v>
      </c>
      <c r="G18" s="2460"/>
      <c r="H18" s="2460"/>
      <c r="I18" s="1418">
        <f>VLOOKUP(C1,FC_Adop_LASER,4,FALSE)</f>
        <v>21124759.370000001</v>
      </c>
      <c r="J18" s="1418">
        <f>VLOOKUP(C1,FC_Adop_LASER,5,FALSE)</f>
        <v>26847330.100000001</v>
      </c>
      <c r="K18" s="1418">
        <f>VLOOKUP(C1,FC_Adop_LASER,8,FALSE)</f>
        <v>57457.62999999999</v>
      </c>
      <c r="L18" s="1421">
        <f>VLOOKUP(C1,FC_Adop_LASER,9,FALSE)</f>
        <v>48029547.100000001</v>
      </c>
      <c r="M18" s="78"/>
      <c r="N18" s="83"/>
      <c r="O18" s="83"/>
      <c r="P18" s="83"/>
      <c r="S18" s="82"/>
      <c r="T18" s="81"/>
      <c r="U18" s="81"/>
      <c r="V18" s="81"/>
      <c r="W18" s="81"/>
    </row>
    <row r="19" spans="1:23" s="66" customFormat="1" ht="13.5" customHeight="1" x14ac:dyDescent="0.2">
      <c r="F19" s="2459" t="s">
        <v>1211</v>
      </c>
      <c r="G19" s="2460"/>
      <c r="H19" s="2460"/>
      <c r="I19" s="1418">
        <f>VLOOKUP(C1,CSA_LASER,4,FALSE)</f>
        <v>0</v>
      </c>
      <c r="J19" s="1418">
        <f>VLOOKUP(C1,CSA_LASER,5,FALSE)</f>
        <v>66893182.880000003</v>
      </c>
      <c r="K19" s="1418">
        <f>VLOOKUP(C1,CSA_LASER,9,FALSE)</f>
        <v>27599573.090000004</v>
      </c>
      <c r="L19" s="1421">
        <f>VLOOKUP(C1,CSA_LASER,8,FALSE)</f>
        <v>94492755.969999999</v>
      </c>
      <c r="M19" s="78"/>
      <c r="N19" s="83"/>
      <c r="O19" s="83"/>
      <c r="P19" s="83"/>
      <c r="S19" s="82"/>
      <c r="T19" s="81"/>
      <c r="U19" s="81"/>
      <c r="V19" s="81"/>
      <c r="W19" s="81"/>
    </row>
    <row r="20" spans="1:23" s="66" customFormat="1" ht="13.5" customHeight="1" x14ac:dyDescent="0.2">
      <c r="F20" s="1272" t="s">
        <v>977</v>
      </c>
      <c r="G20" s="1273"/>
      <c r="H20" s="1273"/>
      <c r="I20" s="1418">
        <f>VLOOKUP(C1,ChildCareLASER,9,FALSE)</f>
        <v>9719353.456356911</v>
      </c>
      <c r="J20" s="1418">
        <f>VLOOKUP(C1,ChildCareLASER,10,FALSE)</f>
        <v>3225141.543643089</v>
      </c>
      <c r="K20" s="1419">
        <v>0</v>
      </c>
      <c r="L20" s="1420">
        <f>VLOOKUP(C1,ChildCareLASER,8,FALSE)</f>
        <v>12944495</v>
      </c>
      <c r="M20" s="78"/>
      <c r="N20" s="83"/>
      <c r="O20" s="83"/>
      <c r="P20" s="83"/>
      <c r="S20" s="82"/>
      <c r="T20" s="81"/>
      <c r="U20" s="81"/>
      <c r="V20" s="81"/>
      <c r="W20" s="81"/>
    </row>
    <row r="21" spans="1:23" s="66" customFormat="1" ht="13.5" customHeight="1" x14ac:dyDescent="0.2">
      <c r="F21" s="2459" t="s">
        <v>978</v>
      </c>
      <c r="G21" s="2460"/>
      <c r="H21" s="2460"/>
      <c r="I21" s="1418">
        <f>VLOOKUP(C1,OT_BENE_LASER,4,FALSE)</f>
        <v>822766.66</v>
      </c>
      <c r="J21" s="1418">
        <f>VLOOKUP(C1,OT_BENE_LASER,5,FALSE)</f>
        <v>3681239.99</v>
      </c>
      <c r="K21" s="1418">
        <f>VLOOKUP(C1,OT_BENE_LASER,8,FALSE)</f>
        <v>971895.15</v>
      </c>
      <c r="L21" s="1421">
        <f>VLOOKUP(C1,OT_BENE_LASER,9,FALSE)</f>
        <v>5475901.8000000007</v>
      </c>
      <c r="M21" s="78"/>
      <c r="N21" s="83"/>
      <c r="O21" s="83"/>
      <c r="P21" s="83"/>
      <c r="S21" s="82"/>
      <c r="T21" s="81"/>
      <c r="U21" s="81"/>
      <c r="V21" s="81"/>
      <c r="W21" s="81"/>
    </row>
    <row r="22" spans="1:23" s="66" customFormat="1" ht="13.5" customHeight="1" x14ac:dyDescent="0.2">
      <c r="F22" s="2471" t="s">
        <v>1028</v>
      </c>
      <c r="G22" s="2472"/>
      <c r="H22" s="2472"/>
      <c r="I22" s="1211">
        <f>I13/L13</f>
        <v>0.53706415335359803</v>
      </c>
      <c r="J22" s="1211">
        <f>J13/L13</f>
        <v>0.44669725452667902</v>
      </c>
      <c r="K22" s="1211">
        <f>K13/L13</f>
        <v>1.623859211972296E-2</v>
      </c>
      <c r="L22" s="1212">
        <f>L13/L13</f>
        <v>1</v>
      </c>
      <c r="M22" s="78"/>
      <c r="N22" s="83"/>
      <c r="O22" s="83"/>
      <c r="P22" s="83"/>
      <c r="S22" s="82"/>
      <c r="T22" s="81"/>
      <c r="U22" s="81"/>
      <c r="V22" s="81"/>
      <c r="W22" s="81"/>
    </row>
    <row r="23" spans="1:23" s="66" customFormat="1" ht="13.5" customHeight="1" x14ac:dyDescent="0.2">
      <c r="F23" s="2476" t="s">
        <v>1025</v>
      </c>
      <c r="G23" s="2477"/>
      <c r="H23" s="2477"/>
      <c r="I23" s="1246">
        <f>I13/I24</f>
        <v>0.95213694482639599</v>
      </c>
      <c r="J23" s="1246">
        <f>J13/J24</f>
        <v>0.97566280471271405</v>
      </c>
      <c r="K23" s="1246">
        <f>K13/K24</f>
        <v>0.4589065263583495</v>
      </c>
      <c r="L23" s="1247">
        <f>L13/L24</f>
        <v>0.94581691854053385</v>
      </c>
      <c r="M23" s="78"/>
      <c r="N23" s="83"/>
      <c r="O23" s="83"/>
      <c r="P23" s="83"/>
      <c r="S23" s="82"/>
      <c r="T23" s="81"/>
      <c r="U23" s="81"/>
      <c r="V23" s="81"/>
      <c r="W23" s="81"/>
    </row>
    <row r="24" spans="1:23" s="66" customFormat="1" ht="13.5" customHeight="1" x14ac:dyDescent="0.2">
      <c r="F24" s="2474" t="s">
        <v>1034</v>
      </c>
      <c r="G24" s="2475"/>
      <c r="H24" s="2475"/>
      <c r="I24" s="1523">
        <f>I5+I10+I13</f>
        <v>1131631296.4258993</v>
      </c>
      <c r="J24" s="1523">
        <f>J5+J10+J13</f>
        <v>918526594.74974418</v>
      </c>
      <c r="K24" s="1523">
        <f>K5+K10+K13</f>
        <v>70990844.080000013</v>
      </c>
      <c r="L24" s="1219">
        <f>L5+L10+L13</f>
        <v>2121148735.2556434</v>
      </c>
      <c r="M24" s="92"/>
      <c r="N24" s="92"/>
      <c r="O24" s="83"/>
      <c r="P24" s="83"/>
      <c r="S24" s="82"/>
      <c r="T24" s="81"/>
      <c r="U24" s="81"/>
      <c r="V24" s="81"/>
      <c r="W24" s="81"/>
    </row>
    <row r="25" spans="1:23" s="66" customFormat="1" ht="13.5" customHeight="1" x14ac:dyDescent="0.2">
      <c r="F25" s="1248" t="s">
        <v>1029</v>
      </c>
      <c r="G25" s="1249"/>
      <c r="H25" s="1250"/>
      <c r="I25" s="1251">
        <f>I24/$L24</f>
        <v>0.53349926745684517</v>
      </c>
      <c r="J25" s="367">
        <f>J24/$L24</f>
        <v>0.43303262024152317</v>
      </c>
      <c r="K25" s="367">
        <f>K24/$L24</f>
        <v>3.3468112301631742E-2</v>
      </c>
      <c r="L25" s="368">
        <f>SUM(I25:K25)</f>
        <v>1.0000000000000002</v>
      </c>
      <c r="M25" s="92"/>
      <c r="N25" s="92"/>
      <c r="P25" s="83"/>
      <c r="S25" s="82"/>
      <c r="T25" s="81"/>
      <c r="U25" s="81"/>
      <c r="V25" s="81"/>
      <c r="W25" s="81"/>
    </row>
    <row r="26" spans="1:23" s="66" customFormat="1" ht="13.5" customHeight="1" x14ac:dyDescent="0.2">
      <c r="B26" s="91"/>
      <c r="C26" s="91"/>
      <c r="D26" s="133"/>
      <c r="E26" s="133"/>
      <c r="F26" s="2699" t="s">
        <v>1043</v>
      </c>
      <c r="G26" s="2699"/>
      <c r="H26" s="2699"/>
      <c r="I26" s="2699"/>
      <c r="J26" s="2699"/>
      <c r="K26" s="2699"/>
      <c r="L26" s="2699"/>
      <c r="M26" s="92"/>
      <c r="N26" s="92"/>
      <c r="O26" s="83"/>
      <c r="P26" s="83"/>
      <c r="S26" s="82"/>
      <c r="T26" s="81"/>
      <c r="U26" s="81"/>
      <c r="V26" s="81"/>
      <c r="W26" s="81"/>
    </row>
    <row r="27" spans="1:23" s="66" customFormat="1" ht="13.5" customHeight="1" x14ac:dyDescent="0.2">
      <c r="A27" s="2464"/>
      <c r="B27" s="2464"/>
      <c r="C27" s="2464"/>
      <c r="D27" s="2463" t="s">
        <v>1316</v>
      </c>
      <c r="E27" s="2463"/>
      <c r="F27" s="91"/>
      <c r="G27" s="133"/>
      <c r="I27" s="2463" t="s">
        <v>1317</v>
      </c>
      <c r="J27" s="2463"/>
      <c r="M27" s="92"/>
      <c r="N27" s="92"/>
      <c r="O27" s="83"/>
      <c r="P27" s="83"/>
      <c r="S27" s="82"/>
      <c r="T27" s="81"/>
      <c r="U27" s="81"/>
      <c r="V27" s="81"/>
      <c r="W27" s="81"/>
    </row>
    <row r="28" spans="1:23" s="66" customFormat="1" ht="13.5" customHeight="1" x14ac:dyDescent="0.2">
      <c r="A28" s="2464"/>
      <c r="B28" s="2464"/>
      <c r="C28" s="2464"/>
      <c r="D28" s="2463"/>
      <c r="E28" s="2463"/>
      <c r="F28" s="91"/>
      <c r="G28" s="133"/>
      <c r="I28" s="2463"/>
      <c r="J28" s="2463"/>
      <c r="M28" s="92"/>
      <c r="N28" s="92"/>
      <c r="O28" s="83"/>
      <c r="P28" s="83"/>
      <c r="S28" s="82"/>
      <c r="T28" s="81"/>
      <c r="U28" s="81"/>
      <c r="V28" s="81"/>
      <c r="W28" s="81"/>
    </row>
    <row r="29" spans="1:23" s="66" customFormat="1" ht="13.5" customHeight="1" x14ac:dyDescent="0.2">
      <c r="A29" s="2464"/>
      <c r="B29" s="2464"/>
      <c r="C29" s="2464"/>
      <c r="D29" s="2463"/>
      <c r="E29" s="2463"/>
      <c r="F29" s="91"/>
      <c r="G29" s="133"/>
      <c r="I29" s="2463"/>
      <c r="J29" s="2463"/>
      <c r="M29" s="92"/>
      <c r="N29" s="92"/>
      <c r="O29" s="83"/>
      <c r="P29" s="83"/>
      <c r="S29" s="82"/>
      <c r="T29" s="81"/>
      <c r="U29" s="81"/>
      <c r="V29" s="81"/>
      <c r="W29" s="81"/>
    </row>
    <row r="30" spans="1:23" s="66" customFormat="1" ht="13.5" customHeight="1" x14ac:dyDescent="0.2">
      <c r="A30" s="2464"/>
      <c r="B30" s="2464"/>
      <c r="C30" s="2464"/>
      <c r="D30" s="2463"/>
      <c r="E30" s="2463"/>
      <c r="F30" s="91"/>
      <c r="G30" s="133"/>
      <c r="I30" s="2463"/>
      <c r="J30" s="2463"/>
      <c r="M30" s="92"/>
      <c r="N30" s="92"/>
      <c r="O30" s="83"/>
      <c r="P30" s="83"/>
      <c r="S30" s="82"/>
      <c r="T30" s="81"/>
      <c r="U30" s="81"/>
      <c r="V30" s="81"/>
      <c r="W30" s="81"/>
    </row>
    <row r="31" spans="1:23" s="66" customFormat="1" ht="13.5" customHeight="1" x14ac:dyDescent="0.2">
      <c r="B31" s="91"/>
      <c r="C31" s="91"/>
      <c r="D31" s="133"/>
      <c r="E31" s="133"/>
      <c r="F31" s="91"/>
      <c r="G31" s="133"/>
      <c r="M31" s="92"/>
      <c r="N31" s="92"/>
      <c r="O31" s="83"/>
      <c r="P31" s="83"/>
      <c r="S31" s="82"/>
      <c r="T31" s="81"/>
      <c r="U31" s="81"/>
      <c r="V31" s="81"/>
      <c r="W31" s="81"/>
    </row>
  </sheetData>
  <mergeCells count="30">
    <mergeCell ref="A27:C30"/>
    <mergeCell ref="D27:E30"/>
    <mergeCell ref="I27:J30"/>
    <mergeCell ref="A1:B1"/>
    <mergeCell ref="C1:F1"/>
    <mergeCell ref="F19:H19"/>
    <mergeCell ref="F21:H21"/>
    <mergeCell ref="F22:H22"/>
    <mergeCell ref="F23:H23"/>
    <mergeCell ref="F24:H24"/>
    <mergeCell ref="F26:L26"/>
    <mergeCell ref="F13:H13"/>
    <mergeCell ref="F14:H14"/>
    <mergeCell ref="F15:H15"/>
    <mergeCell ref="F16:H16"/>
    <mergeCell ref="F17:H17"/>
    <mergeCell ref="L3:L4"/>
    <mergeCell ref="F18:H18"/>
    <mergeCell ref="F6:H6"/>
    <mergeCell ref="F7:H7"/>
    <mergeCell ref="F8:H8"/>
    <mergeCell ref="F9:H9"/>
    <mergeCell ref="F10:H10"/>
    <mergeCell ref="F12:H12"/>
    <mergeCell ref="F5:H5"/>
    <mergeCell ref="I3:I4"/>
    <mergeCell ref="J3:J4"/>
    <mergeCell ref="K3:K4"/>
    <mergeCell ref="F3:H3"/>
    <mergeCell ref="F4:H4"/>
  </mergeCells>
  <dataValidations count="1">
    <dataValidation type="list" allowBlank="1" showInputMessage="1" showErrorMessage="1" sqref="C1:C2">
      <formula1>Region</formula1>
    </dataValidation>
  </dataValidations>
  <pageMargins left="0.45" right="0.45" top="0.75" bottom="0.75" header="0.3" footer="0.3"/>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30"/>
  <sheetViews>
    <sheetView topLeftCell="A102" workbookViewId="0">
      <selection activeCell="A125" sqref="A125:J127"/>
    </sheetView>
  </sheetViews>
  <sheetFormatPr defaultRowHeight="15.75" x14ac:dyDescent="0.25"/>
  <cols>
    <col min="1" max="1" width="5.875" style="505" customWidth="1"/>
    <col min="2" max="2" width="29.5" style="505" customWidth="1"/>
    <col min="3" max="3" width="16.25" style="505" customWidth="1"/>
    <col min="4" max="9" width="11.375" style="505" customWidth="1"/>
    <col min="10" max="10" width="3.875" style="505" customWidth="1"/>
    <col min="11" max="16384" width="9" style="505"/>
  </cols>
  <sheetData>
    <row r="1" spans="1:9" x14ac:dyDescent="0.25">
      <c r="A1" s="255" t="s">
        <v>1410</v>
      </c>
    </row>
    <row r="3" spans="1:9" x14ac:dyDescent="0.25">
      <c r="A3" s="607" t="s">
        <v>4</v>
      </c>
      <c r="B3" s="567" t="s">
        <v>5</v>
      </c>
      <c r="C3" s="567" t="s">
        <v>251</v>
      </c>
      <c r="D3" s="613">
        <v>2012</v>
      </c>
      <c r="E3" s="613">
        <v>2013</v>
      </c>
      <c r="F3" s="613">
        <v>2014</v>
      </c>
      <c r="G3" s="1337">
        <v>2015</v>
      </c>
      <c r="H3" s="1337">
        <v>2016</v>
      </c>
      <c r="I3" s="2265">
        <v>2017</v>
      </c>
    </row>
    <row r="4" spans="1:9" s="606" customFormat="1" x14ac:dyDescent="0.25">
      <c r="A4" s="602" t="s">
        <v>10</v>
      </c>
      <c r="B4" s="603" t="s">
        <v>11</v>
      </c>
      <c r="C4" s="603" t="s">
        <v>264</v>
      </c>
      <c r="D4" s="890">
        <v>8571</v>
      </c>
      <c r="E4" s="890">
        <v>8799</v>
      </c>
      <c r="F4" s="890">
        <v>8999</v>
      </c>
      <c r="G4" s="1339">
        <v>9405</v>
      </c>
      <c r="H4" s="1410">
        <v>9175</v>
      </c>
      <c r="I4" s="2416">
        <v>9669</v>
      </c>
    </row>
    <row r="5" spans="1:9" s="606" customFormat="1" x14ac:dyDescent="0.25">
      <c r="A5" s="602" t="s">
        <v>12</v>
      </c>
      <c r="B5" s="603" t="s">
        <v>13</v>
      </c>
      <c r="C5" s="603" t="s">
        <v>265</v>
      </c>
      <c r="D5" s="890">
        <v>9907</v>
      </c>
      <c r="E5" s="890">
        <v>10288</v>
      </c>
      <c r="F5" s="890">
        <v>10686</v>
      </c>
      <c r="G5" s="1339">
        <v>11129</v>
      </c>
      <c r="H5" s="1410">
        <v>11368</v>
      </c>
      <c r="I5" s="2416">
        <v>11572</v>
      </c>
    </row>
    <row r="6" spans="1:9" s="606" customFormat="1" x14ac:dyDescent="0.25">
      <c r="A6" s="602" t="s">
        <v>16</v>
      </c>
      <c r="B6" s="603" t="s">
        <v>297</v>
      </c>
      <c r="C6" s="603" t="s">
        <v>265</v>
      </c>
      <c r="D6" s="890">
        <v>5268</v>
      </c>
      <c r="E6" s="890">
        <v>5187</v>
      </c>
      <c r="F6" s="890">
        <v>5384</v>
      </c>
      <c r="G6" s="1339">
        <v>5649</v>
      </c>
      <c r="H6" s="1410">
        <v>5724</v>
      </c>
      <c r="I6" s="2416">
        <v>5863</v>
      </c>
    </row>
    <row r="7" spans="1:9" s="606" customFormat="1" x14ac:dyDescent="0.25">
      <c r="A7" s="602" t="s">
        <v>18</v>
      </c>
      <c r="B7" s="603" t="s">
        <v>19</v>
      </c>
      <c r="C7" s="603" t="s">
        <v>266</v>
      </c>
      <c r="D7" s="890">
        <v>2841</v>
      </c>
      <c r="E7" s="890">
        <v>2730</v>
      </c>
      <c r="F7" s="890">
        <v>2706</v>
      </c>
      <c r="G7" s="1339">
        <v>2813</v>
      </c>
      <c r="H7" s="1410">
        <v>2756</v>
      </c>
      <c r="I7" s="2416">
        <v>2834</v>
      </c>
    </row>
    <row r="8" spans="1:9" s="606" customFormat="1" x14ac:dyDescent="0.25">
      <c r="A8" s="602" t="s">
        <v>20</v>
      </c>
      <c r="B8" s="603" t="s">
        <v>21</v>
      </c>
      <c r="C8" s="603" t="s">
        <v>265</v>
      </c>
      <c r="D8" s="890">
        <v>5817</v>
      </c>
      <c r="E8" s="890">
        <v>5843</v>
      </c>
      <c r="F8" s="890">
        <v>5873</v>
      </c>
      <c r="G8" s="1339">
        <v>6388</v>
      </c>
      <c r="H8" s="1410">
        <v>6538</v>
      </c>
      <c r="I8" s="2416">
        <v>6924</v>
      </c>
    </row>
    <row r="9" spans="1:9" s="606" customFormat="1" x14ac:dyDescent="0.25">
      <c r="A9" s="602" t="s">
        <v>22</v>
      </c>
      <c r="B9" s="603" t="s">
        <v>23</v>
      </c>
      <c r="C9" s="603" t="s">
        <v>265</v>
      </c>
      <c r="D9" s="890">
        <v>3514</v>
      </c>
      <c r="E9" s="890">
        <v>3583</v>
      </c>
      <c r="F9" s="890">
        <v>3619</v>
      </c>
      <c r="G9" s="1339">
        <v>3825</v>
      </c>
      <c r="H9" s="1410">
        <v>3821</v>
      </c>
      <c r="I9" s="2416">
        <v>3932</v>
      </c>
    </row>
    <row r="10" spans="1:9" s="606" customFormat="1" x14ac:dyDescent="0.25">
      <c r="A10" s="602" t="s">
        <v>24</v>
      </c>
      <c r="B10" s="603" t="s">
        <v>25</v>
      </c>
      <c r="C10" s="603" t="s">
        <v>267</v>
      </c>
      <c r="D10" s="890">
        <v>14442</v>
      </c>
      <c r="E10" s="890">
        <v>15109</v>
      </c>
      <c r="F10" s="890">
        <v>16129</v>
      </c>
      <c r="G10" s="1339">
        <v>17054</v>
      </c>
      <c r="H10" s="1410">
        <v>17085</v>
      </c>
      <c r="I10" s="2416">
        <v>17896</v>
      </c>
    </row>
    <row r="11" spans="1:9" s="606" customFormat="1" x14ac:dyDescent="0.25">
      <c r="A11" s="602" t="s">
        <v>26</v>
      </c>
      <c r="B11" s="603" t="s">
        <v>685</v>
      </c>
      <c r="C11" s="603" t="s">
        <v>265</v>
      </c>
      <c r="D11" s="890">
        <v>21917</v>
      </c>
      <c r="E11" s="890">
        <v>22623</v>
      </c>
      <c r="F11" s="890">
        <v>23103</v>
      </c>
      <c r="G11" s="1339">
        <v>23126</v>
      </c>
      <c r="H11" s="1410">
        <v>24087</v>
      </c>
      <c r="I11" s="2416">
        <v>25170</v>
      </c>
    </row>
    <row r="12" spans="1:9" s="606" customFormat="1" x14ac:dyDescent="0.25">
      <c r="A12" s="602" t="s">
        <v>27</v>
      </c>
      <c r="B12" s="603" t="s">
        <v>28</v>
      </c>
      <c r="C12" s="603" t="s">
        <v>265</v>
      </c>
      <c r="D12" s="890">
        <v>772</v>
      </c>
      <c r="E12" s="890">
        <v>780</v>
      </c>
      <c r="F12" s="890">
        <v>782</v>
      </c>
      <c r="G12" s="1339">
        <v>858</v>
      </c>
      <c r="H12" s="1410">
        <v>828</v>
      </c>
      <c r="I12" s="2416">
        <v>813</v>
      </c>
    </row>
    <row r="13" spans="1:9" s="606" customFormat="1" x14ac:dyDescent="0.25">
      <c r="A13" s="602" t="s">
        <v>29</v>
      </c>
      <c r="B13" s="603" t="s">
        <v>901</v>
      </c>
      <c r="C13" s="603" t="s">
        <v>265</v>
      </c>
      <c r="D13" s="890">
        <v>10654</v>
      </c>
      <c r="E13" s="890">
        <v>11832</v>
      </c>
      <c r="F13" s="890">
        <v>10882</v>
      </c>
      <c r="G13" s="1339">
        <v>11207</v>
      </c>
      <c r="H13" s="1410">
        <v>11341</v>
      </c>
      <c r="I13" s="2416">
        <v>11565</v>
      </c>
    </row>
    <row r="14" spans="1:9" s="606" customFormat="1" x14ac:dyDescent="0.25">
      <c r="A14" s="602" t="s">
        <v>30</v>
      </c>
      <c r="B14" s="603" t="s">
        <v>31</v>
      </c>
      <c r="C14" s="603" t="s">
        <v>268</v>
      </c>
      <c r="D14" s="890">
        <v>1130</v>
      </c>
      <c r="E14" s="890">
        <v>1135</v>
      </c>
      <c r="F14" s="890">
        <v>1084</v>
      </c>
      <c r="G14" s="1339">
        <v>1164</v>
      </c>
      <c r="H14" s="1410">
        <v>1141</v>
      </c>
      <c r="I14" s="2416">
        <v>1137</v>
      </c>
    </row>
    <row r="15" spans="1:9" s="606" customFormat="1" x14ac:dyDescent="0.25">
      <c r="A15" s="602" t="s">
        <v>32</v>
      </c>
      <c r="B15" s="603" t="s">
        <v>33</v>
      </c>
      <c r="C15" s="603" t="s">
        <v>265</v>
      </c>
      <c r="D15" s="890">
        <v>2959</v>
      </c>
      <c r="E15" s="890">
        <v>3051</v>
      </c>
      <c r="F15" s="890">
        <v>3297</v>
      </c>
      <c r="G15" s="1339">
        <v>3735</v>
      </c>
      <c r="H15" s="1410">
        <v>3800</v>
      </c>
      <c r="I15" s="2416">
        <v>3902</v>
      </c>
    </row>
    <row r="16" spans="1:9" s="606" customFormat="1" x14ac:dyDescent="0.25">
      <c r="A16" s="602" t="s">
        <v>36</v>
      </c>
      <c r="B16" s="603" t="s">
        <v>37</v>
      </c>
      <c r="C16" s="603" t="s">
        <v>264</v>
      </c>
      <c r="D16" s="890">
        <v>4511</v>
      </c>
      <c r="E16" s="890">
        <v>4632</v>
      </c>
      <c r="F16" s="890">
        <v>4784</v>
      </c>
      <c r="G16" s="1339">
        <v>4903</v>
      </c>
      <c r="H16" s="1410">
        <v>5009</v>
      </c>
      <c r="I16" s="2416">
        <v>5064</v>
      </c>
    </row>
    <row r="17" spans="1:9" s="606" customFormat="1" x14ac:dyDescent="0.25">
      <c r="A17" s="602" t="s">
        <v>38</v>
      </c>
      <c r="B17" s="603" t="s">
        <v>39</v>
      </c>
      <c r="C17" s="603" t="s">
        <v>268</v>
      </c>
      <c r="D17" s="890">
        <v>6659</v>
      </c>
      <c r="E17" s="890">
        <v>6875</v>
      </c>
      <c r="F17" s="890">
        <v>6840</v>
      </c>
      <c r="G17" s="1339">
        <v>7094</v>
      </c>
      <c r="H17" s="1410">
        <v>7259</v>
      </c>
      <c r="I17" s="2416">
        <v>7238</v>
      </c>
    </row>
    <row r="18" spans="1:9" s="606" customFormat="1" x14ac:dyDescent="0.25">
      <c r="A18" s="602" t="s">
        <v>40</v>
      </c>
      <c r="B18" s="603" t="s">
        <v>41</v>
      </c>
      <c r="C18" s="603" t="s">
        <v>266</v>
      </c>
      <c r="D18" s="890">
        <v>3803</v>
      </c>
      <c r="E18" s="890">
        <v>3912</v>
      </c>
      <c r="F18" s="890">
        <v>3953</v>
      </c>
      <c r="G18" s="1339">
        <v>4112</v>
      </c>
      <c r="H18" s="1410">
        <v>4038</v>
      </c>
      <c r="I18" s="2416">
        <v>4200</v>
      </c>
    </row>
    <row r="19" spans="1:9" s="606" customFormat="1" x14ac:dyDescent="0.25">
      <c r="A19" s="602" t="s">
        <v>42</v>
      </c>
      <c r="B19" s="603" t="s">
        <v>43</v>
      </c>
      <c r="C19" s="603" t="s">
        <v>265</v>
      </c>
      <c r="D19" s="890">
        <v>10983</v>
      </c>
      <c r="E19" s="890">
        <v>11133</v>
      </c>
      <c r="F19" s="890">
        <v>11554</v>
      </c>
      <c r="G19" s="1339">
        <v>12059</v>
      </c>
      <c r="H19" s="1410">
        <v>12148</v>
      </c>
      <c r="I19" s="2416">
        <v>12361</v>
      </c>
    </row>
    <row r="20" spans="1:9" s="606" customFormat="1" x14ac:dyDescent="0.25">
      <c r="A20" s="602" t="s">
        <v>44</v>
      </c>
      <c r="B20" s="603" t="s">
        <v>45</v>
      </c>
      <c r="C20" s="603" t="s">
        <v>266</v>
      </c>
      <c r="D20" s="890">
        <v>5796</v>
      </c>
      <c r="E20" s="890">
        <v>5887</v>
      </c>
      <c r="F20" s="890">
        <v>6015</v>
      </c>
      <c r="G20" s="1339">
        <v>6636</v>
      </c>
      <c r="H20" s="1410">
        <v>6592</v>
      </c>
      <c r="I20" s="2416">
        <v>6884</v>
      </c>
    </row>
    <row r="21" spans="1:9" s="606" customFormat="1" x14ac:dyDescent="0.25">
      <c r="A21" s="602" t="s">
        <v>46</v>
      </c>
      <c r="B21" s="603" t="s">
        <v>47</v>
      </c>
      <c r="C21" s="603" t="s">
        <v>268</v>
      </c>
      <c r="D21" s="890">
        <v>7304</v>
      </c>
      <c r="E21" s="890">
        <v>7241</v>
      </c>
      <c r="F21" s="890">
        <v>7380</v>
      </c>
      <c r="G21" s="1339">
        <v>7543</v>
      </c>
      <c r="H21" s="1410">
        <v>7560</v>
      </c>
      <c r="I21" s="2416">
        <v>7716</v>
      </c>
    </row>
    <row r="22" spans="1:9" s="606" customFormat="1" x14ac:dyDescent="0.25">
      <c r="A22" s="602" t="s">
        <v>48</v>
      </c>
      <c r="B22" s="603" t="s">
        <v>269</v>
      </c>
      <c r="C22" s="603" t="s">
        <v>266</v>
      </c>
      <c r="D22" s="890">
        <v>1248</v>
      </c>
      <c r="E22" s="890">
        <v>1248</v>
      </c>
      <c r="F22" s="890">
        <v>1272</v>
      </c>
      <c r="G22" s="1339">
        <v>1464</v>
      </c>
      <c r="H22" s="1410">
        <v>1499</v>
      </c>
      <c r="I22" s="2416">
        <v>1518</v>
      </c>
    </row>
    <row r="23" spans="1:9" s="606" customFormat="1" x14ac:dyDescent="0.25">
      <c r="A23" s="602" t="s">
        <v>50</v>
      </c>
      <c r="B23" s="603" t="s">
        <v>51</v>
      </c>
      <c r="C23" s="603" t="s">
        <v>265</v>
      </c>
      <c r="D23" s="890">
        <v>3370</v>
      </c>
      <c r="E23" s="890">
        <v>3382</v>
      </c>
      <c r="F23" s="890">
        <v>3395</v>
      </c>
      <c r="G23" s="1339">
        <v>3417</v>
      </c>
      <c r="H23" s="1410">
        <v>3394</v>
      </c>
      <c r="I23" s="2416">
        <v>3368</v>
      </c>
    </row>
    <row r="24" spans="1:9" s="606" customFormat="1" x14ac:dyDescent="0.25">
      <c r="A24" s="602" t="s">
        <v>56</v>
      </c>
      <c r="B24" s="603" t="s">
        <v>295</v>
      </c>
      <c r="C24" s="603" t="s">
        <v>266</v>
      </c>
      <c r="D24" s="890">
        <v>45750</v>
      </c>
      <c r="E24" s="890">
        <v>47088</v>
      </c>
      <c r="F24" s="890">
        <v>49917</v>
      </c>
      <c r="G24" s="1339">
        <v>57344</v>
      </c>
      <c r="H24" s="1410">
        <v>57081</v>
      </c>
      <c r="I24" s="2416">
        <v>62097</v>
      </c>
    </row>
    <row r="25" spans="1:9" s="606" customFormat="1" x14ac:dyDescent="0.25">
      <c r="A25" s="602" t="s">
        <v>58</v>
      </c>
      <c r="B25" s="603" t="s">
        <v>59</v>
      </c>
      <c r="C25" s="603" t="s">
        <v>267</v>
      </c>
      <c r="D25" s="890">
        <v>1322</v>
      </c>
      <c r="E25" s="890">
        <v>1359</v>
      </c>
      <c r="F25" s="890">
        <v>1348</v>
      </c>
      <c r="G25" s="1339">
        <v>1437</v>
      </c>
      <c r="H25" s="1410">
        <v>1332</v>
      </c>
      <c r="I25" s="2416">
        <v>1359</v>
      </c>
    </row>
    <row r="26" spans="1:9" s="606" customFormat="1" x14ac:dyDescent="0.25">
      <c r="A26" s="602" t="s">
        <v>60</v>
      </c>
      <c r="B26" s="603" t="s">
        <v>61</v>
      </c>
      <c r="C26" s="603" t="s">
        <v>265</v>
      </c>
      <c r="D26" s="890">
        <v>975</v>
      </c>
      <c r="E26" s="890">
        <v>974</v>
      </c>
      <c r="F26" s="890">
        <v>1020</v>
      </c>
      <c r="G26" s="1339">
        <v>1123</v>
      </c>
      <c r="H26" s="1410">
        <v>1073</v>
      </c>
      <c r="I26" s="2416">
        <v>1103</v>
      </c>
    </row>
    <row r="27" spans="1:9" s="606" customFormat="1" x14ac:dyDescent="0.25">
      <c r="A27" s="602" t="s">
        <v>62</v>
      </c>
      <c r="B27" s="603" t="s">
        <v>63</v>
      </c>
      <c r="C27" s="603" t="s">
        <v>267</v>
      </c>
      <c r="D27" s="890">
        <v>8263</v>
      </c>
      <c r="E27" s="890">
        <v>8481</v>
      </c>
      <c r="F27" s="890">
        <v>9050</v>
      </c>
      <c r="G27" s="1339">
        <v>9349</v>
      </c>
      <c r="H27" s="1410">
        <v>9312</v>
      </c>
      <c r="I27" s="2416">
        <v>9565</v>
      </c>
    </row>
    <row r="28" spans="1:9" s="606" customFormat="1" x14ac:dyDescent="0.25">
      <c r="A28" s="602" t="s">
        <v>64</v>
      </c>
      <c r="B28" s="603" t="s">
        <v>65</v>
      </c>
      <c r="C28" s="603" t="s">
        <v>266</v>
      </c>
      <c r="D28" s="890">
        <v>2706</v>
      </c>
      <c r="E28" s="890">
        <v>2780</v>
      </c>
      <c r="F28" s="890">
        <v>2880</v>
      </c>
      <c r="G28" s="1339">
        <v>3031</v>
      </c>
      <c r="H28" s="1410">
        <v>2931</v>
      </c>
      <c r="I28" s="2416">
        <v>3011</v>
      </c>
    </row>
    <row r="29" spans="1:9" s="606" customFormat="1" x14ac:dyDescent="0.25">
      <c r="A29" s="602" t="s">
        <v>68</v>
      </c>
      <c r="B29" s="603" t="s">
        <v>69</v>
      </c>
      <c r="C29" s="603" t="s">
        <v>268</v>
      </c>
      <c r="D29" s="890">
        <v>4927</v>
      </c>
      <c r="E29" s="890">
        <v>4974</v>
      </c>
      <c r="F29" s="890">
        <v>5009</v>
      </c>
      <c r="G29" s="1339">
        <v>5245</v>
      </c>
      <c r="H29" s="1410">
        <v>5446</v>
      </c>
      <c r="I29" s="2416">
        <v>5241</v>
      </c>
    </row>
    <row r="30" spans="1:9" s="606" customFormat="1" x14ac:dyDescent="0.25">
      <c r="A30" s="602" t="s">
        <v>70</v>
      </c>
      <c r="B30" s="603" t="s">
        <v>71</v>
      </c>
      <c r="C30" s="603" t="s">
        <v>264</v>
      </c>
      <c r="D30" s="890">
        <v>5665</v>
      </c>
      <c r="E30" s="890">
        <v>5689</v>
      </c>
      <c r="F30" s="890">
        <v>5907</v>
      </c>
      <c r="G30" s="1339">
        <v>6398</v>
      </c>
      <c r="H30" s="1410">
        <v>6315</v>
      </c>
      <c r="I30" s="2416">
        <v>6539</v>
      </c>
    </row>
    <row r="31" spans="1:9" s="606" customFormat="1" x14ac:dyDescent="0.25">
      <c r="A31" s="602" t="s">
        <v>72</v>
      </c>
      <c r="B31" s="603" t="s">
        <v>73</v>
      </c>
      <c r="C31" s="603" t="s">
        <v>266</v>
      </c>
      <c r="D31" s="890">
        <v>2941</v>
      </c>
      <c r="E31" s="890">
        <v>2907</v>
      </c>
      <c r="F31" s="890">
        <v>2972</v>
      </c>
      <c r="G31" s="1339">
        <v>3095</v>
      </c>
      <c r="H31" s="1410">
        <v>3151</v>
      </c>
      <c r="I31" s="2416">
        <v>3178</v>
      </c>
    </row>
    <row r="32" spans="1:9" s="606" customFormat="1" x14ac:dyDescent="0.25">
      <c r="A32" s="602" t="s">
        <v>74</v>
      </c>
      <c r="B32" s="603" t="s">
        <v>296</v>
      </c>
      <c r="C32" s="603" t="s">
        <v>267</v>
      </c>
      <c r="D32" s="890">
        <v>95609</v>
      </c>
      <c r="E32" s="890">
        <v>99898</v>
      </c>
      <c r="F32" s="890">
        <v>104723</v>
      </c>
      <c r="G32" s="1339">
        <v>111431</v>
      </c>
      <c r="H32" s="1410">
        <v>109876</v>
      </c>
      <c r="I32" s="2416">
        <v>120100</v>
      </c>
    </row>
    <row r="33" spans="1:9" s="606" customFormat="1" x14ac:dyDescent="0.25">
      <c r="A33" s="602" t="s">
        <v>76</v>
      </c>
      <c r="B33" s="603" t="s">
        <v>77</v>
      </c>
      <c r="C33" s="603" t="s">
        <v>267</v>
      </c>
      <c r="D33" s="890">
        <v>6886</v>
      </c>
      <c r="E33" s="890">
        <v>7030</v>
      </c>
      <c r="F33" s="890">
        <v>7256</v>
      </c>
      <c r="G33" s="1339">
        <v>7682</v>
      </c>
      <c r="H33" s="1410">
        <v>7629</v>
      </c>
      <c r="I33" s="2416">
        <v>7758</v>
      </c>
    </row>
    <row r="34" spans="1:9" s="606" customFormat="1" x14ac:dyDescent="0.25">
      <c r="A34" s="602" t="s">
        <v>78</v>
      </c>
      <c r="B34" s="603" t="s">
        <v>79</v>
      </c>
      <c r="C34" s="603" t="s">
        <v>268</v>
      </c>
      <c r="D34" s="890">
        <v>3006</v>
      </c>
      <c r="E34" s="890">
        <v>3017</v>
      </c>
      <c r="F34" s="890">
        <v>3038</v>
      </c>
      <c r="G34" s="1339">
        <v>3171</v>
      </c>
      <c r="H34" s="1410">
        <v>3200</v>
      </c>
      <c r="I34" s="2416">
        <v>3353</v>
      </c>
    </row>
    <row r="35" spans="1:9" s="606" customFormat="1" x14ac:dyDescent="0.25">
      <c r="A35" s="602" t="s">
        <v>80</v>
      </c>
      <c r="B35" s="603" t="s">
        <v>81</v>
      </c>
      <c r="C35" s="603" t="s">
        <v>266</v>
      </c>
      <c r="D35" s="890">
        <v>2951</v>
      </c>
      <c r="E35" s="890">
        <v>3081</v>
      </c>
      <c r="F35" s="890">
        <v>3138</v>
      </c>
      <c r="G35" s="1339">
        <v>3368</v>
      </c>
      <c r="H35" s="1410">
        <v>3585</v>
      </c>
      <c r="I35" s="2416">
        <v>3812</v>
      </c>
    </row>
    <row r="36" spans="1:9" s="606" customFormat="1" x14ac:dyDescent="0.25">
      <c r="A36" s="602" t="s">
        <v>84</v>
      </c>
      <c r="B36" s="603" t="s">
        <v>85</v>
      </c>
      <c r="C36" s="603" t="s">
        <v>265</v>
      </c>
      <c r="D36" s="890">
        <v>10685</v>
      </c>
      <c r="E36" s="890">
        <v>10809</v>
      </c>
      <c r="F36" s="890">
        <v>10784</v>
      </c>
      <c r="G36" s="1339">
        <v>11399</v>
      </c>
      <c r="H36" s="1410">
        <v>11183</v>
      </c>
      <c r="I36" s="2416">
        <v>11396</v>
      </c>
    </row>
    <row r="37" spans="1:9" s="606" customFormat="1" x14ac:dyDescent="0.25">
      <c r="A37" s="602" t="s">
        <v>86</v>
      </c>
      <c r="B37" s="603" t="s">
        <v>87</v>
      </c>
      <c r="C37" s="603" t="s">
        <v>267</v>
      </c>
      <c r="D37" s="890">
        <v>11045</v>
      </c>
      <c r="E37" s="890">
        <v>11291</v>
      </c>
      <c r="F37" s="890">
        <v>11673</v>
      </c>
      <c r="G37" s="1339">
        <v>12491</v>
      </c>
      <c r="H37" s="1410">
        <v>12068</v>
      </c>
      <c r="I37" s="2416">
        <v>12394</v>
      </c>
    </row>
    <row r="38" spans="1:9" s="606" customFormat="1" x14ac:dyDescent="0.25">
      <c r="A38" s="602" t="s">
        <v>92</v>
      </c>
      <c r="B38" s="603" t="s">
        <v>93</v>
      </c>
      <c r="C38" s="603" t="s">
        <v>268</v>
      </c>
      <c r="D38" s="890">
        <v>3567</v>
      </c>
      <c r="E38" s="890">
        <v>3554</v>
      </c>
      <c r="F38" s="890">
        <v>3607</v>
      </c>
      <c r="G38" s="1339">
        <v>4031</v>
      </c>
      <c r="H38" s="1410">
        <v>3959</v>
      </c>
      <c r="I38" s="2416">
        <v>4012</v>
      </c>
    </row>
    <row r="39" spans="1:9" s="606" customFormat="1" x14ac:dyDescent="0.25">
      <c r="A39" s="602" t="s">
        <v>94</v>
      </c>
      <c r="B39" s="603" t="s">
        <v>95</v>
      </c>
      <c r="C39" s="603" t="s">
        <v>264</v>
      </c>
      <c r="D39" s="890">
        <v>5320</v>
      </c>
      <c r="E39" s="890">
        <v>5557</v>
      </c>
      <c r="F39" s="890">
        <v>5758</v>
      </c>
      <c r="G39" s="1339">
        <v>6108</v>
      </c>
      <c r="H39" s="1410">
        <v>6199</v>
      </c>
      <c r="I39" s="2416">
        <v>6398</v>
      </c>
    </row>
    <row r="40" spans="1:9" s="606" customFormat="1" x14ac:dyDescent="0.25">
      <c r="A40" s="602" t="s">
        <v>96</v>
      </c>
      <c r="B40" s="603" t="s">
        <v>97</v>
      </c>
      <c r="C40" s="603" t="s">
        <v>266</v>
      </c>
      <c r="D40" s="890">
        <v>1902</v>
      </c>
      <c r="E40" s="890">
        <v>1987</v>
      </c>
      <c r="F40" s="890">
        <v>2039</v>
      </c>
      <c r="G40" s="1339">
        <v>2258</v>
      </c>
      <c r="H40" s="1410">
        <v>2115</v>
      </c>
      <c r="I40" s="2416">
        <v>2220</v>
      </c>
    </row>
    <row r="41" spans="1:9" s="606" customFormat="1" x14ac:dyDescent="0.25">
      <c r="A41" s="602" t="s">
        <v>98</v>
      </c>
      <c r="B41" s="603" t="s">
        <v>99</v>
      </c>
      <c r="C41" s="603" t="s">
        <v>268</v>
      </c>
      <c r="D41" s="890">
        <v>4090</v>
      </c>
      <c r="E41" s="890">
        <v>4113</v>
      </c>
      <c r="F41" s="890">
        <v>4178</v>
      </c>
      <c r="G41" s="1339">
        <v>4294</v>
      </c>
      <c r="H41" s="1410">
        <v>4222</v>
      </c>
      <c r="I41" s="2416">
        <v>4130</v>
      </c>
    </row>
    <row r="42" spans="1:9" s="606" customFormat="1" x14ac:dyDescent="0.25">
      <c r="A42" s="602" t="s">
        <v>100</v>
      </c>
      <c r="B42" s="603" t="s">
        <v>101</v>
      </c>
      <c r="C42" s="603" t="s">
        <v>267</v>
      </c>
      <c r="D42" s="890">
        <v>3046</v>
      </c>
      <c r="E42" s="890">
        <v>3159</v>
      </c>
      <c r="F42" s="890">
        <v>3334</v>
      </c>
      <c r="G42" s="1339">
        <v>3434</v>
      </c>
      <c r="H42" s="1410">
        <v>3531</v>
      </c>
      <c r="I42" s="2416">
        <v>3664</v>
      </c>
    </row>
    <row r="43" spans="1:9" s="606" customFormat="1" x14ac:dyDescent="0.25">
      <c r="A43" s="602" t="s">
        <v>102</v>
      </c>
      <c r="B43" s="603" t="s">
        <v>282</v>
      </c>
      <c r="C43" s="603" t="s">
        <v>264</v>
      </c>
      <c r="D43" s="890">
        <v>5168</v>
      </c>
      <c r="E43" s="890">
        <v>5261</v>
      </c>
      <c r="F43" s="890">
        <v>5459</v>
      </c>
      <c r="G43" s="1339">
        <v>5657</v>
      </c>
      <c r="H43" s="1410">
        <v>5643</v>
      </c>
      <c r="I43" s="2416">
        <v>5975</v>
      </c>
    </row>
    <row r="44" spans="1:9" s="606" customFormat="1" x14ac:dyDescent="0.25">
      <c r="A44" s="602" t="s">
        <v>104</v>
      </c>
      <c r="B44" s="603" t="s">
        <v>105</v>
      </c>
      <c r="C44" s="603" t="s">
        <v>265</v>
      </c>
      <c r="D44" s="890">
        <v>9568</v>
      </c>
      <c r="E44" s="890">
        <v>9651</v>
      </c>
      <c r="F44" s="890">
        <v>9855</v>
      </c>
      <c r="G44" s="1339">
        <v>10168</v>
      </c>
      <c r="H44" s="1410">
        <v>10266</v>
      </c>
      <c r="I44" s="2416">
        <v>10265</v>
      </c>
    </row>
    <row r="45" spans="1:9" s="606" customFormat="1" x14ac:dyDescent="0.25">
      <c r="A45" s="602" t="s">
        <v>108</v>
      </c>
      <c r="B45" s="603" t="s">
        <v>109</v>
      </c>
      <c r="C45" s="603" t="s">
        <v>266</v>
      </c>
      <c r="D45" s="890">
        <v>8596</v>
      </c>
      <c r="E45" s="890">
        <v>8736</v>
      </c>
      <c r="F45" s="890">
        <v>9246</v>
      </c>
      <c r="G45" s="1339">
        <v>9915</v>
      </c>
      <c r="H45" s="1410">
        <v>9786</v>
      </c>
      <c r="I45" s="2416">
        <v>10244</v>
      </c>
    </row>
    <row r="46" spans="1:9" s="606" customFormat="1" x14ac:dyDescent="0.25">
      <c r="A46" s="602" t="s">
        <v>110</v>
      </c>
      <c r="B46" s="603" t="s">
        <v>111</v>
      </c>
      <c r="C46" s="603" t="s">
        <v>266</v>
      </c>
      <c r="D46" s="890">
        <v>45727</v>
      </c>
      <c r="E46" s="890">
        <v>46961</v>
      </c>
      <c r="F46" s="890">
        <v>49033</v>
      </c>
      <c r="G46" s="1339">
        <v>52471</v>
      </c>
      <c r="H46" s="1410">
        <v>53265</v>
      </c>
      <c r="I46" s="2416">
        <v>58409</v>
      </c>
    </row>
    <row r="47" spans="1:9" s="606" customFormat="1" x14ac:dyDescent="0.25">
      <c r="A47" s="602" t="s">
        <v>112</v>
      </c>
      <c r="B47" s="603" t="s">
        <v>300</v>
      </c>
      <c r="C47" s="603" t="s">
        <v>265</v>
      </c>
      <c r="D47" s="890">
        <v>20558</v>
      </c>
      <c r="E47" s="890">
        <v>20819</v>
      </c>
      <c r="F47" s="890">
        <v>21098</v>
      </c>
      <c r="G47" s="1339">
        <v>21623</v>
      </c>
      <c r="H47" s="1410">
        <v>22210</v>
      </c>
      <c r="I47" s="2416">
        <v>22231</v>
      </c>
    </row>
    <row r="48" spans="1:9" s="606" customFormat="1" x14ac:dyDescent="0.25">
      <c r="A48" s="602" t="s">
        <v>114</v>
      </c>
      <c r="B48" s="603" t="s">
        <v>115</v>
      </c>
      <c r="C48" s="603" t="s">
        <v>265</v>
      </c>
      <c r="D48" s="890">
        <v>265</v>
      </c>
      <c r="E48" s="890">
        <v>257</v>
      </c>
      <c r="F48" s="890">
        <v>425</v>
      </c>
      <c r="G48" s="1339">
        <v>418</v>
      </c>
      <c r="H48" s="1410">
        <v>312</v>
      </c>
      <c r="I48" s="2416">
        <v>325</v>
      </c>
    </row>
    <row r="49" spans="1:9" s="606" customFormat="1" x14ac:dyDescent="0.25">
      <c r="A49" s="602" t="s">
        <v>118</v>
      </c>
      <c r="B49" s="603" t="s">
        <v>270</v>
      </c>
      <c r="C49" s="603" t="s">
        <v>264</v>
      </c>
      <c r="D49" s="890">
        <v>5393</v>
      </c>
      <c r="E49" s="890">
        <v>5399</v>
      </c>
      <c r="F49" s="890">
        <v>5482</v>
      </c>
      <c r="G49" s="1339">
        <v>5911</v>
      </c>
      <c r="H49" s="1410">
        <v>5844</v>
      </c>
      <c r="I49" s="2416">
        <v>6118</v>
      </c>
    </row>
    <row r="50" spans="1:9" s="606" customFormat="1" x14ac:dyDescent="0.25">
      <c r="A50" s="602" t="s">
        <v>120</v>
      </c>
      <c r="B50" s="603" t="s">
        <v>121</v>
      </c>
      <c r="C50" s="603" t="s">
        <v>264</v>
      </c>
      <c r="D50" s="890">
        <v>6804</v>
      </c>
      <c r="E50" s="890">
        <v>6991</v>
      </c>
      <c r="F50" s="890">
        <v>7304</v>
      </c>
      <c r="G50" s="1339">
        <v>7890</v>
      </c>
      <c r="H50" s="1410">
        <v>8000</v>
      </c>
      <c r="I50" s="2416">
        <v>8235</v>
      </c>
    </row>
    <row r="51" spans="1:9" s="606" customFormat="1" x14ac:dyDescent="0.25">
      <c r="A51" s="602" t="s">
        <v>122</v>
      </c>
      <c r="B51" s="603" t="s">
        <v>287</v>
      </c>
      <c r="C51" s="603" t="s">
        <v>266</v>
      </c>
      <c r="D51" s="890">
        <v>1629</v>
      </c>
      <c r="E51" s="890">
        <v>1668</v>
      </c>
      <c r="F51" s="890">
        <v>1787</v>
      </c>
      <c r="G51" s="1339">
        <v>1754</v>
      </c>
      <c r="H51" s="1410">
        <v>1785</v>
      </c>
      <c r="I51" s="2416">
        <v>1799</v>
      </c>
    </row>
    <row r="52" spans="1:9" s="606" customFormat="1" x14ac:dyDescent="0.25">
      <c r="A52" s="602" t="s">
        <v>124</v>
      </c>
      <c r="B52" s="603" t="s">
        <v>125</v>
      </c>
      <c r="C52" s="603" t="s">
        <v>267</v>
      </c>
      <c r="D52" s="890">
        <v>3668</v>
      </c>
      <c r="E52" s="890">
        <v>3745</v>
      </c>
      <c r="F52" s="890">
        <v>3758</v>
      </c>
      <c r="G52" s="1339">
        <v>4094</v>
      </c>
      <c r="H52" s="1410">
        <v>3922</v>
      </c>
      <c r="I52" s="2416">
        <v>4128</v>
      </c>
    </row>
    <row r="53" spans="1:9" s="606" customFormat="1" x14ac:dyDescent="0.25">
      <c r="A53" s="602" t="s">
        <v>126</v>
      </c>
      <c r="B53" s="603" t="s">
        <v>127</v>
      </c>
      <c r="C53" s="603" t="s">
        <v>266</v>
      </c>
      <c r="D53" s="890">
        <v>2539</v>
      </c>
      <c r="E53" s="890">
        <v>2588</v>
      </c>
      <c r="F53" s="890">
        <v>2589</v>
      </c>
      <c r="G53" s="1339">
        <v>2701</v>
      </c>
      <c r="H53" s="1410">
        <v>2753</v>
      </c>
      <c r="I53" s="2416">
        <v>2748</v>
      </c>
    </row>
    <row r="54" spans="1:9" s="606" customFormat="1" x14ac:dyDescent="0.25">
      <c r="A54" s="602" t="s">
        <v>128</v>
      </c>
      <c r="B54" s="603" t="s">
        <v>129</v>
      </c>
      <c r="C54" s="603" t="s">
        <v>266</v>
      </c>
      <c r="D54" s="890">
        <v>2252</v>
      </c>
      <c r="E54" s="890">
        <v>2333</v>
      </c>
      <c r="F54" s="890">
        <v>2313</v>
      </c>
      <c r="G54" s="1339">
        <v>2375</v>
      </c>
      <c r="H54" s="1410">
        <v>2377</v>
      </c>
      <c r="I54" s="2416">
        <v>2469</v>
      </c>
    </row>
    <row r="55" spans="1:9" s="606" customFormat="1" x14ac:dyDescent="0.25">
      <c r="A55" s="602" t="s">
        <v>130</v>
      </c>
      <c r="B55" s="603" t="s">
        <v>131</v>
      </c>
      <c r="C55" s="603" t="s">
        <v>268</v>
      </c>
      <c r="D55" s="890">
        <v>8229</v>
      </c>
      <c r="E55" s="890">
        <v>8264</v>
      </c>
      <c r="F55" s="890">
        <v>8372</v>
      </c>
      <c r="G55" s="1339">
        <v>8521</v>
      </c>
      <c r="H55" s="1410">
        <v>8651</v>
      </c>
      <c r="I55" s="2416">
        <v>8411</v>
      </c>
    </row>
    <row r="56" spans="1:9" s="606" customFormat="1" x14ac:dyDescent="0.25">
      <c r="A56" s="602" t="s">
        <v>132</v>
      </c>
      <c r="B56" s="603" t="s">
        <v>133</v>
      </c>
      <c r="C56" s="603" t="s">
        <v>267</v>
      </c>
      <c r="D56" s="890">
        <v>19555</v>
      </c>
      <c r="E56" s="890">
        <v>20655</v>
      </c>
      <c r="F56" s="890">
        <v>22187</v>
      </c>
      <c r="G56" s="1339">
        <v>25980</v>
      </c>
      <c r="H56" s="1410">
        <v>27599</v>
      </c>
      <c r="I56" s="2416">
        <v>28840</v>
      </c>
    </row>
    <row r="57" spans="1:9" s="606" customFormat="1" x14ac:dyDescent="0.25">
      <c r="A57" s="602" t="s">
        <v>134</v>
      </c>
      <c r="B57" s="603" t="s">
        <v>135</v>
      </c>
      <c r="C57" s="603" t="s">
        <v>267</v>
      </c>
      <c r="D57" s="890">
        <v>6004</v>
      </c>
      <c r="E57" s="890">
        <v>6129</v>
      </c>
      <c r="F57" s="890">
        <v>6422</v>
      </c>
      <c r="G57" s="1339">
        <v>7018</v>
      </c>
      <c r="H57" s="1410">
        <v>6804</v>
      </c>
      <c r="I57" s="2416">
        <v>6874</v>
      </c>
    </row>
    <row r="58" spans="1:9" s="606" customFormat="1" x14ac:dyDescent="0.25">
      <c r="A58" s="602" t="s">
        <v>136</v>
      </c>
      <c r="B58" s="603" t="s">
        <v>137</v>
      </c>
      <c r="C58" s="603" t="s">
        <v>266</v>
      </c>
      <c r="D58" s="890">
        <v>3160</v>
      </c>
      <c r="E58" s="890">
        <v>3209</v>
      </c>
      <c r="F58" s="890">
        <v>3385</v>
      </c>
      <c r="G58" s="1339">
        <v>3436</v>
      </c>
      <c r="H58" s="1410">
        <v>3420</v>
      </c>
      <c r="I58" s="2416">
        <v>3392</v>
      </c>
    </row>
    <row r="59" spans="1:9" s="606" customFormat="1" x14ac:dyDescent="0.25">
      <c r="A59" s="602" t="s">
        <v>140</v>
      </c>
      <c r="B59" s="603" t="s">
        <v>141</v>
      </c>
      <c r="C59" s="603" t="s">
        <v>267</v>
      </c>
      <c r="D59" s="890">
        <v>2202</v>
      </c>
      <c r="E59" s="890">
        <v>2277</v>
      </c>
      <c r="F59" s="890">
        <v>2362</v>
      </c>
      <c r="G59" s="1339">
        <v>2544</v>
      </c>
      <c r="H59" s="1410">
        <v>2482</v>
      </c>
      <c r="I59" s="2416">
        <v>2477</v>
      </c>
    </row>
    <row r="60" spans="1:9" s="606" customFormat="1" x14ac:dyDescent="0.25">
      <c r="A60" s="602" t="s">
        <v>146</v>
      </c>
      <c r="B60" s="603" t="s">
        <v>147</v>
      </c>
      <c r="C60" s="603" t="s">
        <v>264</v>
      </c>
      <c r="D60" s="890">
        <v>1218</v>
      </c>
      <c r="E60" s="890">
        <v>1251</v>
      </c>
      <c r="F60" s="890">
        <v>1322</v>
      </c>
      <c r="G60" s="1339">
        <v>1386</v>
      </c>
      <c r="H60" s="1410">
        <v>1383</v>
      </c>
      <c r="I60" s="2416">
        <v>1427</v>
      </c>
    </row>
    <row r="61" spans="1:9" s="606" customFormat="1" x14ac:dyDescent="0.25">
      <c r="A61" s="602" t="s">
        <v>148</v>
      </c>
      <c r="B61" s="603" t="s">
        <v>149</v>
      </c>
      <c r="C61" s="603" t="s">
        <v>265</v>
      </c>
      <c r="D61" s="890">
        <v>7654</v>
      </c>
      <c r="E61" s="890">
        <v>7818</v>
      </c>
      <c r="F61" s="890">
        <v>7936</v>
      </c>
      <c r="G61" s="1339">
        <v>7973</v>
      </c>
      <c r="H61" s="1410">
        <v>7852</v>
      </c>
      <c r="I61" s="2416">
        <v>7922</v>
      </c>
    </row>
    <row r="62" spans="1:9" s="606" customFormat="1" x14ac:dyDescent="0.25">
      <c r="A62" s="602" t="s">
        <v>150</v>
      </c>
      <c r="B62" s="603" t="s">
        <v>151</v>
      </c>
      <c r="C62" s="603" t="s">
        <v>266</v>
      </c>
      <c r="D62" s="890">
        <v>2087</v>
      </c>
      <c r="E62" s="890">
        <v>2093</v>
      </c>
      <c r="F62" s="890">
        <v>2192</v>
      </c>
      <c r="G62" s="1339">
        <v>2337</v>
      </c>
      <c r="H62" s="1410">
        <v>2395</v>
      </c>
      <c r="I62" s="2416">
        <v>2530</v>
      </c>
    </row>
    <row r="63" spans="1:9" s="606" customFormat="1" x14ac:dyDescent="0.25">
      <c r="A63" s="602" t="s">
        <v>152</v>
      </c>
      <c r="B63" s="603" t="s">
        <v>153</v>
      </c>
      <c r="C63" s="603" t="s">
        <v>268</v>
      </c>
      <c r="D63" s="890">
        <v>11010</v>
      </c>
      <c r="E63" s="890">
        <v>11250</v>
      </c>
      <c r="F63" s="890">
        <v>11279</v>
      </c>
      <c r="G63" s="1339">
        <v>11519</v>
      </c>
      <c r="H63" s="1410">
        <v>11435</v>
      </c>
      <c r="I63" s="2416">
        <v>11375</v>
      </c>
    </row>
    <row r="64" spans="1:9" s="606" customFormat="1" x14ac:dyDescent="0.25">
      <c r="A64" s="602" t="s">
        <v>154</v>
      </c>
      <c r="B64" s="603" t="s">
        <v>155</v>
      </c>
      <c r="C64" s="603" t="s">
        <v>265</v>
      </c>
      <c r="D64" s="890">
        <v>3063</v>
      </c>
      <c r="E64" s="890">
        <v>3061</v>
      </c>
      <c r="F64" s="890">
        <v>3230</v>
      </c>
      <c r="G64" s="1339">
        <v>3324</v>
      </c>
      <c r="H64" s="1410">
        <v>3196</v>
      </c>
      <c r="I64" s="2416">
        <v>3269</v>
      </c>
    </row>
    <row r="65" spans="1:9" s="606" customFormat="1" x14ac:dyDescent="0.25">
      <c r="A65" s="602" t="s">
        <v>156</v>
      </c>
      <c r="B65" s="603" t="s">
        <v>157</v>
      </c>
      <c r="C65" s="603" t="s">
        <v>266</v>
      </c>
      <c r="D65" s="890">
        <v>1824</v>
      </c>
      <c r="E65" s="890">
        <v>1795</v>
      </c>
      <c r="F65" s="890">
        <v>1973</v>
      </c>
      <c r="G65" s="1339">
        <v>2298</v>
      </c>
      <c r="H65" s="1410">
        <v>2300</v>
      </c>
      <c r="I65" s="2416">
        <v>2328</v>
      </c>
    </row>
    <row r="66" spans="1:9" s="606" customFormat="1" x14ac:dyDescent="0.25">
      <c r="A66" s="602" t="s">
        <v>162</v>
      </c>
      <c r="B66" s="603" t="s">
        <v>163</v>
      </c>
      <c r="C66" s="603" t="s">
        <v>264</v>
      </c>
      <c r="D66" s="890">
        <v>3892</v>
      </c>
      <c r="E66" s="890">
        <v>3914</v>
      </c>
      <c r="F66" s="890">
        <v>3945</v>
      </c>
      <c r="G66" s="1339">
        <v>3976</v>
      </c>
      <c r="H66" s="1410">
        <v>3879</v>
      </c>
      <c r="I66" s="2416">
        <v>3969</v>
      </c>
    </row>
    <row r="67" spans="1:9" s="606" customFormat="1" x14ac:dyDescent="0.25">
      <c r="A67" s="602" t="s">
        <v>164</v>
      </c>
      <c r="B67" s="603" t="s">
        <v>165</v>
      </c>
      <c r="C67" s="603" t="s">
        <v>266</v>
      </c>
      <c r="D67" s="890">
        <v>2367</v>
      </c>
      <c r="E67" s="890">
        <v>2480</v>
      </c>
      <c r="F67" s="890">
        <v>2562</v>
      </c>
      <c r="G67" s="1339">
        <v>2649</v>
      </c>
      <c r="H67" s="1410">
        <v>2606</v>
      </c>
      <c r="I67" s="2416">
        <v>2651</v>
      </c>
    </row>
    <row r="68" spans="1:9" s="606" customFormat="1" x14ac:dyDescent="0.25">
      <c r="A68" s="602" t="s">
        <v>168</v>
      </c>
      <c r="B68" s="603" t="s">
        <v>169</v>
      </c>
      <c r="C68" s="603" t="s">
        <v>266</v>
      </c>
      <c r="D68" s="890">
        <v>4327</v>
      </c>
      <c r="E68" s="890">
        <v>4498</v>
      </c>
      <c r="F68" s="890">
        <v>4542</v>
      </c>
      <c r="G68" s="1339">
        <v>4616</v>
      </c>
      <c r="H68" s="1410">
        <v>4635</v>
      </c>
      <c r="I68" s="2416">
        <v>4739</v>
      </c>
    </row>
    <row r="69" spans="1:9" s="606" customFormat="1" x14ac:dyDescent="0.25">
      <c r="A69" s="602" t="s">
        <v>170</v>
      </c>
      <c r="B69" s="603" t="s">
        <v>171</v>
      </c>
      <c r="C69" s="603" t="s">
        <v>267</v>
      </c>
      <c r="D69" s="890">
        <v>5293</v>
      </c>
      <c r="E69" s="890">
        <v>5498</v>
      </c>
      <c r="F69" s="890">
        <v>5776</v>
      </c>
      <c r="G69" s="1339">
        <v>6305</v>
      </c>
      <c r="H69" s="1410">
        <v>6012</v>
      </c>
      <c r="I69" s="2416">
        <v>6414</v>
      </c>
    </row>
    <row r="70" spans="1:9" s="606" customFormat="1" x14ac:dyDescent="0.25">
      <c r="A70" s="602" t="s">
        <v>172</v>
      </c>
      <c r="B70" s="603" t="s">
        <v>173</v>
      </c>
      <c r="C70" s="603" t="s">
        <v>267</v>
      </c>
      <c r="D70" s="890">
        <v>5280</v>
      </c>
      <c r="E70" s="890">
        <v>5261</v>
      </c>
      <c r="F70" s="890">
        <v>5339</v>
      </c>
      <c r="G70" s="1339">
        <v>5606</v>
      </c>
      <c r="H70" s="1410">
        <v>5450</v>
      </c>
      <c r="I70" s="2416">
        <v>5522</v>
      </c>
    </row>
    <row r="71" spans="1:9" s="606" customFormat="1" x14ac:dyDescent="0.25">
      <c r="A71" s="602" t="s">
        <v>174</v>
      </c>
      <c r="B71" s="603" t="s">
        <v>175</v>
      </c>
      <c r="C71" s="603" t="s">
        <v>268</v>
      </c>
      <c r="D71" s="890">
        <v>4828</v>
      </c>
      <c r="E71" s="890">
        <v>4828</v>
      </c>
      <c r="F71" s="890">
        <v>4893</v>
      </c>
      <c r="G71" s="1339">
        <v>4880</v>
      </c>
      <c r="H71" s="1410">
        <v>4801</v>
      </c>
      <c r="I71" s="2416">
        <v>4877</v>
      </c>
    </row>
    <row r="72" spans="1:9" s="606" customFormat="1" x14ac:dyDescent="0.25">
      <c r="A72" s="602" t="s">
        <v>178</v>
      </c>
      <c r="B72" s="603" t="s">
        <v>179</v>
      </c>
      <c r="C72" s="603" t="s">
        <v>265</v>
      </c>
      <c r="D72" s="890">
        <v>13923</v>
      </c>
      <c r="E72" s="890">
        <v>14373</v>
      </c>
      <c r="F72" s="890">
        <v>14980</v>
      </c>
      <c r="G72" s="1339">
        <v>15514</v>
      </c>
      <c r="H72" s="1410">
        <v>15620</v>
      </c>
      <c r="I72" s="2416">
        <v>15992</v>
      </c>
    </row>
    <row r="73" spans="1:9" s="606" customFormat="1" x14ac:dyDescent="0.25">
      <c r="A73" s="602" t="s">
        <v>182</v>
      </c>
      <c r="B73" s="603" t="s">
        <v>183</v>
      </c>
      <c r="C73" s="603" t="s">
        <v>266</v>
      </c>
      <c r="D73" s="890">
        <v>2375</v>
      </c>
      <c r="E73" s="890">
        <v>2369</v>
      </c>
      <c r="F73" s="890">
        <v>2502</v>
      </c>
      <c r="G73" s="1339">
        <v>2611</v>
      </c>
      <c r="H73" s="1410">
        <v>2658</v>
      </c>
      <c r="I73" s="2416">
        <v>2711</v>
      </c>
    </row>
    <row r="74" spans="1:9" s="606" customFormat="1" x14ac:dyDescent="0.25">
      <c r="A74" s="602" t="s">
        <v>184</v>
      </c>
      <c r="B74" s="603" t="s">
        <v>185</v>
      </c>
      <c r="C74" s="603" t="s">
        <v>266</v>
      </c>
      <c r="D74" s="890">
        <v>5011</v>
      </c>
      <c r="E74" s="890">
        <v>5074</v>
      </c>
      <c r="F74" s="890">
        <v>5263</v>
      </c>
      <c r="G74" s="1339">
        <v>5319</v>
      </c>
      <c r="H74" s="1410">
        <v>5236</v>
      </c>
      <c r="I74" s="2416">
        <v>5334</v>
      </c>
    </row>
    <row r="75" spans="1:9" s="606" customFormat="1" x14ac:dyDescent="0.25">
      <c r="A75" s="602" t="s">
        <v>186</v>
      </c>
      <c r="B75" s="603" t="s">
        <v>187</v>
      </c>
      <c r="C75" s="603" t="s">
        <v>264</v>
      </c>
      <c r="D75" s="890">
        <v>3906</v>
      </c>
      <c r="E75" s="890">
        <v>4060</v>
      </c>
      <c r="F75" s="890">
        <v>4435</v>
      </c>
      <c r="G75" s="1339">
        <v>5116</v>
      </c>
      <c r="H75" s="1410">
        <v>5366</v>
      </c>
      <c r="I75" s="2416">
        <v>5574</v>
      </c>
    </row>
    <row r="76" spans="1:9" s="606" customFormat="1" x14ac:dyDescent="0.25">
      <c r="A76" s="602" t="s">
        <v>188</v>
      </c>
      <c r="B76" s="603" t="s">
        <v>189</v>
      </c>
      <c r="C76" s="603" t="s">
        <v>267</v>
      </c>
      <c r="D76" s="890">
        <v>54774</v>
      </c>
      <c r="E76" s="890">
        <v>56677</v>
      </c>
      <c r="F76" s="890">
        <v>59264</v>
      </c>
      <c r="G76" s="1339">
        <v>63840</v>
      </c>
      <c r="H76" s="1410">
        <v>64445</v>
      </c>
      <c r="I76" s="2416">
        <v>69864</v>
      </c>
    </row>
    <row r="77" spans="1:9" s="606" customFormat="1" x14ac:dyDescent="0.25">
      <c r="A77" s="602" t="s">
        <v>190</v>
      </c>
      <c r="B77" s="603" t="s">
        <v>191</v>
      </c>
      <c r="C77" s="603" t="s">
        <v>268</v>
      </c>
      <c r="D77" s="890">
        <v>7661</v>
      </c>
      <c r="E77" s="890">
        <v>7775</v>
      </c>
      <c r="F77" s="890">
        <v>7922</v>
      </c>
      <c r="G77" s="1339">
        <v>8139</v>
      </c>
      <c r="H77" s="1410">
        <v>8263</v>
      </c>
      <c r="I77" s="2416">
        <v>8431</v>
      </c>
    </row>
    <row r="78" spans="1:9" s="606" customFormat="1" x14ac:dyDescent="0.25">
      <c r="A78" s="602" t="s">
        <v>194</v>
      </c>
      <c r="B78" s="603" t="s">
        <v>195</v>
      </c>
      <c r="C78" s="603" t="s">
        <v>267</v>
      </c>
      <c r="D78" s="890">
        <v>1015</v>
      </c>
      <c r="E78" s="890">
        <v>946</v>
      </c>
      <c r="F78" s="890">
        <v>990</v>
      </c>
      <c r="G78" s="1339">
        <v>1003</v>
      </c>
      <c r="H78" s="1410">
        <v>1035</v>
      </c>
      <c r="I78" s="2416">
        <v>995</v>
      </c>
    </row>
    <row r="79" spans="1:9" s="606" customFormat="1" x14ac:dyDescent="0.25">
      <c r="A79" s="602" t="s">
        <v>198</v>
      </c>
      <c r="B79" s="603" t="s">
        <v>272</v>
      </c>
      <c r="C79" s="603" t="s">
        <v>266</v>
      </c>
      <c r="D79" s="890">
        <v>1791</v>
      </c>
      <c r="E79" s="890">
        <v>1878</v>
      </c>
      <c r="F79" s="890">
        <v>1992</v>
      </c>
      <c r="G79" s="1339">
        <v>2110</v>
      </c>
      <c r="H79" s="1410">
        <v>2110</v>
      </c>
      <c r="I79" s="2416">
        <v>2071</v>
      </c>
    </row>
    <row r="80" spans="1:9" s="606" customFormat="1" x14ac:dyDescent="0.25">
      <c r="A80" s="602" t="s">
        <v>202</v>
      </c>
      <c r="B80" s="603" t="s">
        <v>301</v>
      </c>
      <c r="C80" s="603" t="s">
        <v>265</v>
      </c>
      <c r="D80" s="890">
        <v>14079</v>
      </c>
      <c r="E80" s="890">
        <v>14577</v>
      </c>
      <c r="F80" s="890">
        <v>15112</v>
      </c>
      <c r="G80" s="1339">
        <v>15593</v>
      </c>
      <c r="H80" s="1410">
        <v>15686</v>
      </c>
      <c r="I80" s="2416">
        <v>15959</v>
      </c>
    </row>
    <row r="81" spans="1:9" s="606" customFormat="1" x14ac:dyDescent="0.25">
      <c r="A81" s="602" t="s">
        <v>204</v>
      </c>
      <c r="B81" s="603" t="s">
        <v>293</v>
      </c>
      <c r="C81" s="603" t="s">
        <v>265</v>
      </c>
      <c r="D81" s="890">
        <v>5954</v>
      </c>
      <c r="E81" s="890">
        <v>6165</v>
      </c>
      <c r="F81" s="890">
        <v>6241</v>
      </c>
      <c r="G81" s="1339">
        <v>6748</v>
      </c>
      <c r="H81" s="1410">
        <v>7033</v>
      </c>
      <c r="I81" s="2416">
        <v>7149</v>
      </c>
    </row>
    <row r="82" spans="1:9" s="606" customFormat="1" x14ac:dyDescent="0.25">
      <c r="A82" s="602" t="s">
        <v>206</v>
      </c>
      <c r="B82" s="603" t="s">
        <v>294</v>
      </c>
      <c r="C82" s="603" t="s">
        <v>267</v>
      </c>
      <c r="D82" s="890">
        <v>18478</v>
      </c>
      <c r="E82" s="890">
        <v>19020</v>
      </c>
      <c r="F82" s="890">
        <v>19623</v>
      </c>
      <c r="G82" s="1339">
        <v>20791</v>
      </c>
      <c r="H82" s="1410">
        <v>21536</v>
      </c>
      <c r="I82" s="2416">
        <v>22307</v>
      </c>
    </row>
    <row r="83" spans="1:9" s="606" customFormat="1" x14ac:dyDescent="0.25">
      <c r="A83" s="602" t="s">
        <v>208</v>
      </c>
      <c r="B83" s="603" t="s">
        <v>209</v>
      </c>
      <c r="C83" s="603" t="s">
        <v>268</v>
      </c>
      <c r="D83" s="890">
        <v>7927</v>
      </c>
      <c r="E83" s="890">
        <v>8115</v>
      </c>
      <c r="F83" s="890">
        <v>8423</v>
      </c>
      <c r="G83" s="1339">
        <v>8535</v>
      </c>
      <c r="H83" s="1410">
        <v>8501</v>
      </c>
      <c r="I83" s="2416">
        <v>8415</v>
      </c>
    </row>
    <row r="84" spans="1:9" s="606" customFormat="1" x14ac:dyDescent="0.25">
      <c r="A84" s="602" t="s">
        <v>210</v>
      </c>
      <c r="B84" s="603" t="s">
        <v>211</v>
      </c>
      <c r="C84" s="603" t="s">
        <v>268</v>
      </c>
      <c r="D84" s="890">
        <v>5957</v>
      </c>
      <c r="E84" s="890">
        <v>6111</v>
      </c>
      <c r="F84" s="890">
        <v>6003</v>
      </c>
      <c r="G84" s="1339">
        <v>6299</v>
      </c>
      <c r="H84" s="1410">
        <v>6255</v>
      </c>
      <c r="I84" s="2416">
        <v>6235</v>
      </c>
    </row>
    <row r="85" spans="1:9" s="606" customFormat="1" x14ac:dyDescent="0.25">
      <c r="A85" s="602" t="s">
        <v>212</v>
      </c>
      <c r="B85" s="603" t="s">
        <v>213</v>
      </c>
      <c r="C85" s="603" t="s">
        <v>267</v>
      </c>
      <c r="D85" s="890">
        <v>7539</v>
      </c>
      <c r="E85" s="890">
        <v>7671</v>
      </c>
      <c r="F85" s="890">
        <v>7769</v>
      </c>
      <c r="G85" s="1339">
        <v>8184</v>
      </c>
      <c r="H85" s="1410">
        <v>8270</v>
      </c>
      <c r="I85" s="2416">
        <v>8784</v>
      </c>
    </row>
    <row r="86" spans="1:9" s="606" customFormat="1" x14ac:dyDescent="0.25">
      <c r="A86" s="602" t="s">
        <v>214</v>
      </c>
      <c r="B86" s="603" t="s">
        <v>215</v>
      </c>
      <c r="C86" s="603" t="s">
        <v>268</v>
      </c>
      <c r="D86" s="890">
        <v>8580</v>
      </c>
      <c r="E86" s="890">
        <v>8782</v>
      </c>
      <c r="F86" s="890">
        <v>8805</v>
      </c>
      <c r="G86" s="1339">
        <v>8776</v>
      </c>
      <c r="H86" s="1410">
        <v>8847</v>
      </c>
      <c r="I86" s="2416">
        <v>8857</v>
      </c>
    </row>
    <row r="87" spans="1:9" s="606" customFormat="1" x14ac:dyDescent="0.25">
      <c r="A87" s="602" t="s">
        <v>216</v>
      </c>
      <c r="B87" s="603" t="s">
        <v>217</v>
      </c>
      <c r="C87" s="603" t="s">
        <v>264</v>
      </c>
      <c r="D87" s="890">
        <v>3928</v>
      </c>
      <c r="E87" s="890">
        <v>3977</v>
      </c>
      <c r="F87" s="890">
        <v>4131</v>
      </c>
      <c r="G87" s="1339">
        <v>4185</v>
      </c>
      <c r="H87" s="1410">
        <v>4271</v>
      </c>
      <c r="I87" s="2416">
        <v>4327</v>
      </c>
    </row>
    <row r="88" spans="1:9" s="606" customFormat="1" x14ac:dyDescent="0.25">
      <c r="A88" s="602" t="s">
        <v>218</v>
      </c>
      <c r="B88" s="603" t="s">
        <v>219</v>
      </c>
      <c r="C88" s="603" t="s">
        <v>267</v>
      </c>
      <c r="D88" s="890">
        <v>17285</v>
      </c>
      <c r="E88" s="890">
        <v>18142</v>
      </c>
      <c r="F88" s="890">
        <v>19342</v>
      </c>
      <c r="G88" s="1339">
        <v>21561</v>
      </c>
      <c r="H88" s="1410">
        <v>21671</v>
      </c>
      <c r="I88" s="2416">
        <v>23014</v>
      </c>
    </row>
    <row r="89" spans="1:9" s="606" customFormat="1" x14ac:dyDescent="0.25">
      <c r="A89" s="602" t="s">
        <v>220</v>
      </c>
      <c r="B89" s="603" t="s">
        <v>221</v>
      </c>
      <c r="C89" s="603" t="s">
        <v>267</v>
      </c>
      <c r="D89" s="890">
        <v>14479</v>
      </c>
      <c r="E89" s="890">
        <v>14765</v>
      </c>
      <c r="F89" s="890">
        <v>15706</v>
      </c>
      <c r="G89" s="1339">
        <v>18052</v>
      </c>
      <c r="H89" s="1410">
        <v>17924</v>
      </c>
      <c r="I89" s="2416">
        <v>19572</v>
      </c>
    </row>
    <row r="90" spans="1:9" s="606" customFormat="1" x14ac:dyDescent="0.25">
      <c r="A90" s="602" t="s">
        <v>224</v>
      </c>
      <c r="B90" s="603" t="s">
        <v>225</v>
      </c>
      <c r="C90" s="603" t="s">
        <v>264</v>
      </c>
      <c r="D90" s="890">
        <v>1356</v>
      </c>
      <c r="E90" s="890">
        <v>1408</v>
      </c>
      <c r="F90" s="890">
        <v>1406</v>
      </c>
      <c r="G90" s="1339">
        <v>1469</v>
      </c>
      <c r="H90" s="1410">
        <v>1443</v>
      </c>
      <c r="I90" s="2416">
        <v>1427</v>
      </c>
    </row>
    <row r="91" spans="1:9" s="606" customFormat="1" x14ac:dyDescent="0.25">
      <c r="A91" s="602" t="s">
        <v>226</v>
      </c>
      <c r="B91" s="603" t="s">
        <v>227</v>
      </c>
      <c r="C91" s="603" t="s">
        <v>264</v>
      </c>
      <c r="D91" s="890">
        <v>2518</v>
      </c>
      <c r="E91" s="890">
        <v>2546</v>
      </c>
      <c r="F91" s="890">
        <v>2598</v>
      </c>
      <c r="G91" s="1339">
        <v>2712</v>
      </c>
      <c r="H91" s="1410">
        <v>2690</v>
      </c>
      <c r="I91" s="2416">
        <v>2688</v>
      </c>
    </row>
    <row r="92" spans="1:9" s="606" customFormat="1" x14ac:dyDescent="0.25">
      <c r="A92" s="602" t="s">
        <v>228</v>
      </c>
      <c r="B92" s="603" t="s">
        <v>229</v>
      </c>
      <c r="C92" s="603" t="s">
        <v>268</v>
      </c>
      <c r="D92" s="890">
        <v>10913</v>
      </c>
      <c r="E92" s="890">
        <v>11077</v>
      </c>
      <c r="F92" s="890">
        <v>11439</v>
      </c>
      <c r="G92" s="1339">
        <v>11957</v>
      </c>
      <c r="H92" s="1410">
        <v>12098</v>
      </c>
      <c r="I92" s="2416">
        <v>12523</v>
      </c>
    </row>
    <row r="93" spans="1:9" s="606" customFormat="1" x14ac:dyDescent="0.25">
      <c r="A93" s="602" t="s">
        <v>232</v>
      </c>
      <c r="B93" s="603" t="s">
        <v>233</v>
      </c>
      <c r="C93" s="603" t="s">
        <v>267</v>
      </c>
      <c r="D93" s="890">
        <v>6447</v>
      </c>
      <c r="E93" s="890">
        <v>6640</v>
      </c>
      <c r="F93" s="890">
        <v>6843</v>
      </c>
      <c r="G93" s="1339">
        <v>7466</v>
      </c>
      <c r="H93" s="1410">
        <v>7305</v>
      </c>
      <c r="I93" s="2416">
        <v>7703</v>
      </c>
    </row>
    <row r="94" spans="1:9" s="606" customFormat="1" x14ac:dyDescent="0.25">
      <c r="A94" s="602" t="s">
        <v>234</v>
      </c>
      <c r="B94" s="603" t="s">
        <v>235</v>
      </c>
      <c r="C94" s="603" t="s">
        <v>268</v>
      </c>
      <c r="D94" s="890">
        <v>10901</v>
      </c>
      <c r="E94" s="890">
        <v>11353</v>
      </c>
      <c r="F94" s="890">
        <v>11538</v>
      </c>
      <c r="G94" s="1339">
        <v>11808</v>
      </c>
      <c r="H94" s="1410">
        <v>11769</v>
      </c>
      <c r="I94" s="2416">
        <v>12061</v>
      </c>
    </row>
    <row r="95" spans="1:9" s="606" customFormat="1" x14ac:dyDescent="0.25">
      <c r="A95" s="602" t="s">
        <v>236</v>
      </c>
      <c r="B95" s="603" t="s">
        <v>237</v>
      </c>
      <c r="C95" s="603" t="s">
        <v>266</v>
      </c>
      <c r="D95" s="890">
        <v>4115</v>
      </c>
      <c r="E95" s="890">
        <v>4098</v>
      </c>
      <c r="F95" s="890">
        <v>4296</v>
      </c>
      <c r="G95" s="1339">
        <v>4670</v>
      </c>
      <c r="H95" s="1410">
        <v>4749</v>
      </c>
      <c r="I95" s="2416">
        <v>4930</v>
      </c>
    </row>
    <row r="96" spans="1:9" s="606" customFormat="1" x14ac:dyDescent="0.25">
      <c r="A96" s="602" t="s">
        <v>242</v>
      </c>
      <c r="B96" s="603" t="s">
        <v>243</v>
      </c>
      <c r="C96" s="603" t="s">
        <v>268</v>
      </c>
      <c r="D96" s="890">
        <v>11788</v>
      </c>
      <c r="E96" s="890">
        <v>12214</v>
      </c>
      <c r="F96" s="890">
        <v>12308</v>
      </c>
      <c r="G96" s="1339">
        <v>12480</v>
      </c>
      <c r="H96" s="1410">
        <v>12582</v>
      </c>
      <c r="I96" s="2416">
        <v>12619</v>
      </c>
    </row>
    <row r="97" spans="1:9" s="606" customFormat="1" x14ac:dyDescent="0.25">
      <c r="A97" s="602" t="s">
        <v>244</v>
      </c>
      <c r="B97" s="603" t="s">
        <v>245</v>
      </c>
      <c r="C97" s="603" t="s">
        <v>268</v>
      </c>
      <c r="D97" s="890">
        <v>6623</v>
      </c>
      <c r="E97" s="890">
        <v>6700</v>
      </c>
      <c r="F97" s="890">
        <v>6790</v>
      </c>
      <c r="G97" s="1339">
        <v>6893</v>
      </c>
      <c r="H97" s="1410">
        <v>6942</v>
      </c>
      <c r="I97" s="2416">
        <v>6988</v>
      </c>
    </row>
    <row r="98" spans="1:9" s="606" customFormat="1" x14ac:dyDescent="0.25">
      <c r="A98" s="602" t="s">
        <v>246</v>
      </c>
      <c r="B98" s="603" t="s">
        <v>247</v>
      </c>
      <c r="C98" s="603" t="s">
        <v>264</v>
      </c>
      <c r="D98" s="890">
        <v>5411</v>
      </c>
      <c r="E98" s="890">
        <v>5585</v>
      </c>
      <c r="F98" s="890">
        <v>5848</v>
      </c>
      <c r="G98" s="1339">
        <v>6254</v>
      </c>
      <c r="H98" s="1410">
        <v>6266</v>
      </c>
      <c r="I98" s="2416">
        <v>6545</v>
      </c>
    </row>
    <row r="99" spans="1:9" s="606" customFormat="1" x14ac:dyDescent="0.25">
      <c r="A99" s="602" t="s">
        <v>14</v>
      </c>
      <c r="B99" s="603" t="s">
        <v>15</v>
      </c>
      <c r="C99" s="603" t="s">
        <v>267</v>
      </c>
      <c r="D99" s="890">
        <v>15646</v>
      </c>
      <c r="E99" s="890">
        <v>16093</v>
      </c>
      <c r="F99" s="890">
        <v>17194</v>
      </c>
      <c r="G99" s="1339">
        <v>19452</v>
      </c>
      <c r="H99" s="1410">
        <v>19873</v>
      </c>
      <c r="I99" s="2416">
        <v>21698</v>
      </c>
    </row>
    <row r="100" spans="1:9" s="606" customFormat="1" x14ac:dyDescent="0.25">
      <c r="A100" s="602" t="s">
        <v>34</v>
      </c>
      <c r="B100" s="603" t="s">
        <v>35</v>
      </c>
      <c r="C100" s="603" t="s">
        <v>268</v>
      </c>
      <c r="D100" s="890">
        <v>6178</v>
      </c>
      <c r="E100" s="890">
        <v>6208</v>
      </c>
      <c r="F100" s="890">
        <v>5918</v>
      </c>
      <c r="G100" s="1339">
        <v>5865</v>
      </c>
      <c r="H100" s="1410">
        <v>5895</v>
      </c>
      <c r="I100" s="2416">
        <v>5969</v>
      </c>
    </row>
    <row r="101" spans="1:9" s="606" customFormat="1" x14ac:dyDescent="0.25">
      <c r="A101" s="602" t="s">
        <v>52</v>
      </c>
      <c r="B101" s="603" t="s">
        <v>53</v>
      </c>
      <c r="C101" s="603" t="s">
        <v>265</v>
      </c>
      <c r="D101" s="890">
        <v>7776</v>
      </c>
      <c r="E101" s="890">
        <v>7690</v>
      </c>
      <c r="F101" s="890">
        <v>7548</v>
      </c>
      <c r="G101" s="1339">
        <v>7758</v>
      </c>
      <c r="H101" s="1410">
        <v>7836</v>
      </c>
      <c r="I101" s="2416">
        <v>7765</v>
      </c>
    </row>
    <row r="102" spans="1:9" s="606" customFormat="1" x14ac:dyDescent="0.25">
      <c r="A102" s="602" t="s">
        <v>54</v>
      </c>
      <c r="B102" s="603" t="s">
        <v>55</v>
      </c>
      <c r="C102" s="603" t="s">
        <v>264</v>
      </c>
      <c r="D102" s="890">
        <v>32629</v>
      </c>
      <c r="E102" s="890">
        <v>33494</v>
      </c>
      <c r="F102" s="890">
        <v>34963</v>
      </c>
      <c r="G102" s="1339">
        <v>37216</v>
      </c>
      <c r="H102" s="1410">
        <v>38328</v>
      </c>
      <c r="I102" s="2416">
        <v>40880</v>
      </c>
    </row>
    <row r="103" spans="1:9" s="606" customFormat="1" x14ac:dyDescent="0.25">
      <c r="A103" s="602" t="s">
        <v>66</v>
      </c>
      <c r="B103" s="603" t="s">
        <v>67</v>
      </c>
      <c r="C103" s="603" t="s">
        <v>265</v>
      </c>
      <c r="D103" s="890">
        <v>16195</v>
      </c>
      <c r="E103" s="890">
        <v>16283</v>
      </c>
      <c r="F103" s="890">
        <v>16820</v>
      </c>
      <c r="G103" s="1339">
        <v>17306</v>
      </c>
      <c r="H103" s="1410">
        <v>17422</v>
      </c>
      <c r="I103" s="2416">
        <v>17838</v>
      </c>
    </row>
    <row r="104" spans="1:9" s="606" customFormat="1" x14ac:dyDescent="0.25">
      <c r="A104" s="602" t="s">
        <v>82</v>
      </c>
      <c r="B104" s="603" t="s">
        <v>83</v>
      </c>
      <c r="C104" s="603" t="s">
        <v>264</v>
      </c>
      <c r="D104" s="890">
        <v>3252</v>
      </c>
      <c r="E104" s="890">
        <v>3330</v>
      </c>
      <c r="F104" s="890">
        <v>3352</v>
      </c>
      <c r="G104" s="1339">
        <v>3339</v>
      </c>
      <c r="H104" s="1410">
        <v>3353</v>
      </c>
      <c r="I104" s="2416">
        <v>3520</v>
      </c>
    </row>
    <row r="105" spans="1:9" s="606" customFormat="1" x14ac:dyDescent="0.25">
      <c r="A105" s="602" t="s">
        <v>88</v>
      </c>
      <c r="B105" s="603" t="s">
        <v>89</v>
      </c>
      <c r="C105" s="603" t="s">
        <v>267</v>
      </c>
      <c r="D105" s="890">
        <v>5961</v>
      </c>
      <c r="E105" s="890">
        <v>6188</v>
      </c>
      <c r="F105" s="890">
        <v>6555</v>
      </c>
      <c r="G105" s="1339">
        <v>6703</v>
      </c>
      <c r="H105" s="1410">
        <v>6557</v>
      </c>
      <c r="I105" s="2416">
        <v>7190</v>
      </c>
    </row>
    <row r="106" spans="1:9" s="606" customFormat="1" x14ac:dyDescent="0.25">
      <c r="A106" s="602" t="s">
        <v>90</v>
      </c>
      <c r="B106" s="603" t="s">
        <v>91</v>
      </c>
      <c r="C106" s="603" t="s">
        <v>268</v>
      </c>
      <c r="D106" s="890">
        <v>2513</v>
      </c>
      <c r="E106" s="890">
        <v>2588</v>
      </c>
      <c r="F106" s="890">
        <v>2687</v>
      </c>
      <c r="G106" s="1339">
        <v>2647</v>
      </c>
      <c r="H106" s="1410">
        <v>2705</v>
      </c>
      <c r="I106" s="2416">
        <v>2670</v>
      </c>
    </row>
    <row r="107" spans="1:9" s="606" customFormat="1" x14ac:dyDescent="0.25">
      <c r="A107" s="602" t="s">
        <v>106</v>
      </c>
      <c r="B107" s="603" t="s">
        <v>107</v>
      </c>
      <c r="C107" s="603" t="s">
        <v>264</v>
      </c>
      <c r="D107" s="890">
        <v>28460</v>
      </c>
      <c r="E107" s="890">
        <v>29339</v>
      </c>
      <c r="F107" s="890">
        <v>30610</v>
      </c>
      <c r="G107" s="1339">
        <v>32174</v>
      </c>
      <c r="H107" s="1410">
        <v>31153</v>
      </c>
      <c r="I107" s="2416">
        <v>33051</v>
      </c>
    </row>
    <row r="108" spans="1:9" s="606" customFormat="1" x14ac:dyDescent="0.25">
      <c r="A108" s="602" t="s">
        <v>116</v>
      </c>
      <c r="B108" s="603" t="s">
        <v>117</v>
      </c>
      <c r="C108" s="603" t="s">
        <v>266</v>
      </c>
      <c r="D108" s="890">
        <v>7980</v>
      </c>
      <c r="E108" s="890">
        <v>8074</v>
      </c>
      <c r="F108" s="890">
        <v>8662</v>
      </c>
      <c r="G108" s="1339">
        <v>9174</v>
      </c>
      <c r="H108" s="1410">
        <v>9274</v>
      </c>
      <c r="I108" s="2416">
        <v>9650</v>
      </c>
    </row>
    <row r="109" spans="1:9" s="606" customFormat="1" x14ac:dyDescent="0.25">
      <c r="A109" s="602" t="s">
        <v>138</v>
      </c>
      <c r="B109" s="603" t="s">
        <v>139</v>
      </c>
      <c r="C109" s="603" t="s">
        <v>265</v>
      </c>
      <c r="D109" s="890">
        <v>17220</v>
      </c>
      <c r="E109" s="890">
        <v>17471</v>
      </c>
      <c r="F109" s="890">
        <v>18085</v>
      </c>
      <c r="G109" s="1339">
        <v>18829</v>
      </c>
      <c r="H109" s="1410">
        <v>18821</v>
      </c>
      <c r="I109" s="2416">
        <v>18913</v>
      </c>
    </row>
    <row r="110" spans="1:9" s="606" customFormat="1" x14ac:dyDescent="0.25">
      <c r="A110" s="602" t="s">
        <v>142</v>
      </c>
      <c r="B110" s="603" t="s">
        <v>143</v>
      </c>
      <c r="C110" s="603" t="s">
        <v>267</v>
      </c>
      <c r="D110" s="890">
        <v>7744</v>
      </c>
      <c r="E110" s="890">
        <v>8141</v>
      </c>
      <c r="F110" s="890">
        <v>8535</v>
      </c>
      <c r="G110" s="1339">
        <v>9167</v>
      </c>
      <c r="H110" s="1410">
        <v>8984</v>
      </c>
      <c r="I110" s="2416">
        <v>9355</v>
      </c>
    </row>
    <row r="111" spans="1:9" s="606" customFormat="1" x14ac:dyDescent="0.25">
      <c r="A111" s="602" t="s">
        <v>144</v>
      </c>
      <c r="B111" s="603" t="s">
        <v>145</v>
      </c>
      <c r="C111" s="603" t="s">
        <v>267</v>
      </c>
      <c r="D111" s="890">
        <v>2651</v>
      </c>
      <c r="E111" s="890">
        <v>2748</v>
      </c>
      <c r="F111" s="890">
        <v>2951</v>
      </c>
      <c r="G111" s="1339">
        <v>3401</v>
      </c>
      <c r="H111" s="1410">
        <v>3463</v>
      </c>
      <c r="I111" s="2416">
        <v>3577</v>
      </c>
    </row>
    <row r="112" spans="1:9" s="606" customFormat="1" x14ac:dyDescent="0.25">
      <c r="A112" s="602" t="s">
        <v>158</v>
      </c>
      <c r="B112" s="603" t="s">
        <v>159</v>
      </c>
      <c r="C112" s="603" t="s">
        <v>264</v>
      </c>
      <c r="D112" s="890">
        <v>43201</v>
      </c>
      <c r="E112" s="890">
        <v>44036</v>
      </c>
      <c r="F112" s="890">
        <v>45133</v>
      </c>
      <c r="G112" s="1339">
        <v>47151</v>
      </c>
      <c r="H112" s="1410">
        <v>47656</v>
      </c>
      <c r="I112" s="2416">
        <v>51185</v>
      </c>
    </row>
    <row r="113" spans="1:10" s="606" customFormat="1" x14ac:dyDescent="0.25">
      <c r="A113" s="602" t="s">
        <v>160</v>
      </c>
      <c r="B113" s="603" t="s">
        <v>161</v>
      </c>
      <c r="C113" s="603" t="s">
        <v>264</v>
      </c>
      <c r="D113" s="890">
        <v>55734</v>
      </c>
      <c r="E113" s="890">
        <v>56716</v>
      </c>
      <c r="F113" s="890">
        <v>58985</v>
      </c>
      <c r="G113" s="1339">
        <v>61233</v>
      </c>
      <c r="H113" s="1410">
        <v>60355</v>
      </c>
      <c r="I113" s="2416">
        <v>62198</v>
      </c>
    </row>
    <row r="114" spans="1:10" s="606" customFormat="1" x14ac:dyDescent="0.25">
      <c r="A114" s="602" t="s">
        <v>166</v>
      </c>
      <c r="B114" s="603" t="s">
        <v>167</v>
      </c>
      <c r="C114" s="603" t="s">
        <v>268</v>
      </c>
      <c r="D114" s="890">
        <v>1489</v>
      </c>
      <c r="E114" s="890">
        <v>1523</v>
      </c>
      <c r="F114" s="890">
        <v>1457</v>
      </c>
      <c r="G114" s="1339">
        <v>1515</v>
      </c>
      <c r="H114" s="1410">
        <v>1533</v>
      </c>
      <c r="I114" s="2416">
        <v>1468</v>
      </c>
    </row>
    <row r="115" spans="1:10" s="606" customFormat="1" x14ac:dyDescent="0.25">
      <c r="A115" s="602" t="s">
        <v>176</v>
      </c>
      <c r="B115" s="603" t="s">
        <v>177</v>
      </c>
      <c r="C115" s="603" t="s">
        <v>266</v>
      </c>
      <c r="D115" s="890">
        <v>12133</v>
      </c>
      <c r="E115" s="890">
        <v>12070</v>
      </c>
      <c r="F115" s="890">
        <v>12309</v>
      </c>
      <c r="G115" s="1339">
        <v>13406</v>
      </c>
      <c r="H115" s="1410">
        <v>13247</v>
      </c>
      <c r="I115" s="2416">
        <v>14504</v>
      </c>
    </row>
    <row r="116" spans="1:10" s="606" customFormat="1" x14ac:dyDescent="0.25">
      <c r="A116" s="602" t="s">
        <v>180</v>
      </c>
      <c r="B116" s="603" t="s">
        <v>181</v>
      </c>
      <c r="C116" s="603" t="s">
        <v>264</v>
      </c>
      <c r="D116" s="890">
        <v>27583</v>
      </c>
      <c r="E116" s="890">
        <v>28042</v>
      </c>
      <c r="F116" s="890">
        <v>29028</v>
      </c>
      <c r="G116" s="1339">
        <v>30499</v>
      </c>
      <c r="H116" s="1410">
        <v>31238</v>
      </c>
      <c r="I116" s="2416">
        <v>32260</v>
      </c>
    </row>
    <row r="117" spans="1:10" s="606" customFormat="1" x14ac:dyDescent="0.25">
      <c r="A117" s="602" t="s">
        <v>192</v>
      </c>
      <c r="B117" s="603" t="s">
        <v>193</v>
      </c>
      <c r="C117" s="603" t="s">
        <v>268</v>
      </c>
      <c r="D117" s="890">
        <v>2347</v>
      </c>
      <c r="E117" s="890">
        <v>2419</v>
      </c>
      <c r="F117" s="890">
        <v>2453</v>
      </c>
      <c r="G117" s="1339">
        <v>2582</v>
      </c>
      <c r="H117" s="1410">
        <v>2597</v>
      </c>
      <c r="I117" s="2416">
        <v>2505</v>
      </c>
    </row>
    <row r="118" spans="1:10" s="606" customFormat="1" x14ac:dyDescent="0.25">
      <c r="A118" s="602" t="s">
        <v>196</v>
      </c>
      <c r="B118" s="603" t="s">
        <v>197</v>
      </c>
      <c r="C118" s="603" t="s">
        <v>266</v>
      </c>
      <c r="D118" s="890">
        <v>57305</v>
      </c>
      <c r="E118" s="890">
        <v>57456</v>
      </c>
      <c r="F118" s="890">
        <v>58837</v>
      </c>
      <c r="G118" s="1339">
        <v>64028</v>
      </c>
      <c r="H118" s="1410">
        <v>63436</v>
      </c>
      <c r="I118" s="2416">
        <v>63418</v>
      </c>
    </row>
    <row r="119" spans="1:10" s="606" customFormat="1" x14ac:dyDescent="0.25">
      <c r="A119" s="602" t="s">
        <v>200</v>
      </c>
      <c r="B119" s="603" t="s">
        <v>201</v>
      </c>
      <c r="C119" s="603" t="s">
        <v>265</v>
      </c>
      <c r="D119" s="890">
        <v>30252</v>
      </c>
      <c r="E119" s="890">
        <v>30848</v>
      </c>
      <c r="F119" s="890">
        <v>31661</v>
      </c>
      <c r="G119" s="1339">
        <v>32392</v>
      </c>
      <c r="H119" s="1410">
        <v>32484</v>
      </c>
      <c r="I119" s="2416">
        <v>33419</v>
      </c>
    </row>
    <row r="120" spans="1:10" s="606" customFormat="1" x14ac:dyDescent="0.25">
      <c r="A120" s="602" t="s">
        <v>222</v>
      </c>
      <c r="B120" s="603" t="s">
        <v>223</v>
      </c>
      <c r="C120" s="603" t="s">
        <v>264</v>
      </c>
      <c r="D120" s="890">
        <v>16226</v>
      </c>
      <c r="E120" s="890">
        <v>16657</v>
      </c>
      <c r="F120" s="890">
        <v>17309</v>
      </c>
      <c r="G120" s="1339">
        <v>18008</v>
      </c>
      <c r="H120" s="1410">
        <v>18225</v>
      </c>
      <c r="I120" s="2416">
        <v>18721</v>
      </c>
    </row>
    <row r="121" spans="1:10" s="606" customFormat="1" x14ac:dyDescent="0.25">
      <c r="A121" s="602" t="s">
        <v>230</v>
      </c>
      <c r="B121" s="603" t="s">
        <v>231</v>
      </c>
      <c r="C121" s="603" t="s">
        <v>264</v>
      </c>
      <c r="D121" s="890">
        <v>50631</v>
      </c>
      <c r="E121" s="890">
        <v>51522</v>
      </c>
      <c r="F121" s="890">
        <v>55112</v>
      </c>
      <c r="G121" s="1339">
        <v>58857</v>
      </c>
      <c r="H121" s="1410">
        <v>58054</v>
      </c>
      <c r="I121" s="2416">
        <v>61846</v>
      </c>
    </row>
    <row r="122" spans="1:10" s="606" customFormat="1" x14ac:dyDescent="0.25">
      <c r="A122" s="602" t="s">
        <v>238</v>
      </c>
      <c r="B122" s="603" t="s">
        <v>239</v>
      </c>
      <c r="C122" s="603" t="s">
        <v>264</v>
      </c>
      <c r="D122" s="890">
        <v>1585</v>
      </c>
      <c r="E122" s="890">
        <v>1672</v>
      </c>
      <c r="F122" s="890">
        <v>1701</v>
      </c>
      <c r="G122" s="1339">
        <v>1740</v>
      </c>
      <c r="H122" s="1410">
        <v>1756</v>
      </c>
      <c r="I122" s="2416">
        <v>1974</v>
      </c>
    </row>
    <row r="123" spans="1:10" s="606" customFormat="1" x14ac:dyDescent="0.25">
      <c r="A123" s="602" t="s">
        <v>240</v>
      </c>
      <c r="B123" s="603" t="s">
        <v>241</v>
      </c>
      <c r="C123" s="603" t="s">
        <v>267</v>
      </c>
      <c r="D123" s="890">
        <v>6371</v>
      </c>
      <c r="E123" s="890">
        <v>6465</v>
      </c>
      <c r="F123" s="890">
        <v>6707</v>
      </c>
      <c r="G123" s="1339">
        <v>7188</v>
      </c>
      <c r="H123" s="1410">
        <v>7407</v>
      </c>
      <c r="I123" s="2416">
        <v>7227</v>
      </c>
    </row>
    <row r="125" spans="1:10" ht="12.75" customHeight="1" x14ac:dyDescent="0.25">
      <c r="A125" s="2737" t="s">
        <v>1411</v>
      </c>
      <c r="B125" s="2738"/>
      <c r="C125" s="2738"/>
      <c r="D125" s="2738"/>
      <c r="E125" s="2738"/>
      <c r="F125" s="2738"/>
      <c r="G125" s="2738"/>
      <c r="H125" s="2738"/>
      <c r="I125" s="2738"/>
      <c r="J125" s="2738"/>
    </row>
    <row r="126" spans="1:10" x14ac:dyDescent="0.25">
      <c r="A126" s="2738"/>
      <c r="B126" s="2738"/>
      <c r="C126" s="2738"/>
      <c r="D126" s="2738"/>
      <c r="E126" s="2738"/>
      <c r="F126" s="2738"/>
      <c r="G126" s="2738"/>
      <c r="H126" s="2738"/>
      <c r="I126" s="2738"/>
      <c r="J126" s="2738"/>
    </row>
    <row r="127" spans="1:10" ht="18" customHeight="1" x14ac:dyDescent="0.25">
      <c r="A127" s="2738"/>
      <c r="B127" s="2738"/>
      <c r="C127" s="2738"/>
      <c r="D127" s="2738"/>
      <c r="E127" s="2738"/>
      <c r="F127" s="2738"/>
      <c r="G127" s="2738"/>
      <c r="H127" s="2738"/>
      <c r="I127" s="2738"/>
      <c r="J127" s="2738"/>
    </row>
    <row r="128" spans="1:10" x14ac:dyDescent="0.25">
      <c r="A128" s="1512"/>
      <c r="B128" s="1512"/>
      <c r="C128" s="1512"/>
      <c r="D128" s="1512"/>
      <c r="E128" s="1512"/>
      <c r="F128" s="1512"/>
      <c r="G128" s="1512"/>
      <c r="H128" s="1513"/>
      <c r="I128" s="2356"/>
      <c r="J128" s="1512"/>
    </row>
    <row r="129" spans="1:3" s="389" customFormat="1" x14ac:dyDescent="0.25">
      <c r="A129" s="389" t="s">
        <v>248</v>
      </c>
    </row>
    <row r="130" spans="1:3" s="389" customFormat="1" x14ac:dyDescent="0.25">
      <c r="A130" s="390" t="s">
        <v>249</v>
      </c>
      <c r="B130" s="391" t="s">
        <v>250</v>
      </c>
      <c r="C130" s="391"/>
    </row>
  </sheetData>
  <sortState ref="A4:J122">
    <sortCondition ref="A4:A122"/>
  </sortState>
  <mergeCells count="1">
    <mergeCell ref="A125:J127"/>
  </mergeCells>
  <hyperlinks>
    <hyperlink ref="B130"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130"/>
  <sheetViews>
    <sheetView workbookViewId="0">
      <pane ySplit="3" topLeftCell="A4" activePane="bottomLeft" state="frozen"/>
      <selection pane="bottomLeft" activeCell="I128" sqref="I128"/>
    </sheetView>
  </sheetViews>
  <sheetFormatPr defaultRowHeight="15.75" x14ac:dyDescent="0.25"/>
  <cols>
    <col min="1" max="1" width="9" style="265"/>
    <col min="2" max="2" width="34.375" style="265" customWidth="1"/>
    <col min="3" max="3" width="15" style="265" customWidth="1"/>
    <col min="4" max="4" width="11.125" style="265" customWidth="1"/>
    <col min="5" max="6" width="11.375" style="265" customWidth="1"/>
    <col min="7" max="7" width="12.625" style="265" bestFit="1" customWidth="1"/>
    <col min="8" max="9" width="12.625" style="265" customWidth="1"/>
    <col min="10" max="10" width="9" style="265"/>
    <col min="11" max="11" width="9.25" style="265" customWidth="1"/>
    <col min="12" max="16384" width="9" style="265"/>
  </cols>
  <sheetData>
    <row r="1" spans="1:9" x14ac:dyDescent="0.25">
      <c r="A1" s="64" t="s">
        <v>1413</v>
      </c>
    </row>
    <row r="3" spans="1:9" x14ac:dyDescent="0.25">
      <c r="A3" s="64" t="s">
        <v>4</v>
      </c>
      <c r="B3" s="64" t="s">
        <v>5</v>
      </c>
      <c r="C3" s="64" t="s">
        <v>251</v>
      </c>
      <c r="D3" s="64">
        <v>2012</v>
      </c>
      <c r="E3" s="64">
        <v>2013</v>
      </c>
      <c r="F3" s="64">
        <v>2014</v>
      </c>
      <c r="G3" s="64">
        <v>2015</v>
      </c>
      <c r="H3" s="64">
        <v>2016</v>
      </c>
      <c r="I3" s="64">
        <v>2017</v>
      </c>
    </row>
    <row r="4" spans="1:9" x14ac:dyDescent="0.25">
      <c r="A4" s="502" t="s">
        <v>10</v>
      </c>
      <c r="B4" s="503" t="s">
        <v>11</v>
      </c>
      <c r="C4" s="553" t="s">
        <v>264</v>
      </c>
      <c r="D4" s="268">
        <v>11974</v>
      </c>
      <c r="E4" s="266">
        <v>11971</v>
      </c>
      <c r="F4" s="266">
        <v>11855</v>
      </c>
      <c r="G4" s="268">
        <v>11677</v>
      </c>
      <c r="H4" s="268">
        <v>11023</v>
      </c>
      <c r="I4" s="268">
        <v>11181</v>
      </c>
    </row>
    <row r="5" spans="1:9" x14ac:dyDescent="0.25">
      <c r="A5" s="502" t="s">
        <v>12</v>
      </c>
      <c r="B5" s="503" t="s">
        <v>13</v>
      </c>
      <c r="C5" s="553" t="s">
        <v>265</v>
      </c>
      <c r="D5" s="268">
        <v>13724</v>
      </c>
      <c r="E5" s="266">
        <v>13972</v>
      </c>
      <c r="F5" s="266">
        <v>13830</v>
      </c>
      <c r="G5" s="268">
        <v>13818</v>
      </c>
      <c r="H5" s="268">
        <v>13209</v>
      </c>
      <c r="I5" s="268">
        <v>13168</v>
      </c>
    </row>
    <row r="6" spans="1:9" x14ac:dyDescent="0.25">
      <c r="A6" s="502" t="s">
        <v>14</v>
      </c>
      <c r="B6" s="503" t="s">
        <v>15</v>
      </c>
      <c r="C6" s="558" t="s">
        <v>267</v>
      </c>
      <c r="D6" s="268">
        <v>19868</v>
      </c>
      <c r="E6" s="266">
        <v>20218</v>
      </c>
      <c r="F6" s="266">
        <v>20997</v>
      </c>
      <c r="G6" s="268">
        <v>22590</v>
      </c>
      <c r="H6" s="268">
        <v>22640</v>
      </c>
      <c r="I6" s="268">
        <v>23937</v>
      </c>
    </row>
    <row r="7" spans="1:9" x14ac:dyDescent="0.25">
      <c r="A7" s="502" t="s">
        <v>16</v>
      </c>
      <c r="B7" s="503" t="s">
        <v>297</v>
      </c>
      <c r="C7" s="553" t="s">
        <v>265</v>
      </c>
      <c r="D7" s="268">
        <v>7116</v>
      </c>
      <c r="E7" s="266">
        <v>7210</v>
      </c>
      <c r="F7" s="266">
        <v>6950</v>
      </c>
      <c r="G7" s="268">
        <v>7140</v>
      </c>
      <c r="H7" s="268">
        <v>6919</v>
      </c>
      <c r="I7" s="268">
        <v>7138</v>
      </c>
    </row>
    <row r="8" spans="1:9" x14ac:dyDescent="0.25">
      <c r="A8" s="502" t="s">
        <v>18</v>
      </c>
      <c r="B8" s="503" t="s">
        <v>19</v>
      </c>
      <c r="C8" s="553" t="s">
        <v>266</v>
      </c>
      <c r="D8" s="268">
        <v>3849</v>
      </c>
      <c r="E8" s="266">
        <v>3645</v>
      </c>
      <c r="F8" s="266">
        <v>3489</v>
      </c>
      <c r="G8" s="268">
        <v>3449</v>
      </c>
      <c r="H8" s="268">
        <v>3334</v>
      </c>
      <c r="I8" s="268">
        <v>3309</v>
      </c>
    </row>
    <row r="9" spans="1:9" x14ac:dyDescent="0.25">
      <c r="A9" s="502" t="s">
        <v>20</v>
      </c>
      <c r="B9" s="503" t="s">
        <v>21</v>
      </c>
      <c r="C9" s="553" t="s">
        <v>265</v>
      </c>
      <c r="D9" s="268">
        <v>8148</v>
      </c>
      <c r="E9" s="266">
        <v>7985</v>
      </c>
      <c r="F9" s="266">
        <v>7661</v>
      </c>
      <c r="G9" s="268">
        <v>7904</v>
      </c>
      <c r="H9" s="268">
        <v>7849</v>
      </c>
      <c r="I9" s="268">
        <v>8070</v>
      </c>
    </row>
    <row r="10" spans="1:9" x14ac:dyDescent="0.25">
      <c r="A10" s="502" t="s">
        <v>22</v>
      </c>
      <c r="B10" s="503" t="s">
        <v>23</v>
      </c>
      <c r="C10" s="553" t="s">
        <v>265</v>
      </c>
      <c r="D10" s="268">
        <v>4780</v>
      </c>
      <c r="E10" s="266">
        <v>4794</v>
      </c>
      <c r="F10" s="266">
        <v>4695</v>
      </c>
      <c r="G10" s="268">
        <v>4737</v>
      </c>
      <c r="H10" s="268">
        <v>4670</v>
      </c>
      <c r="I10" s="268">
        <v>4608</v>
      </c>
    </row>
    <row r="11" spans="1:9" x14ac:dyDescent="0.25">
      <c r="A11" s="502" t="s">
        <v>24</v>
      </c>
      <c r="B11" s="503" t="s">
        <v>25</v>
      </c>
      <c r="C11" s="553" t="s">
        <v>267</v>
      </c>
      <c r="D11" s="268">
        <v>17589</v>
      </c>
      <c r="E11" s="266">
        <v>18362</v>
      </c>
      <c r="F11" s="266">
        <v>19225</v>
      </c>
      <c r="G11" s="268">
        <v>19581</v>
      </c>
      <c r="H11" s="268">
        <v>19181</v>
      </c>
      <c r="I11" s="268">
        <v>19596</v>
      </c>
    </row>
    <row r="12" spans="1:9" x14ac:dyDescent="0.25">
      <c r="A12" s="502" t="s">
        <v>26</v>
      </c>
      <c r="B12" s="503" t="s">
        <v>685</v>
      </c>
      <c r="C12" s="553" t="s">
        <v>265</v>
      </c>
      <c r="D12" s="268">
        <v>31224</v>
      </c>
      <c r="E12" s="266">
        <v>32605</v>
      </c>
      <c r="F12" s="266">
        <v>30472</v>
      </c>
      <c r="G12" s="268">
        <v>29971</v>
      </c>
      <c r="H12" s="268">
        <v>29661</v>
      </c>
      <c r="I12" s="268">
        <v>31054</v>
      </c>
    </row>
    <row r="13" spans="1:9" x14ac:dyDescent="0.25">
      <c r="A13" s="502" t="s">
        <v>27</v>
      </c>
      <c r="B13" s="503" t="s">
        <v>28</v>
      </c>
      <c r="C13" s="558" t="s">
        <v>265</v>
      </c>
      <c r="D13" s="268">
        <v>1036</v>
      </c>
      <c r="E13" s="266">
        <v>1051</v>
      </c>
      <c r="F13" s="266">
        <v>1002</v>
      </c>
      <c r="G13" s="268">
        <v>1018</v>
      </c>
      <c r="H13" s="268">
        <v>973</v>
      </c>
      <c r="I13" s="268">
        <v>909</v>
      </c>
    </row>
    <row r="14" spans="1:9" x14ac:dyDescent="0.25">
      <c r="A14" s="502" t="s">
        <v>29</v>
      </c>
      <c r="B14" s="503" t="s">
        <v>901</v>
      </c>
      <c r="C14" s="558" t="s">
        <v>265</v>
      </c>
      <c r="D14" s="268">
        <v>14685</v>
      </c>
      <c r="E14" s="266">
        <v>15936</v>
      </c>
      <c r="F14" s="266">
        <v>14099</v>
      </c>
      <c r="G14" s="268">
        <v>13954</v>
      </c>
      <c r="H14" s="268">
        <v>13339</v>
      </c>
      <c r="I14" s="268">
        <v>13497</v>
      </c>
    </row>
    <row r="15" spans="1:9" x14ac:dyDescent="0.25">
      <c r="A15" s="502" t="s">
        <v>30</v>
      </c>
      <c r="B15" s="503" t="s">
        <v>31</v>
      </c>
      <c r="C15" s="558" t="s">
        <v>268</v>
      </c>
      <c r="D15" s="268">
        <v>1462</v>
      </c>
      <c r="E15" s="266">
        <v>1425</v>
      </c>
      <c r="F15" s="266">
        <v>1363</v>
      </c>
      <c r="G15" s="268">
        <v>1385</v>
      </c>
      <c r="H15" s="268">
        <v>1320</v>
      </c>
      <c r="I15" s="268">
        <v>1291</v>
      </c>
    </row>
    <row r="16" spans="1:9" x14ac:dyDescent="0.25">
      <c r="A16" s="502" t="s">
        <v>32</v>
      </c>
      <c r="B16" s="503" t="s">
        <v>33</v>
      </c>
      <c r="C16" s="558" t="s">
        <v>265</v>
      </c>
      <c r="D16" s="268">
        <v>4072</v>
      </c>
      <c r="E16" s="266">
        <v>4122</v>
      </c>
      <c r="F16" s="266">
        <v>4301</v>
      </c>
      <c r="G16" s="268">
        <v>4625</v>
      </c>
      <c r="H16" s="268">
        <v>4591</v>
      </c>
      <c r="I16" s="268">
        <v>4587</v>
      </c>
    </row>
    <row r="17" spans="1:9" x14ac:dyDescent="0.25">
      <c r="A17" s="502" t="s">
        <v>34</v>
      </c>
      <c r="B17" s="503" t="s">
        <v>35</v>
      </c>
      <c r="C17" s="558" t="s">
        <v>268</v>
      </c>
      <c r="D17" s="268">
        <v>8245</v>
      </c>
      <c r="E17" s="266">
        <v>8252</v>
      </c>
      <c r="F17" s="266">
        <v>8004</v>
      </c>
      <c r="G17" s="268">
        <v>7800</v>
      </c>
      <c r="H17" s="268">
        <v>7618</v>
      </c>
      <c r="I17" s="268">
        <v>7411</v>
      </c>
    </row>
    <row r="18" spans="1:9" x14ac:dyDescent="0.25">
      <c r="A18" s="502" t="s">
        <v>36</v>
      </c>
      <c r="B18" s="503" t="s">
        <v>37</v>
      </c>
      <c r="C18" s="558" t="s">
        <v>264</v>
      </c>
      <c r="D18" s="268">
        <v>6350</v>
      </c>
      <c r="E18" s="266">
        <v>6289</v>
      </c>
      <c r="F18" s="266">
        <v>6286</v>
      </c>
      <c r="G18" s="268">
        <v>6183</v>
      </c>
      <c r="H18" s="268">
        <v>6124</v>
      </c>
      <c r="I18" s="268">
        <v>6015</v>
      </c>
    </row>
    <row r="19" spans="1:9" x14ac:dyDescent="0.25">
      <c r="A19" s="502" t="s">
        <v>38</v>
      </c>
      <c r="B19" s="503" t="s">
        <v>39</v>
      </c>
      <c r="C19" s="558" t="s">
        <v>268</v>
      </c>
      <c r="D19" s="268">
        <v>8498</v>
      </c>
      <c r="E19" s="266">
        <v>8681</v>
      </c>
      <c r="F19" s="266">
        <v>8510</v>
      </c>
      <c r="G19" s="268">
        <v>8648</v>
      </c>
      <c r="H19" s="268">
        <v>8709</v>
      </c>
      <c r="I19" s="268">
        <v>8523</v>
      </c>
    </row>
    <row r="20" spans="1:9" x14ac:dyDescent="0.25">
      <c r="A20" s="502" t="s">
        <v>40</v>
      </c>
      <c r="B20" s="503" t="s">
        <v>41</v>
      </c>
      <c r="C20" s="558" t="s">
        <v>266</v>
      </c>
      <c r="D20" s="268">
        <v>5865</v>
      </c>
      <c r="E20" s="266">
        <v>5731</v>
      </c>
      <c r="F20" s="266">
        <v>5535</v>
      </c>
      <c r="G20" s="268">
        <v>5409</v>
      </c>
      <c r="H20" s="268">
        <v>5104</v>
      </c>
      <c r="I20" s="268">
        <v>5187</v>
      </c>
    </row>
    <row r="21" spans="1:9" x14ac:dyDescent="0.25">
      <c r="A21" s="502" t="s">
        <v>42</v>
      </c>
      <c r="B21" s="503" t="s">
        <v>43</v>
      </c>
      <c r="C21" s="558" t="s">
        <v>265</v>
      </c>
      <c r="D21" s="268">
        <v>14849</v>
      </c>
      <c r="E21" s="266">
        <v>14814</v>
      </c>
      <c r="F21" s="266">
        <v>14911</v>
      </c>
      <c r="G21" s="268">
        <v>15074</v>
      </c>
      <c r="H21" s="268">
        <v>14713</v>
      </c>
      <c r="I21" s="268">
        <v>14292</v>
      </c>
    </row>
    <row r="22" spans="1:9" x14ac:dyDescent="0.25">
      <c r="A22" s="502" t="s">
        <v>44</v>
      </c>
      <c r="B22" s="503" t="s">
        <v>45</v>
      </c>
      <c r="C22" s="558" t="s">
        <v>266</v>
      </c>
      <c r="D22" s="268">
        <v>8920</v>
      </c>
      <c r="E22" s="266">
        <v>8863</v>
      </c>
      <c r="F22" s="266">
        <v>8652</v>
      </c>
      <c r="G22" s="268">
        <v>8880</v>
      </c>
      <c r="H22" s="268">
        <v>8397</v>
      </c>
      <c r="I22" s="268">
        <v>8160</v>
      </c>
    </row>
    <row r="23" spans="1:9" x14ac:dyDescent="0.25">
      <c r="A23" s="502" t="s">
        <v>46</v>
      </c>
      <c r="B23" s="503" t="s">
        <v>47</v>
      </c>
      <c r="C23" s="558" t="s">
        <v>268</v>
      </c>
      <c r="D23" s="268">
        <v>10188</v>
      </c>
      <c r="E23" s="266">
        <v>10068</v>
      </c>
      <c r="F23" s="266">
        <v>9823</v>
      </c>
      <c r="G23" s="268">
        <v>9652</v>
      </c>
      <c r="H23" s="268">
        <v>9310</v>
      </c>
      <c r="I23" s="268">
        <v>9205</v>
      </c>
    </row>
    <row r="24" spans="1:9" x14ac:dyDescent="0.25">
      <c r="A24" s="502" t="s">
        <v>48</v>
      </c>
      <c r="B24" s="503" t="s">
        <v>269</v>
      </c>
      <c r="C24" s="558" t="s">
        <v>266</v>
      </c>
      <c r="D24" s="268">
        <v>1975</v>
      </c>
      <c r="E24" s="266">
        <v>1920</v>
      </c>
      <c r="F24" s="266">
        <v>1849</v>
      </c>
      <c r="G24" s="268">
        <v>1892</v>
      </c>
      <c r="H24" s="268">
        <v>1889</v>
      </c>
      <c r="I24" s="268">
        <v>1849</v>
      </c>
    </row>
    <row r="25" spans="1:9" x14ac:dyDescent="0.25">
      <c r="A25" s="502" t="s">
        <v>50</v>
      </c>
      <c r="B25" s="503" t="s">
        <v>51</v>
      </c>
      <c r="C25" s="558" t="s">
        <v>265</v>
      </c>
      <c r="D25" s="268">
        <v>4552</v>
      </c>
      <c r="E25" s="266">
        <v>4433</v>
      </c>
      <c r="F25" s="266">
        <v>4308</v>
      </c>
      <c r="G25" s="268">
        <v>4262</v>
      </c>
      <c r="H25" s="268">
        <v>4139</v>
      </c>
      <c r="I25" s="268">
        <v>4032</v>
      </c>
    </row>
    <row r="26" spans="1:9" x14ac:dyDescent="0.25">
      <c r="A26" s="502" t="s">
        <v>52</v>
      </c>
      <c r="B26" s="503" t="s">
        <v>53</v>
      </c>
      <c r="C26" s="558" t="s">
        <v>265</v>
      </c>
      <c r="D26" s="268">
        <v>10574</v>
      </c>
      <c r="E26" s="266">
        <v>10439</v>
      </c>
      <c r="F26" s="266">
        <v>9906</v>
      </c>
      <c r="G26" s="268">
        <v>9826</v>
      </c>
      <c r="H26" s="268">
        <v>9280</v>
      </c>
      <c r="I26" s="268">
        <v>9088</v>
      </c>
    </row>
    <row r="27" spans="1:9" x14ac:dyDescent="0.25">
      <c r="A27" s="502" t="s">
        <v>54</v>
      </c>
      <c r="B27" s="503" t="s">
        <v>55</v>
      </c>
      <c r="C27" s="558" t="s">
        <v>264</v>
      </c>
      <c r="D27" s="268">
        <v>45243</v>
      </c>
      <c r="E27" s="266">
        <v>45961</v>
      </c>
      <c r="F27" s="266">
        <v>46112</v>
      </c>
      <c r="G27" s="268">
        <v>46588</v>
      </c>
      <c r="H27" s="268">
        <v>46100</v>
      </c>
      <c r="I27" s="268">
        <v>47008</v>
      </c>
    </row>
    <row r="28" spans="1:9" x14ac:dyDescent="0.25">
      <c r="A28" s="502" t="s">
        <v>56</v>
      </c>
      <c r="B28" s="503" t="s">
        <v>295</v>
      </c>
      <c r="C28" s="558" t="s">
        <v>266</v>
      </c>
      <c r="D28" s="268">
        <v>63613</v>
      </c>
      <c r="E28" s="266">
        <v>65541</v>
      </c>
      <c r="F28" s="266">
        <v>66468</v>
      </c>
      <c r="G28" s="268">
        <v>71113</v>
      </c>
      <c r="H28" s="268">
        <v>68537</v>
      </c>
      <c r="I28" s="268">
        <v>71800</v>
      </c>
    </row>
    <row r="29" spans="1:9" x14ac:dyDescent="0.25">
      <c r="A29" s="502" t="s">
        <v>58</v>
      </c>
      <c r="B29" s="503" t="s">
        <v>59</v>
      </c>
      <c r="C29" s="558" t="s">
        <v>267</v>
      </c>
      <c r="D29" s="268">
        <v>1835</v>
      </c>
      <c r="E29" s="266">
        <v>1829</v>
      </c>
      <c r="F29" s="266">
        <v>1694</v>
      </c>
      <c r="G29" s="268">
        <v>1729</v>
      </c>
      <c r="H29" s="268">
        <v>1551</v>
      </c>
      <c r="I29" s="268">
        <v>1530</v>
      </c>
    </row>
    <row r="30" spans="1:9" x14ac:dyDescent="0.25">
      <c r="A30" s="502" t="s">
        <v>60</v>
      </c>
      <c r="B30" s="503" t="s">
        <v>61</v>
      </c>
      <c r="C30" s="558" t="s">
        <v>265</v>
      </c>
      <c r="D30" s="268">
        <v>1293</v>
      </c>
      <c r="E30" s="266">
        <v>1291</v>
      </c>
      <c r="F30" s="266">
        <v>1290</v>
      </c>
      <c r="G30" s="268">
        <v>1346</v>
      </c>
      <c r="H30" s="268">
        <v>1299</v>
      </c>
      <c r="I30" s="268">
        <v>1304</v>
      </c>
    </row>
    <row r="31" spans="1:9" x14ac:dyDescent="0.25">
      <c r="A31" s="502" t="s">
        <v>62</v>
      </c>
      <c r="B31" s="503" t="s">
        <v>63</v>
      </c>
      <c r="C31" s="558" t="s">
        <v>267</v>
      </c>
      <c r="D31" s="268">
        <v>11458</v>
      </c>
      <c r="E31" s="266">
        <v>11474</v>
      </c>
      <c r="F31" s="266">
        <v>11574</v>
      </c>
      <c r="G31" s="268">
        <v>11590</v>
      </c>
      <c r="H31" s="268">
        <v>11113</v>
      </c>
      <c r="I31" s="268">
        <v>11093</v>
      </c>
    </row>
    <row r="32" spans="1:9" x14ac:dyDescent="0.25">
      <c r="A32" s="502" t="s">
        <v>64</v>
      </c>
      <c r="B32" s="503" t="s">
        <v>65</v>
      </c>
      <c r="C32" s="558" t="s">
        <v>266</v>
      </c>
      <c r="D32" s="268">
        <v>3895</v>
      </c>
      <c r="E32" s="266">
        <v>3894</v>
      </c>
      <c r="F32" s="266">
        <v>3853</v>
      </c>
      <c r="G32" s="268">
        <v>3759</v>
      </c>
      <c r="H32" s="268">
        <v>3475</v>
      </c>
      <c r="I32" s="268">
        <v>3563</v>
      </c>
    </row>
    <row r="33" spans="1:9" x14ac:dyDescent="0.25">
      <c r="A33" s="502" t="s">
        <v>66</v>
      </c>
      <c r="B33" s="503" t="s">
        <v>67</v>
      </c>
      <c r="C33" s="558" t="s">
        <v>265</v>
      </c>
      <c r="D33" s="268">
        <v>21901</v>
      </c>
      <c r="E33" s="266">
        <v>21716</v>
      </c>
      <c r="F33" s="266">
        <v>21821</v>
      </c>
      <c r="G33" s="268">
        <v>21720</v>
      </c>
      <c r="H33" s="268">
        <v>20721</v>
      </c>
      <c r="I33" s="268">
        <v>21033</v>
      </c>
    </row>
    <row r="34" spans="1:9" x14ac:dyDescent="0.25">
      <c r="A34" s="502" t="s">
        <v>68</v>
      </c>
      <c r="B34" s="503" t="s">
        <v>69</v>
      </c>
      <c r="C34" s="558" t="s">
        <v>268</v>
      </c>
      <c r="D34" s="268">
        <v>6475</v>
      </c>
      <c r="E34" s="266">
        <v>6424</v>
      </c>
      <c r="F34" s="266">
        <v>6339</v>
      </c>
      <c r="G34" s="268">
        <v>6466</v>
      </c>
      <c r="H34" s="268">
        <v>6559</v>
      </c>
      <c r="I34" s="268">
        <v>6251</v>
      </c>
    </row>
    <row r="35" spans="1:9" x14ac:dyDescent="0.25">
      <c r="A35" s="502" t="s">
        <v>70</v>
      </c>
      <c r="B35" s="503" t="s">
        <v>71</v>
      </c>
      <c r="C35" s="558" t="s">
        <v>264</v>
      </c>
      <c r="D35" s="268">
        <v>8409</v>
      </c>
      <c r="E35" s="266">
        <v>8281</v>
      </c>
      <c r="F35" s="266">
        <v>8312</v>
      </c>
      <c r="G35" s="268">
        <v>8419</v>
      </c>
      <c r="H35" s="268">
        <v>8072</v>
      </c>
      <c r="I35" s="268">
        <v>7990</v>
      </c>
    </row>
    <row r="36" spans="1:9" x14ac:dyDescent="0.25">
      <c r="A36" s="502" t="s">
        <v>72</v>
      </c>
      <c r="B36" s="503" t="s">
        <v>73</v>
      </c>
      <c r="C36" s="558" t="s">
        <v>266</v>
      </c>
      <c r="D36" s="268">
        <v>4245</v>
      </c>
      <c r="E36" s="266">
        <v>4133</v>
      </c>
      <c r="F36" s="266">
        <v>4066</v>
      </c>
      <c r="G36" s="268">
        <v>3971</v>
      </c>
      <c r="H36" s="268">
        <v>3828</v>
      </c>
      <c r="I36" s="268">
        <v>3852</v>
      </c>
    </row>
    <row r="37" spans="1:9" x14ac:dyDescent="0.25">
      <c r="A37" s="502" t="s">
        <v>74</v>
      </c>
      <c r="B37" s="503" t="s">
        <v>296</v>
      </c>
      <c r="C37" s="558" t="s">
        <v>267</v>
      </c>
      <c r="D37" s="268">
        <v>115995</v>
      </c>
      <c r="E37" s="266">
        <v>120417</v>
      </c>
      <c r="F37" s="266">
        <v>123513</v>
      </c>
      <c r="G37" s="268">
        <v>128089</v>
      </c>
      <c r="H37" s="268">
        <v>124680</v>
      </c>
      <c r="I37" s="268">
        <v>131587</v>
      </c>
    </row>
    <row r="38" spans="1:9" x14ac:dyDescent="0.25">
      <c r="A38" s="502" t="s">
        <v>76</v>
      </c>
      <c r="B38" s="503" t="s">
        <v>77</v>
      </c>
      <c r="C38" s="558" t="s">
        <v>267</v>
      </c>
      <c r="D38" s="268">
        <v>9511</v>
      </c>
      <c r="E38" s="266">
        <v>9478</v>
      </c>
      <c r="F38" s="266">
        <v>9490</v>
      </c>
      <c r="G38" s="268">
        <v>9375</v>
      </c>
      <c r="H38" s="268">
        <v>8899</v>
      </c>
      <c r="I38" s="268">
        <v>8863</v>
      </c>
    </row>
    <row r="39" spans="1:9" x14ac:dyDescent="0.25">
      <c r="A39" s="502" t="s">
        <v>78</v>
      </c>
      <c r="B39" s="503" t="s">
        <v>79</v>
      </c>
      <c r="C39" s="558" t="s">
        <v>268</v>
      </c>
      <c r="D39" s="268">
        <v>4061</v>
      </c>
      <c r="E39" s="266">
        <v>3958</v>
      </c>
      <c r="F39" s="266">
        <v>3834</v>
      </c>
      <c r="G39" s="268">
        <v>3800</v>
      </c>
      <c r="H39" s="268">
        <v>3765</v>
      </c>
      <c r="I39" s="268">
        <v>3927</v>
      </c>
    </row>
    <row r="40" spans="1:9" x14ac:dyDescent="0.25">
      <c r="A40" s="502" t="s">
        <v>80</v>
      </c>
      <c r="B40" s="503" t="s">
        <v>81</v>
      </c>
      <c r="C40" s="558" t="s">
        <v>266</v>
      </c>
      <c r="D40" s="268">
        <v>4068</v>
      </c>
      <c r="E40" s="266">
        <v>4055</v>
      </c>
      <c r="F40" s="266">
        <v>4051</v>
      </c>
      <c r="G40" s="268">
        <v>4116</v>
      </c>
      <c r="H40" s="268">
        <v>4145</v>
      </c>
      <c r="I40" s="268">
        <v>4319</v>
      </c>
    </row>
    <row r="41" spans="1:9" x14ac:dyDescent="0.25">
      <c r="A41" s="502" t="s">
        <v>82</v>
      </c>
      <c r="B41" s="503" t="s">
        <v>83</v>
      </c>
      <c r="C41" s="558" t="s">
        <v>264</v>
      </c>
      <c r="D41" s="268">
        <v>4394</v>
      </c>
      <c r="E41" s="266">
        <v>4429</v>
      </c>
      <c r="F41" s="266">
        <v>4289</v>
      </c>
      <c r="G41" s="268">
        <v>4287</v>
      </c>
      <c r="H41" s="268">
        <v>4208</v>
      </c>
      <c r="I41" s="268">
        <v>4261</v>
      </c>
    </row>
    <row r="42" spans="1:9" x14ac:dyDescent="0.25">
      <c r="A42" s="502" t="s">
        <v>84</v>
      </c>
      <c r="B42" s="503" t="s">
        <v>85</v>
      </c>
      <c r="C42" s="558" t="s">
        <v>265</v>
      </c>
      <c r="D42" s="268">
        <v>14792</v>
      </c>
      <c r="E42" s="266">
        <v>14672</v>
      </c>
      <c r="F42" s="266">
        <v>14281</v>
      </c>
      <c r="G42" s="268">
        <v>14308</v>
      </c>
      <c r="H42" s="268">
        <v>13752</v>
      </c>
      <c r="I42" s="268">
        <v>13455</v>
      </c>
    </row>
    <row r="43" spans="1:9" x14ac:dyDescent="0.25">
      <c r="A43" s="502" t="s">
        <v>86</v>
      </c>
      <c r="B43" s="503" t="s">
        <v>87</v>
      </c>
      <c r="C43" s="558" t="s">
        <v>267</v>
      </c>
      <c r="D43" s="268">
        <v>15319</v>
      </c>
      <c r="E43" s="266">
        <v>14981</v>
      </c>
      <c r="F43" s="266">
        <v>14648</v>
      </c>
      <c r="G43" s="268">
        <v>14966</v>
      </c>
      <c r="H43" s="268">
        <v>13977</v>
      </c>
      <c r="I43" s="268">
        <v>13928</v>
      </c>
    </row>
    <row r="44" spans="1:9" x14ac:dyDescent="0.25">
      <c r="A44" s="502" t="s">
        <v>88</v>
      </c>
      <c r="B44" s="503" t="s">
        <v>89</v>
      </c>
      <c r="C44" s="558" t="s">
        <v>267</v>
      </c>
      <c r="D44" s="268">
        <v>8559</v>
      </c>
      <c r="E44" s="266">
        <v>8825</v>
      </c>
      <c r="F44" s="266">
        <v>8770</v>
      </c>
      <c r="G44" s="268">
        <v>8670</v>
      </c>
      <c r="H44" s="268">
        <v>8142</v>
      </c>
      <c r="I44" s="268">
        <v>8475</v>
      </c>
    </row>
    <row r="45" spans="1:9" x14ac:dyDescent="0.25">
      <c r="A45" s="502" t="s">
        <v>90</v>
      </c>
      <c r="B45" s="503" t="s">
        <v>91</v>
      </c>
      <c r="C45" s="558" t="s">
        <v>268</v>
      </c>
      <c r="D45" s="268">
        <v>3358</v>
      </c>
      <c r="E45" s="266">
        <v>3449</v>
      </c>
      <c r="F45" s="266">
        <v>3441</v>
      </c>
      <c r="G45" s="268">
        <v>3323</v>
      </c>
      <c r="H45" s="268">
        <v>3281</v>
      </c>
      <c r="I45" s="268">
        <v>3261</v>
      </c>
    </row>
    <row r="46" spans="1:9" x14ac:dyDescent="0.25">
      <c r="A46" s="502" t="s">
        <v>92</v>
      </c>
      <c r="B46" s="503" t="s">
        <v>93</v>
      </c>
      <c r="C46" s="558" t="s">
        <v>268</v>
      </c>
      <c r="D46" s="268">
        <v>4814</v>
      </c>
      <c r="E46" s="266">
        <v>4787</v>
      </c>
      <c r="F46" s="266">
        <v>4725</v>
      </c>
      <c r="G46" s="268">
        <v>4848</v>
      </c>
      <c r="H46" s="268">
        <v>4676</v>
      </c>
      <c r="I46" s="268">
        <v>4645</v>
      </c>
    </row>
    <row r="47" spans="1:9" x14ac:dyDescent="0.25">
      <c r="A47" s="502" t="s">
        <v>94</v>
      </c>
      <c r="B47" s="503" t="s">
        <v>95</v>
      </c>
      <c r="C47" s="558" t="s">
        <v>264</v>
      </c>
      <c r="D47" s="268">
        <v>8119</v>
      </c>
      <c r="E47" s="266">
        <v>8157</v>
      </c>
      <c r="F47" s="266">
        <v>8101</v>
      </c>
      <c r="G47" s="268">
        <v>8044</v>
      </c>
      <c r="H47" s="268">
        <v>7657</v>
      </c>
      <c r="I47" s="268">
        <v>7662</v>
      </c>
    </row>
    <row r="48" spans="1:9" x14ac:dyDescent="0.25">
      <c r="A48" s="502" t="s">
        <v>96</v>
      </c>
      <c r="B48" s="503" t="s">
        <v>97</v>
      </c>
      <c r="C48" s="558" t="s">
        <v>266</v>
      </c>
      <c r="D48" s="268">
        <v>2703</v>
      </c>
      <c r="E48" s="266">
        <v>2744</v>
      </c>
      <c r="F48" s="266">
        <v>2758</v>
      </c>
      <c r="G48" s="268">
        <v>2836</v>
      </c>
      <c r="H48" s="268">
        <v>2578</v>
      </c>
      <c r="I48" s="268">
        <v>2633</v>
      </c>
    </row>
    <row r="49" spans="1:9" x14ac:dyDescent="0.25">
      <c r="A49" s="502" t="s">
        <v>98</v>
      </c>
      <c r="B49" s="503" t="s">
        <v>99</v>
      </c>
      <c r="C49" s="558" t="s">
        <v>268</v>
      </c>
      <c r="D49" s="268">
        <v>5496</v>
      </c>
      <c r="E49" s="266">
        <v>5457</v>
      </c>
      <c r="F49" s="266">
        <v>5342</v>
      </c>
      <c r="G49" s="268">
        <v>5318</v>
      </c>
      <c r="H49" s="268">
        <v>5109</v>
      </c>
      <c r="I49" s="268">
        <v>4895</v>
      </c>
    </row>
    <row r="50" spans="1:9" x14ac:dyDescent="0.25">
      <c r="A50" s="502" t="s">
        <v>100</v>
      </c>
      <c r="B50" s="503" t="s">
        <v>101</v>
      </c>
      <c r="C50" s="558" t="s">
        <v>267</v>
      </c>
      <c r="D50" s="268">
        <v>4230</v>
      </c>
      <c r="E50" s="266">
        <v>4166</v>
      </c>
      <c r="F50" s="266">
        <v>4318</v>
      </c>
      <c r="G50" s="268">
        <v>4295</v>
      </c>
      <c r="H50" s="268">
        <v>4263</v>
      </c>
      <c r="I50" s="268">
        <v>4237</v>
      </c>
    </row>
    <row r="51" spans="1:9" x14ac:dyDescent="0.25">
      <c r="A51" s="502" t="s">
        <v>102</v>
      </c>
      <c r="B51" s="503" t="s">
        <v>282</v>
      </c>
      <c r="C51" s="558" t="s">
        <v>264</v>
      </c>
      <c r="D51" s="268">
        <v>7239</v>
      </c>
      <c r="E51" s="266">
        <v>7698</v>
      </c>
      <c r="F51" s="266">
        <v>7479</v>
      </c>
      <c r="G51" s="268">
        <v>7652</v>
      </c>
      <c r="H51" s="268">
        <v>7439</v>
      </c>
      <c r="I51" s="268">
        <v>7638</v>
      </c>
    </row>
    <row r="52" spans="1:9" x14ac:dyDescent="0.25">
      <c r="A52" s="502" t="s">
        <v>104</v>
      </c>
      <c r="B52" s="503" t="s">
        <v>105</v>
      </c>
      <c r="C52" s="558" t="s">
        <v>265</v>
      </c>
      <c r="D52" s="268">
        <v>12618</v>
      </c>
      <c r="E52" s="266">
        <v>12396</v>
      </c>
      <c r="F52" s="266">
        <v>12374</v>
      </c>
      <c r="G52" s="268">
        <v>12472</v>
      </c>
      <c r="H52" s="268">
        <v>12065</v>
      </c>
      <c r="I52" s="268">
        <v>11907</v>
      </c>
    </row>
    <row r="53" spans="1:9" x14ac:dyDescent="0.25">
      <c r="A53" s="502" t="s">
        <v>106</v>
      </c>
      <c r="B53" s="503" t="s">
        <v>107</v>
      </c>
      <c r="C53" s="558" t="s">
        <v>264</v>
      </c>
      <c r="D53" s="268">
        <v>40970</v>
      </c>
      <c r="E53" s="266">
        <v>41773</v>
      </c>
      <c r="F53" s="266">
        <v>41358</v>
      </c>
      <c r="G53" s="268">
        <v>41427</v>
      </c>
      <c r="H53" s="268">
        <v>39521</v>
      </c>
      <c r="I53" s="268">
        <v>39906</v>
      </c>
    </row>
    <row r="54" spans="1:9" x14ac:dyDescent="0.25">
      <c r="A54" s="502" t="s">
        <v>108</v>
      </c>
      <c r="B54" s="503" t="s">
        <v>109</v>
      </c>
      <c r="C54" s="558" t="s">
        <v>266</v>
      </c>
      <c r="D54" s="268">
        <v>12269</v>
      </c>
      <c r="E54" s="266">
        <v>12245</v>
      </c>
      <c r="F54" s="266">
        <v>12301</v>
      </c>
      <c r="G54" s="268">
        <v>12519</v>
      </c>
      <c r="H54" s="268">
        <v>11953</v>
      </c>
      <c r="I54" s="268">
        <v>12121</v>
      </c>
    </row>
    <row r="55" spans="1:9" x14ac:dyDescent="0.25">
      <c r="A55" s="502" t="s">
        <v>110</v>
      </c>
      <c r="B55" s="503" t="s">
        <v>111</v>
      </c>
      <c r="C55" s="558" t="s">
        <v>266</v>
      </c>
      <c r="D55" s="268">
        <v>64156</v>
      </c>
      <c r="E55" s="266">
        <v>64973</v>
      </c>
      <c r="F55" s="266">
        <v>65502</v>
      </c>
      <c r="G55" s="268">
        <v>67803</v>
      </c>
      <c r="H55" s="268">
        <v>66166</v>
      </c>
      <c r="I55" s="268">
        <v>68693</v>
      </c>
    </row>
    <row r="56" spans="1:9" x14ac:dyDescent="0.25">
      <c r="A56" s="502" t="s">
        <v>112</v>
      </c>
      <c r="B56" s="503" t="s">
        <v>300</v>
      </c>
      <c r="C56" s="558" t="s">
        <v>265</v>
      </c>
      <c r="D56" s="268">
        <v>28648</v>
      </c>
      <c r="E56" s="266">
        <v>28971</v>
      </c>
      <c r="F56" s="266">
        <v>28044</v>
      </c>
      <c r="G56" s="268">
        <v>28478</v>
      </c>
      <c r="H56" s="268">
        <v>27456</v>
      </c>
      <c r="I56" s="268">
        <v>26713</v>
      </c>
    </row>
    <row r="57" spans="1:9" x14ac:dyDescent="0.25">
      <c r="A57" s="502" t="s">
        <v>114</v>
      </c>
      <c r="B57" s="503" t="s">
        <v>115</v>
      </c>
      <c r="C57" s="558" t="s">
        <v>265</v>
      </c>
      <c r="D57" s="268">
        <v>388</v>
      </c>
      <c r="E57" s="266">
        <v>374</v>
      </c>
      <c r="F57" s="266">
        <v>523</v>
      </c>
      <c r="G57" s="268">
        <v>495</v>
      </c>
      <c r="H57" s="268">
        <v>388</v>
      </c>
      <c r="I57" s="268">
        <v>441</v>
      </c>
    </row>
    <row r="58" spans="1:9" x14ac:dyDescent="0.25">
      <c r="A58" s="502" t="s">
        <v>116</v>
      </c>
      <c r="B58" s="503" t="s">
        <v>117</v>
      </c>
      <c r="C58" s="558" t="s">
        <v>266</v>
      </c>
      <c r="D58" s="268">
        <v>11413</v>
      </c>
      <c r="E58" s="266">
        <v>11398</v>
      </c>
      <c r="F58" s="266">
        <v>11684</v>
      </c>
      <c r="G58" s="268">
        <v>11927</v>
      </c>
      <c r="H58" s="268">
        <v>11862</v>
      </c>
      <c r="I58" s="268">
        <v>11888</v>
      </c>
    </row>
    <row r="59" spans="1:9" x14ac:dyDescent="0.25">
      <c r="A59" s="502" t="s">
        <v>118</v>
      </c>
      <c r="B59" s="503" t="s">
        <v>270</v>
      </c>
      <c r="C59" s="558" t="s">
        <v>264</v>
      </c>
      <c r="D59" s="268">
        <v>7611</v>
      </c>
      <c r="E59" s="266">
        <v>7591</v>
      </c>
      <c r="F59" s="266">
        <v>7415</v>
      </c>
      <c r="G59" s="268">
        <v>7514</v>
      </c>
      <c r="H59" s="268">
        <v>7172</v>
      </c>
      <c r="I59" s="268">
        <v>7147</v>
      </c>
    </row>
    <row r="60" spans="1:9" x14ac:dyDescent="0.25">
      <c r="A60" s="502" t="s">
        <v>120</v>
      </c>
      <c r="B60" s="503" t="s">
        <v>121</v>
      </c>
      <c r="C60" s="558" t="s">
        <v>264</v>
      </c>
      <c r="D60" s="268">
        <v>9645</v>
      </c>
      <c r="E60" s="266">
        <v>9763</v>
      </c>
      <c r="F60" s="266">
        <v>9765</v>
      </c>
      <c r="G60" s="268">
        <v>10021</v>
      </c>
      <c r="H60" s="268">
        <v>9851</v>
      </c>
      <c r="I60" s="268">
        <v>9689</v>
      </c>
    </row>
    <row r="61" spans="1:9" x14ac:dyDescent="0.25">
      <c r="A61" s="502" t="s">
        <v>122</v>
      </c>
      <c r="B61" s="503" t="s">
        <v>287</v>
      </c>
      <c r="C61" s="558" t="s">
        <v>266</v>
      </c>
      <c r="D61" s="268">
        <v>2252</v>
      </c>
      <c r="E61" s="266">
        <v>2293</v>
      </c>
      <c r="F61" s="266">
        <v>2307</v>
      </c>
      <c r="G61" s="268">
        <v>2237</v>
      </c>
      <c r="H61" s="268">
        <v>2188</v>
      </c>
      <c r="I61" s="268">
        <v>2142</v>
      </c>
    </row>
    <row r="62" spans="1:9" x14ac:dyDescent="0.25">
      <c r="A62" s="502" t="s">
        <v>124</v>
      </c>
      <c r="B62" s="503" t="s">
        <v>125</v>
      </c>
      <c r="C62" s="558" t="s">
        <v>267</v>
      </c>
      <c r="D62" s="268">
        <v>5296</v>
      </c>
      <c r="E62" s="266">
        <v>5452</v>
      </c>
      <c r="F62" s="266">
        <v>5345</v>
      </c>
      <c r="G62" s="268">
        <v>5375</v>
      </c>
      <c r="H62" s="268">
        <v>5013</v>
      </c>
      <c r="I62" s="268">
        <v>4955</v>
      </c>
    </row>
    <row r="63" spans="1:9" x14ac:dyDescent="0.25">
      <c r="A63" s="502" t="s">
        <v>126</v>
      </c>
      <c r="B63" s="503" t="s">
        <v>127</v>
      </c>
      <c r="C63" s="558" t="s">
        <v>266</v>
      </c>
      <c r="D63" s="268">
        <v>3700</v>
      </c>
      <c r="E63" s="266">
        <v>3646</v>
      </c>
      <c r="F63" s="266">
        <v>3526</v>
      </c>
      <c r="G63" s="268">
        <v>3538</v>
      </c>
      <c r="H63" s="268">
        <v>3444</v>
      </c>
      <c r="I63" s="268">
        <v>3270</v>
      </c>
    </row>
    <row r="64" spans="1:9" x14ac:dyDescent="0.25">
      <c r="A64" s="502" t="s">
        <v>128</v>
      </c>
      <c r="B64" s="503" t="s">
        <v>129</v>
      </c>
      <c r="C64" s="558" t="s">
        <v>266</v>
      </c>
      <c r="D64" s="268">
        <v>3157</v>
      </c>
      <c r="E64" s="266">
        <v>3160</v>
      </c>
      <c r="F64" s="266">
        <v>3045</v>
      </c>
      <c r="G64" s="268">
        <v>2943</v>
      </c>
      <c r="H64" s="268">
        <v>2854</v>
      </c>
      <c r="I64" s="268">
        <v>2883</v>
      </c>
    </row>
    <row r="65" spans="1:9" x14ac:dyDescent="0.25">
      <c r="A65" s="502" t="s">
        <v>130</v>
      </c>
      <c r="B65" s="503" t="s">
        <v>131</v>
      </c>
      <c r="C65" s="558" t="s">
        <v>268</v>
      </c>
      <c r="D65" s="268">
        <v>10605</v>
      </c>
      <c r="E65" s="266">
        <v>10605</v>
      </c>
      <c r="F65" s="266">
        <v>10545</v>
      </c>
      <c r="G65" s="268">
        <v>10375</v>
      </c>
      <c r="H65" s="268">
        <v>10351</v>
      </c>
      <c r="I65" s="268">
        <v>10043</v>
      </c>
    </row>
    <row r="66" spans="1:9" x14ac:dyDescent="0.25">
      <c r="A66" s="502" t="s">
        <v>132</v>
      </c>
      <c r="B66" s="503" t="s">
        <v>133</v>
      </c>
      <c r="C66" s="558" t="s">
        <v>267</v>
      </c>
      <c r="D66" s="268">
        <v>24253</v>
      </c>
      <c r="E66" s="266">
        <v>25486</v>
      </c>
      <c r="F66" s="266">
        <v>26966</v>
      </c>
      <c r="G66" s="268">
        <v>30131</v>
      </c>
      <c r="H66" s="268">
        <v>31173</v>
      </c>
      <c r="I66" s="268">
        <v>31672</v>
      </c>
    </row>
    <row r="67" spans="1:9" x14ac:dyDescent="0.25">
      <c r="A67" s="502" t="s">
        <v>134</v>
      </c>
      <c r="B67" s="503" t="s">
        <v>135</v>
      </c>
      <c r="C67" s="558" t="s">
        <v>267</v>
      </c>
      <c r="D67" s="268">
        <v>8562</v>
      </c>
      <c r="E67" s="266">
        <v>8610</v>
      </c>
      <c r="F67" s="266">
        <v>8770</v>
      </c>
      <c r="G67" s="268">
        <v>8882</v>
      </c>
      <c r="H67" s="268">
        <v>8399</v>
      </c>
      <c r="I67" s="268">
        <v>8113</v>
      </c>
    </row>
    <row r="68" spans="1:9" x14ac:dyDescent="0.25">
      <c r="A68" s="502" t="s">
        <v>136</v>
      </c>
      <c r="B68" s="503" t="s">
        <v>137</v>
      </c>
      <c r="C68" s="558" t="s">
        <v>266</v>
      </c>
      <c r="D68" s="268">
        <v>4397</v>
      </c>
      <c r="E68" s="266">
        <v>4371</v>
      </c>
      <c r="F68" s="266">
        <v>4380</v>
      </c>
      <c r="G68" s="268">
        <v>4340</v>
      </c>
      <c r="H68" s="268">
        <v>4187</v>
      </c>
      <c r="I68" s="268">
        <v>4013</v>
      </c>
    </row>
    <row r="69" spans="1:9" x14ac:dyDescent="0.25">
      <c r="A69" s="502" t="s">
        <v>138</v>
      </c>
      <c r="B69" s="503" t="s">
        <v>139</v>
      </c>
      <c r="C69" s="558" t="s">
        <v>265</v>
      </c>
      <c r="D69" s="268">
        <v>23563</v>
      </c>
      <c r="E69" s="266">
        <v>23723</v>
      </c>
      <c r="F69" s="266">
        <v>23582</v>
      </c>
      <c r="G69" s="268">
        <v>23340</v>
      </c>
      <c r="H69" s="268">
        <v>22193</v>
      </c>
      <c r="I69" s="268">
        <v>22011</v>
      </c>
    </row>
    <row r="70" spans="1:9" x14ac:dyDescent="0.25">
      <c r="A70" s="502" t="s">
        <v>140</v>
      </c>
      <c r="B70" s="503" t="s">
        <v>141</v>
      </c>
      <c r="C70" s="558" t="s">
        <v>267</v>
      </c>
      <c r="D70" s="268">
        <v>3189</v>
      </c>
      <c r="E70" s="266">
        <v>3234</v>
      </c>
      <c r="F70" s="266">
        <v>3270</v>
      </c>
      <c r="G70" s="268">
        <v>3260</v>
      </c>
      <c r="H70" s="268">
        <v>3050</v>
      </c>
      <c r="I70" s="268">
        <v>2909</v>
      </c>
    </row>
    <row r="71" spans="1:9" x14ac:dyDescent="0.25">
      <c r="A71" s="502" t="s">
        <v>142</v>
      </c>
      <c r="B71" s="503" t="s">
        <v>143</v>
      </c>
      <c r="C71" s="558" t="s">
        <v>267</v>
      </c>
      <c r="D71" s="268">
        <v>9615</v>
      </c>
      <c r="E71" s="266">
        <v>10063</v>
      </c>
      <c r="F71" s="266">
        <v>10185</v>
      </c>
      <c r="G71" s="268">
        <v>10571</v>
      </c>
      <c r="H71" s="268">
        <v>10183</v>
      </c>
      <c r="I71" s="268">
        <v>10258</v>
      </c>
    </row>
    <row r="72" spans="1:9" x14ac:dyDescent="0.25">
      <c r="A72" s="502" t="s">
        <v>144</v>
      </c>
      <c r="B72" s="503" t="s">
        <v>145</v>
      </c>
      <c r="C72" s="558" t="s">
        <v>267</v>
      </c>
      <c r="D72" s="268">
        <v>3263</v>
      </c>
      <c r="E72" s="266">
        <v>3418</v>
      </c>
      <c r="F72" s="266">
        <v>3490</v>
      </c>
      <c r="G72" s="268">
        <v>3849</v>
      </c>
      <c r="H72" s="268">
        <v>3864</v>
      </c>
      <c r="I72" s="268">
        <v>3899</v>
      </c>
    </row>
    <row r="73" spans="1:9" x14ac:dyDescent="0.25">
      <c r="A73" s="502" t="s">
        <v>146</v>
      </c>
      <c r="B73" s="503" t="s">
        <v>147</v>
      </c>
      <c r="C73" s="558" t="s">
        <v>264</v>
      </c>
      <c r="D73" s="268">
        <v>1876</v>
      </c>
      <c r="E73" s="266">
        <v>1887</v>
      </c>
      <c r="F73" s="266">
        <v>1900</v>
      </c>
      <c r="G73" s="268">
        <v>1871</v>
      </c>
      <c r="H73" s="268">
        <v>1780</v>
      </c>
      <c r="I73" s="268">
        <v>1735</v>
      </c>
    </row>
    <row r="74" spans="1:9" x14ac:dyDescent="0.25">
      <c r="A74" s="502" t="s">
        <v>148</v>
      </c>
      <c r="B74" s="503" t="s">
        <v>149</v>
      </c>
      <c r="C74" s="558" t="s">
        <v>265</v>
      </c>
      <c r="D74" s="268">
        <v>10276</v>
      </c>
      <c r="E74" s="266">
        <v>10293</v>
      </c>
      <c r="F74" s="266">
        <v>10192</v>
      </c>
      <c r="G74" s="268">
        <v>9928</v>
      </c>
      <c r="H74" s="268">
        <v>9471</v>
      </c>
      <c r="I74" s="268">
        <v>9418</v>
      </c>
    </row>
    <row r="75" spans="1:9" x14ac:dyDescent="0.25">
      <c r="A75" s="502" t="s">
        <v>150</v>
      </c>
      <c r="B75" s="503" t="s">
        <v>151</v>
      </c>
      <c r="C75" s="558" t="s">
        <v>266</v>
      </c>
      <c r="D75" s="268">
        <v>2942</v>
      </c>
      <c r="E75" s="266">
        <v>2937</v>
      </c>
      <c r="F75" s="266">
        <v>2921</v>
      </c>
      <c r="G75" s="268">
        <v>3004</v>
      </c>
      <c r="H75" s="268">
        <v>2945</v>
      </c>
      <c r="I75" s="268">
        <v>2977</v>
      </c>
    </row>
    <row r="76" spans="1:9" x14ac:dyDescent="0.25">
      <c r="A76" s="502" t="s">
        <v>152</v>
      </c>
      <c r="B76" s="503" t="s">
        <v>153</v>
      </c>
      <c r="C76" s="558" t="s">
        <v>268</v>
      </c>
      <c r="D76" s="268">
        <v>14852</v>
      </c>
      <c r="E76" s="266">
        <v>14816</v>
      </c>
      <c r="F76" s="266">
        <v>14415</v>
      </c>
      <c r="G76" s="268">
        <v>14136</v>
      </c>
      <c r="H76" s="268">
        <v>13709</v>
      </c>
      <c r="I76" s="268">
        <v>13347</v>
      </c>
    </row>
    <row r="77" spans="1:9" x14ac:dyDescent="0.25">
      <c r="A77" s="502" t="s">
        <v>154</v>
      </c>
      <c r="B77" s="503" t="s">
        <v>155</v>
      </c>
      <c r="C77" s="558" t="s">
        <v>265</v>
      </c>
      <c r="D77" s="268">
        <v>4342</v>
      </c>
      <c r="E77" s="266">
        <v>4288</v>
      </c>
      <c r="F77" s="266">
        <v>4214</v>
      </c>
      <c r="G77" s="268">
        <v>4041</v>
      </c>
      <c r="H77" s="268">
        <v>3864</v>
      </c>
      <c r="I77" s="268">
        <v>3814</v>
      </c>
    </row>
    <row r="78" spans="1:9" x14ac:dyDescent="0.25">
      <c r="A78" s="502" t="s">
        <v>156</v>
      </c>
      <c r="B78" s="503" t="s">
        <v>157</v>
      </c>
      <c r="C78" s="558" t="s">
        <v>266</v>
      </c>
      <c r="D78" s="268">
        <v>2633</v>
      </c>
      <c r="E78" s="266">
        <v>2574</v>
      </c>
      <c r="F78" s="266">
        <v>2673</v>
      </c>
      <c r="G78" s="268">
        <v>2895</v>
      </c>
      <c r="H78" s="268">
        <v>2751</v>
      </c>
      <c r="I78" s="268">
        <v>2720</v>
      </c>
    </row>
    <row r="79" spans="1:9" x14ac:dyDescent="0.25">
      <c r="A79" s="502" t="s">
        <v>158</v>
      </c>
      <c r="B79" s="503" t="s">
        <v>159</v>
      </c>
      <c r="C79" s="558" t="s">
        <v>264</v>
      </c>
      <c r="D79" s="268">
        <v>62155</v>
      </c>
      <c r="E79" s="266">
        <v>62878</v>
      </c>
      <c r="F79" s="266">
        <v>62139</v>
      </c>
      <c r="G79" s="268">
        <v>62063</v>
      </c>
      <c r="H79" s="268">
        <v>60417</v>
      </c>
      <c r="I79" s="268">
        <v>60647</v>
      </c>
    </row>
    <row r="80" spans="1:9" x14ac:dyDescent="0.25">
      <c r="A80" s="502" t="s">
        <v>160</v>
      </c>
      <c r="B80" s="503" t="s">
        <v>161</v>
      </c>
      <c r="C80" s="558" t="s">
        <v>264</v>
      </c>
      <c r="D80" s="268">
        <v>82024</v>
      </c>
      <c r="E80" s="266">
        <v>82713</v>
      </c>
      <c r="F80" s="266">
        <v>81560</v>
      </c>
      <c r="G80" s="268">
        <v>80496</v>
      </c>
      <c r="H80" s="268">
        <v>76671</v>
      </c>
      <c r="I80" s="268">
        <v>74664</v>
      </c>
    </row>
    <row r="81" spans="1:9" x14ac:dyDescent="0.25">
      <c r="A81" s="502" t="s">
        <v>162</v>
      </c>
      <c r="B81" s="503" t="s">
        <v>163</v>
      </c>
      <c r="C81" s="558" t="s">
        <v>264</v>
      </c>
      <c r="D81" s="268">
        <v>5141</v>
      </c>
      <c r="E81" s="266">
        <v>5107</v>
      </c>
      <c r="F81" s="266">
        <v>5018</v>
      </c>
      <c r="G81" s="268">
        <v>4901</v>
      </c>
      <c r="H81" s="268">
        <v>4627</v>
      </c>
      <c r="I81" s="268">
        <v>4590</v>
      </c>
    </row>
    <row r="82" spans="1:9" x14ac:dyDescent="0.25">
      <c r="A82" s="502" t="s">
        <v>164</v>
      </c>
      <c r="B82" s="503" t="s">
        <v>165</v>
      </c>
      <c r="C82" s="558" t="s">
        <v>266</v>
      </c>
      <c r="D82" s="268">
        <v>3134</v>
      </c>
      <c r="E82" s="266">
        <v>3243</v>
      </c>
      <c r="F82" s="266">
        <v>3293</v>
      </c>
      <c r="G82" s="268">
        <v>3295</v>
      </c>
      <c r="H82" s="268">
        <v>3143</v>
      </c>
      <c r="I82" s="268">
        <v>3088</v>
      </c>
    </row>
    <row r="83" spans="1:9" x14ac:dyDescent="0.25">
      <c r="A83" s="502" t="s">
        <v>166</v>
      </c>
      <c r="B83" s="503" t="s">
        <v>167</v>
      </c>
      <c r="C83" s="558" t="s">
        <v>268</v>
      </c>
      <c r="D83" s="268">
        <v>1937</v>
      </c>
      <c r="E83" s="266">
        <v>1958</v>
      </c>
      <c r="F83" s="266">
        <v>1853</v>
      </c>
      <c r="G83" s="268">
        <v>1846</v>
      </c>
      <c r="H83" s="268">
        <v>1847</v>
      </c>
      <c r="I83" s="268">
        <v>1770</v>
      </c>
    </row>
    <row r="84" spans="1:9" x14ac:dyDescent="0.25">
      <c r="A84" s="502" t="s">
        <v>168</v>
      </c>
      <c r="B84" s="503" t="s">
        <v>169</v>
      </c>
      <c r="C84" s="558" t="s">
        <v>266</v>
      </c>
      <c r="D84" s="268">
        <v>5829</v>
      </c>
      <c r="E84" s="266">
        <v>5891</v>
      </c>
      <c r="F84" s="266">
        <v>5834</v>
      </c>
      <c r="G84" s="268">
        <v>5715</v>
      </c>
      <c r="H84" s="268">
        <v>5587</v>
      </c>
      <c r="I84" s="268">
        <v>5481</v>
      </c>
    </row>
    <row r="85" spans="1:9" x14ac:dyDescent="0.25">
      <c r="A85" s="502" t="s">
        <v>170</v>
      </c>
      <c r="B85" s="503" t="s">
        <v>171</v>
      </c>
      <c r="C85" s="558" t="s">
        <v>267</v>
      </c>
      <c r="D85" s="268">
        <v>7363</v>
      </c>
      <c r="E85" s="266">
        <v>7412</v>
      </c>
      <c r="F85" s="266">
        <v>7600</v>
      </c>
      <c r="G85" s="268">
        <v>7782</v>
      </c>
      <c r="H85" s="268">
        <v>7271</v>
      </c>
      <c r="I85" s="268">
        <v>7410</v>
      </c>
    </row>
    <row r="86" spans="1:9" x14ac:dyDescent="0.25">
      <c r="A86" s="502" t="s">
        <v>172</v>
      </c>
      <c r="B86" s="503" t="s">
        <v>173</v>
      </c>
      <c r="C86" s="558" t="s">
        <v>267</v>
      </c>
      <c r="D86" s="268">
        <v>7420</v>
      </c>
      <c r="E86" s="266">
        <v>7267</v>
      </c>
      <c r="F86" s="266">
        <v>7203</v>
      </c>
      <c r="G86" s="268">
        <v>7239</v>
      </c>
      <c r="H86" s="268">
        <v>6803</v>
      </c>
      <c r="I86" s="268">
        <v>6579</v>
      </c>
    </row>
    <row r="87" spans="1:9" x14ac:dyDescent="0.25">
      <c r="A87" s="502" t="s">
        <v>174</v>
      </c>
      <c r="B87" s="503" t="s">
        <v>175</v>
      </c>
      <c r="C87" s="558" t="s">
        <v>268</v>
      </c>
      <c r="D87" s="268">
        <v>6385</v>
      </c>
      <c r="E87" s="266">
        <v>6134</v>
      </c>
      <c r="F87" s="266">
        <v>6080</v>
      </c>
      <c r="G87" s="268">
        <v>5909</v>
      </c>
      <c r="H87" s="268">
        <v>5790</v>
      </c>
      <c r="I87" s="268">
        <v>5690</v>
      </c>
    </row>
    <row r="88" spans="1:9" x14ac:dyDescent="0.25">
      <c r="A88" s="502" t="s">
        <v>176</v>
      </c>
      <c r="B88" s="503" t="s">
        <v>177</v>
      </c>
      <c r="C88" s="558" t="s">
        <v>266</v>
      </c>
      <c r="D88" s="268">
        <v>18042</v>
      </c>
      <c r="E88" s="266">
        <v>18136</v>
      </c>
      <c r="F88" s="266">
        <v>18141</v>
      </c>
      <c r="G88" s="268">
        <v>18586</v>
      </c>
      <c r="H88" s="268">
        <v>17869</v>
      </c>
      <c r="I88" s="268">
        <v>18248</v>
      </c>
    </row>
    <row r="89" spans="1:9" x14ac:dyDescent="0.25">
      <c r="A89" s="502" t="s">
        <v>178</v>
      </c>
      <c r="B89" s="503" t="s">
        <v>179</v>
      </c>
      <c r="C89" s="558" t="s">
        <v>265</v>
      </c>
      <c r="D89" s="268">
        <v>18959</v>
      </c>
      <c r="E89" s="266">
        <v>19162</v>
      </c>
      <c r="F89" s="266">
        <v>19307</v>
      </c>
      <c r="G89" s="268">
        <v>18980</v>
      </c>
      <c r="H89" s="268">
        <v>18250</v>
      </c>
      <c r="I89" s="268">
        <v>18492</v>
      </c>
    </row>
    <row r="90" spans="1:9" x14ac:dyDescent="0.25">
      <c r="A90" s="502" t="s">
        <v>180</v>
      </c>
      <c r="B90" s="503" t="s">
        <v>181</v>
      </c>
      <c r="C90" s="558" t="s">
        <v>264</v>
      </c>
      <c r="D90" s="268">
        <v>39686</v>
      </c>
      <c r="E90" s="266">
        <v>40053</v>
      </c>
      <c r="F90" s="266">
        <v>39352</v>
      </c>
      <c r="G90" s="268">
        <v>39436</v>
      </c>
      <c r="H90" s="268">
        <v>38987</v>
      </c>
      <c r="I90" s="268">
        <v>38832</v>
      </c>
    </row>
    <row r="91" spans="1:9" x14ac:dyDescent="0.25">
      <c r="A91" s="502" t="s">
        <v>182</v>
      </c>
      <c r="B91" s="503" t="s">
        <v>183</v>
      </c>
      <c r="C91" s="558" t="s">
        <v>266</v>
      </c>
      <c r="D91" s="268">
        <v>3257</v>
      </c>
      <c r="E91" s="266">
        <v>3216</v>
      </c>
      <c r="F91" s="266">
        <v>3242</v>
      </c>
      <c r="G91" s="268">
        <v>3223</v>
      </c>
      <c r="H91" s="268">
        <v>3092</v>
      </c>
      <c r="I91" s="268">
        <v>3091</v>
      </c>
    </row>
    <row r="92" spans="1:9" x14ac:dyDescent="0.25">
      <c r="A92" s="502" t="s">
        <v>184</v>
      </c>
      <c r="B92" s="503" t="s">
        <v>185</v>
      </c>
      <c r="C92" s="558" t="s">
        <v>266</v>
      </c>
      <c r="D92" s="268">
        <v>6676</v>
      </c>
      <c r="E92" s="266">
        <v>6672</v>
      </c>
      <c r="F92" s="266">
        <v>6582</v>
      </c>
      <c r="G92" s="268">
        <v>6502</v>
      </c>
      <c r="H92" s="268">
        <v>6261</v>
      </c>
      <c r="I92" s="268">
        <v>6181</v>
      </c>
    </row>
    <row r="93" spans="1:9" x14ac:dyDescent="0.25">
      <c r="A93" s="502" t="s">
        <v>186</v>
      </c>
      <c r="B93" s="503" t="s">
        <v>187</v>
      </c>
      <c r="C93" s="558" t="s">
        <v>264</v>
      </c>
      <c r="D93" s="268">
        <v>5797</v>
      </c>
      <c r="E93" s="266">
        <v>6063</v>
      </c>
      <c r="F93" s="266">
        <v>6309</v>
      </c>
      <c r="G93" s="268">
        <v>6806</v>
      </c>
      <c r="H93" s="268">
        <v>6889</v>
      </c>
      <c r="I93" s="268">
        <v>6812</v>
      </c>
    </row>
    <row r="94" spans="1:9" x14ac:dyDescent="0.25">
      <c r="A94" s="502" t="s">
        <v>188</v>
      </c>
      <c r="B94" s="503" t="s">
        <v>189</v>
      </c>
      <c r="C94" s="558" t="s">
        <v>267</v>
      </c>
      <c r="D94" s="268">
        <v>68261</v>
      </c>
      <c r="E94" s="266">
        <v>70147</v>
      </c>
      <c r="F94" s="266">
        <v>71876</v>
      </c>
      <c r="G94" s="268">
        <v>75104</v>
      </c>
      <c r="H94" s="268">
        <v>73616</v>
      </c>
      <c r="I94" s="268">
        <v>76526</v>
      </c>
    </row>
    <row r="95" spans="1:9" x14ac:dyDescent="0.25">
      <c r="A95" s="502" t="s">
        <v>190</v>
      </c>
      <c r="B95" s="503" t="s">
        <v>191</v>
      </c>
      <c r="C95" s="558" t="s">
        <v>268</v>
      </c>
      <c r="D95" s="268">
        <v>10785</v>
      </c>
      <c r="E95" s="266">
        <v>10632</v>
      </c>
      <c r="F95" s="266">
        <v>10495</v>
      </c>
      <c r="G95" s="268">
        <v>10195</v>
      </c>
      <c r="H95" s="268">
        <v>10171</v>
      </c>
      <c r="I95" s="268">
        <v>10225</v>
      </c>
    </row>
    <row r="96" spans="1:9" x14ac:dyDescent="0.25">
      <c r="A96" s="502" t="s">
        <v>192</v>
      </c>
      <c r="B96" s="503" t="s">
        <v>193</v>
      </c>
      <c r="C96" s="558" t="s">
        <v>268</v>
      </c>
      <c r="D96" s="268">
        <v>3315</v>
      </c>
      <c r="E96" s="266">
        <v>3364</v>
      </c>
      <c r="F96" s="266">
        <v>3348</v>
      </c>
      <c r="G96" s="268">
        <v>3293</v>
      </c>
      <c r="H96" s="268">
        <v>3186</v>
      </c>
      <c r="I96" s="268">
        <v>2995</v>
      </c>
    </row>
    <row r="97" spans="1:9" x14ac:dyDescent="0.25">
      <c r="A97" s="502" t="s">
        <v>194</v>
      </c>
      <c r="B97" s="503" t="s">
        <v>195</v>
      </c>
      <c r="C97" s="558" t="s">
        <v>267</v>
      </c>
      <c r="D97" s="268">
        <v>1339</v>
      </c>
      <c r="E97" s="266">
        <v>1220</v>
      </c>
      <c r="F97" s="266">
        <v>1168</v>
      </c>
      <c r="G97" s="268">
        <v>1142</v>
      </c>
      <c r="H97" s="268">
        <v>1147</v>
      </c>
      <c r="I97" s="268">
        <v>1126</v>
      </c>
    </row>
    <row r="98" spans="1:9" x14ac:dyDescent="0.25">
      <c r="A98" s="502" t="s">
        <v>196</v>
      </c>
      <c r="B98" s="503" t="s">
        <v>197</v>
      </c>
      <c r="C98" s="558" t="s">
        <v>266</v>
      </c>
      <c r="D98" s="268">
        <v>85814</v>
      </c>
      <c r="E98" s="266">
        <v>86013</v>
      </c>
      <c r="F98" s="266">
        <v>84169</v>
      </c>
      <c r="G98" s="268">
        <v>85133</v>
      </c>
      <c r="H98" s="268">
        <v>81169</v>
      </c>
      <c r="I98" s="268">
        <v>78164</v>
      </c>
    </row>
    <row r="99" spans="1:9" x14ac:dyDescent="0.25">
      <c r="A99" s="502" t="s">
        <v>198</v>
      </c>
      <c r="B99" s="503" t="s">
        <v>272</v>
      </c>
      <c r="C99" s="558" t="s">
        <v>266</v>
      </c>
      <c r="D99" s="268">
        <v>2695</v>
      </c>
      <c r="E99" s="266">
        <v>2764</v>
      </c>
      <c r="F99" s="266">
        <v>2759</v>
      </c>
      <c r="G99" s="268">
        <v>2822</v>
      </c>
      <c r="H99" s="268">
        <v>2800</v>
      </c>
      <c r="I99" s="268">
        <v>2640</v>
      </c>
    </row>
    <row r="100" spans="1:9" x14ac:dyDescent="0.25">
      <c r="A100" s="502" t="s">
        <v>200</v>
      </c>
      <c r="B100" s="503" t="s">
        <v>201</v>
      </c>
      <c r="C100" s="558" t="s">
        <v>265</v>
      </c>
      <c r="D100" s="268">
        <v>41281</v>
      </c>
      <c r="E100" s="266">
        <v>42181</v>
      </c>
      <c r="F100" s="266">
        <v>41906</v>
      </c>
      <c r="G100" s="268">
        <v>40913</v>
      </c>
      <c r="H100" s="268">
        <v>38894</v>
      </c>
      <c r="I100" s="268">
        <v>39449</v>
      </c>
    </row>
    <row r="101" spans="1:9" x14ac:dyDescent="0.25">
      <c r="A101" s="502" t="s">
        <v>202</v>
      </c>
      <c r="B101" s="503" t="s">
        <v>301</v>
      </c>
      <c r="C101" s="558" t="s">
        <v>265</v>
      </c>
      <c r="D101" s="268">
        <v>18316</v>
      </c>
      <c r="E101" s="266">
        <v>18616</v>
      </c>
      <c r="F101" s="266">
        <v>19049</v>
      </c>
      <c r="G101" s="268">
        <v>19129</v>
      </c>
      <c r="H101" s="268">
        <v>18109</v>
      </c>
      <c r="I101" s="268">
        <v>18386</v>
      </c>
    </row>
    <row r="102" spans="1:9" x14ac:dyDescent="0.25">
      <c r="A102" s="502" t="s">
        <v>204</v>
      </c>
      <c r="B102" s="503" t="s">
        <v>293</v>
      </c>
      <c r="C102" s="558" t="s">
        <v>265</v>
      </c>
      <c r="D102" s="268">
        <v>8270</v>
      </c>
      <c r="E102" s="266">
        <v>8637</v>
      </c>
      <c r="F102" s="266">
        <v>8434</v>
      </c>
      <c r="G102" s="268">
        <v>8777</v>
      </c>
      <c r="H102" s="268">
        <v>8739</v>
      </c>
      <c r="I102" s="268">
        <v>8558</v>
      </c>
    </row>
    <row r="103" spans="1:9" x14ac:dyDescent="0.25">
      <c r="A103" s="502" t="s">
        <v>206</v>
      </c>
      <c r="B103" s="503" t="s">
        <v>294</v>
      </c>
      <c r="C103" s="558" t="s">
        <v>267</v>
      </c>
      <c r="D103" s="268">
        <v>25011</v>
      </c>
      <c r="E103" s="266">
        <v>26119</v>
      </c>
      <c r="F103" s="266">
        <v>25289</v>
      </c>
      <c r="G103" s="268">
        <v>25840</v>
      </c>
      <c r="H103" s="268">
        <v>25717</v>
      </c>
      <c r="I103" s="268">
        <v>26086</v>
      </c>
    </row>
    <row r="104" spans="1:9" x14ac:dyDescent="0.25">
      <c r="A104" s="502" t="s">
        <v>208</v>
      </c>
      <c r="B104" s="503" t="s">
        <v>209</v>
      </c>
      <c r="C104" s="558" t="s">
        <v>268</v>
      </c>
      <c r="D104" s="268">
        <v>10453</v>
      </c>
      <c r="E104" s="266">
        <v>10437</v>
      </c>
      <c r="F104" s="266">
        <v>10541</v>
      </c>
      <c r="G104" s="268">
        <v>10312</v>
      </c>
      <c r="H104" s="268">
        <v>10167</v>
      </c>
      <c r="I104" s="268">
        <v>9972</v>
      </c>
    </row>
    <row r="105" spans="1:9" x14ac:dyDescent="0.25">
      <c r="A105" s="502" t="s">
        <v>210</v>
      </c>
      <c r="B105" s="503" t="s">
        <v>211</v>
      </c>
      <c r="C105" s="558" t="s">
        <v>268</v>
      </c>
      <c r="D105" s="268">
        <v>7631</v>
      </c>
      <c r="E105" s="266">
        <v>7679</v>
      </c>
      <c r="F105" s="266">
        <v>7512</v>
      </c>
      <c r="G105" s="268">
        <v>7550</v>
      </c>
      <c r="H105" s="268">
        <v>7343</v>
      </c>
      <c r="I105" s="268">
        <v>7183</v>
      </c>
    </row>
    <row r="106" spans="1:9" x14ac:dyDescent="0.25">
      <c r="A106" s="502" t="s">
        <v>212</v>
      </c>
      <c r="B106" s="503" t="s">
        <v>213</v>
      </c>
      <c r="C106" s="558" t="s">
        <v>267</v>
      </c>
      <c r="D106" s="268">
        <v>10588</v>
      </c>
      <c r="E106" s="266">
        <v>10538</v>
      </c>
      <c r="F106" s="266">
        <v>10464</v>
      </c>
      <c r="G106" s="268">
        <v>10535</v>
      </c>
      <c r="H106" s="268">
        <v>10138</v>
      </c>
      <c r="I106" s="268">
        <v>10219</v>
      </c>
    </row>
    <row r="107" spans="1:9" x14ac:dyDescent="0.25">
      <c r="A107" s="502" t="s">
        <v>214</v>
      </c>
      <c r="B107" s="503" t="s">
        <v>215</v>
      </c>
      <c r="C107" s="558" t="s">
        <v>268</v>
      </c>
      <c r="D107" s="268">
        <v>11631</v>
      </c>
      <c r="E107" s="266">
        <v>11538</v>
      </c>
      <c r="F107" s="266">
        <v>11300</v>
      </c>
      <c r="G107" s="268">
        <v>11167</v>
      </c>
      <c r="H107" s="268">
        <v>10926</v>
      </c>
      <c r="I107" s="268">
        <v>10833</v>
      </c>
    </row>
    <row r="108" spans="1:9" x14ac:dyDescent="0.25">
      <c r="A108" s="502" t="s">
        <v>216</v>
      </c>
      <c r="B108" s="503" t="s">
        <v>217</v>
      </c>
      <c r="C108" s="558" t="s">
        <v>264</v>
      </c>
      <c r="D108" s="268">
        <v>5436</v>
      </c>
      <c r="E108" s="266">
        <v>5445</v>
      </c>
      <c r="F108" s="266">
        <v>5387</v>
      </c>
      <c r="G108" s="268">
        <v>5308</v>
      </c>
      <c r="H108" s="268">
        <v>5250</v>
      </c>
      <c r="I108" s="268">
        <v>5149</v>
      </c>
    </row>
    <row r="109" spans="1:9" x14ac:dyDescent="0.25">
      <c r="A109" s="502" t="s">
        <v>218</v>
      </c>
      <c r="B109" s="503" t="s">
        <v>219</v>
      </c>
      <c r="C109" s="558" t="s">
        <v>267</v>
      </c>
      <c r="D109" s="268">
        <v>24001</v>
      </c>
      <c r="E109" s="266">
        <v>24667</v>
      </c>
      <c r="F109" s="266">
        <v>25229</v>
      </c>
      <c r="G109" s="268">
        <v>26493</v>
      </c>
      <c r="H109" s="268">
        <v>25786</v>
      </c>
      <c r="I109" s="268">
        <v>26266</v>
      </c>
    </row>
    <row r="110" spans="1:9" x14ac:dyDescent="0.25">
      <c r="A110" s="502" t="s">
        <v>220</v>
      </c>
      <c r="B110" s="503" t="s">
        <v>221</v>
      </c>
      <c r="C110" s="558" t="s">
        <v>267</v>
      </c>
      <c r="D110" s="268">
        <v>19785</v>
      </c>
      <c r="E110" s="266">
        <v>20310</v>
      </c>
      <c r="F110" s="266">
        <v>20951</v>
      </c>
      <c r="G110" s="268">
        <v>22369</v>
      </c>
      <c r="H110" s="268">
        <v>21549</v>
      </c>
      <c r="I110" s="268">
        <v>22209</v>
      </c>
    </row>
    <row r="111" spans="1:9" x14ac:dyDescent="0.25">
      <c r="A111" s="502" t="s">
        <v>222</v>
      </c>
      <c r="B111" s="503" t="s">
        <v>223</v>
      </c>
      <c r="C111" s="558" t="s">
        <v>264</v>
      </c>
      <c r="D111" s="268">
        <v>22307</v>
      </c>
      <c r="E111" s="266">
        <v>22580</v>
      </c>
      <c r="F111" s="266">
        <v>22499</v>
      </c>
      <c r="G111" s="268">
        <v>22290</v>
      </c>
      <c r="H111" s="268">
        <v>21801</v>
      </c>
      <c r="I111" s="268">
        <v>21740</v>
      </c>
    </row>
    <row r="112" spans="1:9" x14ac:dyDescent="0.25">
      <c r="A112" s="502" t="s">
        <v>224</v>
      </c>
      <c r="B112" s="503" t="s">
        <v>225</v>
      </c>
      <c r="C112" s="558" t="s">
        <v>264</v>
      </c>
      <c r="D112" s="268">
        <v>1941</v>
      </c>
      <c r="E112" s="266">
        <v>1943</v>
      </c>
      <c r="F112" s="266">
        <v>1862</v>
      </c>
      <c r="G112" s="268">
        <v>1878</v>
      </c>
      <c r="H112" s="268">
        <v>1820</v>
      </c>
      <c r="I112" s="268">
        <v>1741</v>
      </c>
    </row>
    <row r="113" spans="1:9" x14ac:dyDescent="0.25">
      <c r="A113" s="502" t="s">
        <v>226</v>
      </c>
      <c r="B113" s="503" t="s">
        <v>227</v>
      </c>
      <c r="C113" s="558" t="s">
        <v>264</v>
      </c>
      <c r="D113" s="268">
        <v>3568</v>
      </c>
      <c r="E113" s="266">
        <v>3573</v>
      </c>
      <c r="F113" s="266">
        <v>3576</v>
      </c>
      <c r="G113" s="268">
        <v>3594</v>
      </c>
      <c r="H113" s="268">
        <v>3426</v>
      </c>
      <c r="I113" s="268">
        <v>3296</v>
      </c>
    </row>
    <row r="114" spans="1:9" x14ac:dyDescent="0.25">
      <c r="A114" s="502" t="s">
        <v>228</v>
      </c>
      <c r="B114" s="503" t="s">
        <v>229</v>
      </c>
      <c r="C114" s="558" t="s">
        <v>268</v>
      </c>
      <c r="D114" s="268">
        <v>14524</v>
      </c>
      <c r="E114" s="266">
        <v>14954</v>
      </c>
      <c r="F114" s="266">
        <v>15117</v>
      </c>
      <c r="G114" s="268">
        <v>15152</v>
      </c>
      <c r="H114" s="268">
        <v>14939</v>
      </c>
      <c r="I114" s="268">
        <v>14783</v>
      </c>
    </row>
    <row r="115" spans="1:9" x14ac:dyDescent="0.25">
      <c r="A115" s="502" t="s">
        <v>230</v>
      </c>
      <c r="B115" s="503" t="s">
        <v>231</v>
      </c>
      <c r="C115" s="558" t="s">
        <v>264</v>
      </c>
      <c r="D115" s="268">
        <v>71704</v>
      </c>
      <c r="E115" s="266">
        <v>72469</v>
      </c>
      <c r="F115" s="266">
        <v>74562</v>
      </c>
      <c r="G115" s="268">
        <v>75246</v>
      </c>
      <c r="H115" s="268">
        <v>71248</v>
      </c>
      <c r="I115" s="268">
        <v>72252</v>
      </c>
    </row>
    <row r="116" spans="1:9" x14ac:dyDescent="0.25">
      <c r="A116" s="502" t="s">
        <v>232</v>
      </c>
      <c r="B116" s="503" t="s">
        <v>233</v>
      </c>
      <c r="C116" s="558" t="s">
        <v>267</v>
      </c>
      <c r="D116" s="268">
        <v>9529</v>
      </c>
      <c r="E116" s="266">
        <v>9501</v>
      </c>
      <c r="F116" s="266">
        <v>9417</v>
      </c>
      <c r="G116" s="268">
        <v>9644</v>
      </c>
      <c r="H116" s="268">
        <v>8973</v>
      </c>
      <c r="I116" s="268">
        <v>9073</v>
      </c>
    </row>
    <row r="117" spans="1:9" x14ac:dyDescent="0.25">
      <c r="A117" s="502" t="s">
        <v>234</v>
      </c>
      <c r="B117" s="503" t="s">
        <v>235</v>
      </c>
      <c r="C117" s="558" t="s">
        <v>268</v>
      </c>
      <c r="D117" s="268">
        <v>14745</v>
      </c>
      <c r="E117" s="266">
        <v>14727</v>
      </c>
      <c r="F117" s="266">
        <v>14777</v>
      </c>
      <c r="G117" s="268">
        <v>14732</v>
      </c>
      <c r="H117" s="268">
        <v>14334</v>
      </c>
      <c r="I117" s="268">
        <v>14323</v>
      </c>
    </row>
    <row r="118" spans="1:9" x14ac:dyDescent="0.25">
      <c r="A118" s="502" t="s">
        <v>236</v>
      </c>
      <c r="B118" s="503" t="s">
        <v>237</v>
      </c>
      <c r="C118" s="558" t="s">
        <v>266</v>
      </c>
      <c r="D118" s="268">
        <v>5867</v>
      </c>
      <c r="E118" s="266">
        <v>5799</v>
      </c>
      <c r="F118" s="266">
        <v>5839</v>
      </c>
      <c r="G118" s="268">
        <v>6023</v>
      </c>
      <c r="H118" s="268">
        <v>5886</v>
      </c>
      <c r="I118" s="268">
        <v>5897</v>
      </c>
    </row>
    <row r="119" spans="1:9" x14ac:dyDescent="0.25">
      <c r="A119" s="502" t="s">
        <v>238</v>
      </c>
      <c r="B119" s="503" t="s">
        <v>239</v>
      </c>
      <c r="C119" s="558" t="s">
        <v>264</v>
      </c>
      <c r="D119" s="268">
        <v>2376</v>
      </c>
      <c r="E119" s="266">
        <v>2520</v>
      </c>
      <c r="F119" s="266">
        <v>2468</v>
      </c>
      <c r="G119" s="268">
        <v>2438</v>
      </c>
      <c r="H119" s="268">
        <v>2316</v>
      </c>
      <c r="I119" s="268">
        <v>2505</v>
      </c>
    </row>
    <row r="120" spans="1:9" x14ac:dyDescent="0.25">
      <c r="A120" s="502" t="s">
        <v>240</v>
      </c>
      <c r="B120" s="503" t="s">
        <v>241</v>
      </c>
      <c r="C120" s="558" t="s">
        <v>267</v>
      </c>
      <c r="D120" s="268">
        <v>8916</v>
      </c>
      <c r="E120" s="266">
        <v>8858</v>
      </c>
      <c r="F120" s="266">
        <v>8761</v>
      </c>
      <c r="G120" s="268">
        <v>8793</v>
      </c>
      <c r="H120" s="268">
        <v>8706</v>
      </c>
      <c r="I120" s="268">
        <v>8333</v>
      </c>
    </row>
    <row r="121" spans="1:9" x14ac:dyDescent="0.25">
      <c r="A121" s="502" t="s">
        <v>242</v>
      </c>
      <c r="B121" s="503" t="s">
        <v>243</v>
      </c>
      <c r="C121" s="558" t="s">
        <v>268</v>
      </c>
      <c r="D121" s="268">
        <v>15588</v>
      </c>
      <c r="E121" s="266">
        <v>15945</v>
      </c>
      <c r="F121" s="266">
        <v>15633</v>
      </c>
      <c r="G121" s="268">
        <v>15158</v>
      </c>
      <c r="H121" s="268">
        <v>15151</v>
      </c>
      <c r="I121" s="268">
        <v>14775</v>
      </c>
    </row>
    <row r="122" spans="1:9" x14ac:dyDescent="0.25">
      <c r="A122" s="504" t="s">
        <v>244</v>
      </c>
      <c r="B122" s="503" t="s">
        <v>245</v>
      </c>
      <c r="C122" s="558" t="s">
        <v>268</v>
      </c>
      <c r="D122" s="268">
        <v>8918</v>
      </c>
      <c r="E122" s="266">
        <v>8761</v>
      </c>
      <c r="F122" s="266">
        <v>8677</v>
      </c>
      <c r="G122" s="268">
        <v>8467</v>
      </c>
      <c r="H122" s="268">
        <v>8257</v>
      </c>
      <c r="I122" s="268">
        <v>8260</v>
      </c>
    </row>
    <row r="123" spans="1:9" x14ac:dyDescent="0.25">
      <c r="A123" s="502" t="s">
        <v>246</v>
      </c>
      <c r="B123" s="503" t="s">
        <v>247</v>
      </c>
      <c r="C123" s="558" t="s">
        <v>264</v>
      </c>
      <c r="D123" s="268">
        <v>7415</v>
      </c>
      <c r="E123" s="266">
        <v>7682</v>
      </c>
      <c r="F123" s="266">
        <v>7738</v>
      </c>
      <c r="G123" s="268">
        <v>8049</v>
      </c>
      <c r="H123" s="268">
        <v>7706</v>
      </c>
      <c r="I123" s="268">
        <v>7795</v>
      </c>
    </row>
    <row r="125" spans="1:9" s="505" customFormat="1" x14ac:dyDescent="0.25">
      <c r="A125" s="2737" t="s">
        <v>1414</v>
      </c>
      <c r="B125" s="2737"/>
      <c r="C125" s="2737"/>
      <c r="D125" s="2737"/>
      <c r="E125" s="2737"/>
      <c r="F125" s="2737"/>
      <c r="G125" s="2737"/>
      <c r="H125" s="2737"/>
      <c r="I125" s="2403"/>
    </row>
    <row r="126" spans="1:9" s="505" customFormat="1" x14ac:dyDescent="0.25">
      <c r="A126" s="2737"/>
      <c r="B126" s="2737"/>
      <c r="C126" s="2737"/>
      <c r="D126" s="2737"/>
      <c r="E126" s="2737"/>
      <c r="F126" s="2737"/>
      <c r="G126" s="2737"/>
      <c r="H126" s="2737"/>
      <c r="I126" s="2403"/>
    </row>
    <row r="127" spans="1:9" s="505" customFormat="1" ht="34.5" customHeight="1" x14ac:dyDescent="0.25">
      <c r="A127" s="2737"/>
      <c r="B127" s="2737"/>
      <c r="C127" s="2737"/>
      <c r="D127" s="2737"/>
      <c r="E127" s="2737"/>
      <c r="F127" s="2737"/>
      <c r="G127" s="2737"/>
      <c r="H127" s="2737"/>
      <c r="I127" s="2403"/>
    </row>
    <row r="128" spans="1:9" s="505" customFormat="1" x14ac:dyDescent="0.25">
      <c r="A128" s="535"/>
      <c r="B128" s="535"/>
      <c r="C128" s="535"/>
      <c r="D128" s="535"/>
      <c r="E128" s="535"/>
      <c r="F128" s="999"/>
    </row>
    <row r="129" spans="1:3" s="389" customFormat="1" x14ac:dyDescent="0.25">
      <c r="A129" s="389" t="s">
        <v>248</v>
      </c>
    </row>
    <row r="130" spans="1:3" s="389" customFormat="1" x14ac:dyDescent="0.25">
      <c r="A130" s="390" t="s">
        <v>249</v>
      </c>
      <c r="B130" s="391" t="s">
        <v>250</v>
      </c>
      <c r="C130" s="391"/>
    </row>
  </sheetData>
  <autoFilter ref="A3:C3"/>
  <sortState ref="A4:I123">
    <sortCondition ref="B4:B123"/>
  </sortState>
  <mergeCells count="1">
    <mergeCell ref="A125:H127"/>
  </mergeCells>
  <hyperlinks>
    <hyperlink ref="B130" r:id="rId1"/>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130"/>
  <sheetViews>
    <sheetView workbookViewId="0">
      <selection activeCell="A3" sqref="A3:G123"/>
    </sheetView>
  </sheetViews>
  <sheetFormatPr defaultRowHeight="15.75" x14ac:dyDescent="0.25"/>
  <cols>
    <col min="1" max="1" width="9" style="265"/>
    <col min="2" max="2" width="34.375" style="265" customWidth="1"/>
    <col min="3" max="3" width="15" style="265" customWidth="1"/>
    <col min="4" max="4" width="11.375" style="265" customWidth="1"/>
    <col min="5" max="5" width="12.625" style="265" bestFit="1" customWidth="1"/>
    <col min="6" max="7" width="12.625" style="265" customWidth="1"/>
    <col min="8" max="8" width="9" style="265"/>
    <col min="9" max="9" width="9.25" style="265" customWidth="1"/>
    <col min="10" max="16384" width="9" style="265"/>
  </cols>
  <sheetData>
    <row r="1" spans="1:7" x14ac:dyDescent="0.25">
      <c r="A1" s="64" t="s">
        <v>1401</v>
      </c>
    </row>
    <row r="3" spans="1:7" x14ac:dyDescent="0.25">
      <c r="A3" s="64" t="s">
        <v>4</v>
      </c>
      <c r="B3" s="64" t="s">
        <v>5</v>
      </c>
      <c r="C3" s="64" t="s">
        <v>251</v>
      </c>
      <c r="D3" s="64">
        <v>2014</v>
      </c>
      <c r="E3" s="64">
        <v>2015</v>
      </c>
      <c r="F3" s="64">
        <v>2016</v>
      </c>
      <c r="G3" s="64">
        <v>2017</v>
      </c>
    </row>
    <row r="4" spans="1:7" x14ac:dyDescent="0.25">
      <c r="A4" s="502" t="s">
        <v>10</v>
      </c>
      <c r="B4" s="503" t="s">
        <v>11</v>
      </c>
      <c r="C4" s="553" t="s">
        <v>264</v>
      </c>
      <c r="D4" s="266">
        <v>102</v>
      </c>
      <c r="E4" s="2423">
        <v>103</v>
      </c>
      <c r="F4" s="2423">
        <v>59</v>
      </c>
      <c r="G4" s="2423">
        <v>50</v>
      </c>
    </row>
    <row r="5" spans="1:7" x14ac:dyDescent="0.25">
      <c r="A5" s="502" t="s">
        <v>12</v>
      </c>
      <c r="B5" s="503" t="s">
        <v>13</v>
      </c>
      <c r="C5" s="553" t="s">
        <v>265</v>
      </c>
      <c r="D5" s="266">
        <v>338</v>
      </c>
      <c r="E5" s="2423">
        <v>283</v>
      </c>
      <c r="F5" s="2423">
        <v>267</v>
      </c>
      <c r="G5" s="2423">
        <v>253</v>
      </c>
    </row>
    <row r="6" spans="1:7" x14ac:dyDescent="0.25">
      <c r="A6" s="502" t="s">
        <v>16</v>
      </c>
      <c r="B6" s="503" t="s">
        <v>297</v>
      </c>
      <c r="C6" s="553" t="s">
        <v>265</v>
      </c>
      <c r="D6" s="266">
        <v>123</v>
      </c>
      <c r="E6" s="2423">
        <v>103</v>
      </c>
      <c r="F6" s="2423">
        <v>85</v>
      </c>
      <c r="G6" s="2423">
        <v>73</v>
      </c>
    </row>
    <row r="7" spans="1:7" x14ac:dyDescent="0.25">
      <c r="A7" s="502" t="s">
        <v>18</v>
      </c>
      <c r="B7" s="503" t="s">
        <v>19</v>
      </c>
      <c r="C7" s="553" t="s">
        <v>266</v>
      </c>
      <c r="D7" s="266">
        <v>55</v>
      </c>
      <c r="E7" s="2423">
        <v>52</v>
      </c>
      <c r="F7" s="2423">
        <v>36</v>
      </c>
      <c r="G7" s="2423">
        <v>27</v>
      </c>
    </row>
    <row r="8" spans="1:7" x14ac:dyDescent="0.25">
      <c r="A8" s="502" t="s">
        <v>20</v>
      </c>
      <c r="B8" s="503" t="s">
        <v>21</v>
      </c>
      <c r="C8" s="553" t="s">
        <v>265</v>
      </c>
      <c r="D8" s="266">
        <v>215</v>
      </c>
      <c r="E8" s="2423">
        <v>172</v>
      </c>
      <c r="F8" s="2423">
        <v>151</v>
      </c>
      <c r="G8" s="2423">
        <v>144</v>
      </c>
    </row>
    <row r="9" spans="1:7" x14ac:dyDescent="0.25">
      <c r="A9" s="502" t="s">
        <v>22</v>
      </c>
      <c r="B9" s="503" t="s">
        <v>23</v>
      </c>
      <c r="C9" s="553" t="s">
        <v>265</v>
      </c>
      <c r="D9" s="266">
        <v>54</v>
      </c>
      <c r="E9" s="2423">
        <v>50</v>
      </c>
      <c r="F9" s="2423">
        <v>36</v>
      </c>
      <c r="G9" s="2423">
        <v>32</v>
      </c>
    </row>
    <row r="10" spans="1:7" x14ac:dyDescent="0.25">
      <c r="A10" s="502" t="s">
        <v>24</v>
      </c>
      <c r="B10" s="503" t="s">
        <v>25</v>
      </c>
      <c r="C10" s="553" t="s">
        <v>267</v>
      </c>
      <c r="D10" s="266">
        <v>528</v>
      </c>
      <c r="E10" s="2423">
        <v>462</v>
      </c>
      <c r="F10" s="2423">
        <v>416</v>
      </c>
      <c r="G10" s="2423">
        <v>338</v>
      </c>
    </row>
    <row r="11" spans="1:7" x14ac:dyDescent="0.25">
      <c r="A11" s="502" t="s">
        <v>26</v>
      </c>
      <c r="B11" s="503" t="s">
        <v>685</v>
      </c>
      <c r="C11" s="553" t="s">
        <v>265</v>
      </c>
      <c r="D11" s="266">
        <v>654</v>
      </c>
      <c r="E11" s="2423">
        <v>544</v>
      </c>
      <c r="F11" s="2423">
        <v>474</v>
      </c>
      <c r="G11" s="2423">
        <v>413</v>
      </c>
    </row>
    <row r="12" spans="1:7" x14ac:dyDescent="0.25">
      <c r="A12" s="502" t="s">
        <v>27</v>
      </c>
      <c r="B12" s="503" t="s">
        <v>28</v>
      </c>
      <c r="C12" s="558" t="s">
        <v>265</v>
      </c>
      <c r="D12" s="266">
        <v>1</v>
      </c>
      <c r="E12" s="2423">
        <v>1</v>
      </c>
      <c r="F12" s="2423">
        <v>1</v>
      </c>
      <c r="G12" s="2423">
        <v>0</v>
      </c>
    </row>
    <row r="13" spans="1:7" x14ac:dyDescent="0.25">
      <c r="A13" s="502" t="s">
        <v>29</v>
      </c>
      <c r="B13" s="503" t="s">
        <v>901</v>
      </c>
      <c r="C13" s="558" t="s">
        <v>265</v>
      </c>
      <c r="D13" s="266">
        <v>267</v>
      </c>
      <c r="E13" s="2423">
        <v>270</v>
      </c>
      <c r="F13" s="2423">
        <v>212</v>
      </c>
      <c r="G13" s="2423">
        <v>180</v>
      </c>
    </row>
    <row r="14" spans="1:7" x14ac:dyDescent="0.25">
      <c r="A14" s="502" t="s">
        <v>30</v>
      </c>
      <c r="B14" s="503" t="s">
        <v>31</v>
      </c>
      <c r="C14" s="558" t="s">
        <v>268</v>
      </c>
      <c r="D14" s="266">
        <v>10</v>
      </c>
      <c r="E14" s="2423">
        <v>10</v>
      </c>
      <c r="F14" s="2423">
        <v>22</v>
      </c>
      <c r="G14" s="2423">
        <v>22</v>
      </c>
    </row>
    <row r="15" spans="1:7" x14ac:dyDescent="0.25">
      <c r="A15" s="502" t="s">
        <v>32</v>
      </c>
      <c r="B15" s="503" t="s">
        <v>33</v>
      </c>
      <c r="C15" s="558" t="s">
        <v>265</v>
      </c>
      <c r="D15" s="266">
        <v>98</v>
      </c>
      <c r="E15" s="2423">
        <v>102</v>
      </c>
      <c r="F15" s="2423">
        <v>99</v>
      </c>
      <c r="G15" s="2423">
        <v>95</v>
      </c>
    </row>
    <row r="16" spans="1:7" x14ac:dyDescent="0.25">
      <c r="A16" s="502" t="s">
        <v>36</v>
      </c>
      <c r="B16" s="503" t="s">
        <v>37</v>
      </c>
      <c r="C16" s="558" t="s">
        <v>264</v>
      </c>
      <c r="D16" s="266">
        <v>71</v>
      </c>
      <c r="E16" s="2423">
        <v>42</v>
      </c>
      <c r="F16" s="2423">
        <v>35</v>
      </c>
      <c r="G16" s="2423">
        <v>30</v>
      </c>
    </row>
    <row r="17" spans="1:7" x14ac:dyDescent="0.25">
      <c r="A17" s="502" t="s">
        <v>38</v>
      </c>
      <c r="B17" s="503" t="s">
        <v>39</v>
      </c>
      <c r="C17" s="558" t="s">
        <v>268</v>
      </c>
      <c r="D17" s="266">
        <v>10</v>
      </c>
      <c r="E17" s="2423">
        <v>0</v>
      </c>
      <c r="F17" s="2423">
        <v>0</v>
      </c>
      <c r="G17" s="2423">
        <v>1</v>
      </c>
    </row>
    <row r="18" spans="1:7" x14ac:dyDescent="0.25">
      <c r="A18" s="502" t="s">
        <v>40</v>
      </c>
      <c r="B18" s="503" t="s">
        <v>41</v>
      </c>
      <c r="C18" s="558" t="s">
        <v>266</v>
      </c>
      <c r="D18" s="266">
        <v>39</v>
      </c>
      <c r="E18" s="2423">
        <v>36</v>
      </c>
      <c r="F18" s="2423">
        <v>20</v>
      </c>
      <c r="G18" s="2423">
        <v>14</v>
      </c>
    </row>
    <row r="19" spans="1:7" x14ac:dyDescent="0.25">
      <c r="A19" s="502" t="s">
        <v>42</v>
      </c>
      <c r="B19" s="503" t="s">
        <v>43</v>
      </c>
      <c r="C19" s="558" t="s">
        <v>265</v>
      </c>
      <c r="D19" s="266">
        <v>305</v>
      </c>
      <c r="E19" s="2423">
        <v>281</v>
      </c>
      <c r="F19" s="2423">
        <v>234</v>
      </c>
      <c r="G19" s="2423">
        <v>239</v>
      </c>
    </row>
    <row r="20" spans="1:7" x14ac:dyDescent="0.25">
      <c r="A20" s="502" t="s">
        <v>44</v>
      </c>
      <c r="B20" s="503" t="s">
        <v>45</v>
      </c>
      <c r="C20" s="558" t="s">
        <v>266</v>
      </c>
      <c r="D20" s="266">
        <v>161</v>
      </c>
      <c r="E20" s="2423">
        <v>204</v>
      </c>
      <c r="F20" s="2423">
        <v>202</v>
      </c>
      <c r="G20" s="2423">
        <v>180</v>
      </c>
    </row>
    <row r="21" spans="1:7" x14ac:dyDescent="0.25">
      <c r="A21" s="502" t="s">
        <v>46</v>
      </c>
      <c r="B21" s="503" t="s">
        <v>47</v>
      </c>
      <c r="C21" s="558" t="s">
        <v>268</v>
      </c>
      <c r="D21" s="266">
        <v>221</v>
      </c>
      <c r="E21" s="2423">
        <v>238</v>
      </c>
      <c r="F21" s="2423">
        <v>198</v>
      </c>
      <c r="G21" s="2423">
        <v>169</v>
      </c>
    </row>
    <row r="22" spans="1:7" x14ac:dyDescent="0.25">
      <c r="A22" s="502" t="s">
        <v>48</v>
      </c>
      <c r="B22" s="503" t="s">
        <v>269</v>
      </c>
      <c r="C22" s="558" t="s">
        <v>266</v>
      </c>
      <c r="D22" s="266">
        <v>43</v>
      </c>
      <c r="E22" s="2423">
        <v>53</v>
      </c>
      <c r="F22" s="2423">
        <v>44</v>
      </c>
      <c r="G22" s="2423">
        <v>32</v>
      </c>
    </row>
    <row r="23" spans="1:7" x14ac:dyDescent="0.25">
      <c r="A23" s="502" t="s">
        <v>50</v>
      </c>
      <c r="B23" s="503" t="s">
        <v>51</v>
      </c>
      <c r="C23" s="558" t="s">
        <v>265</v>
      </c>
      <c r="D23" s="266">
        <v>26</v>
      </c>
      <c r="E23" s="2423">
        <v>14</v>
      </c>
      <c r="F23" s="2423">
        <v>14</v>
      </c>
      <c r="G23" s="2423">
        <v>11</v>
      </c>
    </row>
    <row r="24" spans="1:7" x14ac:dyDescent="0.25">
      <c r="A24" s="502" t="s">
        <v>56</v>
      </c>
      <c r="B24" s="503" t="s">
        <v>295</v>
      </c>
      <c r="C24" s="558" t="s">
        <v>266</v>
      </c>
      <c r="D24" s="266">
        <v>1010</v>
      </c>
      <c r="E24" s="2423">
        <v>1045</v>
      </c>
      <c r="F24" s="2423">
        <v>895</v>
      </c>
      <c r="G24" s="2423">
        <v>823</v>
      </c>
    </row>
    <row r="25" spans="1:7" x14ac:dyDescent="0.25">
      <c r="A25" s="502" t="s">
        <v>58</v>
      </c>
      <c r="B25" s="503" t="s">
        <v>59</v>
      </c>
      <c r="C25" s="558" t="s">
        <v>267</v>
      </c>
      <c r="D25" s="266">
        <v>45</v>
      </c>
      <c r="E25" s="2423">
        <v>54</v>
      </c>
      <c r="F25" s="2423">
        <v>29</v>
      </c>
      <c r="G25" s="2423">
        <v>19</v>
      </c>
    </row>
    <row r="26" spans="1:7" x14ac:dyDescent="0.25">
      <c r="A26" s="502" t="s">
        <v>60</v>
      </c>
      <c r="B26" s="503" t="s">
        <v>61</v>
      </c>
      <c r="C26" s="558" t="s">
        <v>265</v>
      </c>
      <c r="D26" s="266">
        <v>29</v>
      </c>
      <c r="E26" s="2423">
        <v>48</v>
      </c>
      <c r="F26" s="2423">
        <v>45</v>
      </c>
      <c r="G26" s="2423">
        <v>50</v>
      </c>
    </row>
    <row r="27" spans="1:7" x14ac:dyDescent="0.25">
      <c r="A27" s="502" t="s">
        <v>62</v>
      </c>
      <c r="B27" s="503" t="s">
        <v>63</v>
      </c>
      <c r="C27" s="558" t="s">
        <v>267</v>
      </c>
      <c r="D27" s="266">
        <v>533</v>
      </c>
      <c r="E27" s="2423">
        <v>523</v>
      </c>
      <c r="F27" s="2423">
        <v>511</v>
      </c>
      <c r="G27" s="2423">
        <v>590</v>
      </c>
    </row>
    <row r="28" spans="1:7" x14ac:dyDescent="0.25">
      <c r="A28" s="502" t="s">
        <v>64</v>
      </c>
      <c r="B28" s="503" t="s">
        <v>65</v>
      </c>
      <c r="C28" s="558" t="s">
        <v>266</v>
      </c>
      <c r="D28" s="266">
        <v>50</v>
      </c>
      <c r="E28" s="2423">
        <v>56</v>
      </c>
      <c r="F28" s="2423">
        <v>51</v>
      </c>
      <c r="G28" s="2423">
        <v>24</v>
      </c>
    </row>
    <row r="29" spans="1:7" x14ac:dyDescent="0.25">
      <c r="A29" s="502" t="s">
        <v>68</v>
      </c>
      <c r="B29" s="503" t="s">
        <v>69</v>
      </c>
      <c r="C29" s="558" t="s">
        <v>268</v>
      </c>
      <c r="D29" s="266">
        <v>22</v>
      </c>
      <c r="E29" s="2423">
        <v>30</v>
      </c>
      <c r="F29" s="2423">
        <v>25</v>
      </c>
      <c r="G29" s="2423">
        <v>29</v>
      </c>
    </row>
    <row r="30" spans="1:7" x14ac:dyDescent="0.25">
      <c r="A30" s="502" t="s">
        <v>70</v>
      </c>
      <c r="B30" s="503" t="s">
        <v>71</v>
      </c>
      <c r="C30" s="558" t="s">
        <v>264</v>
      </c>
      <c r="D30" s="266">
        <v>132</v>
      </c>
      <c r="E30" s="2423">
        <v>129</v>
      </c>
      <c r="F30" s="2423">
        <v>72</v>
      </c>
      <c r="G30" s="2423">
        <v>52</v>
      </c>
    </row>
    <row r="31" spans="1:7" x14ac:dyDescent="0.25">
      <c r="A31" s="502" t="s">
        <v>72</v>
      </c>
      <c r="B31" s="503" t="s">
        <v>73</v>
      </c>
      <c r="C31" s="558" t="s">
        <v>266</v>
      </c>
      <c r="D31" s="266">
        <v>155</v>
      </c>
      <c r="E31" s="2423">
        <v>149</v>
      </c>
      <c r="F31" s="2423">
        <v>126</v>
      </c>
      <c r="G31" s="2423">
        <v>98</v>
      </c>
    </row>
    <row r="32" spans="1:7" x14ac:dyDescent="0.25">
      <c r="A32" s="502" t="s">
        <v>74</v>
      </c>
      <c r="B32" s="503" t="s">
        <v>296</v>
      </c>
      <c r="C32" s="558" t="s">
        <v>267</v>
      </c>
      <c r="D32" s="266">
        <v>5259</v>
      </c>
      <c r="E32" s="2423">
        <v>4719</v>
      </c>
      <c r="F32" s="2423">
        <v>3832</v>
      </c>
      <c r="G32" s="2423">
        <v>3705</v>
      </c>
    </row>
    <row r="33" spans="1:7" x14ac:dyDescent="0.25">
      <c r="A33" s="502" t="s">
        <v>76</v>
      </c>
      <c r="B33" s="503" t="s">
        <v>77</v>
      </c>
      <c r="C33" s="558" t="s">
        <v>267</v>
      </c>
      <c r="D33" s="266">
        <v>268</v>
      </c>
      <c r="E33" s="2423">
        <v>241</v>
      </c>
      <c r="F33" s="2423">
        <v>197</v>
      </c>
      <c r="G33" s="2423">
        <v>178</v>
      </c>
    </row>
    <row r="34" spans="1:7" x14ac:dyDescent="0.25">
      <c r="A34" s="502" t="s">
        <v>78</v>
      </c>
      <c r="B34" s="503" t="s">
        <v>79</v>
      </c>
      <c r="C34" s="558" t="s">
        <v>268</v>
      </c>
      <c r="D34" s="266">
        <v>25</v>
      </c>
      <c r="E34" s="2423">
        <v>16</v>
      </c>
      <c r="F34" s="2423">
        <v>15</v>
      </c>
      <c r="G34" s="2423">
        <v>6</v>
      </c>
    </row>
    <row r="35" spans="1:7" x14ac:dyDescent="0.25">
      <c r="A35" s="502" t="s">
        <v>80</v>
      </c>
      <c r="B35" s="503" t="s">
        <v>81</v>
      </c>
      <c r="C35" s="558" t="s">
        <v>266</v>
      </c>
      <c r="D35" s="266">
        <v>87</v>
      </c>
      <c r="E35" s="2423">
        <v>84</v>
      </c>
      <c r="F35" s="2423">
        <v>55</v>
      </c>
      <c r="G35" s="2423">
        <v>49</v>
      </c>
    </row>
    <row r="36" spans="1:7" x14ac:dyDescent="0.25">
      <c r="A36" s="502" t="s">
        <v>84</v>
      </c>
      <c r="B36" s="503" t="s">
        <v>85</v>
      </c>
      <c r="C36" s="558" t="s">
        <v>265</v>
      </c>
      <c r="D36" s="266">
        <v>304</v>
      </c>
      <c r="E36" s="2423">
        <v>288</v>
      </c>
      <c r="F36" s="2423">
        <v>218</v>
      </c>
      <c r="G36" s="2423">
        <v>198</v>
      </c>
    </row>
    <row r="37" spans="1:7" x14ac:dyDescent="0.25">
      <c r="A37" s="502" t="s">
        <v>86</v>
      </c>
      <c r="B37" s="503" t="s">
        <v>87</v>
      </c>
      <c r="C37" s="558" t="s">
        <v>267</v>
      </c>
      <c r="D37" s="266">
        <v>266</v>
      </c>
      <c r="E37" s="2423">
        <v>224</v>
      </c>
      <c r="F37" s="2423">
        <v>210</v>
      </c>
      <c r="G37" s="2423">
        <v>243</v>
      </c>
    </row>
    <row r="38" spans="1:7" x14ac:dyDescent="0.25">
      <c r="A38" s="502" t="s">
        <v>92</v>
      </c>
      <c r="B38" s="503" t="s">
        <v>93</v>
      </c>
      <c r="C38" s="558" t="s">
        <v>268</v>
      </c>
      <c r="D38" s="266">
        <v>72</v>
      </c>
      <c r="E38" s="2423">
        <v>56</v>
      </c>
      <c r="F38" s="2423">
        <v>41</v>
      </c>
      <c r="G38" s="2423">
        <v>35</v>
      </c>
    </row>
    <row r="39" spans="1:7" x14ac:dyDescent="0.25">
      <c r="A39" s="502" t="s">
        <v>94</v>
      </c>
      <c r="B39" s="503" t="s">
        <v>95</v>
      </c>
      <c r="C39" s="558" t="s">
        <v>264</v>
      </c>
      <c r="D39" s="266">
        <v>179</v>
      </c>
      <c r="E39" s="2423">
        <v>148</v>
      </c>
      <c r="F39" s="2423">
        <v>143</v>
      </c>
      <c r="G39" s="2423">
        <v>133</v>
      </c>
    </row>
    <row r="40" spans="1:7" x14ac:dyDescent="0.25">
      <c r="A40" s="502" t="s">
        <v>96</v>
      </c>
      <c r="B40" s="503" t="s">
        <v>97</v>
      </c>
      <c r="C40" s="558" t="s">
        <v>266</v>
      </c>
      <c r="D40" s="266">
        <v>83</v>
      </c>
      <c r="E40" s="2423">
        <v>69</v>
      </c>
      <c r="F40" s="2423">
        <v>48</v>
      </c>
      <c r="G40" s="2423">
        <v>40</v>
      </c>
    </row>
    <row r="41" spans="1:7" x14ac:dyDescent="0.25">
      <c r="A41" s="502" t="s">
        <v>98</v>
      </c>
      <c r="B41" s="503" t="s">
        <v>99</v>
      </c>
      <c r="C41" s="558" t="s">
        <v>268</v>
      </c>
      <c r="D41" s="266">
        <v>30</v>
      </c>
      <c r="E41" s="2423">
        <v>25</v>
      </c>
      <c r="F41" s="2423">
        <v>21</v>
      </c>
      <c r="G41" s="2423">
        <v>24</v>
      </c>
    </row>
    <row r="42" spans="1:7" x14ac:dyDescent="0.25">
      <c r="A42" s="502" t="s">
        <v>100</v>
      </c>
      <c r="B42" s="503" t="s">
        <v>101</v>
      </c>
      <c r="C42" s="558" t="s">
        <v>267</v>
      </c>
      <c r="D42" s="266">
        <v>46</v>
      </c>
      <c r="E42" s="2423">
        <v>45</v>
      </c>
      <c r="F42" s="2423">
        <v>41</v>
      </c>
      <c r="G42" s="2423">
        <v>33</v>
      </c>
    </row>
    <row r="43" spans="1:7" x14ac:dyDescent="0.25">
      <c r="A43" s="502" t="s">
        <v>102</v>
      </c>
      <c r="B43" s="503" t="s">
        <v>282</v>
      </c>
      <c r="C43" s="558" t="s">
        <v>264</v>
      </c>
      <c r="D43" s="266">
        <v>183</v>
      </c>
      <c r="E43" s="2423">
        <v>190</v>
      </c>
      <c r="F43" s="2423">
        <v>118</v>
      </c>
      <c r="G43" s="2423">
        <v>137</v>
      </c>
    </row>
    <row r="44" spans="1:7" x14ac:dyDescent="0.25">
      <c r="A44" s="502" t="s">
        <v>104</v>
      </c>
      <c r="B44" s="503" t="s">
        <v>105</v>
      </c>
      <c r="C44" s="558" t="s">
        <v>265</v>
      </c>
      <c r="D44" s="266">
        <v>85</v>
      </c>
      <c r="E44" s="2423">
        <v>81</v>
      </c>
      <c r="F44" s="2423">
        <v>91</v>
      </c>
      <c r="G44" s="2423">
        <v>77</v>
      </c>
    </row>
    <row r="45" spans="1:7" x14ac:dyDescent="0.25">
      <c r="A45" s="502" t="s">
        <v>108</v>
      </c>
      <c r="B45" s="503" t="s">
        <v>109</v>
      </c>
      <c r="C45" s="558" t="s">
        <v>266</v>
      </c>
      <c r="D45" s="266">
        <v>293</v>
      </c>
      <c r="E45" s="2423">
        <v>257</v>
      </c>
      <c r="F45" s="2423">
        <v>228</v>
      </c>
      <c r="G45" s="2423">
        <v>273</v>
      </c>
    </row>
    <row r="46" spans="1:7" x14ac:dyDescent="0.25">
      <c r="A46" s="502" t="s">
        <v>110</v>
      </c>
      <c r="B46" s="503" t="s">
        <v>111</v>
      </c>
      <c r="C46" s="558" t="s">
        <v>266</v>
      </c>
      <c r="D46" s="266">
        <v>2263</v>
      </c>
      <c r="E46" s="2423">
        <v>2035</v>
      </c>
      <c r="F46" s="2423">
        <v>1822</v>
      </c>
      <c r="G46" s="2423">
        <v>1762</v>
      </c>
    </row>
    <row r="47" spans="1:7" x14ac:dyDescent="0.25">
      <c r="A47" s="502" t="s">
        <v>112</v>
      </c>
      <c r="B47" s="503" t="s">
        <v>300</v>
      </c>
      <c r="C47" s="558" t="s">
        <v>265</v>
      </c>
      <c r="D47" s="266">
        <v>577</v>
      </c>
      <c r="E47" s="2423">
        <v>466</v>
      </c>
      <c r="F47" s="2423">
        <v>316</v>
      </c>
      <c r="G47" s="2423">
        <v>289</v>
      </c>
    </row>
    <row r="48" spans="1:7" x14ac:dyDescent="0.25">
      <c r="A48" s="502" t="s">
        <v>114</v>
      </c>
      <c r="B48" s="503" t="s">
        <v>115</v>
      </c>
      <c r="C48" s="558" t="s">
        <v>265</v>
      </c>
      <c r="D48" s="266">
        <v>0</v>
      </c>
      <c r="E48" s="2423">
        <v>0</v>
      </c>
      <c r="F48" s="2423">
        <v>0</v>
      </c>
      <c r="G48" s="2423">
        <v>0</v>
      </c>
    </row>
    <row r="49" spans="1:7" x14ac:dyDescent="0.25">
      <c r="A49" s="502" t="s">
        <v>118</v>
      </c>
      <c r="B49" s="503" t="s">
        <v>270</v>
      </c>
      <c r="C49" s="558" t="s">
        <v>264</v>
      </c>
      <c r="D49" s="266">
        <v>82</v>
      </c>
      <c r="E49" s="2423">
        <v>65</v>
      </c>
      <c r="F49" s="2423">
        <v>42</v>
      </c>
      <c r="G49" s="2423">
        <v>38</v>
      </c>
    </row>
    <row r="50" spans="1:7" x14ac:dyDescent="0.25">
      <c r="A50" s="502" t="s">
        <v>120</v>
      </c>
      <c r="B50" s="503" t="s">
        <v>121</v>
      </c>
      <c r="C50" s="558" t="s">
        <v>264</v>
      </c>
      <c r="D50" s="266">
        <v>332</v>
      </c>
      <c r="E50" s="2423">
        <v>308</v>
      </c>
      <c r="F50" s="2423">
        <v>205</v>
      </c>
      <c r="G50" s="2423">
        <v>159</v>
      </c>
    </row>
    <row r="51" spans="1:7" x14ac:dyDescent="0.25">
      <c r="A51" s="502" t="s">
        <v>122</v>
      </c>
      <c r="B51" s="503" t="s">
        <v>287</v>
      </c>
      <c r="C51" s="558" t="s">
        <v>266</v>
      </c>
      <c r="D51" s="266">
        <v>52</v>
      </c>
      <c r="E51" s="2423">
        <v>36</v>
      </c>
      <c r="F51" s="2423">
        <v>18</v>
      </c>
      <c r="G51" s="2423">
        <v>29</v>
      </c>
    </row>
    <row r="52" spans="1:7" x14ac:dyDescent="0.25">
      <c r="A52" s="502" t="s">
        <v>124</v>
      </c>
      <c r="B52" s="503" t="s">
        <v>125</v>
      </c>
      <c r="C52" s="558" t="s">
        <v>267</v>
      </c>
      <c r="D52" s="266">
        <v>169</v>
      </c>
      <c r="E52" s="2423">
        <v>136</v>
      </c>
      <c r="F52" s="2423">
        <v>132</v>
      </c>
      <c r="G52" s="2423">
        <v>147</v>
      </c>
    </row>
    <row r="53" spans="1:7" x14ac:dyDescent="0.25">
      <c r="A53" s="502" t="s">
        <v>126</v>
      </c>
      <c r="B53" s="503" t="s">
        <v>127</v>
      </c>
      <c r="C53" s="558" t="s">
        <v>266</v>
      </c>
      <c r="D53" s="266">
        <v>144</v>
      </c>
      <c r="E53" s="2423">
        <v>109</v>
      </c>
      <c r="F53" s="2423">
        <v>73</v>
      </c>
      <c r="G53" s="2423">
        <v>59</v>
      </c>
    </row>
    <row r="54" spans="1:7" x14ac:dyDescent="0.25">
      <c r="A54" s="502" t="s">
        <v>128</v>
      </c>
      <c r="B54" s="503" t="s">
        <v>129</v>
      </c>
      <c r="C54" s="558" t="s">
        <v>266</v>
      </c>
      <c r="D54" s="266">
        <v>38</v>
      </c>
      <c r="E54" s="2423">
        <v>46</v>
      </c>
      <c r="F54" s="2423">
        <v>29</v>
      </c>
      <c r="G54" s="2423">
        <v>19</v>
      </c>
    </row>
    <row r="55" spans="1:7" x14ac:dyDescent="0.25">
      <c r="A55" s="502" t="s">
        <v>130</v>
      </c>
      <c r="B55" s="503" t="s">
        <v>131</v>
      </c>
      <c r="C55" s="558" t="s">
        <v>268</v>
      </c>
      <c r="D55" s="266">
        <v>56</v>
      </c>
      <c r="E55" s="2423">
        <v>39</v>
      </c>
      <c r="F55" s="2423">
        <v>26</v>
      </c>
      <c r="G55" s="2423">
        <v>31</v>
      </c>
    </row>
    <row r="56" spans="1:7" x14ac:dyDescent="0.25">
      <c r="A56" s="502" t="s">
        <v>132</v>
      </c>
      <c r="B56" s="503" t="s">
        <v>133</v>
      </c>
      <c r="C56" s="558" t="s">
        <v>267</v>
      </c>
      <c r="D56" s="266">
        <v>747</v>
      </c>
      <c r="E56" s="2423">
        <v>668</v>
      </c>
      <c r="F56" s="2423">
        <v>618</v>
      </c>
      <c r="G56" s="2423">
        <v>575</v>
      </c>
    </row>
    <row r="57" spans="1:7" x14ac:dyDescent="0.25">
      <c r="A57" s="502" t="s">
        <v>134</v>
      </c>
      <c r="B57" s="503" t="s">
        <v>135</v>
      </c>
      <c r="C57" s="558" t="s">
        <v>267</v>
      </c>
      <c r="D57" s="266">
        <v>89</v>
      </c>
      <c r="E57" s="2423">
        <v>86</v>
      </c>
      <c r="F57" s="2423">
        <v>70</v>
      </c>
      <c r="G57" s="2423">
        <v>47</v>
      </c>
    </row>
    <row r="58" spans="1:7" x14ac:dyDescent="0.25">
      <c r="A58" s="502" t="s">
        <v>136</v>
      </c>
      <c r="B58" s="503" t="s">
        <v>137</v>
      </c>
      <c r="C58" s="558" t="s">
        <v>266</v>
      </c>
      <c r="D58" s="266">
        <v>23</v>
      </c>
      <c r="E58" s="2423">
        <v>25</v>
      </c>
      <c r="F58" s="2423">
        <v>12</v>
      </c>
      <c r="G58" s="2423">
        <v>5</v>
      </c>
    </row>
    <row r="59" spans="1:7" x14ac:dyDescent="0.25">
      <c r="A59" s="502" t="s">
        <v>140</v>
      </c>
      <c r="B59" s="503" t="s">
        <v>141</v>
      </c>
      <c r="C59" s="558" t="s">
        <v>267</v>
      </c>
      <c r="D59" s="266">
        <v>11</v>
      </c>
      <c r="E59" s="2423">
        <v>37</v>
      </c>
      <c r="F59" s="2423">
        <v>26</v>
      </c>
      <c r="G59" s="2423">
        <v>15</v>
      </c>
    </row>
    <row r="60" spans="1:7" x14ac:dyDescent="0.25">
      <c r="A60" s="502" t="s">
        <v>146</v>
      </c>
      <c r="B60" s="503" t="s">
        <v>147</v>
      </c>
      <c r="C60" s="558" t="s">
        <v>264</v>
      </c>
      <c r="D60" s="266">
        <v>37</v>
      </c>
      <c r="E60" s="2423">
        <v>28</v>
      </c>
      <c r="F60" s="2423">
        <v>21</v>
      </c>
      <c r="G60" s="2423">
        <v>12</v>
      </c>
    </row>
    <row r="61" spans="1:7" x14ac:dyDescent="0.25">
      <c r="A61" s="502" t="s">
        <v>148</v>
      </c>
      <c r="B61" s="503" t="s">
        <v>149</v>
      </c>
      <c r="C61" s="558" t="s">
        <v>265</v>
      </c>
      <c r="D61" s="266">
        <v>109</v>
      </c>
      <c r="E61" s="2423">
        <v>102</v>
      </c>
      <c r="F61" s="2423">
        <v>82</v>
      </c>
      <c r="G61" s="2423">
        <v>67</v>
      </c>
    </row>
    <row r="62" spans="1:7" x14ac:dyDescent="0.25">
      <c r="A62" s="502" t="s">
        <v>150</v>
      </c>
      <c r="B62" s="503" t="s">
        <v>151</v>
      </c>
      <c r="C62" s="558" t="s">
        <v>266</v>
      </c>
      <c r="D62" s="266">
        <v>104</v>
      </c>
      <c r="E62" s="2423">
        <v>96</v>
      </c>
      <c r="F62" s="2423">
        <v>86</v>
      </c>
      <c r="G62" s="2423">
        <v>72</v>
      </c>
    </row>
    <row r="63" spans="1:7" x14ac:dyDescent="0.25">
      <c r="A63" s="502" t="s">
        <v>152</v>
      </c>
      <c r="B63" s="503" t="s">
        <v>153</v>
      </c>
      <c r="C63" s="558" t="s">
        <v>268</v>
      </c>
      <c r="D63" s="266">
        <v>417</v>
      </c>
      <c r="E63" s="2423">
        <v>394</v>
      </c>
      <c r="F63" s="2423">
        <v>298</v>
      </c>
      <c r="G63" s="2423">
        <v>298</v>
      </c>
    </row>
    <row r="64" spans="1:7" x14ac:dyDescent="0.25">
      <c r="A64" s="502" t="s">
        <v>154</v>
      </c>
      <c r="B64" s="503" t="s">
        <v>155</v>
      </c>
      <c r="C64" s="558" t="s">
        <v>265</v>
      </c>
      <c r="D64" s="266">
        <v>33</v>
      </c>
      <c r="E64" s="2423">
        <v>25</v>
      </c>
      <c r="F64" s="2423">
        <v>30</v>
      </c>
      <c r="G64" s="2423">
        <v>21</v>
      </c>
    </row>
    <row r="65" spans="1:7" x14ac:dyDescent="0.25">
      <c r="A65" s="502" t="s">
        <v>156</v>
      </c>
      <c r="B65" s="503" t="s">
        <v>157</v>
      </c>
      <c r="C65" s="558" t="s">
        <v>266</v>
      </c>
      <c r="D65" s="266">
        <v>64</v>
      </c>
      <c r="E65" s="2423">
        <v>78</v>
      </c>
      <c r="F65" s="2423">
        <v>80</v>
      </c>
      <c r="G65" s="2423">
        <v>54</v>
      </c>
    </row>
    <row r="66" spans="1:7" x14ac:dyDescent="0.25">
      <c r="A66" s="502" t="s">
        <v>162</v>
      </c>
      <c r="B66" s="503" t="s">
        <v>163</v>
      </c>
      <c r="C66" s="558" t="s">
        <v>264</v>
      </c>
      <c r="D66" s="266">
        <v>148</v>
      </c>
      <c r="E66" s="2423">
        <v>143</v>
      </c>
      <c r="F66" s="2423">
        <v>126</v>
      </c>
      <c r="G66" s="2423">
        <v>91</v>
      </c>
    </row>
    <row r="67" spans="1:7" x14ac:dyDescent="0.25">
      <c r="A67" s="502" t="s">
        <v>164</v>
      </c>
      <c r="B67" s="503" t="s">
        <v>165</v>
      </c>
      <c r="C67" s="558" t="s">
        <v>266</v>
      </c>
      <c r="D67" s="266">
        <v>48</v>
      </c>
      <c r="E67" s="2423">
        <v>37</v>
      </c>
      <c r="F67" s="2423">
        <v>16</v>
      </c>
      <c r="G67" s="2423">
        <v>12</v>
      </c>
    </row>
    <row r="68" spans="1:7" x14ac:dyDescent="0.25">
      <c r="A68" s="502" t="s">
        <v>168</v>
      </c>
      <c r="B68" s="503" t="s">
        <v>169</v>
      </c>
      <c r="C68" s="558" t="s">
        <v>266</v>
      </c>
      <c r="D68" s="266">
        <v>72</v>
      </c>
      <c r="E68" s="2423">
        <v>68</v>
      </c>
      <c r="F68" s="2423">
        <v>60</v>
      </c>
      <c r="G68" s="2423">
        <v>54</v>
      </c>
    </row>
    <row r="69" spans="1:7" x14ac:dyDescent="0.25">
      <c r="A69" s="502" t="s">
        <v>170</v>
      </c>
      <c r="B69" s="503" t="s">
        <v>171</v>
      </c>
      <c r="C69" s="558" t="s">
        <v>267</v>
      </c>
      <c r="D69" s="266">
        <v>163</v>
      </c>
      <c r="E69" s="2423">
        <v>177</v>
      </c>
      <c r="F69" s="2423">
        <v>138</v>
      </c>
      <c r="G69" s="2423">
        <v>169</v>
      </c>
    </row>
    <row r="70" spans="1:7" x14ac:dyDescent="0.25">
      <c r="A70" s="502" t="s">
        <v>172</v>
      </c>
      <c r="B70" s="503" t="s">
        <v>173</v>
      </c>
      <c r="C70" s="558" t="s">
        <v>267</v>
      </c>
      <c r="D70" s="266">
        <v>64</v>
      </c>
      <c r="E70" s="2423">
        <v>49</v>
      </c>
      <c r="F70" s="2423">
        <v>30</v>
      </c>
      <c r="G70" s="2423">
        <v>27</v>
      </c>
    </row>
    <row r="71" spans="1:7" x14ac:dyDescent="0.25">
      <c r="A71" s="502" t="s">
        <v>174</v>
      </c>
      <c r="B71" s="503" t="s">
        <v>175</v>
      </c>
      <c r="C71" s="558" t="s">
        <v>268</v>
      </c>
      <c r="D71" s="266">
        <v>71</v>
      </c>
      <c r="E71" s="2423">
        <v>72</v>
      </c>
      <c r="F71" s="2423">
        <v>36</v>
      </c>
      <c r="G71" s="2423">
        <v>8</v>
      </c>
    </row>
    <row r="72" spans="1:7" x14ac:dyDescent="0.25">
      <c r="A72" s="502" t="s">
        <v>178</v>
      </c>
      <c r="B72" s="503" t="s">
        <v>179</v>
      </c>
      <c r="C72" s="558" t="s">
        <v>265</v>
      </c>
      <c r="D72" s="266">
        <v>232</v>
      </c>
      <c r="E72" s="2423">
        <v>191</v>
      </c>
      <c r="F72" s="2423">
        <v>141</v>
      </c>
      <c r="G72" s="2423">
        <v>149</v>
      </c>
    </row>
    <row r="73" spans="1:7" x14ac:dyDescent="0.25">
      <c r="A73" s="502" t="s">
        <v>182</v>
      </c>
      <c r="B73" s="503" t="s">
        <v>183</v>
      </c>
      <c r="C73" s="558" t="s">
        <v>266</v>
      </c>
      <c r="D73" s="266">
        <v>90</v>
      </c>
      <c r="E73" s="2423">
        <v>63</v>
      </c>
      <c r="F73" s="2423">
        <v>62</v>
      </c>
      <c r="G73" s="2423">
        <v>60</v>
      </c>
    </row>
    <row r="74" spans="1:7" x14ac:dyDescent="0.25">
      <c r="A74" s="502" t="s">
        <v>184</v>
      </c>
      <c r="B74" s="503" t="s">
        <v>185</v>
      </c>
      <c r="C74" s="558" t="s">
        <v>266</v>
      </c>
      <c r="D74" s="266">
        <v>105</v>
      </c>
      <c r="E74" s="2423">
        <v>97</v>
      </c>
      <c r="F74" s="2423">
        <v>65</v>
      </c>
      <c r="G74" s="2423">
        <v>33</v>
      </c>
    </row>
    <row r="75" spans="1:7" x14ac:dyDescent="0.25">
      <c r="A75" s="502" t="s">
        <v>186</v>
      </c>
      <c r="B75" s="503" t="s">
        <v>187</v>
      </c>
      <c r="C75" s="558" t="s">
        <v>264</v>
      </c>
      <c r="D75" s="266">
        <v>61</v>
      </c>
      <c r="E75" s="2423">
        <v>66</v>
      </c>
      <c r="F75" s="2423">
        <v>64</v>
      </c>
      <c r="G75" s="2423">
        <v>43</v>
      </c>
    </row>
    <row r="76" spans="1:7" x14ac:dyDescent="0.25">
      <c r="A76" s="502" t="s">
        <v>188</v>
      </c>
      <c r="B76" s="503" t="s">
        <v>189</v>
      </c>
      <c r="C76" s="558" t="s">
        <v>267</v>
      </c>
      <c r="D76" s="266">
        <v>1740</v>
      </c>
      <c r="E76" s="2423">
        <v>1570</v>
      </c>
      <c r="F76" s="2423">
        <v>1302</v>
      </c>
      <c r="G76" s="2423">
        <v>1124</v>
      </c>
    </row>
    <row r="77" spans="1:7" x14ac:dyDescent="0.25">
      <c r="A77" s="502" t="s">
        <v>190</v>
      </c>
      <c r="B77" s="503" t="s">
        <v>191</v>
      </c>
      <c r="C77" s="558" t="s">
        <v>268</v>
      </c>
      <c r="D77" s="266">
        <v>160</v>
      </c>
      <c r="E77" s="2423">
        <v>136</v>
      </c>
      <c r="F77" s="2423">
        <v>124</v>
      </c>
      <c r="G77" s="2423">
        <v>83</v>
      </c>
    </row>
    <row r="78" spans="1:7" x14ac:dyDescent="0.25">
      <c r="A78" s="502" t="s">
        <v>194</v>
      </c>
      <c r="B78" s="503" t="s">
        <v>195</v>
      </c>
      <c r="C78" s="558" t="s">
        <v>267</v>
      </c>
      <c r="D78" s="266">
        <v>33</v>
      </c>
      <c r="E78" s="2423">
        <v>32</v>
      </c>
      <c r="F78" s="2423">
        <v>24</v>
      </c>
      <c r="G78" s="2423">
        <v>16</v>
      </c>
    </row>
    <row r="79" spans="1:7" x14ac:dyDescent="0.25">
      <c r="A79" s="502" t="s">
        <v>198</v>
      </c>
      <c r="B79" s="503" t="s">
        <v>272</v>
      </c>
      <c r="C79" s="558" t="s">
        <v>266</v>
      </c>
      <c r="D79" s="266">
        <v>44</v>
      </c>
      <c r="E79" s="2423">
        <v>37</v>
      </c>
      <c r="F79" s="2423">
        <v>19</v>
      </c>
      <c r="G79" s="2423">
        <v>14</v>
      </c>
    </row>
    <row r="80" spans="1:7" x14ac:dyDescent="0.25">
      <c r="A80" s="502" t="s">
        <v>202</v>
      </c>
      <c r="B80" s="503" t="s">
        <v>301</v>
      </c>
      <c r="C80" s="558" t="s">
        <v>265</v>
      </c>
      <c r="D80" s="266">
        <v>673</v>
      </c>
      <c r="E80" s="2423">
        <v>664</v>
      </c>
      <c r="F80" s="2423">
        <v>578</v>
      </c>
      <c r="G80" s="2423">
        <v>634</v>
      </c>
    </row>
    <row r="81" spans="1:7" x14ac:dyDescent="0.25">
      <c r="A81" s="502" t="s">
        <v>204</v>
      </c>
      <c r="B81" s="503" t="s">
        <v>293</v>
      </c>
      <c r="C81" s="558" t="s">
        <v>265</v>
      </c>
      <c r="D81" s="266">
        <v>71</v>
      </c>
      <c r="E81" s="2423">
        <v>62</v>
      </c>
      <c r="F81" s="2423">
        <v>43</v>
      </c>
      <c r="G81" s="2423">
        <v>22</v>
      </c>
    </row>
    <row r="82" spans="1:7" x14ac:dyDescent="0.25">
      <c r="A82" s="502" t="s">
        <v>206</v>
      </c>
      <c r="B82" s="503" t="s">
        <v>294</v>
      </c>
      <c r="C82" s="558" t="s">
        <v>267</v>
      </c>
      <c r="D82" s="266">
        <v>491</v>
      </c>
      <c r="E82" s="2423">
        <v>479</v>
      </c>
      <c r="F82" s="2423">
        <v>373</v>
      </c>
      <c r="G82" s="2423">
        <v>386</v>
      </c>
    </row>
    <row r="83" spans="1:7" x14ac:dyDescent="0.25">
      <c r="A83" s="502" t="s">
        <v>208</v>
      </c>
      <c r="B83" s="503" t="s">
        <v>209</v>
      </c>
      <c r="C83" s="558" t="s">
        <v>268</v>
      </c>
      <c r="D83" s="266">
        <v>56</v>
      </c>
      <c r="E83" s="2423">
        <v>54</v>
      </c>
      <c r="F83" s="2423">
        <v>35</v>
      </c>
      <c r="G83" s="2423">
        <v>31</v>
      </c>
    </row>
    <row r="84" spans="1:7" x14ac:dyDescent="0.25">
      <c r="A84" s="502" t="s">
        <v>210</v>
      </c>
      <c r="B84" s="503" t="s">
        <v>211</v>
      </c>
      <c r="C84" s="558" t="s">
        <v>268</v>
      </c>
      <c r="D84" s="266">
        <v>22</v>
      </c>
      <c r="E84" s="2423">
        <v>17</v>
      </c>
      <c r="F84" s="2423">
        <v>7</v>
      </c>
      <c r="G84" s="2423">
        <v>3</v>
      </c>
    </row>
    <row r="85" spans="1:7" x14ac:dyDescent="0.25">
      <c r="A85" s="502" t="s">
        <v>212</v>
      </c>
      <c r="B85" s="503" t="s">
        <v>213</v>
      </c>
      <c r="C85" s="558" t="s">
        <v>267</v>
      </c>
      <c r="D85" s="266">
        <v>160</v>
      </c>
      <c r="E85" s="2423">
        <v>132</v>
      </c>
      <c r="F85" s="2423">
        <v>131</v>
      </c>
      <c r="G85" s="2423">
        <v>86</v>
      </c>
    </row>
    <row r="86" spans="1:7" x14ac:dyDescent="0.25">
      <c r="A86" s="502" t="s">
        <v>214</v>
      </c>
      <c r="B86" s="503" t="s">
        <v>215</v>
      </c>
      <c r="C86" s="558" t="s">
        <v>268</v>
      </c>
      <c r="D86" s="266">
        <v>141</v>
      </c>
      <c r="E86" s="2423">
        <v>111</v>
      </c>
      <c r="F86" s="2423">
        <v>91</v>
      </c>
      <c r="G86" s="2423">
        <v>101</v>
      </c>
    </row>
    <row r="87" spans="1:7" x14ac:dyDescent="0.25">
      <c r="A87" s="502" t="s">
        <v>216</v>
      </c>
      <c r="B87" s="503" t="s">
        <v>217</v>
      </c>
      <c r="C87" s="558" t="s">
        <v>264</v>
      </c>
      <c r="D87" s="266">
        <v>38</v>
      </c>
      <c r="E87" s="2423">
        <v>33</v>
      </c>
      <c r="F87" s="2423">
        <v>31</v>
      </c>
      <c r="G87" s="2423">
        <v>32</v>
      </c>
    </row>
    <row r="88" spans="1:7" x14ac:dyDescent="0.25">
      <c r="A88" s="502" t="s">
        <v>218</v>
      </c>
      <c r="B88" s="503" t="s">
        <v>219</v>
      </c>
      <c r="C88" s="558" t="s">
        <v>267</v>
      </c>
      <c r="D88" s="266">
        <v>491</v>
      </c>
      <c r="E88" s="2423">
        <v>383</v>
      </c>
      <c r="F88" s="2423">
        <v>330</v>
      </c>
      <c r="G88" s="2423">
        <v>356</v>
      </c>
    </row>
    <row r="89" spans="1:7" x14ac:dyDescent="0.25">
      <c r="A89" s="502" t="s">
        <v>220</v>
      </c>
      <c r="B89" s="503" t="s">
        <v>221</v>
      </c>
      <c r="C89" s="558" t="s">
        <v>267</v>
      </c>
      <c r="D89" s="266">
        <v>496</v>
      </c>
      <c r="E89" s="2423">
        <v>430</v>
      </c>
      <c r="F89" s="2423">
        <v>421</v>
      </c>
      <c r="G89" s="2423">
        <v>397</v>
      </c>
    </row>
    <row r="90" spans="1:7" x14ac:dyDescent="0.25">
      <c r="A90" s="502" t="s">
        <v>224</v>
      </c>
      <c r="B90" s="503" t="s">
        <v>225</v>
      </c>
      <c r="C90" s="558" t="s">
        <v>264</v>
      </c>
      <c r="D90" s="266">
        <v>55</v>
      </c>
      <c r="E90" s="2423">
        <v>50</v>
      </c>
      <c r="F90" s="2423">
        <v>45</v>
      </c>
      <c r="G90" s="2423">
        <v>32</v>
      </c>
    </row>
    <row r="91" spans="1:7" x14ac:dyDescent="0.25">
      <c r="A91" s="502" t="s">
        <v>226</v>
      </c>
      <c r="B91" s="503" t="s">
        <v>227</v>
      </c>
      <c r="C91" s="558" t="s">
        <v>264</v>
      </c>
      <c r="D91" s="266">
        <v>99</v>
      </c>
      <c r="E91" s="2423">
        <v>74</v>
      </c>
      <c r="F91" s="2423">
        <v>60</v>
      </c>
      <c r="G91" s="2423">
        <v>26</v>
      </c>
    </row>
    <row r="92" spans="1:7" x14ac:dyDescent="0.25">
      <c r="A92" s="502" t="s">
        <v>228</v>
      </c>
      <c r="B92" s="503" t="s">
        <v>229</v>
      </c>
      <c r="C92" s="558" t="s">
        <v>268</v>
      </c>
      <c r="D92" s="266">
        <v>161</v>
      </c>
      <c r="E92" s="2423">
        <v>144</v>
      </c>
      <c r="F92" s="2423">
        <v>114</v>
      </c>
      <c r="G92" s="2423">
        <v>123</v>
      </c>
    </row>
    <row r="93" spans="1:7" x14ac:dyDescent="0.25">
      <c r="A93" s="502" t="s">
        <v>232</v>
      </c>
      <c r="B93" s="503" t="s">
        <v>233</v>
      </c>
      <c r="C93" s="558" t="s">
        <v>267</v>
      </c>
      <c r="D93" s="266">
        <v>251</v>
      </c>
      <c r="E93" s="2423">
        <v>262</v>
      </c>
      <c r="F93" s="2423">
        <v>244</v>
      </c>
      <c r="G93" s="2423">
        <v>229</v>
      </c>
    </row>
    <row r="94" spans="1:7" x14ac:dyDescent="0.25">
      <c r="A94" s="502" t="s">
        <v>234</v>
      </c>
      <c r="B94" s="503" t="s">
        <v>235</v>
      </c>
      <c r="C94" s="558" t="s">
        <v>268</v>
      </c>
      <c r="D94" s="266">
        <v>123</v>
      </c>
      <c r="E94" s="2423">
        <v>114</v>
      </c>
      <c r="F94" s="2423">
        <v>88</v>
      </c>
      <c r="G94" s="2423">
        <v>108</v>
      </c>
    </row>
    <row r="95" spans="1:7" x14ac:dyDescent="0.25">
      <c r="A95" s="502" t="s">
        <v>236</v>
      </c>
      <c r="B95" s="503" t="s">
        <v>237</v>
      </c>
      <c r="C95" s="558" t="s">
        <v>266</v>
      </c>
      <c r="D95" s="266">
        <v>83</v>
      </c>
      <c r="E95" s="2423">
        <v>99</v>
      </c>
      <c r="F95" s="2423">
        <v>79</v>
      </c>
      <c r="G95" s="2423">
        <v>62</v>
      </c>
    </row>
    <row r="96" spans="1:7" x14ac:dyDescent="0.25">
      <c r="A96" s="502" t="s">
        <v>242</v>
      </c>
      <c r="B96" s="503" t="s">
        <v>243</v>
      </c>
      <c r="C96" s="558" t="s">
        <v>268</v>
      </c>
      <c r="D96" s="266">
        <v>87</v>
      </c>
      <c r="E96" s="2423">
        <v>100</v>
      </c>
      <c r="F96" s="2423">
        <v>85</v>
      </c>
      <c r="G96" s="2423">
        <v>79</v>
      </c>
    </row>
    <row r="97" spans="1:7" x14ac:dyDescent="0.25">
      <c r="A97" s="504" t="s">
        <v>244</v>
      </c>
      <c r="B97" s="503" t="s">
        <v>245</v>
      </c>
      <c r="C97" s="558" t="s">
        <v>268</v>
      </c>
      <c r="D97" s="266">
        <v>185</v>
      </c>
      <c r="E97" s="2423">
        <v>187</v>
      </c>
      <c r="F97" s="2423">
        <v>143</v>
      </c>
      <c r="G97" s="2423">
        <v>116</v>
      </c>
    </row>
    <row r="98" spans="1:7" x14ac:dyDescent="0.25">
      <c r="A98" s="502" t="s">
        <v>246</v>
      </c>
      <c r="B98" s="503" t="s">
        <v>247</v>
      </c>
      <c r="C98" s="558" t="s">
        <v>264</v>
      </c>
      <c r="D98" s="266">
        <v>237</v>
      </c>
      <c r="E98" s="2423">
        <v>238</v>
      </c>
      <c r="F98" s="2423">
        <v>202</v>
      </c>
      <c r="G98" s="2423">
        <v>215</v>
      </c>
    </row>
    <row r="99" spans="1:7" x14ac:dyDescent="0.25">
      <c r="A99" s="502" t="s">
        <v>14</v>
      </c>
      <c r="B99" s="503" t="s">
        <v>15</v>
      </c>
      <c r="C99" s="558" t="s">
        <v>267</v>
      </c>
      <c r="D99" s="266">
        <v>907</v>
      </c>
      <c r="E99" s="2423">
        <v>693</v>
      </c>
      <c r="F99" s="2423">
        <v>641</v>
      </c>
      <c r="G99" s="2423">
        <v>732</v>
      </c>
    </row>
    <row r="100" spans="1:7" x14ac:dyDescent="0.25">
      <c r="A100" s="502" t="s">
        <v>34</v>
      </c>
      <c r="B100" s="503" t="s">
        <v>35</v>
      </c>
      <c r="C100" s="558" t="s">
        <v>268</v>
      </c>
      <c r="D100" s="266">
        <v>394</v>
      </c>
      <c r="E100" s="2423">
        <v>351</v>
      </c>
      <c r="F100" s="2423">
        <v>356</v>
      </c>
      <c r="G100" s="2423">
        <v>234</v>
      </c>
    </row>
    <row r="101" spans="1:7" x14ac:dyDescent="0.25">
      <c r="A101" s="502" t="s">
        <v>52</v>
      </c>
      <c r="B101" s="503" t="s">
        <v>53</v>
      </c>
      <c r="C101" s="558" t="s">
        <v>265</v>
      </c>
      <c r="D101" s="266">
        <v>473</v>
      </c>
      <c r="E101" s="2423">
        <v>427</v>
      </c>
      <c r="F101" s="2423">
        <v>346</v>
      </c>
      <c r="G101" s="2423">
        <v>280</v>
      </c>
    </row>
    <row r="102" spans="1:7" x14ac:dyDescent="0.25">
      <c r="A102" s="502" t="s">
        <v>54</v>
      </c>
      <c r="B102" s="503" t="s">
        <v>55</v>
      </c>
      <c r="C102" s="558" t="s">
        <v>264</v>
      </c>
      <c r="D102" s="266">
        <v>1506</v>
      </c>
      <c r="E102" s="2423">
        <v>1306</v>
      </c>
      <c r="F102" s="2423">
        <v>1250</v>
      </c>
      <c r="G102" s="2423">
        <v>1240</v>
      </c>
    </row>
    <row r="103" spans="1:7" x14ac:dyDescent="0.25">
      <c r="A103" s="502" t="s">
        <v>66</v>
      </c>
      <c r="B103" s="503" t="s">
        <v>67</v>
      </c>
      <c r="C103" s="558" t="s">
        <v>265</v>
      </c>
      <c r="D103" s="266">
        <v>699</v>
      </c>
      <c r="E103" s="2423">
        <v>617</v>
      </c>
      <c r="F103" s="2423">
        <v>477</v>
      </c>
      <c r="G103" s="2423">
        <v>436</v>
      </c>
    </row>
    <row r="104" spans="1:7" x14ac:dyDescent="0.25">
      <c r="A104" s="502" t="s">
        <v>82</v>
      </c>
      <c r="B104" s="503" t="s">
        <v>83</v>
      </c>
      <c r="C104" s="558" t="s">
        <v>264</v>
      </c>
      <c r="D104" s="266">
        <v>71</v>
      </c>
      <c r="E104" s="2423">
        <v>61</v>
      </c>
      <c r="F104" s="2423">
        <v>59</v>
      </c>
      <c r="G104" s="2423">
        <v>61</v>
      </c>
    </row>
    <row r="105" spans="1:7" x14ac:dyDescent="0.25">
      <c r="A105" s="502" t="s">
        <v>88</v>
      </c>
      <c r="B105" s="503" t="s">
        <v>89</v>
      </c>
      <c r="C105" s="558" t="s">
        <v>267</v>
      </c>
      <c r="D105" s="266">
        <v>384</v>
      </c>
      <c r="E105" s="2423">
        <v>370</v>
      </c>
      <c r="F105" s="2423">
        <v>326</v>
      </c>
      <c r="G105" s="2423">
        <v>258</v>
      </c>
    </row>
    <row r="106" spans="1:7" x14ac:dyDescent="0.25">
      <c r="A106" s="502" t="s">
        <v>90</v>
      </c>
      <c r="B106" s="503" t="s">
        <v>91</v>
      </c>
      <c r="C106" s="558" t="s">
        <v>268</v>
      </c>
      <c r="D106" s="266">
        <v>65</v>
      </c>
      <c r="E106" s="2423">
        <v>65</v>
      </c>
      <c r="F106" s="2423">
        <v>45</v>
      </c>
      <c r="G106" s="2423">
        <v>49</v>
      </c>
    </row>
    <row r="107" spans="1:7" x14ac:dyDescent="0.25">
      <c r="A107" s="502" t="s">
        <v>106</v>
      </c>
      <c r="B107" s="503" t="s">
        <v>107</v>
      </c>
      <c r="C107" s="558" t="s">
        <v>264</v>
      </c>
      <c r="D107" s="266">
        <v>1158</v>
      </c>
      <c r="E107" s="2423">
        <v>1109</v>
      </c>
      <c r="F107" s="2423">
        <v>1032</v>
      </c>
      <c r="G107" s="2423">
        <v>885</v>
      </c>
    </row>
    <row r="108" spans="1:7" x14ac:dyDescent="0.25">
      <c r="A108" s="502" t="s">
        <v>116</v>
      </c>
      <c r="B108" s="503" t="s">
        <v>117</v>
      </c>
      <c r="C108" s="558" t="s">
        <v>266</v>
      </c>
      <c r="D108" s="266">
        <v>368</v>
      </c>
      <c r="E108" s="2423">
        <v>320</v>
      </c>
      <c r="F108" s="2423">
        <v>284</v>
      </c>
      <c r="G108" s="2423">
        <v>270</v>
      </c>
    </row>
    <row r="109" spans="1:7" x14ac:dyDescent="0.25">
      <c r="A109" s="502" t="s">
        <v>138</v>
      </c>
      <c r="B109" s="503" t="s">
        <v>139</v>
      </c>
      <c r="C109" s="558" t="s">
        <v>265</v>
      </c>
      <c r="D109" s="266">
        <v>842</v>
      </c>
      <c r="E109" s="2423">
        <v>776</v>
      </c>
      <c r="F109" s="2423">
        <v>618</v>
      </c>
      <c r="G109" s="2423">
        <v>585</v>
      </c>
    </row>
    <row r="110" spans="1:7" x14ac:dyDescent="0.25">
      <c r="A110" s="502" t="s">
        <v>142</v>
      </c>
      <c r="B110" s="503" t="s">
        <v>143</v>
      </c>
      <c r="C110" s="558" t="s">
        <v>267</v>
      </c>
      <c r="D110" s="266">
        <v>324</v>
      </c>
      <c r="E110" s="2423">
        <v>385</v>
      </c>
      <c r="F110" s="2423">
        <v>265</v>
      </c>
      <c r="G110" s="2423">
        <v>271</v>
      </c>
    </row>
    <row r="111" spans="1:7" x14ac:dyDescent="0.25">
      <c r="A111" s="502" t="s">
        <v>144</v>
      </c>
      <c r="B111" s="503" t="s">
        <v>145</v>
      </c>
      <c r="C111" s="558" t="s">
        <v>267</v>
      </c>
      <c r="D111" s="266">
        <v>65</v>
      </c>
      <c r="E111" s="2423">
        <v>74</v>
      </c>
      <c r="F111" s="2423">
        <v>56</v>
      </c>
      <c r="G111" s="2423">
        <v>45</v>
      </c>
    </row>
    <row r="112" spans="1:7" x14ac:dyDescent="0.25">
      <c r="A112" s="502" t="s">
        <v>158</v>
      </c>
      <c r="B112" s="503" t="s">
        <v>159</v>
      </c>
      <c r="C112" s="558" t="s">
        <v>264</v>
      </c>
      <c r="D112" s="266">
        <v>2472</v>
      </c>
      <c r="E112" s="2423">
        <v>2483</v>
      </c>
      <c r="F112" s="2423">
        <v>2053</v>
      </c>
      <c r="G112" s="2423">
        <v>2084</v>
      </c>
    </row>
    <row r="113" spans="1:7" x14ac:dyDescent="0.25">
      <c r="A113" s="502" t="s">
        <v>160</v>
      </c>
      <c r="B113" s="503" t="s">
        <v>161</v>
      </c>
      <c r="C113" s="558" t="s">
        <v>264</v>
      </c>
      <c r="D113" s="266">
        <v>3101</v>
      </c>
      <c r="E113" s="2423">
        <v>2853</v>
      </c>
      <c r="F113" s="2423">
        <v>2251</v>
      </c>
      <c r="G113" s="2423">
        <v>2126</v>
      </c>
    </row>
    <row r="114" spans="1:7" x14ac:dyDescent="0.25">
      <c r="A114" s="502" t="s">
        <v>166</v>
      </c>
      <c r="B114" s="503" t="s">
        <v>167</v>
      </c>
      <c r="C114" s="558" t="s">
        <v>268</v>
      </c>
      <c r="D114" s="266">
        <v>34</v>
      </c>
      <c r="E114" s="2423">
        <v>23</v>
      </c>
      <c r="F114" s="2423">
        <v>18</v>
      </c>
      <c r="G114" s="2423">
        <v>6</v>
      </c>
    </row>
    <row r="115" spans="1:7" x14ac:dyDescent="0.25">
      <c r="A115" s="502" t="s">
        <v>176</v>
      </c>
      <c r="B115" s="503" t="s">
        <v>177</v>
      </c>
      <c r="C115" s="558" t="s">
        <v>266</v>
      </c>
      <c r="D115" s="266">
        <v>814</v>
      </c>
      <c r="E115" s="2423">
        <v>604</v>
      </c>
      <c r="F115" s="2423">
        <v>427</v>
      </c>
      <c r="G115" s="2423">
        <v>386</v>
      </c>
    </row>
    <row r="116" spans="1:7" x14ac:dyDescent="0.25">
      <c r="A116" s="502" t="s">
        <v>180</v>
      </c>
      <c r="B116" s="503" t="s">
        <v>181</v>
      </c>
      <c r="C116" s="558" t="s">
        <v>264</v>
      </c>
      <c r="D116" s="266">
        <v>1107</v>
      </c>
      <c r="E116" s="2423">
        <v>1208</v>
      </c>
      <c r="F116" s="2423">
        <v>999</v>
      </c>
      <c r="G116" s="2423">
        <v>828</v>
      </c>
    </row>
    <row r="117" spans="1:7" x14ac:dyDescent="0.25">
      <c r="A117" s="502" t="s">
        <v>192</v>
      </c>
      <c r="B117" s="503" t="s">
        <v>193</v>
      </c>
      <c r="C117" s="558" t="s">
        <v>268</v>
      </c>
      <c r="D117" s="266">
        <v>85</v>
      </c>
      <c r="E117" s="2423">
        <v>79</v>
      </c>
      <c r="F117" s="2423">
        <v>62</v>
      </c>
      <c r="G117" s="2423">
        <v>55</v>
      </c>
    </row>
    <row r="118" spans="1:7" x14ac:dyDescent="0.25">
      <c r="A118" s="502" t="s">
        <v>196</v>
      </c>
      <c r="B118" s="503" t="s">
        <v>197</v>
      </c>
      <c r="C118" s="558" t="s">
        <v>266</v>
      </c>
      <c r="D118" s="266">
        <v>2778</v>
      </c>
      <c r="E118" s="2423">
        <v>2598</v>
      </c>
      <c r="F118" s="2423">
        <v>2043</v>
      </c>
      <c r="G118" s="2423">
        <v>1739</v>
      </c>
    </row>
    <row r="119" spans="1:7" x14ac:dyDescent="0.25">
      <c r="A119" s="502" t="s">
        <v>200</v>
      </c>
      <c r="B119" s="503" t="s">
        <v>201</v>
      </c>
      <c r="C119" s="558" t="s">
        <v>265</v>
      </c>
      <c r="D119" s="266">
        <v>1575</v>
      </c>
      <c r="E119" s="2423">
        <v>1602</v>
      </c>
      <c r="F119" s="2423">
        <v>1460</v>
      </c>
      <c r="G119" s="2423">
        <v>1314</v>
      </c>
    </row>
    <row r="120" spans="1:7" x14ac:dyDescent="0.25">
      <c r="A120" s="502" t="s">
        <v>222</v>
      </c>
      <c r="B120" s="503" t="s">
        <v>223</v>
      </c>
      <c r="C120" s="558" t="s">
        <v>264</v>
      </c>
      <c r="D120" s="266">
        <v>464</v>
      </c>
      <c r="E120" s="2423">
        <v>414</v>
      </c>
      <c r="F120" s="2423">
        <v>354</v>
      </c>
      <c r="G120" s="2423">
        <v>333</v>
      </c>
    </row>
    <row r="121" spans="1:7" x14ac:dyDescent="0.25">
      <c r="A121" s="502" t="s">
        <v>230</v>
      </c>
      <c r="B121" s="503" t="s">
        <v>231</v>
      </c>
      <c r="C121" s="558" t="s">
        <v>264</v>
      </c>
      <c r="D121" s="266">
        <v>2937</v>
      </c>
      <c r="E121" s="2423">
        <v>2407</v>
      </c>
      <c r="F121" s="2423">
        <v>1918</v>
      </c>
      <c r="G121" s="2423">
        <v>1923</v>
      </c>
    </row>
    <row r="122" spans="1:7" x14ac:dyDescent="0.25">
      <c r="A122" s="502" t="s">
        <v>238</v>
      </c>
      <c r="B122" s="503" t="s">
        <v>239</v>
      </c>
      <c r="C122" s="558" t="s">
        <v>264</v>
      </c>
      <c r="D122" s="266">
        <v>99</v>
      </c>
      <c r="E122" s="2423">
        <v>94</v>
      </c>
      <c r="F122" s="2423">
        <v>79</v>
      </c>
      <c r="G122" s="2423">
        <v>80</v>
      </c>
    </row>
    <row r="123" spans="1:7" x14ac:dyDescent="0.25">
      <c r="A123" s="502" t="s">
        <v>240</v>
      </c>
      <c r="B123" s="503" t="s">
        <v>241</v>
      </c>
      <c r="C123" s="558" t="s">
        <v>267</v>
      </c>
      <c r="D123" s="266">
        <v>171</v>
      </c>
      <c r="E123" s="2423">
        <v>195</v>
      </c>
      <c r="F123" s="2423">
        <v>142</v>
      </c>
      <c r="G123" s="2423">
        <v>127</v>
      </c>
    </row>
    <row r="125" spans="1:7" s="505" customFormat="1" ht="32.25" customHeight="1" x14ac:dyDescent="0.25">
      <c r="A125" s="2737" t="s">
        <v>1402</v>
      </c>
      <c r="B125" s="2737"/>
      <c r="C125" s="2737"/>
      <c r="D125" s="2737"/>
      <c r="E125" s="2737"/>
      <c r="F125" s="2737"/>
      <c r="G125" s="2417"/>
    </row>
    <row r="126" spans="1:7" s="505" customFormat="1" x14ac:dyDescent="0.25">
      <c r="A126" s="2737"/>
      <c r="B126" s="2737"/>
      <c r="C126" s="2737"/>
      <c r="D126" s="2737"/>
      <c r="E126" s="2737"/>
      <c r="F126" s="2737"/>
      <c r="G126" s="2417"/>
    </row>
    <row r="127" spans="1:7" s="505" customFormat="1" x14ac:dyDescent="0.25">
      <c r="A127" s="2737"/>
      <c r="B127" s="2737"/>
      <c r="C127" s="2737"/>
      <c r="D127" s="2737"/>
      <c r="E127" s="2737"/>
      <c r="F127" s="2737"/>
      <c r="G127" s="2417"/>
    </row>
    <row r="128" spans="1:7" s="505" customFormat="1" x14ac:dyDescent="0.25">
      <c r="A128" s="2418"/>
      <c r="B128" s="2418"/>
      <c r="C128" s="2418"/>
      <c r="D128" s="2418"/>
    </row>
    <row r="129" spans="1:3" s="389" customFormat="1" x14ac:dyDescent="0.25">
      <c r="A129" s="389" t="s">
        <v>248</v>
      </c>
    </row>
    <row r="130" spans="1:3" s="389" customFormat="1" x14ac:dyDescent="0.25">
      <c r="A130" s="390" t="s">
        <v>249</v>
      </c>
      <c r="B130" s="391" t="s">
        <v>250</v>
      </c>
      <c r="C130" s="391"/>
    </row>
  </sheetData>
  <mergeCells count="1">
    <mergeCell ref="A125:F127"/>
  </mergeCells>
  <hyperlinks>
    <hyperlink ref="B130" r:id="rId1"/>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29"/>
  <sheetViews>
    <sheetView topLeftCell="A4" workbookViewId="0">
      <selection activeCell="A4" sqref="A4:K124"/>
    </sheetView>
  </sheetViews>
  <sheetFormatPr defaultRowHeight="15.75" x14ac:dyDescent="0.25"/>
  <cols>
    <col min="1" max="1" width="5.875" style="505" customWidth="1"/>
    <col min="2" max="2" width="30.25" style="505" customWidth="1"/>
    <col min="3" max="3" width="12.375" style="505" customWidth="1"/>
    <col min="4" max="11" width="10.875" style="505" customWidth="1"/>
    <col min="12" max="12" width="2.5" style="505" customWidth="1"/>
    <col min="13" max="16384" width="9" style="505"/>
  </cols>
  <sheetData>
    <row r="1" spans="1:11" x14ac:dyDescent="0.25">
      <c r="A1" s="255" t="s">
        <v>1428</v>
      </c>
    </row>
    <row r="3" spans="1:11" x14ac:dyDescent="0.25">
      <c r="A3" s="607" t="s">
        <v>4</v>
      </c>
      <c r="B3" s="567" t="s">
        <v>5</v>
      </c>
      <c r="C3" s="567" t="s">
        <v>251</v>
      </c>
      <c r="D3" s="613" t="s">
        <v>1429</v>
      </c>
      <c r="E3" s="613" t="s">
        <v>1430</v>
      </c>
      <c r="F3" s="613" t="s">
        <v>1431</v>
      </c>
      <c r="G3" s="613" t="s">
        <v>1432</v>
      </c>
      <c r="H3" s="613" t="s">
        <v>859</v>
      </c>
      <c r="I3" s="1337" t="s">
        <v>1073</v>
      </c>
      <c r="J3" s="1337" t="s">
        <v>1181</v>
      </c>
      <c r="K3" s="2265" t="s">
        <v>1433</v>
      </c>
    </row>
    <row r="4" spans="1:11" x14ac:dyDescent="0.25">
      <c r="A4" s="572">
        <v>999</v>
      </c>
      <c r="B4" s="600" t="s">
        <v>9</v>
      </c>
      <c r="C4" s="568"/>
      <c r="D4" s="532">
        <v>63077</v>
      </c>
      <c r="E4" s="532">
        <v>63449</v>
      </c>
      <c r="F4" s="532">
        <v>59998</v>
      </c>
      <c r="G4" s="532">
        <v>56160</v>
      </c>
      <c r="H4" s="532">
        <v>50841</v>
      </c>
      <c r="I4" s="1358">
        <v>47911</v>
      </c>
      <c r="J4" s="1358">
        <v>43366</v>
      </c>
      <c r="K4" s="2429">
        <v>35433</v>
      </c>
    </row>
    <row r="5" spans="1:11" x14ac:dyDescent="0.25">
      <c r="A5" s="524" t="s">
        <v>10</v>
      </c>
      <c r="B5" s="569" t="s">
        <v>11</v>
      </c>
      <c r="C5" s="569" t="s">
        <v>264</v>
      </c>
      <c r="D5" s="518">
        <v>375</v>
      </c>
      <c r="E5" s="518">
        <v>374</v>
      </c>
      <c r="F5" s="518">
        <v>387</v>
      </c>
      <c r="G5" s="518">
        <v>379</v>
      </c>
      <c r="H5" s="518">
        <v>321</v>
      </c>
      <c r="I5" s="1356">
        <v>275</v>
      </c>
      <c r="J5" s="1587">
        <v>245</v>
      </c>
      <c r="K5" s="2430">
        <v>171</v>
      </c>
    </row>
    <row r="6" spans="1:11" x14ac:dyDescent="0.25">
      <c r="A6" s="602" t="s">
        <v>12</v>
      </c>
      <c r="B6" s="603" t="s">
        <v>13</v>
      </c>
      <c r="C6" s="603" t="s">
        <v>265</v>
      </c>
      <c r="D6" s="604">
        <v>333</v>
      </c>
      <c r="E6" s="604">
        <v>309</v>
      </c>
      <c r="F6" s="604">
        <v>271</v>
      </c>
      <c r="G6" s="604">
        <v>292</v>
      </c>
      <c r="H6" s="604">
        <v>280</v>
      </c>
      <c r="I6" s="1356">
        <v>230</v>
      </c>
      <c r="J6" s="1587">
        <v>225</v>
      </c>
      <c r="K6" s="2430">
        <v>197</v>
      </c>
    </row>
    <row r="7" spans="1:11" x14ac:dyDescent="0.25">
      <c r="A7" s="602" t="s">
        <v>16</v>
      </c>
      <c r="B7" s="603" t="s">
        <v>297</v>
      </c>
      <c r="C7" s="603" t="s">
        <v>265</v>
      </c>
      <c r="D7" s="604">
        <v>228</v>
      </c>
      <c r="E7" s="604">
        <v>220</v>
      </c>
      <c r="F7" s="604">
        <v>187</v>
      </c>
      <c r="G7" s="604">
        <v>188</v>
      </c>
      <c r="H7" s="604">
        <v>171</v>
      </c>
      <c r="I7" s="1356">
        <v>156</v>
      </c>
      <c r="J7" s="1587">
        <v>145</v>
      </c>
      <c r="K7" s="2430">
        <v>121</v>
      </c>
    </row>
    <row r="8" spans="1:11" x14ac:dyDescent="0.25">
      <c r="A8" s="602" t="s">
        <v>18</v>
      </c>
      <c r="B8" s="603" t="s">
        <v>19</v>
      </c>
      <c r="C8" s="603" t="s">
        <v>266</v>
      </c>
      <c r="D8" s="604">
        <v>152</v>
      </c>
      <c r="E8" s="604">
        <v>147</v>
      </c>
      <c r="F8" s="604">
        <v>142</v>
      </c>
      <c r="G8" s="604">
        <v>129</v>
      </c>
      <c r="H8" s="604">
        <v>96</v>
      </c>
      <c r="I8" s="1356">
        <v>72</v>
      </c>
      <c r="J8" s="1587">
        <v>50</v>
      </c>
      <c r="K8" s="2430">
        <v>46</v>
      </c>
    </row>
    <row r="9" spans="1:11" x14ac:dyDescent="0.25">
      <c r="A9" s="602" t="s">
        <v>20</v>
      </c>
      <c r="B9" s="603" t="s">
        <v>21</v>
      </c>
      <c r="C9" s="603" t="s">
        <v>265</v>
      </c>
      <c r="D9" s="604">
        <v>219</v>
      </c>
      <c r="E9" s="604">
        <v>196</v>
      </c>
      <c r="F9" s="604">
        <v>187</v>
      </c>
      <c r="G9" s="604">
        <v>192</v>
      </c>
      <c r="H9" s="604">
        <v>166</v>
      </c>
      <c r="I9" s="1356">
        <v>158</v>
      </c>
      <c r="J9" s="1587">
        <v>147</v>
      </c>
      <c r="K9" s="2430">
        <v>136</v>
      </c>
    </row>
    <row r="10" spans="1:11" x14ac:dyDescent="0.25">
      <c r="A10" s="602" t="s">
        <v>22</v>
      </c>
      <c r="B10" s="603" t="s">
        <v>23</v>
      </c>
      <c r="C10" s="603" t="s">
        <v>265</v>
      </c>
      <c r="D10" s="604">
        <v>174</v>
      </c>
      <c r="E10" s="604">
        <v>162</v>
      </c>
      <c r="F10" s="604">
        <v>167</v>
      </c>
      <c r="G10" s="604">
        <v>177</v>
      </c>
      <c r="H10" s="604">
        <v>171</v>
      </c>
      <c r="I10" s="1356">
        <v>140</v>
      </c>
      <c r="J10" s="1587">
        <v>115</v>
      </c>
      <c r="K10" s="2430">
        <v>74</v>
      </c>
    </row>
    <row r="11" spans="1:11" x14ac:dyDescent="0.25">
      <c r="A11" s="602" t="s">
        <v>24</v>
      </c>
      <c r="B11" s="603" t="s">
        <v>25</v>
      </c>
      <c r="C11" s="603" t="s">
        <v>267</v>
      </c>
      <c r="D11" s="604">
        <v>605</v>
      </c>
      <c r="E11" s="604">
        <v>574</v>
      </c>
      <c r="F11" s="604">
        <v>535</v>
      </c>
      <c r="G11" s="604">
        <v>478</v>
      </c>
      <c r="H11" s="604">
        <v>416</v>
      </c>
      <c r="I11" s="1356">
        <v>374</v>
      </c>
      <c r="J11" s="1587">
        <v>352</v>
      </c>
      <c r="K11" s="2430">
        <v>299</v>
      </c>
    </row>
    <row r="12" spans="1:11" x14ac:dyDescent="0.25">
      <c r="A12" s="602" t="s">
        <v>26</v>
      </c>
      <c r="B12" s="603" t="s">
        <v>685</v>
      </c>
      <c r="C12" s="603" t="s">
        <v>265</v>
      </c>
      <c r="D12" s="604">
        <v>1272</v>
      </c>
      <c r="E12" s="604">
        <v>1224</v>
      </c>
      <c r="F12" s="604">
        <v>1139</v>
      </c>
      <c r="G12" s="604">
        <v>1087</v>
      </c>
      <c r="H12" s="604">
        <v>934</v>
      </c>
      <c r="I12" s="1356">
        <v>738</v>
      </c>
      <c r="J12" s="1587">
        <v>668</v>
      </c>
      <c r="K12" s="2430">
        <v>655</v>
      </c>
    </row>
    <row r="13" spans="1:11" x14ac:dyDescent="0.25">
      <c r="A13" s="602" t="s">
        <v>27</v>
      </c>
      <c r="B13" s="603" t="s">
        <v>28</v>
      </c>
      <c r="C13" s="603" t="s">
        <v>265</v>
      </c>
      <c r="D13" s="604">
        <v>18</v>
      </c>
      <c r="E13" s="604">
        <v>15</v>
      </c>
      <c r="F13" s="604">
        <v>14</v>
      </c>
      <c r="G13" s="604">
        <v>9</v>
      </c>
      <c r="H13" s="604">
        <v>9</v>
      </c>
      <c r="I13" s="1356">
        <v>7</v>
      </c>
      <c r="J13" s="1587">
        <v>7</v>
      </c>
      <c r="K13" s="2430">
        <v>12</v>
      </c>
    </row>
    <row r="14" spans="1:11" x14ac:dyDescent="0.25">
      <c r="A14" s="602" t="s">
        <v>29</v>
      </c>
      <c r="B14" s="603" t="s">
        <v>901</v>
      </c>
      <c r="C14" s="603" t="s">
        <v>265</v>
      </c>
      <c r="D14" s="604">
        <v>431</v>
      </c>
      <c r="E14" s="604">
        <v>470</v>
      </c>
      <c r="F14" s="604">
        <v>427</v>
      </c>
      <c r="G14" s="604">
        <v>387</v>
      </c>
      <c r="H14" s="604">
        <v>405</v>
      </c>
      <c r="I14" s="1356">
        <v>325</v>
      </c>
      <c r="J14" s="1587">
        <v>288</v>
      </c>
      <c r="K14" s="2430">
        <v>222</v>
      </c>
    </row>
    <row r="15" spans="1:11" x14ac:dyDescent="0.25">
      <c r="A15" s="602" t="s">
        <v>30</v>
      </c>
      <c r="B15" s="603" t="s">
        <v>31</v>
      </c>
      <c r="C15" s="603" t="s">
        <v>268</v>
      </c>
      <c r="D15" s="604">
        <v>27</v>
      </c>
      <c r="E15" s="604">
        <v>41</v>
      </c>
      <c r="F15" s="604">
        <v>37</v>
      </c>
      <c r="G15" s="604">
        <v>30</v>
      </c>
      <c r="H15" s="604">
        <v>29</v>
      </c>
      <c r="I15" s="1356">
        <v>24</v>
      </c>
      <c r="J15" s="1587">
        <v>27</v>
      </c>
      <c r="K15" s="2430">
        <v>24</v>
      </c>
    </row>
    <row r="16" spans="1:11" x14ac:dyDescent="0.25">
      <c r="A16" s="602" t="s">
        <v>32</v>
      </c>
      <c r="B16" s="603" t="s">
        <v>33</v>
      </c>
      <c r="C16" s="603" t="s">
        <v>265</v>
      </c>
      <c r="D16" s="604">
        <v>88</v>
      </c>
      <c r="E16" s="604">
        <v>90</v>
      </c>
      <c r="F16" s="604">
        <v>90</v>
      </c>
      <c r="G16" s="604">
        <v>80</v>
      </c>
      <c r="H16" s="604">
        <v>70</v>
      </c>
      <c r="I16" s="1356">
        <v>66</v>
      </c>
      <c r="J16" s="1587">
        <v>73</v>
      </c>
      <c r="K16" s="2430">
        <v>60</v>
      </c>
    </row>
    <row r="17" spans="1:11" x14ac:dyDescent="0.25">
      <c r="A17" s="602" t="s">
        <v>36</v>
      </c>
      <c r="B17" s="603" t="s">
        <v>37</v>
      </c>
      <c r="C17" s="603" t="s">
        <v>264</v>
      </c>
      <c r="D17" s="604">
        <v>233</v>
      </c>
      <c r="E17" s="604">
        <v>220</v>
      </c>
      <c r="F17" s="604">
        <v>214</v>
      </c>
      <c r="G17" s="604">
        <v>194</v>
      </c>
      <c r="H17" s="604">
        <v>180</v>
      </c>
      <c r="I17" s="1356">
        <v>155</v>
      </c>
      <c r="J17" s="1587">
        <v>131</v>
      </c>
      <c r="K17" s="2430">
        <v>106</v>
      </c>
    </row>
    <row r="18" spans="1:11" x14ac:dyDescent="0.25">
      <c r="A18" s="602" t="s">
        <v>38</v>
      </c>
      <c r="B18" s="603" t="s">
        <v>39</v>
      </c>
      <c r="C18" s="603" t="s">
        <v>268</v>
      </c>
      <c r="D18" s="604">
        <v>310</v>
      </c>
      <c r="E18" s="604">
        <v>261</v>
      </c>
      <c r="F18" s="604">
        <v>223</v>
      </c>
      <c r="G18" s="604">
        <v>263</v>
      </c>
      <c r="H18" s="604">
        <v>254</v>
      </c>
      <c r="I18" s="1356">
        <v>247</v>
      </c>
      <c r="J18" s="1587">
        <v>209</v>
      </c>
      <c r="K18" s="2430">
        <v>163</v>
      </c>
    </row>
    <row r="19" spans="1:11" x14ac:dyDescent="0.25">
      <c r="A19" s="602" t="s">
        <v>40</v>
      </c>
      <c r="B19" s="603" t="s">
        <v>41</v>
      </c>
      <c r="C19" s="603" t="s">
        <v>266</v>
      </c>
      <c r="D19" s="604">
        <v>178</v>
      </c>
      <c r="E19" s="604">
        <v>142</v>
      </c>
      <c r="F19" s="604">
        <v>137</v>
      </c>
      <c r="G19" s="604">
        <v>135</v>
      </c>
      <c r="H19" s="604">
        <v>117</v>
      </c>
      <c r="I19" s="1356">
        <v>109</v>
      </c>
      <c r="J19" s="1587">
        <v>98</v>
      </c>
      <c r="K19" s="2430">
        <v>78</v>
      </c>
    </row>
    <row r="20" spans="1:11" x14ac:dyDescent="0.25">
      <c r="A20" s="602" t="s">
        <v>42</v>
      </c>
      <c r="B20" s="603" t="s">
        <v>43</v>
      </c>
      <c r="C20" s="603" t="s">
        <v>265</v>
      </c>
      <c r="D20" s="604">
        <v>540</v>
      </c>
      <c r="E20" s="604">
        <v>544</v>
      </c>
      <c r="F20" s="604">
        <v>560</v>
      </c>
      <c r="G20" s="604">
        <v>498</v>
      </c>
      <c r="H20" s="604">
        <v>437</v>
      </c>
      <c r="I20" s="1356">
        <v>392</v>
      </c>
      <c r="J20" s="1587">
        <v>358</v>
      </c>
      <c r="K20" s="2430">
        <v>264</v>
      </c>
    </row>
    <row r="21" spans="1:11" x14ac:dyDescent="0.25">
      <c r="A21" s="602" t="s">
        <v>44</v>
      </c>
      <c r="B21" s="603" t="s">
        <v>45</v>
      </c>
      <c r="C21" s="603" t="s">
        <v>266</v>
      </c>
      <c r="D21" s="604">
        <v>380</v>
      </c>
      <c r="E21" s="604">
        <v>390</v>
      </c>
      <c r="F21" s="604">
        <v>355</v>
      </c>
      <c r="G21" s="604">
        <v>332</v>
      </c>
      <c r="H21" s="604">
        <v>295</v>
      </c>
      <c r="I21" s="1356">
        <v>258</v>
      </c>
      <c r="J21" s="1587">
        <v>219</v>
      </c>
      <c r="K21" s="2430">
        <v>173</v>
      </c>
    </row>
    <row r="22" spans="1:11" x14ac:dyDescent="0.25">
      <c r="A22" s="602" t="s">
        <v>46</v>
      </c>
      <c r="B22" s="603" t="s">
        <v>47</v>
      </c>
      <c r="C22" s="603" t="s">
        <v>268</v>
      </c>
      <c r="D22" s="604">
        <v>258</v>
      </c>
      <c r="E22" s="604">
        <v>233</v>
      </c>
      <c r="F22" s="604">
        <v>242</v>
      </c>
      <c r="G22" s="604">
        <v>205</v>
      </c>
      <c r="H22" s="604">
        <v>174</v>
      </c>
      <c r="I22" s="1356">
        <v>156</v>
      </c>
      <c r="J22" s="1587">
        <v>137</v>
      </c>
      <c r="K22" s="2430">
        <v>146</v>
      </c>
    </row>
    <row r="23" spans="1:11" x14ac:dyDescent="0.25">
      <c r="A23" s="602" t="s">
        <v>48</v>
      </c>
      <c r="B23" s="603" t="s">
        <v>269</v>
      </c>
      <c r="C23" s="603" t="s">
        <v>266</v>
      </c>
      <c r="D23" s="604">
        <v>38</v>
      </c>
      <c r="E23" s="604">
        <v>53</v>
      </c>
      <c r="F23" s="604">
        <v>46</v>
      </c>
      <c r="G23" s="604">
        <v>38</v>
      </c>
      <c r="H23" s="604">
        <v>31</v>
      </c>
      <c r="I23" s="1356">
        <v>34</v>
      </c>
      <c r="J23" s="1587">
        <v>32</v>
      </c>
      <c r="K23" s="2430">
        <v>16</v>
      </c>
    </row>
    <row r="24" spans="1:11" x14ac:dyDescent="0.25">
      <c r="A24" s="602" t="s">
        <v>50</v>
      </c>
      <c r="B24" s="603" t="s">
        <v>51</v>
      </c>
      <c r="C24" s="603" t="s">
        <v>265</v>
      </c>
      <c r="D24" s="604">
        <v>152</v>
      </c>
      <c r="E24" s="604">
        <v>150</v>
      </c>
      <c r="F24" s="604">
        <v>157</v>
      </c>
      <c r="G24" s="604">
        <v>158</v>
      </c>
      <c r="H24" s="604">
        <v>129</v>
      </c>
      <c r="I24" s="1356">
        <v>112</v>
      </c>
      <c r="J24" s="1587">
        <v>89</v>
      </c>
      <c r="K24" s="2430">
        <v>90</v>
      </c>
    </row>
    <row r="25" spans="1:11" x14ac:dyDescent="0.25">
      <c r="A25" s="602" t="s">
        <v>56</v>
      </c>
      <c r="B25" s="603" t="s">
        <v>295</v>
      </c>
      <c r="C25" s="603" t="s">
        <v>266</v>
      </c>
      <c r="D25" s="604">
        <v>2119</v>
      </c>
      <c r="E25" s="604">
        <v>2155</v>
      </c>
      <c r="F25" s="604">
        <v>2054</v>
      </c>
      <c r="G25" s="604">
        <v>1901</v>
      </c>
      <c r="H25" s="604">
        <v>1640</v>
      </c>
      <c r="I25" s="1356">
        <v>1328</v>
      </c>
      <c r="J25" s="1587">
        <v>1146</v>
      </c>
      <c r="K25" s="2430">
        <v>1021</v>
      </c>
    </row>
    <row r="26" spans="1:11" x14ac:dyDescent="0.25">
      <c r="A26" s="602" t="s">
        <v>58</v>
      </c>
      <c r="B26" s="603" t="s">
        <v>59</v>
      </c>
      <c r="C26" s="603" t="s">
        <v>267</v>
      </c>
      <c r="D26" s="604">
        <v>41</v>
      </c>
      <c r="E26" s="604">
        <v>43</v>
      </c>
      <c r="F26" s="604">
        <v>40</v>
      </c>
      <c r="G26" s="604">
        <v>38</v>
      </c>
      <c r="H26" s="604">
        <v>29</v>
      </c>
      <c r="I26" s="1356">
        <v>21</v>
      </c>
      <c r="J26" s="1587">
        <v>17</v>
      </c>
      <c r="K26" s="2430">
        <v>16</v>
      </c>
    </row>
    <row r="27" spans="1:11" x14ac:dyDescent="0.25">
      <c r="A27" s="602" t="s">
        <v>60</v>
      </c>
      <c r="B27" s="603" t="s">
        <v>61</v>
      </c>
      <c r="C27" s="603" t="s">
        <v>265</v>
      </c>
      <c r="D27" s="604">
        <v>21</v>
      </c>
      <c r="E27" s="604">
        <v>24</v>
      </c>
      <c r="F27" s="604">
        <v>26</v>
      </c>
      <c r="G27" s="604">
        <v>21</v>
      </c>
      <c r="H27" s="604">
        <v>22</v>
      </c>
      <c r="I27" s="1356">
        <v>26</v>
      </c>
      <c r="J27" s="1587">
        <v>24</v>
      </c>
      <c r="K27" s="2430">
        <v>17</v>
      </c>
    </row>
    <row r="28" spans="1:11" x14ac:dyDescent="0.25">
      <c r="A28" s="602" t="s">
        <v>62</v>
      </c>
      <c r="B28" s="603" t="s">
        <v>63</v>
      </c>
      <c r="C28" s="603" t="s">
        <v>267</v>
      </c>
      <c r="D28" s="604">
        <v>386</v>
      </c>
      <c r="E28" s="604">
        <v>364</v>
      </c>
      <c r="F28" s="604">
        <v>338</v>
      </c>
      <c r="G28" s="604">
        <v>337</v>
      </c>
      <c r="H28" s="604">
        <v>291</v>
      </c>
      <c r="I28" s="1356">
        <v>241</v>
      </c>
      <c r="J28" s="1587">
        <v>227</v>
      </c>
      <c r="K28" s="2430">
        <v>200</v>
      </c>
    </row>
    <row r="29" spans="1:11" x14ac:dyDescent="0.25">
      <c r="A29" s="602" t="s">
        <v>64</v>
      </c>
      <c r="B29" s="603" t="s">
        <v>65</v>
      </c>
      <c r="C29" s="603" t="s">
        <v>266</v>
      </c>
      <c r="D29" s="604">
        <v>122</v>
      </c>
      <c r="E29" s="604">
        <v>123</v>
      </c>
      <c r="F29" s="604">
        <v>115</v>
      </c>
      <c r="G29" s="604">
        <v>131</v>
      </c>
      <c r="H29" s="604">
        <v>105</v>
      </c>
      <c r="I29" s="1356">
        <v>102</v>
      </c>
      <c r="J29" s="1587">
        <v>86</v>
      </c>
      <c r="K29" s="2430">
        <v>60</v>
      </c>
    </row>
    <row r="30" spans="1:11" x14ac:dyDescent="0.25">
      <c r="A30" s="602" t="s">
        <v>68</v>
      </c>
      <c r="B30" s="603" t="s">
        <v>69</v>
      </c>
      <c r="C30" s="603" t="s">
        <v>268</v>
      </c>
      <c r="D30" s="604">
        <v>195</v>
      </c>
      <c r="E30" s="604">
        <v>174</v>
      </c>
      <c r="F30" s="604">
        <v>158</v>
      </c>
      <c r="G30" s="604">
        <v>132</v>
      </c>
      <c r="H30" s="604">
        <v>129</v>
      </c>
      <c r="I30" s="1356">
        <v>110</v>
      </c>
      <c r="J30" s="1587">
        <v>90</v>
      </c>
      <c r="K30" s="2430">
        <v>81</v>
      </c>
    </row>
    <row r="31" spans="1:11" x14ac:dyDescent="0.25">
      <c r="A31" s="602" t="s">
        <v>70</v>
      </c>
      <c r="B31" s="603" t="s">
        <v>71</v>
      </c>
      <c r="C31" s="603" t="s">
        <v>264</v>
      </c>
      <c r="D31" s="604">
        <v>282</v>
      </c>
      <c r="E31" s="604">
        <v>269</v>
      </c>
      <c r="F31" s="604">
        <v>258</v>
      </c>
      <c r="G31" s="604">
        <v>252</v>
      </c>
      <c r="H31" s="604">
        <v>253</v>
      </c>
      <c r="I31" s="1356">
        <v>208</v>
      </c>
      <c r="J31" s="1587">
        <v>178</v>
      </c>
      <c r="K31" s="2430">
        <v>118</v>
      </c>
    </row>
    <row r="32" spans="1:11" x14ac:dyDescent="0.25">
      <c r="A32" s="602" t="s">
        <v>72</v>
      </c>
      <c r="B32" s="603" t="s">
        <v>73</v>
      </c>
      <c r="C32" s="603" t="s">
        <v>266</v>
      </c>
      <c r="D32" s="604">
        <v>174</v>
      </c>
      <c r="E32" s="604">
        <v>153</v>
      </c>
      <c r="F32" s="604">
        <v>157</v>
      </c>
      <c r="G32" s="604">
        <v>132</v>
      </c>
      <c r="H32" s="604">
        <v>122</v>
      </c>
      <c r="I32" s="1356">
        <v>117</v>
      </c>
      <c r="J32" s="1587">
        <v>108</v>
      </c>
      <c r="K32" s="2430">
        <v>91</v>
      </c>
    </row>
    <row r="33" spans="1:11" x14ac:dyDescent="0.25">
      <c r="A33" s="602" t="s">
        <v>74</v>
      </c>
      <c r="B33" s="603" t="s">
        <v>296</v>
      </c>
      <c r="C33" s="603" t="s">
        <v>267</v>
      </c>
      <c r="D33" s="604">
        <v>2998</v>
      </c>
      <c r="E33" s="604">
        <v>3111</v>
      </c>
      <c r="F33" s="604">
        <v>2893</v>
      </c>
      <c r="G33" s="604">
        <v>2797</v>
      </c>
      <c r="H33" s="604">
        <v>2474</v>
      </c>
      <c r="I33" s="1356">
        <v>2061</v>
      </c>
      <c r="J33" s="1587">
        <v>1878</v>
      </c>
      <c r="K33" s="2430">
        <v>1600</v>
      </c>
    </row>
    <row r="34" spans="1:11" x14ac:dyDescent="0.25">
      <c r="A34" s="602" t="s">
        <v>76</v>
      </c>
      <c r="B34" s="603" t="s">
        <v>77</v>
      </c>
      <c r="C34" s="603" t="s">
        <v>267</v>
      </c>
      <c r="D34" s="604">
        <v>240</v>
      </c>
      <c r="E34" s="604">
        <v>228</v>
      </c>
      <c r="F34" s="604">
        <v>219</v>
      </c>
      <c r="G34" s="604">
        <v>186</v>
      </c>
      <c r="H34" s="604">
        <v>158</v>
      </c>
      <c r="I34" s="1356">
        <v>143</v>
      </c>
      <c r="J34" s="1587">
        <v>134</v>
      </c>
      <c r="K34" s="2430">
        <v>117</v>
      </c>
    </row>
    <row r="35" spans="1:11" x14ac:dyDescent="0.25">
      <c r="A35" s="602" t="s">
        <v>78</v>
      </c>
      <c r="B35" s="603" t="s">
        <v>79</v>
      </c>
      <c r="C35" s="603" t="s">
        <v>268</v>
      </c>
      <c r="D35" s="604">
        <v>96</v>
      </c>
      <c r="E35" s="604">
        <v>112</v>
      </c>
      <c r="F35" s="604">
        <v>118</v>
      </c>
      <c r="G35" s="604">
        <v>118</v>
      </c>
      <c r="H35" s="604">
        <v>92</v>
      </c>
      <c r="I35" s="1356">
        <v>73</v>
      </c>
      <c r="J35" s="1587">
        <v>79</v>
      </c>
      <c r="K35" s="2430">
        <v>81</v>
      </c>
    </row>
    <row r="36" spans="1:11" x14ac:dyDescent="0.25">
      <c r="A36" s="602" t="s">
        <v>80</v>
      </c>
      <c r="B36" s="603" t="s">
        <v>81</v>
      </c>
      <c r="C36" s="603" t="s">
        <v>266</v>
      </c>
      <c r="D36" s="604">
        <v>75</v>
      </c>
      <c r="E36" s="604">
        <v>99</v>
      </c>
      <c r="F36" s="604">
        <v>109</v>
      </c>
      <c r="G36" s="604">
        <v>105</v>
      </c>
      <c r="H36" s="604">
        <v>87</v>
      </c>
      <c r="I36" s="1356">
        <v>90</v>
      </c>
      <c r="J36" s="1587">
        <v>78</v>
      </c>
      <c r="K36" s="2430">
        <v>62</v>
      </c>
    </row>
    <row r="37" spans="1:11" x14ac:dyDescent="0.25">
      <c r="A37" s="602" t="s">
        <v>84</v>
      </c>
      <c r="B37" s="603" t="s">
        <v>85</v>
      </c>
      <c r="C37" s="603" t="s">
        <v>265</v>
      </c>
      <c r="D37" s="604">
        <v>469</v>
      </c>
      <c r="E37" s="604">
        <v>501</v>
      </c>
      <c r="F37" s="604">
        <v>449</v>
      </c>
      <c r="G37" s="604">
        <v>422</v>
      </c>
      <c r="H37" s="604">
        <v>387</v>
      </c>
      <c r="I37" s="1356">
        <v>326</v>
      </c>
      <c r="J37" s="1587">
        <v>305</v>
      </c>
      <c r="K37" s="2430">
        <v>244</v>
      </c>
    </row>
    <row r="38" spans="1:11" x14ac:dyDescent="0.25">
      <c r="A38" s="602" t="s">
        <v>86</v>
      </c>
      <c r="B38" s="603" t="s">
        <v>87</v>
      </c>
      <c r="C38" s="603" t="s">
        <v>267</v>
      </c>
      <c r="D38" s="604">
        <v>350</v>
      </c>
      <c r="E38" s="604">
        <v>385</v>
      </c>
      <c r="F38" s="604">
        <v>362</v>
      </c>
      <c r="G38" s="604">
        <v>326</v>
      </c>
      <c r="H38" s="604">
        <v>218</v>
      </c>
      <c r="I38" s="1356">
        <v>142</v>
      </c>
      <c r="J38" s="1587">
        <v>155</v>
      </c>
      <c r="K38" s="2430">
        <v>151</v>
      </c>
    </row>
    <row r="39" spans="1:11" x14ac:dyDescent="0.25">
      <c r="A39" s="602" t="s">
        <v>92</v>
      </c>
      <c r="B39" s="603" t="s">
        <v>93</v>
      </c>
      <c r="C39" s="603" t="s">
        <v>268</v>
      </c>
      <c r="D39" s="604">
        <v>95</v>
      </c>
      <c r="E39" s="604">
        <v>115</v>
      </c>
      <c r="F39" s="604">
        <v>105</v>
      </c>
      <c r="G39" s="604">
        <v>121</v>
      </c>
      <c r="H39" s="604">
        <v>87</v>
      </c>
      <c r="I39" s="1356">
        <v>73</v>
      </c>
      <c r="J39" s="1587">
        <v>85</v>
      </c>
      <c r="K39" s="2430">
        <v>75</v>
      </c>
    </row>
    <row r="40" spans="1:11" x14ac:dyDescent="0.25">
      <c r="A40" s="602" t="s">
        <v>94</v>
      </c>
      <c r="B40" s="603" t="s">
        <v>95</v>
      </c>
      <c r="C40" s="603" t="s">
        <v>264</v>
      </c>
      <c r="D40" s="604">
        <v>249</v>
      </c>
      <c r="E40" s="604">
        <v>219</v>
      </c>
      <c r="F40" s="604">
        <v>204</v>
      </c>
      <c r="G40" s="604">
        <v>184</v>
      </c>
      <c r="H40" s="604">
        <v>200</v>
      </c>
      <c r="I40" s="1356">
        <v>194</v>
      </c>
      <c r="J40" s="1587">
        <v>176</v>
      </c>
      <c r="K40" s="2430">
        <v>133</v>
      </c>
    </row>
    <row r="41" spans="1:11" x14ac:dyDescent="0.25">
      <c r="A41" s="602" t="s">
        <v>96</v>
      </c>
      <c r="B41" s="603" t="s">
        <v>97</v>
      </c>
      <c r="C41" s="603" t="s">
        <v>266</v>
      </c>
      <c r="D41" s="604">
        <v>81</v>
      </c>
      <c r="E41" s="604">
        <v>94</v>
      </c>
      <c r="F41" s="604">
        <v>79</v>
      </c>
      <c r="G41" s="604">
        <v>66</v>
      </c>
      <c r="H41" s="604">
        <v>47</v>
      </c>
      <c r="I41" s="1356">
        <v>49</v>
      </c>
      <c r="J41" s="1587">
        <v>46</v>
      </c>
      <c r="K41" s="2430">
        <v>37</v>
      </c>
    </row>
    <row r="42" spans="1:11" x14ac:dyDescent="0.25">
      <c r="A42" s="602" t="s">
        <v>98</v>
      </c>
      <c r="B42" s="603" t="s">
        <v>99</v>
      </c>
      <c r="C42" s="603" t="s">
        <v>268</v>
      </c>
      <c r="D42" s="604">
        <v>106</v>
      </c>
      <c r="E42" s="604">
        <v>95</v>
      </c>
      <c r="F42" s="604">
        <v>97</v>
      </c>
      <c r="G42" s="604">
        <v>90</v>
      </c>
      <c r="H42" s="604">
        <v>86</v>
      </c>
      <c r="I42" s="1356">
        <v>67</v>
      </c>
      <c r="J42" s="1587">
        <v>53</v>
      </c>
      <c r="K42" s="2430">
        <v>41</v>
      </c>
    </row>
    <row r="43" spans="1:11" x14ac:dyDescent="0.25">
      <c r="A43" s="602" t="s">
        <v>100</v>
      </c>
      <c r="B43" s="603" t="s">
        <v>101</v>
      </c>
      <c r="C43" s="603" t="s">
        <v>267</v>
      </c>
      <c r="D43" s="604">
        <v>117</v>
      </c>
      <c r="E43" s="604">
        <v>114</v>
      </c>
      <c r="F43" s="604">
        <v>105</v>
      </c>
      <c r="G43" s="604">
        <v>81</v>
      </c>
      <c r="H43" s="604">
        <v>72</v>
      </c>
      <c r="I43" s="1356">
        <v>85</v>
      </c>
      <c r="J43" s="1587">
        <v>96</v>
      </c>
      <c r="K43" s="2430">
        <v>82</v>
      </c>
    </row>
    <row r="44" spans="1:11" x14ac:dyDescent="0.25">
      <c r="A44" s="602" t="s">
        <v>102</v>
      </c>
      <c r="B44" s="603" t="s">
        <v>282</v>
      </c>
      <c r="C44" s="603" t="s">
        <v>264</v>
      </c>
      <c r="D44" s="604">
        <v>268</v>
      </c>
      <c r="E44" s="604">
        <v>301</v>
      </c>
      <c r="F44" s="604">
        <v>275</v>
      </c>
      <c r="G44" s="604">
        <v>282</v>
      </c>
      <c r="H44" s="604">
        <v>279</v>
      </c>
      <c r="I44" s="1356">
        <v>241</v>
      </c>
      <c r="J44" s="1587">
        <v>192</v>
      </c>
      <c r="K44" s="2430">
        <v>156</v>
      </c>
    </row>
    <row r="45" spans="1:11" x14ac:dyDescent="0.25">
      <c r="A45" s="602" t="s">
        <v>104</v>
      </c>
      <c r="B45" s="603" t="s">
        <v>105</v>
      </c>
      <c r="C45" s="603" t="s">
        <v>265</v>
      </c>
      <c r="D45" s="604">
        <v>482</v>
      </c>
      <c r="E45" s="604">
        <v>454</v>
      </c>
      <c r="F45" s="604">
        <v>403</v>
      </c>
      <c r="G45" s="604">
        <v>370</v>
      </c>
      <c r="H45" s="604">
        <v>336</v>
      </c>
      <c r="I45" s="1356">
        <v>299</v>
      </c>
      <c r="J45" s="1587">
        <v>268</v>
      </c>
      <c r="K45" s="2430">
        <v>207</v>
      </c>
    </row>
    <row r="46" spans="1:11" x14ac:dyDescent="0.25">
      <c r="A46" s="602" t="s">
        <v>108</v>
      </c>
      <c r="B46" s="603" t="s">
        <v>109</v>
      </c>
      <c r="C46" s="603" t="s">
        <v>266</v>
      </c>
      <c r="D46" s="604">
        <v>345</v>
      </c>
      <c r="E46" s="604">
        <v>359</v>
      </c>
      <c r="F46" s="604">
        <v>315</v>
      </c>
      <c r="G46" s="604">
        <v>280</v>
      </c>
      <c r="H46" s="604">
        <v>264</v>
      </c>
      <c r="I46" s="1356">
        <v>201</v>
      </c>
      <c r="J46" s="1587">
        <v>181</v>
      </c>
      <c r="K46" s="2430">
        <v>192</v>
      </c>
    </row>
    <row r="47" spans="1:11" x14ac:dyDescent="0.25">
      <c r="A47" s="602" t="s">
        <v>110</v>
      </c>
      <c r="B47" s="603" t="s">
        <v>111</v>
      </c>
      <c r="C47" s="603" t="s">
        <v>266</v>
      </c>
      <c r="D47" s="604">
        <v>2779</v>
      </c>
      <c r="E47" s="604">
        <v>2873</v>
      </c>
      <c r="F47" s="604">
        <v>2760</v>
      </c>
      <c r="G47" s="604">
        <v>2452</v>
      </c>
      <c r="H47" s="604">
        <v>2188</v>
      </c>
      <c r="I47" s="1356">
        <v>1957</v>
      </c>
      <c r="J47" s="1587">
        <v>1701</v>
      </c>
      <c r="K47" s="2430">
        <v>1566</v>
      </c>
    </row>
    <row r="48" spans="1:11" x14ac:dyDescent="0.25">
      <c r="A48" s="602" t="s">
        <v>112</v>
      </c>
      <c r="B48" s="603" t="s">
        <v>300</v>
      </c>
      <c r="C48" s="603" t="s">
        <v>265</v>
      </c>
      <c r="D48" s="604">
        <v>1049</v>
      </c>
      <c r="E48" s="604">
        <v>1036</v>
      </c>
      <c r="F48" s="604">
        <v>921</v>
      </c>
      <c r="G48" s="604">
        <v>831</v>
      </c>
      <c r="H48" s="604">
        <v>766</v>
      </c>
      <c r="I48" s="1356">
        <v>714</v>
      </c>
      <c r="J48" s="1587">
        <v>617</v>
      </c>
      <c r="K48" s="2430">
        <v>521</v>
      </c>
    </row>
    <row r="49" spans="1:11" x14ac:dyDescent="0.25">
      <c r="A49" s="602" t="s">
        <v>114</v>
      </c>
      <c r="B49" s="603" t="s">
        <v>115</v>
      </c>
      <c r="C49" s="603" t="s">
        <v>265</v>
      </c>
      <c r="D49" s="604">
        <v>1</v>
      </c>
      <c r="E49" s="604">
        <v>3</v>
      </c>
      <c r="F49" s="604">
        <v>3</v>
      </c>
      <c r="G49" s="604">
        <v>4</v>
      </c>
      <c r="H49" s="604">
        <v>5</v>
      </c>
      <c r="I49" s="1356">
        <v>6</v>
      </c>
      <c r="J49" s="1587">
        <v>6</v>
      </c>
      <c r="K49" s="2430">
        <v>6</v>
      </c>
    </row>
    <row r="50" spans="1:11" x14ac:dyDescent="0.25">
      <c r="A50" s="602" t="s">
        <v>118</v>
      </c>
      <c r="B50" s="603" t="s">
        <v>270</v>
      </c>
      <c r="C50" s="603" t="s">
        <v>264</v>
      </c>
      <c r="D50" s="604">
        <v>296</v>
      </c>
      <c r="E50" s="604">
        <v>298</v>
      </c>
      <c r="F50" s="604">
        <v>255</v>
      </c>
      <c r="G50" s="604">
        <v>234</v>
      </c>
      <c r="H50" s="604">
        <v>203</v>
      </c>
      <c r="I50" s="1356">
        <v>176</v>
      </c>
      <c r="J50" s="1587">
        <v>179</v>
      </c>
      <c r="K50" s="2430">
        <v>137</v>
      </c>
    </row>
    <row r="51" spans="1:11" x14ac:dyDescent="0.25">
      <c r="A51" s="602" t="s">
        <v>120</v>
      </c>
      <c r="B51" s="603" t="s">
        <v>121</v>
      </c>
      <c r="C51" s="603" t="s">
        <v>264</v>
      </c>
      <c r="D51" s="604">
        <v>285</v>
      </c>
      <c r="E51" s="604">
        <v>306</v>
      </c>
      <c r="F51" s="604">
        <v>303</v>
      </c>
      <c r="G51" s="604">
        <v>318</v>
      </c>
      <c r="H51" s="604">
        <v>276</v>
      </c>
      <c r="I51" s="1356">
        <v>264</v>
      </c>
      <c r="J51" s="1587">
        <v>264</v>
      </c>
      <c r="K51" s="2430">
        <v>207</v>
      </c>
    </row>
    <row r="52" spans="1:11" x14ac:dyDescent="0.25">
      <c r="A52" s="602" t="s">
        <v>122</v>
      </c>
      <c r="B52" s="603" t="s">
        <v>287</v>
      </c>
      <c r="C52" s="603" t="s">
        <v>266</v>
      </c>
      <c r="D52" s="604">
        <v>62</v>
      </c>
      <c r="E52" s="604">
        <v>59</v>
      </c>
      <c r="F52" s="604">
        <v>55</v>
      </c>
      <c r="G52" s="604">
        <v>48</v>
      </c>
      <c r="H52" s="604">
        <v>49</v>
      </c>
      <c r="I52" s="1356">
        <v>64</v>
      </c>
      <c r="J52" s="1587">
        <v>103</v>
      </c>
      <c r="K52" s="2430">
        <v>87</v>
      </c>
    </row>
    <row r="53" spans="1:11" x14ac:dyDescent="0.25">
      <c r="A53" s="602" t="s">
        <v>124</v>
      </c>
      <c r="B53" s="603" t="s">
        <v>125</v>
      </c>
      <c r="C53" s="603" t="s">
        <v>267</v>
      </c>
      <c r="D53" s="604">
        <v>105</v>
      </c>
      <c r="E53" s="604">
        <v>113</v>
      </c>
      <c r="F53" s="604">
        <v>111</v>
      </c>
      <c r="G53" s="604">
        <v>118</v>
      </c>
      <c r="H53" s="604">
        <v>114</v>
      </c>
      <c r="I53" s="1356">
        <v>89</v>
      </c>
      <c r="J53" s="1587">
        <v>46</v>
      </c>
      <c r="K53" s="2430">
        <v>43</v>
      </c>
    </row>
    <row r="54" spans="1:11" x14ac:dyDescent="0.25">
      <c r="A54" s="602" t="s">
        <v>126</v>
      </c>
      <c r="B54" s="603" t="s">
        <v>127</v>
      </c>
      <c r="C54" s="603" t="s">
        <v>266</v>
      </c>
      <c r="D54" s="604">
        <v>107</v>
      </c>
      <c r="E54" s="604">
        <v>106</v>
      </c>
      <c r="F54" s="604">
        <v>88</v>
      </c>
      <c r="G54" s="604">
        <v>79</v>
      </c>
      <c r="H54" s="604">
        <v>76</v>
      </c>
      <c r="I54" s="1356">
        <v>57</v>
      </c>
      <c r="J54" s="1587">
        <v>47</v>
      </c>
      <c r="K54" s="2430">
        <v>53</v>
      </c>
    </row>
    <row r="55" spans="1:11" x14ac:dyDescent="0.25">
      <c r="A55" s="602" t="s">
        <v>128</v>
      </c>
      <c r="B55" s="603" t="s">
        <v>129</v>
      </c>
      <c r="C55" s="603" t="s">
        <v>266</v>
      </c>
      <c r="D55" s="604">
        <v>81</v>
      </c>
      <c r="E55" s="604">
        <v>86</v>
      </c>
      <c r="F55" s="604">
        <v>92</v>
      </c>
      <c r="G55" s="604">
        <v>73</v>
      </c>
      <c r="H55" s="604">
        <v>73</v>
      </c>
      <c r="I55" s="1356">
        <v>71</v>
      </c>
      <c r="J55" s="1587">
        <v>72</v>
      </c>
      <c r="K55" s="2430">
        <v>55</v>
      </c>
    </row>
    <row r="56" spans="1:11" x14ac:dyDescent="0.25">
      <c r="A56" s="602" t="s">
        <v>130</v>
      </c>
      <c r="B56" s="603" t="s">
        <v>131</v>
      </c>
      <c r="C56" s="603" t="s">
        <v>268</v>
      </c>
      <c r="D56" s="604">
        <v>482</v>
      </c>
      <c r="E56" s="604">
        <v>507</v>
      </c>
      <c r="F56" s="604">
        <v>503</v>
      </c>
      <c r="G56" s="604">
        <v>500</v>
      </c>
      <c r="H56" s="604">
        <v>445</v>
      </c>
      <c r="I56" s="1356">
        <v>409</v>
      </c>
      <c r="J56" s="1587">
        <v>383</v>
      </c>
      <c r="K56" s="2430">
        <v>333</v>
      </c>
    </row>
    <row r="57" spans="1:11" x14ac:dyDescent="0.25">
      <c r="A57" s="602" t="s">
        <v>132</v>
      </c>
      <c r="B57" s="603" t="s">
        <v>133</v>
      </c>
      <c r="C57" s="603" t="s">
        <v>267</v>
      </c>
      <c r="D57" s="604">
        <v>599</v>
      </c>
      <c r="E57" s="604">
        <v>514</v>
      </c>
      <c r="F57" s="604">
        <v>513</v>
      </c>
      <c r="G57" s="604">
        <v>481</v>
      </c>
      <c r="H57" s="604">
        <v>415</v>
      </c>
      <c r="I57" s="1356">
        <v>401</v>
      </c>
      <c r="J57" s="1587">
        <v>412</v>
      </c>
      <c r="K57" s="2430">
        <v>327</v>
      </c>
    </row>
    <row r="58" spans="1:11" x14ac:dyDescent="0.25">
      <c r="A58" s="602" t="s">
        <v>134</v>
      </c>
      <c r="B58" s="603" t="s">
        <v>135</v>
      </c>
      <c r="C58" s="603" t="s">
        <v>267</v>
      </c>
      <c r="D58" s="604">
        <v>218</v>
      </c>
      <c r="E58" s="604">
        <v>221</v>
      </c>
      <c r="F58" s="604">
        <v>189</v>
      </c>
      <c r="G58" s="604">
        <v>200</v>
      </c>
      <c r="H58" s="604">
        <v>194</v>
      </c>
      <c r="I58" s="1356">
        <v>181</v>
      </c>
      <c r="J58" s="1587">
        <v>153</v>
      </c>
      <c r="K58" s="2430">
        <v>128</v>
      </c>
    </row>
    <row r="59" spans="1:11" x14ac:dyDescent="0.25">
      <c r="A59" s="602" t="s">
        <v>136</v>
      </c>
      <c r="B59" s="603" t="s">
        <v>137</v>
      </c>
      <c r="C59" s="603" t="s">
        <v>266</v>
      </c>
      <c r="D59" s="604">
        <v>99</v>
      </c>
      <c r="E59" s="604">
        <v>120</v>
      </c>
      <c r="F59" s="604">
        <v>132</v>
      </c>
      <c r="G59" s="604">
        <v>115</v>
      </c>
      <c r="H59" s="604">
        <v>101</v>
      </c>
      <c r="I59" s="1356">
        <v>70</v>
      </c>
      <c r="J59" s="1587">
        <v>61</v>
      </c>
      <c r="K59" s="2430">
        <v>66</v>
      </c>
    </row>
    <row r="60" spans="1:11" x14ac:dyDescent="0.25">
      <c r="A60" s="602" t="s">
        <v>140</v>
      </c>
      <c r="B60" s="603" t="s">
        <v>141</v>
      </c>
      <c r="C60" s="603" t="s">
        <v>267</v>
      </c>
      <c r="D60" s="604">
        <v>61</v>
      </c>
      <c r="E60" s="604">
        <v>59</v>
      </c>
      <c r="F60" s="604">
        <v>55</v>
      </c>
      <c r="G60" s="604">
        <v>55</v>
      </c>
      <c r="H60" s="604">
        <v>52</v>
      </c>
      <c r="I60" s="1356">
        <v>49</v>
      </c>
      <c r="J60" s="1587">
        <v>42</v>
      </c>
      <c r="K60" s="2430">
        <v>39</v>
      </c>
    </row>
    <row r="61" spans="1:11" x14ac:dyDescent="0.25">
      <c r="A61" s="602" t="s">
        <v>146</v>
      </c>
      <c r="B61" s="603" t="s">
        <v>147</v>
      </c>
      <c r="C61" s="603" t="s">
        <v>264</v>
      </c>
      <c r="D61" s="604">
        <v>46</v>
      </c>
      <c r="E61" s="604">
        <v>45</v>
      </c>
      <c r="F61" s="604">
        <v>41</v>
      </c>
      <c r="G61" s="604">
        <v>48</v>
      </c>
      <c r="H61" s="604">
        <v>40</v>
      </c>
      <c r="I61" s="1356">
        <v>35</v>
      </c>
      <c r="J61" s="1587">
        <v>30</v>
      </c>
      <c r="K61" s="2430">
        <v>34</v>
      </c>
    </row>
    <row r="62" spans="1:11" x14ac:dyDescent="0.25">
      <c r="A62" s="602" t="s">
        <v>148</v>
      </c>
      <c r="B62" s="603" t="s">
        <v>149</v>
      </c>
      <c r="C62" s="603" t="s">
        <v>265</v>
      </c>
      <c r="D62" s="604">
        <v>348</v>
      </c>
      <c r="E62" s="604">
        <v>322</v>
      </c>
      <c r="F62" s="604">
        <v>300</v>
      </c>
      <c r="G62" s="604">
        <v>299</v>
      </c>
      <c r="H62" s="604">
        <v>298</v>
      </c>
      <c r="I62" s="1356">
        <v>241</v>
      </c>
      <c r="J62" s="1587">
        <v>193</v>
      </c>
      <c r="K62" s="2430">
        <v>180</v>
      </c>
    </row>
    <row r="63" spans="1:11" x14ac:dyDescent="0.25">
      <c r="A63" s="602" t="s">
        <v>150</v>
      </c>
      <c r="B63" s="603" t="s">
        <v>151</v>
      </c>
      <c r="C63" s="603" t="s">
        <v>266</v>
      </c>
      <c r="D63" s="604">
        <v>85</v>
      </c>
      <c r="E63" s="604">
        <v>77</v>
      </c>
      <c r="F63" s="604">
        <v>87</v>
      </c>
      <c r="G63" s="604">
        <v>94</v>
      </c>
      <c r="H63" s="604">
        <v>111</v>
      </c>
      <c r="I63" s="1356">
        <v>88</v>
      </c>
      <c r="J63" s="1587">
        <v>77</v>
      </c>
      <c r="K63" s="2430">
        <v>78</v>
      </c>
    </row>
    <row r="64" spans="1:11" x14ac:dyDescent="0.25">
      <c r="A64" s="602" t="s">
        <v>152</v>
      </c>
      <c r="B64" s="603" t="s">
        <v>153</v>
      </c>
      <c r="C64" s="603" t="s">
        <v>268</v>
      </c>
      <c r="D64" s="604">
        <v>720</v>
      </c>
      <c r="E64" s="604">
        <v>731</v>
      </c>
      <c r="F64" s="604">
        <v>659</v>
      </c>
      <c r="G64" s="604">
        <v>570</v>
      </c>
      <c r="H64" s="604">
        <v>517</v>
      </c>
      <c r="I64" s="1356">
        <v>433</v>
      </c>
      <c r="J64" s="1587">
        <v>418</v>
      </c>
      <c r="K64" s="2430">
        <v>369</v>
      </c>
    </row>
    <row r="65" spans="1:11" x14ac:dyDescent="0.25">
      <c r="A65" s="602" t="s">
        <v>154</v>
      </c>
      <c r="B65" s="603" t="s">
        <v>155</v>
      </c>
      <c r="C65" s="603" t="s">
        <v>265</v>
      </c>
      <c r="D65" s="604">
        <v>84</v>
      </c>
      <c r="E65" s="604">
        <v>76</v>
      </c>
      <c r="F65" s="604">
        <v>80</v>
      </c>
      <c r="G65" s="604">
        <v>74</v>
      </c>
      <c r="H65" s="604">
        <v>67</v>
      </c>
      <c r="I65" s="1356">
        <v>73</v>
      </c>
      <c r="J65" s="1587">
        <v>86</v>
      </c>
      <c r="K65" s="2430">
        <v>57</v>
      </c>
    </row>
    <row r="66" spans="1:11" x14ac:dyDescent="0.25">
      <c r="A66" s="602" t="s">
        <v>156</v>
      </c>
      <c r="B66" s="603" t="s">
        <v>157</v>
      </c>
      <c r="C66" s="603" t="s">
        <v>266</v>
      </c>
      <c r="D66" s="604">
        <v>83</v>
      </c>
      <c r="E66" s="604">
        <v>91</v>
      </c>
      <c r="F66" s="604">
        <v>97</v>
      </c>
      <c r="G66" s="604">
        <v>81</v>
      </c>
      <c r="H66" s="604">
        <v>78</v>
      </c>
      <c r="I66" s="1356">
        <v>74</v>
      </c>
      <c r="J66" s="1587">
        <v>79</v>
      </c>
      <c r="K66" s="2430">
        <v>50</v>
      </c>
    </row>
    <row r="67" spans="1:11" x14ac:dyDescent="0.25">
      <c r="A67" s="602" t="s">
        <v>162</v>
      </c>
      <c r="B67" s="603" t="s">
        <v>163</v>
      </c>
      <c r="C67" s="603" t="s">
        <v>264</v>
      </c>
      <c r="D67" s="604">
        <v>191</v>
      </c>
      <c r="E67" s="604">
        <v>205</v>
      </c>
      <c r="F67" s="604">
        <v>188</v>
      </c>
      <c r="G67" s="604">
        <v>173</v>
      </c>
      <c r="H67" s="604">
        <v>151</v>
      </c>
      <c r="I67" s="1356">
        <v>126</v>
      </c>
      <c r="J67" s="1587">
        <v>90</v>
      </c>
      <c r="K67" s="2430">
        <v>74</v>
      </c>
    </row>
    <row r="68" spans="1:11" x14ac:dyDescent="0.25">
      <c r="A68" s="602" t="s">
        <v>164</v>
      </c>
      <c r="B68" s="603" t="s">
        <v>165</v>
      </c>
      <c r="C68" s="603" t="s">
        <v>266</v>
      </c>
      <c r="D68" s="604">
        <v>60</v>
      </c>
      <c r="E68" s="604">
        <v>67</v>
      </c>
      <c r="F68" s="604">
        <v>57</v>
      </c>
      <c r="G68" s="604">
        <v>67</v>
      </c>
      <c r="H68" s="604">
        <v>64</v>
      </c>
      <c r="I68" s="1356">
        <v>66</v>
      </c>
      <c r="J68" s="1587">
        <v>55</v>
      </c>
      <c r="K68" s="2430">
        <v>51</v>
      </c>
    </row>
    <row r="69" spans="1:11" x14ac:dyDescent="0.25">
      <c r="A69" s="602" t="s">
        <v>168</v>
      </c>
      <c r="B69" s="603" t="s">
        <v>169</v>
      </c>
      <c r="C69" s="603" t="s">
        <v>266</v>
      </c>
      <c r="D69" s="604">
        <v>221</v>
      </c>
      <c r="E69" s="604">
        <v>235</v>
      </c>
      <c r="F69" s="604">
        <v>243</v>
      </c>
      <c r="G69" s="604">
        <v>249</v>
      </c>
      <c r="H69" s="604">
        <v>224</v>
      </c>
      <c r="I69" s="1356">
        <v>183</v>
      </c>
      <c r="J69" s="1587">
        <v>144</v>
      </c>
      <c r="K69" s="2430">
        <v>111</v>
      </c>
    </row>
    <row r="70" spans="1:11" x14ac:dyDescent="0.25">
      <c r="A70" s="602" t="s">
        <v>170</v>
      </c>
      <c r="B70" s="603" t="s">
        <v>171</v>
      </c>
      <c r="C70" s="603" t="s">
        <v>267</v>
      </c>
      <c r="D70" s="604">
        <v>175</v>
      </c>
      <c r="E70" s="604">
        <v>173</v>
      </c>
      <c r="F70" s="604">
        <v>162</v>
      </c>
      <c r="G70" s="604">
        <v>156</v>
      </c>
      <c r="H70" s="604">
        <v>156</v>
      </c>
      <c r="I70" s="1356">
        <v>166</v>
      </c>
      <c r="J70" s="1587">
        <v>160</v>
      </c>
      <c r="K70" s="2430">
        <v>123</v>
      </c>
    </row>
    <row r="71" spans="1:11" x14ac:dyDescent="0.25">
      <c r="A71" s="602" t="s">
        <v>172</v>
      </c>
      <c r="B71" s="603" t="s">
        <v>173</v>
      </c>
      <c r="C71" s="603" t="s">
        <v>267</v>
      </c>
      <c r="D71" s="604">
        <v>179</v>
      </c>
      <c r="E71" s="604">
        <v>172</v>
      </c>
      <c r="F71" s="604">
        <v>143</v>
      </c>
      <c r="G71" s="604">
        <v>124</v>
      </c>
      <c r="H71" s="604">
        <v>105</v>
      </c>
      <c r="I71" s="1356">
        <v>80</v>
      </c>
      <c r="J71" s="1587">
        <v>70</v>
      </c>
      <c r="K71" s="2430">
        <v>56</v>
      </c>
    </row>
    <row r="72" spans="1:11" x14ac:dyDescent="0.25">
      <c r="A72" s="602" t="s">
        <v>174</v>
      </c>
      <c r="B72" s="603" t="s">
        <v>175</v>
      </c>
      <c r="C72" s="603" t="s">
        <v>268</v>
      </c>
      <c r="D72" s="604">
        <v>195</v>
      </c>
      <c r="E72" s="604">
        <v>203</v>
      </c>
      <c r="F72" s="604">
        <v>214</v>
      </c>
      <c r="G72" s="604">
        <v>172</v>
      </c>
      <c r="H72" s="604">
        <v>171</v>
      </c>
      <c r="I72" s="1356">
        <v>151</v>
      </c>
      <c r="J72" s="1587">
        <v>139</v>
      </c>
      <c r="K72" s="2430">
        <v>107</v>
      </c>
    </row>
    <row r="73" spans="1:11" x14ac:dyDescent="0.25">
      <c r="A73" s="602" t="s">
        <v>178</v>
      </c>
      <c r="B73" s="603" t="s">
        <v>179</v>
      </c>
      <c r="C73" s="603" t="s">
        <v>265</v>
      </c>
      <c r="D73" s="604">
        <v>496</v>
      </c>
      <c r="E73" s="604">
        <v>476</v>
      </c>
      <c r="F73" s="604">
        <v>442</v>
      </c>
      <c r="G73" s="604">
        <v>415</v>
      </c>
      <c r="H73" s="604">
        <v>404</v>
      </c>
      <c r="I73" s="1356">
        <v>333</v>
      </c>
      <c r="J73" s="1587">
        <v>310</v>
      </c>
      <c r="K73" s="2430">
        <v>234</v>
      </c>
    </row>
    <row r="74" spans="1:11" x14ac:dyDescent="0.25">
      <c r="A74" s="602" t="s">
        <v>182</v>
      </c>
      <c r="B74" s="603" t="s">
        <v>183</v>
      </c>
      <c r="C74" s="603" t="s">
        <v>266</v>
      </c>
      <c r="D74" s="604">
        <v>73</v>
      </c>
      <c r="E74" s="604">
        <v>99</v>
      </c>
      <c r="F74" s="604">
        <v>95</v>
      </c>
      <c r="G74" s="604">
        <v>92</v>
      </c>
      <c r="H74" s="604">
        <v>75</v>
      </c>
      <c r="I74" s="1356">
        <v>76</v>
      </c>
      <c r="J74" s="1587">
        <v>66</v>
      </c>
      <c r="K74" s="2430">
        <v>47</v>
      </c>
    </row>
    <row r="75" spans="1:11" x14ac:dyDescent="0.25">
      <c r="A75" s="602" t="s">
        <v>184</v>
      </c>
      <c r="B75" s="603" t="s">
        <v>185</v>
      </c>
      <c r="C75" s="603" t="s">
        <v>266</v>
      </c>
      <c r="D75" s="604">
        <v>276</v>
      </c>
      <c r="E75" s="604">
        <v>269</v>
      </c>
      <c r="F75" s="604">
        <v>247</v>
      </c>
      <c r="G75" s="604">
        <v>264</v>
      </c>
      <c r="H75" s="604">
        <v>233</v>
      </c>
      <c r="I75" s="1356">
        <v>202</v>
      </c>
      <c r="J75" s="1587">
        <v>171</v>
      </c>
      <c r="K75" s="2430">
        <v>140</v>
      </c>
    </row>
    <row r="76" spans="1:11" x14ac:dyDescent="0.25">
      <c r="A76" s="602" t="s">
        <v>186</v>
      </c>
      <c r="B76" s="603" t="s">
        <v>187</v>
      </c>
      <c r="C76" s="603" t="s">
        <v>264</v>
      </c>
      <c r="D76" s="604">
        <v>196</v>
      </c>
      <c r="E76" s="604">
        <v>183</v>
      </c>
      <c r="F76" s="604">
        <v>176</v>
      </c>
      <c r="G76" s="604">
        <v>173</v>
      </c>
      <c r="H76" s="604">
        <v>162</v>
      </c>
      <c r="I76" s="1356">
        <v>172</v>
      </c>
      <c r="J76" s="1587">
        <v>161</v>
      </c>
      <c r="K76" s="2430">
        <v>110</v>
      </c>
    </row>
    <row r="77" spans="1:11" x14ac:dyDescent="0.25">
      <c r="A77" s="602" t="s">
        <v>188</v>
      </c>
      <c r="B77" s="603" t="s">
        <v>189</v>
      </c>
      <c r="C77" s="603" t="s">
        <v>267</v>
      </c>
      <c r="D77" s="604">
        <v>2635</v>
      </c>
      <c r="E77" s="604">
        <v>2632</v>
      </c>
      <c r="F77" s="604">
        <v>2370</v>
      </c>
      <c r="G77" s="604">
        <v>2131</v>
      </c>
      <c r="H77" s="604">
        <v>1907</v>
      </c>
      <c r="I77" s="1356">
        <v>1639</v>
      </c>
      <c r="J77" s="1587">
        <v>1472</v>
      </c>
      <c r="K77" s="2430">
        <v>1214</v>
      </c>
    </row>
    <row r="78" spans="1:11" x14ac:dyDescent="0.25">
      <c r="A78" s="602" t="s">
        <v>190</v>
      </c>
      <c r="B78" s="603" t="s">
        <v>191</v>
      </c>
      <c r="C78" s="603" t="s">
        <v>268</v>
      </c>
      <c r="D78" s="604">
        <v>384</v>
      </c>
      <c r="E78" s="604">
        <v>394</v>
      </c>
      <c r="F78" s="604">
        <v>368</v>
      </c>
      <c r="G78" s="604">
        <v>333</v>
      </c>
      <c r="H78" s="604">
        <v>319</v>
      </c>
      <c r="I78" s="1356">
        <v>260</v>
      </c>
      <c r="J78" s="1587">
        <v>225</v>
      </c>
      <c r="K78" s="2430">
        <v>196</v>
      </c>
    </row>
    <row r="79" spans="1:11" x14ac:dyDescent="0.25">
      <c r="A79" s="602" t="s">
        <v>194</v>
      </c>
      <c r="B79" s="603" t="s">
        <v>195</v>
      </c>
      <c r="C79" s="603" t="s">
        <v>267</v>
      </c>
      <c r="D79" s="604">
        <v>10</v>
      </c>
      <c r="E79" s="604">
        <v>13</v>
      </c>
      <c r="F79" s="604">
        <v>14</v>
      </c>
      <c r="G79" s="604">
        <v>28</v>
      </c>
      <c r="H79" s="604">
        <v>26</v>
      </c>
      <c r="I79" s="1356">
        <v>22</v>
      </c>
      <c r="J79" s="1587">
        <v>17</v>
      </c>
      <c r="K79" s="2430">
        <v>6</v>
      </c>
    </row>
    <row r="80" spans="1:11" x14ac:dyDescent="0.25">
      <c r="A80" s="602" t="s">
        <v>198</v>
      </c>
      <c r="B80" s="603" t="s">
        <v>272</v>
      </c>
      <c r="C80" s="603" t="s">
        <v>266</v>
      </c>
      <c r="D80" s="604">
        <v>72</v>
      </c>
      <c r="E80" s="604">
        <v>66</v>
      </c>
      <c r="F80" s="604">
        <v>65</v>
      </c>
      <c r="G80" s="604">
        <v>70</v>
      </c>
      <c r="H80" s="604">
        <v>65</v>
      </c>
      <c r="I80" s="1356">
        <v>63</v>
      </c>
      <c r="J80" s="1587">
        <v>66</v>
      </c>
      <c r="K80" s="2430">
        <v>39</v>
      </c>
    </row>
    <row r="81" spans="1:11" x14ac:dyDescent="0.25">
      <c r="A81" s="602" t="s">
        <v>202</v>
      </c>
      <c r="B81" s="603" t="s">
        <v>301</v>
      </c>
      <c r="C81" s="603" t="s">
        <v>265</v>
      </c>
      <c r="D81" s="604">
        <v>653</v>
      </c>
      <c r="E81" s="604">
        <v>641</v>
      </c>
      <c r="F81" s="604">
        <v>566</v>
      </c>
      <c r="G81" s="604">
        <v>520</v>
      </c>
      <c r="H81" s="604">
        <v>491</v>
      </c>
      <c r="I81" s="1356">
        <v>415</v>
      </c>
      <c r="J81" s="1587">
        <v>382</v>
      </c>
      <c r="K81" s="2430">
        <v>347</v>
      </c>
    </row>
    <row r="82" spans="1:11" x14ac:dyDescent="0.25">
      <c r="A82" s="602" t="s">
        <v>204</v>
      </c>
      <c r="B82" s="603" t="s">
        <v>293</v>
      </c>
      <c r="C82" s="603" t="s">
        <v>265</v>
      </c>
      <c r="D82" s="604">
        <v>165</v>
      </c>
      <c r="E82" s="604">
        <v>188</v>
      </c>
      <c r="F82" s="604">
        <v>156</v>
      </c>
      <c r="G82" s="604">
        <v>135</v>
      </c>
      <c r="H82" s="604">
        <v>139</v>
      </c>
      <c r="I82" s="1356">
        <v>105</v>
      </c>
      <c r="J82" s="1587">
        <v>106</v>
      </c>
      <c r="K82" s="2430">
        <v>89</v>
      </c>
    </row>
    <row r="83" spans="1:11" x14ac:dyDescent="0.25">
      <c r="A83" s="602" t="s">
        <v>206</v>
      </c>
      <c r="B83" s="603" t="s">
        <v>294</v>
      </c>
      <c r="C83" s="603" t="s">
        <v>267</v>
      </c>
      <c r="D83" s="604">
        <v>695</v>
      </c>
      <c r="E83" s="604">
        <v>711</v>
      </c>
      <c r="F83" s="604">
        <v>654</v>
      </c>
      <c r="G83" s="604">
        <v>612</v>
      </c>
      <c r="H83" s="604">
        <v>548</v>
      </c>
      <c r="I83" s="1356">
        <v>466</v>
      </c>
      <c r="J83" s="1587">
        <v>429</v>
      </c>
      <c r="K83" s="2430">
        <v>448</v>
      </c>
    </row>
    <row r="84" spans="1:11" x14ac:dyDescent="0.25">
      <c r="A84" s="602" t="s">
        <v>208</v>
      </c>
      <c r="B84" s="603" t="s">
        <v>209</v>
      </c>
      <c r="C84" s="603" t="s">
        <v>268</v>
      </c>
      <c r="D84" s="604">
        <v>480</v>
      </c>
      <c r="E84" s="604">
        <v>436</v>
      </c>
      <c r="F84" s="604">
        <v>384</v>
      </c>
      <c r="G84" s="604">
        <v>379</v>
      </c>
      <c r="H84" s="604">
        <v>359</v>
      </c>
      <c r="I84" s="1356">
        <v>300</v>
      </c>
      <c r="J84" s="1587">
        <v>256</v>
      </c>
      <c r="K84" s="2430">
        <v>207</v>
      </c>
    </row>
    <row r="85" spans="1:11" x14ac:dyDescent="0.25">
      <c r="A85" s="602" t="s">
        <v>210</v>
      </c>
      <c r="B85" s="603" t="s">
        <v>211</v>
      </c>
      <c r="C85" s="603" t="s">
        <v>268</v>
      </c>
      <c r="D85" s="604">
        <v>372</v>
      </c>
      <c r="E85" s="604">
        <v>352</v>
      </c>
      <c r="F85" s="604">
        <v>324</v>
      </c>
      <c r="G85" s="604">
        <v>275</v>
      </c>
      <c r="H85" s="604">
        <v>259</v>
      </c>
      <c r="I85" s="1356">
        <v>247</v>
      </c>
      <c r="J85" s="1587">
        <v>214</v>
      </c>
      <c r="K85" s="2430">
        <v>173</v>
      </c>
    </row>
    <row r="86" spans="1:11" x14ac:dyDescent="0.25">
      <c r="A86" s="602" t="s">
        <v>212</v>
      </c>
      <c r="B86" s="603" t="s">
        <v>213</v>
      </c>
      <c r="C86" s="603" t="s">
        <v>267</v>
      </c>
      <c r="D86" s="604">
        <v>103</v>
      </c>
      <c r="E86" s="604">
        <v>125</v>
      </c>
      <c r="F86" s="604">
        <v>126</v>
      </c>
      <c r="G86" s="604">
        <v>104</v>
      </c>
      <c r="H86" s="604">
        <v>98</v>
      </c>
      <c r="I86" s="1356">
        <v>101</v>
      </c>
      <c r="J86" s="1587">
        <v>95</v>
      </c>
      <c r="K86" s="2430">
        <v>113</v>
      </c>
    </row>
    <row r="87" spans="1:11" x14ac:dyDescent="0.25">
      <c r="A87" s="602" t="s">
        <v>214</v>
      </c>
      <c r="B87" s="603" t="s">
        <v>215</v>
      </c>
      <c r="C87" s="603" t="s">
        <v>268</v>
      </c>
      <c r="D87" s="604">
        <v>397</v>
      </c>
      <c r="E87" s="604">
        <v>415</v>
      </c>
      <c r="F87" s="604">
        <v>388</v>
      </c>
      <c r="G87" s="604">
        <v>369</v>
      </c>
      <c r="H87" s="604">
        <v>348</v>
      </c>
      <c r="I87" s="1356">
        <v>335</v>
      </c>
      <c r="J87" s="1587">
        <v>285</v>
      </c>
      <c r="K87" s="2430">
        <v>242</v>
      </c>
    </row>
    <row r="88" spans="1:11" x14ac:dyDescent="0.25">
      <c r="A88" s="602" t="s">
        <v>216</v>
      </c>
      <c r="B88" s="603" t="s">
        <v>217</v>
      </c>
      <c r="C88" s="603" t="s">
        <v>264</v>
      </c>
      <c r="D88" s="604">
        <v>236</v>
      </c>
      <c r="E88" s="604">
        <v>244</v>
      </c>
      <c r="F88" s="604">
        <v>228</v>
      </c>
      <c r="G88" s="604">
        <v>190</v>
      </c>
      <c r="H88" s="604">
        <v>163</v>
      </c>
      <c r="I88" s="1356">
        <v>128</v>
      </c>
      <c r="J88" s="1587">
        <v>133</v>
      </c>
      <c r="K88" s="2430">
        <v>118</v>
      </c>
    </row>
    <row r="89" spans="1:11" x14ac:dyDescent="0.25">
      <c r="A89" s="602" t="s">
        <v>218</v>
      </c>
      <c r="B89" s="603" t="s">
        <v>219</v>
      </c>
      <c r="C89" s="603" t="s">
        <v>267</v>
      </c>
      <c r="D89" s="604">
        <v>772</v>
      </c>
      <c r="E89" s="604">
        <v>852</v>
      </c>
      <c r="F89" s="604">
        <v>837</v>
      </c>
      <c r="G89" s="604">
        <v>772</v>
      </c>
      <c r="H89" s="604">
        <v>735</v>
      </c>
      <c r="I89" s="1356">
        <v>695</v>
      </c>
      <c r="J89" s="1587">
        <v>648</v>
      </c>
      <c r="K89" s="2430">
        <v>581</v>
      </c>
    </row>
    <row r="90" spans="1:11" x14ac:dyDescent="0.25">
      <c r="A90" s="602" t="s">
        <v>220</v>
      </c>
      <c r="B90" s="603" t="s">
        <v>221</v>
      </c>
      <c r="C90" s="603" t="s">
        <v>267</v>
      </c>
      <c r="D90" s="604">
        <v>637</v>
      </c>
      <c r="E90" s="604">
        <v>623</v>
      </c>
      <c r="F90" s="604">
        <v>645</v>
      </c>
      <c r="G90" s="604">
        <v>610</v>
      </c>
      <c r="H90" s="604">
        <v>559</v>
      </c>
      <c r="I90" s="1356">
        <v>536</v>
      </c>
      <c r="J90" s="1587">
        <v>533</v>
      </c>
      <c r="K90" s="2430">
        <v>479</v>
      </c>
    </row>
    <row r="91" spans="1:11" x14ac:dyDescent="0.25">
      <c r="A91" s="602" t="s">
        <v>224</v>
      </c>
      <c r="B91" s="603" t="s">
        <v>225</v>
      </c>
      <c r="C91" s="603" t="s">
        <v>264</v>
      </c>
      <c r="D91" s="604">
        <v>110</v>
      </c>
      <c r="E91" s="604">
        <v>99</v>
      </c>
      <c r="F91" s="604">
        <v>87</v>
      </c>
      <c r="G91" s="604">
        <v>86</v>
      </c>
      <c r="H91" s="604">
        <v>76</v>
      </c>
      <c r="I91" s="1356">
        <v>59</v>
      </c>
      <c r="J91" s="1587">
        <v>52</v>
      </c>
      <c r="K91" s="2430">
        <v>32</v>
      </c>
    </row>
    <row r="92" spans="1:11" x14ac:dyDescent="0.25">
      <c r="A92" s="602" t="s">
        <v>226</v>
      </c>
      <c r="B92" s="603" t="s">
        <v>227</v>
      </c>
      <c r="C92" s="603" t="s">
        <v>264</v>
      </c>
      <c r="D92" s="604">
        <v>148</v>
      </c>
      <c r="E92" s="604">
        <v>154</v>
      </c>
      <c r="F92" s="604">
        <v>145</v>
      </c>
      <c r="G92" s="604">
        <v>127</v>
      </c>
      <c r="H92" s="604">
        <v>141</v>
      </c>
      <c r="I92" s="1356">
        <v>134</v>
      </c>
      <c r="J92" s="1587">
        <v>122</v>
      </c>
      <c r="K92" s="2430">
        <v>92</v>
      </c>
    </row>
    <row r="93" spans="1:11" x14ac:dyDescent="0.25">
      <c r="A93" s="602" t="s">
        <v>228</v>
      </c>
      <c r="B93" s="603" t="s">
        <v>229</v>
      </c>
      <c r="C93" s="603" t="s">
        <v>268</v>
      </c>
      <c r="D93" s="604">
        <v>595</v>
      </c>
      <c r="E93" s="604">
        <v>523</v>
      </c>
      <c r="F93" s="604">
        <v>493</v>
      </c>
      <c r="G93" s="604">
        <v>455</v>
      </c>
      <c r="H93" s="604">
        <v>421</v>
      </c>
      <c r="I93" s="1356">
        <v>367</v>
      </c>
      <c r="J93" s="1587">
        <v>338</v>
      </c>
      <c r="K93" s="2430">
        <v>280</v>
      </c>
    </row>
    <row r="94" spans="1:11" x14ac:dyDescent="0.25">
      <c r="A94" s="602" t="s">
        <v>232</v>
      </c>
      <c r="B94" s="603" t="s">
        <v>233</v>
      </c>
      <c r="C94" s="603" t="s">
        <v>267</v>
      </c>
      <c r="D94" s="604">
        <v>267</v>
      </c>
      <c r="E94" s="604">
        <v>263</v>
      </c>
      <c r="F94" s="604">
        <v>254</v>
      </c>
      <c r="G94" s="604">
        <v>249</v>
      </c>
      <c r="H94" s="604">
        <v>243</v>
      </c>
      <c r="I94" s="1356">
        <v>205</v>
      </c>
      <c r="J94" s="1587">
        <v>192</v>
      </c>
      <c r="K94" s="2430">
        <v>163</v>
      </c>
    </row>
    <row r="95" spans="1:11" x14ac:dyDescent="0.25">
      <c r="A95" s="602" t="s">
        <v>234</v>
      </c>
      <c r="B95" s="603" t="s">
        <v>235</v>
      </c>
      <c r="C95" s="603" t="s">
        <v>268</v>
      </c>
      <c r="D95" s="604">
        <v>451</v>
      </c>
      <c r="E95" s="604">
        <v>426</v>
      </c>
      <c r="F95" s="604">
        <v>389</v>
      </c>
      <c r="G95" s="604">
        <v>376</v>
      </c>
      <c r="H95" s="604">
        <v>372</v>
      </c>
      <c r="I95" s="1356">
        <v>341</v>
      </c>
      <c r="J95" s="1587">
        <v>322</v>
      </c>
      <c r="K95" s="2430">
        <v>288</v>
      </c>
    </row>
    <row r="96" spans="1:11" x14ac:dyDescent="0.25">
      <c r="A96" s="602" t="s">
        <v>236</v>
      </c>
      <c r="B96" s="603" t="s">
        <v>237</v>
      </c>
      <c r="C96" s="603" t="s">
        <v>266</v>
      </c>
      <c r="D96" s="604">
        <v>154</v>
      </c>
      <c r="E96" s="604">
        <v>190</v>
      </c>
      <c r="F96" s="604">
        <v>152</v>
      </c>
      <c r="G96" s="604">
        <v>141</v>
      </c>
      <c r="H96" s="604">
        <v>122</v>
      </c>
      <c r="I96" s="1356">
        <v>136</v>
      </c>
      <c r="J96" s="1587">
        <v>147</v>
      </c>
      <c r="K96" s="2430">
        <v>119</v>
      </c>
    </row>
    <row r="97" spans="1:11" x14ac:dyDescent="0.25">
      <c r="A97" s="602" t="s">
        <v>242</v>
      </c>
      <c r="B97" s="603" t="s">
        <v>243</v>
      </c>
      <c r="C97" s="603" t="s">
        <v>268</v>
      </c>
      <c r="D97" s="604">
        <v>828</v>
      </c>
      <c r="E97" s="604">
        <v>764</v>
      </c>
      <c r="F97" s="604">
        <v>752</v>
      </c>
      <c r="G97" s="604">
        <v>721</v>
      </c>
      <c r="H97" s="604">
        <v>649</v>
      </c>
      <c r="I97" s="1356">
        <v>532</v>
      </c>
      <c r="J97" s="1587">
        <v>525</v>
      </c>
      <c r="K97" s="2430">
        <v>463</v>
      </c>
    </row>
    <row r="98" spans="1:11" x14ac:dyDescent="0.25">
      <c r="A98" s="602" t="s">
        <v>244</v>
      </c>
      <c r="B98" s="603" t="s">
        <v>245</v>
      </c>
      <c r="C98" s="603" t="s">
        <v>268</v>
      </c>
      <c r="D98" s="604">
        <v>288</v>
      </c>
      <c r="E98" s="604">
        <v>284</v>
      </c>
      <c r="F98" s="604">
        <v>246</v>
      </c>
      <c r="G98" s="604">
        <v>200</v>
      </c>
      <c r="H98" s="604">
        <v>203</v>
      </c>
      <c r="I98" s="1356">
        <v>186</v>
      </c>
      <c r="J98" s="1587">
        <v>148</v>
      </c>
      <c r="K98" s="2430">
        <v>153</v>
      </c>
    </row>
    <row r="99" spans="1:11" x14ac:dyDescent="0.25">
      <c r="A99" s="602" t="s">
        <v>246</v>
      </c>
      <c r="B99" s="603" t="s">
        <v>247</v>
      </c>
      <c r="C99" s="603" t="s">
        <v>264</v>
      </c>
      <c r="D99" s="604">
        <v>232</v>
      </c>
      <c r="E99" s="604">
        <v>281</v>
      </c>
      <c r="F99" s="604">
        <v>273</v>
      </c>
      <c r="G99" s="604">
        <v>258</v>
      </c>
      <c r="H99" s="604">
        <v>235</v>
      </c>
      <c r="I99" s="1356">
        <v>205</v>
      </c>
      <c r="J99" s="1587">
        <v>207</v>
      </c>
      <c r="K99" s="2430">
        <v>158</v>
      </c>
    </row>
    <row r="100" spans="1:11" x14ac:dyDescent="0.25">
      <c r="A100" s="602" t="s">
        <v>14</v>
      </c>
      <c r="B100" s="603" t="s">
        <v>15</v>
      </c>
      <c r="C100" s="603" t="s">
        <v>267</v>
      </c>
      <c r="D100" s="604">
        <v>871</v>
      </c>
      <c r="E100" s="604">
        <v>894</v>
      </c>
      <c r="F100" s="604">
        <v>790</v>
      </c>
      <c r="G100" s="604">
        <v>735</v>
      </c>
      <c r="H100" s="604">
        <v>687</v>
      </c>
      <c r="I100" s="1356">
        <v>722</v>
      </c>
      <c r="J100" s="1587">
        <v>697</v>
      </c>
      <c r="K100" s="2430">
        <v>713</v>
      </c>
    </row>
    <row r="101" spans="1:11" x14ac:dyDescent="0.25">
      <c r="A101" s="602" t="s">
        <v>34</v>
      </c>
      <c r="B101" s="603" t="s">
        <v>35</v>
      </c>
      <c r="C101" s="603" t="s">
        <v>268</v>
      </c>
      <c r="D101" s="604">
        <v>489</v>
      </c>
      <c r="E101" s="604">
        <v>525</v>
      </c>
      <c r="F101" s="604">
        <v>531</v>
      </c>
      <c r="G101" s="604">
        <v>505</v>
      </c>
      <c r="H101" s="604">
        <v>418</v>
      </c>
      <c r="I101" s="1356">
        <v>352</v>
      </c>
      <c r="J101" s="1587">
        <v>317</v>
      </c>
      <c r="K101" s="2430">
        <v>253</v>
      </c>
    </row>
    <row r="102" spans="1:11" x14ac:dyDescent="0.25">
      <c r="A102" s="602" t="s">
        <v>52</v>
      </c>
      <c r="B102" s="603" t="s">
        <v>53</v>
      </c>
      <c r="C102" s="603" t="s">
        <v>265</v>
      </c>
      <c r="D102" s="604">
        <v>602</v>
      </c>
      <c r="E102" s="604">
        <v>595</v>
      </c>
      <c r="F102" s="604">
        <v>552</v>
      </c>
      <c r="G102" s="604">
        <v>505</v>
      </c>
      <c r="H102" s="604">
        <v>442</v>
      </c>
      <c r="I102" s="1356">
        <v>392</v>
      </c>
      <c r="J102" s="1587">
        <v>377</v>
      </c>
      <c r="K102" s="2430">
        <v>299</v>
      </c>
    </row>
    <row r="103" spans="1:11" x14ac:dyDescent="0.25">
      <c r="A103" s="602" t="s">
        <v>54</v>
      </c>
      <c r="B103" s="603" t="s">
        <v>55</v>
      </c>
      <c r="C103" s="603" t="s">
        <v>264</v>
      </c>
      <c r="D103" s="604">
        <v>2211</v>
      </c>
      <c r="E103" s="604">
        <v>2165</v>
      </c>
      <c r="F103" s="604">
        <v>1980</v>
      </c>
      <c r="G103" s="604">
        <v>1822</v>
      </c>
      <c r="H103" s="604">
        <v>1684</v>
      </c>
      <c r="I103" s="1356">
        <v>1498</v>
      </c>
      <c r="J103" s="1587">
        <v>1325</v>
      </c>
      <c r="K103" s="2430">
        <v>1022</v>
      </c>
    </row>
    <row r="104" spans="1:11" x14ac:dyDescent="0.25">
      <c r="A104" s="602" t="s">
        <v>66</v>
      </c>
      <c r="B104" s="603" t="s">
        <v>67</v>
      </c>
      <c r="C104" s="603" t="s">
        <v>265</v>
      </c>
      <c r="D104" s="604">
        <v>998</v>
      </c>
      <c r="E104" s="604">
        <v>930</v>
      </c>
      <c r="F104" s="604">
        <v>868</v>
      </c>
      <c r="G104" s="604">
        <v>829</v>
      </c>
      <c r="H104" s="604">
        <v>753</v>
      </c>
      <c r="I104" s="1356">
        <v>705</v>
      </c>
      <c r="J104" s="1587">
        <v>600</v>
      </c>
      <c r="K104" s="2430">
        <v>461</v>
      </c>
    </row>
    <row r="105" spans="1:11" x14ac:dyDescent="0.25">
      <c r="A105" s="602" t="s">
        <v>82</v>
      </c>
      <c r="B105" s="603" t="s">
        <v>83</v>
      </c>
      <c r="C105" s="603" t="s">
        <v>264</v>
      </c>
      <c r="D105" s="604">
        <v>202</v>
      </c>
      <c r="E105" s="604">
        <v>216</v>
      </c>
      <c r="F105" s="604">
        <v>243</v>
      </c>
      <c r="G105" s="604">
        <v>217</v>
      </c>
      <c r="H105" s="604">
        <v>167</v>
      </c>
      <c r="I105" s="1356">
        <v>145</v>
      </c>
      <c r="J105" s="1587">
        <v>117</v>
      </c>
      <c r="K105" s="2430">
        <v>102</v>
      </c>
    </row>
    <row r="106" spans="1:11" x14ac:dyDescent="0.25">
      <c r="A106" s="602" t="s">
        <v>88</v>
      </c>
      <c r="B106" s="603" t="s">
        <v>89</v>
      </c>
      <c r="C106" s="603" t="s">
        <v>267</v>
      </c>
      <c r="D106" s="604">
        <v>403</v>
      </c>
      <c r="E106" s="604">
        <v>407</v>
      </c>
      <c r="F106" s="604">
        <v>388</v>
      </c>
      <c r="G106" s="604">
        <v>367</v>
      </c>
      <c r="H106" s="604">
        <v>345</v>
      </c>
      <c r="I106" s="1356">
        <v>322</v>
      </c>
      <c r="J106" s="1587">
        <v>285</v>
      </c>
      <c r="K106" s="2430">
        <v>255</v>
      </c>
    </row>
    <row r="107" spans="1:11" x14ac:dyDescent="0.25">
      <c r="A107" s="602" t="s">
        <v>90</v>
      </c>
      <c r="B107" s="603" t="s">
        <v>91</v>
      </c>
      <c r="C107" s="603" t="s">
        <v>268</v>
      </c>
      <c r="D107" s="604">
        <v>187</v>
      </c>
      <c r="E107" s="604">
        <v>155</v>
      </c>
      <c r="F107" s="604">
        <v>135</v>
      </c>
      <c r="G107" s="604">
        <v>114</v>
      </c>
      <c r="H107" s="604">
        <v>92</v>
      </c>
      <c r="I107" s="1356">
        <v>70</v>
      </c>
      <c r="J107" s="1587">
        <v>71</v>
      </c>
      <c r="K107" s="2430">
        <v>46</v>
      </c>
    </row>
    <row r="108" spans="1:11" x14ac:dyDescent="0.25">
      <c r="A108" s="602" t="s">
        <v>106</v>
      </c>
      <c r="B108" s="603" t="s">
        <v>107</v>
      </c>
      <c r="C108" s="603" t="s">
        <v>264</v>
      </c>
      <c r="D108" s="604">
        <v>2236</v>
      </c>
      <c r="E108" s="604">
        <v>2346</v>
      </c>
      <c r="F108" s="604">
        <v>2323</v>
      </c>
      <c r="G108" s="604">
        <v>2190</v>
      </c>
      <c r="H108" s="604">
        <v>2005</v>
      </c>
      <c r="I108" s="1356">
        <v>1745</v>
      </c>
      <c r="J108" s="1587">
        <v>1617</v>
      </c>
      <c r="K108" s="2430">
        <v>1301</v>
      </c>
    </row>
    <row r="109" spans="1:11" x14ac:dyDescent="0.25">
      <c r="A109" s="602" t="s">
        <v>116</v>
      </c>
      <c r="B109" s="603" t="s">
        <v>117</v>
      </c>
      <c r="C109" s="603" t="s">
        <v>266</v>
      </c>
      <c r="D109" s="604">
        <v>614</v>
      </c>
      <c r="E109" s="604">
        <v>605</v>
      </c>
      <c r="F109" s="604">
        <v>549</v>
      </c>
      <c r="G109" s="604">
        <v>554</v>
      </c>
      <c r="H109" s="604">
        <v>517</v>
      </c>
      <c r="I109" s="1356">
        <v>497</v>
      </c>
      <c r="J109" s="1587">
        <v>457</v>
      </c>
      <c r="K109" s="2430">
        <v>399</v>
      </c>
    </row>
    <row r="110" spans="1:11" x14ac:dyDescent="0.25">
      <c r="A110" s="602" t="s">
        <v>138</v>
      </c>
      <c r="B110" s="603" t="s">
        <v>139</v>
      </c>
      <c r="C110" s="603" t="s">
        <v>265</v>
      </c>
      <c r="D110" s="604">
        <v>1153</v>
      </c>
      <c r="E110" s="604">
        <v>1168</v>
      </c>
      <c r="F110" s="604">
        <v>1118</v>
      </c>
      <c r="G110" s="604">
        <v>999</v>
      </c>
      <c r="H110" s="604">
        <v>907</v>
      </c>
      <c r="I110" s="1356">
        <v>814</v>
      </c>
      <c r="J110" s="1587">
        <v>703</v>
      </c>
      <c r="K110" s="2430">
        <v>515</v>
      </c>
    </row>
    <row r="111" spans="1:11" x14ac:dyDescent="0.25">
      <c r="A111" s="602" t="s">
        <v>142</v>
      </c>
      <c r="B111" s="603" t="s">
        <v>143</v>
      </c>
      <c r="C111" s="603" t="s">
        <v>267</v>
      </c>
      <c r="D111" s="604">
        <v>400</v>
      </c>
      <c r="E111" s="604">
        <v>414</v>
      </c>
      <c r="F111" s="604">
        <v>369</v>
      </c>
      <c r="G111" s="604">
        <v>291</v>
      </c>
      <c r="H111" s="604">
        <v>291</v>
      </c>
      <c r="I111" s="1356">
        <v>245</v>
      </c>
      <c r="J111" s="1587">
        <v>183</v>
      </c>
      <c r="K111" s="2430">
        <v>144</v>
      </c>
    </row>
    <row r="112" spans="1:11" x14ac:dyDescent="0.25">
      <c r="A112" s="602" t="s">
        <v>144</v>
      </c>
      <c r="B112" s="603" t="s">
        <v>145</v>
      </c>
      <c r="C112" s="603" t="s">
        <v>267</v>
      </c>
      <c r="D112" s="604">
        <v>114</v>
      </c>
      <c r="E112" s="604">
        <v>82</v>
      </c>
      <c r="F112" s="604">
        <v>93</v>
      </c>
      <c r="G112" s="604">
        <v>85</v>
      </c>
      <c r="H112" s="604">
        <v>83</v>
      </c>
      <c r="I112" s="1356">
        <v>66</v>
      </c>
      <c r="J112" s="1587">
        <v>48</v>
      </c>
      <c r="K112" s="2430">
        <v>41</v>
      </c>
    </row>
    <row r="113" spans="1:11" x14ac:dyDescent="0.25">
      <c r="A113" s="602" t="s">
        <v>158</v>
      </c>
      <c r="B113" s="603" t="s">
        <v>159</v>
      </c>
      <c r="C113" s="603" t="s">
        <v>264</v>
      </c>
      <c r="D113" s="604">
        <v>3296</v>
      </c>
      <c r="E113" s="604">
        <v>3418</v>
      </c>
      <c r="F113" s="604">
        <v>3322</v>
      </c>
      <c r="G113" s="604">
        <v>3168</v>
      </c>
      <c r="H113" s="604">
        <v>2800</v>
      </c>
      <c r="I113" s="1356">
        <v>2499</v>
      </c>
      <c r="J113" s="1587">
        <v>2418</v>
      </c>
      <c r="K113" s="2430">
        <v>2067</v>
      </c>
    </row>
    <row r="114" spans="1:11" x14ac:dyDescent="0.25">
      <c r="A114" s="602" t="s">
        <v>160</v>
      </c>
      <c r="B114" s="603" t="s">
        <v>161</v>
      </c>
      <c r="C114" s="603" t="s">
        <v>264</v>
      </c>
      <c r="D114" s="604">
        <v>4169</v>
      </c>
      <c r="E114" s="604">
        <v>4235</v>
      </c>
      <c r="F114" s="604">
        <v>4056</v>
      </c>
      <c r="G114" s="604">
        <v>3769</v>
      </c>
      <c r="H114" s="604">
        <v>3426</v>
      </c>
      <c r="I114" s="1356">
        <v>2884</v>
      </c>
      <c r="J114" s="1587">
        <v>2538</v>
      </c>
      <c r="K114" s="2430">
        <v>1948</v>
      </c>
    </row>
    <row r="115" spans="1:11" x14ac:dyDescent="0.25">
      <c r="A115" s="602" t="s">
        <v>166</v>
      </c>
      <c r="B115" s="603" t="s">
        <v>167</v>
      </c>
      <c r="C115" s="603" t="s">
        <v>268</v>
      </c>
      <c r="D115" s="604">
        <v>110</v>
      </c>
      <c r="E115" s="604">
        <v>98</v>
      </c>
      <c r="F115" s="604">
        <v>89</v>
      </c>
      <c r="G115" s="604">
        <v>87</v>
      </c>
      <c r="H115" s="604">
        <v>89</v>
      </c>
      <c r="I115" s="1356">
        <v>86</v>
      </c>
      <c r="J115" s="1587">
        <v>75</v>
      </c>
      <c r="K115" s="2430">
        <v>57</v>
      </c>
    </row>
    <row r="116" spans="1:11" x14ac:dyDescent="0.25">
      <c r="A116" s="602" t="s">
        <v>176</v>
      </c>
      <c r="B116" s="603" t="s">
        <v>177</v>
      </c>
      <c r="C116" s="603" t="s">
        <v>266</v>
      </c>
      <c r="D116" s="604">
        <v>1116</v>
      </c>
      <c r="E116" s="604">
        <v>1117</v>
      </c>
      <c r="F116" s="604">
        <v>1004</v>
      </c>
      <c r="G116" s="604">
        <v>943</v>
      </c>
      <c r="H116" s="604">
        <v>878</v>
      </c>
      <c r="I116" s="1356">
        <v>840</v>
      </c>
      <c r="J116" s="1587">
        <v>758</v>
      </c>
      <c r="K116" s="2430">
        <v>528</v>
      </c>
    </row>
    <row r="117" spans="1:11" x14ac:dyDescent="0.25">
      <c r="A117" s="602" t="s">
        <v>180</v>
      </c>
      <c r="B117" s="603" t="s">
        <v>181</v>
      </c>
      <c r="C117" s="603" t="s">
        <v>264</v>
      </c>
      <c r="D117" s="604">
        <v>2242</v>
      </c>
      <c r="E117" s="604">
        <v>2185</v>
      </c>
      <c r="F117" s="604">
        <v>2096</v>
      </c>
      <c r="G117" s="604">
        <v>1961</v>
      </c>
      <c r="H117" s="604">
        <v>1771</v>
      </c>
      <c r="I117" s="1356">
        <v>1632</v>
      </c>
      <c r="J117" s="1587">
        <v>1467</v>
      </c>
      <c r="K117" s="2430">
        <v>1108</v>
      </c>
    </row>
    <row r="118" spans="1:11" x14ac:dyDescent="0.25">
      <c r="A118" s="602" t="s">
        <v>192</v>
      </c>
      <c r="B118" s="603" t="s">
        <v>193</v>
      </c>
      <c r="C118" s="603" t="s">
        <v>268</v>
      </c>
      <c r="D118" s="604">
        <v>152</v>
      </c>
      <c r="E118" s="604">
        <v>151</v>
      </c>
      <c r="F118" s="604">
        <v>144</v>
      </c>
      <c r="G118" s="604">
        <v>140</v>
      </c>
      <c r="H118" s="604">
        <v>150</v>
      </c>
      <c r="I118" s="1356">
        <v>118</v>
      </c>
      <c r="J118" s="1587">
        <v>103</v>
      </c>
      <c r="K118" s="2430">
        <v>87</v>
      </c>
    </row>
    <row r="119" spans="1:11" x14ac:dyDescent="0.25">
      <c r="A119" s="602" t="s">
        <v>196</v>
      </c>
      <c r="B119" s="603" t="s">
        <v>197</v>
      </c>
      <c r="C119" s="603" t="s">
        <v>266</v>
      </c>
      <c r="D119" s="604">
        <v>4869</v>
      </c>
      <c r="E119" s="604">
        <v>4996</v>
      </c>
      <c r="F119" s="604">
        <v>4720</v>
      </c>
      <c r="G119" s="604">
        <v>4362</v>
      </c>
      <c r="H119" s="604">
        <v>3909</v>
      </c>
      <c r="I119" s="1356">
        <v>3505</v>
      </c>
      <c r="J119" s="1587">
        <v>3098</v>
      </c>
      <c r="K119" s="2430">
        <v>2439</v>
      </c>
    </row>
    <row r="120" spans="1:11" x14ac:dyDescent="0.25">
      <c r="A120" s="602" t="s">
        <v>200</v>
      </c>
      <c r="B120" s="603" t="s">
        <v>201</v>
      </c>
      <c r="C120" s="603" t="s">
        <v>265</v>
      </c>
      <c r="D120" s="604">
        <v>2320</v>
      </c>
      <c r="E120" s="604">
        <v>2356</v>
      </c>
      <c r="F120" s="604">
        <v>2283</v>
      </c>
      <c r="G120" s="604">
        <v>2089</v>
      </c>
      <c r="H120" s="604">
        <v>1920</v>
      </c>
      <c r="I120" s="1356">
        <v>1708</v>
      </c>
      <c r="J120" s="1587">
        <v>1546</v>
      </c>
      <c r="K120" s="2430">
        <v>1244</v>
      </c>
    </row>
    <row r="121" spans="1:11" x14ac:dyDescent="0.25">
      <c r="A121" s="602" t="s">
        <v>222</v>
      </c>
      <c r="B121" s="603" t="s">
        <v>223</v>
      </c>
      <c r="C121" s="603" t="s">
        <v>264</v>
      </c>
      <c r="D121" s="604">
        <v>836</v>
      </c>
      <c r="E121" s="604">
        <v>819</v>
      </c>
      <c r="F121" s="604">
        <v>743</v>
      </c>
      <c r="G121" s="604">
        <v>723</v>
      </c>
      <c r="H121" s="604">
        <v>713</v>
      </c>
      <c r="I121" s="1356">
        <v>625</v>
      </c>
      <c r="J121" s="1587">
        <v>603</v>
      </c>
      <c r="K121" s="2430">
        <v>491</v>
      </c>
    </row>
    <row r="122" spans="1:11" x14ac:dyDescent="0.25">
      <c r="A122" s="602" t="s">
        <v>230</v>
      </c>
      <c r="B122" s="603" t="s">
        <v>231</v>
      </c>
      <c r="C122" s="603" t="s">
        <v>264</v>
      </c>
      <c r="D122" s="604">
        <v>2301</v>
      </c>
      <c r="E122" s="604">
        <v>2317</v>
      </c>
      <c r="F122" s="604">
        <v>2203</v>
      </c>
      <c r="G122" s="604">
        <v>1980</v>
      </c>
      <c r="H122" s="604">
        <v>1766</v>
      </c>
      <c r="I122" s="1356">
        <v>1502</v>
      </c>
      <c r="J122" s="1587">
        <v>1268</v>
      </c>
      <c r="K122" s="2430">
        <v>950</v>
      </c>
    </row>
    <row r="123" spans="1:11" x14ac:dyDescent="0.25">
      <c r="A123" s="602" t="s">
        <v>238</v>
      </c>
      <c r="B123" s="603" t="s">
        <v>239</v>
      </c>
      <c r="C123" s="603" t="s">
        <v>264</v>
      </c>
      <c r="D123" s="604">
        <v>83</v>
      </c>
      <c r="E123" s="604">
        <v>87</v>
      </c>
      <c r="F123" s="604">
        <v>93</v>
      </c>
      <c r="G123" s="604">
        <v>81</v>
      </c>
      <c r="H123" s="604">
        <v>71</v>
      </c>
      <c r="I123" s="1356">
        <v>59</v>
      </c>
      <c r="J123" s="1587">
        <v>51</v>
      </c>
      <c r="K123" s="2430">
        <v>49</v>
      </c>
    </row>
    <row r="124" spans="1:11" x14ac:dyDescent="0.25">
      <c r="A124" s="528" t="s">
        <v>240</v>
      </c>
      <c r="B124" s="517" t="s">
        <v>241</v>
      </c>
      <c r="C124" s="517" t="s">
        <v>267</v>
      </c>
      <c r="D124" s="522">
        <v>300</v>
      </c>
      <c r="E124" s="522">
        <v>318</v>
      </c>
      <c r="F124" s="522">
        <v>290</v>
      </c>
      <c r="G124" s="522">
        <v>256</v>
      </c>
      <c r="H124" s="522">
        <v>206</v>
      </c>
      <c r="I124" s="1357">
        <v>169</v>
      </c>
      <c r="J124" s="1357">
        <v>177</v>
      </c>
      <c r="K124" s="2431">
        <v>138</v>
      </c>
    </row>
    <row r="126" spans="1:11" ht="31.5" customHeight="1" x14ac:dyDescent="0.25">
      <c r="A126" s="2737" t="s">
        <v>1424</v>
      </c>
      <c r="B126" s="2737"/>
      <c r="C126" s="2737"/>
      <c r="D126" s="2737"/>
      <c r="E126" s="2737"/>
      <c r="F126" s="2737"/>
      <c r="G126" s="2737"/>
      <c r="H126" s="2737"/>
      <c r="I126" s="1355"/>
      <c r="J126" s="1574"/>
      <c r="K126" s="2428"/>
    </row>
    <row r="128" spans="1:11" s="389" customFormat="1" x14ac:dyDescent="0.25">
      <c r="A128" s="389" t="s">
        <v>248</v>
      </c>
    </row>
    <row r="129" spans="1:3" s="389" customFormat="1" x14ac:dyDescent="0.25">
      <c r="A129" s="390" t="s">
        <v>249</v>
      </c>
      <c r="B129" s="391" t="s">
        <v>250</v>
      </c>
      <c r="C129" s="391"/>
    </row>
  </sheetData>
  <autoFilter ref="A3:C3"/>
  <sortState ref="A5:L124">
    <sortCondition ref="A5:A124"/>
  </sortState>
  <mergeCells count="1">
    <mergeCell ref="A126:H126"/>
  </mergeCells>
  <hyperlinks>
    <hyperlink ref="B129" r:id="rId1"/>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29"/>
  <sheetViews>
    <sheetView workbookViewId="0">
      <selection activeCell="A4" sqref="A4:K124"/>
    </sheetView>
  </sheetViews>
  <sheetFormatPr defaultRowHeight="15.75" x14ac:dyDescent="0.25"/>
  <cols>
    <col min="1" max="1" width="5.875" style="505" customWidth="1"/>
    <col min="2" max="2" width="30.25" style="505" customWidth="1"/>
    <col min="3" max="3" width="12.375" style="505" customWidth="1"/>
    <col min="4" max="8" width="10.875" style="505" customWidth="1"/>
    <col min="9" max="11" width="8.75" style="505" customWidth="1"/>
    <col min="12" max="16384" width="9" style="505"/>
  </cols>
  <sheetData>
    <row r="1" spans="1:11" x14ac:dyDescent="0.25">
      <c r="A1" s="255" t="s">
        <v>1426</v>
      </c>
    </row>
    <row r="3" spans="1:11" x14ac:dyDescent="0.25">
      <c r="A3" s="607" t="s">
        <v>4</v>
      </c>
      <c r="B3" s="567" t="s">
        <v>5</v>
      </c>
      <c r="C3" s="567" t="s">
        <v>251</v>
      </c>
      <c r="D3" s="613" t="s">
        <v>1429</v>
      </c>
      <c r="E3" s="613" t="s">
        <v>1430</v>
      </c>
      <c r="F3" s="613" t="s">
        <v>1431</v>
      </c>
      <c r="G3" s="613" t="s">
        <v>1432</v>
      </c>
      <c r="H3" s="613" t="s">
        <v>859</v>
      </c>
      <c r="I3" s="1361" t="s">
        <v>1073</v>
      </c>
      <c r="J3" s="1361" t="s">
        <v>1181</v>
      </c>
      <c r="K3" s="2434" t="s">
        <v>1433</v>
      </c>
    </row>
    <row r="4" spans="1:11" x14ac:dyDescent="0.25">
      <c r="A4" s="572">
        <v>999</v>
      </c>
      <c r="B4" s="600" t="s">
        <v>9</v>
      </c>
      <c r="C4" s="568"/>
      <c r="D4" s="532">
        <f>SUM(D5:D124)</f>
        <v>512847</v>
      </c>
      <c r="E4" s="532">
        <f t="shared" ref="E4:H4" si="0">SUM(E5:E124)</f>
        <v>572122</v>
      </c>
      <c r="F4" s="532">
        <f t="shared" si="0"/>
        <v>610095</v>
      </c>
      <c r="G4" s="532">
        <f t="shared" si="0"/>
        <v>635192</v>
      </c>
      <c r="H4" s="532">
        <f t="shared" si="0"/>
        <v>629853</v>
      </c>
      <c r="I4" s="1362">
        <v>592941</v>
      </c>
      <c r="J4" s="1362">
        <v>554503</v>
      </c>
      <c r="K4" s="2435">
        <v>487286</v>
      </c>
    </row>
    <row r="5" spans="1:11" x14ac:dyDescent="0.25">
      <c r="A5" s="524" t="s">
        <v>10</v>
      </c>
      <c r="B5" s="569" t="s">
        <v>11</v>
      </c>
      <c r="C5" s="569" t="s">
        <v>264</v>
      </c>
      <c r="D5" s="518">
        <v>3524</v>
      </c>
      <c r="E5" s="518">
        <v>3901</v>
      </c>
      <c r="F5" s="518">
        <v>4257</v>
      </c>
      <c r="G5" s="518">
        <v>4419</v>
      </c>
      <c r="H5" s="518">
        <v>4404</v>
      </c>
      <c r="I5" s="1359">
        <v>4081</v>
      </c>
      <c r="J5" s="1588">
        <v>3754</v>
      </c>
      <c r="K5" s="2432">
        <v>3232</v>
      </c>
    </row>
    <row r="6" spans="1:11" x14ac:dyDescent="0.25">
      <c r="A6" s="602" t="s">
        <v>12</v>
      </c>
      <c r="B6" s="603" t="s">
        <v>13</v>
      </c>
      <c r="C6" s="603" t="s">
        <v>265</v>
      </c>
      <c r="D6" s="604">
        <v>3792</v>
      </c>
      <c r="E6" s="604">
        <v>4360</v>
      </c>
      <c r="F6" s="604">
        <v>4624</v>
      </c>
      <c r="G6" s="604">
        <v>4746</v>
      </c>
      <c r="H6" s="604">
        <v>4656</v>
      </c>
      <c r="I6" s="1359">
        <v>4327</v>
      </c>
      <c r="J6" s="1588">
        <v>3736</v>
      </c>
      <c r="K6" s="2432">
        <v>3201</v>
      </c>
    </row>
    <row r="7" spans="1:11" x14ac:dyDescent="0.25">
      <c r="A7" s="602" t="s">
        <v>16</v>
      </c>
      <c r="B7" s="603" t="s">
        <v>297</v>
      </c>
      <c r="C7" s="603" t="s">
        <v>265</v>
      </c>
      <c r="D7" s="604">
        <v>2015</v>
      </c>
      <c r="E7" s="604">
        <v>2129</v>
      </c>
      <c r="F7" s="604">
        <v>2328</v>
      </c>
      <c r="G7" s="604">
        <v>2383</v>
      </c>
      <c r="H7" s="604">
        <v>2374</v>
      </c>
      <c r="I7" s="1359">
        <v>2272</v>
      </c>
      <c r="J7" s="1588">
        <v>2098</v>
      </c>
      <c r="K7" s="2432">
        <v>1929</v>
      </c>
    </row>
    <row r="8" spans="1:11" x14ac:dyDescent="0.25">
      <c r="A8" s="602" t="s">
        <v>18</v>
      </c>
      <c r="B8" s="603" t="s">
        <v>19</v>
      </c>
      <c r="C8" s="603" t="s">
        <v>266</v>
      </c>
      <c r="D8" s="604">
        <v>1184</v>
      </c>
      <c r="E8" s="604">
        <v>1311</v>
      </c>
      <c r="F8" s="604">
        <v>1373</v>
      </c>
      <c r="G8" s="604">
        <v>1367</v>
      </c>
      <c r="H8" s="604">
        <v>1318</v>
      </c>
      <c r="I8" s="1359">
        <v>1206</v>
      </c>
      <c r="J8" s="1588">
        <v>1120</v>
      </c>
      <c r="K8" s="2432">
        <v>966</v>
      </c>
    </row>
    <row r="9" spans="1:11" x14ac:dyDescent="0.25">
      <c r="A9" s="602" t="s">
        <v>20</v>
      </c>
      <c r="B9" s="603" t="s">
        <v>21</v>
      </c>
      <c r="C9" s="603" t="s">
        <v>265</v>
      </c>
      <c r="D9" s="604">
        <v>2446</v>
      </c>
      <c r="E9" s="604">
        <v>2616</v>
      </c>
      <c r="F9" s="604">
        <v>2687</v>
      </c>
      <c r="G9" s="604">
        <v>2738</v>
      </c>
      <c r="H9" s="604">
        <v>2599</v>
      </c>
      <c r="I9" s="1359">
        <v>2366</v>
      </c>
      <c r="J9" s="1588">
        <v>2291</v>
      </c>
      <c r="K9" s="2432">
        <v>2102</v>
      </c>
    </row>
    <row r="10" spans="1:11" x14ac:dyDescent="0.25">
      <c r="A10" s="602" t="s">
        <v>22</v>
      </c>
      <c r="B10" s="603" t="s">
        <v>23</v>
      </c>
      <c r="C10" s="603" t="s">
        <v>265</v>
      </c>
      <c r="D10" s="604">
        <v>1380</v>
      </c>
      <c r="E10" s="604">
        <v>1514</v>
      </c>
      <c r="F10" s="604">
        <v>1624</v>
      </c>
      <c r="G10" s="604">
        <v>1678</v>
      </c>
      <c r="H10" s="604">
        <v>1680</v>
      </c>
      <c r="I10" s="1359">
        <v>1603</v>
      </c>
      <c r="J10" s="1588">
        <v>1516</v>
      </c>
      <c r="K10" s="2432">
        <v>1379</v>
      </c>
    </row>
    <row r="11" spans="1:11" x14ac:dyDescent="0.25">
      <c r="A11" s="602" t="s">
        <v>24</v>
      </c>
      <c r="B11" s="603" t="s">
        <v>25</v>
      </c>
      <c r="C11" s="603" t="s">
        <v>267</v>
      </c>
      <c r="D11" s="604">
        <v>4996</v>
      </c>
      <c r="E11" s="604">
        <v>5712</v>
      </c>
      <c r="F11" s="604">
        <v>6180</v>
      </c>
      <c r="G11" s="604">
        <v>6608</v>
      </c>
      <c r="H11" s="604">
        <v>6745</v>
      </c>
      <c r="I11" s="1359">
        <v>6451</v>
      </c>
      <c r="J11" s="1588">
        <v>6202</v>
      </c>
      <c r="K11" s="2432">
        <v>5530</v>
      </c>
    </row>
    <row r="12" spans="1:11" x14ac:dyDescent="0.25">
      <c r="A12" s="602" t="s">
        <v>26</v>
      </c>
      <c r="B12" s="603" t="s">
        <v>685</v>
      </c>
      <c r="C12" s="603" t="s">
        <v>265</v>
      </c>
      <c r="D12" s="604">
        <v>8589</v>
      </c>
      <c r="E12" s="604">
        <v>9796</v>
      </c>
      <c r="F12" s="604">
        <v>10423</v>
      </c>
      <c r="G12" s="604">
        <v>11300</v>
      </c>
      <c r="H12" s="604">
        <v>10452</v>
      </c>
      <c r="I12" s="1359">
        <v>9420</v>
      </c>
      <c r="J12" s="1588">
        <v>8278</v>
      </c>
      <c r="K12" s="2432">
        <v>7322</v>
      </c>
    </row>
    <row r="13" spans="1:11" x14ac:dyDescent="0.25">
      <c r="A13" s="602" t="s">
        <v>27</v>
      </c>
      <c r="B13" s="603" t="s">
        <v>28</v>
      </c>
      <c r="C13" s="603" t="s">
        <v>265</v>
      </c>
      <c r="D13" s="604">
        <v>252</v>
      </c>
      <c r="E13" s="604">
        <v>251</v>
      </c>
      <c r="F13" s="604">
        <v>291</v>
      </c>
      <c r="G13" s="604">
        <v>308</v>
      </c>
      <c r="H13" s="604">
        <v>279</v>
      </c>
      <c r="I13" s="1359">
        <v>261</v>
      </c>
      <c r="J13" s="1588">
        <v>244</v>
      </c>
      <c r="K13" s="2432">
        <v>197</v>
      </c>
    </row>
    <row r="14" spans="1:11" x14ac:dyDescent="0.25">
      <c r="A14" s="602" t="s">
        <v>29</v>
      </c>
      <c r="B14" s="603" t="s">
        <v>901</v>
      </c>
      <c r="C14" s="603" t="s">
        <v>265</v>
      </c>
      <c r="D14" s="604">
        <v>3967</v>
      </c>
      <c r="E14" s="604">
        <v>4436</v>
      </c>
      <c r="F14" s="604">
        <v>4623</v>
      </c>
      <c r="G14" s="604">
        <v>4705</v>
      </c>
      <c r="H14" s="604">
        <v>5028</v>
      </c>
      <c r="I14" s="1359">
        <v>4159</v>
      </c>
      <c r="J14" s="1588">
        <v>3755</v>
      </c>
      <c r="K14" s="2432">
        <v>3499</v>
      </c>
    </row>
    <row r="15" spans="1:11" x14ac:dyDescent="0.25">
      <c r="A15" s="602" t="s">
        <v>30</v>
      </c>
      <c r="B15" s="603" t="s">
        <v>31</v>
      </c>
      <c r="C15" s="603" t="s">
        <v>268</v>
      </c>
      <c r="D15" s="604">
        <v>377</v>
      </c>
      <c r="E15" s="604">
        <v>418</v>
      </c>
      <c r="F15" s="604">
        <v>424</v>
      </c>
      <c r="G15" s="604">
        <v>436</v>
      </c>
      <c r="H15" s="604">
        <v>422</v>
      </c>
      <c r="I15" s="1359">
        <v>392</v>
      </c>
      <c r="J15" s="1588">
        <v>380</v>
      </c>
      <c r="K15" s="2432">
        <v>324</v>
      </c>
    </row>
    <row r="16" spans="1:11" x14ac:dyDescent="0.25">
      <c r="A16" s="602" t="s">
        <v>32</v>
      </c>
      <c r="B16" s="603" t="s">
        <v>33</v>
      </c>
      <c r="C16" s="603" t="s">
        <v>265</v>
      </c>
      <c r="D16" s="604">
        <v>1020</v>
      </c>
      <c r="E16" s="604">
        <v>1074</v>
      </c>
      <c r="F16" s="604">
        <v>1195</v>
      </c>
      <c r="G16" s="604">
        <v>1236</v>
      </c>
      <c r="H16" s="604">
        <v>1230</v>
      </c>
      <c r="I16" s="1359">
        <v>1167</v>
      </c>
      <c r="J16" s="1588">
        <v>1162</v>
      </c>
      <c r="K16" s="2432">
        <v>996</v>
      </c>
    </row>
    <row r="17" spans="1:11" x14ac:dyDescent="0.25">
      <c r="A17" s="602" t="s">
        <v>36</v>
      </c>
      <c r="B17" s="603" t="s">
        <v>37</v>
      </c>
      <c r="C17" s="603" t="s">
        <v>264</v>
      </c>
      <c r="D17" s="604">
        <v>2390</v>
      </c>
      <c r="E17" s="604">
        <v>2565</v>
      </c>
      <c r="F17" s="604">
        <v>2653</v>
      </c>
      <c r="G17" s="604">
        <v>2699</v>
      </c>
      <c r="H17" s="604">
        <v>2712</v>
      </c>
      <c r="I17" s="1359">
        <v>2537</v>
      </c>
      <c r="J17" s="1588">
        <v>2498</v>
      </c>
      <c r="K17" s="2432">
        <v>2267</v>
      </c>
    </row>
    <row r="18" spans="1:11" x14ac:dyDescent="0.25">
      <c r="A18" s="602" t="s">
        <v>38</v>
      </c>
      <c r="B18" s="603" t="s">
        <v>39</v>
      </c>
      <c r="C18" s="603" t="s">
        <v>268</v>
      </c>
      <c r="D18" s="604">
        <v>2919</v>
      </c>
      <c r="E18" s="604">
        <v>2937</v>
      </c>
      <c r="F18" s="604">
        <v>3010</v>
      </c>
      <c r="G18" s="604">
        <v>3154</v>
      </c>
      <c r="H18" s="604">
        <v>3154</v>
      </c>
      <c r="I18" s="1359">
        <v>3136</v>
      </c>
      <c r="J18" s="1588">
        <v>3157</v>
      </c>
      <c r="K18" s="2432">
        <v>2997</v>
      </c>
    </row>
    <row r="19" spans="1:11" x14ac:dyDescent="0.25">
      <c r="A19" s="602" t="s">
        <v>40</v>
      </c>
      <c r="B19" s="603" t="s">
        <v>41</v>
      </c>
      <c r="C19" s="603" t="s">
        <v>266</v>
      </c>
      <c r="D19" s="604">
        <v>1907</v>
      </c>
      <c r="E19" s="604">
        <v>2125</v>
      </c>
      <c r="F19" s="604">
        <v>2280</v>
      </c>
      <c r="G19" s="604">
        <v>2301</v>
      </c>
      <c r="H19" s="604">
        <v>2190</v>
      </c>
      <c r="I19" s="1359">
        <v>2087</v>
      </c>
      <c r="J19" s="1588">
        <v>1834</v>
      </c>
      <c r="K19" s="2432">
        <v>1682</v>
      </c>
    </row>
    <row r="20" spans="1:11" x14ac:dyDescent="0.25">
      <c r="A20" s="602" t="s">
        <v>42</v>
      </c>
      <c r="B20" s="603" t="s">
        <v>43</v>
      </c>
      <c r="C20" s="603" t="s">
        <v>265</v>
      </c>
      <c r="D20" s="604">
        <v>4370</v>
      </c>
      <c r="E20" s="604">
        <v>4808</v>
      </c>
      <c r="F20" s="604">
        <v>5024</v>
      </c>
      <c r="G20" s="604">
        <v>5136</v>
      </c>
      <c r="H20" s="604">
        <v>5151</v>
      </c>
      <c r="I20" s="1359">
        <v>5016</v>
      </c>
      <c r="J20" s="1588">
        <v>4628</v>
      </c>
      <c r="K20" s="2432">
        <v>3970</v>
      </c>
    </row>
    <row r="21" spans="1:11" x14ac:dyDescent="0.25">
      <c r="A21" s="602" t="s">
        <v>44</v>
      </c>
      <c r="B21" s="603" t="s">
        <v>45</v>
      </c>
      <c r="C21" s="603" t="s">
        <v>266</v>
      </c>
      <c r="D21" s="604">
        <v>2757</v>
      </c>
      <c r="E21" s="604">
        <v>3010</v>
      </c>
      <c r="F21" s="604">
        <v>3234</v>
      </c>
      <c r="G21" s="604">
        <v>3337</v>
      </c>
      <c r="H21" s="604">
        <v>3257</v>
      </c>
      <c r="I21" s="1359">
        <v>3122</v>
      </c>
      <c r="J21" s="1588">
        <v>2850</v>
      </c>
      <c r="K21" s="2432">
        <v>2341</v>
      </c>
    </row>
    <row r="22" spans="1:11" x14ac:dyDescent="0.25">
      <c r="A22" s="602" t="s">
        <v>46</v>
      </c>
      <c r="B22" s="603" t="s">
        <v>47</v>
      </c>
      <c r="C22" s="603" t="s">
        <v>268</v>
      </c>
      <c r="D22" s="604">
        <v>3174</v>
      </c>
      <c r="E22" s="604">
        <v>3435</v>
      </c>
      <c r="F22" s="604">
        <v>3542</v>
      </c>
      <c r="G22" s="604">
        <v>3590</v>
      </c>
      <c r="H22" s="604">
        <v>3562</v>
      </c>
      <c r="I22" s="1359">
        <v>3310</v>
      </c>
      <c r="J22" s="1588">
        <v>3153</v>
      </c>
      <c r="K22" s="2432">
        <v>2721</v>
      </c>
    </row>
    <row r="23" spans="1:11" x14ac:dyDescent="0.25">
      <c r="A23" s="602" t="s">
        <v>48</v>
      </c>
      <c r="B23" s="603" t="s">
        <v>269</v>
      </c>
      <c r="C23" s="603" t="s">
        <v>266</v>
      </c>
      <c r="D23" s="604">
        <v>663</v>
      </c>
      <c r="E23" s="604">
        <v>691</v>
      </c>
      <c r="F23" s="604">
        <v>754</v>
      </c>
      <c r="G23" s="604">
        <v>798</v>
      </c>
      <c r="H23" s="604">
        <v>774</v>
      </c>
      <c r="I23" s="1359">
        <v>722</v>
      </c>
      <c r="J23" s="1588">
        <v>674</v>
      </c>
      <c r="K23" s="2432">
        <v>589</v>
      </c>
    </row>
    <row r="24" spans="1:11" x14ac:dyDescent="0.25">
      <c r="A24" s="602" t="s">
        <v>50</v>
      </c>
      <c r="B24" s="603" t="s">
        <v>51</v>
      </c>
      <c r="C24" s="603" t="s">
        <v>265</v>
      </c>
      <c r="D24" s="604">
        <v>1445</v>
      </c>
      <c r="E24" s="604">
        <v>1503</v>
      </c>
      <c r="F24" s="604">
        <v>1587</v>
      </c>
      <c r="G24" s="604">
        <v>1576</v>
      </c>
      <c r="H24" s="604">
        <v>1504</v>
      </c>
      <c r="I24" s="1359">
        <v>1453</v>
      </c>
      <c r="J24" s="1588">
        <v>1426</v>
      </c>
      <c r="K24" s="2432">
        <v>1283</v>
      </c>
    </row>
    <row r="25" spans="1:11" x14ac:dyDescent="0.25">
      <c r="A25" s="602" t="s">
        <v>56</v>
      </c>
      <c r="B25" s="603" t="s">
        <v>295</v>
      </c>
      <c r="C25" s="603" t="s">
        <v>266</v>
      </c>
      <c r="D25" s="604">
        <v>16443</v>
      </c>
      <c r="E25" s="604">
        <v>18880</v>
      </c>
      <c r="F25" s="604">
        <v>20382</v>
      </c>
      <c r="G25" s="604">
        <v>21584</v>
      </c>
      <c r="H25" s="604">
        <v>21498</v>
      </c>
      <c r="I25" s="1359">
        <v>20069</v>
      </c>
      <c r="J25" s="1588">
        <v>18416</v>
      </c>
      <c r="K25" s="2432">
        <v>16426</v>
      </c>
    </row>
    <row r="26" spans="1:11" x14ac:dyDescent="0.25">
      <c r="A26" s="602" t="s">
        <v>58</v>
      </c>
      <c r="B26" s="603" t="s">
        <v>59</v>
      </c>
      <c r="C26" s="603" t="s">
        <v>267</v>
      </c>
      <c r="D26" s="604">
        <v>532</v>
      </c>
      <c r="E26" s="604">
        <v>618</v>
      </c>
      <c r="F26" s="604">
        <v>623</v>
      </c>
      <c r="G26" s="604">
        <v>600</v>
      </c>
      <c r="H26" s="604">
        <v>561</v>
      </c>
      <c r="I26" s="1359">
        <v>473</v>
      </c>
      <c r="J26" s="1588">
        <v>431</v>
      </c>
      <c r="K26" s="2432">
        <v>358</v>
      </c>
    </row>
    <row r="27" spans="1:11" x14ac:dyDescent="0.25">
      <c r="A27" s="602" t="s">
        <v>60</v>
      </c>
      <c r="B27" s="603" t="s">
        <v>61</v>
      </c>
      <c r="C27" s="603" t="s">
        <v>265</v>
      </c>
      <c r="D27" s="604">
        <v>319</v>
      </c>
      <c r="E27" s="604">
        <v>340</v>
      </c>
      <c r="F27" s="604">
        <v>371</v>
      </c>
      <c r="G27" s="604">
        <v>381</v>
      </c>
      <c r="H27" s="604">
        <v>363</v>
      </c>
      <c r="I27" s="1359">
        <v>377</v>
      </c>
      <c r="J27" s="1588">
        <v>377</v>
      </c>
      <c r="K27" s="2432">
        <v>357</v>
      </c>
    </row>
    <row r="28" spans="1:11" x14ac:dyDescent="0.25">
      <c r="A28" s="602" t="s">
        <v>62</v>
      </c>
      <c r="B28" s="603" t="s">
        <v>63</v>
      </c>
      <c r="C28" s="603" t="s">
        <v>267</v>
      </c>
      <c r="D28" s="604">
        <v>3108</v>
      </c>
      <c r="E28" s="604">
        <v>3414</v>
      </c>
      <c r="F28" s="604">
        <v>3535</v>
      </c>
      <c r="G28" s="604">
        <v>3723</v>
      </c>
      <c r="H28" s="604">
        <v>3603</v>
      </c>
      <c r="I28" s="1359">
        <v>3467</v>
      </c>
      <c r="J28" s="1588">
        <v>3149</v>
      </c>
      <c r="K28" s="2432">
        <v>2768</v>
      </c>
    </row>
    <row r="29" spans="1:11" x14ac:dyDescent="0.25">
      <c r="A29" s="602" t="s">
        <v>64</v>
      </c>
      <c r="B29" s="603" t="s">
        <v>65</v>
      </c>
      <c r="C29" s="603" t="s">
        <v>266</v>
      </c>
      <c r="D29" s="604">
        <v>1202</v>
      </c>
      <c r="E29" s="604">
        <v>1301</v>
      </c>
      <c r="F29" s="604">
        <v>1386</v>
      </c>
      <c r="G29" s="604">
        <v>1410</v>
      </c>
      <c r="H29" s="604">
        <v>1413</v>
      </c>
      <c r="I29" s="1359">
        <v>1345</v>
      </c>
      <c r="J29" s="1588">
        <v>1164</v>
      </c>
      <c r="K29" s="2432">
        <v>1083</v>
      </c>
    </row>
    <row r="30" spans="1:11" x14ac:dyDescent="0.25">
      <c r="A30" s="602" t="s">
        <v>68</v>
      </c>
      <c r="B30" s="603" t="s">
        <v>69</v>
      </c>
      <c r="C30" s="603" t="s">
        <v>268</v>
      </c>
      <c r="D30" s="604">
        <v>2015</v>
      </c>
      <c r="E30" s="604">
        <v>2080</v>
      </c>
      <c r="F30" s="604">
        <v>2150</v>
      </c>
      <c r="G30" s="604">
        <v>2226</v>
      </c>
      <c r="H30" s="604">
        <v>2211</v>
      </c>
      <c r="I30" s="1359">
        <v>2086</v>
      </c>
      <c r="J30" s="1588">
        <v>2136</v>
      </c>
      <c r="K30" s="2432">
        <v>1949</v>
      </c>
    </row>
    <row r="31" spans="1:11" x14ac:dyDescent="0.25">
      <c r="A31" s="602" t="s">
        <v>70</v>
      </c>
      <c r="B31" s="603" t="s">
        <v>71</v>
      </c>
      <c r="C31" s="603" t="s">
        <v>264</v>
      </c>
      <c r="D31" s="604">
        <v>2738</v>
      </c>
      <c r="E31" s="604">
        <v>2936</v>
      </c>
      <c r="F31" s="604">
        <v>3112</v>
      </c>
      <c r="G31" s="604">
        <v>3114</v>
      </c>
      <c r="H31" s="604">
        <v>3058</v>
      </c>
      <c r="I31" s="1359">
        <v>3008</v>
      </c>
      <c r="J31" s="1588">
        <v>2879</v>
      </c>
      <c r="K31" s="2432">
        <v>2444</v>
      </c>
    </row>
    <row r="32" spans="1:11" x14ac:dyDescent="0.25">
      <c r="A32" s="602" t="s">
        <v>72</v>
      </c>
      <c r="B32" s="603" t="s">
        <v>73</v>
      </c>
      <c r="C32" s="603" t="s">
        <v>266</v>
      </c>
      <c r="D32" s="604">
        <v>1244</v>
      </c>
      <c r="E32" s="604">
        <v>1365</v>
      </c>
      <c r="F32" s="604">
        <v>1503</v>
      </c>
      <c r="G32" s="604">
        <v>1541</v>
      </c>
      <c r="H32" s="604">
        <v>1498</v>
      </c>
      <c r="I32" s="1359">
        <v>1434</v>
      </c>
      <c r="J32" s="1588">
        <v>1300</v>
      </c>
      <c r="K32" s="2432">
        <v>1150</v>
      </c>
    </row>
    <row r="33" spans="1:11" x14ac:dyDescent="0.25">
      <c r="A33" s="602" t="s">
        <v>74</v>
      </c>
      <c r="B33" s="603" t="s">
        <v>296</v>
      </c>
      <c r="C33" s="603" t="s">
        <v>267</v>
      </c>
      <c r="D33" s="604">
        <v>25410</v>
      </c>
      <c r="E33" s="604">
        <v>29341</v>
      </c>
      <c r="F33" s="604">
        <v>32354</v>
      </c>
      <c r="G33" s="604">
        <v>34720</v>
      </c>
      <c r="H33" s="604">
        <v>34788</v>
      </c>
      <c r="I33" s="1359">
        <v>32818</v>
      </c>
      <c r="J33" s="1588">
        <v>32659</v>
      </c>
      <c r="K33" s="2432">
        <v>30634</v>
      </c>
    </row>
    <row r="34" spans="1:11" x14ac:dyDescent="0.25">
      <c r="A34" s="602" t="s">
        <v>76</v>
      </c>
      <c r="B34" s="603" t="s">
        <v>77</v>
      </c>
      <c r="C34" s="603" t="s">
        <v>267</v>
      </c>
      <c r="D34" s="604">
        <v>2526</v>
      </c>
      <c r="E34" s="604">
        <v>2780</v>
      </c>
      <c r="F34" s="604">
        <v>2956</v>
      </c>
      <c r="G34" s="604">
        <v>2999</v>
      </c>
      <c r="H34" s="604">
        <v>2906</v>
      </c>
      <c r="I34" s="1359">
        <v>2599</v>
      </c>
      <c r="J34" s="1588">
        <v>2337</v>
      </c>
      <c r="K34" s="2432">
        <v>1990</v>
      </c>
    </row>
    <row r="35" spans="1:11" x14ac:dyDescent="0.25">
      <c r="A35" s="602" t="s">
        <v>78</v>
      </c>
      <c r="B35" s="603" t="s">
        <v>79</v>
      </c>
      <c r="C35" s="603" t="s">
        <v>268</v>
      </c>
      <c r="D35" s="604">
        <v>1135</v>
      </c>
      <c r="E35" s="604">
        <v>1262</v>
      </c>
      <c r="F35" s="604">
        <v>1341</v>
      </c>
      <c r="G35" s="604">
        <v>1335</v>
      </c>
      <c r="H35" s="604">
        <v>1275</v>
      </c>
      <c r="I35" s="1359">
        <v>1162</v>
      </c>
      <c r="J35" s="1588">
        <v>1109</v>
      </c>
      <c r="K35" s="2432">
        <v>1131</v>
      </c>
    </row>
    <row r="36" spans="1:11" x14ac:dyDescent="0.25">
      <c r="A36" s="602" t="s">
        <v>80</v>
      </c>
      <c r="B36" s="603" t="s">
        <v>81</v>
      </c>
      <c r="C36" s="603" t="s">
        <v>266</v>
      </c>
      <c r="D36" s="604">
        <v>881</v>
      </c>
      <c r="E36" s="604">
        <v>1041</v>
      </c>
      <c r="F36" s="604">
        <v>1178</v>
      </c>
      <c r="G36" s="604">
        <v>1204</v>
      </c>
      <c r="H36" s="604">
        <v>1173</v>
      </c>
      <c r="I36" s="1359">
        <v>1119</v>
      </c>
      <c r="J36" s="1588">
        <v>1009</v>
      </c>
      <c r="K36" s="2432">
        <v>916</v>
      </c>
    </row>
    <row r="37" spans="1:11" x14ac:dyDescent="0.25">
      <c r="A37" s="602" t="s">
        <v>84</v>
      </c>
      <c r="B37" s="603" t="s">
        <v>85</v>
      </c>
      <c r="C37" s="603" t="s">
        <v>265</v>
      </c>
      <c r="D37" s="604">
        <v>4567</v>
      </c>
      <c r="E37" s="604">
        <v>4924</v>
      </c>
      <c r="F37" s="604">
        <v>5105</v>
      </c>
      <c r="G37" s="604">
        <v>5156</v>
      </c>
      <c r="H37" s="604">
        <v>5106</v>
      </c>
      <c r="I37" s="1359">
        <v>4760</v>
      </c>
      <c r="J37" s="1588">
        <v>4341</v>
      </c>
      <c r="K37" s="2432">
        <v>3862</v>
      </c>
    </row>
    <row r="38" spans="1:11" x14ac:dyDescent="0.25">
      <c r="A38" s="602" t="s">
        <v>86</v>
      </c>
      <c r="B38" s="603" t="s">
        <v>87</v>
      </c>
      <c r="C38" s="603" t="s">
        <v>267</v>
      </c>
      <c r="D38" s="604">
        <v>3781</v>
      </c>
      <c r="E38" s="604">
        <v>4301</v>
      </c>
      <c r="F38" s="604">
        <v>4597</v>
      </c>
      <c r="G38" s="604">
        <v>4722</v>
      </c>
      <c r="H38" s="604">
        <v>4335</v>
      </c>
      <c r="I38" s="1359">
        <v>3995</v>
      </c>
      <c r="J38" s="1588">
        <v>3674</v>
      </c>
      <c r="K38" s="2432">
        <v>3135</v>
      </c>
    </row>
    <row r="39" spans="1:11" x14ac:dyDescent="0.25">
      <c r="A39" s="602" t="s">
        <v>92</v>
      </c>
      <c r="B39" s="603" t="s">
        <v>93</v>
      </c>
      <c r="C39" s="603" t="s">
        <v>268</v>
      </c>
      <c r="D39" s="604">
        <v>1491</v>
      </c>
      <c r="E39" s="604">
        <v>1628</v>
      </c>
      <c r="F39" s="604">
        <v>1598</v>
      </c>
      <c r="G39" s="604">
        <v>1599</v>
      </c>
      <c r="H39" s="604">
        <v>1662</v>
      </c>
      <c r="I39" s="1359">
        <v>1517</v>
      </c>
      <c r="J39" s="1588">
        <v>1459</v>
      </c>
      <c r="K39" s="2432">
        <v>1313</v>
      </c>
    </row>
    <row r="40" spans="1:11" x14ac:dyDescent="0.25">
      <c r="A40" s="602" t="s">
        <v>94</v>
      </c>
      <c r="B40" s="603" t="s">
        <v>95</v>
      </c>
      <c r="C40" s="603" t="s">
        <v>264</v>
      </c>
      <c r="D40" s="604">
        <v>2395</v>
      </c>
      <c r="E40" s="604">
        <v>2709</v>
      </c>
      <c r="F40" s="604">
        <v>2914</v>
      </c>
      <c r="G40" s="604">
        <v>2922</v>
      </c>
      <c r="H40" s="604">
        <v>2877</v>
      </c>
      <c r="I40" s="1359">
        <v>2719</v>
      </c>
      <c r="J40" s="1588">
        <v>2508</v>
      </c>
      <c r="K40" s="2432">
        <v>2157</v>
      </c>
    </row>
    <row r="41" spans="1:11" x14ac:dyDescent="0.25">
      <c r="A41" s="602" t="s">
        <v>96</v>
      </c>
      <c r="B41" s="603" t="s">
        <v>97</v>
      </c>
      <c r="C41" s="603" t="s">
        <v>266</v>
      </c>
      <c r="D41" s="604">
        <v>794</v>
      </c>
      <c r="E41" s="604">
        <v>902</v>
      </c>
      <c r="F41" s="604">
        <v>918</v>
      </c>
      <c r="G41" s="604">
        <v>950</v>
      </c>
      <c r="H41" s="604">
        <v>942</v>
      </c>
      <c r="I41" s="1359">
        <v>884</v>
      </c>
      <c r="J41" s="1588">
        <v>797</v>
      </c>
      <c r="K41" s="2432">
        <v>743</v>
      </c>
    </row>
    <row r="42" spans="1:11" x14ac:dyDescent="0.25">
      <c r="A42" s="602" t="s">
        <v>98</v>
      </c>
      <c r="B42" s="603" t="s">
        <v>99</v>
      </c>
      <c r="C42" s="603" t="s">
        <v>268</v>
      </c>
      <c r="D42" s="604">
        <v>1672</v>
      </c>
      <c r="E42" s="604">
        <v>1798</v>
      </c>
      <c r="F42" s="604">
        <v>1830</v>
      </c>
      <c r="G42" s="604">
        <v>1903</v>
      </c>
      <c r="H42" s="604">
        <v>1845</v>
      </c>
      <c r="I42" s="1359">
        <v>1720</v>
      </c>
      <c r="J42" s="1588">
        <v>1667</v>
      </c>
      <c r="K42" s="2432">
        <v>1451</v>
      </c>
    </row>
    <row r="43" spans="1:11" x14ac:dyDescent="0.25">
      <c r="A43" s="602" t="s">
        <v>100</v>
      </c>
      <c r="B43" s="603" t="s">
        <v>101</v>
      </c>
      <c r="C43" s="603" t="s">
        <v>267</v>
      </c>
      <c r="D43" s="604">
        <v>1096</v>
      </c>
      <c r="E43" s="604">
        <v>1215</v>
      </c>
      <c r="F43" s="604">
        <v>1303</v>
      </c>
      <c r="G43" s="604">
        <v>1342</v>
      </c>
      <c r="H43" s="604">
        <v>1356</v>
      </c>
      <c r="I43" s="1359">
        <v>1293</v>
      </c>
      <c r="J43" s="1588">
        <v>1263</v>
      </c>
      <c r="K43" s="2432">
        <v>1058</v>
      </c>
    </row>
    <row r="44" spans="1:11" x14ac:dyDescent="0.25">
      <c r="A44" s="602" t="s">
        <v>102</v>
      </c>
      <c r="B44" s="603" t="s">
        <v>282</v>
      </c>
      <c r="C44" s="603" t="s">
        <v>264</v>
      </c>
      <c r="D44" s="604">
        <v>2397</v>
      </c>
      <c r="E44" s="604">
        <v>2657</v>
      </c>
      <c r="F44" s="604">
        <v>2795</v>
      </c>
      <c r="G44" s="604">
        <v>3050</v>
      </c>
      <c r="H44" s="604">
        <v>2914</v>
      </c>
      <c r="I44" s="1359">
        <v>2835</v>
      </c>
      <c r="J44" s="1588">
        <v>2551</v>
      </c>
      <c r="K44" s="2432">
        <v>2244</v>
      </c>
    </row>
    <row r="45" spans="1:11" x14ac:dyDescent="0.25">
      <c r="A45" s="602" t="s">
        <v>104</v>
      </c>
      <c r="B45" s="603" t="s">
        <v>105</v>
      </c>
      <c r="C45" s="603" t="s">
        <v>265</v>
      </c>
      <c r="D45" s="604">
        <v>4069</v>
      </c>
      <c r="E45" s="604">
        <v>4318</v>
      </c>
      <c r="F45" s="604">
        <v>4442</v>
      </c>
      <c r="G45" s="604">
        <v>4466</v>
      </c>
      <c r="H45" s="604">
        <v>4515</v>
      </c>
      <c r="I45" s="1359">
        <v>4364</v>
      </c>
      <c r="J45" s="1588">
        <v>4230</v>
      </c>
      <c r="K45" s="2432">
        <v>3955</v>
      </c>
    </row>
    <row r="46" spans="1:11" x14ac:dyDescent="0.25">
      <c r="A46" s="602" t="s">
        <v>108</v>
      </c>
      <c r="B46" s="603" t="s">
        <v>109</v>
      </c>
      <c r="C46" s="603" t="s">
        <v>266</v>
      </c>
      <c r="D46" s="604">
        <v>3249</v>
      </c>
      <c r="E46" s="604">
        <v>3702</v>
      </c>
      <c r="F46" s="604">
        <v>3999</v>
      </c>
      <c r="G46" s="604">
        <v>4064</v>
      </c>
      <c r="H46" s="604">
        <v>4029</v>
      </c>
      <c r="I46" s="1359">
        <v>3768</v>
      </c>
      <c r="J46" s="1588">
        <v>3431</v>
      </c>
      <c r="K46" s="2432">
        <v>3129</v>
      </c>
    </row>
    <row r="47" spans="1:11" x14ac:dyDescent="0.25">
      <c r="A47" s="602" t="s">
        <v>110</v>
      </c>
      <c r="B47" s="603" t="s">
        <v>111</v>
      </c>
      <c r="C47" s="603" t="s">
        <v>266</v>
      </c>
      <c r="D47" s="604">
        <v>17705</v>
      </c>
      <c r="E47" s="604">
        <v>20583</v>
      </c>
      <c r="F47" s="604">
        <v>22430</v>
      </c>
      <c r="G47" s="604">
        <v>23611</v>
      </c>
      <c r="H47" s="604">
        <v>23261</v>
      </c>
      <c r="I47" s="1359">
        <v>21858</v>
      </c>
      <c r="J47" s="1588">
        <v>20855</v>
      </c>
      <c r="K47" s="2432">
        <v>18938</v>
      </c>
    </row>
    <row r="48" spans="1:11" x14ac:dyDescent="0.25">
      <c r="A48" s="602" t="s">
        <v>112</v>
      </c>
      <c r="B48" s="603" t="s">
        <v>300</v>
      </c>
      <c r="C48" s="603" t="s">
        <v>265</v>
      </c>
      <c r="D48" s="604">
        <v>9882</v>
      </c>
      <c r="E48" s="604">
        <v>10439</v>
      </c>
      <c r="F48" s="604">
        <v>10999</v>
      </c>
      <c r="G48" s="604">
        <v>11352</v>
      </c>
      <c r="H48" s="604">
        <v>10899</v>
      </c>
      <c r="I48" s="1359">
        <v>10394</v>
      </c>
      <c r="J48" s="1588">
        <v>9673</v>
      </c>
      <c r="K48" s="2432">
        <v>8803</v>
      </c>
    </row>
    <row r="49" spans="1:11" x14ac:dyDescent="0.25">
      <c r="A49" s="602" t="s">
        <v>114</v>
      </c>
      <c r="B49" s="603" t="s">
        <v>115</v>
      </c>
      <c r="C49" s="603" t="s">
        <v>265</v>
      </c>
      <c r="D49" s="604">
        <v>101</v>
      </c>
      <c r="E49" s="604">
        <v>116</v>
      </c>
      <c r="F49" s="604">
        <v>121</v>
      </c>
      <c r="G49" s="604">
        <v>112</v>
      </c>
      <c r="H49" s="604">
        <v>110</v>
      </c>
      <c r="I49" s="1359">
        <v>104</v>
      </c>
      <c r="J49" s="1588">
        <v>91</v>
      </c>
      <c r="K49" s="2432">
        <v>77</v>
      </c>
    </row>
    <row r="50" spans="1:11" x14ac:dyDescent="0.25">
      <c r="A50" s="602" t="s">
        <v>118</v>
      </c>
      <c r="B50" s="603" t="s">
        <v>270</v>
      </c>
      <c r="C50" s="603" t="s">
        <v>264</v>
      </c>
      <c r="D50" s="604">
        <v>2462</v>
      </c>
      <c r="E50" s="604">
        <v>2692</v>
      </c>
      <c r="F50" s="604">
        <v>2872</v>
      </c>
      <c r="G50" s="604">
        <v>2956</v>
      </c>
      <c r="H50" s="604">
        <v>2862</v>
      </c>
      <c r="I50" s="1359">
        <v>2777</v>
      </c>
      <c r="J50" s="1588">
        <v>2548</v>
      </c>
      <c r="K50" s="2432">
        <v>2221</v>
      </c>
    </row>
    <row r="51" spans="1:11" x14ac:dyDescent="0.25">
      <c r="A51" s="602" t="s">
        <v>120</v>
      </c>
      <c r="B51" s="603" t="s">
        <v>121</v>
      </c>
      <c r="C51" s="603" t="s">
        <v>264</v>
      </c>
      <c r="D51" s="604">
        <v>2476</v>
      </c>
      <c r="E51" s="604">
        <v>2852</v>
      </c>
      <c r="F51" s="604">
        <v>3074</v>
      </c>
      <c r="G51" s="604">
        <v>3252</v>
      </c>
      <c r="H51" s="604">
        <v>3210</v>
      </c>
      <c r="I51" s="1359">
        <v>3073</v>
      </c>
      <c r="J51" s="1588">
        <v>2940</v>
      </c>
      <c r="K51" s="2432">
        <v>2503</v>
      </c>
    </row>
    <row r="52" spans="1:11" x14ac:dyDescent="0.25">
      <c r="A52" s="602" t="s">
        <v>122</v>
      </c>
      <c r="B52" s="603" t="s">
        <v>287</v>
      </c>
      <c r="C52" s="603" t="s">
        <v>266</v>
      </c>
      <c r="D52" s="604">
        <v>609</v>
      </c>
      <c r="E52" s="604">
        <v>687</v>
      </c>
      <c r="F52" s="604">
        <v>754</v>
      </c>
      <c r="G52" s="604">
        <v>813</v>
      </c>
      <c r="H52" s="604">
        <v>806</v>
      </c>
      <c r="I52" s="1359">
        <v>776</v>
      </c>
      <c r="J52" s="1588">
        <v>1605</v>
      </c>
      <c r="K52" s="2432">
        <v>1359</v>
      </c>
    </row>
    <row r="53" spans="1:11" x14ac:dyDescent="0.25">
      <c r="A53" s="602" t="s">
        <v>124</v>
      </c>
      <c r="B53" s="603" t="s">
        <v>125</v>
      </c>
      <c r="C53" s="603" t="s">
        <v>267</v>
      </c>
      <c r="D53" s="604">
        <v>1364</v>
      </c>
      <c r="E53" s="604">
        <v>1609</v>
      </c>
      <c r="F53" s="604">
        <v>1807</v>
      </c>
      <c r="G53" s="604">
        <v>1905</v>
      </c>
      <c r="H53" s="604">
        <v>1925</v>
      </c>
      <c r="I53" s="1359">
        <v>1804</v>
      </c>
      <c r="J53" s="1588">
        <v>1014</v>
      </c>
      <c r="K53" s="2432">
        <v>855</v>
      </c>
    </row>
    <row r="54" spans="1:11" x14ac:dyDescent="0.25">
      <c r="A54" s="602" t="s">
        <v>126</v>
      </c>
      <c r="B54" s="603" t="s">
        <v>127</v>
      </c>
      <c r="C54" s="603" t="s">
        <v>266</v>
      </c>
      <c r="D54" s="604">
        <v>998</v>
      </c>
      <c r="E54" s="604">
        <v>1121</v>
      </c>
      <c r="F54" s="604">
        <v>1196</v>
      </c>
      <c r="G54" s="604">
        <v>1184</v>
      </c>
      <c r="H54" s="604">
        <v>1153</v>
      </c>
      <c r="I54" s="1359">
        <v>1107</v>
      </c>
      <c r="J54" s="1588">
        <v>690</v>
      </c>
      <c r="K54" s="2432">
        <v>590</v>
      </c>
    </row>
    <row r="55" spans="1:11" x14ac:dyDescent="0.25">
      <c r="A55" s="602" t="s">
        <v>128</v>
      </c>
      <c r="B55" s="603" t="s">
        <v>129</v>
      </c>
      <c r="C55" s="603" t="s">
        <v>266</v>
      </c>
      <c r="D55" s="604">
        <v>981</v>
      </c>
      <c r="E55" s="604">
        <v>1053</v>
      </c>
      <c r="F55" s="604">
        <v>1106</v>
      </c>
      <c r="G55" s="604">
        <v>1134</v>
      </c>
      <c r="H55" s="604">
        <v>1117</v>
      </c>
      <c r="I55" s="1359">
        <v>1043</v>
      </c>
      <c r="J55" s="1588">
        <v>955</v>
      </c>
      <c r="K55" s="2432">
        <v>879</v>
      </c>
    </row>
    <row r="56" spans="1:11" x14ac:dyDescent="0.25">
      <c r="A56" s="602" t="s">
        <v>130</v>
      </c>
      <c r="B56" s="603" t="s">
        <v>131</v>
      </c>
      <c r="C56" s="603" t="s">
        <v>268</v>
      </c>
      <c r="D56" s="604">
        <v>3568</v>
      </c>
      <c r="E56" s="604">
        <v>3828</v>
      </c>
      <c r="F56" s="604">
        <v>3936</v>
      </c>
      <c r="G56" s="604">
        <v>4034</v>
      </c>
      <c r="H56" s="604">
        <v>4087</v>
      </c>
      <c r="I56" s="1359">
        <v>3844</v>
      </c>
      <c r="J56" s="1588">
        <v>3725</v>
      </c>
      <c r="K56" s="2432">
        <v>3642</v>
      </c>
    </row>
    <row r="57" spans="1:11" x14ac:dyDescent="0.25">
      <c r="A57" s="602" t="s">
        <v>132</v>
      </c>
      <c r="B57" s="603" t="s">
        <v>133</v>
      </c>
      <c r="C57" s="603" t="s">
        <v>267</v>
      </c>
      <c r="D57" s="604">
        <v>4833</v>
      </c>
      <c r="E57" s="604">
        <v>5657</v>
      </c>
      <c r="F57" s="604">
        <v>6097</v>
      </c>
      <c r="G57" s="604">
        <v>6514</v>
      </c>
      <c r="H57" s="604">
        <v>6658</v>
      </c>
      <c r="I57" s="1359">
        <v>6306</v>
      </c>
      <c r="J57" s="1588">
        <v>6268</v>
      </c>
      <c r="K57" s="2432">
        <v>5994</v>
      </c>
    </row>
    <row r="58" spans="1:11" x14ac:dyDescent="0.25">
      <c r="A58" s="602" t="s">
        <v>134</v>
      </c>
      <c r="B58" s="603" t="s">
        <v>135</v>
      </c>
      <c r="C58" s="603" t="s">
        <v>267</v>
      </c>
      <c r="D58" s="604">
        <v>2311</v>
      </c>
      <c r="E58" s="604">
        <v>2693</v>
      </c>
      <c r="F58" s="604">
        <v>2828</v>
      </c>
      <c r="G58" s="604">
        <v>3016</v>
      </c>
      <c r="H58" s="604">
        <v>3047</v>
      </c>
      <c r="I58" s="1359">
        <v>2906</v>
      </c>
      <c r="J58" s="1588">
        <v>2608</v>
      </c>
      <c r="K58" s="2432">
        <v>2222</v>
      </c>
    </row>
    <row r="59" spans="1:11" x14ac:dyDescent="0.25">
      <c r="A59" s="602" t="s">
        <v>136</v>
      </c>
      <c r="B59" s="603" t="s">
        <v>137</v>
      </c>
      <c r="C59" s="603" t="s">
        <v>266</v>
      </c>
      <c r="D59" s="604">
        <v>1498</v>
      </c>
      <c r="E59" s="604">
        <v>1617</v>
      </c>
      <c r="F59" s="604">
        <v>1667</v>
      </c>
      <c r="G59" s="604">
        <v>1688</v>
      </c>
      <c r="H59" s="604">
        <v>1709</v>
      </c>
      <c r="I59" s="1359">
        <v>1623</v>
      </c>
      <c r="J59" s="1588">
        <v>1537</v>
      </c>
      <c r="K59" s="2432">
        <v>1325</v>
      </c>
    </row>
    <row r="60" spans="1:11" x14ac:dyDescent="0.25">
      <c r="A60" s="602" t="s">
        <v>140</v>
      </c>
      <c r="B60" s="603" t="s">
        <v>141</v>
      </c>
      <c r="C60" s="603" t="s">
        <v>267</v>
      </c>
      <c r="D60" s="604">
        <v>807</v>
      </c>
      <c r="E60" s="604">
        <v>893</v>
      </c>
      <c r="F60" s="604">
        <v>972</v>
      </c>
      <c r="G60" s="604">
        <v>1024</v>
      </c>
      <c r="H60" s="604">
        <v>1000</v>
      </c>
      <c r="I60" s="1359">
        <v>955</v>
      </c>
      <c r="J60" s="1588">
        <v>863</v>
      </c>
      <c r="K60" s="2432">
        <v>658</v>
      </c>
    </row>
    <row r="61" spans="1:11" x14ac:dyDescent="0.25">
      <c r="A61" s="602" t="s">
        <v>146</v>
      </c>
      <c r="B61" s="603" t="s">
        <v>147</v>
      </c>
      <c r="C61" s="603" t="s">
        <v>264</v>
      </c>
      <c r="D61" s="604">
        <v>596</v>
      </c>
      <c r="E61" s="604">
        <v>671</v>
      </c>
      <c r="F61" s="604">
        <v>699</v>
      </c>
      <c r="G61" s="604">
        <v>710</v>
      </c>
      <c r="H61" s="604">
        <v>685</v>
      </c>
      <c r="I61" s="1359">
        <v>673</v>
      </c>
      <c r="J61" s="1588">
        <v>637</v>
      </c>
      <c r="K61" s="2432">
        <v>539</v>
      </c>
    </row>
    <row r="62" spans="1:11" x14ac:dyDescent="0.25">
      <c r="A62" s="602" t="s">
        <v>148</v>
      </c>
      <c r="B62" s="603" t="s">
        <v>149</v>
      </c>
      <c r="C62" s="603" t="s">
        <v>265</v>
      </c>
      <c r="D62" s="604">
        <v>2922</v>
      </c>
      <c r="E62" s="604">
        <v>3158</v>
      </c>
      <c r="F62" s="604">
        <v>3319</v>
      </c>
      <c r="G62" s="604">
        <v>3505</v>
      </c>
      <c r="H62" s="604">
        <v>3511</v>
      </c>
      <c r="I62" s="1359">
        <v>3396</v>
      </c>
      <c r="J62" s="1588">
        <v>3216</v>
      </c>
      <c r="K62" s="2432">
        <v>2907</v>
      </c>
    </row>
    <row r="63" spans="1:11" x14ac:dyDescent="0.25">
      <c r="A63" s="602" t="s">
        <v>150</v>
      </c>
      <c r="B63" s="603" t="s">
        <v>151</v>
      </c>
      <c r="C63" s="603" t="s">
        <v>266</v>
      </c>
      <c r="D63" s="604">
        <v>890</v>
      </c>
      <c r="E63" s="604">
        <v>962</v>
      </c>
      <c r="F63" s="604">
        <v>1077</v>
      </c>
      <c r="G63" s="604">
        <v>1103</v>
      </c>
      <c r="H63" s="604">
        <v>1090</v>
      </c>
      <c r="I63" s="1359">
        <v>1029</v>
      </c>
      <c r="J63" s="1588">
        <v>976</v>
      </c>
      <c r="K63" s="2432">
        <v>911</v>
      </c>
    </row>
    <row r="64" spans="1:11" x14ac:dyDescent="0.25">
      <c r="A64" s="602" t="s">
        <v>152</v>
      </c>
      <c r="B64" s="603" t="s">
        <v>153</v>
      </c>
      <c r="C64" s="603" t="s">
        <v>268</v>
      </c>
      <c r="D64" s="604">
        <v>4513</v>
      </c>
      <c r="E64" s="604">
        <v>4979</v>
      </c>
      <c r="F64" s="604">
        <v>5197</v>
      </c>
      <c r="G64" s="604">
        <v>5332</v>
      </c>
      <c r="H64" s="604">
        <v>5205</v>
      </c>
      <c r="I64" s="1359">
        <v>4834</v>
      </c>
      <c r="J64" s="1588">
        <v>4446</v>
      </c>
      <c r="K64" s="2432">
        <v>3852</v>
      </c>
    </row>
    <row r="65" spans="1:11" x14ac:dyDescent="0.25">
      <c r="A65" s="602" t="s">
        <v>154</v>
      </c>
      <c r="B65" s="603" t="s">
        <v>155</v>
      </c>
      <c r="C65" s="603" t="s">
        <v>265</v>
      </c>
      <c r="D65" s="604">
        <v>1227</v>
      </c>
      <c r="E65" s="604">
        <v>1356</v>
      </c>
      <c r="F65" s="604">
        <v>1471</v>
      </c>
      <c r="G65" s="604">
        <v>1502</v>
      </c>
      <c r="H65" s="604">
        <v>1497</v>
      </c>
      <c r="I65" s="1359">
        <v>1386</v>
      </c>
      <c r="J65" s="1588">
        <v>1233</v>
      </c>
      <c r="K65" s="2432">
        <v>1063</v>
      </c>
    </row>
    <row r="66" spans="1:11" x14ac:dyDescent="0.25">
      <c r="A66" s="602" t="s">
        <v>156</v>
      </c>
      <c r="B66" s="603" t="s">
        <v>157</v>
      </c>
      <c r="C66" s="603" t="s">
        <v>266</v>
      </c>
      <c r="D66" s="604">
        <v>619</v>
      </c>
      <c r="E66" s="604">
        <v>732</v>
      </c>
      <c r="F66" s="604">
        <v>804</v>
      </c>
      <c r="G66" s="604">
        <v>839</v>
      </c>
      <c r="H66" s="604">
        <v>816</v>
      </c>
      <c r="I66" s="1359">
        <v>833</v>
      </c>
      <c r="J66" s="1588">
        <v>747</v>
      </c>
      <c r="K66" s="2432">
        <v>641</v>
      </c>
    </row>
    <row r="67" spans="1:11" x14ac:dyDescent="0.25">
      <c r="A67" s="602" t="s">
        <v>162</v>
      </c>
      <c r="B67" s="603" t="s">
        <v>163</v>
      </c>
      <c r="C67" s="603" t="s">
        <v>264</v>
      </c>
      <c r="D67" s="604">
        <v>1784</v>
      </c>
      <c r="E67" s="604">
        <v>1952</v>
      </c>
      <c r="F67" s="604">
        <v>1990</v>
      </c>
      <c r="G67" s="604">
        <v>2018</v>
      </c>
      <c r="H67" s="604">
        <v>2015</v>
      </c>
      <c r="I67" s="1359">
        <v>1911</v>
      </c>
      <c r="J67" s="1588">
        <v>1776</v>
      </c>
      <c r="K67" s="2432">
        <v>1578</v>
      </c>
    </row>
    <row r="68" spans="1:11" x14ac:dyDescent="0.25">
      <c r="A68" s="602" t="s">
        <v>164</v>
      </c>
      <c r="B68" s="603" t="s">
        <v>165</v>
      </c>
      <c r="C68" s="603" t="s">
        <v>266</v>
      </c>
      <c r="D68" s="604">
        <v>941</v>
      </c>
      <c r="E68" s="604">
        <v>1031</v>
      </c>
      <c r="F68" s="604">
        <v>1101</v>
      </c>
      <c r="G68" s="604">
        <v>1179</v>
      </c>
      <c r="H68" s="604">
        <v>1201</v>
      </c>
      <c r="I68" s="1359">
        <v>1150</v>
      </c>
      <c r="J68" s="1588">
        <v>1056</v>
      </c>
      <c r="K68" s="2432">
        <v>928</v>
      </c>
    </row>
    <row r="69" spans="1:11" x14ac:dyDescent="0.25">
      <c r="A69" s="602" t="s">
        <v>168</v>
      </c>
      <c r="B69" s="603" t="s">
        <v>169</v>
      </c>
      <c r="C69" s="603" t="s">
        <v>266</v>
      </c>
      <c r="D69" s="604">
        <v>1966</v>
      </c>
      <c r="E69" s="604">
        <v>2173</v>
      </c>
      <c r="F69" s="604">
        <v>2316</v>
      </c>
      <c r="G69" s="604">
        <v>2365</v>
      </c>
      <c r="H69" s="604">
        <v>2398</v>
      </c>
      <c r="I69" s="1359">
        <v>2229</v>
      </c>
      <c r="J69" s="1588">
        <v>2044</v>
      </c>
      <c r="K69" s="2432">
        <v>1821</v>
      </c>
    </row>
    <row r="70" spans="1:11" x14ac:dyDescent="0.25">
      <c r="A70" s="602" t="s">
        <v>170</v>
      </c>
      <c r="B70" s="603" t="s">
        <v>171</v>
      </c>
      <c r="C70" s="603" t="s">
        <v>267</v>
      </c>
      <c r="D70" s="604">
        <v>1868</v>
      </c>
      <c r="E70" s="604">
        <v>2074</v>
      </c>
      <c r="F70" s="604">
        <v>2200</v>
      </c>
      <c r="G70" s="604">
        <v>2260</v>
      </c>
      <c r="H70" s="604">
        <v>2270</v>
      </c>
      <c r="I70" s="1359">
        <v>2138</v>
      </c>
      <c r="J70" s="1588">
        <v>1995</v>
      </c>
      <c r="K70" s="2432">
        <v>1763</v>
      </c>
    </row>
    <row r="71" spans="1:11" x14ac:dyDescent="0.25">
      <c r="A71" s="602" t="s">
        <v>172</v>
      </c>
      <c r="B71" s="603" t="s">
        <v>173</v>
      </c>
      <c r="C71" s="603" t="s">
        <v>267</v>
      </c>
      <c r="D71" s="604">
        <v>2111</v>
      </c>
      <c r="E71" s="604">
        <v>2293</v>
      </c>
      <c r="F71" s="604">
        <v>2468</v>
      </c>
      <c r="G71" s="604">
        <v>2488</v>
      </c>
      <c r="H71" s="604">
        <v>2463</v>
      </c>
      <c r="I71" s="1359">
        <v>2344</v>
      </c>
      <c r="J71" s="1588">
        <v>2192</v>
      </c>
      <c r="K71" s="2432">
        <v>1833</v>
      </c>
    </row>
    <row r="72" spans="1:11" x14ac:dyDescent="0.25">
      <c r="A72" s="602" t="s">
        <v>174</v>
      </c>
      <c r="B72" s="603" t="s">
        <v>175</v>
      </c>
      <c r="C72" s="603" t="s">
        <v>268</v>
      </c>
      <c r="D72" s="604">
        <v>2136</v>
      </c>
      <c r="E72" s="604">
        <v>2269</v>
      </c>
      <c r="F72" s="604">
        <v>2300</v>
      </c>
      <c r="G72" s="604">
        <v>2239</v>
      </c>
      <c r="H72" s="604">
        <v>2169</v>
      </c>
      <c r="I72" s="1359">
        <v>2013</v>
      </c>
      <c r="J72" s="1588">
        <v>1959</v>
      </c>
      <c r="K72" s="2432">
        <v>1726</v>
      </c>
    </row>
    <row r="73" spans="1:11" x14ac:dyDescent="0.25">
      <c r="A73" s="602" t="s">
        <v>178</v>
      </c>
      <c r="B73" s="603" t="s">
        <v>179</v>
      </c>
      <c r="C73" s="603" t="s">
        <v>265</v>
      </c>
      <c r="D73" s="604">
        <v>6090</v>
      </c>
      <c r="E73" s="604">
        <v>6509</v>
      </c>
      <c r="F73" s="604">
        <v>6704</v>
      </c>
      <c r="G73" s="604">
        <v>6887</v>
      </c>
      <c r="H73" s="604">
        <v>6952</v>
      </c>
      <c r="I73" s="1359">
        <v>6493</v>
      </c>
      <c r="J73" s="1588">
        <v>5855</v>
      </c>
      <c r="K73" s="2432">
        <v>5553</v>
      </c>
    </row>
    <row r="74" spans="1:11" x14ac:dyDescent="0.25">
      <c r="A74" s="602" t="s">
        <v>182</v>
      </c>
      <c r="B74" s="603" t="s">
        <v>183</v>
      </c>
      <c r="C74" s="603" t="s">
        <v>266</v>
      </c>
      <c r="D74" s="604">
        <v>782</v>
      </c>
      <c r="E74" s="604">
        <v>908</v>
      </c>
      <c r="F74" s="604">
        <v>1027</v>
      </c>
      <c r="G74" s="604">
        <v>1038</v>
      </c>
      <c r="H74" s="604">
        <v>1006</v>
      </c>
      <c r="I74" s="1359">
        <v>912</v>
      </c>
      <c r="J74" s="1588">
        <v>827</v>
      </c>
      <c r="K74" s="2432">
        <v>719</v>
      </c>
    </row>
    <row r="75" spans="1:11" x14ac:dyDescent="0.25">
      <c r="A75" s="602" t="s">
        <v>184</v>
      </c>
      <c r="B75" s="603" t="s">
        <v>185</v>
      </c>
      <c r="C75" s="603" t="s">
        <v>266</v>
      </c>
      <c r="D75" s="604">
        <v>2091</v>
      </c>
      <c r="E75" s="604">
        <v>2302</v>
      </c>
      <c r="F75" s="604">
        <v>2434</v>
      </c>
      <c r="G75" s="604">
        <v>2492</v>
      </c>
      <c r="H75" s="604">
        <v>2471</v>
      </c>
      <c r="I75" s="1359">
        <v>2329</v>
      </c>
      <c r="J75" s="1588">
        <v>2235</v>
      </c>
      <c r="K75" s="2432">
        <v>1928</v>
      </c>
    </row>
    <row r="76" spans="1:11" x14ac:dyDescent="0.25">
      <c r="A76" s="602" t="s">
        <v>186</v>
      </c>
      <c r="B76" s="603" t="s">
        <v>187</v>
      </c>
      <c r="C76" s="603" t="s">
        <v>264</v>
      </c>
      <c r="D76" s="604">
        <v>1500</v>
      </c>
      <c r="E76" s="604">
        <v>1689</v>
      </c>
      <c r="F76" s="604">
        <v>1888</v>
      </c>
      <c r="G76" s="604">
        <v>2029</v>
      </c>
      <c r="H76" s="604">
        <v>2082</v>
      </c>
      <c r="I76" s="1359">
        <v>2059</v>
      </c>
      <c r="J76" s="1588">
        <v>1979</v>
      </c>
      <c r="K76" s="2432">
        <v>1758</v>
      </c>
    </row>
    <row r="77" spans="1:11" x14ac:dyDescent="0.25">
      <c r="A77" s="602" t="s">
        <v>188</v>
      </c>
      <c r="B77" s="603" t="s">
        <v>189</v>
      </c>
      <c r="C77" s="603" t="s">
        <v>267</v>
      </c>
      <c r="D77" s="604">
        <v>14043</v>
      </c>
      <c r="E77" s="604">
        <v>16311</v>
      </c>
      <c r="F77" s="604">
        <v>17853</v>
      </c>
      <c r="G77" s="604">
        <v>18942</v>
      </c>
      <c r="H77" s="604">
        <v>18854</v>
      </c>
      <c r="I77" s="1359">
        <v>17928</v>
      </c>
      <c r="J77" s="1588">
        <v>17202</v>
      </c>
      <c r="K77" s="2432">
        <v>14913</v>
      </c>
    </row>
    <row r="78" spans="1:11" x14ac:dyDescent="0.25">
      <c r="A78" s="602" t="s">
        <v>190</v>
      </c>
      <c r="B78" s="603" t="s">
        <v>191</v>
      </c>
      <c r="C78" s="603" t="s">
        <v>268</v>
      </c>
      <c r="D78" s="604">
        <v>3867</v>
      </c>
      <c r="E78" s="604">
        <v>4106</v>
      </c>
      <c r="F78" s="604">
        <v>4116</v>
      </c>
      <c r="G78" s="604">
        <v>4240</v>
      </c>
      <c r="H78" s="604">
        <v>4232</v>
      </c>
      <c r="I78" s="1359">
        <v>3895</v>
      </c>
      <c r="J78" s="1588">
        <v>3694</v>
      </c>
      <c r="K78" s="2432">
        <v>3401</v>
      </c>
    </row>
    <row r="79" spans="1:11" x14ac:dyDescent="0.25">
      <c r="A79" s="602" t="s">
        <v>194</v>
      </c>
      <c r="B79" s="603" t="s">
        <v>195</v>
      </c>
      <c r="C79" s="603" t="s">
        <v>267</v>
      </c>
      <c r="D79" s="604">
        <v>289</v>
      </c>
      <c r="E79" s="604">
        <v>319</v>
      </c>
      <c r="F79" s="604">
        <v>352</v>
      </c>
      <c r="G79" s="604">
        <v>331</v>
      </c>
      <c r="H79" s="604">
        <v>314</v>
      </c>
      <c r="I79" s="1359">
        <v>278</v>
      </c>
      <c r="J79" s="1588">
        <v>263</v>
      </c>
      <c r="K79" s="2432">
        <v>233</v>
      </c>
    </row>
    <row r="80" spans="1:11" x14ac:dyDescent="0.25">
      <c r="A80" s="602" t="s">
        <v>198</v>
      </c>
      <c r="B80" s="603" t="s">
        <v>272</v>
      </c>
      <c r="C80" s="603" t="s">
        <v>266</v>
      </c>
      <c r="D80" s="604">
        <v>832</v>
      </c>
      <c r="E80" s="604">
        <v>906</v>
      </c>
      <c r="F80" s="604">
        <v>991</v>
      </c>
      <c r="G80" s="604">
        <v>1046</v>
      </c>
      <c r="H80" s="604">
        <v>1045</v>
      </c>
      <c r="I80" s="1359">
        <v>1008</v>
      </c>
      <c r="J80" s="1588">
        <v>967</v>
      </c>
      <c r="K80" s="2432">
        <v>873</v>
      </c>
    </row>
    <row r="81" spans="1:11" x14ac:dyDescent="0.25">
      <c r="A81" s="602" t="s">
        <v>202</v>
      </c>
      <c r="B81" s="603" t="s">
        <v>301</v>
      </c>
      <c r="C81" s="603" t="s">
        <v>265</v>
      </c>
      <c r="D81" s="604">
        <v>4776</v>
      </c>
      <c r="E81" s="604">
        <v>5353</v>
      </c>
      <c r="F81" s="604">
        <v>5575</v>
      </c>
      <c r="G81" s="604">
        <v>5785</v>
      </c>
      <c r="H81" s="604">
        <v>5809</v>
      </c>
      <c r="I81" s="1359">
        <v>5639</v>
      </c>
      <c r="J81" s="1588">
        <v>5073</v>
      </c>
      <c r="K81" s="2432">
        <v>4613</v>
      </c>
    </row>
    <row r="82" spans="1:11" x14ac:dyDescent="0.25">
      <c r="A82" s="602" t="s">
        <v>204</v>
      </c>
      <c r="B82" s="603" t="s">
        <v>293</v>
      </c>
      <c r="C82" s="603" t="s">
        <v>265</v>
      </c>
      <c r="D82" s="604">
        <v>2296</v>
      </c>
      <c r="E82" s="604">
        <v>2530</v>
      </c>
      <c r="F82" s="604">
        <v>2639</v>
      </c>
      <c r="G82" s="604">
        <v>2825</v>
      </c>
      <c r="H82" s="604">
        <v>2734</v>
      </c>
      <c r="I82" s="1359">
        <v>2571</v>
      </c>
      <c r="J82" s="1588">
        <v>2401</v>
      </c>
      <c r="K82" s="2432">
        <v>2137</v>
      </c>
    </row>
    <row r="83" spans="1:11" x14ac:dyDescent="0.25">
      <c r="A83" s="602" t="s">
        <v>206</v>
      </c>
      <c r="B83" s="603" t="s">
        <v>294</v>
      </c>
      <c r="C83" s="603" t="s">
        <v>267</v>
      </c>
      <c r="D83" s="604">
        <v>6465</v>
      </c>
      <c r="E83" s="604">
        <v>7328</v>
      </c>
      <c r="F83" s="604">
        <v>7570</v>
      </c>
      <c r="G83" s="604">
        <v>8023</v>
      </c>
      <c r="H83" s="604">
        <v>7624</v>
      </c>
      <c r="I83" s="1359">
        <v>6988</v>
      </c>
      <c r="J83" s="1588">
        <v>6379</v>
      </c>
      <c r="K83" s="2432">
        <v>5492</v>
      </c>
    </row>
    <row r="84" spans="1:11" x14ac:dyDescent="0.25">
      <c r="A84" s="602" t="s">
        <v>208</v>
      </c>
      <c r="B84" s="603" t="s">
        <v>209</v>
      </c>
      <c r="C84" s="603" t="s">
        <v>268</v>
      </c>
      <c r="D84" s="604">
        <v>3463</v>
      </c>
      <c r="E84" s="604">
        <v>3622</v>
      </c>
      <c r="F84" s="604">
        <v>3630</v>
      </c>
      <c r="G84" s="604">
        <v>3728</v>
      </c>
      <c r="H84" s="604">
        <v>3879</v>
      </c>
      <c r="I84" s="1359">
        <v>3718</v>
      </c>
      <c r="J84" s="1588">
        <v>3559</v>
      </c>
      <c r="K84" s="2432">
        <v>3334</v>
      </c>
    </row>
    <row r="85" spans="1:11" x14ac:dyDescent="0.25">
      <c r="A85" s="602" t="s">
        <v>210</v>
      </c>
      <c r="B85" s="603" t="s">
        <v>211</v>
      </c>
      <c r="C85" s="603" t="s">
        <v>268</v>
      </c>
      <c r="D85" s="604">
        <v>2074</v>
      </c>
      <c r="E85" s="604">
        <v>2253</v>
      </c>
      <c r="F85" s="604">
        <v>2392</v>
      </c>
      <c r="G85" s="604">
        <v>2488</v>
      </c>
      <c r="H85" s="604">
        <v>2526</v>
      </c>
      <c r="I85" s="1359">
        <v>2328</v>
      </c>
      <c r="J85" s="1588">
        <v>2298</v>
      </c>
      <c r="K85" s="2432">
        <v>2201</v>
      </c>
    </row>
    <row r="86" spans="1:11" x14ac:dyDescent="0.25">
      <c r="A86" s="602" t="s">
        <v>212</v>
      </c>
      <c r="B86" s="603" t="s">
        <v>213</v>
      </c>
      <c r="C86" s="603" t="s">
        <v>267</v>
      </c>
      <c r="D86" s="604">
        <v>2807</v>
      </c>
      <c r="E86" s="604">
        <v>3056</v>
      </c>
      <c r="F86" s="604">
        <v>3339</v>
      </c>
      <c r="G86" s="604">
        <v>3472</v>
      </c>
      <c r="H86" s="604">
        <v>3427</v>
      </c>
      <c r="I86" s="1359">
        <v>3226</v>
      </c>
      <c r="J86" s="1588">
        <v>3050</v>
      </c>
      <c r="K86" s="2432">
        <v>2655</v>
      </c>
    </row>
    <row r="87" spans="1:11" x14ac:dyDescent="0.25">
      <c r="A87" s="602" t="s">
        <v>214</v>
      </c>
      <c r="B87" s="603" t="s">
        <v>215</v>
      </c>
      <c r="C87" s="603" t="s">
        <v>268</v>
      </c>
      <c r="D87" s="604">
        <v>3793</v>
      </c>
      <c r="E87" s="604">
        <v>4120</v>
      </c>
      <c r="F87" s="604">
        <v>4223</v>
      </c>
      <c r="G87" s="604">
        <v>4276</v>
      </c>
      <c r="H87" s="604">
        <v>4221</v>
      </c>
      <c r="I87" s="1359">
        <v>4055</v>
      </c>
      <c r="J87" s="1588">
        <v>3961</v>
      </c>
      <c r="K87" s="2432">
        <v>3702</v>
      </c>
    </row>
    <row r="88" spans="1:11" x14ac:dyDescent="0.25">
      <c r="A88" s="602" t="s">
        <v>216</v>
      </c>
      <c r="B88" s="603" t="s">
        <v>217</v>
      </c>
      <c r="C88" s="603" t="s">
        <v>264</v>
      </c>
      <c r="D88" s="604">
        <v>1764</v>
      </c>
      <c r="E88" s="604">
        <v>1898</v>
      </c>
      <c r="F88" s="604">
        <v>2019</v>
      </c>
      <c r="G88" s="604">
        <v>2066</v>
      </c>
      <c r="H88" s="604">
        <v>2052</v>
      </c>
      <c r="I88" s="1359">
        <v>1974</v>
      </c>
      <c r="J88" s="1588">
        <v>1874</v>
      </c>
      <c r="K88" s="2432">
        <v>1646</v>
      </c>
    </row>
    <row r="89" spans="1:11" x14ac:dyDescent="0.25">
      <c r="A89" s="602" t="s">
        <v>218</v>
      </c>
      <c r="B89" s="603" t="s">
        <v>219</v>
      </c>
      <c r="C89" s="603" t="s">
        <v>267</v>
      </c>
      <c r="D89" s="604">
        <v>5882</v>
      </c>
      <c r="E89" s="604">
        <v>6858</v>
      </c>
      <c r="F89" s="604">
        <v>7324</v>
      </c>
      <c r="G89" s="604">
        <v>7643</v>
      </c>
      <c r="H89" s="604">
        <v>7742</v>
      </c>
      <c r="I89" s="1359">
        <v>7239</v>
      </c>
      <c r="J89" s="1588">
        <v>6928</v>
      </c>
      <c r="K89" s="2432">
        <v>6028</v>
      </c>
    </row>
    <row r="90" spans="1:11" x14ac:dyDescent="0.25">
      <c r="A90" s="602" t="s">
        <v>220</v>
      </c>
      <c r="B90" s="603" t="s">
        <v>221</v>
      </c>
      <c r="C90" s="603" t="s">
        <v>267</v>
      </c>
      <c r="D90" s="604">
        <v>4769</v>
      </c>
      <c r="E90" s="604">
        <v>5372</v>
      </c>
      <c r="F90" s="604">
        <v>5754</v>
      </c>
      <c r="G90" s="604">
        <v>6135</v>
      </c>
      <c r="H90" s="604">
        <v>6209</v>
      </c>
      <c r="I90" s="1359">
        <v>5818</v>
      </c>
      <c r="J90" s="1588">
        <v>5330</v>
      </c>
      <c r="K90" s="2432">
        <v>4581</v>
      </c>
    </row>
    <row r="91" spans="1:11" x14ac:dyDescent="0.25">
      <c r="A91" s="602" t="s">
        <v>224</v>
      </c>
      <c r="B91" s="603" t="s">
        <v>225</v>
      </c>
      <c r="C91" s="603" t="s">
        <v>264</v>
      </c>
      <c r="D91" s="604">
        <v>624</v>
      </c>
      <c r="E91" s="604">
        <v>701</v>
      </c>
      <c r="F91" s="604">
        <v>713</v>
      </c>
      <c r="G91" s="604">
        <v>784</v>
      </c>
      <c r="H91" s="604">
        <v>759</v>
      </c>
      <c r="I91" s="1359">
        <v>723</v>
      </c>
      <c r="J91" s="1588">
        <v>681</v>
      </c>
      <c r="K91" s="2432">
        <v>593</v>
      </c>
    </row>
    <row r="92" spans="1:11" x14ac:dyDescent="0.25">
      <c r="A92" s="602" t="s">
        <v>226</v>
      </c>
      <c r="B92" s="603" t="s">
        <v>227</v>
      </c>
      <c r="C92" s="603" t="s">
        <v>264</v>
      </c>
      <c r="D92" s="604">
        <v>1157</v>
      </c>
      <c r="E92" s="604">
        <v>1238</v>
      </c>
      <c r="F92" s="604">
        <v>1281</v>
      </c>
      <c r="G92" s="604">
        <v>1333</v>
      </c>
      <c r="H92" s="604">
        <v>1367</v>
      </c>
      <c r="I92" s="1359">
        <v>1334</v>
      </c>
      <c r="J92" s="1588">
        <v>1262</v>
      </c>
      <c r="K92" s="2432">
        <v>1067</v>
      </c>
    </row>
    <row r="93" spans="1:11" x14ac:dyDescent="0.25">
      <c r="A93" s="602" t="s">
        <v>228</v>
      </c>
      <c r="B93" s="603" t="s">
        <v>229</v>
      </c>
      <c r="C93" s="603" t="s">
        <v>268</v>
      </c>
      <c r="D93" s="604">
        <v>4507</v>
      </c>
      <c r="E93" s="604">
        <v>4753</v>
      </c>
      <c r="F93" s="604">
        <v>5009</v>
      </c>
      <c r="G93" s="604">
        <v>5487</v>
      </c>
      <c r="H93" s="604">
        <v>5723</v>
      </c>
      <c r="I93" s="1359">
        <v>5591</v>
      </c>
      <c r="J93" s="1588">
        <v>5363</v>
      </c>
      <c r="K93" s="2432">
        <v>5032</v>
      </c>
    </row>
    <row r="94" spans="1:11" x14ac:dyDescent="0.25">
      <c r="A94" s="602" t="s">
        <v>232</v>
      </c>
      <c r="B94" s="603" t="s">
        <v>233</v>
      </c>
      <c r="C94" s="603" t="s">
        <v>267</v>
      </c>
      <c r="D94" s="604">
        <v>2792</v>
      </c>
      <c r="E94" s="604">
        <v>3104</v>
      </c>
      <c r="F94" s="604">
        <v>3241</v>
      </c>
      <c r="G94" s="604">
        <v>3377</v>
      </c>
      <c r="H94" s="604">
        <v>3289</v>
      </c>
      <c r="I94" s="1359">
        <v>3091</v>
      </c>
      <c r="J94" s="1588">
        <v>2785</v>
      </c>
      <c r="K94" s="2432">
        <v>2438</v>
      </c>
    </row>
    <row r="95" spans="1:11" x14ac:dyDescent="0.25">
      <c r="A95" s="602" t="s">
        <v>234</v>
      </c>
      <c r="B95" s="603" t="s">
        <v>235</v>
      </c>
      <c r="C95" s="603" t="s">
        <v>268</v>
      </c>
      <c r="D95" s="604">
        <v>4261</v>
      </c>
      <c r="E95" s="604">
        <v>4638</v>
      </c>
      <c r="F95" s="604">
        <v>4819</v>
      </c>
      <c r="G95" s="604">
        <v>4965</v>
      </c>
      <c r="H95" s="604">
        <v>5039</v>
      </c>
      <c r="I95" s="1359">
        <v>4911</v>
      </c>
      <c r="J95" s="1588">
        <v>4692</v>
      </c>
      <c r="K95" s="2432">
        <v>4303</v>
      </c>
    </row>
    <row r="96" spans="1:11" x14ac:dyDescent="0.25">
      <c r="A96" s="602" t="s">
        <v>236</v>
      </c>
      <c r="B96" s="603" t="s">
        <v>237</v>
      </c>
      <c r="C96" s="603" t="s">
        <v>266</v>
      </c>
      <c r="D96" s="604">
        <v>1681</v>
      </c>
      <c r="E96" s="604">
        <v>1915</v>
      </c>
      <c r="F96" s="604">
        <v>2084</v>
      </c>
      <c r="G96" s="604">
        <v>2175</v>
      </c>
      <c r="H96" s="604">
        <v>2138</v>
      </c>
      <c r="I96" s="1359">
        <v>2103</v>
      </c>
      <c r="J96" s="1588">
        <v>1976</v>
      </c>
      <c r="K96" s="2432">
        <v>1767</v>
      </c>
    </row>
    <row r="97" spans="1:11" x14ac:dyDescent="0.25">
      <c r="A97" s="602" t="s">
        <v>242</v>
      </c>
      <c r="B97" s="603" t="s">
        <v>243</v>
      </c>
      <c r="C97" s="603" t="s">
        <v>268</v>
      </c>
      <c r="D97" s="604">
        <v>5105</v>
      </c>
      <c r="E97" s="604">
        <v>5342</v>
      </c>
      <c r="F97" s="604">
        <v>5541</v>
      </c>
      <c r="G97" s="604">
        <v>5751</v>
      </c>
      <c r="H97" s="604">
        <v>5907</v>
      </c>
      <c r="I97" s="1359">
        <v>5409</v>
      </c>
      <c r="J97" s="1588">
        <v>5085</v>
      </c>
      <c r="K97" s="2432">
        <v>4746</v>
      </c>
    </row>
    <row r="98" spans="1:11" x14ac:dyDescent="0.25">
      <c r="A98" s="602" t="s">
        <v>244</v>
      </c>
      <c r="B98" s="603" t="s">
        <v>245</v>
      </c>
      <c r="C98" s="603" t="s">
        <v>268</v>
      </c>
      <c r="D98" s="604">
        <v>2898</v>
      </c>
      <c r="E98" s="604">
        <v>3113</v>
      </c>
      <c r="F98" s="604">
        <v>3099</v>
      </c>
      <c r="G98" s="604">
        <v>3067</v>
      </c>
      <c r="H98" s="604">
        <v>3037</v>
      </c>
      <c r="I98" s="1359">
        <v>2824</v>
      </c>
      <c r="J98" s="1588">
        <v>2682</v>
      </c>
      <c r="K98" s="2432">
        <v>2543</v>
      </c>
    </row>
    <row r="99" spans="1:11" x14ac:dyDescent="0.25">
      <c r="A99" s="602" t="s">
        <v>246</v>
      </c>
      <c r="B99" s="603" t="s">
        <v>247</v>
      </c>
      <c r="C99" s="603" t="s">
        <v>264</v>
      </c>
      <c r="D99" s="604">
        <v>1734</v>
      </c>
      <c r="E99" s="604">
        <v>2112</v>
      </c>
      <c r="F99" s="604">
        <v>2299</v>
      </c>
      <c r="G99" s="604">
        <v>2378</v>
      </c>
      <c r="H99" s="604">
        <v>2449</v>
      </c>
      <c r="I99" s="1359">
        <v>2328</v>
      </c>
      <c r="J99" s="1588">
        <v>2132</v>
      </c>
      <c r="K99" s="2432">
        <v>1771</v>
      </c>
    </row>
    <row r="100" spans="1:11" x14ac:dyDescent="0.25">
      <c r="A100" s="602" t="s">
        <v>14</v>
      </c>
      <c r="B100" s="603" t="s">
        <v>15</v>
      </c>
      <c r="C100" s="603" t="s">
        <v>267</v>
      </c>
      <c r="D100" s="604">
        <v>5821</v>
      </c>
      <c r="E100" s="604">
        <v>6395</v>
      </c>
      <c r="F100" s="604">
        <v>6643</v>
      </c>
      <c r="G100" s="604">
        <v>6784</v>
      </c>
      <c r="H100" s="604">
        <v>6548</v>
      </c>
      <c r="I100" s="1359">
        <v>6312</v>
      </c>
      <c r="J100" s="1588">
        <v>6360</v>
      </c>
      <c r="K100" s="2432">
        <v>6190</v>
      </c>
    </row>
    <row r="101" spans="1:11" x14ac:dyDescent="0.25">
      <c r="A101" s="602" t="s">
        <v>34</v>
      </c>
      <c r="B101" s="603" t="s">
        <v>35</v>
      </c>
      <c r="C101" s="603" t="s">
        <v>268</v>
      </c>
      <c r="D101" s="604">
        <v>3110</v>
      </c>
      <c r="E101" s="604">
        <v>3251</v>
      </c>
      <c r="F101" s="604">
        <v>3366</v>
      </c>
      <c r="G101" s="604">
        <v>3489</v>
      </c>
      <c r="H101" s="604">
        <v>3393</v>
      </c>
      <c r="I101" s="1359">
        <v>3139</v>
      </c>
      <c r="J101" s="1588">
        <v>2971</v>
      </c>
      <c r="K101" s="2432">
        <v>2712</v>
      </c>
    </row>
    <row r="102" spans="1:11" x14ac:dyDescent="0.25">
      <c r="A102" s="602" t="s">
        <v>52</v>
      </c>
      <c r="B102" s="603" t="s">
        <v>53</v>
      </c>
      <c r="C102" s="603" t="s">
        <v>265</v>
      </c>
      <c r="D102" s="604">
        <v>4024</v>
      </c>
      <c r="E102" s="604">
        <v>4317</v>
      </c>
      <c r="F102" s="604">
        <v>4456</v>
      </c>
      <c r="G102" s="604">
        <v>4490</v>
      </c>
      <c r="H102" s="604">
        <v>4166</v>
      </c>
      <c r="I102" s="1359">
        <v>3818</v>
      </c>
      <c r="J102" s="1588">
        <v>3326</v>
      </c>
      <c r="K102" s="2432">
        <v>3002</v>
      </c>
    </row>
    <row r="103" spans="1:11" x14ac:dyDescent="0.25">
      <c r="A103" s="602" t="s">
        <v>54</v>
      </c>
      <c r="B103" s="603" t="s">
        <v>55</v>
      </c>
      <c r="C103" s="603" t="s">
        <v>264</v>
      </c>
      <c r="D103" s="604">
        <v>12332</v>
      </c>
      <c r="E103" s="604">
        <v>14069</v>
      </c>
      <c r="F103" s="604">
        <v>15247</v>
      </c>
      <c r="G103" s="604">
        <v>16025</v>
      </c>
      <c r="H103" s="604">
        <v>16298</v>
      </c>
      <c r="I103" s="1359">
        <v>15492</v>
      </c>
      <c r="J103" s="1588">
        <v>14513</v>
      </c>
      <c r="K103" s="2432">
        <v>12254</v>
      </c>
    </row>
    <row r="104" spans="1:11" x14ac:dyDescent="0.25">
      <c r="A104" s="602" t="s">
        <v>66</v>
      </c>
      <c r="B104" s="603" t="s">
        <v>67</v>
      </c>
      <c r="C104" s="603" t="s">
        <v>265</v>
      </c>
      <c r="D104" s="604">
        <v>8375</v>
      </c>
      <c r="E104" s="604">
        <v>8882</v>
      </c>
      <c r="F104" s="604">
        <v>9292</v>
      </c>
      <c r="G104" s="604">
        <v>9343</v>
      </c>
      <c r="H104" s="604">
        <v>9397</v>
      </c>
      <c r="I104" s="1359">
        <v>8999</v>
      </c>
      <c r="J104" s="1588">
        <v>8474</v>
      </c>
      <c r="K104" s="2432">
        <v>8030</v>
      </c>
    </row>
    <row r="105" spans="1:11" x14ac:dyDescent="0.25">
      <c r="A105" s="602" t="s">
        <v>82</v>
      </c>
      <c r="B105" s="603" t="s">
        <v>83</v>
      </c>
      <c r="C105" s="603" t="s">
        <v>264</v>
      </c>
      <c r="D105" s="604">
        <v>1529</v>
      </c>
      <c r="E105" s="604">
        <v>1710</v>
      </c>
      <c r="F105" s="604">
        <v>1800</v>
      </c>
      <c r="G105" s="604">
        <v>1838</v>
      </c>
      <c r="H105" s="604">
        <v>1794</v>
      </c>
      <c r="I105" s="1359">
        <v>1765</v>
      </c>
      <c r="J105" s="1588">
        <v>1722</v>
      </c>
      <c r="K105" s="2432">
        <v>1548</v>
      </c>
    </row>
    <row r="106" spans="1:11" x14ac:dyDescent="0.25">
      <c r="A106" s="602" t="s">
        <v>88</v>
      </c>
      <c r="B106" s="603" t="s">
        <v>89</v>
      </c>
      <c r="C106" s="603" t="s">
        <v>267</v>
      </c>
      <c r="D106" s="604">
        <v>2929</v>
      </c>
      <c r="E106" s="604">
        <v>3363</v>
      </c>
      <c r="F106" s="604">
        <v>3671</v>
      </c>
      <c r="G106" s="604">
        <v>3716</v>
      </c>
      <c r="H106" s="604">
        <v>3647</v>
      </c>
      <c r="I106" s="1359">
        <v>3396</v>
      </c>
      <c r="J106" s="1588">
        <v>3011</v>
      </c>
      <c r="K106" s="2432">
        <v>2593</v>
      </c>
    </row>
    <row r="107" spans="1:11" x14ac:dyDescent="0.25">
      <c r="A107" s="602" t="s">
        <v>90</v>
      </c>
      <c r="B107" s="603" t="s">
        <v>91</v>
      </c>
      <c r="C107" s="603" t="s">
        <v>268</v>
      </c>
      <c r="D107" s="604">
        <v>1292</v>
      </c>
      <c r="E107" s="604">
        <v>1330</v>
      </c>
      <c r="F107" s="604">
        <v>1374</v>
      </c>
      <c r="G107" s="604">
        <v>1383</v>
      </c>
      <c r="H107" s="604">
        <v>1406</v>
      </c>
      <c r="I107" s="1359">
        <v>1322</v>
      </c>
      <c r="J107" s="1588">
        <v>1275</v>
      </c>
      <c r="K107" s="2432">
        <v>1098</v>
      </c>
    </row>
    <row r="108" spans="1:11" x14ac:dyDescent="0.25">
      <c r="A108" s="602" t="s">
        <v>106</v>
      </c>
      <c r="B108" s="603" t="s">
        <v>107</v>
      </c>
      <c r="C108" s="603" t="s">
        <v>264</v>
      </c>
      <c r="D108" s="604">
        <v>11567</v>
      </c>
      <c r="E108" s="604">
        <v>13629</v>
      </c>
      <c r="F108" s="604">
        <v>15200</v>
      </c>
      <c r="G108" s="604">
        <v>16168</v>
      </c>
      <c r="H108" s="604">
        <v>16029</v>
      </c>
      <c r="I108" s="1359">
        <v>14769</v>
      </c>
      <c r="J108" s="1588">
        <v>13871</v>
      </c>
      <c r="K108" s="2432">
        <v>12568</v>
      </c>
    </row>
    <row r="109" spans="1:11" x14ac:dyDescent="0.25">
      <c r="A109" s="602" t="s">
        <v>116</v>
      </c>
      <c r="B109" s="603" t="s">
        <v>117</v>
      </c>
      <c r="C109" s="603" t="s">
        <v>266</v>
      </c>
      <c r="D109" s="604">
        <v>3873</v>
      </c>
      <c r="E109" s="604">
        <v>4261</v>
      </c>
      <c r="F109" s="604">
        <v>4463</v>
      </c>
      <c r="G109" s="604">
        <v>4585</v>
      </c>
      <c r="H109" s="604">
        <v>4620</v>
      </c>
      <c r="I109" s="1359">
        <v>4561</v>
      </c>
      <c r="J109" s="1588">
        <v>4408</v>
      </c>
      <c r="K109" s="2432">
        <v>4030</v>
      </c>
    </row>
    <row r="110" spans="1:11" x14ac:dyDescent="0.25">
      <c r="A110" s="602" t="s">
        <v>138</v>
      </c>
      <c r="B110" s="603" t="s">
        <v>139</v>
      </c>
      <c r="C110" s="603" t="s">
        <v>265</v>
      </c>
      <c r="D110" s="604">
        <v>7486</v>
      </c>
      <c r="E110" s="604">
        <v>8308</v>
      </c>
      <c r="F110" s="604">
        <v>9129</v>
      </c>
      <c r="G110" s="604">
        <v>9642</v>
      </c>
      <c r="H110" s="604">
        <v>9599</v>
      </c>
      <c r="I110" s="1359">
        <v>8968</v>
      </c>
      <c r="J110" s="1588">
        <v>7939</v>
      </c>
      <c r="K110" s="2432">
        <v>7204</v>
      </c>
    </row>
    <row r="111" spans="1:11" x14ac:dyDescent="0.25">
      <c r="A111" s="602" t="s">
        <v>142</v>
      </c>
      <c r="B111" s="603" t="s">
        <v>143</v>
      </c>
      <c r="C111" s="603" t="s">
        <v>267</v>
      </c>
      <c r="D111" s="604">
        <v>2281</v>
      </c>
      <c r="E111" s="604">
        <v>2544</v>
      </c>
      <c r="F111" s="604">
        <v>2632</v>
      </c>
      <c r="G111" s="604">
        <v>2721</v>
      </c>
      <c r="H111" s="604">
        <v>2730</v>
      </c>
      <c r="I111" s="1359">
        <v>2596</v>
      </c>
      <c r="J111" s="1588">
        <v>2408</v>
      </c>
      <c r="K111" s="2432">
        <v>1996</v>
      </c>
    </row>
    <row r="112" spans="1:11" x14ac:dyDescent="0.25">
      <c r="A112" s="602" t="s">
        <v>144</v>
      </c>
      <c r="B112" s="603" t="s">
        <v>145</v>
      </c>
      <c r="C112" s="603" t="s">
        <v>267</v>
      </c>
      <c r="D112" s="604">
        <v>785</v>
      </c>
      <c r="E112" s="604">
        <v>815</v>
      </c>
      <c r="F112" s="604">
        <v>804</v>
      </c>
      <c r="G112" s="604">
        <v>842</v>
      </c>
      <c r="H112" s="604">
        <v>806</v>
      </c>
      <c r="I112" s="1359">
        <v>787</v>
      </c>
      <c r="J112" s="1588">
        <v>791</v>
      </c>
      <c r="K112" s="2432">
        <v>658</v>
      </c>
    </row>
    <row r="113" spans="1:11" x14ac:dyDescent="0.25">
      <c r="A113" s="602" t="s">
        <v>158</v>
      </c>
      <c r="B113" s="603" t="s">
        <v>159</v>
      </c>
      <c r="C113" s="603" t="s">
        <v>264</v>
      </c>
      <c r="D113" s="604">
        <v>20051</v>
      </c>
      <c r="E113" s="604">
        <v>22847</v>
      </c>
      <c r="F113" s="604">
        <v>24251</v>
      </c>
      <c r="G113" s="604">
        <v>25250</v>
      </c>
      <c r="H113" s="604">
        <v>25153</v>
      </c>
      <c r="I113" s="1359">
        <v>23667</v>
      </c>
      <c r="J113" s="1588">
        <v>22320</v>
      </c>
      <c r="K113" s="2432">
        <v>19381</v>
      </c>
    </row>
    <row r="114" spans="1:11" x14ac:dyDescent="0.25">
      <c r="A114" s="602" t="s">
        <v>160</v>
      </c>
      <c r="B114" s="603" t="s">
        <v>161</v>
      </c>
      <c r="C114" s="603" t="s">
        <v>264</v>
      </c>
      <c r="D114" s="604">
        <v>28751</v>
      </c>
      <c r="E114" s="604">
        <v>31649</v>
      </c>
      <c r="F114" s="604">
        <v>33699</v>
      </c>
      <c r="G114" s="604">
        <v>35035</v>
      </c>
      <c r="H114" s="604">
        <v>34612</v>
      </c>
      <c r="I114" s="1359">
        <v>32195</v>
      </c>
      <c r="J114" s="1588">
        <v>29513</v>
      </c>
      <c r="K114" s="2432">
        <v>25043</v>
      </c>
    </row>
    <row r="115" spans="1:11" x14ac:dyDescent="0.25">
      <c r="A115" s="602" t="s">
        <v>166</v>
      </c>
      <c r="B115" s="603" t="s">
        <v>167</v>
      </c>
      <c r="C115" s="603" t="s">
        <v>268</v>
      </c>
      <c r="D115" s="604">
        <v>711</v>
      </c>
      <c r="E115" s="604">
        <v>754</v>
      </c>
      <c r="F115" s="604">
        <v>800</v>
      </c>
      <c r="G115" s="604">
        <v>794</v>
      </c>
      <c r="H115" s="604">
        <v>802</v>
      </c>
      <c r="I115" s="1359">
        <v>749</v>
      </c>
      <c r="J115" s="1588">
        <v>756</v>
      </c>
      <c r="K115" s="2432">
        <v>653</v>
      </c>
    </row>
    <row r="116" spans="1:11" x14ac:dyDescent="0.25">
      <c r="A116" s="602" t="s">
        <v>176</v>
      </c>
      <c r="B116" s="603" t="s">
        <v>177</v>
      </c>
      <c r="C116" s="603" t="s">
        <v>266</v>
      </c>
      <c r="D116" s="604">
        <v>7241</v>
      </c>
      <c r="E116" s="604">
        <v>7908</v>
      </c>
      <c r="F116" s="604">
        <v>8245</v>
      </c>
      <c r="G116" s="604">
        <v>8488</v>
      </c>
      <c r="H116" s="604">
        <v>8469</v>
      </c>
      <c r="I116" s="1359">
        <v>8084</v>
      </c>
      <c r="J116" s="1588">
        <v>7714</v>
      </c>
      <c r="K116" s="2432">
        <v>6991</v>
      </c>
    </row>
    <row r="117" spans="1:11" x14ac:dyDescent="0.25">
      <c r="A117" s="602" t="s">
        <v>180</v>
      </c>
      <c r="B117" s="603" t="s">
        <v>181</v>
      </c>
      <c r="C117" s="603" t="s">
        <v>264</v>
      </c>
      <c r="D117" s="604">
        <v>13061</v>
      </c>
      <c r="E117" s="604">
        <v>14589</v>
      </c>
      <c r="F117" s="604">
        <v>15729</v>
      </c>
      <c r="G117" s="604">
        <v>16464</v>
      </c>
      <c r="H117" s="604">
        <v>16155</v>
      </c>
      <c r="I117" s="1359">
        <v>15204</v>
      </c>
      <c r="J117" s="1588">
        <v>14244</v>
      </c>
      <c r="K117" s="2432">
        <v>13203</v>
      </c>
    </row>
    <row r="118" spans="1:11" x14ac:dyDescent="0.25">
      <c r="A118" s="602" t="s">
        <v>192</v>
      </c>
      <c r="B118" s="603" t="s">
        <v>193</v>
      </c>
      <c r="C118" s="603" t="s">
        <v>268</v>
      </c>
      <c r="D118" s="604">
        <v>1276</v>
      </c>
      <c r="E118" s="604">
        <v>1281</v>
      </c>
      <c r="F118" s="604">
        <v>1282</v>
      </c>
      <c r="G118" s="604">
        <v>1316</v>
      </c>
      <c r="H118" s="604">
        <v>1358</v>
      </c>
      <c r="I118" s="1359">
        <v>1264</v>
      </c>
      <c r="J118" s="1588">
        <v>1141</v>
      </c>
      <c r="K118" s="2432">
        <v>947</v>
      </c>
    </row>
    <row r="119" spans="1:11" x14ac:dyDescent="0.25">
      <c r="A119" s="602" t="s">
        <v>196</v>
      </c>
      <c r="B119" s="603" t="s">
        <v>197</v>
      </c>
      <c r="C119" s="603" t="s">
        <v>266</v>
      </c>
      <c r="D119" s="604">
        <v>32825</v>
      </c>
      <c r="E119" s="604">
        <v>36583</v>
      </c>
      <c r="F119" s="604">
        <v>39255</v>
      </c>
      <c r="G119" s="604">
        <v>40591</v>
      </c>
      <c r="H119" s="604">
        <v>39268</v>
      </c>
      <c r="I119" s="1359">
        <v>36552</v>
      </c>
      <c r="J119" s="1588">
        <v>33362</v>
      </c>
      <c r="K119" s="2432">
        <v>28496</v>
      </c>
    </row>
    <row r="120" spans="1:11" x14ac:dyDescent="0.25">
      <c r="A120" s="602" t="s">
        <v>200</v>
      </c>
      <c r="B120" s="603" t="s">
        <v>201</v>
      </c>
      <c r="C120" s="603" t="s">
        <v>265</v>
      </c>
      <c r="D120" s="604">
        <v>14080</v>
      </c>
      <c r="E120" s="604">
        <v>15509</v>
      </c>
      <c r="F120" s="604">
        <v>16537</v>
      </c>
      <c r="G120" s="604">
        <v>17492</v>
      </c>
      <c r="H120" s="604">
        <v>17549</v>
      </c>
      <c r="I120" s="1359">
        <v>16453</v>
      </c>
      <c r="J120" s="1588">
        <v>14511</v>
      </c>
      <c r="K120" s="2432">
        <v>13646</v>
      </c>
    </row>
    <row r="121" spans="1:11" x14ac:dyDescent="0.25">
      <c r="A121" s="602" t="s">
        <v>222</v>
      </c>
      <c r="B121" s="603" t="s">
        <v>223</v>
      </c>
      <c r="C121" s="603" t="s">
        <v>264</v>
      </c>
      <c r="D121" s="604">
        <v>6885</v>
      </c>
      <c r="E121" s="604">
        <v>7888</v>
      </c>
      <c r="F121" s="604">
        <v>8513</v>
      </c>
      <c r="G121" s="604">
        <v>8902</v>
      </c>
      <c r="H121" s="604">
        <v>8972</v>
      </c>
      <c r="I121" s="1359">
        <v>8558</v>
      </c>
      <c r="J121" s="1588">
        <v>7938</v>
      </c>
      <c r="K121" s="2432">
        <v>7169</v>
      </c>
    </row>
    <row r="122" spans="1:11" x14ac:dyDescent="0.25">
      <c r="A122" s="602" t="s">
        <v>230</v>
      </c>
      <c r="B122" s="603" t="s">
        <v>231</v>
      </c>
      <c r="C122" s="603" t="s">
        <v>264</v>
      </c>
      <c r="D122" s="604">
        <v>19182</v>
      </c>
      <c r="E122" s="604">
        <v>22154</v>
      </c>
      <c r="F122" s="604">
        <v>24208</v>
      </c>
      <c r="G122" s="604">
        <v>25071</v>
      </c>
      <c r="H122" s="604">
        <v>25434</v>
      </c>
      <c r="I122" s="1359">
        <v>24250</v>
      </c>
      <c r="J122" s="1588">
        <v>22490</v>
      </c>
      <c r="K122" s="2432">
        <v>18739</v>
      </c>
    </row>
    <row r="123" spans="1:11" x14ac:dyDescent="0.25">
      <c r="A123" s="602" t="s">
        <v>238</v>
      </c>
      <c r="B123" s="603" t="s">
        <v>239</v>
      </c>
      <c r="C123" s="603" t="s">
        <v>264</v>
      </c>
      <c r="D123" s="604">
        <v>680</v>
      </c>
      <c r="E123" s="604">
        <v>828</v>
      </c>
      <c r="F123" s="604">
        <v>883</v>
      </c>
      <c r="G123" s="604">
        <v>947</v>
      </c>
      <c r="H123" s="604">
        <v>952</v>
      </c>
      <c r="I123" s="1359">
        <v>920</v>
      </c>
      <c r="J123" s="1588">
        <v>895</v>
      </c>
      <c r="K123" s="2432">
        <v>775</v>
      </c>
    </row>
    <row r="124" spans="1:11" x14ac:dyDescent="0.25">
      <c r="A124" s="528" t="s">
        <v>240</v>
      </c>
      <c r="B124" s="517" t="s">
        <v>241</v>
      </c>
      <c r="C124" s="517" t="s">
        <v>267</v>
      </c>
      <c r="D124" s="522">
        <v>2959</v>
      </c>
      <c r="E124" s="522">
        <v>3308</v>
      </c>
      <c r="F124" s="522">
        <v>3394</v>
      </c>
      <c r="G124" s="522">
        <v>3392</v>
      </c>
      <c r="H124" s="522">
        <v>3226</v>
      </c>
      <c r="I124" s="1360">
        <v>2941</v>
      </c>
      <c r="J124" s="1360">
        <v>2722</v>
      </c>
      <c r="K124" s="2433">
        <v>2456</v>
      </c>
    </row>
    <row r="126" spans="1:11" ht="31.5" customHeight="1" x14ac:dyDescent="0.25">
      <c r="A126" s="2737" t="s">
        <v>1425</v>
      </c>
      <c r="B126" s="2737"/>
      <c r="C126" s="2737"/>
      <c r="D126" s="2737"/>
      <c r="E126" s="2737"/>
      <c r="F126" s="2737"/>
      <c r="G126" s="2737"/>
      <c r="H126" s="2737"/>
    </row>
    <row r="128" spans="1:11" s="389" customFormat="1" x14ac:dyDescent="0.25">
      <c r="A128" s="389" t="s">
        <v>248</v>
      </c>
    </row>
    <row r="129" spans="1:3" s="389" customFormat="1" x14ac:dyDescent="0.25">
      <c r="A129" s="390" t="s">
        <v>249</v>
      </c>
      <c r="B129" s="391" t="s">
        <v>250</v>
      </c>
      <c r="C129" s="391"/>
    </row>
  </sheetData>
  <autoFilter ref="A3:C3"/>
  <sortState ref="A5:K124">
    <sortCondition ref="A5:A124"/>
  </sortState>
  <mergeCells count="1">
    <mergeCell ref="A126:H126"/>
  </mergeCells>
  <hyperlinks>
    <hyperlink ref="B129"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29"/>
  <sheetViews>
    <sheetView topLeftCell="A4" workbookViewId="0">
      <selection activeCell="A4" sqref="A4:K124"/>
    </sheetView>
  </sheetViews>
  <sheetFormatPr defaultRowHeight="15.75" x14ac:dyDescent="0.25"/>
  <cols>
    <col min="1" max="1" width="5.875" style="505" customWidth="1"/>
    <col min="2" max="2" width="30.25" style="505" customWidth="1"/>
    <col min="3" max="3" width="12.375" style="505" customWidth="1"/>
    <col min="4" max="11" width="10.875" style="505" customWidth="1"/>
    <col min="12" max="12" width="2.5" style="505" customWidth="1"/>
    <col min="13" max="16384" width="9" style="505"/>
  </cols>
  <sheetData>
    <row r="1" spans="1:11" x14ac:dyDescent="0.25">
      <c r="A1" s="255" t="s">
        <v>1427</v>
      </c>
    </row>
    <row r="3" spans="1:11" x14ac:dyDescent="0.25">
      <c r="A3" s="607" t="s">
        <v>4</v>
      </c>
      <c r="B3" s="567" t="s">
        <v>5</v>
      </c>
      <c r="C3" s="567" t="s">
        <v>251</v>
      </c>
      <c r="D3" s="613" t="s">
        <v>1429</v>
      </c>
      <c r="E3" s="613" t="s">
        <v>1430</v>
      </c>
      <c r="F3" s="613" t="s">
        <v>1431</v>
      </c>
      <c r="G3" s="613" t="s">
        <v>1432</v>
      </c>
      <c r="H3" s="613" t="s">
        <v>859</v>
      </c>
      <c r="I3" s="1337" t="s">
        <v>1073</v>
      </c>
      <c r="J3" s="1337" t="s">
        <v>1181</v>
      </c>
      <c r="K3" s="2265" t="s">
        <v>1433</v>
      </c>
    </row>
    <row r="4" spans="1:11" x14ac:dyDescent="0.25">
      <c r="A4" s="572">
        <v>999</v>
      </c>
      <c r="B4" s="600" t="s">
        <v>9</v>
      </c>
      <c r="C4" s="568"/>
      <c r="D4" s="532">
        <v>645469</v>
      </c>
      <c r="E4" s="532">
        <v>677720</v>
      </c>
      <c r="F4" s="532">
        <v>705578</v>
      </c>
      <c r="G4" s="532">
        <v>726306</v>
      </c>
      <c r="H4" s="532">
        <v>735695</v>
      </c>
      <c r="I4" s="1358">
        <v>806453</v>
      </c>
      <c r="J4" s="1358">
        <v>800488</v>
      </c>
      <c r="K4" s="2429">
        <v>793424</v>
      </c>
    </row>
    <row r="5" spans="1:11" x14ac:dyDescent="0.25">
      <c r="A5" s="524" t="s">
        <v>10</v>
      </c>
      <c r="B5" s="569" t="s">
        <v>11</v>
      </c>
      <c r="C5" s="569" t="s">
        <v>264</v>
      </c>
      <c r="D5" s="518">
        <v>5061</v>
      </c>
      <c r="E5" s="518">
        <v>5183</v>
      </c>
      <c r="F5" s="518">
        <v>5235</v>
      </c>
      <c r="G5" s="518">
        <v>5244</v>
      </c>
      <c r="H5" s="518">
        <v>5279</v>
      </c>
      <c r="I5" s="1356">
        <v>5412</v>
      </c>
      <c r="J5" s="1587">
        <v>5483</v>
      </c>
      <c r="K5" s="2430">
        <v>5216</v>
      </c>
    </row>
    <row r="6" spans="1:11" x14ac:dyDescent="0.25">
      <c r="A6" s="602" t="s">
        <v>12</v>
      </c>
      <c r="B6" s="603" t="s">
        <v>13</v>
      </c>
      <c r="C6" s="603" t="s">
        <v>265</v>
      </c>
      <c r="D6" s="604">
        <v>5366</v>
      </c>
      <c r="E6" s="604">
        <v>5735</v>
      </c>
      <c r="F6" s="604">
        <v>6020</v>
      </c>
      <c r="G6" s="604">
        <v>6123</v>
      </c>
      <c r="H6" s="604">
        <v>6234</v>
      </c>
      <c r="I6" s="1356">
        <v>6468</v>
      </c>
      <c r="J6" s="1587">
        <v>6410</v>
      </c>
      <c r="K6" s="2430">
        <v>6307</v>
      </c>
    </row>
    <row r="7" spans="1:11" x14ac:dyDescent="0.25">
      <c r="A7" s="602" t="s">
        <v>16</v>
      </c>
      <c r="B7" s="603" t="s">
        <v>297</v>
      </c>
      <c r="C7" s="603" t="s">
        <v>265</v>
      </c>
      <c r="D7" s="604">
        <v>3311</v>
      </c>
      <c r="E7" s="604">
        <v>3403</v>
      </c>
      <c r="F7" s="604">
        <v>3519</v>
      </c>
      <c r="G7" s="604">
        <v>3415</v>
      </c>
      <c r="H7" s="604">
        <v>3414</v>
      </c>
      <c r="I7" s="1356">
        <v>3472</v>
      </c>
      <c r="J7" s="1587">
        <v>3236</v>
      </c>
      <c r="K7" s="2430">
        <v>3199</v>
      </c>
    </row>
    <row r="8" spans="1:11" x14ac:dyDescent="0.25">
      <c r="A8" s="602" t="s">
        <v>18</v>
      </c>
      <c r="B8" s="603" t="s">
        <v>19</v>
      </c>
      <c r="C8" s="603" t="s">
        <v>266</v>
      </c>
      <c r="D8" s="604">
        <v>1461</v>
      </c>
      <c r="E8" s="604">
        <v>1548</v>
      </c>
      <c r="F8" s="604">
        <v>1622</v>
      </c>
      <c r="G8" s="604">
        <v>1587</v>
      </c>
      <c r="H8" s="604">
        <v>1543</v>
      </c>
      <c r="I8" s="1356">
        <v>1559</v>
      </c>
      <c r="J8" s="1587">
        <v>1524</v>
      </c>
      <c r="K8" s="2430">
        <v>1560</v>
      </c>
    </row>
    <row r="9" spans="1:11" x14ac:dyDescent="0.25">
      <c r="A9" s="602" t="s">
        <v>20</v>
      </c>
      <c r="B9" s="603" t="s">
        <v>21</v>
      </c>
      <c r="C9" s="603" t="s">
        <v>265</v>
      </c>
      <c r="D9" s="604">
        <v>3559</v>
      </c>
      <c r="E9" s="604">
        <v>3682</v>
      </c>
      <c r="F9" s="604">
        <v>3750</v>
      </c>
      <c r="G9" s="604">
        <v>3808</v>
      </c>
      <c r="H9" s="604">
        <v>3819</v>
      </c>
      <c r="I9" s="1356">
        <v>3943</v>
      </c>
      <c r="J9" s="1587">
        <v>3814</v>
      </c>
      <c r="K9" s="2430">
        <v>3834</v>
      </c>
    </row>
    <row r="10" spans="1:11" x14ac:dyDescent="0.25">
      <c r="A10" s="602" t="s">
        <v>22</v>
      </c>
      <c r="B10" s="603" t="s">
        <v>23</v>
      </c>
      <c r="C10" s="603" t="s">
        <v>265</v>
      </c>
      <c r="D10" s="604">
        <v>2016</v>
      </c>
      <c r="E10" s="604">
        <v>2077</v>
      </c>
      <c r="F10" s="604">
        <v>2191</v>
      </c>
      <c r="G10" s="604">
        <v>2241</v>
      </c>
      <c r="H10" s="604">
        <v>2218</v>
      </c>
      <c r="I10" s="1356">
        <v>2322</v>
      </c>
      <c r="J10" s="1587">
        <v>2215</v>
      </c>
      <c r="K10" s="2430">
        <v>2054</v>
      </c>
    </row>
    <row r="11" spans="1:11" x14ac:dyDescent="0.25">
      <c r="A11" s="602" t="s">
        <v>24</v>
      </c>
      <c r="B11" s="603" t="s">
        <v>25</v>
      </c>
      <c r="C11" s="603" t="s">
        <v>267</v>
      </c>
      <c r="D11" s="604">
        <v>8872</v>
      </c>
      <c r="E11" s="604">
        <v>9157</v>
      </c>
      <c r="F11" s="604">
        <v>9543</v>
      </c>
      <c r="G11" s="604">
        <v>9787</v>
      </c>
      <c r="H11" s="604">
        <v>10106</v>
      </c>
      <c r="I11" s="1356">
        <v>10726</v>
      </c>
      <c r="J11" s="1587">
        <v>10729</v>
      </c>
      <c r="K11" s="2430">
        <v>10844</v>
      </c>
    </row>
    <row r="12" spans="1:11" x14ac:dyDescent="0.25">
      <c r="A12" s="602" t="s">
        <v>26</v>
      </c>
      <c r="B12" s="603" t="s">
        <v>685</v>
      </c>
      <c r="C12" s="603" t="s">
        <v>265</v>
      </c>
      <c r="D12" s="604">
        <v>11889</v>
      </c>
      <c r="E12" s="604">
        <v>12478</v>
      </c>
      <c r="F12" s="604">
        <v>13194</v>
      </c>
      <c r="G12" s="604">
        <v>13710</v>
      </c>
      <c r="H12" s="604">
        <v>13708</v>
      </c>
      <c r="I12" s="1356">
        <v>13593</v>
      </c>
      <c r="J12" s="1587">
        <v>12628</v>
      </c>
      <c r="K12" s="2430">
        <v>13324</v>
      </c>
    </row>
    <row r="13" spans="1:11" x14ac:dyDescent="0.25">
      <c r="A13" s="602" t="s">
        <v>27</v>
      </c>
      <c r="B13" s="603" t="s">
        <v>28</v>
      </c>
      <c r="C13" s="603" t="s">
        <v>265</v>
      </c>
      <c r="D13" s="604">
        <v>447</v>
      </c>
      <c r="E13" s="604">
        <v>479</v>
      </c>
      <c r="F13" s="604">
        <v>490</v>
      </c>
      <c r="G13" s="604">
        <v>503</v>
      </c>
      <c r="H13" s="604">
        <v>473</v>
      </c>
      <c r="I13" s="1356">
        <v>517</v>
      </c>
      <c r="J13" s="1587">
        <v>487</v>
      </c>
      <c r="K13" s="2430">
        <v>446</v>
      </c>
    </row>
    <row r="14" spans="1:11" x14ac:dyDescent="0.25">
      <c r="A14" s="602" t="s">
        <v>29</v>
      </c>
      <c r="B14" s="603" t="s">
        <v>901</v>
      </c>
      <c r="C14" s="603" t="s">
        <v>265</v>
      </c>
      <c r="D14" s="604">
        <v>6139</v>
      </c>
      <c r="E14" s="604">
        <v>6385</v>
      </c>
      <c r="F14" s="604">
        <v>6684</v>
      </c>
      <c r="G14" s="604">
        <v>6766</v>
      </c>
      <c r="H14" s="604">
        <v>7434</v>
      </c>
      <c r="I14" s="1356">
        <v>6877</v>
      </c>
      <c r="J14" s="1587">
        <v>6797</v>
      </c>
      <c r="K14" s="2430">
        <v>6367</v>
      </c>
    </row>
    <row r="15" spans="1:11" x14ac:dyDescent="0.25">
      <c r="A15" s="602" t="s">
        <v>30</v>
      </c>
      <c r="B15" s="603" t="s">
        <v>31</v>
      </c>
      <c r="C15" s="603" t="s">
        <v>268</v>
      </c>
      <c r="D15" s="604">
        <v>710</v>
      </c>
      <c r="E15" s="604">
        <v>707</v>
      </c>
      <c r="F15" s="604">
        <v>730</v>
      </c>
      <c r="G15" s="604">
        <v>733</v>
      </c>
      <c r="H15" s="604">
        <v>699</v>
      </c>
      <c r="I15" s="1356">
        <v>730</v>
      </c>
      <c r="J15" s="1587">
        <v>708</v>
      </c>
      <c r="K15" s="2430">
        <v>676</v>
      </c>
    </row>
    <row r="16" spans="1:11" x14ac:dyDescent="0.25">
      <c r="A16" s="602" t="s">
        <v>32</v>
      </c>
      <c r="B16" s="603" t="s">
        <v>33</v>
      </c>
      <c r="C16" s="603" t="s">
        <v>265</v>
      </c>
      <c r="D16" s="604">
        <v>1819</v>
      </c>
      <c r="E16" s="604">
        <v>1860</v>
      </c>
      <c r="F16" s="604">
        <v>1954</v>
      </c>
      <c r="G16" s="604">
        <v>2007</v>
      </c>
      <c r="H16" s="604">
        <v>2064</v>
      </c>
      <c r="I16" s="1356">
        <v>2225</v>
      </c>
      <c r="J16" s="1587">
        <v>2261</v>
      </c>
      <c r="K16" s="2430">
        <v>2282</v>
      </c>
    </row>
    <row r="17" spans="1:11" x14ac:dyDescent="0.25">
      <c r="A17" s="602" t="s">
        <v>36</v>
      </c>
      <c r="B17" s="603" t="s">
        <v>37</v>
      </c>
      <c r="C17" s="603" t="s">
        <v>264</v>
      </c>
      <c r="D17" s="604">
        <v>2805</v>
      </c>
      <c r="E17" s="604">
        <v>2867</v>
      </c>
      <c r="F17" s="604">
        <v>2874</v>
      </c>
      <c r="G17" s="604">
        <v>2919</v>
      </c>
      <c r="H17" s="604">
        <v>2983</v>
      </c>
      <c r="I17" s="1356">
        <v>3049</v>
      </c>
      <c r="J17" s="1587">
        <v>3007</v>
      </c>
      <c r="K17" s="2430">
        <v>2918</v>
      </c>
    </row>
    <row r="18" spans="1:11" x14ac:dyDescent="0.25">
      <c r="A18" s="602" t="s">
        <v>38</v>
      </c>
      <c r="B18" s="603" t="s">
        <v>39</v>
      </c>
      <c r="C18" s="603" t="s">
        <v>268</v>
      </c>
      <c r="D18" s="604">
        <v>4594</v>
      </c>
      <c r="E18" s="604">
        <v>4570</v>
      </c>
      <c r="F18" s="604">
        <v>4595</v>
      </c>
      <c r="G18" s="604">
        <v>4573</v>
      </c>
      <c r="H18" s="604">
        <v>4545</v>
      </c>
      <c r="I18" s="1356">
        <v>4654</v>
      </c>
      <c r="J18" s="1587">
        <v>4584</v>
      </c>
      <c r="K18" s="2430">
        <v>4495</v>
      </c>
    </row>
    <row r="19" spans="1:11" x14ac:dyDescent="0.25">
      <c r="A19" s="602" t="s">
        <v>40</v>
      </c>
      <c r="B19" s="603" t="s">
        <v>41</v>
      </c>
      <c r="C19" s="603" t="s">
        <v>266</v>
      </c>
      <c r="D19" s="604">
        <v>2133</v>
      </c>
      <c r="E19" s="604">
        <v>2213</v>
      </c>
      <c r="F19" s="604">
        <v>2296</v>
      </c>
      <c r="G19" s="604">
        <v>2345</v>
      </c>
      <c r="H19" s="604">
        <v>2345</v>
      </c>
      <c r="I19" s="1356">
        <v>2436</v>
      </c>
      <c r="J19" s="1587">
        <v>2354</v>
      </c>
      <c r="K19" s="2430">
        <v>2286</v>
      </c>
    </row>
    <row r="20" spans="1:11" x14ac:dyDescent="0.25">
      <c r="A20" s="602" t="s">
        <v>42</v>
      </c>
      <c r="B20" s="603" t="s">
        <v>43</v>
      </c>
      <c r="C20" s="603" t="s">
        <v>265</v>
      </c>
      <c r="D20" s="604">
        <v>6296</v>
      </c>
      <c r="E20" s="604">
        <v>6639</v>
      </c>
      <c r="F20" s="604">
        <v>6934</v>
      </c>
      <c r="G20" s="604">
        <v>7065</v>
      </c>
      <c r="H20" s="604">
        <v>7079</v>
      </c>
      <c r="I20" s="1356">
        <v>7292</v>
      </c>
      <c r="J20" s="1587">
        <v>7093</v>
      </c>
      <c r="K20" s="2430">
        <v>6598</v>
      </c>
    </row>
    <row r="21" spans="1:11" x14ac:dyDescent="0.25">
      <c r="A21" s="602" t="s">
        <v>44</v>
      </c>
      <c r="B21" s="603" t="s">
        <v>45</v>
      </c>
      <c r="C21" s="603" t="s">
        <v>266</v>
      </c>
      <c r="D21" s="604">
        <v>3016</v>
      </c>
      <c r="E21" s="604">
        <v>3120</v>
      </c>
      <c r="F21" s="604">
        <v>3260</v>
      </c>
      <c r="G21" s="604">
        <v>3298</v>
      </c>
      <c r="H21" s="604">
        <v>3282</v>
      </c>
      <c r="I21" s="1356">
        <v>3508</v>
      </c>
      <c r="J21" s="1587">
        <v>3546</v>
      </c>
      <c r="K21" s="2430">
        <v>3503</v>
      </c>
    </row>
    <row r="22" spans="1:11" x14ac:dyDescent="0.25">
      <c r="A22" s="602" t="s">
        <v>46</v>
      </c>
      <c r="B22" s="603" t="s">
        <v>47</v>
      </c>
      <c r="C22" s="603" t="s">
        <v>268</v>
      </c>
      <c r="D22" s="604">
        <v>4308</v>
      </c>
      <c r="E22" s="604">
        <v>4482</v>
      </c>
      <c r="F22" s="604">
        <v>4678</v>
      </c>
      <c r="G22" s="604">
        <v>4624</v>
      </c>
      <c r="H22" s="604">
        <v>4587</v>
      </c>
      <c r="I22" s="1356">
        <v>4643</v>
      </c>
      <c r="J22" s="1587">
        <v>4560</v>
      </c>
      <c r="K22" s="2430">
        <v>4510</v>
      </c>
    </row>
    <row r="23" spans="1:11" x14ac:dyDescent="0.25">
      <c r="A23" s="602" t="s">
        <v>48</v>
      </c>
      <c r="B23" s="603" t="s">
        <v>269</v>
      </c>
      <c r="C23" s="603" t="s">
        <v>266</v>
      </c>
      <c r="D23" s="604">
        <v>762</v>
      </c>
      <c r="E23" s="604">
        <v>786</v>
      </c>
      <c r="F23" s="604">
        <v>814</v>
      </c>
      <c r="G23" s="604">
        <v>811</v>
      </c>
      <c r="H23" s="604">
        <v>791</v>
      </c>
      <c r="I23" s="1356">
        <v>835</v>
      </c>
      <c r="J23" s="1587">
        <v>876</v>
      </c>
      <c r="K23" s="2430">
        <v>838</v>
      </c>
    </row>
    <row r="24" spans="1:11" x14ac:dyDescent="0.25">
      <c r="A24" s="602" t="s">
        <v>50</v>
      </c>
      <c r="B24" s="603" t="s">
        <v>51</v>
      </c>
      <c r="C24" s="603" t="s">
        <v>265</v>
      </c>
      <c r="D24" s="604">
        <v>2057</v>
      </c>
      <c r="E24" s="604">
        <v>2117</v>
      </c>
      <c r="F24" s="604">
        <v>2185</v>
      </c>
      <c r="G24" s="604">
        <v>2115</v>
      </c>
      <c r="H24" s="604">
        <v>2103</v>
      </c>
      <c r="I24" s="1356">
        <v>2157</v>
      </c>
      <c r="J24" s="1587">
        <v>2060</v>
      </c>
      <c r="K24" s="2430">
        <v>1908</v>
      </c>
    </row>
    <row r="25" spans="1:11" x14ac:dyDescent="0.25">
      <c r="A25" s="602" t="s">
        <v>56</v>
      </c>
      <c r="B25" s="603" t="s">
        <v>295</v>
      </c>
      <c r="C25" s="603" t="s">
        <v>266</v>
      </c>
      <c r="D25" s="604">
        <v>22393</v>
      </c>
      <c r="E25" s="604">
        <v>23970</v>
      </c>
      <c r="F25" s="604">
        <v>25145</v>
      </c>
      <c r="G25" s="604">
        <v>26132</v>
      </c>
      <c r="H25" s="604">
        <v>26942</v>
      </c>
      <c r="I25" s="1356">
        <v>29404</v>
      </c>
      <c r="J25" s="1587">
        <v>31067</v>
      </c>
      <c r="K25" s="2430">
        <v>31786</v>
      </c>
    </row>
    <row r="26" spans="1:11" x14ac:dyDescent="0.25">
      <c r="A26" s="602" t="s">
        <v>58</v>
      </c>
      <c r="B26" s="603" t="s">
        <v>59</v>
      </c>
      <c r="C26" s="603" t="s">
        <v>267</v>
      </c>
      <c r="D26" s="604">
        <v>776</v>
      </c>
      <c r="E26" s="604">
        <v>794</v>
      </c>
      <c r="F26" s="604">
        <v>812</v>
      </c>
      <c r="G26" s="604">
        <v>816</v>
      </c>
      <c r="H26" s="604">
        <v>830</v>
      </c>
      <c r="I26" s="1356">
        <v>837</v>
      </c>
      <c r="J26" s="1587">
        <v>818</v>
      </c>
      <c r="K26" s="2430">
        <v>794</v>
      </c>
    </row>
    <row r="27" spans="1:11" x14ac:dyDescent="0.25">
      <c r="A27" s="602" t="s">
        <v>60</v>
      </c>
      <c r="B27" s="603" t="s">
        <v>61</v>
      </c>
      <c r="C27" s="603" t="s">
        <v>265</v>
      </c>
      <c r="D27" s="604">
        <v>564</v>
      </c>
      <c r="E27" s="604">
        <v>596</v>
      </c>
      <c r="F27" s="604">
        <v>608</v>
      </c>
      <c r="G27" s="604">
        <v>633</v>
      </c>
      <c r="H27" s="604">
        <v>617</v>
      </c>
      <c r="I27" s="1356">
        <v>655</v>
      </c>
      <c r="J27" s="1587">
        <v>631</v>
      </c>
      <c r="K27" s="2430">
        <v>633</v>
      </c>
    </row>
    <row r="28" spans="1:11" x14ac:dyDescent="0.25">
      <c r="A28" s="602" t="s">
        <v>62</v>
      </c>
      <c r="B28" s="603" t="s">
        <v>63</v>
      </c>
      <c r="C28" s="603" t="s">
        <v>267</v>
      </c>
      <c r="D28" s="604">
        <v>4087</v>
      </c>
      <c r="E28" s="604">
        <v>4350</v>
      </c>
      <c r="F28" s="604">
        <v>4572</v>
      </c>
      <c r="G28" s="604">
        <v>4697</v>
      </c>
      <c r="H28" s="604">
        <v>4719</v>
      </c>
      <c r="I28" s="1356">
        <v>4956</v>
      </c>
      <c r="J28" s="1587">
        <v>4957</v>
      </c>
      <c r="K28" s="2430">
        <v>5011</v>
      </c>
    </row>
    <row r="29" spans="1:11" x14ac:dyDescent="0.25">
      <c r="A29" s="602" t="s">
        <v>64</v>
      </c>
      <c r="B29" s="603" t="s">
        <v>65</v>
      </c>
      <c r="C29" s="603" t="s">
        <v>266</v>
      </c>
      <c r="D29" s="604">
        <v>1442</v>
      </c>
      <c r="E29" s="604">
        <v>1484</v>
      </c>
      <c r="F29" s="604">
        <v>1558</v>
      </c>
      <c r="G29" s="604">
        <v>1564</v>
      </c>
      <c r="H29" s="604">
        <v>1600</v>
      </c>
      <c r="I29" s="1356">
        <v>1614</v>
      </c>
      <c r="J29" s="1587">
        <v>1579</v>
      </c>
      <c r="K29" s="2430">
        <v>1534</v>
      </c>
    </row>
    <row r="30" spans="1:11" x14ac:dyDescent="0.25">
      <c r="A30" s="602" t="s">
        <v>68</v>
      </c>
      <c r="B30" s="603" t="s">
        <v>69</v>
      </c>
      <c r="C30" s="603" t="s">
        <v>268</v>
      </c>
      <c r="D30" s="604">
        <v>3383</v>
      </c>
      <c r="E30" s="604">
        <v>3421</v>
      </c>
      <c r="F30" s="604">
        <v>3437</v>
      </c>
      <c r="G30" s="604">
        <v>3502</v>
      </c>
      <c r="H30" s="604">
        <v>3472</v>
      </c>
      <c r="I30" s="1356">
        <v>3462</v>
      </c>
      <c r="J30" s="1587">
        <v>3353</v>
      </c>
      <c r="K30" s="2430">
        <v>3200</v>
      </c>
    </row>
    <row r="31" spans="1:11" x14ac:dyDescent="0.25">
      <c r="A31" s="602" t="s">
        <v>70</v>
      </c>
      <c r="B31" s="603" t="s">
        <v>71</v>
      </c>
      <c r="C31" s="603" t="s">
        <v>264</v>
      </c>
      <c r="D31" s="604">
        <v>3074</v>
      </c>
      <c r="E31" s="604">
        <v>3227</v>
      </c>
      <c r="F31" s="604">
        <v>3367</v>
      </c>
      <c r="G31" s="604">
        <v>3421</v>
      </c>
      <c r="H31" s="604">
        <v>3397</v>
      </c>
      <c r="I31" s="1356">
        <v>3563</v>
      </c>
      <c r="J31" s="1587">
        <v>3556</v>
      </c>
      <c r="K31" s="2430">
        <v>3491</v>
      </c>
    </row>
    <row r="32" spans="1:11" x14ac:dyDescent="0.25">
      <c r="A32" s="602" t="s">
        <v>72</v>
      </c>
      <c r="B32" s="603" t="s">
        <v>73</v>
      </c>
      <c r="C32" s="603" t="s">
        <v>266</v>
      </c>
      <c r="D32" s="604">
        <v>1413</v>
      </c>
      <c r="E32" s="604">
        <v>1497</v>
      </c>
      <c r="F32" s="604">
        <v>1592</v>
      </c>
      <c r="G32" s="604">
        <v>1611</v>
      </c>
      <c r="H32" s="604">
        <v>1598</v>
      </c>
      <c r="I32" s="1356">
        <v>1648</v>
      </c>
      <c r="J32" s="1587">
        <v>1659</v>
      </c>
      <c r="K32" s="2430">
        <v>1613</v>
      </c>
    </row>
    <row r="33" spans="1:11" x14ac:dyDescent="0.25">
      <c r="A33" s="602" t="s">
        <v>74</v>
      </c>
      <c r="B33" s="603" t="s">
        <v>296</v>
      </c>
      <c r="C33" s="603" t="s">
        <v>267</v>
      </c>
      <c r="D33" s="604">
        <v>54170</v>
      </c>
      <c r="E33" s="604">
        <v>58384</v>
      </c>
      <c r="F33" s="604">
        <v>58298</v>
      </c>
      <c r="G33" s="604">
        <v>59707</v>
      </c>
      <c r="H33" s="604">
        <v>60817</v>
      </c>
      <c r="I33" s="1356">
        <v>65841</v>
      </c>
      <c r="J33" s="1587">
        <v>63915</v>
      </c>
      <c r="K33" s="2430">
        <v>65892</v>
      </c>
    </row>
    <row r="34" spans="1:11" x14ac:dyDescent="0.25">
      <c r="A34" s="602" t="s">
        <v>76</v>
      </c>
      <c r="B34" s="603" t="s">
        <v>77</v>
      </c>
      <c r="C34" s="603" t="s">
        <v>267</v>
      </c>
      <c r="D34" s="604">
        <v>3751</v>
      </c>
      <c r="E34" s="604">
        <v>3797</v>
      </c>
      <c r="F34" s="604">
        <v>4014</v>
      </c>
      <c r="G34" s="604">
        <v>4051</v>
      </c>
      <c r="H34" s="604">
        <v>4068</v>
      </c>
      <c r="I34" s="1356">
        <v>4318</v>
      </c>
      <c r="J34" s="1587">
        <v>4145</v>
      </c>
      <c r="K34" s="2430">
        <v>4181</v>
      </c>
    </row>
    <row r="35" spans="1:11" x14ac:dyDescent="0.25">
      <c r="A35" s="602" t="s">
        <v>78</v>
      </c>
      <c r="B35" s="603" t="s">
        <v>79</v>
      </c>
      <c r="C35" s="603" t="s">
        <v>268</v>
      </c>
      <c r="D35" s="604">
        <v>1606</v>
      </c>
      <c r="E35" s="604">
        <v>1688</v>
      </c>
      <c r="F35" s="604">
        <v>1791</v>
      </c>
      <c r="G35" s="604">
        <v>1828</v>
      </c>
      <c r="H35" s="604">
        <v>1833</v>
      </c>
      <c r="I35" s="1356">
        <v>1897</v>
      </c>
      <c r="J35" s="1587">
        <v>1812</v>
      </c>
      <c r="K35" s="2430">
        <v>1764</v>
      </c>
    </row>
    <row r="36" spans="1:11" x14ac:dyDescent="0.25">
      <c r="A36" s="602" t="s">
        <v>80</v>
      </c>
      <c r="B36" s="603" t="s">
        <v>81</v>
      </c>
      <c r="C36" s="603" t="s">
        <v>266</v>
      </c>
      <c r="D36" s="604">
        <v>1510</v>
      </c>
      <c r="E36" s="604">
        <v>1587</v>
      </c>
      <c r="F36" s="604">
        <v>1644</v>
      </c>
      <c r="G36" s="604">
        <v>1719</v>
      </c>
      <c r="H36" s="604">
        <v>1731</v>
      </c>
      <c r="I36" s="1356">
        <v>1843</v>
      </c>
      <c r="J36" s="1587">
        <v>1909</v>
      </c>
      <c r="K36" s="2430">
        <v>1984</v>
      </c>
    </row>
    <row r="37" spans="1:11" x14ac:dyDescent="0.25">
      <c r="A37" s="602" t="s">
        <v>84</v>
      </c>
      <c r="B37" s="603" t="s">
        <v>85</v>
      </c>
      <c r="C37" s="603" t="s">
        <v>265</v>
      </c>
      <c r="D37" s="604">
        <v>5842</v>
      </c>
      <c r="E37" s="604">
        <v>6077</v>
      </c>
      <c r="F37" s="604">
        <v>6505</v>
      </c>
      <c r="G37" s="604">
        <v>6489</v>
      </c>
      <c r="H37" s="604">
        <v>6409</v>
      </c>
      <c r="I37" s="1356">
        <v>6514</v>
      </c>
      <c r="J37" s="1587">
        <v>6413</v>
      </c>
      <c r="K37" s="2430">
        <v>6184</v>
      </c>
    </row>
    <row r="38" spans="1:11" x14ac:dyDescent="0.25">
      <c r="A38" s="602" t="s">
        <v>86</v>
      </c>
      <c r="B38" s="603" t="s">
        <v>87</v>
      </c>
      <c r="C38" s="603" t="s">
        <v>267</v>
      </c>
      <c r="D38" s="604">
        <v>5125</v>
      </c>
      <c r="E38" s="604">
        <v>5611</v>
      </c>
      <c r="F38" s="604">
        <v>5942</v>
      </c>
      <c r="G38" s="604">
        <v>6190</v>
      </c>
      <c r="H38" s="604">
        <v>6271</v>
      </c>
      <c r="I38" s="1356">
        <v>6495</v>
      </c>
      <c r="J38" s="1587">
        <v>6484</v>
      </c>
      <c r="K38" s="2430">
        <v>6570</v>
      </c>
    </row>
    <row r="39" spans="1:11" x14ac:dyDescent="0.25">
      <c r="A39" s="602" t="s">
        <v>92</v>
      </c>
      <c r="B39" s="603" t="s">
        <v>93</v>
      </c>
      <c r="C39" s="603" t="s">
        <v>268</v>
      </c>
      <c r="D39" s="604">
        <v>2209</v>
      </c>
      <c r="E39" s="604">
        <v>2338</v>
      </c>
      <c r="F39" s="604">
        <v>2378</v>
      </c>
      <c r="G39" s="604">
        <v>2274</v>
      </c>
      <c r="H39" s="604">
        <v>2319</v>
      </c>
      <c r="I39" s="1356">
        <v>2409</v>
      </c>
      <c r="J39" s="1587">
        <v>2295</v>
      </c>
      <c r="K39" s="2430">
        <v>2346</v>
      </c>
    </row>
    <row r="40" spans="1:11" x14ac:dyDescent="0.25">
      <c r="A40" s="602" t="s">
        <v>94</v>
      </c>
      <c r="B40" s="603" t="s">
        <v>95</v>
      </c>
      <c r="C40" s="603" t="s">
        <v>264</v>
      </c>
      <c r="D40" s="604">
        <v>2887</v>
      </c>
      <c r="E40" s="604">
        <v>2992</v>
      </c>
      <c r="F40" s="604">
        <v>3182</v>
      </c>
      <c r="G40" s="604">
        <v>3243</v>
      </c>
      <c r="H40" s="604">
        <v>3337</v>
      </c>
      <c r="I40" s="1356">
        <v>3469</v>
      </c>
      <c r="J40" s="1587">
        <v>3513</v>
      </c>
      <c r="K40" s="2430">
        <v>3593</v>
      </c>
    </row>
    <row r="41" spans="1:11" x14ac:dyDescent="0.25">
      <c r="A41" s="602" t="s">
        <v>96</v>
      </c>
      <c r="B41" s="603" t="s">
        <v>97</v>
      </c>
      <c r="C41" s="603" t="s">
        <v>266</v>
      </c>
      <c r="D41" s="604">
        <v>1101</v>
      </c>
      <c r="E41" s="604">
        <v>1166</v>
      </c>
      <c r="F41" s="604">
        <v>1154</v>
      </c>
      <c r="G41" s="604">
        <v>1186</v>
      </c>
      <c r="H41" s="604">
        <v>1211</v>
      </c>
      <c r="I41" s="1356">
        <v>1310</v>
      </c>
      <c r="J41" s="1587">
        <v>1286</v>
      </c>
      <c r="K41" s="2430">
        <v>1216</v>
      </c>
    </row>
    <row r="42" spans="1:11" x14ac:dyDescent="0.25">
      <c r="A42" s="602" t="s">
        <v>98</v>
      </c>
      <c r="B42" s="603" t="s">
        <v>99</v>
      </c>
      <c r="C42" s="603" t="s">
        <v>268</v>
      </c>
      <c r="D42" s="604">
        <v>2421</v>
      </c>
      <c r="E42" s="604">
        <v>2523</v>
      </c>
      <c r="F42" s="604">
        <v>2596</v>
      </c>
      <c r="G42" s="604">
        <v>2611</v>
      </c>
      <c r="H42" s="604">
        <v>2582</v>
      </c>
      <c r="I42" s="1356">
        <v>2588</v>
      </c>
      <c r="J42" s="1587">
        <v>2499</v>
      </c>
      <c r="K42" s="2430">
        <v>2334</v>
      </c>
    </row>
    <row r="43" spans="1:11" x14ac:dyDescent="0.25">
      <c r="A43" s="602" t="s">
        <v>100</v>
      </c>
      <c r="B43" s="603" t="s">
        <v>101</v>
      </c>
      <c r="C43" s="603" t="s">
        <v>267</v>
      </c>
      <c r="D43" s="604">
        <v>1527</v>
      </c>
      <c r="E43" s="604">
        <v>1585</v>
      </c>
      <c r="F43" s="604">
        <v>1671</v>
      </c>
      <c r="G43" s="604">
        <v>1729</v>
      </c>
      <c r="H43" s="604">
        <v>1801</v>
      </c>
      <c r="I43" s="1356">
        <v>1824</v>
      </c>
      <c r="J43" s="1587">
        <v>1789</v>
      </c>
      <c r="K43" s="2430">
        <v>1814</v>
      </c>
    </row>
    <row r="44" spans="1:11" x14ac:dyDescent="0.25">
      <c r="A44" s="602" t="s">
        <v>102</v>
      </c>
      <c r="B44" s="603" t="s">
        <v>282</v>
      </c>
      <c r="C44" s="603" t="s">
        <v>264</v>
      </c>
      <c r="D44" s="604">
        <v>2936</v>
      </c>
      <c r="E44" s="604">
        <v>3078</v>
      </c>
      <c r="F44" s="604">
        <v>3213</v>
      </c>
      <c r="G44" s="604">
        <v>3268</v>
      </c>
      <c r="H44" s="604">
        <v>3249</v>
      </c>
      <c r="I44" s="1356">
        <v>3302</v>
      </c>
      <c r="J44" s="1587">
        <v>3143</v>
      </c>
      <c r="K44" s="2430">
        <v>3002</v>
      </c>
    </row>
    <row r="45" spans="1:11" x14ac:dyDescent="0.25">
      <c r="A45" s="602" t="s">
        <v>104</v>
      </c>
      <c r="B45" s="603" t="s">
        <v>105</v>
      </c>
      <c r="C45" s="603" t="s">
        <v>265</v>
      </c>
      <c r="D45" s="604">
        <v>6002</v>
      </c>
      <c r="E45" s="604">
        <v>6226</v>
      </c>
      <c r="F45" s="604">
        <v>6414</v>
      </c>
      <c r="G45" s="604">
        <v>6377</v>
      </c>
      <c r="H45" s="604">
        <v>6416</v>
      </c>
      <c r="I45" s="1356">
        <v>6557</v>
      </c>
      <c r="J45" s="1587">
        <v>6148</v>
      </c>
      <c r="K45" s="2430">
        <v>5902</v>
      </c>
    </row>
    <row r="46" spans="1:11" x14ac:dyDescent="0.25">
      <c r="A46" s="602" t="s">
        <v>108</v>
      </c>
      <c r="B46" s="603" t="s">
        <v>109</v>
      </c>
      <c r="C46" s="603" t="s">
        <v>266</v>
      </c>
      <c r="D46" s="604">
        <v>4638</v>
      </c>
      <c r="E46" s="604">
        <v>4917</v>
      </c>
      <c r="F46" s="604">
        <v>5158</v>
      </c>
      <c r="G46" s="604">
        <v>5228</v>
      </c>
      <c r="H46" s="604">
        <v>5354</v>
      </c>
      <c r="I46" s="1356">
        <v>5695</v>
      </c>
      <c r="J46" s="1587">
        <v>5674</v>
      </c>
      <c r="K46" s="2430">
        <v>5631</v>
      </c>
    </row>
    <row r="47" spans="1:11" x14ac:dyDescent="0.25">
      <c r="A47" s="602" t="s">
        <v>110</v>
      </c>
      <c r="B47" s="603" t="s">
        <v>111</v>
      </c>
      <c r="C47" s="603" t="s">
        <v>266</v>
      </c>
      <c r="D47" s="604">
        <v>23197</v>
      </c>
      <c r="E47" s="604">
        <v>24646</v>
      </c>
      <c r="F47" s="604">
        <v>26257</v>
      </c>
      <c r="G47" s="604">
        <v>27064</v>
      </c>
      <c r="H47" s="604">
        <v>27773</v>
      </c>
      <c r="I47" s="1356">
        <v>28708</v>
      </c>
      <c r="J47" s="1587">
        <v>29282</v>
      </c>
      <c r="K47" s="2430">
        <v>30213</v>
      </c>
    </row>
    <row r="48" spans="1:11" x14ac:dyDescent="0.25">
      <c r="A48" s="602" t="s">
        <v>112</v>
      </c>
      <c r="B48" s="603" t="s">
        <v>300</v>
      </c>
      <c r="C48" s="603" t="s">
        <v>265</v>
      </c>
      <c r="D48" s="604">
        <v>11091</v>
      </c>
      <c r="E48" s="604">
        <v>11532</v>
      </c>
      <c r="F48" s="604">
        <v>12321</v>
      </c>
      <c r="G48" s="604">
        <v>12567</v>
      </c>
      <c r="H48" s="604">
        <v>12648</v>
      </c>
      <c r="I48" s="1356">
        <v>12978</v>
      </c>
      <c r="J48" s="1587">
        <v>12091</v>
      </c>
      <c r="K48" s="2430">
        <v>12306</v>
      </c>
    </row>
    <row r="49" spans="1:11" x14ac:dyDescent="0.25">
      <c r="A49" s="602" t="s">
        <v>114</v>
      </c>
      <c r="B49" s="603" t="s">
        <v>115</v>
      </c>
      <c r="C49" s="603" t="s">
        <v>265</v>
      </c>
      <c r="D49" s="604">
        <v>186</v>
      </c>
      <c r="E49" s="604">
        <v>203</v>
      </c>
      <c r="F49" s="604">
        <v>213</v>
      </c>
      <c r="G49" s="604">
        <v>186</v>
      </c>
      <c r="H49" s="604">
        <v>243</v>
      </c>
      <c r="I49" s="1356">
        <v>282</v>
      </c>
      <c r="J49" s="1587">
        <v>195</v>
      </c>
      <c r="K49" s="2430">
        <v>199</v>
      </c>
    </row>
    <row r="50" spans="1:11" x14ac:dyDescent="0.25">
      <c r="A50" s="602" t="s">
        <v>118</v>
      </c>
      <c r="B50" s="603" t="s">
        <v>270</v>
      </c>
      <c r="C50" s="603" t="s">
        <v>264</v>
      </c>
      <c r="D50" s="604">
        <v>2959</v>
      </c>
      <c r="E50" s="604">
        <v>3091</v>
      </c>
      <c r="F50" s="604">
        <v>3176</v>
      </c>
      <c r="G50" s="604">
        <v>3218</v>
      </c>
      <c r="H50" s="604">
        <v>3151</v>
      </c>
      <c r="I50" s="1356">
        <v>3244</v>
      </c>
      <c r="J50" s="1587">
        <v>3230</v>
      </c>
      <c r="K50" s="2430">
        <v>3245</v>
      </c>
    </row>
    <row r="51" spans="1:11" x14ac:dyDescent="0.25">
      <c r="A51" s="602" t="s">
        <v>120</v>
      </c>
      <c r="B51" s="603" t="s">
        <v>121</v>
      </c>
      <c r="C51" s="603" t="s">
        <v>264</v>
      </c>
      <c r="D51" s="604">
        <v>3388</v>
      </c>
      <c r="E51" s="604">
        <v>3575</v>
      </c>
      <c r="F51" s="604">
        <v>3773</v>
      </c>
      <c r="G51" s="604">
        <v>3922</v>
      </c>
      <c r="H51" s="604">
        <v>3979</v>
      </c>
      <c r="I51" s="1356">
        <v>4191</v>
      </c>
      <c r="J51" s="1587">
        <v>4284</v>
      </c>
      <c r="K51" s="2430">
        <v>4160</v>
      </c>
    </row>
    <row r="52" spans="1:11" x14ac:dyDescent="0.25">
      <c r="A52" s="602" t="s">
        <v>122</v>
      </c>
      <c r="B52" s="603" t="s">
        <v>287</v>
      </c>
      <c r="C52" s="603" t="s">
        <v>266</v>
      </c>
      <c r="D52" s="604">
        <v>915</v>
      </c>
      <c r="E52" s="604">
        <v>965</v>
      </c>
      <c r="F52" s="604">
        <v>965</v>
      </c>
      <c r="G52" s="604">
        <v>974</v>
      </c>
      <c r="H52" s="604">
        <v>1017</v>
      </c>
      <c r="I52" s="1356">
        <v>1017</v>
      </c>
      <c r="J52" s="1587">
        <v>2010</v>
      </c>
      <c r="K52" s="2430">
        <v>2020</v>
      </c>
    </row>
    <row r="53" spans="1:11" x14ac:dyDescent="0.25">
      <c r="A53" s="602" t="s">
        <v>124</v>
      </c>
      <c r="B53" s="603" t="s">
        <v>125</v>
      </c>
      <c r="C53" s="603" t="s">
        <v>267</v>
      </c>
      <c r="D53" s="604">
        <v>1540</v>
      </c>
      <c r="E53" s="604">
        <v>1699</v>
      </c>
      <c r="F53" s="604">
        <v>1866</v>
      </c>
      <c r="G53" s="604">
        <v>1907</v>
      </c>
      <c r="H53" s="604">
        <v>1908</v>
      </c>
      <c r="I53" s="1356">
        <v>2044</v>
      </c>
      <c r="J53" s="1587">
        <v>1570</v>
      </c>
      <c r="K53" s="2430">
        <v>1441</v>
      </c>
    </row>
    <row r="54" spans="1:11" x14ac:dyDescent="0.25">
      <c r="A54" s="602" t="s">
        <v>126</v>
      </c>
      <c r="B54" s="603" t="s">
        <v>127</v>
      </c>
      <c r="C54" s="603" t="s">
        <v>266</v>
      </c>
      <c r="D54" s="604">
        <v>1319</v>
      </c>
      <c r="E54" s="604">
        <v>1400</v>
      </c>
      <c r="F54" s="604">
        <v>1493</v>
      </c>
      <c r="G54" s="604">
        <v>1489</v>
      </c>
      <c r="H54" s="604">
        <v>1506</v>
      </c>
      <c r="I54" s="1356">
        <v>1543</v>
      </c>
      <c r="J54" s="1587">
        <v>950</v>
      </c>
      <c r="K54" s="2430">
        <v>972</v>
      </c>
    </row>
    <row r="55" spans="1:11" x14ac:dyDescent="0.25">
      <c r="A55" s="602" t="s">
        <v>128</v>
      </c>
      <c r="B55" s="603" t="s">
        <v>129</v>
      </c>
      <c r="C55" s="603" t="s">
        <v>266</v>
      </c>
      <c r="D55" s="604">
        <v>1246</v>
      </c>
      <c r="E55" s="604">
        <v>1294</v>
      </c>
      <c r="F55" s="604">
        <v>1341</v>
      </c>
      <c r="G55" s="604">
        <v>1371</v>
      </c>
      <c r="H55" s="604">
        <v>1368</v>
      </c>
      <c r="I55" s="1356">
        <v>1397</v>
      </c>
      <c r="J55" s="1587">
        <v>1312</v>
      </c>
      <c r="K55" s="2430">
        <v>1338</v>
      </c>
    </row>
    <row r="56" spans="1:11" x14ac:dyDescent="0.25">
      <c r="A56" s="602" t="s">
        <v>130</v>
      </c>
      <c r="B56" s="603" t="s">
        <v>131</v>
      </c>
      <c r="C56" s="603" t="s">
        <v>268</v>
      </c>
      <c r="D56" s="604">
        <v>5449</v>
      </c>
      <c r="E56" s="604">
        <v>5478</v>
      </c>
      <c r="F56" s="604">
        <v>5636</v>
      </c>
      <c r="G56" s="604">
        <v>5578</v>
      </c>
      <c r="H56" s="604">
        <v>5575</v>
      </c>
      <c r="I56" s="1356">
        <v>5609</v>
      </c>
      <c r="J56" s="1587">
        <v>5454</v>
      </c>
      <c r="K56" s="2430">
        <v>4959</v>
      </c>
    </row>
    <row r="57" spans="1:11" x14ac:dyDescent="0.25">
      <c r="A57" s="602" t="s">
        <v>132</v>
      </c>
      <c r="B57" s="603" t="s">
        <v>133</v>
      </c>
      <c r="C57" s="603" t="s">
        <v>267</v>
      </c>
      <c r="D57" s="604">
        <v>9252</v>
      </c>
      <c r="E57" s="604">
        <v>10223</v>
      </c>
      <c r="F57" s="604">
        <v>11119</v>
      </c>
      <c r="G57" s="604">
        <v>11769</v>
      </c>
      <c r="H57" s="604">
        <v>12165</v>
      </c>
      <c r="I57" s="1356">
        <v>13957</v>
      </c>
      <c r="J57" s="1587">
        <v>15253</v>
      </c>
      <c r="K57" s="2430">
        <v>16249</v>
      </c>
    </row>
    <row r="58" spans="1:11" x14ac:dyDescent="0.25">
      <c r="A58" s="602" t="s">
        <v>134</v>
      </c>
      <c r="B58" s="603" t="s">
        <v>135</v>
      </c>
      <c r="C58" s="603" t="s">
        <v>267</v>
      </c>
      <c r="D58" s="604">
        <v>3085</v>
      </c>
      <c r="E58" s="604">
        <v>3288</v>
      </c>
      <c r="F58" s="604">
        <v>3457</v>
      </c>
      <c r="G58" s="604">
        <v>3513</v>
      </c>
      <c r="H58" s="604">
        <v>3631</v>
      </c>
      <c r="I58" s="1356">
        <v>3886</v>
      </c>
      <c r="J58" s="1587">
        <v>3740</v>
      </c>
      <c r="K58" s="2430">
        <v>3666</v>
      </c>
    </row>
    <row r="59" spans="1:11" x14ac:dyDescent="0.25">
      <c r="A59" s="602" t="s">
        <v>136</v>
      </c>
      <c r="B59" s="603" t="s">
        <v>137</v>
      </c>
      <c r="C59" s="603" t="s">
        <v>266</v>
      </c>
      <c r="D59" s="604">
        <v>1954</v>
      </c>
      <c r="E59" s="604">
        <v>2038</v>
      </c>
      <c r="F59" s="604">
        <v>1988</v>
      </c>
      <c r="G59" s="604">
        <v>1965</v>
      </c>
      <c r="H59" s="604">
        <v>1983</v>
      </c>
      <c r="I59" s="1356">
        <v>2053</v>
      </c>
      <c r="J59" s="1587">
        <v>2016</v>
      </c>
      <c r="K59" s="2430">
        <v>1925</v>
      </c>
    </row>
    <row r="60" spans="1:11" x14ac:dyDescent="0.25">
      <c r="A60" s="602" t="s">
        <v>140</v>
      </c>
      <c r="B60" s="603" t="s">
        <v>141</v>
      </c>
      <c r="C60" s="603" t="s">
        <v>267</v>
      </c>
      <c r="D60" s="604">
        <v>1218</v>
      </c>
      <c r="E60" s="604">
        <v>1258</v>
      </c>
      <c r="F60" s="604">
        <v>1336</v>
      </c>
      <c r="G60" s="604">
        <v>1381</v>
      </c>
      <c r="H60" s="604">
        <v>1411</v>
      </c>
      <c r="I60" s="1356">
        <v>1462</v>
      </c>
      <c r="J60" s="1587">
        <v>1404</v>
      </c>
      <c r="K60" s="2430">
        <v>1334</v>
      </c>
    </row>
    <row r="61" spans="1:11" x14ac:dyDescent="0.25">
      <c r="A61" s="602" t="s">
        <v>146</v>
      </c>
      <c r="B61" s="603" t="s">
        <v>147</v>
      </c>
      <c r="C61" s="603" t="s">
        <v>264</v>
      </c>
      <c r="D61" s="604">
        <v>782</v>
      </c>
      <c r="E61" s="604">
        <v>777</v>
      </c>
      <c r="F61" s="604">
        <v>806</v>
      </c>
      <c r="G61" s="604">
        <v>805</v>
      </c>
      <c r="H61" s="604">
        <v>826</v>
      </c>
      <c r="I61" s="1356">
        <v>867</v>
      </c>
      <c r="J61" s="1587">
        <v>839</v>
      </c>
      <c r="K61" s="2430">
        <v>825</v>
      </c>
    </row>
    <row r="62" spans="1:11" x14ac:dyDescent="0.25">
      <c r="A62" s="602" t="s">
        <v>148</v>
      </c>
      <c r="B62" s="603" t="s">
        <v>149</v>
      </c>
      <c r="C62" s="603" t="s">
        <v>265</v>
      </c>
      <c r="D62" s="604">
        <v>4728</v>
      </c>
      <c r="E62" s="604">
        <v>4901</v>
      </c>
      <c r="F62" s="604">
        <v>5089</v>
      </c>
      <c r="G62" s="604">
        <v>5094</v>
      </c>
      <c r="H62" s="604">
        <v>5111</v>
      </c>
      <c r="I62" s="1356">
        <v>5103</v>
      </c>
      <c r="J62" s="1587">
        <v>4814</v>
      </c>
      <c r="K62" s="2430">
        <v>4655</v>
      </c>
    </row>
    <row r="63" spans="1:11" x14ac:dyDescent="0.25">
      <c r="A63" s="602" t="s">
        <v>150</v>
      </c>
      <c r="B63" s="603" t="s">
        <v>151</v>
      </c>
      <c r="C63" s="603" t="s">
        <v>266</v>
      </c>
      <c r="D63" s="604">
        <v>1036</v>
      </c>
      <c r="E63" s="604">
        <v>1100</v>
      </c>
      <c r="F63" s="604">
        <v>1207</v>
      </c>
      <c r="G63" s="604">
        <v>1248</v>
      </c>
      <c r="H63" s="604">
        <v>1242</v>
      </c>
      <c r="I63" s="1356">
        <v>1329</v>
      </c>
      <c r="J63" s="1587">
        <v>1295</v>
      </c>
      <c r="K63" s="2430">
        <v>1327</v>
      </c>
    </row>
    <row r="64" spans="1:11" x14ac:dyDescent="0.25">
      <c r="A64" s="602" t="s">
        <v>152</v>
      </c>
      <c r="B64" s="603" t="s">
        <v>153</v>
      </c>
      <c r="C64" s="603" t="s">
        <v>268</v>
      </c>
      <c r="D64" s="604">
        <v>6206</v>
      </c>
      <c r="E64" s="604">
        <v>6377</v>
      </c>
      <c r="F64" s="604">
        <v>6590</v>
      </c>
      <c r="G64" s="604">
        <v>6641</v>
      </c>
      <c r="H64" s="604">
        <v>6657</v>
      </c>
      <c r="I64" s="1356">
        <v>6721</v>
      </c>
      <c r="J64" s="1587">
        <v>6478</v>
      </c>
      <c r="K64" s="2430">
        <v>6255</v>
      </c>
    </row>
    <row r="65" spans="1:11" x14ac:dyDescent="0.25">
      <c r="A65" s="602" t="s">
        <v>154</v>
      </c>
      <c r="B65" s="603" t="s">
        <v>155</v>
      </c>
      <c r="C65" s="603" t="s">
        <v>265</v>
      </c>
      <c r="D65" s="604">
        <v>1780</v>
      </c>
      <c r="E65" s="604">
        <v>1857</v>
      </c>
      <c r="F65" s="604">
        <v>1926</v>
      </c>
      <c r="G65" s="604">
        <v>1898</v>
      </c>
      <c r="H65" s="604">
        <v>1914</v>
      </c>
      <c r="I65" s="1356">
        <v>1970</v>
      </c>
      <c r="J65" s="1587">
        <v>1867</v>
      </c>
      <c r="K65" s="2430">
        <v>1771</v>
      </c>
    </row>
    <row r="66" spans="1:11" x14ac:dyDescent="0.25">
      <c r="A66" s="602" t="s">
        <v>156</v>
      </c>
      <c r="B66" s="603" t="s">
        <v>157</v>
      </c>
      <c r="C66" s="603" t="s">
        <v>266</v>
      </c>
      <c r="D66" s="604">
        <v>945</v>
      </c>
      <c r="E66" s="604">
        <v>972</v>
      </c>
      <c r="F66" s="604">
        <v>1039</v>
      </c>
      <c r="G66" s="604">
        <v>1073</v>
      </c>
      <c r="H66" s="604">
        <v>1089</v>
      </c>
      <c r="I66" s="1356">
        <v>1223</v>
      </c>
      <c r="J66" s="1587">
        <v>1226</v>
      </c>
      <c r="K66" s="2430">
        <v>1219</v>
      </c>
    </row>
    <row r="67" spans="1:11" x14ac:dyDescent="0.25">
      <c r="A67" s="602" t="s">
        <v>162</v>
      </c>
      <c r="B67" s="603" t="s">
        <v>163</v>
      </c>
      <c r="C67" s="603" t="s">
        <v>264</v>
      </c>
      <c r="D67" s="604">
        <v>2313</v>
      </c>
      <c r="E67" s="604">
        <v>2369</v>
      </c>
      <c r="F67" s="604">
        <v>2443</v>
      </c>
      <c r="G67" s="604">
        <v>2435</v>
      </c>
      <c r="H67" s="604">
        <v>2450</v>
      </c>
      <c r="I67" s="1356">
        <v>2410</v>
      </c>
      <c r="J67" s="1587">
        <v>2388</v>
      </c>
      <c r="K67" s="2430">
        <v>2320</v>
      </c>
    </row>
    <row r="68" spans="1:11" x14ac:dyDescent="0.25">
      <c r="A68" s="602" t="s">
        <v>164</v>
      </c>
      <c r="B68" s="603" t="s">
        <v>165</v>
      </c>
      <c r="C68" s="603" t="s">
        <v>266</v>
      </c>
      <c r="D68" s="604">
        <v>1300</v>
      </c>
      <c r="E68" s="604">
        <v>1332</v>
      </c>
      <c r="F68" s="604">
        <v>1409</v>
      </c>
      <c r="G68" s="604">
        <v>1464</v>
      </c>
      <c r="H68" s="604">
        <v>1451</v>
      </c>
      <c r="I68" s="1356">
        <v>1467</v>
      </c>
      <c r="J68" s="1587">
        <v>1431</v>
      </c>
      <c r="K68" s="2430">
        <v>1382</v>
      </c>
    </row>
    <row r="69" spans="1:11" x14ac:dyDescent="0.25">
      <c r="A69" s="602" t="s">
        <v>168</v>
      </c>
      <c r="B69" s="603" t="s">
        <v>169</v>
      </c>
      <c r="C69" s="603" t="s">
        <v>266</v>
      </c>
      <c r="D69" s="604">
        <v>2301</v>
      </c>
      <c r="E69" s="604">
        <v>2387</v>
      </c>
      <c r="F69" s="604">
        <v>2497</v>
      </c>
      <c r="G69" s="604">
        <v>2544</v>
      </c>
      <c r="H69" s="604">
        <v>2544</v>
      </c>
      <c r="I69" s="1356">
        <v>2577</v>
      </c>
      <c r="J69" s="1587">
        <v>2496</v>
      </c>
      <c r="K69" s="2430">
        <v>2518</v>
      </c>
    </row>
    <row r="70" spans="1:11" x14ac:dyDescent="0.25">
      <c r="A70" s="602" t="s">
        <v>170</v>
      </c>
      <c r="B70" s="603" t="s">
        <v>171</v>
      </c>
      <c r="C70" s="603" t="s">
        <v>267</v>
      </c>
      <c r="D70" s="604">
        <v>2741</v>
      </c>
      <c r="E70" s="604">
        <v>2880</v>
      </c>
      <c r="F70" s="604">
        <v>3035</v>
      </c>
      <c r="G70" s="604">
        <v>3145</v>
      </c>
      <c r="H70" s="604">
        <v>3300</v>
      </c>
      <c r="I70" s="1356">
        <v>3487</v>
      </c>
      <c r="J70" s="1587">
        <v>3445</v>
      </c>
      <c r="K70" s="2430">
        <v>3504</v>
      </c>
    </row>
    <row r="71" spans="1:11" x14ac:dyDescent="0.25">
      <c r="A71" s="602" t="s">
        <v>172</v>
      </c>
      <c r="B71" s="603" t="s">
        <v>173</v>
      </c>
      <c r="C71" s="603" t="s">
        <v>267</v>
      </c>
      <c r="D71" s="604">
        <v>3024</v>
      </c>
      <c r="E71" s="604">
        <v>3123</v>
      </c>
      <c r="F71" s="604">
        <v>3313</v>
      </c>
      <c r="G71" s="604">
        <v>3330</v>
      </c>
      <c r="H71" s="604">
        <v>3258</v>
      </c>
      <c r="I71" s="1356">
        <v>3313</v>
      </c>
      <c r="J71" s="1587">
        <v>3187</v>
      </c>
      <c r="K71" s="2430">
        <v>3149</v>
      </c>
    </row>
    <row r="72" spans="1:11" x14ac:dyDescent="0.25">
      <c r="A72" s="602" t="s">
        <v>174</v>
      </c>
      <c r="B72" s="603" t="s">
        <v>175</v>
      </c>
      <c r="C72" s="603" t="s">
        <v>268</v>
      </c>
      <c r="D72" s="604">
        <v>2746</v>
      </c>
      <c r="E72" s="604">
        <v>2818</v>
      </c>
      <c r="F72" s="604">
        <v>2961</v>
      </c>
      <c r="G72" s="604">
        <v>2989</v>
      </c>
      <c r="H72" s="604">
        <v>2966</v>
      </c>
      <c r="I72" s="1356">
        <v>2991</v>
      </c>
      <c r="J72" s="1587">
        <v>2819</v>
      </c>
      <c r="K72" s="2430">
        <v>2696</v>
      </c>
    </row>
    <row r="73" spans="1:11" x14ac:dyDescent="0.25">
      <c r="A73" s="602" t="s">
        <v>178</v>
      </c>
      <c r="B73" s="603" t="s">
        <v>179</v>
      </c>
      <c r="C73" s="603" t="s">
        <v>265</v>
      </c>
      <c r="D73" s="604">
        <v>8254</v>
      </c>
      <c r="E73" s="604">
        <v>8598</v>
      </c>
      <c r="F73" s="604">
        <v>8782</v>
      </c>
      <c r="G73" s="604">
        <v>8823</v>
      </c>
      <c r="H73" s="604">
        <v>9030</v>
      </c>
      <c r="I73" s="1356">
        <v>9229</v>
      </c>
      <c r="J73" s="1587">
        <v>8935</v>
      </c>
      <c r="K73" s="2430">
        <v>8867</v>
      </c>
    </row>
    <row r="74" spans="1:11" x14ac:dyDescent="0.25">
      <c r="A74" s="602" t="s">
        <v>182</v>
      </c>
      <c r="B74" s="603" t="s">
        <v>183</v>
      </c>
      <c r="C74" s="603" t="s">
        <v>266</v>
      </c>
      <c r="D74" s="604">
        <v>1185</v>
      </c>
      <c r="E74" s="604">
        <v>1284</v>
      </c>
      <c r="F74" s="604">
        <v>1393</v>
      </c>
      <c r="G74" s="604">
        <v>1402</v>
      </c>
      <c r="H74" s="604">
        <v>1391</v>
      </c>
      <c r="I74" s="1356">
        <v>1448</v>
      </c>
      <c r="J74" s="1587">
        <v>1443</v>
      </c>
      <c r="K74" s="2430">
        <v>1436</v>
      </c>
    </row>
    <row r="75" spans="1:11" x14ac:dyDescent="0.25">
      <c r="A75" s="602" t="s">
        <v>184</v>
      </c>
      <c r="B75" s="603" t="s">
        <v>185</v>
      </c>
      <c r="C75" s="603" t="s">
        <v>266</v>
      </c>
      <c r="D75" s="604">
        <v>2691</v>
      </c>
      <c r="E75" s="604">
        <v>2842</v>
      </c>
      <c r="F75" s="604">
        <v>2929</v>
      </c>
      <c r="G75" s="604">
        <v>2926</v>
      </c>
      <c r="H75" s="604">
        <v>3028</v>
      </c>
      <c r="I75" s="1356">
        <v>3078</v>
      </c>
      <c r="J75" s="1587">
        <v>3032</v>
      </c>
      <c r="K75" s="2430">
        <v>2919</v>
      </c>
    </row>
    <row r="76" spans="1:11" x14ac:dyDescent="0.25">
      <c r="A76" s="602" t="s">
        <v>186</v>
      </c>
      <c r="B76" s="603" t="s">
        <v>187</v>
      </c>
      <c r="C76" s="603" t="s">
        <v>264</v>
      </c>
      <c r="D76" s="604">
        <v>2063</v>
      </c>
      <c r="E76" s="604">
        <v>2200</v>
      </c>
      <c r="F76" s="604">
        <v>2322</v>
      </c>
      <c r="G76" s="604">
        <v>2383</v>
      </c>
      <c r="H76" s="604">
        <v>2518</v>
      </c>
      <c r="I76" s="1356">
        <v>2768</v>
      </c>
      <c r="J76" s="1587">
        <v>2860</v>
      </c>
      <c r="K76" s="2430">
        <v>2831</v>
      </c>
    </row>
    <row r="77" spans="1:11" x14ac:dyDescent="0.25">
      <c r="A77" s="602" t="s">
        <v>188</v>
      </c>
      <c r="B77" s="603" t="s">
        <v>189</v>
      </c>
      <c r="C77" s="603" t="s">
        <v>267</v>
      </c>
      <c r="D77" s="604">
        <v>24322</v>
      </c>
      <c r="E77" s="604">
        <v>26415</v>
      </c>
      <c r="F77" s="604">
        <v>28234</v>
      </c>
      <c r="G77" s="604">
        <v>29694</v>
      </c>
      <c r="H77" s="604">
        <v>29589</v>
      </c>
      <c r="I77" s="1356">
        <v>31604</v>
      </c>
      <c r="J77" s="1587">
        <v>32484</v>
      </c>
      <c r="K77" s="2430">
        <v>34327</v>
      </c>
    </row>
    <row r="78" spans="1:11" x14ac:dyDescent="0.25">
      <c r="A78" s="602" t="s">
        <v>190</v>
      </c>
      <c r="B78" s="603" t="s">
        <v>191</v>
      </c>
      <c r="C78" s="603" t="s">
        <v>268</v>
      </c>
      <c r="D78" s="604">
        <v>4634</v>
      </c>
      <c r="E78" s="604">
        <v>4854</v>
      </c>
      <c r="F78" s="604">
        <v>5070</v>
      </c>
      <c r="G78" s="604">
        <v>5275</v>
      </c>
      <c r="H78" s="604">
        <v>5242</v>
      </c>
      <c r="I78" s="1356">
        <v>5193</v>
      </c>
      <c r="J78" s="1587">
        <v>5097</v>
      </c>
      <c r="K78" s="2430">
        <v>4942</v>
      </c>
    </row>
    <row r="79" spans="1:11" x14ac:dyDescent="0.25">
      <c r="A79" s="602" t="s">
        <v>194</v>
      </c>
      <c r="B79" s="603" t="s">
        <v>195</v>
      </c>
      <c r="C79" s="603" t="s">
        <v>267</v>
      </c>
      <c r="D79" s="604">
        <v>496</v>
      </c>
      <c r="E79" s="604">
        <v>547</v>
      </c>
      <c r="F79" s="604">
        <v>603</v>
      </c>
      <c r="G79" s="604">
        <v>605</v>
      </c>
      <c r="H79" s="604">
        <v>582</v>
      </c>
      <c r="I79" s="1356">
        <v>601</v>
      </c>
      <c r="J79" s="1587">
        <v>570</v>
      </c>
      <c r="K79" s="2430">
        <v>547</v>
      </c>
    </row>
    <row r="80" spans="1:11" x14ac:dyDescent="0.25">
      <c r="A80" s="602" t="s">
        <v>198</v>
      </c>
      <c r="B80" s="603" t="s">
        <v>272</v>
      </c>
      <c r="C80" s="603" t="s">
        <v>266</v>
      </c>
      <c r="D80" s="604">
        <v>1053</v>
      </c>
      <c r="E80" s="604">
        <v>1105</v>
      </c>
      <c r="F80" s="604">
        <v>1127</v>
      </c>
      <c r="G80" s="604">
        <v>1162</v>
      </c>
      <c r="H80" s="604">
        <v>1186</v>
      </c>
      <c r="I80" s="1356">
        <v>1272</v>
      </c>
      <c r="J80" s="1587">
        <v>1252</v>
      </c>
      <c r="K80" s="2430">
        <v>1187</v>
      </c>
    </row>
    <row r="81" spans="1:11" x14ac:dyDescent="0.25">
      <c r="A81" s="602" t="s">
        <v>202</v>
      </c>
      <c r="B81" s="603" t="s">
        <v>301</v>
      </c>
      <c r="C81" s="603" t="s">
        <v>265</v>
      </c>
      <c r="D81" s="604">
        <v>7505</v>
      </c>
      <c r="E81" s="604">
        <v>7998</v>
      </c>
      <c r="F81" s="604">
        <v>8375</v>
      </c>
      <c r="G81" s="604">
        <v>8691</v>
      </c>
      <c r="H81" s="604">
        <v>8688</v>
      </c>
      <c r="I81" s="1356">
        <v>8981</v>
      </c>
      <c r="J81" s="1587">
        <v>8746</v>
      </c>
      <c r="K81" s="2430">
        <v>8915</v>
      </c>
    </row>
    <row r="82" spans="1:11" x14ac:dyDescent="0.25">
      <c r="A82" s="602" t="s">
        <v>204</v>
      </c>
      <c r="B82" s="603" t="s">
        <v>293</v>
      </c>
      <c r="C82" s="603" t="s">
        <v>265</v>
      </c>
      <c r="D82" s="604">
        <v>3552</v>
      </c>
      <c r="E82" s="604">
        <v>3688</v>
      </c>
      <c r="F82" s="604">
        <v>3857</v>
      </c>
      <c r="G82" s="604">
        <v>3950</v>
      </c>
      <c r="H82" s="604">
        <v>4011</v>
      </c>
      <c r="I82" s="1356">
        <v>4090</v>
      </c>
      <c r="J82" s="1587">
        <v>3923</v>
      </c>
      <c r="K82" s="2430">
        <v>3855</v>
      </c>
    </row>
    <row r="83" spans="1:11" x14ac:dyDescent="0.25">
      <c r="A83" s="602" t="s">
        <v>206</v>
      </c>
      <c r="B83" s="603" t="s">
        <v>294</v>
      </c>
      <c r="C83" s="603" t="s">
        <v>267</v>
      </c>
      <c r="D83" s="604">
        <v>9549</v>
      </c>
      <c r="E83" s="604">
        <v>9950</v>
      </c>
      <c r="F83" s="604">
        <v>10400</v>
      </c>
      <c r="G83" s="604">
        <v>10836</v>
      </c>
      <c r="H83" s="604">
        <v>10695</v>
      </c>
      <c r="I83" s="1356">
        <v>10929</v>
      </c>
      <c r="J83" s="1587">
        <v>10736</v>
      </c>
      <c r="K83" s="2430">
        <v>11234</v>
      </c>
    </row>
    <row r="84" spans="1:11" x14ac:dyDescent="0.25">
      <c r="A84" s="602" t="s">
        <v>208</v>
      </c>
      <c r="B84" s="603" t="s">
        <v>209</v>
      </c>
      <c r="C84" s="603" t="s">
        <v>268</v>
      </c>
      <c r="D84" s="604">
        <v>5194</v>
      </c>
      <c r="E84" s="604">
        <v>5231</v>
      </c>
      <c r="F84" s="604">
        <v>5221</v>
      </c>
      <c r="G84" s="604">
        <v>5260</v>
      </c>
      <c r="H84" s="604">
        <v>5299</v>
      </c>
      <c r="I84" s="1356">
        <v>5315</v>
      </c>
      <c r="J84" s="1587">
        <v>5346</v>
      </c>
      <c r="K84" s="2430">
        <v>5095</v>
      </c>
    </row>
    <row r="85" spans="1:11" x14ac:dyDescent="0.25">
      <c r="A85" s="602" t="s">
        <v>210</v>
      </c>
      <c r="B85" s="603" t="s">
        <v>211</v>
      </c>
      <c r="C85" s="603" t="s">
        <v>268</v>
      </c>
      <c r="D85" s="604">
        <v>3783</v>
      </c>
      <c r="E85" s="604">
        <v>3903</v>
      </c>
      <c r="F85" s="604">
        <v>4008</v>
      </c>
      <c r="G85" s="604">
        <v>4087</v>
      </c>
      <c r="H85" s="604">
        <v>4056</v>
      </c>
      <c r="I85" s="1356">
        <v>4008</v>
      </c>
      <c r="J85" s="1587">
        <v>3742</v>
      </c>
      <c r="K85" s="2430">
        <v>3706</v>
      </c>
    </row>
    <row r="86" spans="1:11" x14ac:dyDescent="0.25">
      <c r="A86" s="602" t="s">
        <v>212</v>
      </c>
      <c r="B86" s="603" t="s">
        <v>213</v>
      </c>
      <c r="C86" s="603" t="s">
        <v>267</v>
      </c>
      <c r="D86" s="604">
        <v>3754</v>
      </c>
      <c r="E86" s="604">
        <v>3980</v>
      </c>
      <c r="F86" s="604">
        <v>4237</v>
      </c>
      <c r="G86" s="604">
        <v>4430</v>
      </c>
      <c r="H86" s="604">
        <v>4394</v>
      </c>
      <c r="I86" s="1356">
        <v>4469</v>
      </c>
      <c r="J86" s="1587">
        <v>4572</v>
      </c>
      <c r="K86" s="2430">
        <v>4602</v>
      </c>
    </row>
    <row r="87" spans="1:11" x14ac:dyDescent="0.25">
      <c r="A87" s="602" t="s">
        <v>214</v>
      </c>
      <c r="B87" s="603" t="s">
        <v>215</v>
      </c>
      <c r="C87" s="603" t="s">
        <v>268</v>
      </c>
      <c r="D87" s="604">
        <v>5150</v>
      </c>
      <c r="E87" s="604">
        <v>5368</v>
      </c>
      <c r="F87" s="604">
        <v>5554</v>
      </c>
      <c r="G87" s="604">
        <v>5745</v>
      </c>
      <c r="H87" s="604">
        <v>5555</v>
      </c>
      <c r="I87" s="1356">
        <v>5559</v>
      </c>
      <c r="J87" s="1587">
        <v>5410</v>
      </c>
      <c r="K87" s="2430">
        <v>5278</v>
      </c>
    </row>
    <row r="88" spans="1:11" x14ac:dyDescent="0.25">
      <c r="A88" s="602" t="s">
        <v>216</v>
      </c>
      <c r="B88" s="603" t="s">
        <v>217</v>
      </c>
      <c r="C88" s="603" t="s">
        <v>264</v>
      </c>
      <c r="D88" s="604">
        <v>2217</v>
      </c>
      <c r="E88" s="604">
        <v>2257</v>
      </c>
      <c r="F88" s="604">
        <v>2332</v>
      </c>
      <c r="G88" s="604">
        <v>2358</v>
      </c>
      <c r="H88" s="604">
        <v>2358</v>
      </c>
      <c r="I88" s="1356">
        <v>2365</v>
      </c>
      <c r="J88" s="1587">
        <v>2371</v>
      </c>
      <c r="K88" s="2430">
        <v>2352</v>
      </c>
    </row>
    <row r="89" spans="1:11" x14ac:dyDescent="0.25">
      <c r="A89" s="602" t="s">
        <v>218</v>
      </c>
      <c r="B89" s="603" t="s">
        <v>219</v>
      </c>
      <c r="C89" s="603" t="s">
        <v>267</v>
      </c>
      <c r="D89" s="604">
        <v>7987</v>
      </c>
      <c r="E89" s="604">
        <v>8714</v>
      </c>
      <c r="F89" s="604">
        <v>9101</v>
      </c>
      <c r="G89" s="604">
        <v>9774</v>
      </c>
      <c r="H89" s="604">
        <v>10047</v>
      </c>
      <c r="I89" s="1356">
        <v>10895</v>
      </c>
      <c r="J89" s="1587">
        <v>11162</v>
      </c>
      <c r="K89" s="2430">
        <v>11399</v>
      </c>
    </row>
    <row r="90" spans="1:11" x14ac:dyDescent="0.25">
      <c r="A90" s="602" t="s">
        <v>220</v>
      </c>
      <c r="B90" s="603" t="s">
        <v>221</v>
      </c>
      <c r="C90" s="603" t="s">
        <v>267</v>
      </c>
      <c r="D90" s="604">
        <v>6610</v>
      </c>
      <c r="E90" s="604">
        <v>7061</v>
      </c>
      <c r="F90" s="604">
        <v>7544</v>
      </c>
      <c r="G90" s="604">
        <v>7902</v>
      </c>
      <c r="H90" s="604">
        <v>8063</v>
      </c>
      <c r="I90" s="1356">
        <v>8814</v>
      </c>
      <c r="J90" s="1587">
        <v>9320</v>
      </c>
      <c r="K90" s="2430">
        <v>9497</v>
      </c>
    </row>
    <row r="91" spans="1:11" x14ac:dyDescent="0.25">
      <c r="A91" s="602" t="s">
        <v>224</v>
      </c>
      <c r="B91" s="603" t="s">
        <v>225</v>
      </c>
      <c r="C91" s="603" t="s">
        <v>264</v>
      </c>
      <c r="D91" s="604">
        <v>792</v>
      </c>
      <c r="E91" s="604">
        <v>814</v>
      </c>
      <c r="F91" s="604">
        <v>823</v>
      </c>
      <c r="G91" s="604">
        <v>858</v>
      </c>
      <c r="H91" s="604">
        <v>864</v>
      </c>
      <c r="I91" s="1356">
        <v>869</v>
      </c>
      <c r="J91" s="1587">
        <v>859</v>
      </c>
      <c r="K91" s="2430">
        <v>796</v>
      </c>
    </row>
    <row r="92" spans="1:11" x14ac:dyDescent="0.25">
      <c r="A92" s="602" t="s">
        <v>226</v>
      </c>
      <c r="B92" s="603" t="s">
        <v>227</v>
      </c>
      <c r="C92" s="603" t="s">
        <v>264</v>
      </c>
      <c r="D92" s="604">
        <v>1492</v>
      </c>
      <c r="E92" s="604">
        <v>1481</v>
      </c>
      <c r="F92" s="604">
        <v>1529</v>
      </c>
      <c r="G92" s="604">
        <v>1590</v>
      </c>
      <c r="H92" s="604">
        <v>1580</v>
      </c>
      <c r="I92" s="1356">
        <v>1596</v>
      </c>
      <c r="J92" s="1587">
        <v>1556</v>
      </c>
      <c r="K92" s="2430">
        <v>1497</v>
      </c>
    </row>
    <row r="93" spans="1:11" x14ac:dyDescent="0.25">
      <c r="A93" s="602" t="s">
        <v>228</v>
      </c>
      <c r="B93" s="603" t="s">
        <v>229</v>
      </c>
      <c r="C93" s="603" t="s">
        <v>268</v>
      </c>
      <c r="D93" s="604">
        <v>7185</v>
      </c>
      <c r="E93" s="604">
        <v>7265</v>
      </c>
      <c r="F93" s="604">
        <v>7354</v>
      </c>
      <c r="G93" s="604">
        <v>7538</v>
      </c>
      <c r="H93" s="604">
        <v>7460</v>
      </c>
      <c r="I93" s="1356">
        <v>7469</v>
      </c>
      <c r="J93" s="1587">
        <v>7527</v>
      </c>
      <c r="K93" s="2430">
        <v>7426</v>
      </c>
    </row>
    <row r="94" spans="1:11" x14ac:dyDescent="0.25">
      <c r="A94" s="602" t="s">
        <v>232</v>
      </c>
      <c r="B94" s="603" t="s">
        <v>233</v>
      </c>
      <c r="C94" s="603" t="s">
        <v>267</v>
      </c>
      <c r="D94" s="604">
        <v>3307</v>
      </c>
      <c r="E94" s="604">
        <v>3552</v>
      </c>
      <c r="F94" s="604">
        <v>3749</v>
      </c>
      <c r="G94" s="604">
        <v>3974</v>
      </c>
      <c r="H94" s="604">
        <v>4010</v>
      </c>
      <c r="I94" s="1356">
        <v>4164</v>
      </c>
      <c r="J94" s="1587">
        <v>4132</v>
      </c>
      <c r="K94" s="2430">
        <v>4033</v>
      </c>
    </row>
    <row r="95" spans="1:11" x14ac:dyDescent="0.25">
      <c r="A95" s="602" t="s">
        <v>234</v>
      </c>
      <c r="B95" s="603" t="s">
        <v>235</v>
      </c>
      <c r="C95" s="603" t="s">
        <v>268</v>
      </c>
      <c r="D95" s="604">
        <v>6570</v>
      </c>
      <c r="E95" s="604">
        <v>6762</v>
      </c>
      <c r="F95" s="604">
        <v>7025</v>
      </c>
      <c r="G95" s="604">
        <v>7350</v>
      </c>
      <c r="H95" s="604">
        <v>7409</v>
      </c>
      <c r="I95" s="1356">
        <v>7383</v>
      </c>
      <c r="J95" s="1587">
        <v>7113</v>
      </c>
      <c r="K95" s="2430">
        <v>6887</v>
      </c>
    </row>
    <row r="96" spans="1:11" x14ac:dyDescent="0.25">
      <c r="A96" s="602" t="s">
        <v>236</v>
      </c>
      <c r="B96" s="603" t="s">
        <v>237</v>
      </c>
      <c r="C96" s="603" t="s">
        <v>266</v>
      </c>
      <c r="D96" s="604">
        <v>2231</v>
      </c>
      <c r="E96" s="604">
        <v>2372</v>
      </c>
      <c r="F96" s="604">
        <v>2447</v>
      </c>
      <c r="G96" s="604">
        <v>2509</v>
      </c>
      <c r="H96" s="604">
        <v>2476</v>
      </c>
      <c r="I96" s="1356">
        <v>2580</v>
      </c>
      <c r="J96" s="1587">
        <v>2508</v>
      </c>
      <c r="K96" s="2430">
        <v>2465</v>
      </c>
    </row>
    <row r="97" spans="1:11" x14ac:dyDescent="0.25">
      <c r="A97" s="602" t="s">
        <v>242</v>
      </c>
      <c r="B97" s="603" t="s">
        <v>243</v>
      </c>
      <c r="C97" s="603" t="s">
        <v>268</v>
      </c>
      <c r="D97" s="604">
        <v>7743</v>
      </c>
      <c r="E97" s="604">
        <v>7822</v>
      </c>
      <c r="F97" s="604">
        <v>8027</v>
      </c>
      <c r="G97" s="604">
        <v>8285</v>
      </c>
      <c r="H97" s="604">
        <v>8240</v>
      </c>
      <c r="I97" s="1356">
        <v>8016</v>
      </c>
      <c r="J97" s="1587">
        <v>7607</v>
      </c>
      <c r="K97" s="2430">
        <v>7406</v>
      </c>
    </row>
    <row r="98" spans="1:11" x14ac:dyDescent="0.25">
      <c r="A98" s="602" t="s">
        <v>244</v>
      </c>
      <c r="B98" s="603" t="s">
        <v>245</v>
      </c>
      <c r="C98" s="603" t="s">
        <v>268</v>
      </c>
      <c r="D98" s="604">
        <v>4009</v>
      </c>
      <c r="E98" s="604">
        <v>4170</v>
      </c>
      <c r="F98" s="604">
        <v>4360</v>
      </c>
      <c r="G98" s="604">
        <v>4454</v>
      </c>
      <c r="H98" s="604">
        <v>4375</v>
      </c>
      <c r="I98" s="1356">
        <v>4359</v>
      </c>
      <c r="J98" s="1587">
        <v>4160</v>
      </c>
      <c r="K98" s="2430">
        <v>4074</v>
      </c>
    </row>
    <row r="99" spans="1:11" x14ac:dyDescent="0.25">
      <c r="A99" s="602" t="s">
        <v>246</v>
      </c>
      <c r="B99" s="603" t="s">
        <v>247</v>
      </c>
      <c r="C99" s="603" t="s">
        <v>264</v>
      </c>
      <c r="D99" s="604">
        <v>2659</v>
      </c>
      <c r="E99" s="604">
        <v>2963</v>
      </c>
      <c r="F99" s="604">
        <v>3166</v>
      </c>
      <c r="G99" s="604">
        <v>3265</v>
      </c>
      <c r="H99" s="604">
        <v>3276</v>
      </c>
      <c r="I99" s="1356">
        <v>3438</v>
      </c>
      <c r="J99" s="1587">
        <v>3377</v>
      </c>
      <c r="K99" s="2430">
        <v>3369</v>
      </c>
    </row>
    <row r="100" spans="1:11" x14ac:dyDescent="0.25">
      <c r="A100" s="602" t="s">
        <v>14</v>
      </c>
      <c r="B100" s="603" t="s">
        <v>15</v>
      </c>
      <c r="C100" s="603" t="s">
        <v>267</v>
      </c>
      <c r="D100" s="604">
        <v>9020</v>
      </c>
      <c r="E100" s="604">
        <v>9366</v>
      </c>
      <c r="F100" s="604">
        <v>9571</v>
      </c>
      <c r="G100" s="604">
        <v>10035</v>
      </c>
      <c r="H100" s="604">
        <v>10060</v>
      </c>
      <c r="I100" s="1356">
        <v>10921</v>
      </c>
      <c r="J100" s="1587">
        <v>11117</v>
      </c>
      <c r="K100" s="2430">
        <v>11795</v>
      </c>
    </row>
    <row r="101" spans="1:11" x14ac:dyDescent="0.25">
      <c r="A101" s="602" t="s">
        <v>34</v>
      </c>
      <c r="B101" s="603" t="s">
        <v>35</v>
      </c>
      <c r="C101" s="603" t="s">
        <v>268</v>
      </c>
      <c r="D101" s="604">
        <v>3384</v>
      </c>
      <c r="E101" s="604">
        <v>3518</v>
      </c>
      <c r="F101" s="604">
        <v>3655</v>
      </c>
      <c r="G101" s="604">
        <v>3873</v>
      </c>
      <c r="H101" s="604">
        <v>3680</v>
      </c>
      <c r="I101" s="1356">
        <v>3507</v>
      </c>
      <c r="J101" s="1587">
        <v>3323</v>
      </c>
      <c r="K101" s="2430">
        <v>3368</v>
      </c>
    </row>
    <row r="102" spans="1:11" x14ac:dyDescent="0.25">
      <c r="A102" s="602" t="s">
        <v>52</v>
      </c>
      <c r="B102" s="603" t="s">
        <v>53</v>
      </c>
      <c r="C102" s="603" t="s">
        <v>265</v>
      </c>
      <c r="D102" s="604">
        <v>4421</v>
      </c>
      <c r="E102" s="604">
        <v>4478</v>
      </c>
      <c r="F102" s="604">
        <v>4625</v>
      </c>
      <c r="G102" s="604">
        <v>4740</v>
      </c>
      <c r="H102" s="604">
        <v>4491</v>
      </c>
      <c r="I102" s="1356">
        <v>4493</v>
      </c>
      <c r="J102" s="1587">
        <v>4500</v>
      </c>
      <c r="K102" s="2430">
        <v>4365</v>
      </c>
    </row>
    <row r="103" spans="1:11" x14ac:dyDescent="0.25">
      <c r="A103" s="602" t="s">
        <v>54</v>
      </c>
      <c r="B103" s="603" t="s">
        <v>55</v>
      </c>
      <c r="C103" s="603" t="s">
        <v>264</v>
      </c>
      <c r="D103" s="604">
        <v>16177</v>
      </c>
      <c r="E103" s="604">
        <v>16927</v>
      </c>
      <c r="F103" s="604">
        <v>17786</v>
      </c>
      <c r="G103" s="604">
        <v>18620</v>
      </c>
      <c r="H103" s="604">
        <v>18933</v>
      </c>
      <c r="I103" s="1356">
        <v>19619</v>
      </c>
      <c r="J103" s="1587">
        <v>20092</v>
      </c>
      <c r="K103" s="2430">
        <v>21042</v>
      </c>
    </row>
    <row r="104" spans="1:11" x14ac:dyDescent="0.25">
      <c r="A104" s="602" t="s">
        <v>66</v>
      </c>
      <c r="B104" s="603" t="s">
        <v>67</v>
      </c>
      <c r="C104" s="603" t="s">
        <v>265</v>
      </c>
      <c r="D104" s="604">
        <v>8553</v>
      </c>
      <c r="E104" s="604">
        <v>8802</v>
      </c>
      <c r="F104" s="604">
        <v>9147</v>
      </c>
      <c r="G104" s="604">
        <v>9438</v>
      </c>
      <c r="H104" s="604">
        <v>9537</v>
      </c>
      <c r="I104" s="1356">
        <v>9683</v>
      </c>
      <c r="J104" s="1587">
        <v>9577</v>
      </c>
      <c r="K104" s="2430">
        <v>9926</v>
      </c>
    </row>
    <row r="105" spans="1:11" x14ac:dyDescent="0.25">
      <c r="A105" s="602" t="s">
        <v>82</v>
      </c>
      <c r="B105" s="603" t="s">
        <v>83</v>
      </c>
      <c r="C105" s="603" t="s">
        <v>264</v>
      </c>
      <c r="D105" s="604">
        <v>1645</v>
      </c>
      <c r="E105" s="604">
        <v>1766</v>
      </c>
      <c r="F105" s="604">
        <v>1877</v>
      </c>
      <c r="G105" s="604">
        <v>1935</v>
      </c>
      <c r="H105" s="604">
        <v>1919</v>
      </c>
      <c r="I105" s="1356">
        <v>1917</v>
      </c>
      <c r="J105" s="1587">
        <v>1872</v>
      </c>
      <c r="K105" s="2430">
        <v>1873</v>
      </c>
    </row>
    <row r="106" spans="1:11" x14ac:dyDescent="0.25">
      <c r="A106" s="602" t="s">
        <v>88</v>
      </c>
      <c r="B106" s="603" t="s">
        <v>89</v>
      </c>
      <c r="C106" s="603" t="s">
        <v>267</v>
      </c>
      <c r="D106" s="604">
        <v>2940</v>
      </c>
      <c r="E106" s="604">
        <v>3139</v>
      </c>
      <c r="F106" s="604">
        <v>3394</v>
      </c>
      <c r="G106" s="604">
        <v>3542</v>
      </c>
      <c r="H106" s="604">
        <v>3643</v>
      </c>
      <c r="I106" s="1356">
        <v>3803</v>
      </c>
      <c r="J106" s="1587">
        <v>3478</v>
      </c>
      <c r="K106" s="2430">
        <v>3556</v>
      </c>
    </row>
    <row r="107" spans="1:11" x14ac:dyDescent="0.25">
      <c r="A107" s="602" t="s">
        <v>90</v>
      </c>
      <c r="B107" s="603" t="s">
        <v>91</v>
      </c>
      <c r="C107" s="603" t="s">
        <v>268</v>
      </c>
      <c r="D107" s="604">
        <v>1624</v>
      </c>
      <c r="E107" s="604">
        <v>1595</v>
      </c>
      <c r="F107" s="604">
        <v>1605</v>
      </c>
      <c r="G107" s="604">
        <v>1607</v>
      </c>
      <c r="H107" s="604">
        <v>1648</v>
      </c>
      <c r="I107" s="1356">
        <v>1636</v>
      </c>
      <c r="J107" s="1587">
        <v>1538</v>
      </c>
      <c r="K107" s="2430">
        <v>1469</v>
      </c>
    </row>
    <row r="108" spans="1:11" x14ac:dyDescent="0.25">
      <c r="A108" s="602" t="s">
        <v>106</v>
      </c>
      <c r="B108" s="603" t="s">
        <v>107</v>
      </c>
      <c r="C108" s="603" t="s">
        <v>264</v>
      </c>
      <c r="D108" s="604">
        <v>13848</v>
      </c>
      <c r="E108" s="604">
        <v>14776</v>
      </c>
      <c r="F108" s="604">
        <v>15610</v>
      </c>
      <c r="G108" s="604">
        <v>16414</v>
      </c>
      <c r="H108" s="604">
        <v>16811</v>
      </c>
      <c r="I108" s="1356">
        <v>17596</v>
      </c>
      <c r="J108" s="1587">
        <v>16837</v>
      </c>
      <c r="K108" s="2430">
        <v>16529</v>
      </c>
    </row>
    <row r="109" spans="1:11" x14ac:dyDescent="0.25">
      <c r="A109" s="602" t="s">
        <v>116</v>
      </c>
      <c r="B109" s="603" t="s">
        <v>117</v>
      </c>
      <c r="C109" s="603" t="s">
        <v>266</v>
      </c>
      <c r="D109" s="604">
        <v>3784</v>
      </c>
      <c r="E109" s="604">
        <v>3948</v>
      </c>
      <c r="F109" s="604">
        <v>4156</v>
      </c>
      <c r="G109" s="604">
        <v>4351</v>
      </c>
      <c r="H109" s="604">
        <v>4447</v>
      </c>
      <c r="I109" s="1356">
        <v>4723</v>
      </c>
      <c r="J109" s="1587">
        <v>4595</v>
      </c>
      <c r="K109" s="2430">
        <v>4651</v>
      </c>
    </row>
    <row r="110" spans="1:11" x14ac:dyDescent="0.25">
      <c r="A110" s="602" t="s">
        <v>138</v>
      </c>
      <c r="B110" s="603" t="s">
        <v>139</v>
      </c>
      <c r="C110" s="603" t="s">
        <v>265</v>
      </c>
      <c r="D110" s="604">
        <v>9414</v>
      </c>
      <c r="E110" s="604">
        <v>9878</v>
      </c>
      <c r="F110" s="604">
        <v>10536</v>
      </c>
      <c r="G110" s="604">
        <v>10929</v>
      </c>
      <c r="H110" s="604">
        <v>11083</v>
      </c>
      <c r="I110" s="1356">
        <v>11419</v>
      </c>
      <c r="J110" s="1587">
        <v>10998</v>
      </c>
      <c r="K110" s="2430">
        <v>10165</v>
      </c>
    </row>
    <row r="111" spans="1:11" x14ac:dyDescent="0.25">
      <c r="A111" s="602" t="s">
        <v>142</v>
      </c>
      <c r="B111" s="603" t="s">
        <v>143</v>
      </c>
      <c r="C111" s="603" t="s">
        <v>267</v>
      </c>
      <c r="D111" s="604">
        <v>3609</v>
      </c>
      <c r="E111" s="604">
        <v>3750</v>
      </c>
      <c r="F111" s="604">
        <v>3878</v>
      </c>
      <c r="G111" s="604">
        <v>4054</v>
      </c>
      <c r="H111" s="604">
        <v>4215</v>
      </c>
      <c r="I111" s="1356">
        <v>4432</v>
      </c>
      <c r="J111" s="1587">
        <v>4411</v>
      </c>
      <c r="K111" s="2430">
        <v>4409</v>
      </c>
    </row>
    <row r="112" spans="1:11" x14ac:dyDescent="0.25">
      <c r="A112" s="602" t="s">
        <v>144</v>
      </c>
      <c r="B112" s="603" t="s">
        <v>145</v>
      </c>
      <c r="C112" s="603" t="s">
        <v>267</v>
      </c>
      <c r="D112" s="604">
        <v>1268</v>
      </c>
      <c r="E112" s="604">
        <v>1326</v>
      </c>
      <c r="F112" s="604">
        <v>1330</v>
      </c>
      <c r="G112" s="604">
        <v>1483</v>
      </c>
      <c r="H112" s="604">
        <v>1463</v>
      </c>
      <c r="I112" s="1356">
        <v>1630</v>
      </c>
      <c r="J112" s="1587">
        <v>1697</v>
      </c>
      <c r="K112" s="2430">
        <v>1722</v>
      </c>
    </row>
    <row r="113" spans="1:11" x14ac:dyDescent="0.25">
      <c r="A113" s="602" t="s">
        <v>158</v>
      </c>
      <c r="B113" s="603" t="s">
        <v>159</v>
      </c>
      <c r="C113" s="603" t="s">
        <v>264</v>
      </c>
      <c r="D113" s="604">
        <v>21664</v>
      </c>
      <c r="E113" s="604">
        <v>23031</v>
      </c>
      <c r="F113" s="604">
        <v>23970</v>
      </c>
      <c r="G113" s="604">
        <v>24797</v>
      </c>
      <c r="H113" s="604">
        <v>24423</v>
      </c>
      <c r="I113" s="1356">
        <v>25070</v>
      </c>
      <c r="J113" s="1587">
        <v>24951</v>
      </c>
      <c r="K113" s="2430">
        <v>26066</v>
      </c>
    </row>
    <row r="114" spans="1:11" x14ac:dyDescent="0.25">
      <c r="A114" s="602" t="s">
        <v>160</v>
      </c>
      <c r="B114" s="603" t="s">
        <v>161</v>
      </c>
      <c r="C114" s="603" t="s">
        <v>264</v>
      </c>
      <c r="D114" s="604">
        <v>28272</v>
      </c>
      <c r="E114" s="604">
        <v>29302</v>
      </c>
      <c r="F114" s="604">
        <v>30780</v>
      </c>
      <c r="G114" s="604">
        <v>31908</v>
      </c>
      <c r="H114" s="604">
        <v>32317</v>
      </c>
      <c r="I114" s="1356">
        <v>33638</v>
      </c>
      <c r="J114" s="1587">
        <v>32872</v>
      </c>
      <c r="K114" s="2430">
        <v>32643</v>
      </c>
    </row>
    <row r="115" spans="1:11" x14ac:dyDescent="0.25">
      <c r="A115" s="602" t="s">
        <v>166</v>
      </c>
      <c r="B115" s="603" t="s">
        <v>167</v>
      </c>
      <c r="C115" s="603" t="s">
        <v>268</v>
      </c>
      <c r="D115" s="604">
        <v>920</v>
      </c>
      <c r="E115" s="604">
        <v>930</v>
      </c>
      <c r="F115" s="604">
        <v>990</v>
      </c>
      <c r="G115" s="604">
        <v>989</v>
      </c>
      <c r="H115" s="604">
        <v>959</v>
      </c>
      <c r="I115" s="1356">
        <v>961</v>
      </c>
      <c r="J115" s="1587">
        <v>956</v>
      </c>
      <c r="K115" s="2430">
        <v>854</v>
      </c>
    </row>
    <row r="116" spans="1:11" x14ac:dyDescent="0.25">
      <c r="A116" s="602" t="s">
        <v>176</v>
      </c>
      <c r="B116" s="603" t="s">
        <v>177</v>
      </c>
      <c r="C116" s="603" t="s">
        <v>266</v>
      </c>
      <c r="D116" s="604">
        <v>7052</v>
      </c>
      <c r="E116" s="604">
        <v>7353</v>
      </c>
      <c r="F116" s="604">
        <v>7468</v>
      </c>
      <c r="G116" s="604">
        <v>7618</v>
      </c>
      <c r="H116" s="604">
        <v>7653</v>
      </c>
      <c r="I116" s="1356">
        <v>8060</v>
      </c>
      <c r="J116" s="1587">
        <v>8410</v>
      </c>
      <c r="K116" s="2430">
        <v>8619</v>
      </c>
    </row>
    <row r="117" spans="1:11" x14ac:dyDescent="0.25">
      <c r="A117" s="602" t="s">
        <v>180</v>
      </c>
      <c r="B117" s="603" t="s">
        <v>181</v>
      </c>
      <c r="C117" s="603" t="s">
        <v>264</v>
      </c>
      <c r="D117" s="604">
        <v>14305</v>
      </c>
      <c r="E117" s="604">
        <v>14946</v>
      </c>
      <c r="F117" s="604">
        <v>15807</v>
      </c>
      <c r="G117" s="604">
        <v>16198</v>
      </c>
      <c r="H117" s="604">
        <v>16466</v>
      </c>
      <c r="I117" s="1356">
        <v>17529</v>
      </c>
      <c r="J117" s="1587">
        <v>17051</v>
      </c>
      <c r="K117" s="2430">
        <v>16682</v>
      </c>
    </row>
    <row r="118" spans="1:11" x14ac:dyDescent="0.25">
      <c r="A118" s="602" t="s">
        <v>192</v>
      </c>
      <c r="B118" s="603" t="s">
        <v>193</v>
      </c>
      <c r="C118" s="603" t="s">
        <v>268</v>
      </c>
      <c r="D118" s="604">
        <v>1267</v>
      </c>
      <c r="E118" s="604">
        <v>1325</v>
      </c>
      <c r="F118" s="604">
        <v>1359</v>
      </c>
      <c r="G118" s="604">
        <v>1411</v>
      </c>
      <c r="H118" s="604">
        <v>1458</v>
      </c>
      <c r="I118" s="1356">
        <v>1461</v>
      </c>
      <c r="J118" s="1587">
        <v>1444</v>
      </c>
      <c r="K118" s="2430">
        <v>1283</v>
      </c>
    </row>
    <row r="119" spans="1:11" x14ac:dyDescent="0.25">
      <c r="A119" s="602" t="s">
        <v>196</v>
      </c>
      <c r="B119" s="603" t="s">
        <v>197</v>
      </c>
      <c r="C119" s="603" t="s">
        <v>266</v>
      </c>
      <c r="D119" s="604">
        <v>31339</v>
      </c>
      <c r="E119" s="604">
        <v>31886</v>
      </c>
      <c r="F119" s="604">
        <v>32304</v>
      </c>
      <c r="G119" s="604">
        <v>33203</v>
      </c>
      <c r="H119" s="604">
        <v>33286</v>
      </c>
      <c r="I119" s="1356">
        <v>35212</v>
      </c>
      <c r="J119" s="1587">
        <v>37433</v>
      </c>
      <c r="K119" s="2430">
        <v>35726</v>
      </c>
    </row>
    <row r="120" spans="1:11" x14ac:dyDescent="0.25">
      <c r="A120" s="602" t="s">
        <v>200</v>
      </c>
      <c r="B120" s="603" t="s">
        <v>201</v>
      </c>
      <c r="C120" s="603" t="s">
        <v>265</v>
      </c>
      <c r="D120" s="604">
        <v>16223</v>
      </c>
      <c r="E120" s="604">
        <v>16514</v>
      </c>
      <c r="F120" s="604">
        <v>17289</v>
      </c>
      <c r="G120" s="604">
        <v>17806</v>
      </c>
      <c r="H120" s="604">
        <v>17679</v>
      </c>
      <c r="I120" s="1356">
        <v>18126</v>
      </c>
      <c r="J120" s="1587">
        <v>18075</v>
      </c>
      <c r="K120" s="2430">
        <v>18605</v>
      </c>
    </row>
    <row r="121" spans="1:11" x14ac:dyDescent="0.25">
      <c r="A121" s="602" t="s">
        <v>222</v>
      </c>
      <c r="B121" s="603" t="s">
        <v>223</v>
      </c>
      <c r="C121" s="603" t="s">
        <v>264</v>
      </c>
      <c r="D121" s="604">
        <v>8833</v>
      </c>
      <c r="E121" s="604">
        <v>9349</v>
      </c>
      <c r="F121" s="604">
        <v>9674</v>
      </c>
      <c r="G121" s="604">
        <v>10010</v>
      </c>
      <c r="H121" s="604">
        <v>10010</v>
      </c>
      <c r="I121" s="1356">
        <v>10245</v>
      </c>
      <c r="J121" s="1587">
        <v>10118</v>
      </c>
      <c r="K121" s="2430">
        <v>9677</v>
      </c>
    </row>
    <row r="122" spans="1:11" x14ac:dyDescent="0.25">
      <c r="A122" s="602" t="s">
        <v>230</v>
      </c>
      <c r="B122" s="603" t="s">
        <v>231</v>
      </c>
      <c r="C122" s="603" t="s">
        <v>264</v>
      </c>
      <c r="D122" s="604">
        <v>26658</v>
      </c>
      <c r="E122" s="604">
        <v>27926</v>
      </c>
      <c r="F122" s="604">
        <v>29255</v>
      </c>
      <c r="G122" s="604">
        <v>30056</v>
      </c>
      <c r="H122" s="604">
        <v>29923</v>
      </c>
      <c r="I122" s="1356">
        <v>31926</v>
      </c>
      <c r="J122" s="1587">
        <v>31373</v>
      </c>
      <c r="K122" s="2430">
        <v>32153</v>
      </c>
    </row>
    <row r="123" spans="1:11" x14ac:dyDescent="0.25">
      <c r="A123" s="602" t="s">
        <v>238</v>
      </c>
      <c r="B123" s="603" t="s">
        <v>239</v>
      </c>
      <c r="C123" s="603" t="s">
        <v>264</v>
      </c>
      <c r="D123" s="604">
        <v>722</v>
      </c>
      <c r="E123" s="604">
        <v>821</v>
      </c>
      <c r="F123" s="604">
        <v>877</v>
      </c>
      <c r="G123" s="604">
        <v>924</v>
      </c>
      <c r="H123" s="604">
        <v>939</v>
      </c>
      <c r="I123" s="1356">
        <v>952</v>
      </c>
      <c r="J123" s="1587">
        <v>929</v>
      </c>
      <c r="K123" s="2430">
        <v>959</v>
      </c>
    </row>
    <row r="124" spans="1:11" x14ac:dyDescent="0.25">
      <c r="A124" s="528" t="s">
        <v>240</v>
      </c>
      <c r="B124" s="517" t="s">
        <v>241</v>
      </c>
      <c r="C124" s="517" t="s">
        <v>267</v>
      </c>
      <c r="D124" s="522">
        <v>3223</v>
      </c>
      <c r="E124" s="522">
        <v>3498</v>
      </c>
      <c r="F124" s="522">
        <v>3581</v>
      </c>
      <c r="G124" s="522">
        <v>3737</v>
      </c>
      <c r="H124" s="522">
        <v>3747</v>
      </c>
      <c r="I124" s="1357">
        <v>3908</v>
      </c>
      <c r="J124" s="1357">
        <v>4001</v>
      </c>
      <c r="K124" s="2431">
        <v>3930</v>
      </c>
    </row>
    <row r="126" spans="1:11" ht="33.75" customHeight="1" x14ac:dyDescent="0.25">
      <c r="A126" s="2737" t="s">
        <v>1434</v>
      </c>
      <c r="B126" s="2737"/>
      <c r="C126" s="2737"/>
      <c r="D126" s="2737"/>
      <c r="E126" s="2737"/>
      <c r="F126" s="2737"/>
      <c r="G126" s="2737"/>
      <c r="H126" s="2737"/>
      <c r="I126" s="1355"/>
      <c r="J126" s="1574"/>
      <c r="K126" s="2428"/>
    </row>
    <row r="128" spans="1:11" s="389" customFormat="1" x14ac:dyDescent="0.25">
      <c r="A128" s="389" t="s">
        <v>248</v>
      </c>
    </row>
    <row r="129" spans="1:3" s="389" customFormat="1" x14ac:dyDescent="0.25">
      <c r="A129" s="390" t="s">
        <v>249</v>
      </c>
      <c r="B129" s="391" t="s">
        <v>250</v>
      </c>
      <c r="C129" s="391"/>
    </row>
  </sheetData>
  <autoFilter ref="A3:C3"/>
  <sortState ref="A5:L124">
    <sortCondition ref="A5:A124"/>
  </sortState>
  <mergeCells count="1">
    <mergeCell ref="A126:H126"/>
  </mergeCells>
  <hyperlinks>
    <hyperlink ref="B129" r:id="rId1"/>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0"/>
  <sheetViews>
    <sheetView workbookViewId="0">
      <pane xSplit="3" ySplit="5" topLeftCell="K6" activePane="bottomRight" state="frozen"/>
      <selection pane="topRight" activeCell="D1" sqref="D1"/>
      <selection pane="bottomLeft" activeCell="A6" sqref="A6"/>
      <selection pane="bottomRight" activeCell="A5" sqref="A5:Q125"/>
    </sheetView>
  </sheetViews>
  <sheetFormatPr defaultRowHeight="12.75" customHeight="1" x14ac:dyDescent="0.25"/>
  <cols>
    <col min="1" max="1" width="9" style="505"/>
    <col min="2" max="2" width="33.375" style="505" customWidth="1"/>
    <col min="3" max="3" width="16.75" style="505" customWidth="1"/>
    <col min="4" max="15" width="8.875" style="505" customWidth="1"/>
    <col min="16" max="16" width="3.125" style="606" customWidth="1"/>
    <col min="17" max="17" width="14" style="505" customWidth="1"/>
    <col min="18" max="16384" width="9" style="505"/>
  </cols>
  <sheetData>
    <row r="1" spans="1:17" ht="12.75" customHeight="1" x14ac:dyDescent="0.25">
      <c r="A1" s="255" t="s">
        <v>1436</v>
      </c>
    </row>
    <row r="3" spans="1:17" ht="12.75" customHeight="1" x14ac:dyDescent="0.25">
      <c r="D3" s="2745" t="s">
        <v>851</v>
      </c>
      <c r="E3" s="2743"/>
      <c r="F3" s="2743"/>
      <c r="G3" s="2744"/>
      <c r="H3" s="2742" t="s">
        <v>852</v>
      </c>
      <c r="I3" s="2743"/>
      <c r="J3" s="2743"/>
      <c r="K3" s="2744"/>
      <c r="L3" s="2739" t="s">
        <v>853</v>
      </c>
      <c r="M3" s="2740"/>
      <c r="N3" s="2740"/>
      <c r="O3" s="2741"/>
      <c r="P3" s="2441"/>
      <c r="Q3" s="2451" t="s">
        <v>1442</v>
      </c>
    </row>
    <row r="4" spans="1:17" ht="15.75" x14ac:dyDescent="0.25">
      <c r="A4" s="510" t="s">
        <v>4</v>
      </c>
      <c r="B4" s="567" t="s">
        <v>5</v>
      </c>
      <c r="C4" s="1050" t="s">
        <v>251</v>
      </c>
      <c r="D4" s="1348" t="s">
        <v>1437</v>
      </c>
      <c r="E4" s="1055" t="s">
        <v>1438</v>
      </c>
      <c r="F4" s="1345" t="s">
        <v>1439</v>
      </c>
      <c r="G4" s="1543" t="s">
        <v>1440</v>
      </c>
      <c r="H4" s="1348" t="s">
        <v>1437</v>
      </c>
      <c r="I4" s="1055" t="s">
        <v>1438</v>
      </c>
      <c r="J4" s="1345" t="s">
        <v>1439</v>
      </c>
      <c r="K4" s="1543" t="s">
        <v>1440</v>
      </c>
      <c r="L4" s="1348" t="s">
        <v>1437</v>
      </c>
      <c r="M4" s="1545" t="s">
        <v>1438</v>
      </c>
      <c r="N4" s="2446" t="s">
        <v>1439</v>
      </c>
      <c r="O4" s="2442" t="s">
        <v>1440</v>
      </c>
      <c r="P4" s="2444"/>
      <c r="Q4" s="2265" t="s">
        <v>1433</v>
      </c>
    </row>
    <row r="5" spans="1:17" ht="15.75" x14ac:dyDescent="0.25">
      <c r="A5" s="599">
        <v>999</v>
      </c>
      <c r="B5" s="600" t="s">
        <v>9</v>
      </c>
      <c r="C5" s="1051"/>
      <c r="D5" s="1551">
        <f t="shared" ref="D5:F5" si="0">SUM(D6:D125)</f>
        <v>138038</v>
      </c>
      <c r="E5" s="1552">
        <f t="shared" si="0"/>
        <v>126005</v>
      </c>
      <c r="F5" s="1552">
        <f t="shared" si="0"/>
        <v>127481</v>
      </c>
      <c r="G5" s="1553">
        <f t="shared" ref="G5:K5" si="1">SUM(G6:G125)</f>
        <v>118920</v>
      </c>
      <c r="H5" s="1551">
        <f t="shared" si="1"/>
        <v>67179</v>
      </c>
      <c r="I5" s="1552">
        <f t="shared" si="1"/>
        <v>65969</v>
      </c>
      <c r="J5" s="1552">
        <f t="shared" si="1"/>
        <v>64339</v>
      </c>
      <c r="K5" s="1554">
        <f t="shared" si="1"/>
        <v>63479</v>
      </c>
      <c r="L5" s="1555">
        <f t="shared" ref="L5:O5" si="2">SUM(L6:L125)</f>
        <v>23112</v>
      </c>
      <c r="M5" s="1556">
        <f t="shared" si="2"/>
        <v>24305</v>
      </c>
      <c r="N5" s="1556">
        <f t="shared" si="2"/>
        <v>21910</v>
      </c>
      <c r="O5" s="2447">
        <f t="shared" si="2"/>
        <v>16370</v>
      </c>
      <c r="P5" s="2445"/>
      <c r="Q5" s="2439"/>
    </row>
    <row r="6" spans="1:17" ht="15.75" x14ac:dyDescent="0.25">
      <c r="A6" s="512" t="s">
        <v>10</v>
      </c>
      <c r="B6" s="569" t="s">
        <v>11</v>
      </c>
      <c r="C6" s="1052" t="s">
        <v>264</v>
      </c>
      <c r="D6" s="1349">
        <v>1949</v>
      </c>
      <c r="E6" s="1350">
        <v>1818</v>
      </c>
      <c r="F6" s="1346">
        <v>1821</v>
      </c>
      <c r="G6" s="1334">
        <v>1680</v>
      </c>
      <c r="H6" s="1349">
        <v>593</v>
      </c>
      <c r="I6" s="1350">
        <v>659</v>
      </c>
      <c r="J6" s="1351">
        <v>586</v>
      </c>
      <c r="K6" s="1334">
        <v>528</v>
      </c>
      <c r="L6" s="2448">
        <v>831</v>
      </c>
      <c r="M6" s="2449">
        <v>883</v>
      </c>
      <c r="N6" s="2449">
        <v>819</v>
      </c>
      <c r="O6" s="2249">
        <v>582</v>
      </c>
      <c r="P6" s="2443"/>
      <c r="Q6" s="2266">
        <v>610</v>
      </c>
    </row>
    <row r="7" spans="1:17" ht="15.75" x14ac:dyDescent="0.25">
      <c r="A7" s="513" t="s">
        <v>12</v>
      </c>
      <c r="B7" s="603" t="s">
        <v>13</v>
      </c>
      <c r="C7" s="1053" t="s">
        <v>265</v>
      </c>
      <c r="D7" s="1349">
        <v>1072</v>
      </c>
      <c r="E7" s="1350">
        <v>893</v>
      </c>
      <c r="F7" s="1346">
        <v>896</v>
      </c>
      <c r="G7" s="1334">
        <v>832</v>
      </c>
      <c r="H7" s="1349">
        <v>522</v>
      </c>
      <c r="I7" s="1350">
        <v>434</v>
      </c>
      <c r="J7" s="1351">
        <v>453</v>
      </c>
      <c r="K7" s="1334">
        <v>451</v>
      </c>
      <c r="L7" s="2448">
        <v>136</v>
      </c>
      <c r="M7" s="2449">
        <v>159</v>
      </c>
      <c r="N7" s="2449">
        <v>158</v>
      </c>
      <c r="O7" s="2249">
        <v>105</v>
      </c>
      <c r="P7" s="2443"/>
      <c r="Q7" s="2266">
        <v>436</v>
      </c>
    </row>
    <row r="8" spans="1:17" ht="15.75" x14ac:dyDescent="0.25">
      <c r="A8" s="513" t="s">
        <v>16</v>
      </c>
      <c r="B8" s="603" t="s">
        <v>297</v>
      </c>
      <c r="C8" s="1053" t="s">
        <v>265</v>
      </c>
      <c r="D8" s="1349">
        <v>1078</v>
      </c>
      <c r="E8" s="1350">
        <v>990</v>
      </c>
      <c r="F8" s="1346">
        <v>1023</v>
      </c>
      <c r="G8" s="1334">
        <v>937</v>
      </c>
      <c r="H8" s="1349">
        <v>534</v>
      </c>
      <c r="I8" s="1350">
        <v>597</v>
      </c>
      <c r="J8" s="1351">
        <v>627</v>
      </c>
      <c r="K8" s="1334">
        <v>623</v>
      </c>
      <c r="L8" s="2448">
        <v>106</v>
      </c>
      <c r="M8" s="2449">
        <v>128</v>
      </c>
      <c r="N8" s="2449">
        <v>128</v>
      </c>
      <c r="O8" s="2249">
        <v>98</v>
      </c>
      <c r="P8" s="2443"/>
      <c r="Q8" s="2266">
        <v>618</v>
      </c>
    </row>
    <row r="9" spans="1:17" ht="15.75" x14ac:dyDescent="0.25">
      <c r="A9" s="513" t="s">
        <v>18</v>
      </c>
      <c r="B9" s="603" t="s">
        <v>19</v>
      </c>
      <c r="C9" s="1053" t="s">
        <v>266</v>
      </c>
      <c r="D9" s="1349">
        <v>362</v>
      </c>
      <c r="E9" s="1350">
        <v>318</v>
      </c>
      <c r="F9" s="1346">
        <v>328</v>
      </c>
      <c r="G9" s="1334">
        <v>277</v>
      </c>
      <c r="H9" s="1349">
        <v>137</v>
      </c>
      <c r="I9" s="1350">
        <v>133</v>
      </c>
      <c r="J9" s="1351">
        <v>114</v>
      </c>
      <c r="K9" s="1334">
        <v>115</v>
      </c>
      <c r="L9" s="2448">
        <v>74</v>
      </c>
      <c r="M9" s="2449">
        <v>97</v>
      </c>
      <c r="N9" s="2449">
        <v>76</v>
      </c>
      <c r="O9" s="2249">
        <v>55</v>
      </c>
      <c r="P9" s="2443"/>
      <c r="Q9" s="2266">
        <v>134</v>
      </c>
    </row>
    <row r="10" spans="1:17" ht="15.75" x14ac:dyDescent="0.25">
      <c r="A10" s="513" t="s">
        <v>20</v>
      </c>
      <c r="B10" s="603" t="s">
        <v>21</v>
      </c>
      <c r="C10" s="1053" t="s">
        <v>265</v>
      </c>
      <c r="D10" s="1349">
        <v>987</v>
      </c>
      <c r="E10" s="1350">
        <v>860</v>
      </c>
      <c r="F10" s="1346">
        <v>834</v>
      </c>
      <c r="G10" s="1334">
        <v>804</v>
      </c>
      <c r="H10" s="1349">
        <v>509</v>
      </c>
      <c r="I10" s="1350">
        <v>469</v>
      </c>
      <c r="J10" s="1351">
        <v>469</v>
      </c>
      <c r="K10" s="1334">
        <v>441</v>
      </c>
      <c r="L10" s="2448">
        <v>231</v>
      </c>
      <c r="M10" s="2449">
        <v>235</v>
      </c>
      <c r="N10" s="2449">
        <v>221</v>
      </c>
      <c r="O10" s="2249">
        <v>151</v>
      </c>
      <c r="P10" s="2443"/>
      <c r="Q10" s="2266">
        <v>446</v>
      </c>
    </row>
    <row r="11" spans="1:17" ht="15.75" x14ac:dyDescent="0.25">
      <c r="A11" s="513" t="s">
        <v>22</v>
      </c>
      <c r="B11" s="603" t="s">
        <v>23</v>
      </c>
      <c r="C11" s="1053" t="s">
        <v>265</v>
      </c>
      <c r="D11" s="1349">
        <v>629</v>
      </c>
      <c r="E11" s="1350">
        <v>586</v>
      </c>
      <c r="F11" s="1346">
        <v>598</v>
      </c>
      <c r="G11" s="1334">
        <v>558</v>
      </c>
      <c r="H11" s="1349">
        <v>319</v>
      </c>
      <c r="I11" s="1350">
        <v>322</v>
      </c>
      <c r="J11" s="1351">
        <v>314</v>
      </c>
      <c r="K11" s="1334">
        <v>278</v>
      </c>
      <c r="L11" s="2448">
        <v>165</v>
      </c>
      <c r="M11" s="2449">
        <v>164</v>
      </c>
      <c r="N11" s="2449">
        <v>139</v>
      </c>
      <c r="O11" s="2249">
        <v>104</v>
      </c>
      <c r="P11" s="2443"/>
      <c r="Q11" s="2266">
        <v>326</v>
      </c>
    </row>
    <row r="12" spans="1:17" ht="15.75" x14ac:dyDescent="0.25">
      <c r="A12" s="513" t="s">
        <v>24</v>
      </c>
      <c r="B12" s="603" t="s">
        <v>25</v>
      </c>
      <c r="C12" s="1053" t="s">
        <v>267</v>
      </c>
      <c r="D12" s="1349">
        <v>667</v>
      </c>
      <c r="E12" s="1350">
        <v>644</v>
      </c>
      <c r="F12" s="1346">
        <v>769</v>
      </c>
      <c r="G12" s="1334">
        <v>787</v>
      </c>
      <c r="H12" s="1349">
        <v>623</v>
      </c>
      <c r="I12" s="1350">
        <v>621</v>
      </c>
      <c r="J12" s="1351">
        <v>690</v>
      </c>
      <c r="K12" s="1334">
        <v>713</v>
      </c>
      <c r="L12" s="2448">
        <v>15</v>
      </c>
      <c r="M12" s="2449">
        <v>50</v>
      </c>
      <c r="N12" s="2449">
        <v>46</v>
      </c>
      <c r="O12" s="2249">
        <v>43</v>
      </c>
      <c r="P12" s="2443"/>
      <c r="Q12" s="2266">
        <v>775</v>
      </c>
    </row>
    <row r="13" spans="1:17" ht="15.75" x14ac:dyDescent="0.25">
      <c r="A13" s="513" t="s">
        <v>26</v>
      </c>
      <c r="B13" s="603" t="s">
        <v>685</v>
      </c>
      <c r="C13" s="1053" t="s">
        <v>265</v>
      </c>
      <c r="D13" s="1349">
        <v>2705</v>
      </c>
      <c r="E13" s="1350">
        <v>2411</v>
      </c>
      <c r="F13" s="1346">
        <v>2335</v>
      </c>
      <c r="G13" s="1334">
        <v>2258</v>
      </c>
      <c r="H13" s="1349">
        <v>1287</v>
      </c>
      <c r="I13" s="1350">
        <v>1280</v>
      </c>
      <c r="J13" s="1351">
        <v>1244</v>
      </c>
      <c r="K13" s="1334">
        <v>1250</v>
      </c>
      <c r="L13" s="2448">
        <v>386</v>
      </c>
      <c r="M13" s="2449">
        <v>375</v>
      </c>
      <c r="N13" s="2449">
        <v>366</v>
      </c>
      <c r="O13" s="2249">
        <v>307</v>
      </c>
      <c r="P13" s="2443"/>
      <c r="Q13" s="2266">
        <v>1355</v>
      </c>
    </row>
    <row r="14" spans="1:17" ht="15.75" x14ac:dyDescent="0.25">
      <c r="A14" s="513" t="s">
        <v>27</v>
      </c>
      <c r="B14" s="603" t="s">
        <v>28</v>
      </c>
      <c r="C14" s="1053" t="s">
        <v>265</v>
      </c>
      <c r="D14" s="1349">
        <v>143</v>
      </c>
      <c r="E14" s="1350">
        <v>137</v>
      </c>
      <c r="F14" s="1346">
        <v>142</v>
      </c>
      <c r="G14" s="1334">
        <v>119</v>
      </c>
      <c r="H14" s="1349">
        <v>46</v>
      </c>
      <c r="I14" s="1350">
        <v>41</v>
      </c>
      <c r="J14" s="1351">
        <v>47</v>
      </c>
      <c r="K14" s="1334">
        <v>31</v>
      </c>
      <c r="L14" s="2448">
        <v>9</v>
      </c>
      <c r="M14" s="2449">
        <v>12</v>
      </c>
      <c r="N14" s="2449">
        <v>13</v>
      </c>
      <c r="O14" s="2249">
        <v>11</v>
      </c>
      <c r="P14" s="2443"/>
      <c r="Q14" s="2266">
        <v>31</v>
      </c>
    </row>
    <row r="15" spans="1:17" ht="15.75" x14ac:dyDescent="0.25">
      <c r="A15" s="513" t="s">
        <v>29</v>
      </c>
      <c r="B15" s="603" t="s">
        <v>901</v>
      </c>
      <c r="C15" s="1053" t="s">
        <v>265</v>
      </c>
      <c r="D15" s="1349">
        <v>1279</v>
      </c>
      <c r="E15" s="1350">
        <v>1156</v>
      </c>
      <c r="F15" s="1346">
        <v>1183</v>
      </c>
      <c r="G15" s="1334">
        <v>1159</v>
      </c>
      <c r="H15" s="1349">
        <v>494</v>
      </c>
      <c r="I15" s="1350">
        <v>505</v>
      </c>
      <c r="J15" s="1351">
        <v>517</v>
      </c>
      <c r="K15" s="1334">
        <v>554</v>
      </c>
      <c r="L15" s="2448">
        <v>179</v>
      </c>
      <c r="M15" s="2449">
        <v>186</v>
      </c>
      <c r="N15" s="2449">
        <v>196</v>
      </c>
      <c r="O15" s="2249">
        <v>172</v>
      </c>
      <c r="P15" s="2443"/>
      <c r="Q15" s="2266">
        <v>566</v>
      </c>
    </row>
    <row r="16" spans="1:17" ht="15.75" x14ac:dyDescent="0.25">
      <c r="A16" s="513" t="s">
        <v>30</v>
      </c>
      <c r="B16" s="603" t="s">
        <v>31</v>
      </c>
      <c r="C16" s="1053" t="s">
        <v>268</v>
      </c>
      <c r="D16" s="1349">
        <v>193</v>
      </c>
      <c r="E16" s="1350">
        <v>194</v>
      </c>
      <c r="F16" s="1346">
        <v>199</v>
      </c>
      <c r="G16" s="1334">
        <v>182</v>
      </c>
      <c r="H16" s="1349">
        <v>82</v>
      </c>
      <c r="I16" s="1350">
        <v>64</v>
      </c>
      <c r="J16" s="1351">
        <v>65</v>
      </c>
      <c r="K16" s="1334">
        <v>37</v>
      </c>
      <c r="L16" s="2448">
        <v>42</v>
      </c>
      <c r="M16" s="2449">
        <v>41</v>
      </c>
      <c r="N16" s="2449">
        <v>34</v>
      </c>
      <c r="O16" s="2249">
        <v>21</v>
      </c>
      <c r="P16" s="2443"/>
      <c r="Q16" s="2266">
        <v>54</v>
      </c>
    </row>
    <row r="17" spans="1:17" ht="15.75" x14ac:dyDescent="0.25">
      <c r="A17" s="513" t="s">
        <v>32</v>
      </c>
      <c r="B17" s="603" t="s">
        <v>33</v>
      </c>
      <c r="C17" s="1053" t="s">
        <v>265</v>
      </c>
      <c r="D17" s="1349">
        <v>314</v>
      </c>
      <c r="E17" s="1350">
        <v>308</v>
      </c>
      <c r="F17" s="1346">
        <v>319</v>
      </c>
      <c r="G17" s="1334">
        <v>278</v>
      </c>
      <c r="H17" s="1349">
        <v>116</v>
      </c>
      <c r="I17" s="1350">
        <v>114</v>
      </c>
      <c r="J17" s="1351">
        <v>114</v>
      </c>
      <c r="K17" s="1334">
        <v>112</v>
      </c>
      <c r="L17" s="2448">
        <v>71</v>
      </c>
      <c r="M17" s="2449">
        <v>84</v>
      </c>
      <c r="N17" s="2449">
        <v>82</v>
      </c>
      <c r="O17" s="2249">
        <v>40</v>
      </c>
      <c r="P17" s="2443"/>
      <c r="Q17" s="2266">
        <v>103</v>
      </c>
    </row>
    <row r="18" spans="1:17" ht="15.75" x14ac:dyDescent="0.25">
      <c r="A18" s="513" t="s">
        <v>36</v>
      </c>
      <c r="B18" s="603" t="s">
        <v>37</v>
      </c>
      <c r="C18" s="1053" t="s">
        <v>264</v>
      </c>
      <c r="D18" s="1349">
        <v>1178</v>
      </c>
      <c r="E18" s="1350">
        <v>1128</v>
      </c>
      <c r="F18" s="1346">
        <v>1101</v>
      </c>
      <c r="G18" s="1334">
        <v>1047</v>
      </c>
      <c r="H18" s="1349">
        <v>591</v>
      </c>
      <c r="I18" s="1350">
        <v>591</v>
      </c>
      <c r="J18" s="1351">
        <v>609</v>
      </c>
      <c r="K18" s="1334">
        <v>598</v>
      </c>
      <c r="L18" s="2448">
        <v>316</v>
      </c>
      <c r="M18" s="2449">
        <v>294</v>
      </c>
      <c r="N18" s="2449">
        <v>270</v>
      </c>
      <c r="O18" s="2249">
        <v>218</v>
      </c>
      <c r="P18" s="2443"/>
      <c r="Q18" s="2266">
        <v>582</v>
      </c>
    </row>
    <row r="19" spans="1:17" ht="15.75" x14ac:dyDescent="0.25">
      <c r="A19" s="513" t="s">
        <v>38</v>
      </c>
      <c r="B19" s="603" t="s">
        <v>39</v>
      </c>
      <c r="C19" s="1053" t="s">
        <v>268</v>
      </c>
      <c r="D19" s="1349">
        <v>1929</v>
      </c>
      <c r="E19" s="1350">
        <v>1895</v>
      </c>
      <c r="F19" s="1346">
        <v>1903</v>
      </c>
      <c r="G19" s="1334">
        <v>1917</v>
      </c>
      <c r="H19" s="1349">
        <v>959</v>
      </c>
      <c r="I19" s="1350">
        <v>955</v>
      </c>
      <c r="J19" s="1351">
        <v>1005</v>
      </c>
      <c r="K19" s="1334">
        <v>1084</v>
      </c>
      <c r="L19" s="2448">
        <v>545</v>
      </c>
      <c r="M19" s="2449">
        <v>541</v>
      </c>
      <c r="N19" s="2449">
        <v>640</v>
      </c>
      <c r="O19" s="2249">
        <v>592</v>
      </c>
      <c r="P19" s="2443"/>
      <c r="Q19" s="2266">
        <v>1046</v>
      </c>
    </row>
    <row r="20" spans="1:17" ht="15.75" x14ac:dyDescent="0.25">
      <c r="A20" s="513" t="s">
        <v>40</v>
      </c>
      <c r="B20" s="603" t="s">
        <v>41</v>
      </c>
      <c r="C20" s="1053" t="s">
        <v>266</v>
      </c>
      <c r="D20" s="1349">
        <v>830</v>
      </c>
      <c r="E20" s="1350">
        <v>740</v>
      </c>
      <c r="F20" s="1346">
        <v>738</v>
      </c>
      <c r="G20" s="1334">
        <v>716</v>
      </c>
      <c r="H20" s="1349">
        <v>378</v>
      </c>
      <c r="I20" s="1350">
        <v>337</v>
      </c>
      <c r="J20" s="1351">
        <v>333</v>
      </c>
      <c r="K20" s="1334">
        <v>329</v>
      </c>
      <c r="L20" s="2448">
        <v>150</v>
      </c>
      <c r="M20" s="2449">
        <v>157</v>
      </c>
      <c r="N20" s="2449">
        <v>137</v>
      </c>
      <c r="O20" s="2249">
        <v>101</v>
      </c>
      <c r="P20" s="2443"/>
      <c r="Q20" s="2266">
        <v>344</v>
      </c>
    </row>
    <row r="21" spans="1:17" ht="15.75" x14ac:dyDescent="0.25">
      <c r="A21" s="513" t="s">
        <v>42</v>
      </c>
      <c r="B21" s="603" t="s">
        <v>43</v>
      </c>
      <c r="C21" s="1053" t="s">
        <v>265</v>
      </c>
      <c r="D21" s="1349">
        <v>1841</v>
      </c>
      <c r="E21" s="1350">
        <v>1684</v>
      </c>
      <c r="F21" s="1346">
        <v>1746</v>
      </c>
      <c r="G21" s="1334">
        <v>1656</v>
      </c>
      <c r="H21" s="1349">
        <v>882</v>
      </c>
      <c r="I21" s="1350">
        <v>864</v>
      </c>
      <c r="J21" s="1351">
        <v>847</v>
      </c>
      <c r="K21" s="1334">
        <v>827</v>
      </c>
      <c r="L21" s="2448">
        <v>516</v>
      </c>
      <c r="M21" s="2449">
        <v>521</v>
      </c>
      <c r="N21" s="2449">
        <v>490</v>
      </c>
      <c r="O21" s="2249">
        <v>350</v>
      </c>
      <c r="P21" s="2443"/>
      <c r="Q21" s="2266">
        <v>844</v>
      </c>
    </row>
    <row r="22" spans="1:17" ht="15.75" x14ac:dyDescent="0.25">
      <c r="A22" s="513" t="s">
        <v>44</v>
      </c>
      <c r="B22" s="603" t="s">
        <v>45</v>
      </c>
      <c r="C22" s="1053" t="s">
        <v>266</v>
      </c>
      <c r="D22" s="1349">
        <v>513</v>
      </c>
      <c r="E22" s="1350">
        <v>500</v>
      </c>
      <c r="F22" s="1346">
        <v>530</v>
      </c>
      <c r="G22" s="1334">
        <v>498</v>
      </c>
      <c r="H22" s="1349">
        <v>117</v>
      </c>
      <c r="I22" s="1350">
        <v>134</v>
      </c>
      <c r="J22" s="1351">
        <v>156</v>
      </c>
      <c r="K22" s="1334">
        <v>154</v>
      </c>
      <c r="L22" s="2448">
        <v>131</v>
      </c>
      <c r="M22" s="2449">
        <v>129</v>
      </c>
      <c r="N22" s="2449">
        <v>118</v>
      </c>
      <c r="O22" s="2249">
        <v>87</v>
      </c>
      <c r="P22" s="2443"/>
      <c r="Q22" s="2266">
        <v>188</v>
      </c>
    </row>
    <row r="23" spans="1:17" ht="15.75" x14ac:dyDescent="0.25">
      <c r="A23" s="513" t="s">
        <v>46</v>
      </c>
      <c r="B23" s="603" t="s">
        <v>47</v>
      </c>
      <c r="C23" s="1053" t="s">
        <v>268</v>
      </c>
      <c r="D23" s="1349">
        <v>1797</v>
      </c>
      <c r="E23" s="1350">
        <v>1694</v>
      </c>
      <c r="F23" s="1346">
        <v>1657</v>
      </c>
      <c r="G23" s="1334">
        <v>1486</v>
      </c>
      <c r="H23" s="1349">
        <v>685</v>
      </c>
      <c r="I23" s="1350">
        <v>666</v>
      </c>
      <c r="J23" s="1351">
        <v>706</v>
      </c>
      <c r="K23" s="1334">
        <v>651</v>
      </c>
      <c r="L23" s="2448">
        <v>229</v>
      </c>
      <c r="M23" s="2449">
        <v>198</v>
      </c>
      <c r="N23" s="2449">
        <v>175</v>
      </c>
      <c r="O23" s="2249">
        <v>116</v>
      </c>
      <c r="P23" s="2443"/>
      <c r="Q23" s="2266">
        <v>659</v>
      </c>
    </row>
    <row r="24" spans="1:17" ht="15.75" x14ac:dyDescent="0.25">
      <c r="A24" s="513" t="s">
        <v>48</v>
      </c>
      <c r="B24" s="603" t="s">
        <v>269</v>
      </c>
      <c r="C24" s="1053" t="s">
        <v>266</v>
      </c>
      <c r="D24" s="1349">
        <v>246</v>
      </c>
      <c r="E24" s="1350">
        <v>212</v>
      </c>
      <c r="F24" s="1346">
        <v>216</v>
      </c>
      <c r="G24" s="1334">
        <v>207</v>
      </c>
      <c r="H24" s="1349">
        <v>71</v>
      </c>
      <c r="I24" s="1350">
        <v>87</v>
      </c>
      <c r="J24" s="1351">
        <v>88</v>
      </c>
      <c r="K24" s="1334">
        <v>82</v>
      </c>
      <c r="L24" s="2448">
        <v>36</v>
      </c>
      <c r="M24" s="2449">
        <v>70</v>
      </c>
      <c r="N24" s="2449">
        <v>61</v>
      </c>
      <c r="O24" s="2249">
        <v>32</v>
      </c>
      <c r="P24" s="2443"/>
      <c r="Q24" s="2266">
        <v>78</v>
      </c>
    </row>
    <row r="25" spans="1:17" ht="15.75" x14ac:dyDescent="0.25">
      <c r="A25" s="513" t="s">
        <v>50</v>
      </c>
      <c r="B25" s="603" t="s">
        <v>51</v>
      </c>
      <c r="C25" s="1053" t="s">
        <v>265</v>
      </c>
      <c r="D25" s="1349">
        <v>710</v>
      </c>
      <c r="E25" s="1350">
        <v>652</v>
      </c>
      <c r="F25" s="1346">
        <v>703</v>
      </c>
      <c r="G25" s="1334">
        <v>648</v>
      </c>
      <c r="H25" s="1349">
        <v>331</v>
      </c>
      <c r="I25" s="1350">
        <v>346</v>
      </c>
      <c r="J25" s="1351">
        <v>344</v>
      </c>
      <c r="K25" s="1334">
        <v>335</v>
      </c>
      <c r="L25" s="2448">
        <v>117</v>
      </c>
      <c r="M25" s="2449">
        <v>153</v>
      </c>
      <c r="N25" s="2449">
        <v>133</v>
      </c>
      <c r="O25" s="2249">
        <v>92</v>
      </c>
      <c r="P25" s="2443"/>
      <c r="Q25" s="2266">
        <v>343</v>
      </c>
    </row>
    <row r="26" spans="1:17" ht="15.75" x14ac:dyDescent="0.25">
      <c r="A26" s="513" t="s">
        <v>56</v>
      </c>
      <c r="B26" s="603" t="s">
        <v>295</v>
      </c>
      <c r="C26" s="1053" t="s">
        <v>266</v>
      </c>
      <c r="D26" s="1349">
        <v>2554</v>
      </c>
      <c r="E26" s="1350">
        <v>2275</v>
      </c>
      <c r="F26" s="1346">
        <v>2235</v>
      </c>
      <c r="G26" s="1334">
        <v>1995</v>
      </c>
      <c r="H26" s="1349">
        <v>1352</v>
      </c>
      <c r="I26" s="1350">
        <v>1176</v>
      </c>
      <c r="J26" s="1351">
        <v>1129</v>
      </c>
      <c r="K26" s="1334">
        <v>1159</v>
      </c>
      <c r="L26" s="2448">
        <v>327</v>
      </c>
      <c r="M26" s="2449">
        <v>232</v>
      </c>
      <c r="N26" s="2449">
        <v>288</v>
      </c>
      <c r="O26" s="2249">
        <v>198</v>
      </c>
      <c r="P26" s="2443"/>
      <c r="Q26" s="2266">
        <v>1211</v>
      </c>
    </row>
    <row r="27" spans="1:17" ht="15.75" x14ac:dyDescent="0.25">
      <c r="A27" s="513" t="s">
        <v>58</v>
      </c>
      <c r="B27" s="603" t="s">
        <v>59</v>
      </c>
      <c r="C27" s="1053" t="s">
        <v>267</v>
      </c>
      <c r="D27" s="1349">
        <v>104</v>
      </c>
      <c r="E27" s="1350">
        <v>101</v>
      </c>
      <c r="F27" s="1346">
        <v>95</v>
      </c>
      <c r="G27" s="1334">
        <v>90</v>
      </c>
      <c r="H27" s="1349">
        <v>52</v>
      </c>
      <c r="I27" s="1350">
        <v>43</v>
      </c>
      <c r="J27" s="1351">
        <v>42</v>
      </c>
      <c r="K27" s="1334">
        <v>38</v>
      </c>
      <c r="L27" s="2448">
        <v>11</v>
      </c>
      <c r="M27" s="2449">
        <v>15</v>
      </c>
      <c r="N27" s="2449">
        <v>13</v>
      </c>
      <c r="O27" s="2249">
        <v>8</v>
      </c>
      <c r="P27" s="2443"/>
      <c r="Q27" s="2266">
        <v>45</v>
      </c>
    </row>
    <row r="28" spans="1:17" ht="15.75" x14ac:dyDescent="0.25">
      <c r="A28" s="513" t="s">
        <v>60</v>
      </c>
      <c r="B28" s="603" t="s">
        <v>61</v>
      </c>
      <c r="C28" s="1053" t="s">
        <v>265</v>
      </c>
      <c r="D28" s="1349">
        <v>207</v>
      </c>
      <c r="E28" s="1350">
        <v>175</v>
      </c>
      <c r="F28" s="1346">
        <v>190</v>
      </c>
      <c r="G28" s="1334">
        <v>169</v>
      </c>
      <c r="H28" s="1349">
        <v>106</v>
      </c>
      <c r="I28" s="1350">
        <v>100</v>
      </c>
      <c r="J28" s="1351">
        <v>106</v>
      </c>
      <c r="K28" s="1334">
        <v>105</v>
      </c>
      <c r="L28" s="2448">
        <v>41</v>
      </c>
      <c r="M28" s="2449">
        <v>30</v>
      </c>
      <c r="N28" s="2449">
        <v>25</v>
      </c>
      <c r="O28" s="2249">
        <v>35</v>
      </c>
      <c r="P28" s="2443"/>
      <c r="Q28" s="2266">
        <v>94</v>
      </c>
    </row>
    <row r="29" spans="1:17" ht="15.75" x14ac:dyDescent="0.25">
      <c r="A29" s="513" t="s">
        <v>62</v>
      </c>
      <c r="B29" s="603" t="s">
        <v>63</v>
      </c>
      <c r="C29" s="1053" t="s">
        <v>267</v>
      </c>
      <c r="D29" s="1349">
        <v>687</v>
      </c>
      <c r="E29" s="1350">
        <v>600</v>
      </c>
      <c r="F29" s="1346">
        <v>621</v>
      </c>
      <c r="G29" s="1334">
        <v>578</v>
      </c>
      <c r="H29" s="1349">
        <v>357</v>
      </c>
      <c r="I29" s="1350">
        <v>324</v>
      </c>
      <c r="J29" s="1351">
        <v>325</v>
      </c>
      <c r="K29" s="1334">
        <v>339</v>
      </c>
      <c r="L29" s="2448">
        <v>134</v>
      </c>
      <c r="M29" s="2449">
        <v>122</v>
      </c>
      <c r="N29" s="2449">
        <v>84</v>
      </c>
      <c r="O29" s="2249">
        <v>61</v>
      </c>
      <c r="P29" s="2443"/>
      <c r="Q29" s="2266">
        <v>363</v>
      </c>
    </row>
    <row r="30" spans="1:17" ht="15.75" x14ac:dyDescent="0.25">
      <c r="A30" s="513" t="s">
        <v>64</v>
      </c>
      <c r="B30" s="603" t="s">
        <v>65</v>
      </c>
      <c r="C30" s="1053" t="s">
        <v>266</v>
      </c>
      <c r="D30" s="1349">
        <v>460</v>
      </c>
      <c r="E30" s="1350">
        <v>416</v>
      </c>
      <c r="F30" s="1346">
        <v>413</v>
      </c>
      <c r="G30" s="1334">
        <v>384</v>
      </c>
      <c r="H30" s="1349">
        <v>203</v>
      </c>
      <c r="I30" s="1350">
        <v>166</v>
      </c>
      <c r="J30" s="1351">
        <v>186</v>
      </c>
      <c r="K30" s="1334">
        <v>173</v>
      </c>
      <c r="L30" s="2448">
        <v>79</v>
      </c>
      <c r="M30" s="2449">
        <v>72</v>
      </c>
      <c r="N30" s="2449">
        <v>70</v>
      </c>
      <c r="O30" s="2249">
        <v>49</v>
      </c>
      <c r="P30" s="2443"/>
      <c r="Q30" s="2266">
        <v>201</v>
      </c>
    </row>
    <row r="31" spans="1:17" ht="15.75" x14ac:dyDescent="0.25">
      <c r="A31" s="513" t="s">
        <v>68</v>
      </c>
      <c r="B31" s="603" t="s">
        <v>69</v>
      </c>
      <c r="C31" s="1053" t="s">
        <v>268</v>
      </c>
      <c r="D31" s="1349">
        <v>1205</v>
      </c>
      <c r="E31" s="1350">
        <v>1195</v>
      </c>
      <c r="F31" s="1346">
        <v>1210</v>
      </c>
      <c r="G31" s="1334">
        <v>1155</v>
      </c>
      <c r="H31" s="1349">
        <v>650</v>
      </c>
      <c r="I31" s="1350">
        <v>668</v>
      </c>
      <c r="J31" s="1351">
        <v>693</v>
      </c>
      <c r="K31" s="1334">
        <v>711</v>
      </c>
      <c r="L31" s="2448">
        <v>306</v>
      </c>
      <c r="M31" s="2449">
        <v>317</v>
      </c>
      <c r="N31" s="2449">
        <v>296</v>
      </c>
      <c r="O31" s="2249">
        <v>193</v>
      </c>
      <c r="P31" s="2443"/>
      <c r="Q31" s="2266">
        <v>704</v>
      </c>
    </row>
    <row r="32" spans="1:17" ht="15.75" x14ac:dyDescent="0.25">
      <c r="A32" s="513" t="s">
        <v>70</v>
      </c>
      <c r="B32" s="603" t="s">
        <v>71</v>
      </c>
      <c r="C32" s="1053" t="s">
        <v>264</v>
      </c>
      <c r="D32" s="1349">
        <v>867</v>
      </c>
      <c r="E32" s="1350">
        <v>775</v>
      </c>
      <c r="F32" s="1346">
        <v>765</v>
      </c>
      <c r="G32" s="1334">
        <v>641</v>
      </c>
      <c r="H32" s="1349">
        <v>392</v>
      </c>
      <c r="I32" s="1350">
        <v>396</v>
      </c>
      <c r="J32" s="1351">
        <v>353</v>
      </c>
      <c r="K32" s="1334">
        <v>326</v>
      </c>
      <c r="L32" s="2448">
        <v>213</v>
      </c>
      <c r="M32" s="2449">
        <v>214</v>
      </c>
      <c r="N32" s="2449">
        <v>186</v>
      </c>
      <c r="O32" s="2249">
        <v>120</v>
      </c>
      <c r="P32" s="2443"/>
      <c r="Q32" s="2266">
        <v>371</v>
      </c>
    </row>
    <row r="33" spans="1:17" ht="15.75" x14ac:dyDescent="0.25">
      <c r="A33" s="513" t="s">
        <v>72</v>
      </c>
      <c r="B33" s="603" t="s">
        <v>73</v>
      </c>
      <c r="C33" s="1053" t="s">
        <v>266</v>
      </c>
      <c r="D33" s="1349">
        <v>507</v>
      </c>
      <c r="E33" s="1350">
        <v>466</v>
      </c>
      <c r="F33" s="1346">
        <v>491</v>
      </c>
      <c r="G33" s="1334">
        <v>446</v>
      </c>
      <c r="H33" s="1349">
        <v>215</v>
      </c>
      <c r="I33" s="1350">
        <v>193</v>
      </c>
      <c r="J33" s="1351">
        <v>218</v>
      </c>
      <c r="K33" s="1334">
        <v>227</v>
      </c>
      <c r="L33" s="2448">
        <v>52</v>
      </c>
      <c r="M33" s="2449">
        <v>80</v>
      </c>
      <c r="N33" s="2449">
        <v>89</v>
      </c>
      <c r="O33" s="2249">
        <v>45</v>
      </c>
      <c r="P33" s="2443"/>
      <c r="Q33" s="2266">
        <v>243</v>
      </c>
    </row>
    <row r="34" spans="1:17" ht="15.75" x14ac:dyDescent="0.25">
      <c r="A34" s="513" t="s">
        <v>74</v>
      </c>
      <c r="B34" s="603" t="s">
        <v>296</v>
      </c>
      <c r="C34" s="1053" t="s">
        <v>267</v>
      </c>
      <c r="D34" s="1349">
        <v>1532</v>
      </c>
      <c r="E34" s="1350">
        <v>1500</v>
      </c>
      <c r="F34" s="1346">
        <v>1541</v>
      </c>
      <c r="G34" s="1334">
        <v>1455</v>
      </c>
      <c r="H34" s="1349">
        <v>916</v>
      </c>
      <c r="I34" s="1350">
        <v>913</v>
      </c>
      <c r="J34" s="1351">
        <v>930</v>
      </c>
      <c r="K34" s="1334">
        <v>974</v>
      </c>
      <c r="L34" s="2448">
        <v>77</v>
      </c>
      <c r="M34" s="2449">
        <v>133</v>
      </c>
      <c r="N34" s="2449">
        <v>124</v>
      </c>
      <c r="O34" s="2249">
        <v>104</v>
      </c>
      <c r="P34" s="2443"/>
      <c r="Q34" s="2266">
        <v>917</v>
      </c>
    </row>
    <row r="35" spans="1:17" ht="15.75" x14ac:dyDescent="0.25">
      <c r="A35" s="513" t="s">
        <v>76</v>
      </c>
      <c r="B35" s="603" t="s">
        <v>77</v>
      </c>
      <c r="C35" s="1053" t="s">
        <v>267</v>
      </c>
      <c r="D35" s="1349">
        <v>377</v>
      </c>
      <c r="E35" s="1350">
        <v>327</v>
      </c>
      <c r="F35" s="1346">
        <v>295</v>
      </c>
      <c r="G35" s="1334">
        <v>300</v>
      </c>
      <c r="H35" s="1349">
        <v>148</v>
      </c>
      <c r="I35" s="1350">
        <v>112</v>
      </c>
      <c r="J35" s="1351">
        <v>120</v>
      </c>
      <c r="K35" s="1334">
        <v>120</v>
      </c>
      <c r="L35" s="2448">
        <v>70</v>
      </c>
      <c r="M35" s="2449">
        <v>74</v>
      </c>
      <c r="N35" s="2449">
        <v>62</v>
      </c>
      <c r="O35" s="2249">
        <v>58</v>
      </c>
      <c r="P35" s="2443"/>
      <c r="Q35" s="2266">
        <v>148</v>
      </c>
    </row>
    <row r="36" spans="1:17" ht="15.75" x14ac:dyDescent="0.25">
      <c r="A36" s="513" t="s">
        <v>78</v>
      </c>
      <c r="B36" s="603" t="s">
        <v>79</v>
      </c>
      <c r="C36" s="1053" t="s">
        <v>268</v>
      </c>
      <c r="D36" s="1349">
        <v>527</v>
      </c>
      <c r="E36" s="1350">
        <v>499</v>
      </c>
      <c r="F36" s="1346">
        <v>494</v>
      </c>
      <c r="G36" s="1334">
        <v>455</v>
      </c>
      <c r="H36" s="1349">
        <v>191</v>
      </c>
      <c r="I36" s="1350">
        <v>182</v>
      </c>
      <c r="J36" s="1351">
        <v>186</v>
      </c>
      <c r="K36" s="1334">
        <v>130</v>
      </c>
      <c r="L36" s="2448">
        <v>94</v>
      </c>
      <c r="M36" s="2449">
        <v>104</v>
      </c>
      <c r="N36" s="2449">
        <v>89</v>
      </c>
      <c r="O36" s="2249">
        <v>66</v>
      </c>
      <c r="P36" s="2443"/>
      <c r="Q36" s="2266">
        <v>212</v>
      </c>
    </row>
    <row r="37" spans="1:17" ht="15.75" x14ac:dyDescent="0.25">
      <c r="A37" s="513" t="s">
        <v>80</v>
      </c>
      <c r="B37" s="603" t="s">
        <v>81</v>
      </c>
      <c r="C37" s="1053" t="s">
        <v>266</v>
      </c>
      <c r="D37" s="1349">
        <v>315</v>
      </c>
      <c r="E37" s="1350">
        <v>296</v>
      </c>
      <c r="F37" s="1346">
        <v>308</v>
      </c>
      <c r="G37" s="1334">
        <v>272</v>
      </c>
      <c r="H37" s="1349">
        <v>128</v>
      </c>
      <c r="I37" s="1350">
        <v>139</v>
      </c>
      <c r="J37" s="1351">
        <v>130</v>
      </c>
      <c r="K37" s="1334">
        <v>119</v>
      </c>
      <c r="L37" s="2448">
        <v>68</v>
      </c>
      <c r="M37" s="2449">
        <v>75</v>
      </c>
      <c r="N37" s="2449">
        <v>59</v>
      </c>
      <c r="O37" s="2249">
        <v>52</v>
      </c>
      <c r="P37" s="2443"/>
      <c r="Q37" s="2266">
        <v>146</v>
      </c>
    </row>
    <row r="38" spans="1:17" ht="15.75" x14ac:dyDescent="0.25">
      <c r="A38" s="513" t="s">
        <v>84</v>
      </c>
      <c r="B38" s="603" t="s">
        <v>85</v>
      </c>
      <c r="C38" s="1053" t="s">
        <v>265</v>
      </c>
      <c r="D38" s="1349">
        <v>1830</v>
      </c>
      <c r="E38" s="1350">
        <v>1548</v>
      </c>
      <c r="F38" s="1346">
        <v>1573</v>
      </c>
      <c r="G38" s="1334">
        <v>1380</v>
      </c>
      <c r="H38" s="1349">
        <v>808</v>
      </c>
      <c r="I38" s="1350">
        <v>781</v>
      </c>
      <c r="J38" s="1351">
        <v>784</v>
      </c>
      <c r="K38" s="1334">
        <v>760</v>
      </c>
      <c r="L38" s="2448">
        <v>375</v>
      </c>
      <c r="M38" s="2449">
        <v>422</v>
      </c>
      <c r="N38" s="2449">
        <v>263</v>
      </c>
      <c r="O38" s="2249">
        <v>222</v>
      </c>
      <c r="P38" s="2443"/>
      <c r="Q38" s="2266">
        <v>821</v>
      </c>
    </row>
    <row r="39" spans="1:17" ht="15.75" x14ac:dyDescent="0.25">
      <c r="A39" s="513" t="s">
        <v>86</v>
      </c>
      <c r="B39" s="603" t="s">
        <v>87</v>
      </c>
      <c r="C39" s="1053" t="s">
        <v>267</v>
      </c>
      <c r="D39" s="1349">
        <v>733</v>
      </c>
      <c r="E39" s="1350">
        <v>596</v>
      </c>
      <c r="F39" s="1346">
        <v>562</v>
      </c>
      <c r="G39" s="1334">
        <v>483</v>
      </c>
      <c r="H39" s="1349">
        <v>228</v>
      </c>
      <c r="I39" s="1350">
        <v>195</v>
      </c>
      <c r="J39" s="1351">
        <v>169</v>
      </c>
      <c r="K39" s="1334">
        <v>152</v>
      </c>
      <c r="L39" s="2448">
        <v>89</v>
      </c>
      <c r="M39" s="2449">
        <v>101</v>
      </c>
      <c r="N39" s="2449">
        <v>77</v>
      </c>
      <c r="O39" s="2249">
        <v>57</v>
      </c>
      <c r="P39" s="2443"/>
      <c r="Q39" s="2266">
        <v>193</v>
      </c>
    </row>
    <row r="40" spans="1:17" ht="15.75" x14ac:dyDescent="0.25">
      <c r="A40" s="513" t="s">
        <v>92</v>
      </c>
      <c r="B40" s="603" t="s">
        <v>93</v>
      </c>
      <c r="C40" s="1053" t="s">
        <v>268</v>
      </c>
      <c r="D40" s="1349">
        <v>683</v>
      </c>
      <c r="E40" s="1350">
        <v>650</v>
      </c>
      <c r="F40" s="1346">
        <v>672</v>
      </c>
      <c r="G40" s="1334">
        <v>624</v>
      </c>
      <c r="H40" s="1349">
        <v>262</v>
      </c>
      <c r="I40" s="1350">
        <v>324</v>
      </c>
      <c r="J40" s="1351">
        <v>310</v>
      </c>
      <c r="K40" s="1334">
        <v>289</v>
      </c>
      <c r="L40" s="2448">
        <v>146</v>
      </c>
      <c r="M40" s="2449">
        <v>176</v>
      </c>
      <c r="N40" s="2449">
        <v>168</v>
      </c>
      <c r="O40" s="2249">
        <v>112</v>
      </c>
      <c r="P40" s="2443"/>
      <c r="Q40" s="2266">
        <v>344</v>
      </c>
    </row>
    <row r="41" spans="1:17" ht="15.75" x14ac:dyDescent="0.25">
      <c r="A41" s="513" t="s">
        <v>94</v>
      </c>
      <c r="B41" s="603" t="s">
        <v>95</v>
      </c>
      <c r="C41" s="1053" t="s">
        <v>264</v>
      </c>
      <c r="D41" s="1349">
        <v>651</v>
      </c>
      <c r="E41" s="1350">
        <v>575</v>
      </c>
      <c r="F41" s="1346">
        <v>586</v>
      </c>
      <c r="G41" s="1334">
        <v>546</v>
      </c>
      <c r="H41" s="1349">
        <v>327</v>
      </c>
      <c r="I41" s="1350">
        <v>325</v>
      </c>
      <c r="J41" s="1351">
        <v>296</v>
      </c>
      <c r="K41" s="1334">
        <v>324</v>
      </c>
      <c r="L41" s="2448">
        <v>130</v>
      </c>
      <c r="M41" s="2449">
        <v>151</v>
      </c>
      <c r="N41" s="2449">
        <v>161</v>
      </c>
      <c r="O41" s="2249">
        <v>127</v>
      </c>
      <c r="P41" s="2443"/>
      <c r="Q41" s="2266">
        <v>316</v>
      </c>
    </row>
    <row r="42" spans="1:17" ht="15.75" x14ac:dyDescent="0.25">
      <c r="A42" s="513" t="s">
        <v>96</v>
      </c>
      <c r="B42" s="603" t="s">
        <v>97</v>
      </c>
      <c r="C42" s="1053" t="s">
        <v>266</v>
      </c>
      <c r="D42" s="1349">
        <v>280</v>
      </c>
      <c r="E42" s="1350">
        <v>248</v>
      </c>
      <c r="F42" s="1346">
        <v>258</v>
      </c>
      <c r="G42" s="1334">
        <v>238</v>
      </c>
      <c r="H42" s="1349">
        <v>83</v>
      </c>
      <c r="I42" s="1350">
        <v>88</v>
      </c>
      <c r="J42" s="1351">
        <v>86</v>
      </c>
      <c r="K42" s="1334">
        <v>87</v>
      </c>
      <c r="L42" s="2448">
        <v>47</v>
      </c>
      <c r="M42" s="2449">
        <v>28</v>
      </c>
      <c r="N42" s="2449">
        <v>24</v>
      </c>
      <c r="O42" s="2249">
        <v>23</v>
      </c>
      <c r="P42" s="2443"/>
      <c r="Q42" s="2266">
        <v>83</v>
      </c>
    </row>
    <row r="43" spans="1:17" ht="15.75" x14ac:dyDescent="0.25">
      <c r="A43" s="513" t="s">
        <v>98</v>
      </c>
      <c r="B43" s="603" t="s">
        <v>99</v>
      </c>
      <c r="C43" s="1053" t="s">
        <v>268</v>
      </c>
      <c r="D43" s="1349">
        <v>1130</v>
      </c>
      <c r="E43" s="1350">
        <v>1059</v>
      </c>
      <c r="F43" s="1346">
        <v>1068</v>
      </c>
      <c r="G43" s="1334">
        <v>970</v>
      </c>
      <c r="H43" s="1349">
        <v>470</v>
      </c>
      <c r="I43" s="1350">
        <v>455</v>
      </c>
      <c r="J43" s="1351">
        <v>424</v>
      </c>
      <c r="K43" s="1334">
        <v>420</v>
      </c>
      <c r="L43" s="2448">
        <v>163</v>
      </c>
      <c r="M43" s="2449">
        <v>169</v>
      </c>
      <c r="N43" s="2449">
        <v>126</v>
      </c>
      <c r="O43" s="2249">
        <v>99</v>
      </c>
      <c r="P43" s="2443"/>
      <c r="Q43" s="2266">
        <v>405</v>
      </c>
    </row>
    <row r="44" spans="1:17" ht="15.75" x14ac:dyDescent="0.25">
      <c r="A44" s="513" t="s">
        <v>100</v>
      </c>
      <c r="B44" s="603" t="s">
        <v>101</v>
      </c>
      <c r="C44" s="1053" t="s">
        <v>267</v>
      </c>
      <c r="D44" s="1349">
        <v>325</v>
      </c>
      <c r="E44" s="1350">
        <v>255</v>
      </c>
      <c r="F44" s="1346">
        <v>282</v>
      </c>
      <c r="G44" s="1334">
        <v>277</v>
      </c>
      <c r="H44" s="1349">
        <v>127</v>
      </c>
      <c r="I44" s="1350">
        <v>145</v>
      </c>
      <c r="J44" s="1351">
        <v>174</v>
      </c>
      <c r="K44" s="1334">
        <v>135</v>
      </c>
      <c r="L44" s="2448">
        <v>57</v>
      </c>
      <c r="M44" s="2449">
        <v>82</v>
      </c>
      <c r="N44" s="2449">
        <v>77</v>
      </c>
      <c r="O44" s="2249">
        <v>53</v>
      </c>
      <c r="P44" s="2443"/>
      <c r="Q44" s="2266">
        <v>145</v>
      </c>
    </row>
    <row r="45" spans="1:17" ht="15.75" x14ac:dyDescent="0.25">
      <c r="A45" s="513" t="s">
        <v>102</v>
      </c>
      <c r="B45" s="603" t="s">
        <v>282</v>
      </c>
      <c r="C45" s="1053" t="s">
        <v>264</v>
      </c>
      <c r="D45" s="1349">
        <v>948</v>
      </c>
      <c r="E45" s="1350">
        <v>866</v>
      </c>
      <c r="F45" s="1346">
        <v>906</v>
      </c>
      <c r="G45" s="1334">
        <v>860</v>
      </c>
      <c r="H45" s="1349">
        <v>485</v>
      </c>
      <c r="I45" s="1350">
        <v>521</v>
      </c>
      <c r="J45" s="1351">
        <v>511</v>
      </c>
      <c r="K45" s="1334">
        <v>498</v>
      </c>
      <c r="L45" s="2448">
        <v>110</v>
      </c>
      <c r="M45" s="2449">
        <v>123</v>
      </c>
      <c r="N45" s="2449">
        <v>126</v>
      </c>
      <c r="O45" s="2249">
        <v>102</v>
      </c>
      <c r="P45" s="2443"/>
      <c r="Q45" s="2266">
        <v>488</v>
      </c>
    </row>
    <row r="46" spans="1:17" ht="15.75" x14ac:dyDescent="0.25">
      <c r="A46" s="513" t="s">
        <v>104</v>
      </c>
      <c r="B46" s="603" t="s">
        <v>105</v>
      </c>
      <c r="C46" s="1053" t="s">
        <v>265</v>
      </c>
      <c r="D46" s="1349">
        <v>2381</v>
      </c>
      <c r="E46" s="1350">
        <v>2229</v>
      </c>
      <c r="F46" s="1346">
        <v>2209</v>
      </c>
      <c r="G46" s="1334">
        <v>1995</v>
      </c>
      <c r="H46" s="1349">
        <v>1037</v>
      </c>
      <c r="I46" s="1350">
        <v>1086</v>
      </c>
      <c r="J46" s="1351">
        <v>966</v>
      </c>
      <c r="K46" s="1334">
        <v>908</v>
      </c>
      <c r="L46" s="2448">
        <v>484</v>
      </c>
      <c r="M46" s="2449">
        <v>447</v>
      </c>
      <c r="N46" s="2449">
        <v>407</v>
      </c>
      <c r="O46" s="2249">
        <v>310</v>
      </c>
      <c r="P46" s="2443"/>
      <c r="Q46" s="2266">
        <v>1026</v>
      </c>
    </row>
    <row r="47" spans="1:17" ht="15.75" x14ac:dyDescent="0.25">
      <c r="A47" s="513" t="s">
        <v>108</v>
      </c>
      <c r="B47" s="603" t="s">
        <v>109</v>
      </c>
      <c r="C47" s="1053" t="s">
        <v>266</v>
      </c>
      <c r="D47" s="1349">
        <v>783</v>
      </c>
      <c r="E47" s="1350">
        <v>660</v>
      </c>
      <c r="F47" s="1346">
        <v>659</v>
      </c>
      <c r="G47" s="1334">
        <v>610</v>
      </c>
      <c r="H47" s="1349">
        <v>313</v>
      </c>
      <c r="I47" s="1350">
        <v>315</v>
      </c>
      <c r="J47" s="1351">
        <v>322</v>
      </c>
      <c r="K47" s="1334">
        <v>307</v>
      </c>
      <c r="L47" s="2448">
        <v>127</v>
      </c>
      <c r="M47" s="2449">
        <v>98</v>
      </c>
      <c r="N47" s="2449">
        <v>81</v>
      </c>
      <c r="O47" s="2249">
        <v>62</v>
      </c>
      <c r="P47" s="2443"/>
      <c r="Q47" s="2266">
        <v>341</v>
      </c>
    </row>
    <row r="48" spans="1:17" ht="15.75" x14ac:dyDescent="0.25">
      <c r="A48" s="513" t="s">
        <v>110</v>
      </c>
      <c r="B48" s="603" t="s">
        <v>111</v>
      </c>
      <c r="C48" s="1053" t="s">
        <v>266</v>
      </c>
      <c r="D48" s="1349">
        <v>3983</v>
      </c>
      <c r="E48" s="1350">
        <v>3456</v>
      </c>
      <c r="F48" s="1346">
        <v>3619</v>
      </c>
      <c r="G48" s="1334">
        <v>3206</v>
      </c>
      <c r="H48" s="1349">
        <v>2239</v>
      </c>
      <c r="I48" s="1350">
        <v>1956</v>
      </c>
      <c r="J48" s="1351">
        <v>1184</v>
      </c>
      <c r="K48" s="1334">
        <v>1234</v>
      </c>
      <c r="L48" s="2448">
        <v>309</v>
      </c>
      <c r="M48" s="2449">
        <v>317</v>
      </c>
      <c r="N48" s="2449">
        <v>335</v>
      </c>
      <c r="O48" s="2249">
        <v>306</v>
      </c>
      <c r="P48" s="2443"/>
      <c r="Q48" s="2266">
        <v>2034</v>
      </c>
    </row>
    <row r="49" spans="1:17" ht="15.75" x14ac:dyDescent="0.25">
      <c r="A49" s="513" t="s">
        <v>112</v>
      </c>
      <c r="B49" s="603" t="s">
        <v>300</v>
      </c>
      <c r="C49" s="1053" t="s">
        <v>265</v>
      </c>
      <c r="D49" s="1349">
        <v>3798</v>
      </c>
      <c r="E49" s="1350">
        <v>3460</v>
      </c>
      <c r="F49" s="1346">
        <v>3483</v>
      </c>
      <c r="G49" s="1334">
        <v>3355</v>
      </c>
      <c r="H49" s="1349">
        <v>1630</v>
      </c>
      <c r="I49" s="1350">
        <v>1705</v>
      </c>
      <c r="J49" s="1351">
        <v>1553</v>
      </c>
      <c r="K49" s="1334">
        <v>1714</v>
      </c>
      <c r="L49" s="2448">
        <v>707</v>
      </c>
      <c r="M49" s="2449">
        <v>699</v>
      </c>
      <c r="N49" s="2449">
        <v>640</v>
      </c>
      <c r="O49" s="2249">
        <v>464</v>
      </c>
      <c r="P49" s="2443"/>
      <c r="Q49" s="2266">
        <v>1874</v>
      </c>
    </row>
    <row r="50" spans="1:17" ht="15.75" x14ac:dyDescent="0.25">
      <c r="A50" s="513" t="s">
        <v>114</v>
      </c>
      <c r="B50" s="603" t="s">
        <v>115</v>
      </c>
      <c r="C50" s="1053" t="s">
        <v>265</v>
      </c>
      <c r="D50" s="1349">
        <v>50</v>
      </c>
      <c r="E50" s="1350">
        <v>51</v>
      </c>
      <c r="F50" s="1346">
        <v>50</v>
      </c>
      <c r="G50" s="1334">
        <v>48</v>
      </c>
      <c r="H50" s="1349">
        <v>20</v>
      </c>
      <c r="I50" s="1350">
        <v>12</v>
      </c>
      <c r="J50" s="1351">
        <v>26</v>
      </c>
      <c r="K50" s="1334">
        <v>12</v>
      </c>
      <c r="L50" s="2448">
        <v>4</v>
      </c>
      <c r="M50" s="2449">
        <v>7</v>
      </c>
      <c r="N50" s="2449">
        <v>5</v>
      </c>
      <c r="O50" s="2249">
        <v>1</v>
      </c>
      <c r="P50" s="2443"/>
      <c r="Q50" s="2266">
        <v>18</v>
      </c>
    </row>
    <row r="51" spans="1:17" ht="15.75" x14ac:dyDescent="0.25">
      <c r="A51" s="513" t="s">
        <v>118</v>
      </c>
      <c r="B51" s="603" t="s">
        <v>270</v>
      </c>
      <c r="C51" s="1053" t="s">
        <v>264</v>
      </c>
      <c r="D51" s="1349">
        <v>774</v>
      </c>
      <c r="E51" s="1350">
        <v>644</v>
      </c>
      <c r="F51" s="1346">
        <v>609</v>
      </c>
      <c r="G51" s="1334">
        <v>596</v>
      </c>
      <c r="H51" s="1349">
        <v>275</v>
      </c>
      <c r="I51" s="1350">
        <v>278</v>
      </c>
      <c r="J51" s="1351">
        <v>327</v>
      </c>
      <c r="K51" s="1334">
        <v>314</v>
      </c>
      <c r="L51" s="2448">
        <v>67</v>
      </c>
      <c r="M51" s="2449">
        <v>78</v>
      </c>
      <c r="N51" s="2449">
        <v>59</v>
      </c>
      <c r="O51" s="2249">
        <v>64</v>
      </c>
      <c r="P51" s="2443"/>
      <c r="Q51" s="2266">
        <v>334</v>
      </c>
    </row>
    <row r="52" spans="1:17" ht="15.75" x14ac:dyDescent="0.25">
      <c r="A52" s="513" t="s">
        <v>120</v>
      </c>
      <c r="B52" s="603" t="s">
        <v>121</v>
      </c>
      <c r="C52" s="1053" t="s">
        <v>264</v>
      </c>
      <c r="D52" s="1349">
        <v>622</v>
      </c>
      <c r="E52" s="1350">
        <v>544</v>
      </c>
      <c r="F52" s="1346">
        <v>553</v>
      </c>
      <c r="G52" s="1334">
        <v>471</v>
      </c>
      <c r="H52" s="1349">
        <v>322</v>
      </c>
      <c r="I52" s="1350">
        <v>292</v>
      </c>
      <c r="J52" s="1351">
        <v>273</v>
      </c>
      <c r="K52" s="1334">
        <v>266</v>
      </c>
      <c r="L52" s="2448">
        <v>121</v>
      </c>
      <c r="M52" s="2449">
        <v>109</v>
      </c>
      <c r="N52" s="2449">
        <v>83</v>
      </c>
      <c r="O52" s="2249">
        <v>76</v>
      </c>
      <c r="P52" s="2443"/>
      <c r="Q52" s="2266">
        <v>312</v>
      </c>
    </row>
    <row r="53" spans="1:17" ht="15.75" x14ac:dyDescent="0.25">
      <c r="A53" s="513" t="s">
        <v>122</v>
      </c>
      <c r="B53" s="603" t="s">
        <v>287</v>
      </c>
      <c r="C53" s="1053" t="s">
        <v>266</v>
      </c>
      <c r="D53" s="1349">
        <v>258</v>
      </c>
      <c r="E53" s="1350">
        <v>230</v>
      </c>
      <c r="F53" s="1346">
        <v>247</v>
      </c>
      <c r="G53" s="1334">
        <v>230</v>
      </c>
      <c r="H53" s="1349">
        <v>68</v>
      </c>
      <c r="I53" s="1350">
        <v>78</v>
      </c>
      <c r="J53" s="1351">
        <v>90</v>
      </c>
      <c r="K53" s="1334">
        <v>80</v>
      </c>
      <c r="L53" s="2448">
        <v>56</v>
      </c>
      <c r="M53" s="2449">
        <v>65</v>
      </c>
      <c r="N53" s="2449">
        <v>64</v>
      </c>
      <c r="O53" s="2249">
        <v>34</v>
      </c>
      <c r="P53" s="2443"/>
      <c r="Q53" s="2266">
        <v>112</v>
      </c>
    </row>
    <row r="54" spans="1:17" ht="15.75" x14ac:dyDescent="0.25">
      <c r="A54" s="513" t="s">
        <v>124</v>
      </c>
      <c r="B54" s="603" t="s">
        <v>125</v>
      </c>
      <c r="C54" s="1053" t="s">
        <v>267</v>
      </c>
      <c r="D54" s="1349">
        <v>383</v>
      </c>
      <c r="E54" s="1350">
        <v>353</v>
      </c>
      <c r="F54" s="1346">
        <v>351</v>
      </c>
      <c r="G54" s="1334">
        <v>278</v>
      </c>
      <c r="H54" s="1349">
        <v>150</v>
      </c>
      <c r="I54" s="1350">
        <v>163</v>
      </c>
      <c r="J54" s="1351">
        <v>113</v>
      </c>
      <c r="K54" s="1334">
        <v>127</v>
      </c>
      <c r="L54" s="2448">
        <v>129</v>
      </c>
      <c r="M54" s="2449">
        <v>131</v>
      </c>
      <c r="N54" s="2449">
        <v>119</v>
      </c>
      <c r="O54" s="2249">
        <v>53</v>
      </c>
      <c r="P54" s="2443"/>
      <c r="Q54" s="2266">
        <v>95</v>
      </c>
    </row>
    <row r="55" spans="1:17" ht="15.75" x14ac:dyDescent="0.25">
      <c r="A55" s="513" t="s">
        <v>126</v>
      </c>
      <c r="B55" s="603" t="s">
        <v>127</v>
      </c>
      <c r="C55" s="1053" t="s">
        <v>266</v>
      </c>
      <c r="D55" s="1349">
        <v>282</v>
      </c>
      <c r="E55" s="1350">
        <v>270</v>
      </c>
      <c r="F55" s="1346">
        <v>252</v>
      </c>
      <c r="G55" s="1334">
        <v>233</v>
      </c>
      <c r="H55" s="1349">
        <v>104</v>
      </c>
      <c r="I55" s="1350">
        <v>104</v>
      </c>
      <c r="J55" s="1351">
        <v>90</v>
      </c>
      <c r="K55" s="1334">
        <v>77</v>
      </c>
      <c r="L55" s="2448">
        <v>64</v>
      </c>
      <c r="M55" s="2449">
        <v>43</v>
      </c>
      <c r="N55" s="2449">
        <v>67</v>
      </c>
      <c r="O55" s="2249">
        <v>26</v>
      </c>
      <c r="P55" s="2443"/>
      <c r="Q55" s="2266">
        <v>83</v>
      </c>
    </row>
    <row r="56" spans="1:17" ht="15.75" x14ac:dyDescent="0.25">
      <c r="A56" s="513" t="s">
        <v>128</v>
      </c>
      <c r="B56" s="603" t="s">
        <v>129</v>
      </c>
      <c r="C56" s="1053" t="s">
        <v>266</v>
      </c>
      <c r="D56" s="1349">
        <v>477</v>
      </c>
      <c r="E56" s="1350">
        <v>411</v>
      </c>
      <c r="F56" s="1346">
        <v>429</v>
      </c>
      <c r="G56" s="1334">
        <v>402</v>
      </c>
      <c r="H56" s="1349">
        <v>177</v>
      </c>
      <c r="I56" s="1350">
        <v>181</v>
      </c>
      <c r="J56" s="1351">
        <v>210</v>
      </c>
      <c r="K56" s="1334">
        <v>199</v>
      </c>
      <c r="L56" s="2448">
        <v>138</v>
      </c>
      <c r="M56" s="2449">
        <v>155</v>
      </c>
      <c r="N56" s="2449">
        <v>138</v>
      </c>
      <c r="O56" s="2249">
        <v>112</v>
      </c>
      <c r="P56" s="2443"/>
      <c r="Q56" s="2266">
        <v>206</v>
      </c>
    </row>
    <row r="57" spans="1:17" ht="15.75" x14ac:dyDescent="0.25">
      <c r="A57" s="513" t="s">
        <v>130</v>
      </c>
      <c r="B57" s="603" t="s">
        <v>131</v>
      </c>
      <c r="C57" s="1053" t="s">
        <v>268</v>
      </c>
      <c r="D57" s="1349">
        <v>2312</v>
      </c>
      <c r="E57" s="1350">
        <v>2170</v>
      </c>
      <c r="F57" s="1346">
        <v>2323</v>
      </c>
      <c r="G57" s="1334">
        <v>2209</v>
      </c>
      <c r="H57" s="1349">
        <v>1170</v>
      </c>
      <c r="I57" s="1350">
        <v>1296</v>
      </c>
      <c r="J57" s="1351">
        <v>1235</v>
      </c>
      <c r="K57" s="1334">
        <v>1290</v>
      </c>
      <c r="L57" s="2448">
        <v>641</v>
      </c>
      <c r="M57" s="2449">
        <v>767</v>
      </c>
      <c r="N57" s="2449">
        <v>595</v>
      </c>
      <c r="O57" s="2249">
        <v>627</v>
      </c>
      <c r="P57" s="2443"/>
      <c r="Q57" s="2266">
        <v>1336</v>
      </c>
    </row>
    <row r="58" spans="1:17" ht="15.75" x14ac:dyDescent="0.25">
      <c r="A58" s="513" t="s">
        <v>132</v>
      </c>
      <c r="B58" s="603" t="s">
        <v>133</v>
      </c>
      <c r="C58" s="1053" t="s">
        <v>267</v>
      </c>
      <c r="D58" s="1349">
        <v>282</v>
      </c>
      <c r="E58" s="1350">
        <v>273</v>
      </c>
      <c r="F58" s="1346">
        <v>245</v>
      </c>
      <c r="G58" s="1334">
        <v>269</v>
      </c>
      <c r="H58" s="1349">
        <v>131</v>
      </c>
      <c r="I58" s="1350">
        <v>116</v>
      </c>
      <c r="J58" s="1351">
        <v>118</v>
      </c>
      <c r="K58" s="1334">
        <v>132</v>
      </c>
      <c r="L58" s="2448">
        <v>13</v>
      </c>
      <c r="M58" s="2449">
        <v>8</v>
      </c>
      <c r="N58" s="2449">
        <v>15</v>
      </c>
      <c r="O58" s="2249">
        <v>10</v>
      </c>
      <c r="P58" s="2443"/>
      <c r="Q58" s="2266">
        <v>133</v>
      </c>
    </row>
    <row r="59" spans="1:17" ht="15.75" x14ac:dyDescent="0.25">
      <c r="A59" s="513" t="s">
        <v>134</v>
      </c>
      <c r="B59" s="603" t="s">
        <v>135</v>
      </c>
      <c r="C59" s="1053" t="s">
        <v>267</v>
      </c>
      <c r="D59" s="1349">
        <v>934</v>
      </c>
      <c r="E59" s="1350">
        <v>878</v>
      </c>
      <c r="F59" s="1346">
        <v>912</v>
      </c>
      <c r="G59" s="1334">
        <v>820</v>
      </c>
      <c r="H59" s="1349">
        <v>466</v>
      </c>
      <c r="I59" s="1350">
        <v>458</v>
      </c>
      <c r="J59" s="1351">
        <v>411</v>
      </c>
      <c r="K59" s="1334">
        <v>394</v>
      </c>
      <c r="L59" s="2448">
        <v>214</v>
      </c>
      <c r="M59" s="2449">
        <v>273</v>
      </c>
      <c r="N59" s="2449">
        <v>213</v>
      </c>
      <c r="O59" s="2249">
        <v>108</v>
      </c>
      <c r="P59" s="2443"/>
      <c r="Q59" s="2266">
        <v>418</v>
      </c>
    </row>
    <row r="60" spans="1:17" ht="15.75" x14ac:dyDescent="0.25">
      <c r="A60" s="513" t="s">
        <v>136</v>
      </c>
      <c r="B60" s="603" t="s">
        <v>137</v>
      </c>
      <c r="C60" s="1053" t="s">
        <v>266</v>
      </c>
      <c r="D60" s="1349">
        <v>760</v>
      </c>
      <c r="E60" s="1350">
        <v>702</v>
      </c>
      <c r="F60" s="1346">
        <v>732</v>
      </c>
      <c r="G60" s="1334">
        <v>675</v>
      </c>
      <c r="H60" s="1349">
        <v>380</v>
      </c>
      <c r="I60" s="1350">
        <v>435</v>
      </c>
      <c r="J60" s="1351">
        <v>393</v>
      </c>
      <c r="K60" s="1334">
        <v>388</v>
      </c>
      <c r="L60" s="2448">
        <v>217</v>
      </c>
      <c r="M60" s="2449">
        <v>213</v>
      </c>
      <c r="N60" s="2449">
        <v>233</v>
      </c>
      <c r="O60" s="2249">
        <v>128</v>
      </c>
      <c r="P60" s="2443"/>
      <c r="Q60" s="2266">
        <v>362</v>
      </c>
    </row>
    <row r="61" spans="1:17" ht="15.75" x14ac:dyDescent="0.25">
      <c r="A61" s="513" t="s">
        <v>140</v>
      </c>
      <c r="B61" s="603" t="s">
        <v>141</v>
      </c>
      <c r="C61" s="1053" t="s">
        <v>267</v>
      </c>
      <c r="D61" s="1349">
        <v>264</v>
      </c>
      <c r="E61" s="1350">
        <v>240</v>
      </c>
      <c r="F61" s="1346">
        <v>253</v>
      </c>
      <c r="G61" s="1334">
        <v>241</v>
      </c>
      <c r="H61" s="1349">
        <v>101</v>
      </c>
      <c r="I61" s="1350">
        <v>110</v>
      </c>
      <c r="J61" s="1351">
        <v>101</v>
      </c>
      <c r="K61" s="1334">
        <v>97</v>
      </c>
      <c r="L61" s="2448">
        <v>50</v>
      </c>
      <c r="M61" s="2449">
        <v>69</v>
      </c>
      <c r="N61" s="2449">
        <v>39</v>
      </c>
      <c r="O61" s="2249">
        <v>33</v>
      </c>
      <c r="P61" s="2443"/>
      <c r="Q61" s="2266">
        <v>83</v>
      </c>
    </row>
    <row r="62" spans="1:17" ht="15.75" x14ac:dyDescent="0.25">
      <c r="A62" s="513" t="s">
        <v>146</v>
      </c>
      <c r="B62" s="603" t="s">
        <v>147</v>
      </c>
      <c r="C62" s="1053" t="s">
        <v>264</v>
      </c>
      <c r="D62" s="1349">
        <v>198</v>
      </c>
      <c r="E62" s="1350">
        <v>200</v>
      </c>
      <c r="F62" s="1346">
        <v>196</v>
      </c>
      <c r="G62" s="1334">
        <v>189</v>
      </c>
      <c r="H62" s="1349">
        <v>97</v>
      </c>
      <c r="I62" s="1350">
        <v>115</v>
      </c>
      <c r="J62" s="1351">
        <v>96</v>
      </c>
      <c r="K62" s="1334">
        <v>88</v>
      </c>
      <c r="L62" s="2448">
        <v>39</v>
      </c>
      <c r="M62" s="2449">
        <v>54</v>
      </c>
      <c r="N62" s="2449">
        <v>41</v>
      </c>
      <c r="O62" s="2249">
        <v>27</v>
      </c>
      <c r="P62" s="2443"/>
      <c r="Q62" s="2266">
        <v>81</v>
      </c>
    </row>
    <row r="63" spans="1:17" ht="15.75" x14ac:dyDescent="0.25">
      <c r="A63" s="513" t="s">
        <v>148</v>
      </c>
      <c r="B63" s="603" t="s">
        <v>149</v>
      </c>
      <c r="C63" s="1053" t="s">
        <v>265</v>
      </c>
      <c r="D63" s="1349">
        <v>1718</v>
      </c>
      <c r="E63" s="1350">
        <v>1589</v>
      </c>
      <c r="F63" s="1346">
        <v>1581</v>
      </c>
      <c r="G63" s="1334">
        <v>1474</v>
      </c>
      <c r="H63" s="1349">
        <v>778</v>
      </c>
      <c r="I63" s="1350">
        <v>796</v>
      </c>
      <c r="J63" s="1351">
        <v>802</v>
      </c>
      <c r="K63" s="1334">
        <v>732</v>
      </c>
      <c r="L63" s="2448">
        <v>384</v>
      </c>
      <c r="M63" s="2449">
        <v>371</v>
      </c>
      <c r="N63" s="2449">
        <v>330</v>
      </c>
      <c r="O63" s="2249">
        <v>274</v>
      </c>
      <c r="P63" s="2443"/>
      <c r="Q63" s="2266">
        <v>794</v>
      </c>
    </row>
    <row r="64" spans="1:17" ht="15.75" x14ac:dyDescent="0.25">
      <c r="A64" s="513" t="s">
        <v>150</v>
      </c>
      <c r="B64" s="603" t="s">
        <v>151</v>
      </c>
      <c r="C64" s="1053" t="s">
        <v>266</v>
      </c>
      <c r="D64" s="1349">
        <v>327</v>
      </c>
      <c r="E64" s="1350">
        <v>301</v>
      </c>
      <c r="F64" s="1346">
        <v>316</v>
      </c>
      <c r="G64" s="1334">
        <v>293</v>
      </c>
      <c r="H64" s="1349">
        <v>122</v>
      </c>
      <c r="I64" s="1350">
        <v>158</v>
      </c>
      <c r="J64" s="1351">
        <v>106</v>
      </c>
      <c r="K64" s="1334">
        <v>105</v>
      </c>
      <c r="L64" s="2448">
        <v>79</v>
      </c>
      <c r="M64" s="2449">
        <v>104</v>
      </c>
      <c r="N64" s="2449">
        <v>110</v>
      </c>
      <c r="O64" s="2249">
        <v>56</v>
      </c>
      <c r="P64" s="2443"/>
      <c r="Q64" s="2266">
        <v>127</v>
      </c>
    </row>
    <row r="65" spans="1:17" ht="15.75" x14ac:dyDescent="0.25">
      <c r="A65" s="513" t="s">
        <v>152</v>
      </c>
      <c r="B65" s="603" t="s">
        <v>153</v>
      </c>
      <c r="C65" s="1053" t="s">
        <v>268</v>
      </c>
      <c r="D65" s="1349">
        <v>1688</v>
      </c>
      <c r="E65" s="1350">
        <v>1559</v>
      </c>
      <c r="F65" s="1346">
        <v>1574</v>
      </c>
      <c r="G65" s="1334">
        <v>1427</v>
      </c>
      <c r="H65" s="1349">
        <v>825</v>
      </c>
      <c r="I65" s="1350">
        <v>791</v>
      </c>
      <c r="J65" s="1351">
        <v>844</v>
      </c>
      <c r="K65" s="1334">
        <v>843</v>
      </c>
      <c r="L65" s="2448">
        <v>320</v>
      </c>
      <c r="M65" s="2449">
        <v>314</v>
      </c>
      <c r="N65" s="2449">
        <v>262</v>
      </c>
      <c r="O65" s="2249">
        <v>196</v>
      </c>
      <c r="P65" s="2443"/>
      <c r="Q65" s="2266">
        <v>844</v>
      </c>
    </row>
    <row r="66" spans="1:17" ht="15.75" x14ac:dyDescent="0.25">
      <c r="A66" s="513" t="s">
        <v>154</v>
      </c>
      <c r="B66" s="603" t="s">
        <v>155</v>
      </c>
      <c r="C66" s="1053" t="s">
        <v>265</v>
      </c>
      <c r="D66" s="1349">
        <v>619</v>
      </c>
      <c r="E66" s="1350">
        <v>606</v>
      </c>
      <c r="F66" s="1346">
        <v>616</v>
      </c>
      <c r="G66" s="1334">
        <v>551</v>
      </c>
      <c r="H66" s="1349">
        <v>310</v>
      </c>
      <c r="I66" s="1350">
        <v>303</v>
      </c>
      <c r="J66" s="1351">
        <v>280</v>
      </c>
      <c r="K66" s="1334">
        <v>255</v>
      </c>
      <c r="L66" s="2448">
        <v>177</v>
      </c>
      <c r="M66" s="2449">
        <v>190</v>
      </c>
      <c r="N66" s="2449">
        <v>145</v>
      </c>
      <c r="O66" s="2249">
        <v>87</v>
      </c>
      <c r="P66" s="2443"/>
      <c r="Q66" s="2266">
        <v>246</v>
      </c>
    </row>
    <row r="67" spans="1:17" ht="15.75" x14ac:dyDescent="0.25">
      <c r="A67" s="513" t="s">
        <v>156</v>
      </c>
      <c r="B67" s="603" t="s">
        <v>157</v>
      </c>
      <c r="C67" s="1053" t="s">
        <v>266</v>
      </c>
      <c r="D67" s="1349">
        <v>127</v>
      </c>
      <c r="E67" s="1350">
        <v>109</v>
      </c>
      <c r="F67" s="1346">
        <v>116</v>
      </c>
      <c r="G67" s="1334">
        <v>97</v>
      </c>
      <c r="H67" s="1349">
        <v>38</v>
      </c>
      <c r="I67" s="1350">
        <v>50</v>
      </c>
      <c r="J67" s="1351">
        <v>38</v>
      </c>
      <c r="K67" s="1334">
        <v>36</v>
      </c>
      <c r="L67" s="2448">
        <v>33</v>
      </c>
      <c r="M67" s="2449">
        <v>43</v>
      </c>
      <c r="N67" s="2449">
        <v>37</v>
      </c>
      <c r="O67" s="2249">
        <v>28</v>
      </c>
      <c r="P67" s="2443"/>
      <c r="Q67" s="2266">
        <v>44</v>
      </c>
    </row>
    <row r="68" spans="1:17" ht="15.75" x14ac:dyDescent="0.25">
      <c r="A68" s="513" t="s">
        <v>162</v>
      </c>
      <c r="B68" s="603" t="s">
        <v>163</v>
      </c>
      <c r="C68" s="1053" t="s">
        <v>264</v>
      </c>
      <c r="D68" s="1349">
        <v>975</v>
      </c>
      <c r="E68" s="1350">
        <v>898</v>
      </c>
      <c r="F68" s="1346">
        <v>913</v>
      </c>
      <c r="G68" s="1334">
        <v>872</v>
      </c>
      <c r="H68" s="1349">
        <v>476</v>
      </c>
      <c r="I68" s="1350">
        <v>483</v>
      </c>
      <c r="J68" s="1351">
        <v>479</v>
      </c>
      <c r="K68" s="1334">
        <v>464</v>
      </c>
      <c r="L68" s="2448">
        <v>291</v>
      </c>
      <c r="M68" s="2449">
        <v>345</v>
      </c>
      <c r="N68" s="2449">
        <v>299</v>
      </c>
      <c r="O68" s="2249">
        <v>241</v>
      </c>
      <c r="P68" s="2443"/>
      <c r="Q68" s="2266">
        <v>478</v>
      </c>
    </row>
    <row r="69" spans="1:17" ht="15.75" x14ac:dyDescent="0.25">
      <c r="A69" s="513" t="s">
        <v>164</v>
      </c>
      <c r="B69" s="603" t="s">
        <v>165</v>
      </c>
      <c r="C69" s="1053" t="s">
        <v>266</v>
      </c>
      <c r="D69" s="1349">
        <v>444</v>
      </c>
      <c r="E69" s="1350">
        <v>427</v>
      </c>
      <c r="F69" s="1346">
        <v>460</v>
      </c>
      <c r="G69" s="1334">
        <v>423</v>
      </c>
      <c r="H69" s="1349">
        <v>183</v>
      </c>
      <c r="I69" s="1350">
        <v>188</v>
      </c>
      <c r="J69" s="1351">
        <v>180</v>
      </c>
      <c r="K69" s="1334">
        <v>192</v>
      </c>
      <c r="L69" s="2448">
        <v>179</v>
      </c>
      <c r="M69" s="2449">
        <v>219</v>
      </c>
      <c r="N69" s="2449">
        <v>192</v>
      </c>
      <c r="O69" s="2249">
        <v>139</v>
      </c>
      <c r="P69" s="2443"/>
      <c r="Q69" s="2266">
        <v>214</v>
      </c>
    </row>
    <row r="70" spans="1:17" ht="15.75" x14ac:dyDescent="0.25">
      <c r="A70" s="513" t="s">
        <v>168</v>
      </c>
      <c r="B70" s="603" t="s">
        <v>169</v>
      </c>
      <c r="C70" s="1053" t="s">
        <v>266</v>
      </c>
      <c r="D70" s="1349">
        <v>826</v>
      </c>
      <c r="E70" s="1350">
        <v>770</v>
      </c>
      <c r="F70" s="1346">
        <v>789</v>
      </c>
      <c r="G70" s="1334">
        <v>717</v>
      </c>
      <c r="H70" s="1349">
        <v>354</v>
      </c>
      <c r="I70" s="1350">
        <v>362</v>
      </c>
      <c r="J70" s="1351">
        <v>353</v>
      </c>
      <c r="K70" s="1334">
        <v>363</v>
      </c>
      <c r="L70" s="2448">
        <v>179</v>
      </c>
      <c r="M70" s="2449">
        <v>160</v>
      </c>
      <c r="N70" s="2449">
        <v>184</v>
      </c>
      <c r="O70" s="2249">
        <v>107</v>
      </c>
      <c r="P70" s="2443"/>
      <c r="Q70" s="2266">
        <v>358</v>
      </c>
    </row>
    <row r="71" spans="1:17" ht="15.75" x14ac:dyDescent="0.25">
      <c r="A71" s="513" t="s">
        <v>170</v>
      </c>
      <c r="B71" s="603" t="s">
        <v>171</v>
      </c>
      <c r="C71" s="1053" t="s">
        <v>267</v>
      </c>
      <c r="D71" s="1349">
        <v>595</v>
      </c>
      <c r="E71" s="1350">
        <v>558</v>
      </c>
      <c r="F71" s="1346">
        <v>529</v>
      </c>
      <c r="G71" s="1334">
        <v>486</v>
      </c>
      <c r="H71" s="1349">
        <v>242</v>
      </c>
      <c r="I71" s="1350">
        <v>276</v>
      </c>
      <c r="J71" s="1351">
        <v>232</v>
      </c>
      <c r="K71" s="1334">
        <v>201</v>
      </c>
      <c r="L71" s="2448">
        <v>72</v>
      </c>
      <c r="M71" s="2449">
        <v>87</v>
      </c>
      <c r="N71" s="2449">
        <v>82</v>
      </c>
      <c r="O71" s="2249">
        <v>67</v>
      </c>
      <c r="P71" s="2443"/>
      <c r="Q71" s="2266">
        <v>224</v>
      </c>
    </row>
    <row r="72" spans="1:17" ht="15.75" x14ac:dyDescent="0.25">
      <c r="A72" s="513" t="s">
        <v>172</v>
      </c>
      <c r="B72" s="603" t="s">
        <v>173</v>
      </c>
      <c r="C72" s="1053" t="s">
        <v>267</v>
      </c>
      <c r="D72" s="1349">
        <v>959</v>
      </c>
      <c r="E72" s="1350">
        <v>895</v>
      </c>
      <c r="F72" s="1346">
        <v>869</v>
      </c>
      <c r="G72" s="1334">
        <v>798</v>
      </c>
      <c r="H72" s="1349">
        <v>328</v>
      </c>
      <c r="I72" s="1350">
        <v>318</v>
      </c>
      <c r="J72" s="1351">
        <v>297</v>
      </c>
      <c r="K72" s="1334">
        <v>302</v>
      </c>
      <c r="L72" s="2448">
        <v>106</v>
      </c>
      <c r="M72" s="2449">
        <v>137</v>
      </c>
      <c r="N72" s="2449">
        <v>121</v>
      </c>
      <c r="O72" s="2249">
        <v>78</v>
      </c>
      <c r="P72" s="2443"/>
      <c r="Q72" s="2266">
        <v>304</v>
      </c>
    </row>
    <row r="73" spans="1:17" ht="15.75" x14ac:dyDescent="0.25">
      <c r="A73" s="513" t="s">
        <v>174</v>
      </c>
      <c r="B73" s="603" t="s">
        <v>175</v>
      </c>
      <c r="C73" s="1053" t="s">
        <v>268</v>
      </c>
      <c r="D73" s="1349">
        <v>1003</v>
      </c>
      <c r="E73" s="1350">
        <v>946</v>
      </c>
      <c r="F73" s="1346">
        <v>909</v>
      </c>
      <c r="G73" s="1334">
        <v>911</v>
      </c>
      <c r="H73" s="1349">
        <v>483</v>
      </c>
      <c r="I73" s="1350">
        <v>487</v>
      </c>
      <c r="J73" s="1351">
        <v>474</v>
      </c>
      <c r="K73" s="1334">
        <v>452</v>
      </c>
      <c r="L73" s="2448">
        <v>265</v>
      </c>
      <c r="M73" s="2449">
        <v>214</v>
      </c>
      <c r="N73" s="2449">
        <v>202</v>
      </c>
      <c r="O73" s="2249">
        <v>130</v>
      </c>
      <c r="P73" s="2443"/>
      <c r="Q73" s="2266">
        <v>425</v>
      </c>
    </row>
    <row r="74" spans="1:17" ht="15.75" x14ac:dyDescent="0.25">
      <c r="A74" s="513" t="s">
        <v>178</v>
      </c>
      <c r="B74" s="603" t="s">
        <v>179</v>
      </c>
      <c r="C74" s="1053" t="s">
        <v>265</v>
      </c>
      <c r="D74" s="1349">
        <v>2618</v>
      </c>
      <c r="E74" s="1350">
        <v>2340</v>
      </c>
      <c r="F74" s="1346">
        <v>2319</v>
      </c>
      <c r="G74" s="1334">
        <v>2110</v>
      </c>
      <c r="H74" s="1349">
        <v>1087</v>
      </c>
      <c r="I74" s="1350">
        <v>1090</v>
      </c>
      <c r="J74" s="1351">
        <v>979</v>
      </c>
      <c r="K74" s="1334">
        <v>924</v>
      </c>
      <c r="L74" s="2448">
        <v>549</v>
      </c>
      <c r="M74" s="2449">
        <v>570</v>
      </c>
      <c r="N74" s="2449">
        <v>470</v>
      </c>
      <c r="O74" s="2249">
        <v>296</v>
      </c>
      <c r="P74" s="2443"/>
      <c r="Q74" s="2266">
        <v>1034</v>
      </c>
    </row>
    <row r="75" spans="1:17" ht="15.75" x14ac:dyDescent="0.25">
      <c r="A75" s="513" t="s">
        <v>182</v>
      </c>
      <c r="B75" s="603" t="s">
        <v>183</v>
      </c>
      <c r="C75" s="1053" t="s">
        <v>266</v>
      </c>
      <c r="D75" s="1349">
        <v>206</v>
      </c>
      <c r="E75" s="1350">
        <v>190</v>
      </c>
      <c r="F75" s="1346">
        <v>170</v>
      </c>
      <c r="G75" s="1334">
        <v>139</v>
      </c>
      <c r="H75" s="1349">
        <v>74</v>
      </c>
      <c r="I75" s="1350">
        <v>54</v>
      </c>
      <c r="J75" s="1351">
        <v>54</v>
      </c>
      <c r="K75" s="1334">
        <v>57</v>
      </c>
      <c r="L75" s="2448">
        <v>35</v>
      </c>
      <c r="M75" s="2449">
        <v>16</v>
      </c>
      <c r="N75" s="2449">
        <v>29</v>
      </c>
      <c r="O75" s="2249">
        <v>12</v>
      </c>
      <c r="P75" s="2443"/>
      <c r="Q75" s="2266">
        <v>46</v>
      </c>
    </row>
    <row r="76" spans="1:17" ht="15.75" x14ac:dyDescent="0.25">
      <c r="A76" s="513" t="s">
        <v>184</v>
      </c>
      <c r="B76" s="603" t="s">
        <v>185</v>
      </c>
      <c r="C76" s="1053" t="s">
        <v>266</v>
      </c>
      <c r="D76" s="1349">
        <v>893</v>
      </c>
      <c r="E76" s="1350">
        <v>834</v>
      </c>
      <c r="F76" s="1346">
        <v>826</v>
      </c>
      <c r="G76" s="1334">
        <v>779</v>
      </c>
      <c r="H76" s="1349">
        <v>447</v>
      </c>
      <c r="I76" s="1350">
        <v>430</v>
      </c>
      <c r="J76" s="1351">
        <v>455</v>
      </c>
      <c r="K76" s="1334">
        <v>303</v>
      </c>
      <c r="L76" s="2448">
        <v>119</v>
      </c>
      <c r="M76" s="2449">
        <v>136</v>
      </c>
      <c r="N76" s="2449">
        <v>188</v>
      </c>
      <c r="O76" s="2249">
        <v>84</v>
      </c>
      <c r="P76" s="2443"/>
      <c r="Q76" s="2266">
        <v>416</v>
      </c>
    </row>
    <row r="77" spans="1:17" ht="15.75" x14ac:dyDescent="0.25">
      <c r="A77" s="513" t="s">
        <v>186</v>
      </c>
      <c r="B77" s="603" t="s">
        <v>187</v>
      </c>
      <c r="C77" s="1053" t="s">
        <v>264</v>
      </c>
      <c r="D77" s="1349">
        <v>332</v>
      </c>
      <c r="E77" s="1350">
        <v>273</v>
      </c>
      <c r="F77" s="1346">
        <v>302</v>
      </c>
      <c r="G77" s="1334">
        <v>275</v>
      </c>
      <c r="H77" s="1349">
        <v>126</v>
      </c>
      <c r="I77" s="1350">
        <v>133</v>
      </c>
      <c r="J77" s="1351">
        <v>171</v>
      </c>
      <c r="K77" s="1334">
        <v>153</v>
      </c>
      <c r="L77" s="2448">
        <v>47</v>
      </c>
      <c r="M77" s="2449">
        <v>54</v>
      </c>
      <c r="N77" s="2449">
        <v>47</v>
      </c>
      <c r="O77" s="2249">
        <v>48</v>
      </c>
      <c r="P77" s="2443"/>
      <c r="Q77" s="2266">
        <v>146</v>
      </c>
    </row>
    <row r="78" spans="1:17" ht="15.75" x14ac:dyDescent="0.25">
      <c r="A78" s="513" t="s">
        <v>188</v>
      </c>
      <c r="B78" s="603" t="s">
        <v>189</v>
      </c>
      <c r="C78" s="1053" t="s">
        <v>267</v>
      </c>
      <c r="D78" s="1349">
        <v>903</v>
      </c>
      <c r="E78" s="1350">
        <v>853</v>
      </c>
      <c r="F78" s="1346">
        <v>888</v>
      </c>
      <c r="G78" s="1334">
        <v>804</v>
      </c>
      <c r="H78" s="1349">
        <v>449</v>
      </c>
      <c r="I78" s="1350">
        <v>426</v>
      </c>
      <c r="J78" s="1351">
        <v>468</v>
      </c>
      <c r="K78" s="1334">
        <v>377</v>
      </c>
      <c r="L78" s="2448">
        <v>192</v>
      </c>
      <c r="M78" s="2449">
        <v>176</v>
      </c>
      <c r="N78" s="2449">
        <v>173</v>
      </c>
      <c r="O78" s="2249">
        <v>115</v>
      </c>
      <c r="P78" s="2443"/>
      <c r="Q78" s="2266">
        <v>409</v>
      </c>
    </row>
    <row r="79" spans="1:17" ht="15.75" x14ac:dyDescent="0.25">
      <c r="A79" s="513" t="s">
        <v>190</v>
      </c>
      <c r="B79" s="603" t="s">
        <v>191</v>
      </c>
      <c r="C79" s="1053" t="s">
        <v>268</v>
      </c>
      <c r="D79" s="1349">
        <v>1684</v>
      </c>
      <c r="E79" s="1350">
        <v>1559</v>
      </c>
      <c r="F79" s="1346">
        <v>1590</v>
      </c>
      <c r="G79" s="1334">
        <v>1406</v>
      </c>
      <c r="H79" s="1349">
        <v>887</v>
      </c>
      <c r="I79" s="1350">
        <v>849</v>
      </c>
      <c r="J79" s="1351">
        <v>820</v>
      </c>
      <c r="K79" s="1334">
        <v>802</v>
      </c>
      <c r="L79" s="2448">
        <v>480</v>
      </c>
      <c r="M79" s="2449">
        <v>450</v>
      </c>
      <c r="N79" s="2449">
        <v>318</v>
      </c>
      <c r="O79" s="2249">
        <v>287</v>
      </c>
      <c r="P79" s="2443"/>
      <c r="Q79" s="2266">
        <v>840</v>
      </c>
    </row>
    <row r="80" spans="1:17" ht="15.75" x14ac:dyDescent="0.25">
      <c r="A80" s="513" t="s">
        <v>194</v>
      </c>
      <c r="B80" s="603" t="s">
        <v>195</v>
      </c>
      <c r="C80" s="1053" t="s">
        <v>267</v>
      </c>
      <c r="D80" s="1349">
        <v>92</v>
      </c>
      <c r="E80" s="1350">
        <v>79</v>
      </c>
      <c r="F80" s="1346">
        <v>83</v>
      </c>
      <c r="G80" s="1334">
        <v>68</v>
      </c>
      <c r="H80" s="1349">
        <v>38</v>
      </c>
      <c r="I80" s="1350">
        <v>31</v>
      </c>
      <c r="J80" s="1351">
        <v>34</v>
      </c>
      <c r="K80" s="1334">
        <v>22</v>
      </c>
      <c r="L80" s="2448">
        <v>19</v>
      </c>
      <c r="M80" s="2449">
        <v>15</v>
      </c>
      <c r="N80" s="2449">
        <v>10</v>
      </c>
      <c r="O80" s="2249">
        <v>5</v>
      </c>
      <c r="P80" s="2443"/>
      <c r="Q80" s="2266">
        <v>21</v>
      </c>
    </row>
    <row r="81" spans="1:17" ht="15.75" x14ac:dyDescent="0.25">
      <c r="A81" s="513" t="s">
        <v>198</v>
      </c>
      <c r="B81" s="603" t="s">
        <v>272</v>
      </c>
      <c r="C81" s="1053" t="s">
        <v>266</v>
      </c>
      <c r="D81" s="1349">
        <v>376</v>
      </c>
      <c r="E81" s="1350">
        <v>347</v>
      </c>
      <c r="F81" s="1346">
        <v>345</v>
      </c>
      <c r="G81" s="1334">
        <v>332</v>
      </c>
      <c r="H81" s="1349">
        <v>154</v>
      </c>
      <c r="I81" s="1350">
        <v>139</v>
      </c>
      <c r="J81" s="1351">
        <v>143</v>
      </c>
      <c r="K81" s="1334">
        <v>140</v>
      </c>
      <c r="L81" s="2448">
        <v>107</v>
      </c>
      <c r="M81" s="2449">
        <v>118</v>
      </c>
      <c r="N81" s="2449">
        <v>96</v>
      </c>
      <c r="O81" s="2249">
        <v>75</v>
      </c>
      <c r="P81" s="2443"/>
      <c r="Q81" s="2266">
        <v>182</v>
      </c>
    </row>
    <row r="82" spans="1:17" ht="15.75" x14ac:dyDescent="0.25">
      <c r="A82" s="513" t="s">
        <v>202</v>
      </c>
      <c r="B82" s="603" t="s">
        <v>301</v>
      </c>
      <c r="C82" s="1053" t="s">
        <v>265</v>
      </c>
      <c r="D82" s="1349">
        <v>1128</v>
      </c>
      <c r="E82" s="1350">
        <v>1084</v>
      </c>
      <c r="F82" s="1346">
        <v>1054</v>
      </c>
      <c r="G82" s="1334">
        <v>1049</v>
      </c>
      <c r="H82" s="1349">
        <v>664</v>
      </c>
      <c r="I82" s="1350">
        <v>656</v>
      </c>
      <c r="J82" s="1351">
        <v>647</v>
      </c>
      <c r="K82" s="1334">
        <v>640</v>
      </c>
      <c r="L82" s="2448">
        <v>156</v>
      </c>
      <c r="M82" s="2449">
        <v>227</v>
      </c>
      <c r="N82" s="2449">
        <v>139</v>
      </c>
      <c r="O82" s="2249">
        <v>151</v>
      </c>
      <c r="P82" s="2443"/>
      <c r="Q82" s="2266">
        <v>656</v>
      </c>
    </row>
    <row r="83" spans="1:17" ht="15.75" x14ac:dyDescent="0.25">
      <c r="A83" s="513" t="s">
        <v>204</v>
      </c>
      <c r="B83" s="603" t="s">
        <v>293</v>
      </c>
      <c r="C83" s="1053" t="s">
        <v>265</v>
      </c>
      <c r="D83" s="1349">
        <v>1212</v>
      </c>
      <c r="E83" s="1350">
        <v>1131</v>
      </c>
      <c r="F83" s="1346">
        <v>1187</v>
      </c>
      <c r="G83" s="1334">
        <v>1074</v>
      </c>
      <c r="H83" s="1349">
        <v>704</v>
      </c>
      <c r="I83" s="1350">
        <v>665</v>
      </c>
      <c r="J83" s="1351">
        <v>680</v>
      </c>
      <c r="K83" s="1334">
        <v>611</v>
      </c>
      <c r="L83" s="2448">
        <v>261</v>
      </c>
      <c r="M83" s="2449">
        <v>289</v>
      </c>
      <c r="N83" s="2449">
        <v>253</v>
      </c>
      <c r="O83" s="2249">
        <v>189</v>
      </c>
      <c r="P83" s="2443"/>
      <c r="Q83" s="2266">
        <v>686</v>
      </c>
    </row>
    <row r="84" spans="1:17" ht="15.75" x14ac:dyDescent="0.25">
      <c r="A84" s="513" t="s">
        <v>206</v>
      </c>
      <c r="B84" s="603" t="s">
        <v>294</v>
      </c>
      <c r="C84" s="1053" t="s">
        <v>267</v>
      </c>
      <c r="D84" s="1349">
        <v>1893</v>
      </c>
      <c r="E84" s="1350">
        <v>1866</v>
      </c>
      <c r="F84" s="1346">
        <v>1817</v>
      </c>
      <c r="G84" s="1334">
        <v>1714</v>
      </c>
      <c r="H84" s="1349">
        <v>811</v>
      </c>
      <c r="I84" s="1350">
        <v>806</v>
      </c>
      <c r="J84" s="1351">
        <v>800</v>
      </c>
      <c r="K84" s="1334">
        <v>691</v>
      </c>
      <c r="L84" s="2448">
        <v>238</v>
      </c>
      <c r="M84" s="2449">
        <v>260</v>
      </c>
      <c r="N84" s="2449">
        <v>211</v>
      </c>
      <c r="O84" s="2249">
        <v>116</v>
      </c>
      <c r="P84" s="2443"/>
      <c r="Q84" s="2266">
        <v>751</v>
      </c>
    </row>
    <row r="85" spans="1:17" ht="15.75" x14ac:dyDescent="0.25">
      <c r="A85" s="513" t="s">
        <v>208</v>
      </c>
      <c r="B85" s="603" t="s">
        <v>209</v>
      </c>
      <c r="C85" s="1053" t="s">
        <v>268</v>
      </c>
      <c r="D85" s="1349">
        <v>1992</v>
      </c>
      <c r="E85" s="1350">
        <v>1914</v>
      </c>
      <c r="F85" s="1346">
        <v>2014</v>
      </c>
      <c r="G85" s="1334">
        <v>1848</v>
      </c>
      <c r="H85" s="1349">
        <v>1107</v>
      </c>
      <c r="I85" s="1350">
        <v>1117</v>
      </c>
      <c r="J85" s="1351">
        <v>1023</v>
      </c>
      <c r="K85" s="1334">
        <v>993</v>
      </c>
      <c r="L85" s="2448">
        <v>446</v>
      </c>
      <c r="M85" s="2449">
        <v>569</v>
      </c>
      <c r="N85" s="2449">
        <v>450</v>
      </c>
      <c r="O85" s="2249">
        <v>311</v>
      </c>
      <c r="P85" s="2443"/>
      <c r="Q85" s="2266">
        <v>1092</v>
      </c>
    </row>
    <row r="86" spans="1:17" ht="15.75" x14ac:dyDescent="0.25">
      <c r="A86" s="513" t="s">
        <v>210</v>
      </c>
      <c r="B86" s="603" t="s">
        <v>211</v>
      </c>
      <c r="C86" s="1053" t="s">
        <v>268</v>
      </c>
      <c r="D86" s="1349">
        <v>1442</v>
      </c>
      <c r="E86" s="1350">
        <v>1350</v>
      </c>
      <c r="F86" s="1346">
        <v>1370</v>
      </c>
      <c r="G86" s="1334">
        <v>1307</v>
      </c>
      <c r="H86" s="1349">
        <v>599</v>
      </c>
      <c r="I86" s="1350">
        <v>623</v>
      </c>
      <c r="J86" s="1351">
        <v>663</v>
      </c>
      <c r="K86" s="1334">
        <v>626</v>
      </c>
      <c r="L86" s="2448">
        <v>251</v>
      </c>
      <c r="M86" s="2449">
        <v>303</v>
      </c>
      <c r="N86" s="2449">
        <v>217</v>
      </c>
      <c r="O86" s="2249">
        <v>165</v>
      </c>
      <c r="P86" s="2443"/>
      <c r="Q86" s="2266">
        <v>670</v>
      </c>
    </row>
    <row r="87" spans="1:17" ht="15.75" x14ac:dyDescent="0.25">
      <c r="A87" s="513" t="s">
        <v>212</v>
      </c>
      <c r="B87" s="603" t="s">
        <v>213</v>
      </c>
      <c r="C87" s="1053" t="s">
        <v>267</v>
      </c>
      <c r="D87" s="1349">
        <v>1003</v>
      </c>
      <c r="E87" s="1350">
        <v>937</v>
      </c>
      <c r="F87" s="1346">
        <v>862</v>
      </c>
      <c r="G87" s="1334">
        <v>768</v>
      </c>
      <c r="H87" s="1349">
        <v>493</v>
      </c>
      <c r="I87" s="1350">
        <v>463</v>
      </c>
      <c r="J87" s="1351">
        <v>379</v>
      </c>
      <c r="K87" s="1334">
        <v>364</v>
      </c>
      <c r="L87" s="2448">
        <v>170</v>
      </c>
      <c r="M87" s="2449">
        <v>256</v>
      </c>
      <c r="N87" s="2449">
        <v>115</v>
      </c>
      <c r="O87" s="2249">
        <v>61</v>
      </c>
      <c r="P87" s="2443"/>
      <c r="Q87" s="2266">
        <v>419</v>
      </c>
    </row>
    <row r="88" spans="1:17" ht="15.75" x14ac:dyDescent="0.25">
      <c r="A88" s="513" t="s">
        <v>214</v>
      </c>
      <c r="B88" s="603" t="s">
        <v>215</v>
      </c>
      <c r="C88" s="1053" t="s">
        <v>268</v>
      </c>
      <c r="D88" s="1349">
        <v>1909</v>
      </c>
      <c r="E88" s="1350">
        <v>1793</v>
      </c>
      <c r="F88" s="1346">
        <v>1737</v>
      </c>
      <c r="G88" s="1334">
        <v>1611</v>
      </c>
      <c r="H88" s="1349">
        <v>762</v>
      </c>
      <c r="I88" s="1350">
        <v>785</v>
      </c>
      <c r="J88" s="1351">
        <v>808</v>
      </c>
      <c r="K88" s="1334">
        <v>773</v>
      </c>
      <c r="L88" s="2448">
        <v>504</v>
      </c>
      <c r="M88" s="2449">
        <v>555</v>
      </c>
      <c r="N88" s="2449">
        <v>548</v>
      </c>
      <c r="O88" s="2249">
        <v>372</v>
      </c>
      <c r="P88" s="2443"/>
      <c r="Q88" s="2266">
        <v>777</v>
      </c>
    </row>
    <row r="89" spans="1:17" ht="15.75" x14ac:dyDescent="0.25">
      <c r="A89" s="513" t="s">
        <v>216</v>
      </c>
      <c r="B89" s="603" t="s">
        <v>217</v>
      </c>
      <c r="C89" s="1053" t="s">
        <v>264</v>
      </c>
      <c r="D89" s="1349">
        <v>684</v>
      </c>
      <c r="E89" s="1350">
        <v>624</v>
      </c>
      <c r="F89" s="1346">
        <v>572</v>
      </c>
      <c r="G89" s="1334">
        <v>571</v>
      </c>
      <c r="H89" s="1349">
        <v>338</v>
      </c>
      <c r="I89" s="1350">
        <v>334</v>
      </c>
      <c r="J89" s="1351">
        <v>347</v>
      </c>
      <c r="K89" s="1334">
        <v>335</v>
      </c>
      <c r="L89" s="2448">
        <v>155</v>
      </c>
      <c r="M89" s="2449">
        <v>148</v>
      </c>
      <c r="N89" s="2449">
        <v>133</v>
      </c>
      <c r="O89" s="2249">
        <v>77</v>
      </c>
      <c r="P89" s="2443"/>
      <c r="Q89" s="2266">
        <v>353</v>
      </c>
    </row>
    <row r="90" spans="1:17" ht="15.75" x14ac:dyDescent="0.25">
      <c r="A90" s="513" t="s">
        <v>218</v>
      </c>
      <c r="B90" s="603" t="s">
        <v>219</v>
      </c>
      <c r="C90" s="1053" t="s">
        <v>267</v>
      </c>
      <c r="D90" s="1349">
        <v>829</v>
      </c>
      <c r="E90" s="1350">
        <v>738</v>
      </c>
      <c r="F90" s="1346">
        <v>797</v>
      </c>
      <c r="G90" s="1334">
        <v>768</v>
      </c>
      <c r="H90" s="1349">
        <v>274</v>
      </c>
      <c r="I90" s="1350">
        <v>260</v>
      </c>
      <c r="J90" s="1351">
        <v>297</v>
      </c>
      <c r="K90" s="1334">
        <v>311</v>
      </c>
      <c r="L90" s="2448">
        <v>146</v>
      </c>
      <c r="M90" s="2449">
        <v>175</v>
      </c>
      <c r="N90" s="2449">
        <v>123</v>
      </c>
      <c r="O90" s="2249">
        <v>71</v>
      </c>
      <c r="P90" s="2443"/>
      <c r="Q90" s="2266">
        <v>310</v>
      </c>
    </row>
    <row r="91" spans="1:17" ht="15.75" x14ac:dyDescent="0.25">
      <c r="A91" s="513" t="s">
        <v>220</v>
      </c>
      <c r="B91" s="603" t="s">
        <v>221</v>
      </c>
      <c r="C91" s="1053" t="s">
        <v>267</v>
      </c>
      <c r="D91" s="1349">
        <v>472</v>
      </c>
      <c r="E91" s="1350">
        <v>422</v>
      </c>
      <c r="F91" s="1346">
        <v>471</v>
      </c>
      <c r="G91" s="1334">
        <v>399</v>
      </c>
      <c r="H91" s="1349">
        <v>140</v>
      </c>
      <c r="I91" s="1350">
        <v>152</v>
      </c>
      <c r="J91" s="1351">
        <v>139</v>
      </c>
      <c r="K91" s="1334">
        <v>140</v>
      </c>
      <c r="L91" s="2448">
        <v>108</v>
      </c>
      <c r="M91" s="2449">
        <v>103</v>
      </c>
      <c r="N91" s="2449">
        <v>93</v>
      </c>
      <c r="O91" s="2249">
        <v>61</v>
      </c>
      <c r="P91" s="2443"/>
      <c r="Q91" s="2266">
        <v>181</v>
      </c>
    </row>
    <row r="92" spans="1:17" ht="15.75" x14ac:dyDescent="0.25">
      <c r="A92" s="513" t="s">
        <v>224</v>
      </c>
      <c r="B92" s="603" t="s">
        <v>225</v>
      </c>
      <c r="C92" s="1053" t="s">
        <v>264</v>
      </c>
      <c r="D92" s="1349">
        <v>228</v>
      </c>
      <c r="E92" s="1350">
        <v>216</v>
      </c>
      <c r="F92" s="1346">
        <v>212</v>
      </c>
      <c r="G92" s="1334">
        <v>200</v>
      </c>
      <c r="H92" s="1349">
        <v>97</v>
      </c>
      <c r="I92" s="1350">
        <v>109</v>
      </c>
      <c r="J92" s="1351">
        <v>101</v>
      </c>
      <c r="K92" s="1334">
        <v>92</v>
      </c>
      <c r="L92" s="2448">
        <v>22</v>
      </c>
      <c r="M92" s="2449">
        <v>44</v>
      </c>
      <c r="N92" s="2449">
        <v>29</v>
      </c>
      <c r="O92" s="2249">
        <v>31</v>
      </c>
      <c r="P92" s="2443"/>
      <c r="Q92" s="2266">
        <v>99</v>
      </c>
    </row>
    <row r="93" spans="1:17" ht="15.75" x14ac:dyDescent="0.25">
      <c r="A93" s="513" t="s">
        <v>226</v>
      </c>
      <c r="B93" s="603" t="s">
        <v>227</v>
      </c>
      <c r="C93" s="1053" t="s">
        <v>264</v>
      </c>
      <c r="D93" s="1349">
        <v>487</v>
      </c>
      <c r="E93" s="1350">
        <v>460</v>
      </c>
      <c r="F93" s="1346">
        <v>458</v>
      </c>
      <c r="G93" s="1334">
        <v>437</v>
      </c>
      <c r="H93" s="1349">
        <v>207</v>
      </c>
      <c r="I93" s="1350">
        <v>184</v>
      </c>
      <c r="J93" s="1351">
        <v>198</v>
      </c>
      <c r="K93" s="1334">
        <v>204</v>
      </c>
      <c r="L93" s="2448">
        <v>52</v>
      </c>
      <c r="M93" s="2449">
        <v>63</v>
      </c>
      <c r="N93" s="2449">
        <v>57</v>
      </c>
      <c r="O93" s="2249">
        <v>37</v>
      </c>
      <c r="P93" s="2443"/>
      <c r="Q93" s="2266">
        <v>233</v>
      </c>
    </row>
    <row r="94" spans="1:17" ht="15.75" x14ac:dyDescent="0.25">
      <c r="A94" s="513" t="s">
        <v>228</v>
      </c>
      <c r="B94" s="603" t="s">
        <v>229</v>
      </c>
      <c r="C94" s="1053" t="s">
        <v>268</v>
      </c>
      <c r="D94" s="1349">
        <v>2431</v>
      </c>
      <c r="E94" s="1350">
        <v>2299</v>
      </c>
      <c r="F94" s="1346">
        <v>2483</v>
      </c>
      <c r="G94" s="1334">
        <v>2373</v>
      </c>
      <c r="H94" s="1349">
        <v>1090</v>
      </c>
      <c r="I94" s="1350">
        <v>1088</v>
      </c>
      <c r="J94" s="1351">
        <v>1162</v>
      </c>
      <c r="K94" s="1334">
        <v>1213</v>
      </c>
      <c r="L94" s="2448">
        <v>662</v>
      </c>
      <c r="M94" s="2449">
        <v>683</v>
      </c>
      <c r="N94" s="2449">
        <v>628</v>
      </c>
      <c r="O94" s="2249">
        <v>521</v>
      </c>
      <c r="P94" s="2443"/>
      <c r="Q94" s="2266">
        <v>1264</v>
      </c>
    </row>
    <row r="95" spans="1:17" ht="15.75" x14ac:dyDescent="0.25">
      <c r="A95" s="513" t="s">
        <v>232</v>
      </c>
      <c r="B95" s="603" t="s">
        <v>233</v>
      </c>
      <c r="C95" s="1053" t="s">
        <v>267</v>
      </c>
      <c r="D95" s="1349">
        <v>661</v>
      </c>
      <c r="E95" s="1350">
        <v>584</v>
      </c>
      <c r="F95" s="1346">
        <v>575</v>
      </c>
      <c r="G95" s="1334">
        <v>531</v>
      </c>
      <c r="H95" s="1349">
        <v>275</v>
      </c>
      <c r="I95" s="1350">
        <v>248</v>
      </c>
      <c r="J95" s="1351">
        <v>244</v>
      </c>
      <c r="K95" s="1334">
        <v>235</v>
      </c>
      <c r="L95" s="2448">
        <v>106</v>
      </c>
      <c r="M95" s="2449">
        <v>119</v>
      </c>
      <c r="N95" s="2449">
        <v>111</v>
      </c>
      <c r="O95" s="2249">
        <v>56</v>
      </c>
      <c r="P95" s="2443"/>
      <c r="Q95" s="2266">
        <v>265</v>
      </c>
    </row>
    <row r="96" spans="1:17" ht="15.75" x14ac:dyDescent="0.25">
      <c r="A96" s="513" t="s">
        <v>234</v>
      </c>
      <c r="B96" s="603" t="s">
        <v>235</v>
      </c>
      <c r="C96" s="1053" t="s">
        <v>268</v>
      </c>
      <c r="D96" s="1349">
        <v>2048</v>
      </c>
      <c r="E96" s="1350">
        <v>1930</v>
      </c>
      <c r="F96" s="1346">
        <v>1922</v>
      </c>
      <c r="G96" s="1334">
        <v>1815</v>
      </c>
      <c r="H96" s="1349">
        <v>773</v>
      </c>
      <c r="I96" s="1350">
        <v>753</v>
      </c>
      <c r="J96" s="1351">
        <v>798</v>
      </c>
      <c r="K96" s="1334">
        <v>678</v>
      </c>
      <c r="L96" s="2448">
        <v>290</v>
      </c>
      <c r="M96" s="2449">
        <v>265</v>
      </c>
      <c r="N96" s="2449">
        <v>187</v>
      </c>
      <c r="O96" s="2249">
        <v>110</v>
      </c>
      <c r="P96" s="2443"/>
      <c r="Q96" s="2266">
        <v>738</v>
      </c>
    </row>
    <row r="97" spans="1:17" ht="15.75" x14ac:dyDescent="0.25">
      <c r="A97" s="513" t="s">
        <v>236</v>
      </c>
      <c r="B97" s="603" t="s">
        <v>237</v>
      </c>
      <c r="C97" s="1053" t="s">
        <v>266</v>
      </c>
      <c r="D97" s="1349">
        <v>773</v>
      </c>
      <c r="E97" s="1350">
        <v>698</v>
      </c>
      <c r="F97" s="1346">
        <v>690</v>
      </c>
      <c r="G97" s="1334">
        <v>618</v>
      </c>
      <c r="H97" s="1349">
        <v>288</v>
      </c>
      <c r="I97" s="1350">
        <v>297</v>
      </c>
      <c r="J97" s="1351">
        <v>287</v>
      </c>
      <c r="K97" s="1334">
        <v>289</v>
      </c>
      <c r="L97" s="2448">
        <v>237</v>
      </c>
      <c r="M97" s="2449">
        <v>256</v>
      </c>
      <c r="N97" s="2449">
        <v>227</v>
      </c>
      <c r="O97" s="2249">
        <v>183</v>
      </c>
      <c r="P97" s="2443"/>
      <c r="Q97" s="2266">
        <v>320</v>
      </c>
    </row>
    <row r="98" spans="1:17" ht="15.75" x14ac:dyDescent="0.25">
      <c r="A98" s="513" t="s">
        <v>242</v>
      </c>
      <c r="B98" s="603" t="s">
        <v>243</v>
      </c>
      <c r="C98" s="1053" t="s">
        <v>268</v>
      </c>
      <c r="D98" s="1349">
        <v>2535</v>
      </c>
      <c r="E98" s="1350">
        <v>2428</v>
      </c>
      <c r="F98" s="1346">
        <v>2449</v>
      </c>
      <c r="G98" s="1334">
        <v>2457</v>
      </c>
      <c r="H98" s="1349">
        <v>1227</v>
      </c>
      <c r="I98" s="1350">
        <v>1212</v>
      </c>
      <c r="J98" s="1351">
        <v>1242</v>
      </c>
      <c r="K98" s="1334">
        <v>1305</v>
      </c>
      <c r="L98" s="2448">
        <v>403</v>
      </c>
      <c r="M98" s="2449">
        <v>503</v>
      </c>
      <c r="N98" s="2449">
        <v>378</v>
      </c>
      <c r="O98" s="2249">
        <v>310</v>
      </c>
      <c r="P98" s="2443"/>
      <c r="Q98" s="2266">
        <v>1499</v>
      </c>
    </row>
    <row r="99" spans="1:17" ht="15.75" x14ac:dyDescent="0.25">
      <c r="A99" s="513" t="s">
        <v>244</v>
      </c>
      <c r="B99" s="603" t="s">
        <v>245</v>
      </c>
      <c r="C99" s="1053" t="s">
        <v>268</v>
      </c>
      <c r="D99" s="1349">
        <v>1256</v>
      </c>
      <c r="E99" s="1350">
        <v>1190</v>
      </c>
      <c r="F99" s="1346">
        <v>1170</v>
      </c>
      <c r="G99" s="1334">
        <v>1046</v>
      </c>
      <c r="H99" s="1349">
        <v>468</v>
      </c>
      <c r="I99" s="1350">
        <v>461</v>
      </c>
      <c r="J99" s="1351">
        <v>432</v>
      </c>
      <c r="K99" s="1334">
        <v>407</v>
      </c>
      <c r="L99" s="2448">
        <v>237</v>
      </c>
      <c r="M99" s="2449">
        <v>224</v>
      </c>
      <c r="N99" s="2449">
        <v>188</v>
      </c>
      <c r="O99" s="2249">
        <v>113</v>
      </c>
      <c r="P99" s="2443"/>
      <c r="Q99" s="2266">
        <v>470</v>
      </c>
    </row>
    <row r="100" spans="1:17" ht="15.75" x14ac:dyDescent="0.25">
      <c r="A100" s="513" t="s">
        <v>246</v>
      </c>
      <c r="B100" s="603" t="s">
        <v>247</v>
      </c>
      <c r="C100" s="1053" t="s">
        <v>264</v>
      </c>
      <c r="D100" s="1349">
        <v>339</v>
      </c>
      <c r="E100" s="1350">
        <v>310</v>
      </c>
      <c r="F100" s="1346">
        <v>316</v>
      </c>
      <c r="G100" s="1334">
        <v>302</v>
      </c>
      <c r="H100" s="1349">
        <v>153</v>
      </c>
      <c r="I100" s="1350">
        <v>147</v>
      </c>
      <c r="J100" s="1351">
        <v>158</v>
      </c>
      <c r="K100" s="1334">
        <v>142</v>
      </c>
      <c r="L100" s="2448">
        <v>45</v>
      </c>
      <c r="M100" s="2449">
        <v>47</v>
      </c>
      <c r="N100" s="2449">
        <v>36</v>
      </c>
      <c r="O100" s="2249">
        <v>39</v>
      </c>
      <c r="P100" s="2443"/>
      <c r="Q100" s="2266">
        <v>133</v>
      </c>
    </row>
    <row r="101" spans="1:17" ht="15.75" x14ac:dyDescent="0.25">
      <c r="A101" s="513" t="s">
        <v>14</v>
      </c>
      <c r="B101" s="603" t="s">
        <v>15</v>
      </c>
      <c r="C101" s="1053" t="s">
        <v>267</v>
      </c>
      <c r="D101" s="1349">
        <v>732</v>
      </c>
      <c r="E101" s="1350">
        <v>607</v>
      </c>
      <c r="F101" s="1346">
        <v>650</v>
      </c>
      <c r="G101" s="1334">
        <v>611</v>
      </c>
      <c r="H101" s="1349">
        <v>367</v>
      </c>
      <c r="I101" s="1350">
        <v>384</v>
      </c>
      <c r="J101" s="1351">
        <v>402</v>
      </c>
      <c r="K101" s="1334">
        <v>294</v>
      </c>
      <c r="L101" s="2448">
        <v>30</v>
      </c>
      <c r="M101" s="2449">
        <v>49</v>
      </c>
      <c r="N101" s="2449">
        <v>31</v>
      </c>
      <c r="O101" s="2249">
        <v>19</v>
      </c>
      <c r="P101" s="2443"/>
      <c r="Q101" s="2266">
        <v>298</v>
      </c>
    </row>
    <row r="102" spans="1:17" ht="15.75" x14ac:dyDescent="0.25">
      <c r="A102" s="513" t="s">
        <v>34</v>
      </c>
      <c r="B102" s="603" t="s">
        <v>35</v>
      </c>
      <c r="C102" s="1053" t="s">
        <v>268</v>
      </c>
      <c r="D102" s="1349">
        <v>722</v>
      </c>
      <c r="E102" s="1350">
        <v>649</v>
      </c>
      <c r="F102" s="1346">
        <v>670</v>
      </c>
      <c r="G102" s="1334">
        <v>703</v>
      </c>
      <c r="H102" s="1349">
        <v>322</v>
      </c>
      <c r="I102" s="1350">
        <v>325</v>
      </c>
      <c r="J102" s="1351">
        <v>389</v>
      </c>
      <c r="K102" s="1334">
        <v>399</v>
      </c>
      <c r="L102" s="2448">
        <v>12</v>
      </c>
      <c r="M102" s="2449">
        <v>21</v>
      </c>
      <c r="N102" s="2449">
        <v>23</v>
      </c>
      <c r="O102" s="2249">
        <v>39</v>
      </c>
      <c r="P102" s="2443"/>
      <c r="Q102" s="2266">
        <v>358</v>
      </c>
    </row>
    <row r="103" spans="1:17" ht="15.75" x14ac:dyDescent="0.25">
      <c r="A103" s="513" t="s">
        <v>52</v>
      </c>
      <c r="B103" s="603" t="s">
        <v>53</v>
      </c>
      <c r="C103" s="1053" t="s">
        <v>265</v>
      </c>
      <c r="D103" s="1349">
        <v>761</v>
      </c>
      <c r="E103" s="1350">
        <v>657</v>
      </c>
      <c r="F103" s="1346">
        <v>650</v>
      </c>
      <c r="G103" s="1334">
        <v>643</v>
      </c>
      <c r="H103" s="1349">
        <v>436</v>
      </c>
      <c r="I103" s="1350">
        <v>404</v>
      </c>
      <c r="J103" s="1351">
        <v>227</v>
      </c>
      <c r="K103" s="1334">
        <v>344</v>
      </c>
      <c r="L103" s="2448">
        <v>33</v>
      </c>
      <c r="M103" s="2449">
        <v>45</v>
      </c>
      <c r="N103" s="2449">
        <v>59</v>
      </c>
      <c r="O103" s="2249">
        <v>32</v>
      </c>
      <c r="P103" s="2443"/>
      <c r="Q103" s="2266">
        <v>341</v>
      </c>
    </row>
    <row r="104" spans="1:17" ht="15.75" x14ac:dyDescent="0.25">
      <c r="A104" s="513" t="s">
        <v>54</v>
      </c>
      <c r="B104" s="603" t="s">
        <v>55</v>
      </c>
      <c r="C104" s="1053" t="s">
        <v>264</v>
      </c>
      <c r="D104" s="1349">
        <v>2313</v>
      </c>
      <c r="E104" s="1350">
        <v>1989</v>
      </c>
      <c r="F104" s="1346">
        <v>2020</v>
      </c>
      <c r="G104" s="1334">
        <v>1864</v>
      </c>
      <c r="H104" s="1349">
        <v>1326</v>
      </c>
      <c r="I104" s="1350">
        <v>1181</v>
      </c>
      <c r="J104" s="1351">
        <v>1245</v>
      </c>
      <c r="K104" s="1334">
        <v>1289</v>
      </c>
      <c r="L104" s="2448">
        <v>198</v>
      </c>
      <c r="M104" s="2449">
        <v>196</v>
      </c>
      <c r="N104" s="2449">
        <v>227</v>
      </c>
      <c r="O104" s="2249">
        <v>182</v>
      </c>
      <c r="P104" s="2443"/>
      <c r="Q104" s="2266">
        <v>1354</v>
      </c>
    </row>
    <row r="105" spans="1:17" ht="15.75" x14ac:dyDescent="0.25">
      <c r="A105" s="513" t="s">
        <v>66</v>
      </c>
      <c r="B105" s="603" t="s">
        <v>67</v>
      </c>
      <c r="C105" s="1053" t="s">
        <v>265</v>
      </c>
      <c r="D105" s="1349">
        <v>2862</v>
      </c>
      <c r="E105" s="1350">
        <v>2656</v>
      </c>
      <c r="F105" s="1346">
        <v>2772</v>
      </c>
      <c r="G105" s="1334">
        <v>2650</v>
      </c>
      <c r="H105" s="1349">
        <v>1605</v>
      </c>
      <c r="I105" s="1350">
        <v>1791</v>
      </c>
      <c r="J105" s="1351">
        <v>1841</v>
      </c>
      <c r="K105" s="1334">
        <v>1793</v>
      </c>
      <c r="L105" s="2448">
        <v>231</v>
      </c>
      <c r="M105" s="2449">
        <v>198</v>
      </c>
      <c r="N105" s="2449">
        <v>318</v>
      </c>
      <c r="O105" s="2249">
        <v>183</v>
      </c>
      <c r="P105" s="2443"/>
      <c r="Q105" s="2266">
        <v>1940</v>
      </c>
    </row>
    <row r="106" spans="1:17" ht="15.75" x14ac:dyDescent="0.25">
      <c r="A106" s="513" t="s">
        <v>82</v>
      </c>
      <c r="B106" s="603" t="s">
        <v>83</v>
      </c>
      <c r="C106" s="1053" t="s">
        <v>264</v>
      </c>
      <c r="D106" s="1349">
        <v>602</v>
      </c>
      <c r="E106" s="1350">
        <v>543</v>
      </c>
      <c r="F106" s="1346">
        <v>541</v>
      </c>
      <c r="G106" s="1334">
        <v>495</v>
      </c>
      <c r="H106" s="1349">
        <v>337</v>
      </c>
      <c r="I106" s="1350">
        <v>357</v>
      </c>
      <c r="J106" s="1351">
        <v>359</v>
      </c>
      <c r="K106" s="1334">
        <v>341</v>
      </c>
      <c r="L106" s="2448">
        <v>159</v>
      </c>
      <c r="M106" s="2449">
        <v>201</v>
      </c>
      <c r="N106" s="2449">
        <v>161</v>
      </c>
      <c r="O106" s="2249">
        <v>162</v>
      </c>
      <c r="P106" s="2443"/>
      <c r="Q106" s="2266">
        <v>389</v>
      </c>
    </row>
    <row r="107" spans="1:17" ht="15.75" x14ac:dyDescent="0.25">
      <c r="A107" s="513" t="s">
        <v>88</v>
      </c>
      <c r="B107" s="603" t="s">
        <v>89</v>
      </c>
      <c r="C107" s="1053" t="s">
        <v>267</v>
      </c>
      <c r="D107" s="1349">
        <v>490</v>
      </c>
      <c r="E107" s="1350">
        <v>461</v>
      </c>
      <c r="F107" s="1346">
        <v>473</v>
      </c>
      <c r="G107" s="1334">
        <v>470</v>
      </c>
      <c r="H107" s="1349">
        <v>285</v>
      </c>
      <c r="I107" s="1350">
        <v>262</v>
      </c>
      <c r="J107" s="1351">
        <v>309</v>
      </c>
      <c r="K107" s="1334">
        <v>309</v>
      </c>
      <c r="L107" s="2448">
        <v>53</v>
      </c>
      <c r="M107" s="2449">
        <v>51</v>
      </c>
      <c r="N107" s="2449">
        <v>73</v>
      </c>
      <c r="O107" s="2249">
        <v>45</v>
      </c>
      <c r="P107" s="2443"/>
      <c r="Q107" s="2266">
        <v>344</v>
      </c>
    </row>
    <row r="108" spans="1:17" ht="15.75" x14ac:dyDescent="0.25">
      <c r="A108" s="513" t="s">
        <v>90</v>
      </c>
      <c r="B108" s="603" t="s">
        <v>91</v>
      </c>
      <c r="C108" s="1053" t="s">
        <v>268</v>
      </c>
      <c r="D108" s="1349">
        <v>633</v>
      </c>
      <c r="E108" s="1350">
        <v>604</v>
      </c>
      <c r="F108" s="1346">
        <v>621</v>
      </c>
      <c r="G108" s="1334">
        <v>576</v>
      </c>
      <c r="H108" s="1349">
        <v>338</v>
      </c>
      <c r="I108" s="1350">
        <v>350</v>
      </c>
      <c r="J108" s="1351">
        <v>359</v>
      </c>
      <c r="K108" s="1334">
        <v>333</v>
      </c>
      <c r="L108" s="2448">
        <v>105</v>
      </c>
      <c r="M108" s="2449">
        <v>109</v>
      </c>
      <c r="N108" s="2449">
        <v>81</v>
      </c>
      <c r="O108" s="2249">
        <v>55</v>
      </c>
      <c r="P108" s="2443"/>
      <c r="Q108" s="2266">
        <v>336</v>
      </c>
    </row>
    <row r="109" spans="1:17" ht="15.75" x14ac:dyDescent="0.25">
      <c r="A109" s="513" t="s">
        <v>106</v>
      </c>
      <c r="B109" s="603" t="s">
        <v>107</v>
      </c>
      <c r="C109" s="1053" t="s">
        <v>264</v>
      </c>
      <c r="D109" s="1349">
        <v>2352</v>
      </c>
      <c r="E109" s="1350">
        <v>2044</v>
      </c>
      <c r="F109" s="1346">
        <v>2104</v>
      </c>
      <c r="G109" s="1334">
        <v>1950</v>
      </c>
      <c r="H109" s="1349">
        <v>1265</v>
      </c>
      <c r="I109" s="1350">
        <v>1117</v>
      </c>
      <c r="J109" s="1351">
        <v>1148</v>
      </c>
      <c r="K109" s="1334">
        <v>1118</v>
      </c>
      <c r="L109" s="2448">
        <v>205</v>
      </c>
      <c r="M109" s="2449">
        <v>207</v>
      </c>
      <c r="N109" s="2449">
        <v>198</v>
      </c>
      <c r="O109" s="2249">
        <v>205</v>
      </c>
      <c r="P109" s="2443"/>
      <c r="Q109" s="2266">
        <v>1329</v>
      </c>
    </row>
    <row r="110" spans="1:17" ht="15.75" x14ac:dyDescent="0.25">
      <c r="A110" s="513" t="s">
        <v>116</v>
      </c>
      <c r="B110" s="603" t="s">
        <v>117</v>
      </c>
      <c r="C110" s="1053" t="s">
        <v>266</v>
      </c>
      <c r="D110" s="1349">
        <v>741</v>
      </c>
      <c r="E110" s="1350">
        <v>699</v>
      </c>
      <c r="F110" s="1346">
        <v>711</v>
      </c>
      <c r="G110" s="1334">
        <v>668</v>
      </c>
      <c r="H110" s="1349">
        <v>478</v>
      </c>
      <c r="I110" s="1350">
        <v>492</v>
      </c>
      <c r="J110" s="1351">
        <v>560</v>
      </c>
      <c r="K110" s="1334">
        <v>513</v>
      </c>
      <c r="L110" s="2448">
        <v>95</v>
      </c>
      <c r="M110" s="2449">
        <v>125</v>
      </c>
      <c r="N110" s="2449">
        <v>119</v>
      </c>
      <c r="O110" s="2249">
        <v>114</v>
      </c>
      <c r="P110" s="2443"/>
      <c r="Q110" s="2266">
        <v>560</v>
      </c>
    </row>
    <row r="111" spans="1:17" ht="15.75" x14ac:dyDescent="0.25">
      <c r="A111" s="513" t="s">
        <v>138</v>
      </c>
      <c r="B111" s="603" t="s">
        <v>139</v>
      </c>
      <c r="C111" s="1053" t="s">
        <v>265</v>
      </c>
      <c r="D111" s="1349">
        <v>2914</v>
      </c>
      <c r="E111" s="1350">
        <v>2711</v>
      </c>
      <c r="F111" s="1346">
        <v>2733</v>
      </c>
      <c r="G111" s="1334">
        <v>2619</v>
      </c>
      <c r="H111" s="1349">
        <v>1703</v>
      </c>
      <c r="I111" s="1350">
        <v>1672</v>
      </c>
      <c r="J111" s="1351">
        <v>1689</v>
      </c>
      <c r="K111" s="1334">
        <v>1657</v>
      </c>
      <c r="L111" s="2448">
        <v>859</v>
      </c>
      <c r="M111" s="2449">
        <v>814</v>
      </c>
      <c r="N111" s="2449">
        <v>775</v>
      </c>
      <c r="O111" s="2249">
        <v>487</v>
      </c>
      <c r="P111" s="2443"/>
      <c r="Q111" s="2266">
        <v>1802</v>
      </c>
    </row>
    <row r="112" spans="1:17" ht="15.75" x14ac:dyDescent="0.25">
      <c r="A112" s="513" t="s">
        <v>142</v>
      </c>
      <c r="B112" s="603" t="s">
        <v>143</v>
      </c>
      <c r="C112" s="1053" t="s">
        <v>267</v>
      </c>
      <c r="D112" s="1349">
        <v>111</v>
      </c>
      <c r="E112" s="1350">
        <v>118</v>
      </c>
      <c r="F112" s="1346">
        <v>117</v>
      </c>
      <c r="G112" s="1334">
        <v>122</v>
      </c>
      <c r="H112" s="1349">
        <v>64</v>
      </c>
      <c r="I112" s="1350">
        <v>43</v>
      </c>
      <c r="J112" s="1351">
        <v>64</v>
      </c>
      <c r="K112" s="1334">
        <v>55</v>
      </c>
      <c r="L112" s="2448">
        <v>10</v>
      </c>
      <c r="M112" s="2449">
        <v>16</v>
      </c>
      <c r="N112" s="2449">
        <v>11</v>
      </c>
      <c r="O112" s="2249">
        <v>8</v>
      </c>
      <c r="P112" s="2443"/>
      <c r="Q112" s="2266">
        <v>63</v>
      </c>
    </row>
    <row r="113" spans="1:17" ht="15.75" x14ac:dyDescent="0.25">
      <c r="A113" s="513" t="s">
        <v>144</v>
      </c>
      <c r="B113" s="603" t="s">
        <v>145</v>
      </c>
      <c r="C113" s="1053" t="s">
        <v>267</v>
      </c>
      <c r="D113" s="1349">
        <v>50</v>
      </c>
      <c r="E113" s="1350">
        <v>38</v>
      </c>
      <c r="F113" s="1346">
        <v>39</v>
      </c>
      <c r="G113" s="1334">
        <v>40</v>
      </c>
      <c r="H113" s="1349">
        <v>22</v>
      </c>
      <c r="I113" s="1350">
        <v>25</v>
      </c>
      <c r="J113" s="1351">
        <v>22</v>
      </c>
      <c r="K113" s="1334">
        <v>19</v>
      </c>
      <c r="L113" s="2448">
        <v>8</v>
      </c>
      <c r="M113" s="2449">
        <v>10</v>
      </c>
      <c r="N113" s="2449">
        <v>7</v>
      </c>
      <c r="O113" s="2249">
        <v>4</v>
      </c>
      <c r="P113" s="2443"/>
      <c r="Q113" s="2266">
        <v>21</v>
      </c>
    </row>
    <row r="114" spans="1:17" ht="15.75" x14ac:dyDescent="0.25">
      <c r="A114" s="513" t="s">
        <v>158</v>
      </c>
      <c r="B114" s="603" t="s">
        <v>159</v>
      </c>
      <c r="C114" s="1053" t="s">
        <v>264</v>
      </c>
      <c r="D114" s="1349">
        <v>4034</v>
      </c>
      <c r="E114" s="1350">
        <v>3548</v>
      </c>
      <c r="F114" s="1346">
        <v>3669</v>
      </c>
      <c r="G114" s="1334">
        <v>3465</v>
      </c>
      <c r="H114" s="1349">
        <v>2020</v>
      </c>
      <c r="I114" s="1350">
        <v>1950</v>
      </c>
      <c r="J114" s="1351">
        <v>2025</v>
      </c>
      <c r="K114" s="1334">
        <v>2170</v>
      </c>
      <c r="L114" s="2448">
        <v>247</v>
      </c>
      <c r="M114" s="2449">
        <v>309</v>
      </c>
      <c r="N114" s="2449">
        <v>237</v>
      </c>
      <c r="O114" s="2249">
        <v>207</v>
      </c>
      <c r="P114" s="2443"/>
      <c r="Q114" s="2266">
        <v>2115</v>
      </c>
    </row>
    <row r="115" spans="1:17" ht="15.75" x14ac:dyDescent="0.25">
      <c r="A115" s="513" t="s">
        <v>160</v>
      </c>
      <c r="B115" s="603" t="s">
        <v>161</v>
      </c>
      <c r="C115" s="1053" t="s">
        <v>264</v>
      </c>
      <c r="D115" s="1349">
        <v>5020</v>
      </c>
      <c r="E115" s="1350">
        <v>4442</v>
      </c>
      <c r="F115" s="1346">
        <v>4426</v>
      </c>
      <c r="G115" s="1334">
        <v>3961</v>
      </c>
      <c r="H115" s="1349">
        <v>2862</v>
      </c>
      <c r="I115" s="1350">
        <v>2668</v>
      </c>
      <c r="J115" s="1351">
        <v>2699</v>
      </c>
      <c r="K115" s="1334">
        <v>2707</v>
      </c>
      <c r="L115" s="2448">
        <v>268</v>
      </c>
      <c r="M115" s="2449">
        <v>310</v>
      </c>
      <c r="N115" s="2449">
        <v>298</v>
      </c>
      <c r="O115" s="2249">
        <v>239</v>
      </c>
      <c r="P115" s="2443"/>
      <c r="Q115" s="2266">
        <v>2750</v>
      </c>
    </row>
    <row r="116" spans="1:17" ht="15.75" x14ac:dyDescent="0.25">
      <c r="A116" s="513" t="s">
        <v>166</v>
      </c>
      <c r="B116" s="603" t="s">
        <v>167</v>
      </c>
      <c r="C116" s="1053" t="s">
        <v>268</v>
      </c>
      <c r="D116" s="1349">
        <v>374</v>
      </c>
      <c r="E116" s="1350">
        <v>338</v>
      </c>
      <c r="F116" s="1346">
        <v>365</v>
      </c>
      <c r="G116" s="1334">
        <v>354</v>
      </c>
      <c r="H116" s="1349">
        <v>218</v>
      </c>
      <c r="I116" s="1350">
        <v>230</v>
      </c>
      <c r="J116" s="1351">
        <v>222</v>
      </c>
      <c r="K116" s="1334">
        <v>244</v>
      </c>
      <c r="L116" s="2448">
        <v>34</v>
      </c>
      <c r="M116" s="2449">
        <v>41</v>
      </c>
      <c r="N116" s="2449">
        <v>32</v>
      </c>
      <c r="O116" s="2249">
        <v>31</v>
      </c>
      <c r="P116" s="2443"/>
      <c r="Q116" s="2266">
        <v>245</v>
      </c>
    </row>
    <row r="117" spans="1:17" ht="15.75" x14ac:dyDescent="0.25">
      <c r="A117" s="513" t="s">
        <v>176</v>
      </c>
      <c r="B117" s="603" t="s">
        <v>177</v>
      </c>
      <c r="C117" s="1053" t="s">
        <v>266</v>
      </c>
      <c r="D117" s="1349">
        <v>1812</v>
      </c>
      <c r="E117" s="1350">
        <v>1516</v>
      </c>
      <c r="F117" s="1346">
        <v>1524</v>
      </c>
      <c r="G117" s="1334">
        <v>1431</v>
      </c>
      <c r="H117" s="1349">
        <v>851</v>
      </c>
      <c r="I117" s="1350">
        <v>892</v>
      </c>
      <c r="J117" s="1351">
        <v>953</v>
      </c>
      <c r="K117" s="1334">
        <v>903</v>
      </c>
      <c r="L117" s="2448">
        <v>210</v>
      </c>
      <c r="M117" s="2449">
        <v>217</v>
      </c>
      <c r="N117" s="2449">
        <v>211</v>
      </c>
      <c r="O117" s="2249">
        <v>181</v>
      </c>
      <c r="P117" s="2443"/>
      <c r="Q117" s="2266">
        <v>979</v>
      </c>
    </row>
    <row r="118" spans="1:17" ht="15.75" x14ac:dyDescent="0.25">
      <c r="A118" s="513" t="s">
        <v>180</v>
      </c>
      <c r="B118" s="603" t="s">
        <v>181</v>
      </c>
      <c r="C118" s="1053" t="s">
        <v>264</v>
      </c>
      <c r="D118" s="1349">
        <v>2045</v>
      </c>
      <c r="E118" s="1350">
        <v>1850</v>
      </c>
      <c r="F118" s="1346">
        <v>1672</v>
      </c>
      <c r="G118" s="1334">
        <v>1754</v>
      </c>
      <c r="H118" s="1349">
        <v>1390</v>
      </c>
      <c r="I118" s="1350">
        <v>1238</v>
      </c>
      <c r="J118" s="1351">
        <v>1300</v>
      </c>
      <c r="K118" s="1334">
        <v>1214</v>
      </c>
      <c r="L118" s="2448">
        <v>290</v>
      </c>
      <c r="M118" s="2449">
        <v>190</v>
      </c>
      <c r="N118" s="2449">
        <v>291</v>
      </c>
      <c r="O118" s="2249">
        <v>154</v>
      </c>
      <c r="P118" s="2443"/>
      <c r="Q118" s="2266">
        <v>1254</v>
      </c>
    </row>
    <row r="119" spans="1:17" ht="15.75" x14ac:dyDescent="0.25">
      <c r="A119" s="513" t="s">
        <v>192</v>
      </c>
      <c r="B119" s="603" t="s">
        <v>193</v>
      </c>
      <c r="C119" s="1053" t="s">
        <v>268</v>
      </c>
      <c r="D119" s="1349">
        <v>378</v>
      </c>
      <c r="E119" s="1350">
        <v>353</v>
      </c>
      <c r="F119" s="1346">
        <v>327</v>
      </c>
      <c r="G119" s="1334">
        <v>322</v>
      </c>
      <c r="H119" s="1349">
        <v>301</v>
      </c>
      <c r="I119" s="1350">
        <v>232</v>
      </c>
      <c r="J119" s="1351">
        <v>232</v>
      </c>
      <c r="K119" s="1334">
        <v>238</v>
      </c>
      <c r="L119" s="2448">
        <v>117</v>
      </c>
      <c r="M119" s="2449">
        <v>69</v>
      </c>
      <c r="N119" s="2449">
        <v>49</v>
      </c>
      <c r="O119" s="2249">
        <v>28</v>
      </c>
      <c r="P119" s="2443"/>
      <c r="Q119" s="2266">
        <v>232</v>
      </c>
    </row>
    <row r="120" spans="1:17" ht="15.75" x14ac:dyDescent="0.25">
      <c r="A120" s="513" t="s">
        <v>196</v>
      </c>
      <c r="B120" s="603" t="s">
        <v>197</v>
      </c>
      <c r="C120" s="1053" t="s">
        <v>266</v>
      </c>
      <c r="D120" s="1349">
        <v>5720</v>
      </c>
      <c r="E120" s="1350">
        <v>5262</v>
      </c>
      <c r="F120" s="1346">
        <v>5439</v>
      </c>
      <c r="G120" s="1334">
        <v>4864</v>
      </c>
      <c r="H120" s="1349">
        <v>3288</v>
      </c>
      <c r="I120" s="1350">
        <v>3177</v>
      </c>
      <c r="J120" s="1351">
        <v>2382</v>
      </c>
      <c r="K120" s="1334">
        <v>2501</v>
      </c>
      <c r="L120" s="2448">
        <v>508</v>
      </c>
      <c r="M120" s="2449">
        <v>493</v>
      </c>
      <c r="N120" s="2449">
        <v>593</v>
      </c>
      <c r="O120" s="2249">
        <v>486</v>
      </c>
      <c r="P120" s="2443"/>
      <c r="Q120" s="2266">
        <v>3039</v>
      </c>
    </row>
    <row r="121" spans="1:17" ht="15.75" x14ac:dyDescent="0.25">
      <c r="A121" s="513" t="s">
        <v>200</v>
      </c>
      <c r="B121" s="603" t="s">
        <v>201</v>
      </c>
      <c r="C121" s="1053" t="s">
        <v>265</v>
      </c>
      <c r="D121" s="1349">
        <v>3412</v>
      </c>
      <c r="E121" s="1350">
        <v>3160</v>
      </c>
      <c r="F121" s="1346">
        <v>3288</v>
      </c>
      <c r="G121" s="1334">
        <v>3047</v>
      </c>
      <c r="H121" s="1349">
        <v>1804</v>
      </c>
      <c r="I121" s="1350">
        <v>1823</v>
      </c>
      <c r="J121" s="1351">
        <v>1844</v>
      </c>
      <c r="K121" s="1334">
        <v>1894</v>
      </c>
      <c r="L121" s="2448">
        <v>441</v>
      </c>
      <c r="M121" s="2449">
        <v>486</v>
      </c>
      <c r="N121" s="2449">
        <v>335</v>
      </c>
      <c r="O121" s="2249">
        <v>299</v>
      </c>
      <c r="P121" s="2443"/>
      <c r="Q121" s="2266">
        <v>1876</v>
      </c>
    </row>
    <row r="122" spans="1:17" ht="15.75" x14ac:dyDescent="0.25">
      <c r="A122" s="513" t="s">
        <v>222</v>
      </c>
      <c r="B122" s="603" t="s">
        <v>223</v>
      </c>
      <c r="C122" s="1053" t="s">
        <v>264</v>
      </c>
      <c r="D122" s="1349">
        <v>2075</v>
      </c>
      <c r="E122" s="1350">
        <v>1790</v>
      </c>
      <c r="F122" s="1346">
        <v>1833</v>
      </c>
      <c r="G122" s="1334">
        <v>1675</v>
      </c>
      <c r="H122" s="1349">
        <v>1046</v>
      </c>
      <c r="I122" s="1350">
        <v>1017</v>
      </c>
      <c r="J122" s="1351">
        <v>1055</v>
      </c>
      <c r="K122" s="1334">
        <v>1068</v>
      </c>
      <c r="L122" s="2448">
        <v>262</v>
      </c>
      <c r="M122" s="2449">
        <v>236</v>
      </c>
      <c r="N122" s="2449">
        <v>202</v>
      </c>
      <c r="O122" s="2249">
        <v>142</v>
      </c>
      <c r="P122" s="2443"/>
      <c r="Q122" s="2266">
        <v>1064</v>
      </c>
    </row>
    <row r="123" spans="1:17" ht="15.75" x14ac:dyDescent="0.25">
      <c r="A123" s="513" t="s">
        <v>230</v>
      </c>
      <c r="B123" s="603" t="s">
        <v>231</v>
      </c>
      <c r="C123" s="1053" t="s">
        <v>264</v>
      </c>
      <c r="D123" s="1349">
        <v>2782</v>
      </c>
      <c r="E123" s="1350">
        <v>2413</v>
      </c>
      <c r="F123" s="1346">
        <v>2321</v>
      </c>
      <c r="G123" s="1334">
        <v>2161</v>
      </c>
      <c r="H123" s="1349">
        <v>1280</v>
      </c>
      <c r="I123" s="1350">
        <v>1237</v>
      </c>
      <c r="J123" s="1351">
        <v>1149</v>
      </c>
      <c r="K123" s="1334">
        <v>1181</v>
      </c>
      <c r="L123" s="2448">
        <v>275</v>
      </c>
      <c r="M123" s="2449">
        <v>293</v>
      </c>
      <c r="N123" s="2449">
        <v>251</v>
      </c>
      <c r="O123" s="2249">
        <v>222</v>
      </c>
      <c r="P123" s="2443"/>
      <c r="Q123" s="2266">
        <v>1328</v>
      </c>
    </row>
    <row r="124" spans="1:17" ht="15.75" x14ac:dyDescent="0.25">
      <c r="A124" s="513" t="s">
        <v>238</v>
      </c>
      <c r="B124" s="603" t="s">
        <v>239</v>
      </c>
      <c r="C124" s="1053" t="s">
        <v>264</v>
      </c>
      <c r="D124" s="1349">
        <v>55</v>
      </c>
      <c r="E124" s="1350">
        <v>42</v>
      </c>
      <c r="F124" s="1346">
        <v>41</v>
      </c>
      <c r="G124" s="1334">
        <v>43</v>
      </c>
      <c r="H124" s="1349">
        <v>24</v>
      </c>
      <c r="I124" s="1350">
        <v>22</v>
      </c>
      <c r="J124" s="1351">
        <v>31</v>
      </c>
      <c r="K124" s="1334">
        <v>26</v>
      </c>
      <c r="L124" s="2448">
        <v>5</v>
      </c>
      <c r="M124" s="2449">
        <v>4</v>
      </c>
      <c r="N124" s="2449">
        <v>11</v>
      </c>
      <c r="O124" s="2249">
        <v>3</v>
      </c>
      <c r="P124" s="2443"/>
      <c r="Q124" s="2266">
        <v>30</v>
      </c>
    </row>
    <row r="125" spans="1:17" ht="15.75" x14ac:dyDescent="0.25">
      <c r="A125" s="514" t="s">
        <v>240</v>
      </c>
      <c r="B125" s="517" t="s">
        <v>241</v>
      </c>
      <c r="C125" s="1054" t="s">
        <v>267</v>
      </c>
      <c r="D125" s="1352">
        <v>456</v>
      </c>
      <c r="E125" s="1353">
        <v>395</v>
      </c>
      <c r="F125" s="1347">
        <v>396</v>
      </c>
      <c r="G125" s="1544">
        <v>391</v>
      </c>
      <c r="H125" s="1352">
        <v>220</v>
      </c>
      <c r="I125" s="1353">
        <v>191</v>
      </c>
      <c r="J125" s="1354">
        <v>211</v>
      </c>
      <c r="K125" s="1544">
        <v>191</v>
      </c>
      <c r="L125" s="1352">
        <v>81</v>
      </c>
      <c r="M125" s="1546">
        <v>77</v>
      </c>
      <c r="N125" s="1546">
        <v>56</v>
      </c>
      <c r="O125" s="2450">
        <v>42</v>
      </c>
      <c r="P125" s="2443"/>
      <c r="Q125" s="2438">
        <v>216</v>
      </c>
    </row>
    <row r="127" spans="1:17" ht="15.75" x14ac:dyDescent="0.25">
      <c r="A127" s="2737" t="s">
        <v>1441</v>
      </c>
      <c r="B127" s="2737"/>
      <c r="C127" s="2737"/>
      <c r="D127" s="2737"/>
      <c r="E127" s="1030"/>
      <c r="F127" s="1330"/>
      <c r="G127" s="1520"/>
      <c r="I127" s="1030"/>
      <c r="J127" s="1330"/>
      <c r="K127" s="1520"/>
      <c r="M127" s="1030"/>
      <c r="N127" s="1330"/>
      <c r="O127" s="1520"/>
      <c r="P127" s="2440"/>
    </row>
    <row r="129" spans="1:16" s="389" customFormat="1" ht="15.75" x14ac:dyDescent="0.25">
      <c r="A129" s="389" t="s">
        <v>248</v>
      </c>
      <c r="P129" s="788"/>
    </row>
    <row r="130" spans="1:16" s="389" customFormat="1" ht="15.75" x14ac:dyDescent="0.25">
      <c r="A130" s="390" t="s">
        <v>249</v>
      </c>
      <c r="B130" s="391" t="s">
        <v>250</v>
      </c>
      <c r="C130" s="391"/>
      <c r="P130" s="788"/>
    </row>
  </sheetData>
  <autoFilter ref="A4:C125"/>
  <sortState ref="A6:U125">
    <sortCondition ref="A6:A125"/>
  </sortState>
  <mergeCells count="4">
    <mergeCell ref="A127:D127"/>
    <mergeCell ref="L3:O3"/>
    <mergeCell ref="H3:K3"/>
    <mergeCell ref="D3:G3"/>
  </mergeCells>
  <hyperlinks>
    <hyperlink ref="B130"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31"/>
  <sheetViews>
    <sheetView topLeftCell="A4" workbookViewId="0">
      <selection activeCell="A4" sqref="A4:G124"/>
    </sheetView>
  </sheetViews>
  <sheetFormatPr defaultRowHeight="15.75" x14ac:dyDescent="0.25"/>
  <cols>
    <col min="1" max="1" width="5.875" style="505" customWidth="1"/>
    <col min="2" max="2" width="29.5" style="505" customWidth="1"/>
    <col min="3" max="3" width="16.25" style="505" customWidth="1"/>
    <col min="4" max="7" width="11.375" style="505" customWidth="1"/>
    <col min="8" max="8" width="3.875" style="505" customWidth="1"/>
    <col min="9" max="16384" width="9" style="505"/>
  </cols>
  <sheetData>
    <row r="1" spans="1:7" x14ac:dyDescent="0.25">
      <c r="A1" s="255" t="s">
        <v>1435</v>
      </c>
    </row>
    <row r="3" spans="1:7" x14ac:dyDescent="0.25">
      <c r="A3" s="607" t="s">
        <v>4</v>
      </c>
      <c r="B3" s="567" t="s">
        <v>5</v>
      </c>
      <c r="C3" s="567" t="s">
        <v>251</v>
      </c>
      <c r="D3" s="2265" t="s">
        <v>859</v>
      </c>
      <c r="E3" s="2265" t="s">
        <v>1073</v>
      </c>
      <c r="F3" s="2265" t="s">
        <v>1181</v>
      </c>
      <c r="G3" s="2265" t="s">
        <v>1433</v>
      </c>
    </row>
    <row r="4" spans="1:7" x14ac:dyDescent="0.25">
      <c r="A4" s="1411">
        <v>999</v>
      </c>
      <c r="B4" s="1412" t="s">
        <v>783</v>
      </c>
      <c r="C4" s="1412"/>
      <c r="D4" s="2436">
        <f>SUM(D5:D124)</f>
        <v>26081</v>
      </c>
      <c r="E4" s="2436">
        <f>SUM(E5:E124)</f>
        <v>25344</v>
      </c>
      <c r="F4" s="2436">
        <f>SUM(F5:F124)</f>
        <v>22359</v>
      </c>
      <c r="G4" s="2436">
        <v>19929</v>
      </c>
    </row>
    <row r="5" spans="1:7" s="606" customFormat="1" x14ac:dyDescent="0.25">
      <c r="A5" s="602" t="s">
        <v>10</v>
      </c>
      <c r="B5" s="603" t="s">
        <v>11</v>
      </c>
      <c r="C5" s="603" t="s">
        <v>264</v>
      </c>
      <c r="D5" s="2416">
        <v>62</v>
      </c>
      <c r="E5" s="2416">
        <v>55</v>
      </c>
      <c r="F5" s="2416">
        <v>52</v>
      </c>
      <c r="G5" s="2416">
        <v>27</v>
      </c>
    </row>
    <row r="6" spans="1:7" s="606" customFormat="1" x14ac:dyDescent="0.25">
      <c r="A6" s="602" t="s">
        <v>12</v>
      </c>
      <c r="B6" s="603" t="s">
        <v>13</v>
      </c>
      <c r="C6" s="603" t="s">
        <v>265</v>
      </c>
      <c r="D6" s="2416">
        <v>196</v>
      </c>
      <c r="E6" s="2416">
        <v>180</v>
      </c>
      <c r="F6" s="2416">
        <v>159</v>
      </c>
      <c r="G6" s="2416">
        <v>146</v>
      </c>
    </row>
    <row r="7" spans="1:7" s="606" customFormat="1" x14ac:dyDescent="0.25">
      <c r="A7" s="602" t="s">
        <v>16</v>
      </c>
      <c r="B7" s="603" t="s">
        <v>297</v>
      </c>
      <c r="C7" s="603" t="s">
        <v>265</v>
      </c>
      <c r="D7" s="2416">
        <v>56</v>
      </c>
      <c r="E7" s="2416">
        <v>50</v>
      </c>
      <c r="F7" s="2416">
        <v>48</v>
      </c>
      <c r="G7" s="2416">
        <v>33</v>
      </c>
    </row>
    <row r="8" spans="1:7" s="606" customFormat="1" x14ac:dyDescent="0.25">
      <c r="A8" s="602" t="s">
        <v>18</v>
      </c>
      <c r="B8" s="603" t="s">
        <v>19</v>
      </c>
      <c r="C8" s="603" t="s">
        <v>266</v>
      </c>
      <c r="D8" s="2416">
        <v>31</v>
      </c>
      <c r="E8" s="2416">
        <v>29</v>
      </c>
      <c r="F8" s="2416">
        <v>21</v>
      </c>
      <c r="G8" s="2416">
        <v>15</v>
      </c>
    </row>
    <row r="9" spans="1:7" s="606" customFormat="1" x14ac:dyDescent="0.25">
      <c r="A9" s="602" t="s">
        <v>20</v>
      </c>
      <c r="B9" s="603" t="s">
        <v>21</v>
      </c>
      <c r="C9" s="603" t="s">
        <v>265</v>
      </c>
      <c r="D9" s="2416">
        <v>108</v>
      </c>
      <c r="E9" s="2416">
        <v>84</v>
      </c>
      <c r="F9" s="2416">
        <v>85</v>
      </c>
      <c r="G9" s="2416">
        <v>69</v>
      </c>
    </row>
    <row r="10" spans="1:7" s="606" customFormat="1" x14ac:dyDescent="0.25">
      <c r="A10" s="602" t="s">
        <v>22</v>
      </c>
      <c r="B10" s="603" t="s">
        <v>23</v>
      </c>
      <c r="C10" s="603" t="s">
        <v>265</v>
      </c>
      <c r="D10" s="2416">
        <v>34</v>
      </c>
      <c r="E10" s="2416">
        <v>32</v>
      </c>
      <c r="F10" s="2416">
        <v>27</v>
      </c>
      <c r="G10" s="2416">
        <v>18</v>
      </c>
    </row>
    <row r="11" spans="1:7" s="606" customFormat="1" x14ac:dyDescent="0.25">
      <c r="A11" s="602" t="s">
        <v>24</v>
      </c>
      <c r="B11" s="603" t="s">
        <v>25</v>
      </c>
      <c r="C11" s="603" t="s">
        <v>267</v>
      </c>
      <c r="D11" s="2416">
        <v>384</v>
      </c>
      <c r="E11" s="2416">
        <v>352</v>
      </c>
      <c r="F11" s="2416">
        <v>309</v>
      </c>
      <c r="G11" s="2416">
        <v>255</v>
      </c>
    </row>
    <row r="12" spans="1:7" s="606" customFormat="1" x14ac:dyDescent="0.25">
      <c r="A12" s="602" t="s">
        <v>26</v>
      </c>
      <c r="B12" s="603" t="s">
        <v>685</v>
      </c>
      <c r="C12" s="603" t="s">
        <v>265</v>
      </c>
      <c r="D12" s="2416">
        <v>392</v>
      </c>
      <c r="E12" s="2416">
        <v>312</v>
      </c>
      <c r="F12" s="2416">
        <v>262</v>
      </c>
      <c r="G12" s="2416">
        <v>264</v>
      </c>
    </row>
    <row r="13" spans="1:7" s="606" customFormat="1" x14ac:dyDescent="0.25">
      <c r="A13" s="602" t="s">
        <v>27</v>
      </c>
      <c r="B13" s="603" t="s">
        <v>28</v>
      </c>
      <c r="C13" s="603" t="s">
        <v>265</v>
      </c>
      <c r="D13" s="2416">
        <v>1</v>
      </c>
      <c r="E13" s="2416">
        <v>1</v>
      </c>
      <c r="F13" s="2416">
        <v>1</v>
      </c>
      <c r="G13" s="2416">
        <v>0</v>
      </c>
    </row>
    <row r="14" spans="1:7" s="606" customFormat="1" x14ac:dyDescent="0.25">
      <c r="A14" s="602" t="s">
        <v>29</v>
      </c>
      <c r="B14" s="603" t="s">
        <v>901</v>
      </c>
      <c r="C14" s="603" t="s">
        <v>265</v>
      </c>
      <c r="D14" s="2416">
        <v>142</v>
      </c>
      <c r="E14" s="2416">
        <v>138</v>
      </c>
      <c r="F14" s="2416">
        <v>131</v>
      </c>
      <c r="G14" s="2416">
        <v>102</v>
      </c>
    </row>
    <row r="15" spans="1:7" s="606" customFormat="1" x14ac:dyDescent="0.25">
      <c r="A15" s="602" t="s">
        <v>30</v>
      </c>
      <c r="B15" s="603" t="s">
        <v>31</v>
      </c>
      <c r="C15" s="603" t="s">
        <v>268</v>
      </c>
      <c r="D15" s="2416">
        <v>6</v>
      </c>
      <c r="E15" s="2416">
        <v>6</v>
      </c>
      <c r="F15" s="2416">
        <v>5</v>
      </c>
      <c r="G15" s="2416">
        <v>12</v>
      </c>
    </row>
    <row r="16" spans="1:7" s="606" customFormat="1" x14ac:dyDescent="0.25">
      <c r="A16" s="602" t="s">
        <v>32</v>
      </c>
      <c r="B16" s="603" t="s">
        <v>33</v>
      </c>
      <c r="C16" s="603" t="s">
        <v>265</v>
      </c>
      <c r="D16" s="2416">
        <v>57</v>
      </c>
      <c r="E16" s="2416">
        <v>50</v>
      </c>
      <c r="F16" s="2416">
        <v>52</v>
      </c>
      <c r="G16" s="2416">
        <v>43</v>
      </c>
    </row>
    <row r="17" spans="1:7" s="606" customFormat="1" x14ac:dyDescent="0.25">
      <c r="A17" s="602" t="s">
        <v>36</v>
      </c>
      <c r="B17" s="603" t="s">
        <v>37</v>
      </c>
      <c r="C17" s="603" t="s">
        <v>264</v>
      </c>
      <c r="D17" s="2416">
        <v>38</v>
      </c>
      <c r="E17" s="2416">
        <v>28</v>
      </c>
      <c r="F17" s="2416">
        <v>25</v>
      </c>
      <c r="G17" s="2416">
        <v>20</v>
      </c>
    </row>
    <row r="18" spans="1:7" s="606" customFormat="1" x14ac:dyDescent="0.25">
      <c r="A18" s="602" t="s">
        <v>38</v>
      </c>
      <c r="B18" s="603" t="s">
        <v>39</v>
      </c>
      <c r="C18" s="603" t="s">
        <v>268</v>
      </c>
      <c r="D18" s="2416">
        <v>6</v>
      </c>
      <c r="E18" s="2416">
        <v>1</v>
      </c>
      <c r="F18" s="2416">
        <v>0</v>
      </c>
      <c r="G18" s="2416">
        <v>4</v>
      </c>
    </row>
    <row r="19" spans="1:7" s="606" customFormat="1" x14ac:dyDescent="0.25">
      <c r="A19" s="602" t="s">
        <v>40</v>
      </c>
      <c r="B19" s="603" t="s">
        <v>41</v>
      </c>
      <c r="C19" s="603" t="s">
        <v>266</v>
      </c>
      <c r="D19" s="2416">
        <v>26</v>
      </c>
      <c r="E19" s="2416">
        <v>24</v>
      </c>
      <c r="F19" s="2416">
        <v>18</v>
      </c>
      <c r="G19" s="2416">
        <v>13</v>
      </c>
    </row>
    <row r="20" spans="1:7" s="606" customFormat="1" x14ac:dyDescent="0.25">
      <c r="A20" s="602" t="s">
        <v>42</v>
      </c>
      <c r="B20" s="603" t="s">
        <v>43</v>
      </c>
      <c r="C20" s="603" t="s">
        <v>265</v>
      </c>
      <c r="D20" s="2416">
        <v>164</v>
      </c>
      <c r="E20" s="2416">
        <v>180</v>
      </c>
      <c r="F20" s="2416">
        <v>141</v>
      </c>
      <c r="G20" s="2416">
        <v>150</v>
      </c>
    </row>
    <row r="21" spans="1:7" s="606" customFormat="1" x14ac:dyDescent="0.25">
      <c r="A21" s="602" t="s">
        <v>44</v>
      </c>
      <c r="B21" s="603" t="s">
        <v>45</v>
      </c>
      <c r="C21" s="603" t="s">
        <v>266</v>
      </c>
      <c r="D21" s="2416">
        <v>89</v>
      </c>
      <c r="E21" s="2416">
        <v>93</v>
      </c>
      <c r="F21" s="2416">
        <v>101</v>
      </c>
      <c r="G21" s="2416">
        <v>87</v>
      </c>
    </row>
    <row r="22" spans="1:7" s="606" customFormat="1" x14ac:dyDescent="0.25">
      <c r="A22" s="602" t="s">
        <v>46</v>
      </c>
      <c r="B22" s="603" t="s">
        <v>47</v>
      </c>
      <c r="C22" s="603" t="s">
        <v>268</v>
      </c>
      <c r="D22" s="2416">
        <v>106</v>
      </c>
      <c r="E22" s="2416">
        <v>118</v>
      </c>
      <c r="F22" s="2416">
        <v>111</v>
      </c>
      <c r="G22" s="2416">
        <v>97</v>
      </c>
    </row>
    <row r="23" spans="1:7" s="606" customFormat="1" x14ac:dyDescent="0.25">
      <c r="A23" s="602" t="s">
        <v>48</v>
      </c>
      <c r="B23" s="603" t="s">
        <v>269</v>
      </c>
      <c r="C23" s="603" t="s">
        <v>266</v>
      </c>
      <c r="D23" s="2416">
        <v>25</v>
      </c>
      <c r="E23" s="2416">
        <v>29</v>
      </c>
      <c r="F23" s="2416">
        <v>33</v>
      </c>
      <c r="G23" s="2416">
        <v>15</v>
      </c>
    </row>
    <row r="24" spans="1:7" s="606" customFormat="1" x14ac:dyDescent="0.25">
      <c r="A24" s="602" t="s">
        <v>50</v>
      </c>
      <c r="B24" s="603" t="s">
        <v>51</v>
      </c>
      <c r="C24" s="603" t="s">
        <v>265</v>
      </c>
      <c r="D24" s="2416">
        <v>15</v>
      </c>
      <c r="E24" s="2416">
        <v>8</v>
      </c>
      <c r="F24" s="2416">
        <v>5</v>
      </c>
      <c r="G24" s="2416">
        <v>6</v>
      </c>
    </row>
    <row r="25" spans="1:7" s="606" customFormat="1" x14ac:dyDescent="0.25">
      <c r="A25" s="602" t="s">
        <v>56</v>
      </c>
      <c r="B25" s="603" t="s">
        <v>295</v>
      </c>
      <c r="C25" s="603" t="s">
        <v>266</v>
      </c>
      <c r="D25" s="2416">
        <v>576</v>
      </c>
      <c r="E25" s="2416">
        <v>525</v>
      </c>
      <c r="F25" s="2416">
        <v>534</v>
      </c>
      <c r="G25" s="2416">
        <v>496</v>
      </c>
    </row>
    <row r="26" spans="1:7" s="606" customFormat="1" x14ac:dyDescent="0.25">
      <c r="A26" s="602" t="s">
        <v>58</v>
      </c>
      <c r="B26" s="603" t="s">
        <v>59</v>
      </c>
      <c r="C26" s="603" t="s">
        <v>267</v>
      </c>
      <c r="D26" s="2416">
        <v>29</v>
      </c>
      <c r="E26" s="2416">
        <v>33</v>
      </c>
      <c r="F26" s="2416">
        <v>27</v>
      </c>
      <c r="G26" s="2416">
        <v>11</v>
      </c>
    </row>
    <row r="27" spans="1:7" s="606" customFormat="1" x14ac:dyDescent="0.25">
      <c r="A27" s="602" t="s">
        <v>60</v>
      </c>
      <c r="B27" s="603" t="s">
        <v>61</v>
      </c>
      <c r="C27" s="603" t="s">
        <v>265</v>
      </c>
      <c r="D27" s="2416">
        <v>16</v>
      </c>
      <c r="E27" s="2416">
        <v>24</v>
      </c>
      <c r="F27" s="2416">
        <v>27</v>
      </c>
      <c r="G27" s="2416">
        <v>33</v>
      </c>
    </row>
    <row r="28" spans="1:7" s="606" customFormat="1" x14ac:dyDescent="0.25">
      <c r="A28" s="602" t="s">
        <v>62</v>
      </c>
      <c r="B28" s="603" t="s">
        <v>63</v>
      </c>
      <c r="C28" s="603" t="s">
        <v>267</v>
      </c>
      <c r="D28" s="2416">
        <v>262</v>
      </c>
      <c r="E28" s="2416">
        <v>244</v>
      </c>
      <c r="F28" s="2416">
        <v>238</v>
      </c>
      <c r="G28" s="2416">
        <v>292</v>
      </c>
    </row>
    <row r="29" spans="1:7" s="606" customFormat="1" x14ac:dyDescent="0.25">
      <c r="A29" s="602" t="s">
        <v>64</v>
      </c>
      <c r="B29" s="603" t="s">
        <v>65</v>
      </c>
      <c r="C29" s="603" t="s">
        <v>266</v>
      </c>
      <c r="D29" s="2416">
        <v>24</v>
      </c>
      <c r="E29" s="2416">
        <v>32</v>
      </c>
      <c r="F29" s="2416">
        <v>29</v>
      </c>
      <c r="G29" s="2416">
        <v>21</v>
      </c>
    </row>
    <row r="30" spans="1:7" s="606" customFormat="1" x14ac:dyDescent="0.25">
      <c r="A30" s="602" t="s">
        <v>68</v>
      </c>
      <c r="B30" s="603" t="s">
        <v>69</v>
      </c>
      <c r="C30" s="603" t="s">
        <v>268</v>
      </c>
      <c r="D30" s="2416">
        <v>19</v>
      </c>
      <c r="E30" s="2416">
        <v>15</v>
      </c>
      <c r="F30" s="2416">
        <v>16</v>
      </c>
      <c r="G30" s="2416">
        <v>15</v>
      </c>
    </row>
    <row r="31" spans="1:7" s="606" customFormat="1" x14ac:dyDescent="0.25">
      <c r="A31" s="602" t="s">
        <v>70</v>
      </c>
      <c r="B31" s="603" t="s">
        <v>71</v>
      </c>
      <c r="C31" s="603" t="s">
        <v>264</v>
      </c>
      <c r="D31" s="2416">
        <v>72</v>
      </c>
      <c r="E31" s="2416">
        <v>70</v>
      </c>
      <c r="F31" s="2416">
        <v>47</v>
      </c>
      <c r="G31" s="2416">
        <v>33</v>
      </c>
    </row>
    <row r="32" spans="1:7" s="606" customFormat="1" x14ac:dyDescent="0.25">
      <c r="A32" s="602" t="s">
        <v>72</v>
      </c>
      <c r="B32" s="603" t="s">
        <v>73</v>
      </c>
      <c r="C32" s="603" t="s">
        <v>266</v>
      </c>
      <c r="D32" s="2416">
        <v>97</v>
      </c>
      <c r="E32" s="2416">
        <v>79</v>
      </c>
      <c r="F32" s="2416">
        <v>69</v>
      </c>
      <c r="G32" s="2416">
        <v>45</v>
      </c>
    </row>
    <row r="33" spans="1:7" s="606" customFormat="1" x14ac:dyDescent="0.25">
      <c r="A33" s="602" t="s">
        <v>74</v>
      </c>
      <c r="B33" s="603" t="s">
        <v>296</v>
      </c>
      <c r="C33" s="603" t="s">
        <v>267</v>
      </c>
      <c r="D33" s="2416">
        <v>2566</v>
      </c>
      <c r="E33" s="2416">
        <v>2829</v>
      </c>
      <c r="F33" s="2416">
        <v>2441</v>
      </c>
      <c r="G33" s="2416">
        <v>2321</v>
      </c>
    </row>
    <row r="34" spans="1:7" s="606" customFormat="1" x14ac:dyDescent="0.25">
      <c r="A34" s="602" t="s">
        <v>76</v>
      </c>
      <c r="B34" s="603" t="s">
        <v>77</v>
      </c>
      <c r="C34" s="603" t="s">
        <v>267</v>
      </c>
      <c r="D34" s="2416">
        <v>177</v>
      </c>
      <c r="E34" s="2416">
        <v>142</v>
      </c>
      <c r="F34" s="2416">
        <v>121</v>
      </c>
      <c r="G34" s="2416">
        <v>100</v>
      </c>
    </row>
    <row r="35" spans="1:7" s="606" customFormat="1" x14ac:dyDescent="0.25">
      <c r="A35" s="602" t="s">
        <v>78</v>
      </c>
      <c r="B35" s="603" t="s">
        <v>79</v>
      </c>
      <c r="C35" s="603" t="s">
        <v>268</v>
      </c>
      <c r="D35" s="2416">
        <v>17</v>
      </c>
      <c r="E35" s="2416">
        <v>13</v>
      </c>
      <c r="F35" s="2416">
        <v>13</v>
      </c>
      <c r="G35" s="2416">
        <v>8</v>
      </c>
    </row>
    <row r="36" spans="1:7" s="606" customFormat="1" x14ac:dyDescent="0.25">
      <c r="A36" s="602" t="s">
        <v>80</v>
      </c>
      <c r="B36" s="603" t="s">
        <v>81</v>
      </c>
      <c r="C36" s="603" t="s">
        <v>266</v>
      </c>
      <c r="D36" s="2416">
        <v>55</v>
      </c>
      <c r="E36" s="2416">
        <v>45</v>
      </c>
      <c r="F36" s="2416">
        <v>38</v>
      </c>
      <c r="G36" s="2416">
        <v>33</v>
      </c>
    </row>
    <row r="37" spans="1:7" s="606" customFormat="1" x14ac:dyDescent="0.25">
      <c r="A37" s="602" t="s">
        <v>84</v>
      </c>
      <c r="B37" s="603" t="s">
        <v>85</v>
      </c>
      <c r="C37" s="603" t="s">
        <v>265</v>
      </c>
      <c r="D37" s="2416">
        <v>143</v>
      </c>
      <c r="E37" s="2416">
        <v>157</v>
      </c>
      <c r="F37" s="2416">
        <v>136</v>
      </c>
      <c r="G37" s="2416">
        <v>111</v>
      </c>
    </row>
    <row r="38" spans="1:7" s="606" customFormat="1" x14ac:dyDescent="0.25">
      <c r="A38" s="602" t="s">
        <v>86</v>
      </c>
      <c r="B38" s="603" t="s">
        <v>87</v>
      </c>
      <c r="C38" s="603" t="s">
        <v>267</v>
      </c>
      <c r="D38" s="2416">
        <v>158</v>
      </c>
      <c r="E38" s="2416">
        <v>139</v>
      </c>
      <c r="F38" s="2416">
        <v>138</v>
      </c>
      <c r="G38" s="2416">
        <v>144</v>
      </c>
    </row>
    <row r="39" spans="1:7" s="606" customFormat="1" x14ac:dyDescent="0.25">
      <c r="A39" s="602" t="s">
        <v>92</v>
      </c>
      <c r="B39" s="603" t="s">
        <v>93</v>
      </c>
      <c r="C39" s="603" t="s">
        <v>268</v>
      </c>
      <c r="D39" s="2416">
        <v>41</v>
      </c>
      <c r="E39" s="2416">
        <v>41</v>
      </c>
      <c r="F39" s="2416">
        <v>28</v>
      </c>
      <c r="G39" s="2416">
        <v>23</v>
      </c>
    </row>
    <row r="40" spans="1:7" s="606" customFormat="1" x14ac:dyDescent="0.25">
      <c r="A40" s="602" t="s">
        <v>94</v>
      </c>
      <c r="B40" s="603" t="s">
        <v>95</v>
      </c>
      <c r="C40" s="603" t="s">
        <v>264</v>
      </c>
      <c r="D40" s="2416">
        <v>100</v>
      </c>
      <c r="E40" s="2416">
        <v>101</v>
      </c>
      <c r="F40" s="2416">
        <v>93</v>
      </c>
      <c r="G40" s="2416">
        <v>74</v>
      </c>
    </row>
    <row r="41" spans="1:7" s="606" customFormat="1" x14ac:dyDescent="0.25">
      <c r="A41" s="602" t="s">
        <v>96</v>
      </c>
      <c r="B41" s="603" t="s">
        <v>97</v>
      </c>
      <c r="C41" s="603" t="s">
        <v>266</v>
      </c>
      <c r="D41" s="2416">
        <v>46</v>
      </c>
      <c r="E41" s="2416">
        <v>45</v>
      </c>
      <c r="F41" s="2416">
        <v>41</v>
      </c>
      <c r="G41" s="2416">
        <v>30</v>
      </c>
    </row>
    <row r="42" spans="1:7" s="606" customFormat="1" x14ac:dyDescent="0.25">
      <c r="A42" s="602" t="s">
        <v>98</v>
      </c>
      <c r="B42" s="603" t="s">
        <v>99</v>
      </c>
      <c r="C42" s="603" t="s">
        <v>268</v>
      </c>
      <c r="D42" s="2416">
        <v>18</v>
      </c>
      <c r="E42" s="2416">
        <v>16</v>
      </c>
      <c r="F42" s="2416">
        <v>16</v>
      </c>
      <c r="G42" s="2416">
        <v>16</v>
      </c>
    </row>
    <row r="43" spans="1:7" s="606" customFormat="1" x14ac:dyDescent="0.25">
      <c r="A43" s="602" t="s">
        <v>100</v>
      </c>
      <c r="B43" s="603" t="s">
        <v>101</v>
      </c>
      <c r="C43" s="603" t="s">
        <v>267</v>
      </c>
      <c r="D43" s="2416">
        <v>28</v>
      </c>
      <c r="E43" s="2416">
        <v>27</v>
      </c>
      <c r="F43" s="2416">
        <v>29</v>
      </c>
      <c r="G43" s="2416">
        <v>34</v>
      </c>
    </row>
    <row r="44" spans="1:7" s="606" customFormat="1" x14ac:dyDescent="0.25">
      <c r="A44" s="602" t="s">
        <v>102</v>
      </c>
      <c r="B44" s="603" t="s">
        <v>282</v>
      </c>
      <c r="C44" s="603" t="s">
        <v>264</v>
      </c>
      <c r="D44" s="2416">
        <v>103</v>
      </c>
      <c r="E44" s="2416">
        <v>95</v>
      </c>
      <c r="F44" s="2416">
        <v>79</v>
      </c>
      <c r="G44" s="2416">
        <v>83</v>
      </c>
    </row>
    <row r="45" spans="1:7" s="606" customFormat="1" x14ac:dyDescent="0.25">
      <c r="A45" s="602" t="s">
        <v>104</v>
      </c>
      <c r="B45" s="603" t="s">
        <v>105</v>
      </c>
      <c r="C45" s="603" t="s">
        <v>265</v>
      </c>
      <c r="D45" s="2416">
        <v>38</v>
      </c>
      <c r="E45" s="2416">
        <v>44</v>
      </c>
      <c r="F45" s="2416">
        <v>45</v>
      </c>
      <c r="G45" s="2416">
        <v>42</v>
      </c>
    </row>
    <row r="46" spans="1:7" s="606" customFormat="1" x14ac:dyDescent="0.25">
      <c r="A46" s="602" t="s">
        <v>108</v>
      </c>
      <c r="B46" s="603" t="s">
        <v>109</v>
      </c>
      <c r="C46" s="603" t="s">
        <v>266</v>
      </c>
      <c r="D46" s="2416">
        <v>154</v>
      </c>
      <c r="E46" s="2416">
        <v>164</v>
      </c>
      <c r="F46" s="2416">
        <v>131</v>
      </c>
      <c r="G46" s="2416">
        <v>154</v>
      </c>
    </row>
    <row r="47" spans="1:7" s="606" customFormat="1" x14ac:dyDescent="0.25">
      <c r="A47" s="602" t="s">
        <v>110</v>
      </c>
      <c r="B47" s="603" t="s">
        <v>111</v>
      </c>
      <c r="C47" s="603" t="s">
        <v>266</v>
      </c>
      <c r="D47" s="2416">
        <v>1135</v>
      </c>
      <c r="E47" s="2416">
        <v>1067</v>
      </c>
      <c r="F47" s="2416">
        <v>1029</v>
      </c>
      <c r="G47" s="2416">
        <v>976</v>
      </c>
    </row>
    <row r="48" spans="1:7" s="606" customFormat="1" x14ac:dyDescent="0.25">
      <c r="A48" s="602" t="s">
        <v>112</v>
      </c>
      <c r="B48" s="603" t="s">
        <v>300</v>
      </c>
      <c r="C48" s="603" t="s">
        <v>265</v>
      </c>
      <c r="D48" s="2416">
        <v>325</v>
      </c>
      <c r="E48" s="2416">
        <v>326</v>
      </c>
      <c r="F48" s="2416">
        <v>241</v>
      </c>
      <c r="G48" s="2416">
        <v>192</v>
      </c>
    </row>
    <row r="49" spans="1:7" s="606" customFormat="1" x14ac:dyDescent="0.25">
      <c r="A49" s="602" t="s">
        <v>114</v>
      </c>
      <c r="B49" s="603" t="s">
        <v>115</v>
      </c>
      <c r="C49" s="603" t="s">
        <v>265</v>
      </c>
      <c r="D49" s="2416">
        <v>0</v>
      </c>
      <c r="E49" s="2416">
        <v>0</v>
      </c>
      <c r="F49" s="2416">
        <v>0</v>
      </c>
      <c r="G49" s="2416">
        <v>0</v>
      </c>
    </row>
    <row r="50" spans="1:7" s="606" customFormat="1" x14ac:dyDescent="0.25">
      <c r="A50" s="602" t="s">
        <v>118</v>
      </c>
      <c r="B50" s="603" t="s">
        <v>270</v>
      </c>
      <c r="C50" s="603" t="s">
        <v>264</v>
      </c>
      <c r="D50" s="2416">
        <v>60</v>
      </c>
      <c r="E50" s="2416">
        <v>52</v>
      </c>
      <c r="F50" s="2416">
        <v>35</v>
      </c>
      <c r="G50" s="2416">
        <v>33</v>
      </c>
    </row>
    <row r="51" spans="1:7" s="606" customFormat="1" x14ac:dyDescent="0.25">
      <c r="A51" s="602" t="s">
        <v>120</v>
      </c>
      <c r="B51" s="603" t="s">
        <v>121</v>
      </c>
      <c r="C51" s="603" t="s">
        <v>264</v>
      </c>
      <c r="D51" s="2416">
        <v>191</v>
      </c>
      <c r="E51" s="2416">
        <v>186</v>
      </c>
      <c r="F51" s="2416">
        <v>153</v>
      </c>
      <c r="G51" s="2416">
        <v>96</v>
      </c>
    </row>
    <row r="52" spans="1:7" s="606" customFormat="1" x14ac:dyDescent="0.25">
      <c r="A52" s="602" t="s">
        <v>122</v>
      </c>
      <c r="B52" s="603" t="s">
        <v>287</v>
      </c>
      <c r="C52" s="603" t="s">
        <v>266</v>
      </c>
      <c r="D52" s="2416">
        <v>19</v>
      </c>
      <c r="E52" s="2416">
        <v>27</v>
      </c>
      <c r="F52" s="2416">
        <v>71</v>
      </c>
      <c r="G52" s="2416">
        <v>69</v>
      </c>
    </row>
    <row r="53" spans="1:7" s="606" customFormat="1" x14ac:dyDescent="0.25">
      <c r="A53" s="602" t="s">
        <v>124</v>
      </c>
      <c r="B53" s="603" t="s">
        <v>125</v>
      </c>
      <c r="C53" s="603" t="s">
        <v>267</v>
      </c>
      <c r="D53" s="2416">
        <v>82</v>
      </c>
      <c r="E53" s="2416">
        <v>81</v>
      </c>
      <c r="F53" s="2416">
        <v>54</v>
      </c>
      <c r="G53" s="2416">
        <v>35</v>
      </c>
    </row>
    <row r="54" spans="1:7" s="606" customFormat="1" x14ac:dyDescent="0.25">
      <c r="A54" s="602" t="s">
        <v>126</v>
      </c>
      <c r="B54" s="603" t="s">
        <v>127</v>
      </c>
      <c r="C54" s="603" t="s">
        <v>266</v>
      </c>
      <c r="D54" s="2416">
        <v>63</v>
      </c>
      <c r="E54" s="2416">
        <v>63</v>
      </c>
      <c r="F54" s="2416">
        <v>14</v>
      </c>
      <c r="G54" s="2416">
        <v>20</v>
      </c>
    </row>
    <row r="55" spans="1:7" s="606" customFormat="1" x14ac:dyDescent="0.25">
      <c r="A55" s="602" t="s">
        <v>128</v>
      </c>
      <c r="B55" s="603" t="s">
        <v>129</v>
      </c>
      <c r="C55" s="603" t="s">
        <v>266</v>
      </c>
      <c r="D55" s="2416">
        <v>20</v>
      </c>
      <c r="E55" s="2416">
        <v>20</v>
      </c>
      <c r="F55" s="2416">
        <v>18</v>
      </c>
      <c r="G55" s="2416">
        <v>8</v>
      </c>
    </row>
    <row r="56" spans="1:7" s="606" customFormat="1" x14ac:dyDescent="0.25">
      <c r="A56" s="602" t="s">
        <v>130</v>
      </c>
      <c r="B56" s="603" t="s">
        <v>131</v>
      </c>
      <c r="C56" s="603" t="s">
        <v>268</v>
      </c>
      <c r="D56" s="2416">
        <v>30</v>
      </c>
      <c r="E56" s="2416">
        <v>28</v>
      </c>
      <c r="F56" s="2416">
        <v>15</v>
      </c>
      <c r="G56" s="2416">
        <v>21</v>
      </c>
    </row>
    <row r="57" spans="1:7" s="606" customFormat="1" x14ac:dyDescent="0.25">
      <c r="A57" s="602" t="s">
        <v>132</v>
      </c>
      <c r="B57" s="603" t="s">
        <v>133</v>
      </c>
      <c r="C57" s="603" t="s">
        <v>267</v>
      </c>
      <c r="D57" s="2416">
        <v>398</v>
      </c>
      <c r="E57" s="2416">
        <v>367</v>
      </c>
      <c r="F57" s="2416">
        <v>354</v>
      </c>
      <c r="G57" s="2416">
        <v>323</v>
      </c>
    </row>
    <row r="58" spans="1:7" s="606" customFormat="1" x14ac:dyDescent="0.25">
      <c r="A58" s="602" t="s">
        <v>134</v>
      </c>
      <c r="B58" s="603" t="s">
        <v>135</v>
      </c>
      <c r="C58" s="603" t="s">
        <v>267</v>
      </c>
      <c r="D58" s="2416">
        <v>54</v>
      </c>
      <c r="E58" s="2416">
        <v>59</v>
      </c>
      <c r="F58" s="2416">
        <v>45</v>
      </c>
      <c r="G58" s="2416">
        <v>39</v>
      </c>
    </row>
    <row r="59" spans="1:7" s="606" customFormat="1" x14ac:dyDescent="0.25">
      <c r="A59" s="602" t="s">
        <v>136</v>
      </c>
      <c r="B59" s="603" t="s">
        <v>137</v>
      </c>
      <c r="C59" s="603" t="s">
        <v>266</v>
      </c>
      <c r="D59" s="2416">
        <v>10</v>
      </c>
      <c r="E59" s="2416">
        <v>12</v>
      </c>
      <c r="F59" s="2416">
        <v>9</v>
      </c>
      <c r="G59" s="2416">
        <v>4</v>
      </c>
    </row>
    <row r="60" spans="1:7" s="606" customFormat="1" x14ac:dyDescent="0.25">
      <c r="A60" s="602" t="s">
        <v>140</v>
      </c>
      <c r="B60" s="603" t="s">
        <v>141</v>
      </c>
      <c r="C60" s="603" t="s">
        <v>267</v>
      </c>
      <c r="D60" s="2416">
        <v>7</v>
      </c>
      <c r="E60" s="2416">
        <v>14</v>
      </c>
      <c r="F60" s="2416">
        <v>19</v>
      </c>
      <c r="G60" s="2416">
        <v>11</v>
      </c>
    </row>
    <row r="61" spans="1:7" s="606" customFormat="1" x14ac:dyDescent="0.25">
      <c r="A61" s="602" t="s">
        <v>146</v>
      </c>
      <c r="B61" s="603" t="s">
        <v>147</v>
      </c>
      <c r="C61" s="603" t="s">
        <v>264</v>
      </c>
      <c r="D61" s="2416">
        <v>23</v>
      </c>
      <c r="E61" s="2416">
        <v>23</v>
      </c>
      <c r="F61" s="2416">
        <v>18</v>
      </c>
      <c r="G61" s="2416">
        <v>14</v>
      </c>
    </row>
    <row r="62" spans="1:7" s="606" customFormat="1" x14ac:dyDescent="0.25">
      <c r="A62" s="602" t="s">
        <v>148</v>
      </c>
      <c r="B62" s="603" t="s">
        <v>149</v>
      </c>
      <c r="C62" s="603" t="s">
        <v>265</v>
      </c>
      <c r="D62" s="2416">
        <v>63</v>
      </c>
      <c r="E62" s="2416">
        <v>66</v>
      </c>
      <c r="F62" s="2416">
        <v>52</v>
      </c>
      <c r="G62" s="2416">
        <v>42</v>
      </c>
    </row>
    <row r="63" spans="1:7" s="606" customFormat="1" x14ac:dyDescent="0.25">
      <c r="A63" s="602" t="s">
        <v>150</v>
      </c>
      <c r="B63" s="603" t="s">
        <v>151</v>
      </c>
      <c r="C63" s="603" t="s">
        <v>266</v>
      </c>
      <c r="D63" s="2416">
        <v>45</v>
      </c>
      <c r="E63" s="2416">
        <v>51</v>
      </c>
      <c r="F63" s="2416">
        <v>50</v>
      </c>
      <c r="G63" s="2416">
        <v>34</v>
      </c>
    </row>
    <row r="64" spans="1:7" s="606" customFormat="1" x14ac:dyDescent="0.25">
      <c r="A64" s="602" t="s">
        <v>152</v>
      </c>
      <c r="B64" s="603" t="s">
        <v>153</v>
      </c>
      <c r="C64" s="603" t="s">
        <v>268</v>
      </c>
      <c r="D64" s="2416">
        <v>242</v>
      </c>
      <c r="E64" s="2416">
        <v>216</v>
      </c>
      <c r="F64" s="2416">
        <v>205</v>
      </c>
      <c r="G64" s="2416">
        <v>165</v>
      </c>
    </row>
    <row r="65" spans="1:7" s="606" customFormat="1" x14ac:dyDescent="0.25">
      <c r="A65" s="602" t="s">
        <v>154</v>
      </c>
      <c r="B65" s="603" t="s">
        <v>155</v>
      </c>
      <c r="C65" s="603" t="s">
        <v>265</v>
      </c>
      <c r="D65" s="2416">
        <v>19</v>
      </c>
      <c r="E65" s="2416">
        <v>22</v>
      </c>
      <c r="F65" s="2416">
        <v>20</v>
      </c>
      <c r="G65" s="2416">
        <v>12</v>
      </c>
    </row>
    <row r="66" spans="1:7" s="606" customFormat="1" x14ac:dyDescent="0.25">
      <c r="A66" s="602" t="s">
        <v>156</v>
      </c>
      <c r="B66" s="603" t="s">
        <v>157</v>
      </c>
      <c r="C66" s="603" t="s">
        <v>266</v>
      </c>
      <c r="D66" s="2416">
        <v>43</v>
      </c>
      <c r="E66" s="2416">
        <v>46</v>
      </c>
      <c r="F66" s="2416">
        <v>50</v>
      </c>
      <c r="G66" s="2416">
        <v>29</v>
      </c>
    </row>
    <row r="67" spans="1:7" s="606" customFormat="1" x14ac:dyDescent="0.25">
      <c r="A67" s="602" t="s">
        <v>162</v>
      </c>
      <c r="B67" s="603" t="s">
        <v>163</v>
      </c>
      <c r="C67" s="603" t="s">
        <v>264</v>
      </c>
      <c r="D67" s="2416">
        <v>83</v>
      </c>
      <c r="E67" s="2416">
        <v>84</v>
      </c>
      <c r="F67" s="2416">
        <v>90</v>
      </c>
      <c r="G67" s="2416">
        <v>54</v>
      </c>
    </row>
    <row r="68" spans="1:7" s="606" customFormat="1" x14ac:dyDescent="0.25">
      <c r="A68" s="602" t="s">
        <v>164</v>
      </c>
      <c r="B68" s="603" t="s">
        <v>165</v>
      </c>
      <c r="C68" s="603" t="s">
        <v>266</v>
      </c>
      <c r="D68" s="2416">
        <v>23</v>
      </c>
      <c r="E68" s="2416">
        <v>13</v>
      </c>
      <c r="F68" s="2416">
        <v>8</v>
      </c>
      <c r="G68" s="2416">
        <v>6</v>
      </c>
    </row>
    <row r="69" spans="1:7" s="606" customFormat="1" x14ac:dyDescent="0.25">
      <c r="A69" s="602" t="s">
        <v>168</v>
      </c>
      <c r="B69" s="603" t="s">
        <v>169</v>
      </c>
      <c r="C69" s="603" t="s">
        <v>266</v>
      </c>
      <c r="D69" s="2416">
        <v>50</v>
      </c>
      <c r="E69" s="2416">
        <v>48</v>
      </c>
      <c r="F69" s="2416">
        <v>37</v>
      </c>
      <c r="G69" s="2416">
        <v>33</v>
      </c>
    </row>
    <row r="70" spans="1:7" s="606" customFormat="1" x14ac:dyDescent="0.25">
      <c r="A70" s="602" t="s">
        <v>170</v>
      </c>
      <c r="B70" s="603" t="s">
        <v>171</v>
      </c>
      <c r="C70" s="603" t="s">
        <v>267</v>
      </c>
      <c r="D70" s="2416">
        <v>97</v>
      </c>
      <c r="E70" s="2416">
        <v>87</v>
      </c>
      <c r="F70" s="2416">
        <v>83</v>
      </c>
      <c r="G70" s="2416">
        <v>88</v>
      </c>
    </row>
    <row r="71" spans="1:7" s="606" customFormat="1" x14ac:dyDescent="0.25">
      <c r="A71" s="602" t="s">
        <v>172</v>
      </c>
      <c r="B71" s="603" t="s">
        <v>173</v>
      </c>
      <c r="C71" s="603" t="s">
        <v>267</v>
      </c>
      <c r="D71" s="2416">
        <v>40</v>
      </c>
      <c r="E71" s="2416">
        <v>38</v>
      </c>
      <c r="F71" s="2416">
        <v>21</v>
      </c>
      <c r="G71" s="2416">
        <v>22</v>
      </c>
    </row>
    <row r="72" spans="1:7" s="606" customFormat="1" x14ac:dyDescent="0.25">
      <c r="A72" s="602" t="s">
        <v>174</v>
      </c>
      <c r="B72" s="603" t="s">
        <v>175</v>
      </c>
      <c r="C72" s="603" t="s">
        <v>268</v>
      </c>
      <c r="D72" s="2416">
        <v>46</v>
      </c>
      <c r="E72" s="2416">
        <v>54</v>
      </c>
      <c r="F72" s="2416">
        <v>38</v>
      </c>
      <c r="G72" s="2416">
        <v>9</v>
      </c>
    </row>
    <row r="73" spans="1:7" s="606" customFormat="1" x14ac:dyDescent="0.25">
      <c r="A73" s="602" t="s">
        <v>178</v>
      </c>
      <c r="B73" s="603" t="s">
        <v>179</v>
      </c>
      <c r="C73" s="603" t="s">
        <v>265</v>
      </c>
      <c r="D73" s="2416">
        <v>145</v>
      </c>
      <c r="E73" s="2416">
        <v>110</v>
      </c>
      <c r="F73" s="2416">
        <v>87</v>
      </c>
      <c r="G73" s="2416">
        <v>75</v>
      </c>
    </row>
    <row r="74" spans="1:7" s="606" customFormat="1" x14ac:dyDescent="0.25">
      <c r="A74" s="602" t="s">
        <v>182</v>
      </c>
      <c r="B74" s="603" t="s">
        <v>183</v>
      </c>
      <c r="C74" s="603" t="s">
        <v>266</v>
      </c>
      <c r="D74" s="2416">
        <v>44</v>
      </c>
      <c r="E74" s="2416">
        <v>37</v>
      </c>
      <c r="F74" s="2416">
        <v>37</v>
      </c>
      <c r="G74" s="2416">
        <v>37</v>
      </c>
    </row>
    <row r="75" spans="1:7" s="606" customFormat="1" x14ac:dyDescent="0.25">
      <c r="A75" s="602" t="s">
        <v>184</v>
      </c>
      <c r="B75" s="603" t="s">
        <v>185</v>
      </c>
      <c r="C75" s="603" t="s">
        <v>266</v>
      </c>
      <c r="D75" s="2416">
        <v>62</v>
      </c>
      <c r="E75" s="2416">
        <v>66</v>
      </c>
      <c r="F75" s="2416">
        <v>52</v>
      </c>
      <c r="G75" s="2416">
        <v>24</v>
      </c>
    </row>
    <row r="76" spans="1:7" s="606" customFormat="1" x14ac:dyDescent="0.25">
      <c r="A76" s="602" t="s">
        <v>186</v>
      </c>
      <c r="B76" s="603" t="s">
        <v>187</v>
      </c>
      <c r="C76" s="603" t="s">
        <v>264</v>
      </c>
      <c r="D76" s="2416">
        <v>35</v>
      </c>
      <c r="E76" s="2416">
        <v>37</v>
      </c>
      <c r="F76" s="2416">
        <v>39</v>
      </c>
      <c r="G76" s="2416">
        <v>31</v>
      </c>
    </row>
    <row r="77" spans="1:7" s="606" customFormat="1" x14ac:dyDescent="0.25">
      <c r="A77" s="602" t="s">
        <v>188</v>
      </c>
      <c r="B77" s="603" t="s">
        <v>189</v>
      </c>
      <c r="C77" s="603" t="s">
        <v>267</v>
      </c>
      <c r="D77" s="2416">
        <v>983</v>
      </c>
      <c r="E77" s="2416">
        <v>875</v>
      </c>
      <c r="F77" s="2416">
        <v>804</v>
      </c>
      <c r="G77" s="2416">
        <v>695</v>
      </c>
    </row>
    <row r="78" spans="1:7" s="606" customFormat="1" x14ac:dyDescent="0.25">
      <c r="A78" s="602" t="s">
        <v>190</v>
      </c>
      <c r="B78" s="603" t="s">
        <v>191</v>
      </c>
      <c r="C78" s="603" t="s">
        <v>268</v>
      </c>
      <c r="D78" s="2416">
        <v>100</v>
      </c>
      <c r="E78" s="2416">
        <v>84</v>
      </c>
      <c r="F78" s="2416">
        <v>80</v>
      </c>
      <c r="G78" s="2416">
        <v>53</v>
      </c>
    </row>
    <row r="79" spans="1:7" s="606" customFormat="1" x14ac:dyDescent="0.25">
      <c r="A79" s="602" t="s">
        <v>194</v>
      </c>
      <c r="B79" s="603" t="s">
        <v>195</v>
      </c>
      <c r="C79" s="603" t="s">
        <v>267</v>
      </c>
      <c r="D79" s="2416">
        <v>17</v>
      </c>
      <c r="E79" s="2416">
        <v>15</v>
      </c>
      <c r="F79" s="2416">
        <v>15</v>
      </c>
      <c r="G79" s="2416">
        <v>7</v>
      </c>
    </row>
    <row r="80" spans="1:7" s="606" customFormat="1" x14ac:dyDescent="0.25">
      <c r="A80" s="602" t="s">
        <v>198</v>
      </c>
      <c r="B80" s="603" t="s">
        <v>272</v>
      </c>
      <c r="C80" s="603" t="s">
        <v>266</v>
      </c>
      <c r="D80" s="2416">
        <v>21</v>
      </c>
      <c r="E80" s="2416">
        <v>17</v>
      </c>
      <c r="F80" s="2416">
        <v>14</v>
      </c>
      <c r="G80" s="2416">
        <v>8</v>
      </c>
    </row>
    <row r="81" spans="1:7" s="606" customFormat="1" x14ac:dyDescent="0.25">
      <c r="A81" s="602" t="s">
        <v>202</v>
      </c>
      <c r="B81" s="603" t="s">
        <v>301</v>
      </c>
      <c r="C81" s="603" t="s">
        <v>265</v>
      </c>
      <c r="D81" s="2416">
        <v>350</v>
      </c>
      <c r="E81" s="2416">
        <v>348</v>
      </c>
      <c r="F81" s="2416">
        <v>356</v>
      </c>
      <c r="G81" s="2416">
        <v>307</v>
      </c>
    </row>
    <row r="82" spans="1:7" s="606" customFormat="1" x14ac:dyDescent="0.25">
      <c r="A82" s="602" t="s">
        <v>204</v>
      </c>
      <c r="B82" s="603" t="s">
        <v>293</v>
      </c>
      <c r="C82" s="603" t="s">
        <v>265</v>
      </c>
      <c r="D82" s="2416">
        <v>46</v>
      </c>
      <c r="E82" s="2416">
        <v>41</v>
      </c>
      <c r="F82" s="2416">
        <v>31</v>
      </c>
      <c r="G82" s="2416">
        <v>18</v>
      </c>
    </row>
    <row r="83" spans="1:7" s="606" customFormat="1" x14ac:dyDescent="0.25">
      <c r="A83" s="602" t="s">
        <v>206</v>
      </c>
      <c r="B83" s="603" t="s">
        <v>294</v>
      </c>
      <c r="C83" s="603" t="s">
        <v>267</v>
      </c>
      <c r="D83" s="2416">
        <v>273</v>
      </c>
      <c r="E83" s="2416">
        <v>268</v>
      </c>
      <c r="F83" s="2416">
        <v>209</v>
      </c>
      <c r="G83" s="2416">
        <v>230</v>
      </c>
    </row>
    <row r="84" spans="1:7" s="606" customFormat="1" x14ac:dyDescent="0.25">
      <c r="A84" s="602" t="s">
        <v>208</v>
      </c>
      <c r="B84" s="603" t="s">
        <v>209</v>
      </c>
      <c r="C84" s="603" t="s">
        <v>268</v>
      </c>
      <c r="D84" s="2416">
        <v>30</v>
      </c>
      <c r="E84" s="2416">
        <v>32</v>
      </c>
      <c r="F84" s="2416">
        <v>26</v>
      </c>
      <c r="G84" s="2416">
        <v>27</v>
      </c>
    </row>
    <row r="85" spans="1:7" s="606" customFormat="1" x14ac:dyDescent="0.25">
      <c r="A85" s="602" t="s">
        <v>210</v>
      </c>
      <c r="B85" s="603" t="s">
        <v>211</v>
      </c>
      <c r="C85" s="603" t="s">
        <v>268</v>
      </c>
      <c r="D85" s="2416">
        <v>14</v>
      </c>
      <c r="E85" s="2416">
        <v>12</v>
      </c>
      <c r="F85" s="2416">
        <v>8</v>
      </c>
      <c r="G85" s="2416">
        <v>4</v>
      </c>
    </row>
    <row r="86" spans="1:7" s="606" customFormat="1" x14ac:dyDescent="0.25">
      <c r="A86" s="602" t="s">
        <v>212</v>
      </c>
      <c r="B86" s="603" t="s">
        <v>213</v>
      </c>
      <c r="C86" s="603" t="s">
        <v>267</v>
      </c>
      <c r="D86" s="2416">
        <v>93</v>
      </c>
      <c r="E86" s="2416">
        <v>82</v>
      </c>
      <c r="F86" s="2416">
        <v>80</v>
      </c>
      <c r="G86" s="2416">
        <v>54</v>
      </c>
    </row>
    <row r="87" spans="1:7" s="606" customFormat="1" x14ac:dyDescent="0.25">
      <c r="A87" s="602" t="s">
        <v>214</v>
      </c>
      <c r="B87" s="603" t="s">
        <v>215</v>
      </c>
      <c r="C87" s="603" t="s">
        <v>268</v>
      </c>
      <c r="D87" s="2416">
        <v>76</v>
      </c>
      <c r="E87" s="2416">
        <v>83</v>
      </c>
      <c r="F87" s="2416">
        <v>64</v>
      </c>
      <c r="G87" s="2416">
        <v>54</v>
      </c>
    </row>
    <row r="88" spans="1:7" s="606" customFormat="1" x14ac:dyDescent="0.25">
      <c r="A88" s="602" t="s">
        <v>216</v>
      </c>
      <c r="B88" s="603" t="s">
        <v>217</v>
      </c>
      <c r="C88" s="603" t="s">
        <v>264</v>
      </c>
      <c r="D88" s="2416">
        <v>31</v>
      </c>
      <c r="E88" s="2416">
        <v>23</v>
      </c>
      <c r="F88" s="2416">
        <v>17</v>
      </c>
      <c r="G88" s="2416">
        <v>20</v>
      </c>
    </row>
    <row r="89" spans="1:7" s="606" customFormat="1" x14ac:dyDescent="0.25">
      <c r="A89" s="602" t="s">
        <v>218</v>
      </c>
      <c r="B89" s="603" t="s">
        <v>219</v>
      </c>
      <c r="C89" s="603" t="s">
        <v>267</v>
      </c>
      <c r="D89" s="2416">
        <v>260</v>
      </c>
      <c r="E89" s="2416">
        <v>234</v>
      </c>
      <c r="F89" s="2416">
        <v>200</v>
      </c>
      <c r="G89" s="2416">
        <v>210</v>
      </c>
    </row>
    <row r="90" spans="1:7" s="606" customFormat="1" x14ac:dyDescent="0.25">
      <c r="A90" s="602" t="s">
        <v>220</v>
      </c>
      <c r="B90" s="603" t="s">
        <v>221</v>
      </c>
      <c r="C90" s="603" t="s">
        <v>267</v>
      </c>
      <c r="D90" s="2416">
        <v>267</v>
      </c>
      <c r="E90" s="2416">
        <v>246</v>
      </c>
      <c r="F90" s="2416">
        <v>244</v>
      </c>
      <c r="G90" s="2416">
        <v>251</v>
      </c>
    </row>
    <row r="91" spans="1:7" s="606" customFormat="1" x14ac:dyDescent="0.25">
      <c r="A91" s="602" t="s">
        <v>224</v>
      </c>
      <c r="B91" s="603" t="s">
        <v>225</v>
      </c>
      <c r="C91" s="603" t="s">
        <v>264</v>
      </c>
      <c r="D91" s="2416">
        <v>35</v>
      </c>
      <c r="E91" s="2416">
        <v>31</v>
      </c>
      <c r="F91" s="2416">
        <v>26</v>
      </c>
      <c r="G91" s="2416">
        <v>21</v>
      </c>
    </row>
    <row r="92" spans="1:7" s="606" customFormat="1" x14ac:dyDescent="0.25">
      <c r="A92" s="602" t="s">
        <v>226</v>
      </c>
      <c r="B92" s="603" t="s">
        <v>227</v>
      </c>
      <c r="C92" s="603" t="s">
        <v>264</v>
      </c>
      <c r="D92" s="2416">
        <v>47</v>
      </c>
      <c r="E92" s="2416">
        <v>49</v>
      </c>
      <c r="F92" s="2416">
        <v>40</v>
      </c>
      <c r="G92" s="2416">
        <v>23</v>
      </c>
    </row>
    <row r="93" spans="1:7" s="606" customFormat="1" x14ac:dyDescent="0.25">
      <c r="A93" s="602" t="s">
        <v>228</v>
      </c>
      <c r="B93" s="603" t="s">
        <v>229</v>
      </c>
      <c r="C93" s="603" t="s">
        <v>268</v>
      </c>
      <c r="D93" s="2416">
        <v>113</v>
      </c>
      <c r="E93" s="2416">
        <v>91</v>
      </c>
      <c r="F93" s="2416">
        <v>74</v>
      </c>
      <c r="G93" s="2416">
        <v>67</v>
      </c>
    </row>
    <row r="94" spans="1:7" s="606" customFormat="1" x14ac:dyDescent="0.25">
      <c r="A94" s="602" t="s">
        <v>232</v>
      </c>
      <c r="B94" s="603" t="s">
        <v>233</v>
      </c>
      <c r="C94" s="603" t="s">
        <v>267</v>
      </c>
      <c r="D94" s="2416">
        <v>136</v>
      </c>
      <c r="E94" s="2416">
        <v>151</v>
      </c>
      <c r="F94" s="2416">
        <v>151</v>
      </c>
      <c r="G94" s="2416">
        <v>140</v>
      </c>
    </row>
    <row r="95" spans="1:7" s="606" customFormat="1" x14ac:dyDescent="0.25">
      <c r="A95" s="602" t="s">
        <v>234</v>
      </c>
      <c r="B95" s="603" t="s">
        <v>235</v>
      </c>
      <c r="C95" s="603" t="s">
        <v>268</v>
      </c>
      <c r="D95" s="2416">
        <v>65</v>
      </c>
      <c r="E95" s="2416">
        <v>68</v>
      </c>
      <c r="F95" s="2416">
        <v>61</v>
      </c>
      <c r="G95" s="2416">
        <v>65</v>
      </c>
    </row>
    <row r="96" spans="1:7" s="606" customFormat="1" x14ac:dyDescent="0.25">
      <c r="A96" s="602" t="s">
        <v>236</v>
      </c>
      <c r="B96" s="603" t="s">
        <v>237</v>
      </c>
      <c r="C96" s="603" t="s">
        <v>266</v>
      </c>
      <c r="D96" s="2416">
        <v>48</v>
      </c>
      <c r="E96" s="2416">
        <v>57</v>
      </c>
      <c r="F96" s="2416">
        <v>51</v>
      </c>
      <c r="G96" s="2416">
        <v>39</v>
      </c>
    </row>
    <row r="97" spans="1:7" s="606" customFormat="1" x14ac:dyDescent="0.25">
      <c r="A97" s="602" t="s">
        <v>242</v>
      </c>
      <c r="B97" s="603" t="s">
        <v>243</v>
      </c>
      <c r="C97" s="603" t="s">
        <v>268</v>
      </c>
      <c r="D97" s="2416">
        <v>67</v>
      </c>
      <c r="E97" s="2416">
        <v>65</v>
      </c>
      <c r="F97" s="2416">
        <v>58</v>
      </c>
      <c r="G97" s="2416">
        <v>50</v>
      </c>
    </row>
    <row r="98" spans="1:7" s="606" customFormat="1" x14ac:dyDescent="0.25">
      <c r="A98" s="602" t="s">
        <v>244</v>
      </c>
      <c r="B98" s="603" t="s">
        <v>245</v>
      </c>
      <c r="C98" s="603" t="s">
        <v>268</v>
      </c>
      <c r="D98" s="2416">
        <v>104</v>
      </c>
      <c r="E98" s="2416">
        <v>107</v>
      </c>
      <c r="F98" s="2416">
        <v>86</v>
      </c>
      <c r="G98" s="2416">
        <v>64</v>
      </c>
    </row>
    <row r="99" spans="1:7" s="606" customFormat="1" x14ac:dyDescent="0.25">
      <c r="A99" s="602" t="s">
        <v>246</v>
      </c>
      <c r="B99" s="603" t="s">
        <v>247</v>
      </c>
      <c r="C99" s="603" t="s">
        <v>264</v>
      </c>
      <c r="D99" s="2416">
        <v>150</v>
      </c>
      <c r="E99" s="2416">
        <v>145</v>
      </c>
      <c r="F99" s="2416">
        <v>140</v>
      </c>
      <c r="G99" s="2416">
        <v>137</v>
      </c>
    </row>
    <row r="100" spans="1:7" s="606" customFormat="1" x14ac:dyDescent="0.25">
      <c r="A100" s="602" t="s">
        <v>14</v>
      </c>
      <c r="B100" s="603" t="s">
        <v>15</v>
      </c>
      <c r="C100" s="603" t="s">
        <v>267</v>
      </c>
      <c r="D100" s="2416">
        <v>502</v>
      </c>
      <c r="E100" s="2416">
        <v>489</v>
      </c>
      <c r="F100" s="2416">
        <v>431</v>
      </c>
      <c r="G100" s="2416">
        <v>507</v>
      </c>
    </row>
    <row r="101" spans="1:7" s="606" customFormat="1" x14ac:dyDescent="0.25">
      <c r="A101" s="602" t="s">
        <v>34</v>
      </c>
      <c r="B101" s="603" t="s">
        <v>35</v>
      </c>
      <c r="C101" s="603" t="s">
        <v>268</v>
      </c>
      <c r="D101" s="2416">
        <v>203</v>
      </c>
      <c r="E101" s="2416">
        <v>176</v>
      </c>
      <c r="F101" s="2416">
        <v>170</v>
      </c>
      <c r="G101" s="2416">
        <v>129</v>
      </c>
    </row>
    <row r="102" spans="1:7" s="606" customFormat="1" x14ac:dyDescent="0.25">
      <c r="A102" s="602" t="s">
        <v>52</v>
      </c>
      <c r="B102" s="603" t="s">
        <v>53</v>
      </c>
      <c r="C102" s="603" t="s">
        <v>265</v>
      </c>
      <c r="D102" s="2416">
        <v>272</v>
      </c>
      <c r="E102" s="2416">
        <v>266</v>
      </c>
      <c r="F102" s="2416">
        <v>229</v>
      </c>
      <c r="G102" s="2416">
        <v>170</v>
      </c>
    </row>
    <row r="103" spans="1:7" s="606" customFormat="1" x14ac:dyDescent="0.25">
      <c r="A103" s="602" t="s">
        <v>54</v>
      </c>
      <c r="B103" s="603" t="s">
        <v>55</v>
      </c>
      <c r="C103" s="603" t="s">
        <v>264</v>
      </c>
      <c r="D103" s="2416">
        <v>930</v>
      </c>
      <c r="E103" s="2416">
        <v>851</v>
      </c>
      <c r="F103" s="2416">
        <v>760</v>
      </c>
      <c r="G103" s="2416">
        <v>781</v>
      </c>
    </row>
    <row r="104" spans="1:7" s="606" customFormat="1" x14ac:dyDescent="0.25">
      <c r="A104" s="602" t="s">
        <v>66</v>
      </c>
      <c r="B104" s="603" t="s">
        <v>67</v>
      </c>
      <c r="C104" s="603" t="s">
        <v>265</v>
      </c>
      <c r="D104" s="2416">
        <v>315</v>
      </c>
      <c r="E104" s="2416">
        <v>331</v>
      </c>
      <c r="F104" s="2416">
        <v>263</v>
      </c>
      <c r="G104" s="2416">
        <v>227</v>
      </c>
    </row>
    <row r="105" spans="1:7" s="606" customFormat="1" x14ac:dyDescent="0.25">
      <c r="A105" s="602" t="s">
        <v>82</v>
      </c>
      <c r="B105" s="603" t="s">
        <v>83</v>
      </c>
      <c r="C105" s="603" t="s">
        <v>264</v>
      </c>
      <c r="D105" s="2416">
        <v>46</v>
      </c>
      <c r="E105" s="2416">
        <v>40</v>
      </c>
      <c r="F105" s="2416">
        <v>31</v>
      </c>
      <c r="G105" s="2416">
        <v>47</v>
      </c>
    </row>
    <row r="106" spans="1:7" s="606" customFormat="1" x14ac:dyDescent="0.25">
      <c r="A106" s="602" t="s">
        <v>88</v>
      </c>
      <c r="B106" s="603" t="s">
        <v>89</v>
      </c>
      <c r="C106" s="603" t="s">
        <v>267</v>
      </c>
      <c r="D106" s="2416">
        <v>183</v>
      </c>
      <c r="E106" s="2416">
        <v>199</v>
      </c>
      <c r="F106" s="2416">
        <v>180</v>
      </c>
      <c r="G106" s="2416">
        <v>154</v>
      </c>
    </row>
    <row r="107" spans="1:7" s="606" customFormat="1" x14ac:dyDescent="0.25">
      <c r="A107" s="602" t="s">
        <v>90</v>
      </c>
      <c r="B107" s="603" t="s">
        <v>91</v>
      </c>
      <c r="C107" s="603" t="s">
        <v>268</v>
      </c>
      <c r="D107" s="2416">
        <v>45</v>
      </c>
      <c r="E107" s="2416">
        <v>35</v>
      </c>
      <c r="F107" s="2416">
        <v>27</v>
      </c>
      <c r="G107" s="2416">
        <v>24</v>
      </c>
    </row>
    <row r="108" spans="1:7" s="606" customFormat="1" x14ac:dyDescent="0.25">
      <c r="A108" s="602" t="s">
        <v>106</v>
      </c>
      <c r="B108" s="603" t="s">
        <v>107</v>
      </c>
      <c r="C108" s="603" t="s">
        <v>264</v>
      </c>
      <c r="D108" s="2416">
        <v>719</v>
      </c>
      <c r="E108" s="2416">
        <v>605</v>
      </c>
      <c r="F108" s="2416">
        <v>572</v>
      </c>
      <c r="G108" s="2416">
        <v>569</v>
      </c>
    </row>
    <row r="109" spans="1:7" s="606" customFormat="1" x14ac:dyDescent="0.25">
      <c r="A109" s="602" t="s">
        <v>116</v>
      </c>
      <c r="B109" s="603" t="s">
        <v>117</v>
      </c>
      <c r="C109" s="603" t="s">
        <v>266</v>
      </c>
      <c r="D109" s="2416">
        <v>160</v>
      </c>
      <c r="E109" s="2416">
        <v>157</v>
      </c>
      <c r="F109" s="2416">
        <v>159</v>
      </c>
      <c r="G109" s="2416">
        <v>140</v>
      </c>
    </row>
    <row r="110" spans="1:7" s="606" customFormat="1" x14ac:dyDescent="0.25">
      <c r="A110" s="602" t="s">
        <v>138</v>
      </c>
      <c r="B110" s="603" t="s">
        <v>139</v>
      </c>
      <c r="C110" s="603" t="s">
        <v>265</v>
      </c>
      <c r="D110" s="2416">
        <v>393</v>
      </c>
      <c r="E110" s="2416">
        <v>408</v>
      </c>
      <c r="F110" s="2416">
        <v>387</v>
      </c>
      <c r="G110" s="2416">
        <v>324</v>
      </c>
    </row>
    <row r="111" spans="1:7" s="606" customFormat="1" x14ac:dyDescent="0.25">
      <c r="A111" s="602" t="s">
        <v>142</v>
      </c>
      <c r="B111" s="603" t="s">
        <v>143</v>
      </c>
      <c r="C111" s="603" t="s">
        <v>267</v>
      </c>
      <c r="D111" s="2416">
        <v>182</v>
      </c>
      <c r="E111" s="2416">
        <v>209</v>
      </c>
      <c r="F111" s="2416">
        <v>183</v>
      </c>
      <c r="G111" s="2416">
        <v>123</v>
      </c>
    </row>
    <row r="112" spans="1:7" s="606" customFormat="1" x14ac:dyDescent="0.25">
      <c r="A112" s="602" t="s">
        <v>144</v>
      </c>
      <c r="B112" s="603" t="s">
        <v>145</v>
      </c>
      <c r="C112" s="603" t="s">
        <v>267</v>
      </c>
      <c r="D112" s="2416">
        <v>34</v>
      </c>
      <c r="E112" s="2416">
        <v>50</v>
      </c>
      <c r="F112" s="2416">
        <v>38</v>
      </c>
      <c r="G112" s="2416">
        <v>26</v>
      </c>
    </row>
    <row r="113" spans="1:8" s="606" customFormat="1" x14ac:dyDescent="0.25">
      <c r="A113" s="602" t="s">
        <v>158</v>
      </c>
      <c r="B113" s="603" t="s">
        <v>159</v>
      </c>
      <c r="C113" s="603" t="s">
        <v>264</v>
      </c>
      <c r="D113" s="2416">
        <v>1336</v>
      </c>
      <c r="E113" s="2416">
        <v>1365</v>
      </c>
      <c r="F113" s="2416">
        <v>1216</v>
      </c>
      <c r="G113" s="2416">
        <v>1185</v>
      </c>
    </row>
    <row r="114" spans="1:8" s="606" customFormat="1" x14ac:dyDescent="0.25">
      <c r="A114" s="602" t="s">
        <v>160</v>
      </c>
      <c r="B114" s="603" t="s">
        <v>161</v>
      </c>
      <c r="C114" s="603" t="s">
        <v>264</v>
      </c>
      <c r="D114" s="2416">
        <v>1767</v>
      </c>
      <c r="E114" s="2416">
        <v>1680</v>
      </c>
      <c r="F114" s="2416">
        <v>1411</v>
      </c>
      <c r="G114" s="2416">
        <v>1226</v>
      </c>
    </row>
    <row r="115" spans="1:8" s="606" customFormat="1" x14ac:dyDescent="0.25">
      <c r="A115" s="602" t="s">
        <v>166</v>
      </c>
      <c r="B115" s="603" t="s">
        <v>167</v>
      </c>
      <c r="C115" s="603" t="s">
        <v>268</v>
      </c>
      <c r="D115" s="2416">
        <v>16</v>
      </c>
      <c r="E115" s="2416">
        <v>13</v>
      </c>
      <c r="F115" s="2416">
        <v>11</v>
      </c>
      <c r="G115" s="2416">
        <v>7</v>
      </c>
    </row>
    <row r="116" spans="1:8" s="606" customFormat="1" x14ac:dyDescent="0.25">
      <c r="A116" s="602" t="s">
        <v>176</v>
      </c>
      <c r="B116" s="603" t="s">
        <v>177</v>
      </c>
      <c r="C116" s="603" t="s">
        <v>266</v>
      </c>
      <c r="D116" s="2416">
        <v>410</v>
      </c>
      <c r="E116" s="2416">
        <v>395</v>
      </c>
      <c r="F116" s="2416">
        <v>282</v>
      </c>
      <c r="G116" s="2416">
        <v>220</v>
      </c>
    </row>
    <row r="117" spans="1:8" s="606" customFormat="1" x14ac:dyDescent="0.25">
      <c r="A117" s="602" t="s">
        <v>180</v>
      </c>
      <c r="B117" s="603" t="s">
        <v>181</v>
      </c>
      <c r="C117" s="603" t="s">
        <v>264</v>
      </c>
      <c r="D117" s="2416">
        <v>591</v>
      </c>
      <c r="E117" s="2416">
        <v>615</v>
      </c>
      <c r="F117" s="2416">
        <v>623</v>
      </c>
      <c r="G117" s="2416">
        <v>480</v>
      </c>
    </row>
    <row r="118" spans="1:8" s="606" customFormat="1" x14ac:dyDescent="0.25">
      <c r="A118" s="602" t="s">
        <v>192</v>
      </c>
      <c r="B118" s="603" t="s">
        <v>193</v>
      </c>
      <c r="C118" s="603" t="s">
        <v>268</v>
      </c>
      <c r="D118" s="2416">
        <v>43</v>
      </c>
      <c r="E118" s="2416">
        <v>44</v>
      </c>
      <c r="F118" s="2416">
        <v>45</v>
      </c>
      <c r="G118" s="2416">
        <v>30</v>
      </c>
    </row>
    <row r="119" spans="1:8" s="606" customFormat="1" x14ac:dyDescent="0.25">
      <c r="A119" s="602" t="s">
        <v>196</v>
      </c>
      <c r="B119" s="603" t="s">
        <v>197</v>
      </c>
      <c r="C119" s="603" t="s">
        <v>266</v>
      </c>
      <c r="D119" s="2416">
        <v>1780</v>
      </c>
      <c r="E119" s="2416">
        <v>1488</v>
      </c>
      <c r="F119" s="2416">
        <v>1305</v>
      </c>
      <c r="G119" s="2416">
        <v>985</v>
      </c>
    </row>
    <row r="120" spans="1:8" s="606" customFormat="1" x14ac:dyDescent="0.25">
      <c r="A120" s="602" t="s">
        <v>200</v>
      </c>
      <c r="B120" s="603" t="s">
        <v>201</v>
      </c>
      <c r="C120" s="603" t="s">
        <v>265</v>
      </c>
      <c r="D120" s="2416">
        <v>775</v>
      </c>
      <c r="E120" s="2416">
        <v>824</v>
      </c>
      <c r="F120" s="2416">
        <v>806</v>
      </c>
      <c r="G120" s="2416">
        <v>698</v>
      </c>
    </row>
    <row r="121" spans="1:8" s="606" customFormat="1" x14ac:dyDescent="0.25">
      <c r="A121" s="602" t="s">
        <v>222</v>
      </c>
      <c r="B121" s="603" t="s">
        <v>223</v>
      </c>
      <c r="C121" s="603" t="s">
        <v>264</v>
      </c>
      <c r="D121" s="2416">
        <v>268</v>
      </c>
      <c r="E121" s="2416">
        <v>280</v>
      </c>
      <c r="F121" s="2416">
        <v>226</v>
      </c>
      <c r="G121" s="2416">
        <v>195</v>
      </c>
    </row>
    <row r="122" spans="1:8" s="606" customFormat="1" x14ac:dyDescent="0.25">
      <c r="A122" s="602" t="s">
        <v>230</v>
      </c>
      <c r="B122" s="603" t="s">
        <v>231</v>
      </c>
      <c r="C122" s="603" t="s">
        <v>264</v>
      </c>
      <c r="D122" s="2416">
        <v>1496</v>
      </c>
      <c r="E122" s="2416">
        <v>1584</v>
      </c>
      <c r="F122" s="2416">
        <v>1171</v>
      </c>
      <c r="G122" s="2416">
        <v>1120</v>
      </c>
    </row>
    <row r="123" spans="1:8" s="606" customFormat="1" x14ac:dyDescent="0.25">
      <c r="A123" s="602" t="s">
        <v>238</v>
      </c>
      <c r="B123" s="603" t="s">
        <v>239</v>
      </c>
      <c r="C123" s="603" t="s">
        <v>264</v>
      </c>
      <c r="D123" s="2416">
        <v>43</v>
      </c>
      <c r="E123" s="2416">
        <v>58</v>
      </c>
      <c r="F123" s="2416">
        <v>51</v>
      </c>
      <c r="G123" s="2416">
        <v>48</v>
      </c>
    </row>
    <row r="124" spans="1:8" s="606" customFormat="1" x14ac:dyDescent="0.25">
      <c r="A124" s="602" t="s">
        <v>240</v>
      </c>
      <c r="B124" s="603" t="s">
        <v>241</v>
      </c>
      <c r="C124" s="603" t="s">
        <v>267</v>
      </c>
      <c r="D124" s="2437">
        <v>115</v>
      </c>
      <c r="E124" s="2437">
        <v>108</v>
      </c>
      <c r="F124" s="2437">
        <v>81</v>
      </c>
      <c r="G124" s="2437">
        <v>73</v>
      </c>
    </row>
    <row r="126" spans="1:8" ht="12.75" customHeight="1" x14ac:dyDescent="0.25">
      <c r="A126" s="2737" t="s">
        <v>1443</v>
      </c>
      <c r="B126" s="2738"/>
      <c r="C126" s="2738"/>
      <c r="D126" s="2738"/>
      <c r="E126" s="2738"/>
      <c r="F126" s="2738"/>
      <c r="G126" s="2738"/>
      <c r="H126" s="2738"/>
    </row>
    <row r="127" spans="1:8" x14ac:dyDescent="0.25">
      <c r="A127" s="2738"/>
      <c r="B127" s="2738"/>
      <c r="C127" s="2738"/>
      <c r="D127" s="2738"/>
      <c r="E127" s="2738"/>
      <c r="F127" s="2738"/>
      <c r="G127" s="2738"/>
      <c r="H127" s="2738"/>
    </row>
    <row r="128" spans="1:8" ht="18" customHeight="1" x14ac:dyDescent="0.25">
      <c r="A128" s="2738"/>
      <c r="B128" s="2738"/>
      <c r="C128" s="2738"/>
      <c r="D128" s="2738"/>
      <c r="E128" s="2738"/>
      <c r="F128" s="2738"/>
      <c r="G128" s="2738"/>
      <c r="H128" s="2738"/>
    </row>
    <row r="129" spans="1:8" x14ac:dyDescent="0.25">
      <c r="A129" s="1206"/>
      <c r="B129" s="1206"/>
      <c r="C129" s="1206"/>
      <c r="D129" s="1206"/>
      <c r="E129" s="1363"/>
      <c r="F129" s="1575"/>
      <c r="G129" s="2418"/>
      <c r="H129" s="1206"/>
    </row>
    <row r="130" spans="1:8" s="389" customFormat="1" x14ac:dyDescent="0.25">
      <c r="A130" s="389" t="s">
        <v>248</v>
      </c>
    </row>
    <row r="131" spans="1:8" s="389" customFormat="1" x14ac:dyDescent="0.25">
      <c r="A131" s="390" t="s">
        <v>249</v>
      </c>
      <c r="B131" s="391" t="s">
        <v>250</v>
      </c>
      <c r="C131" s="391"/>
    </row>
  </sheetData>
  <sortState ref="A5:I124">
    <sortCondition ref="A5:A124"/>
  </sortState>
  <mergeCells count="1">
    <mergeCell ref="A126:H128"/>
  </mergeCells>
  <hyperlinks>
    <hyperlink ref="B131"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A6" sqref="A6:XFD125"/>
    </sheetView>
  </sheetViews>
  <sheetFormatPr defaultColWidth="14.375" defaultRowHeight="15.75" x14ac:dyDescent="0.25"/>
  <cols>
    <col min="1" max="1" width="14.375" style="476"/>
    <col min="2" max="2" width="32.25" style="476" customWidth="1"/>
    <col min="3" max="4" width="14.5" style="476" customWidth="1"/>
    <col min="5" max="5" width="11.875" style="476" customWidth="1"/>
    <col min="6" max="7" width="11.125" style="476" customWidth="1"/>
    <col min="8" max="9" width="14.5" style="476" customWidth="1"/>
    <col min="10" max="12" width="9.625" style="476" customWidth="1"/>
    <col min="13" max="16" width="12.125" style="476" customWidth="1"/>
    <col min="17" max="16384" width="14.375" style="476"/>
  </cols>
  <sheetData>
    <row r="1" spans="1:17" x14ac:dyDescent="0.25">
      <c r="A1" s="254" t="s">
        <v>1395</v>
      </c>
    </row>
    <row r="2" spans="1:17" x14ac:dyDescent="0.25">
      <c r="B2" s="477"/>
      <c r="C2" s="477"/>
      <c r="D2" s="477"/>
      <c r="E2" s="477"/>
      <c r="F2" s="477"/>
      <c r="G2" s="477"/>
      <c r="H2" s="477"/>
      <c r="I2" s="477"/>
      <c r="J2" s="477"/>
      <c r="K2" s="477"/>
      <c r="L2" s="477"/>
    </row>
    <row r="3" spans="1:17" ht="23.25" customHeight="1" x14ac:dyDescent="0.25">
      <c r="A3" s="478"/>
      <c r="B3" s="479"/>
      <c r="C3" s="577"/>
      <c r="D3" s="577"/>
      <c r="E3" s="2747" t="s">
        <v>865</v>
      </c>
      <c r="F3" s="2748"/>
      <c r="G3" s="2748"/>
      <c r="H3" s="2748"/>
      <c r="I3" s="2749"/>
      <c r="J3" s="2747" t="s">
        <v>860</v>
      </c>
      <c r="K3" s="2748"/>
      <c r="L3" s="2749"/>
      <c r="M3" s="2747" t="s">
        <v>767</v>
      </c>
      <c r="N3" s="2748"/>
      <c r="O3" s="2748"/>
      <c r="P3" s="2749"/>
      <c r="Q3" s="2750" t="s">
        <v>1383</v>
      </c>
    </row>
    <row r="4" spans="1:17" ht="35.25" customHeight="1" x14ac:dyDescent="0.25">
      <c r="A4" s="480" t="s">
        <v>4</v>
      </c>
      <c r="B4" s="479" t="s">
        <v>5</v>
      </c>
      <c r="C4" s="577" t="s">
        <v>251</v>
      </c>
      <c r="D4" s="577" t="s">
        <v>281</v>
      </c>
      <c r="E4" s="2404" t="s">
        <v>618</v>
      </c>
      <c r="F4" s="2405" t="s">
        <v>1391</v>
      </c>
      <c r="G4" s="2405" t="s">
        <v>1392</v>
      </c>
      <c r="H4" s="2405" t="s">
        <v>778</v>
      </c>
      <c r="I4" s="2406" t="s">
        <v>1381</v>
      </c>
      <c r="J4" s="2378" t="s">
        <v>549</v>
      </c>
      <c r="K4" s="2358" t="s">
        <v>548</v>
      </c>
      <c r="L4" s="2379" t="s">
        <v>1381</v>
      </c>
      <c r="M4" s="2378" t="s">
        <v>2</v>
      </c>
      <c r="N4" s="2358" t="s">
        <v>445</v>
      </c>
      <c r="O4" s="2358" t="s">
        <v>827</v>
      </c>
      <c r="P4" s="2379" t="s">
        <v>1381</v>
      </c>
      <c r="Q4" s="2750"/>
    </row>
    <row r="5" spans="1:17" x14ac:dyDescent="0.25">
      <c r="A5" s="1046" t="s">
        <v>8</v>
      </c>
      <c r="B5" s="1047" t="s">
        <v>281</v>
      </c>
      <c r="C5" s="1048"/>
      <c r="D5" s="2385">
        <f t="shared" ref="D5:Q5" si="0">SUM(D6:D125)</f>
        <v>1097878</v>
      </c>
      <c r="E5" s="2385">
        <f t="shared" si="0"/>
        <v>491736</v>
      </c>
      <c r="F5" s="2377">
        <f t="shared" si="0"/>
        <v>242372</v>
      </c>
      <c r="G5" s="2377">
        <f t="shared" si="0"/>
        <v>292476</v>
      </c>
      <c r="H5" s="2377">
        <f t="shared" si="0"/>
        <v>71278</v>
      </c>
      <c r="I5" s="2392">
        <f t="shared" si="0"/>
        <v>16</v>
      </c>
      <c r="J5" s="2385">
        <f t="shared" si="0"/>
        <v>632469</v>
      </c>
      <c r="K5" s="2377">
        <f t="shared" si="0"/>
        <v>465404</v>
      </c>
      <c r="L5" s="2377">
        <f t="shared" si="0"/>
        <v>5</v>
      </c>
      <c r="M5" s="2380">
        <f t="shared" si="0"/>
        <v>560587</v>
      </c>
      <c r="N5" s="2381">
        <f t="shared" si="0"/>
        <v>487418</v>
      </c>
      <c r="O5" s="2381">
        <f t="shared" si="0"/>
        <v>43971</v>
      </c>
      <c r="P5" s="2382">
        <f t="shared" si="0"/>
        <v>5902</v>
      </c>
      <c r="Q5" s="2382">
        <f t="shared" si="0"/>
        <v>48784</v>
      </c>
    </row>
    <row r="6" spans="1:17" s="576" customFormat="1" x14ac:dyDescent="0.25">
      <c r="A6" s="578" t="s">
        <v>10</v>
      </c>
      <c r="B6" s="574" t="s">
        <v>11</v>
      </c>
      <c r="C6" s="573" t="s">
        <v>264</v>
      </c>
      <c r="D6" s="2410">
        <v>7009</v>
      </c>
      <c r="E6" s="2386">
        <v>3285</v>
      </c>
      <c r="F6" s="891">
        <v>1460</v>
      </c>
      <c r="G6" s="891">
        <v>1798</v>
      </c>
      <c r="H6" s="891">
        <v>466</v>
      </c>
      <c r="I6" s="2387">
        <v>0</v>
      </c>
      <c r="J6" s="2386">
        <v>3993</v>
      </c>
      <c r="K6" s="891">
        <v>3016</v>
      </c>
      <c r="L6" s="2387"/>
      <c r="M6" s="2383">
        <v>3398</v>
      </c>
      <c r="N6" s="575">
        <v>3533</v>
      </c>
      <c r="O6" s="575">
        <v>52</v>
      </c>
      <c r="P6" s="2384">
        <v>26</v>
      </c>
      <c r="Q6" s="576">
        <v>374</v>
      </c>
    </row>
    <row r="7" spans="1:17" s="576" customFormat="1" x14ac:dyDescent="0.25">
      <c r="A7" s="578" t="s">
        <v>12</v>
      </c>
      <c r="B7" s="574" t="s">
        <v>13</v>
      </c>
      <c r="C7" s="573" t="s">
        <v>265</v>
      </c>
      <c r="D7" s="2410">
        <v>7216</v>
      </c>
      <c r="E7" s="2386">
        <v>3363</v>
      </c>
      <c r="F7" s="891">
        <v>1519</v>
      </c>
      <c r="G7" s="891">
        <v>1901</v>
      </c>
      <c r="H7" s="891">
        <v>433</v>
      </c>
      <c r="I7" s="2387">
        <v>0</v>
      </c>
      <c r="J7" s="2386">
        <v>4088</v>
      </c>
      <c r="K7" s="891">
        <v>3128</v>
      </c>
      <c r="L7" s="2387"/>
      <c r="M7" s="2383">
        <v>4616</v>
      </c>
      <c r="N7" s="575">
        <v>2183</v>
      </c>
      <c r="O7" s="575">
        <v>380</v>
      </c>
      <c r="P7" s="2384">
        <v>37</v>
      </c>
      <c r="Q7" s="576">
        <v>317</v>
      </c>
    </row>
    <row r="8" spans="1:17" s="576" customFormat="1" x14ac:dyDescent="0.25">
      <c r="A8" s="578" t="s">
        <v>16</v>
      </c>
      <c r="B8" s="574" t="s">
        <v>297</v>
      </c>
      <c r="C8" s="573" t="s">
        <v>265</v>
      </c>
      <c r="D8" s="2410">
        <v>4862</v>
      </c>
      <c r="E8" s="2386">
        <v>1947</v>
      </c>
      <c r="F8" s="891">
        <v>1158</v>
      </c>
      <c r="G8" s="891">
        <v>1423</v>
      </c>
      <c r="H8" s="891">
        <v>334</v>
      </c>
      <c r="I8" s="2387">
        <v>0</v>
      </c>
      <c r="J8" s="2386">
        <v>2746</v>
      </c>
      <c r="K8" s="891">
        <v>2116</v>
      </c>
      <c r="L8" s="2387"/>
      <c r="M8" s="2383">
        <v>4243</v>
      </c>
      <c r="N8" s="575">
        <v>558</v>
      </c>
      <c r="O8" s="575">
        <v>47</v>
      </c>
      <c r="P8" s="2384">
        <v>14</v>
      </c>
      <c r="Q8" s="576">
        <v>60</v>
      </c>
    </row>
    <row r="9" spans="1:17" s="576" customFormat="1" x14ac:dyDescent="0.25">
      <c r="A9" s="578" t="s">
        <v>18</v>
      </c>
      <c r="B9" s="574" t="s">
        <v>19</v>
      </c>
      <c r="C9" s="573" t="s">
        <v>266</v>
      </c>
      <c r="D9" s="2410">
        <v>2131</v>
      </c>
      <c r="E9" s="2386">
        <v>860</v>
      </c>
      <c r="F9" s="891">
        <v>463</v>
      </c>
      <c r="G9" s="891">
        <v>643</v>
      </c>
      <c r="H9" s="891">
        <v>165</v>
      </c>
      <c r="I9" s="2387">
        <v>0</v>
      </c>
      <c r="J9" s="2386">
        <v>1211</v>
      </c>
      <c r="K9" s="891">
        <v>920</v>
      </c>
      <c r="L9" s="2387"/>
      <c r="M9" s="2383">
        <v>1348</v>
      </c>
      <c r="N9" s="575">
        <v>746</v>
      </c>
      <c r="O9" s="575">
        <v>36</v>
      </c>
      <c r="P9" s="2384">
        <v>1</v>
      </c>
      <c r="Q9" s="576">
        <v>59</v>
      </c>
    </row>
    <row r="10" spans="1:17" s="576" customFormat="1" x14ac:dyDescent="0.25">
      <c r="A10" s="578" t="s">
        <v>20</v>
      </c>
      <c r="B10" s="574" t="s">
        <v>21</v>
      </c>
      <c r="C10" s="573" t="s">
        <v>265</v>
      </c>
      <c r="D10" s="2410">
        <v>4913</v>
      </c>
      <c r="E10" s="2386">
        <v>2146</v>
      </c>
      <c r="F10" s="891">
        <v>1094</v>
      </c>
      <c r="G10" s="891">
        <v>1383</v>
      </c>
      <c r="H10" s="891">
        <v>290</v>
      </c>
      <c r="I10" s="2387">
        <v>0</v>
      </c>
      <c r="J10" s="2386">
        <v>2781</v>
      </c>
      <c r="K10" s="891">
        <v>2132</v>
      </c>
      <c r="L10" s="2387"/>
      <c r="M10" s="2383">
        <v>3424</v>
      </c>
      <c r="N10" s="575">
        <v>1394</v>
      </c>
      <c r="O10" s="575">
        <v>83</v>
      </c>
      <c r="P10" s="2384">
        <v>12</v>
      </c>
      <c r="Q10" s="576">
        <v>77</v>
      </c>
    </row>
    <row r="11" spans="1:17" s="576" customFormat="1" x14ac:dyDescent="0.25">
      <c r="A11" s="578" t="s">
        <v>22</v>
      </c>
      <c r="B11" s="574" t="s">
        <v>23</v>
      </c>
      <c r="C11" s="573" t="s">
        <v>265</v>
      </c>
      <c r="D11" s="2410">
        <v>3206</v>
      </c>
      <c r="E11" s="2386">
        <v>1282</v>
      </c>
      <c r="F11" s="891">
        <v>781</v>
      </c>
      <c r="G11" s="891">
        <v>917</v>
      </c>
      <c r="H11" s="891">
        <v>226</v>
      </c>
      <c r="I11" s="2387">
        <v>0</v>
      </c>
      <c r="J11" s="2386">
        <v>1815</v>
      </c>
      <c r="K11" s="891">
        <v>1391</v>
      </c>
      <c r="L11" s="2387"/>
      <c r="M11" s="2383">
        <v>1971</v>
      </c>
      <c r="N11" s="575">
        <v>1208</v>
      </c>
      <c r="O11" s="575">
        <v>21</v>
      </c>
      <c r="P11" s="2384">
        <v>6</v>
      </c>
      <c r="Q11" s="576">
        <v>26</v>
      </c>
    </row>
    <row r="12" spans="1:17" s="576" customFormat="1" x14ac:dyDescent="0.25">
      <c r="A12" s="578" t="s">
        <v>24</v>
      </c>
      <c r="B12" s="574" t="s">
        <v>25</v>
      </c>
      <c r="C12" s="573" t="s">
        <v>267</v>
      </c>
      <c r="D12" s="2410">
        <v>9591</v>
      </c>
      <c r="E12" s="2386">
        <v>4374</v>
      </c>
      <c r="F12" s="891">
        <v>1250</v>
      </c>
      <c r="G12" s="891">
        <v>2355</v>
      </c>
      <c r="H12" s="891">
        <v>1612</v>
      </c>
      <c r="I12" s="2387">
        <v>0</v>
      </c>
      <c r="J12" s="2386">
        <v>5457</v>
      </c>
      <c r="K12" s="891">
        <v>4134</v>
      </c>
      <c r="L12" s="2387"/>
      <c r="M12" s="2383">
        <v>5248</v>
      </c>
      <c r="N12" s="575">
        <v>3273</v>
      </c>
      <c r="O12" s="575">
        <v>1026</v>
      </c>
      <c r="P12" s="2384">
        <v>44</v>
      </c>
      <c r="Q12" s="576">
        <v>1046</v>
      </c>
    </row>
    <row r="13" spans="1:17" s="576" customFormat="1" x14ac:dyDescent="0.25">
      <c r="A13" s="578" t="s">
        <v>26</v>
      </c>
      <c r="B13" s="574" t="s">
        <v>685</v>
      </c>
      <c r="C13" s="573" t="s">
        <v>265</v>
      </c>
      <c r="D13" s="2410">
        <v>19149</v>
      </c>
      <c r="E13" s="2386">
        <v>7989</v>
      </c>
      <c r="F13" s="891">
        <v>4351</v>
      </c>
      <c r="G13" s="891">
        <v>5599</v>
      </c>
      <c r="H13" s="891">
        <v>1210</v>
      </c>
      <c r="I13" s="2387">
        <v>0</v>
      </c>
      <c r="J13" s="2386">
        <v>11055</v>
      </c>
      <c r="K13" s="891">
        <v>8094</v>
      </c>
      <c r="L13" s="2387"/>
      <c r="M13" s="2383">
        <v>15850</v>
      </c>
      <c r="N13" s="575">
        <v>3020</v>
      </c>
      <c r="O13" s="575">
        <v>245</v>
      </c>
      <c r="P13" s="2384">
        <v>34</v>
      </c>
      <c r="Q13" s="576">
        <v>389</v>
      </c>
    </row>
    <row r="14" spans="1:17" s="576" customFormat="1" x14ac:dyDescent="0.25">
      <c r="A14" s="578" t="s">
        <v>27</v>
      </c>
      <c r="B14" s="574" t="s">
        <v>28</v>
      </c>
      <c r="C14" s="573" t="s">
        <v>265</v>
      </c>
      <c r="D14" s="2410">
        <v>477</v>
      </c>
      <c r="E14" s="2386">
        <v>199</v>
      </c>
      <c r="F14" s="891">
        <v>92</v>
      </c>
      <c r="G14" s="891">
        <v>136</v>
      </c>
      <c r="H14" s="891">
        <v>50</v>
      </c>
      <c r="I14" s="2387">
        <v>0</v>
      </c>
      <c r="J14" s="2386">
        <v>268</v>
      </c>
      <c r="K14" s="891">
        <v>209</v>
      </c>
      <c r="L14" s="2387"/>
      <c r="M14" s="2383">
        <v>454</v>
      </c>
      <c r="N14" s="575">
        <v>22</v>
      </c>
      <c r="O14" s="575">
        <v>1</v>
      </c>
      <c r="P14" s="2384">
        <v>0</v>
      </c>
      <c r="Q14" s="576">
        <v>6</v>
      </c>
    </row>
    <row r="15" spans="1:17" s="576" customFormat="1" x14ac:dyDescent="0.25">
      <c r="A15" s="578" t="s">
        <v>29</v>
      </c>
      <c r="B15" s="574" t="s">
        <v>901</v>
      </c>
      <c r="C15" s="573" t="s">
        <v>265</v>
      </c>
      <c r="D15" s="2410">
        <v>8151</v>
      </c>
      <c r="E15" s="2386">
        <v>3471</v>
      </c>
      <c r="F15" s="891">
        <v>1831</v>
      </c>
      <c r="G15" s="891">
        <v>2414</v>
      </c>
      <c r="H15" s="891">
        <v>435</v>
      </c>
      <c r="I15" s="2387">
        <v>0</v>
      </c>
      <c r="J15" s="2386">
        <v>4523</v>
      </c>
      <c r="K15" s="891">
        <v>3628</v>
      </c>
      <c r="L15" s="2387"/>
      <c r="M15" s="2383">
        <v>6651</v>
      </c>
      <c r="N15" s="575">
        <v>1378</v>
      </c>
      <c r="O15" s="575">
        <v>106</v>
      </c>
      <c r="P15" s="2384">
        <v>16</v>
      </c>
      <c r="Q15" s="576">
        <v>183</v>
      </c>
    </row>
    <row r="16" spans="1:17" s="576" customFormat="1" x14ac:dyDescent="0.25">
      <c r="A16" s="578" t="s">
        <v>30</v>
      </c>
      <c r="B16" s="574" t="s">
        <v>31</v>
      </c>
      <c r="C16" s="573" t="s">
        <v>268</v>
      </c>
      <c r="D16" s="2410">
        <v>733</v>
      </c>
      <c r="E16" s="2386">
        <v>265</v>
      </c>
      <c r="F16" s="891">
        <v>173</v>
      </c>
      <c r="G16" s="891">
        <v>244</v>
      </c>
      <c r="H16" s="891">
        <v>51</v>
      </c>
      <c r="I16" s="2387">
        <v>0</v>
      </c>
      <c r="J16" s="2386">
        <v>413</v>
      </c>
      <c r="K16" s="891">
        <v>320</v>
      </c>
      <c r="L16" s="2387"/>
      <c r="M16" s="2383">
        <v>704</v>
      </c>
      <c r="N16" s="575">
        <v>17</v>
      </c>
      <c r="O16" s="575">
        <v>10</v>
      </c>
      <c r="P16" s="2384">
        <v>2</v>
      </c>
      <c r="Q16" s="576">
        <v>5</v>
      </c>
    </row>
    <row r="17" spans="1:17" s="576" customFormat="1" x14ac:dyDescent="0.25">
      <c r="A17" s="578" t="s">
        <v>32</v>
      </c>
      <c r="B17" s="574" t="s">
        <v>33</v>
      </c>
      <c r="C17" s="573" t="s">
        <v>265</v>
      </c>
      <c r="D17" s="2410">
        <v>2498</v>
      </c>
      <c r="E17" s="2386">
        <v>1112</v>
      </c>
      <c r="F17" s="891">
        <v>539</v>
      </c>
      <c r="G17" s="891">
        <v>712</v>
      </c>
      <c r="H17" s="891">
        <v>134</v>
      </c>
      <c r="I17" s="2387">
        <v>1</v>
      </c>
      <c r="J17" s="2386">
        <v>1390</v>
      </c>
      <c r="K17" s="891">
        <v>1108</v>
      </c>
      <c r="L17" s="2387"/>
      <c r="M17" s="2383">
        <v>2284</v>
      </c>
      <c r="N17" s="575">
        <v>150</v>
      </c>
      <c r="O17" s="575">
        <v>60</v>
      </c>
      <c r="P17" s="2384">
        <v>4</v>
      </c>
      <c r="Q17" s="576">
        <v>102</v>
      </c>
    </row>
    <row r="18" spans="1:17" s="576" customFormat="1" x14ac:dyDescent="0.25">
      <c r="A18" s="578" t="s">
        <v>36</v>
      </c>
      <c r="B18" s="574" t="s">
        <v>37</v>
      </c>
      <c r="C18" s="573" t="s">
        <v>264</v>
      </c>
      <c r="D18" s="2410">
        <v>4325</v>
      </c>
      <c r="E18" s="2386">
        <v>1586</v>
      </c>
      <c r="F18" s="891">
        <v>1011</v>
      </c>
      <c r="G18" s="891">
        <v>1252</v>
      </c>
      <c r="H18" s="891">
        <v>476</v>
      </c>
      <c r="I18" s="2387">
        <v>0</v>
      </c>
      <c r="J18" s="2386">
        <v>2438</v>
      </c>
      <c r="K18" s="891">
        <v>1887</v>
      </c>
      <c r="L18" s="2387"/>
      <c r="M18" s="2383">
        <v>1136</v>
      </c>
      <c r="N18" s="575">
        <v>3148</v>
      </c>
      <c r="O18" s="575">
        <v>35</v>
      </c>
      <c r="P18" s="2384">
        <v>6</v>
      </c>
      <c r="Q18" s="576">
        <v>57</v>
      </c>
    </row>
    <row r="19" spans="1:17" s="576" customFormat="1" x14ac:dyDescent="0.25">
      <c r="A19" s="578" t="s">
        <v>38</v>
      </c>
      <c r="B19" s="574" t="s">
        <v>39</v>
      </c>
      <c r="C19" s="573" t="s">
        <v>268</v>
      </c>
      <c r="D19" s="2410">
        <v>5849</v>
      </c>
      <c r="E19" s="2386">
        <v>1892</v>
      </c>
      <c r="F19" s="891">
        <v>1442</v>
      </c>
      <c r="G19" s="891">
        <v>2199</v>
      </c>
      <c r="H19" s="891">
        <v>316</v>
      </c>
      <c r="I19" s="2387">
        <v>0</v>
      </c>
      <c r="J19" s="2386">
        <v>3230</v>
      </c>
      <c r="K19" s="891">
        <v>2619</v>
      </c>
      <c r="L19" s="2387"/>
      <c r="M19" s="2383">
        <v>5794</v>
      </c>
      <c r="N19" s="575">
        <v>29</v>
      </c>
      <c r="O19" s="575">
        <v>15</v>
      </c>
      <c r="P19" s="2384">
        <v>11</v>
      </c>
      <c r="Q19" s="576">
        <v>21</v>
      </c>
    </row>
    <row r="20" spans="1:17" s="576" customFormat="1" x14ac:dyDescent="0.25">
      <c r="A20" s="578" t="s">
        <v>40</v>
      </c>
      <c r="B20" s="574" t="s">
        <v>41</v>
      </c>
      <c r="C20" s="573" t="s">
        <v>266</v>
      </c>
      <c r="D20" s="2410">
        <v>3599</v>
      </c>
      <c r="E20" s="2386">
        <v>1398</v>
      </c>
      <c r="F20" s="891">
        <v>805</v>
      </c>
      <c r="G20" s="891">
        <v>1111</v>
      </c>
      <c r="H20" s="891">
        <v>285</v>
      </c>
      <c r="I20" s="2387">
        <v>0</v>
      </c>
      <c r="J20" s="2386">
        <v>2010</v>
      </c>
      <c r="K20" s="891">
        <v>1589</v>
      </c>
      <c r="L20" s="2387"/>
      <c r="M20" s="2383">
        <v>1975</v>
      </c>
      <c r="N20" s="575">
        <v>1583</v>
      </c>
      <c r="O20" s="575">
        <v>29</v>
      </c>
      <c r="P20" s="2384">
        <v>12</v>
      </c>
      <c r="Q20" s="576">
        <v>34</v>
      </c>
    </row>
    <row r="21" spans="1:17" s="576" customFormat="1" x14ac:dyDescent="0.25">
      <c r="A21" s="578" t="s">
        <v>42</v>
      </c>
      <c r="B21" s="574" t="s">
        <v>43</v>
      </c>
      <c r="C21" s="573" t="s">
        <v>265</v>
      </c>
      <c r="D21" s="2410">
        <v>9211</v>
      </c>
      <c r="E21" s="2386">
        <v>3884</v>
      </c>
      <c r="F21" s="891">
        <v>2172</v>
      </c>
      <c r="G21" s="891">
        <v>2575</v>
      </c>
      <c r="H21" s="891">
        <v>580</v>
      </c>
      <c r="I21" s="2387">
        <v>0</v>
      </c>
      <c r="J21" s="2386">
        <v>5304</v>
      </c>
      <c r="K21" s="891">
        <v>3907</v>
      </c>
      <c r="L21" s="2387"/>
      <c r="M21" s="2383">
        <v>6675</v>
      </c>
      <c r="N21" s="575">
        <v>2331</v>
      </c>
      <c r="O21" s="575">
        <v>152</v>
      </c>
      <c r="P21" s="2384">
        <v>53</v>
      </c>
      <c r="Q21" s="576">
        <v>165</v>
      </c>
    </row>
    <row r="22" spans="1:17" s="576" customFormat="1" x14ac:dyDescent="0.25">
      <c r="A22" s="578" t="s">
        <v>44</v>
      </c>
      <c r="B22" s="574" t="s">
        <v>45</v>
      </c>
      <c r="C22" s="573" t="s">
        <v>266</v>
      </c>
      <c r="D22" s="2410">
        <v>5473</v>
      </c>
      <c r="E22" s="2386">
        <v>2431</v>
      </c>
      <c r="F22" s="891">
        <v>1223</v>
      </c>
      <c r="G22" s="891">
        <v>1497</v>
      </c>
      <c r="H22" s="891">
        <v>322</v>
      </c>
      <c r="I22" s="2387">
        <v>0</v>
      </c>
      <c r="J22" s="2386">
        <v>3191</v>
      </c>
      <c r="K22" s="891">
        <v>2282</v>
      </c>
      <c r="L22" s="2387"/>
      <c r="M22" s="2383">
        <v>3182</v>
      </c>
      <c r="N22" s="575">
        <v>2129</v>
      </c>
      <c r="O22" s="575">
        <v>136</v>
      </c>
      <c r="P22" s="2384">
        <v>26</v>
      </c>
      <c r="Q22" s="576">
        <v>153</v>
      </c>
    </row>
    <row r="23" spans="1:17" s="576" customFormat="1" x14ac:dyDescent="0.25">
      <c r="A23" s="578" t="s">
        <v>46</v>
      </c>
      <c r="B23" s="574" t="s">
        <v>47</v>
      </c>
      <c r="C23" s="573" t="s">
        <v>268</v>
      </c>
      <c r="D23" s="2410">
        <v>5987</v>
      </c>
      <c r="E23" s="2386">
        <v>2212</v>
      </c>
      <c r="F23" s="891">
        <v>1395</v>
      </c>
      <c r="G23" s="891">
        <v>1882</v>
      </c>
      <c r="H23" s="891">
        <v>498</v>
      </c>
      <c r="I23" s="2387">
        <v>0</v>
      </c>
      <c r="J23" s="2386">
        <v>3276</v>
      </c>
      <c r="K23" s="891">
        <v>2711</v>
      </c>
      <c r="L23" s="2387"/>
      <c r="M23" s="2383">
        <v>5823</v>
      </c>
      <c r="N23" s="575">
        <v>101</v>
      </c>
      <c r="O23" s="575">
        <v>52</v>
      </c>
      <c r="P23" s="2384">
        <v>11</v>
      </c>
      <c r="Q23" s="576">
        <v>135</v>
      </c>
    </row>
    <row r="24" spans="1:17" s="576" customFormat="1" x14ac:dyDescent="0.25">
      <c r="A24" s="578" t="s">
        <v>48</v>
      </c>
      <c r="B24" s="574" t="s">
        <v>269</v>
      </c>
      <c r="C24" s="573" t="s">
        <v>266</v>
      </c>
      <c r="D24" s="2410">
        <v>1190</v>
      </c>
      <c r="E24" s="2386">
        <v>435</v>
      </c>
      <c r="F24" s="891">
        <v>259</v>
      </c>
      <c r="G24" s="891">
        <v>400</v>
      </c>
      <c r="H24" s="891">
        <v>96</v>
      </c>
      <c r="I24" s="2387">
        <v>0</v>
      </c>
      <c r="J24" s="2386">
        <v>657</v>
      </c>
      <c r="K24" s="891">
        <v>533</v>
      </c>
      <c r="L24" s="2387"/>
      <c r="M24" s="2383">
        <v>452</v>
      </c>
      <c r="N24" s="575">
        <v>696</v>
      </c>
      <c r="O24" s="575">
        <v>36</v>
      </c>
      <c r="P24" s="2384">
        <v>6</v>
      </c>
      <c r="Q24" s="576">
        <v>6</v>
      </c>
    </row>
    <row r="25" spans="1:17" s="576" customFormat="1" x14ac:dyDescent="0.25">
      <c r="A25" s="578" t="s">
        <v>50</v>
      </c>
      <c r="B25" s="574" t="s">
        <v>51</v>
      </c>
      <c r="C25" s="573" t="s">
        <v>265</v>
      </c>
      <c r="D25" s="2410">
        <v>2726</v>
      </c>
      <c r="E25" s="2386">
        <v>1049</v>
      </c>
      <c r="F25" s="891">
        <v>615</v>
      </c>
      <c r="G25" s="891">
        <v>792</v>
      </c>
      <c r="H25" s="891">
        <v>270</v>
      </c>
      <c r="I25" s="2387">
        <v>0</v>
      </c>
      <c r="J25" s="2386">
        <v>1542</v>
      </c>
      <c r="K25" s="891">
        <v>1184</v>
      </c>
      <c r="L25" s="2387"/>
      <c r="M25" s="2383">
        <v>1299</v>
      </c>
      <c r="N25" s="575">
        <v>1410</v>
      </c>
      <c r="O25" s="575">
        <v>14</v>
      </c>
      <c r="P25" s="2384">
        <v>3</v>
      </c>
      <c r="Q25" s="576">
        <v>35</v>
      </c>
    </row>
    <row r="26" spans="1:17" s="576" customFormat="1" x14ac:dyDescent="0.25">
      <c r="A26" s="578" t="s">
        <v>56</v>
      </c>
      <c r="B26" s="574" t="s">
        <v>295</v>
      </c>
      <c r="C26" s="573" t="s">
        <v>266</v>
      </c>
      <c r="D26" s="2410">
        <v>41308</v>
      </c>
      <c r="E26" s="2386">
        <v>20767</v>
      </c>
      <c r="F26" s="891">
        <v>9056</v>
      </c>
      <c r="G26" s="891">
        <v>9809</v>
      </c>
      <c r="H26" s="891">
        <v>1676</v>
      </c>
      <c r="I26" s="2387">
        <v>0</v>
      </c>
      <c r="J26" s="2386">
        <v>24277</v>
      </c>
      <c r="K26" s="891">
        <v>17031</v>
      </c>
      <c r="L26" s="2387"/>
      <c r="M26" s="2383">
        <v>21280</v>
      </c>
      <c r="N26" s="575">
        <v>18015</v>
      </c>
      <c r="O26" s="575">
        <v>1638</v>
      </c>
      <c r="P26" s="2384">
        <v>375</v>
      </c>
      <c r="Q26" s="576">
        <v>2913</v>
      </c>
    </row>
    <row r="27" spans="1:17" s="576" customFormat="1" x14ac:dyDescent="0.25">
      <c r="A27" s="578" t="s">
        <v>58</v>
      </c>
      <c r="B27" s="574" t="s">
        <v>59</v>
      </c>
      <c r="C27" s="573" t="s">
        <v>267</v>
      </c>
      <c r="D27" s="2410">
        <v>723</v>
      </c>
      <c r="E27" s="2386">
        <v>291</v>
      </c>
      <c r="F27" s="891">
        <v>133</v>
      </c>
      <c r="G27" s="891">
        <v>228</v>
      </c>
      <c r="H27" s="891">
        <v>71</v>
      </c>
      <c r="I27" s="2387">
        <v>0</v>
      </c>
      <c r="J27" s="2386">
        <v>418</v>
      </c>
      <c r="K27" s="891">
        <v>305</v>
      </c>
      <c r="L27" s="2387"/>
      <c r="M27" s="2383">
        <v>600</v>
      </c>
      <c r="N27" s="575">
        <v>111</v>
      </c>
      <c r="O27" s="575">
        <v>8</v>
      </c>
      <c r="P27" s="2384">
        <v>4</v>
      </c>
      <c r="Q27" s="576">
        <v>30</v>
      </c>
    </row>
    <row r="28" spans="1:17" s="576" customFormat="1" x14ac:dyDescent="0.25">
      <c r="A28" s="578" t="s">
        <v>60</v>
      </c>
      <c r="B28" s="574" t="s">
        <v>61</v>
      </c>
      <c r="C28" s="573" t="s">
        <v>265</v>
      </c>
      <c r="D28" s="2410">
        <v>816</v>
      </c>
      <c r="E28" s="2386">
        <v>307</v>
      </c>
      <c r="F28" s="891">
        <v>200</v>
      </c>
      <c r="G28" s="891">
        <v>248</v>
      </c>
      <c r="H28" s="891">
        <v>61</v>
      </c>
      <c r="I28" s="2387">
        <v>0</v>
      </c>
      <c r="J28" s="2386">
        <v>439</v>
      </c>
      <c r="K28" s="891">
        <v>377</v>
      </c>
      <c r="L28" s="2387"/>
      <c r="M28" s="2383">
        <v>805</v>
      </c>
      <c r="N28" s="575">
        <v>9</v>
      </c>
      <c r="O28" s="575">
        <v>2</v>
      </c>
      <c r="P28" s="2384">
        <v>0</v>
      </c>
      <c r="Q28" s="576">
        <v>1</v>
      </c>
    </row>
    <row r="29" spans="1:17" s="576" customFormat="1" x14ac:dyDescent="0.25">
      <c r="A29" s="578" t="s">
        <v>62</v>
      </c>
      <c r="B29" s="574" t="s">
        <v>63</v>
      </c>
      <c r="C29" s="573" t="s">
        <v>267</v>
      </c>
      <c r="D29" s="2410">
        <v>6730</v>
      </c>
      <c r="E29" s="2386">
        <v>3203</v>
      </c>
      <c r="F29" s="891">
        <v>1471</v>
      </c>
      <c r="G29" s="891">
        <v>1677</v>
      </c>
      <c r="H29" s="891">
        <v>379</v>
      </c>
      <c r="I29" s="2387">
        <v>0</v>
      </c>
      <c r="J29" s="2386">
        <v>3859</v>
      </c>
      <c r="K29" s="891">
        <v>2871</v>
      </c>
      <c r="L29" s="2387"/>
      <c r="M29" s="2383">
        <v>4341</v>
      </c>
      <c r="N29" s="575">
        <v>2190</v>
      </c>
      <c r="O29" s="575">
        <v>161</v>
      </c>
      <c r="P29" s="2384">
        <v>38</v>
      </c>
      <c r="Q29" s="576">
        <v>302</v>
      </c>
    </row>
    <row r="30" spans="1:17" s="576" customFormat="1" x14ac:dyDescent="0.25">
      <c r="A30" s="578" t="s">
        <v>64</v>
      </c>
      <c r="B30" s="574" t="s">
        <v>65</v>
      </c>
      <c r="C30" s="573" t="s">
        <v>266</v>
      </c>
      <c r="D30" s="2410">
        <v>2475</v>
      </c>
      <c r="E30" s="2386">
        <v>994</v>
      </c>
      <c r="F30" s="891">
        <v>533</v>
      </c>
      <c r="G30" s="891">
        <v>749</v>
      </c>
      <c r="H30" s="891">
        <v>199</v>
      </c>
      <c r="I30" s="2387">
        <v>0</v>
      </c>
      <c r="J30" s="2386">
        <v>1431</v>
      </c>
      <c r="K30" s="891">
        <v>1044</v>
      </c>
      <c r="L30" s="2387"/>
      <c r="M30" s="2383">
        <v>1286</v>
      </c>
      <c r="N30" s="575">
        <v>1170</v>
      </c>
      <c r="O30" s="575">
        <v>15</v>
      </c>
      <c r="P30" s="2384">
        <v>4</v>
      </c>
      <c r="Q30" s="576">
        <v>37</v>
      </c>
    </row>
    <row r="31" spans="1:17" s="576" customFormat="1" x14ac:dyDescent="0.25">
      <c r="A31" s="578" t="s">
        <v>68</v>
      </c>
      <c r="B31" s="574" t="s">
        <v>69</v>
      </c>
      <c r="C31" s="573" t="s">
        <v>268</v>
      </c>
      <c r="D31" s="2410">
        <v>4082</v>
      </c>
      <c r="E31" s="2386">
        <v>1375</v>
      </c>
      <c r="F31" s="891">
        <v>1039</v>
      </c>
      <c r="G31" s="891">
        <v>1442</v>
      </c>
      <c r="H31" s="891">
        <v>226</v>
      </c>
      <c r="I31" s="2387">
        <v>0</v>
      </c>
      <c r="J31" s="2386">
        <v>2193</v>
      </c>
      <c r="K31" s="891">
        <v>1889</v>
      </c>
      <c r="L31" s="2387"/>
      <c r="M31" s="2383">
        <v>4026</v>
      </c>
      <c r="N31" s="575">
        <v>39</v>
      </c>
      <c r="O31" s="575">
        <v>8</v>
      </c>
      <c r="P31" s="2384">
        <v>9</v>
      </c>
      <c r="Q31" s="576">
        <v>8</v>
      </c>
    </row>
    <row r="32" spans="1:17" s="576" customFormat="1" x14ac:dyDescent="0.25">
      <c r="A32" s="578" t="s">
        <v>70</v>
      </c>
      <c r="B32" s="574" t="s">
        <v>71</v>
      </c>
      <c r="C32" s="573" t="s">
        <v>264</v>
      </c>
      <c r="D32" s="2410">
        <v>5473</v>
      </c>
      <c r="E32" s="2386">
        <v>2340</v>
      </c>
      <c r="F32" s="891">
        <v>1263</v>
      </c>
      <c r="G32" s="891">
        <v>1578</v>
      </c>
      <c r="H32" s="891">
        <v>292</v>
      </c>
      <c r="I32" s="2387">
        <v>0</v>
      </c>
      <c r="J32" s="2386">
        <v>3199</v>
      </c>
      <c r="K32" s="891">
        <v>2274</v>
      </c>
      <c r="L32" s="2387"/>
      <c r="M32" s="2383">
        <v>3025</v>
      </c>
      <c r="N32" s="575">
        <v>2336</v>
      </c>
      <c r="O32" s="575">
        <v>66</v>
      </c>
      <c r="P32" s="2384">
        <v>46</v>
      </c>
      <c r="Q32" s="576">
        <v>192</v>
      </c>
    </row>
    <row r="33" spans="1:17" s="576" customFormat="1" x14ac:dyDescent="0.25">
      <c r="A33" s="578" t="s">
        <v>72</v>
      </c>
      <c r="B33" s="574" t="s">
        <v>73</v>
      </c>
      <c r="C33" s="573" t="s">
        <v>266</v>
      </c>
      <c r="D33" s="2410">
        <v>2739</v>
      </c>
      <c r="E33" s="2386">
        <v>1206</v>
      </c>
      <c r="F33" s="891">
        <v>645</v>
      </c>
      <c r="G33" s="891">
        <v>753</v>
      </c>
      <c r="H33" s="891">
        <v>135</v>
      </c>
      <c r="I33" s="2387">
        <v>0</v>
      </c>
      <c r="J33" s="2386">
        <v>1628</v>
      </c>
      <c r="K33" s="891">
        <v>1111</v>
      </c>
      <c r="L33" s="2387"/>
      <c r="M33" s="2383">
        <v>919</v>
      </c>
      <c r="N33" s="575">
        <v>1751</v>
      </c>
      <c r="O33" s="575">
        <v>48</v>
      </c>
      <c r="P33" s="2384">
        <v>21</v>
      </c>
      <c r="Q33" s="576">
        <v>41</v>
      </c>
    </row>
    <row r="34" spans="1:17" s="576" customFormat="1" x14ac:dyDescent="0.25">
      <c r="A34" s="578" t="s">
        <v>74</v>
      </c>
      <c r="B34" s="574" t="s">
        <v>296</v>
      </c>
      <c r="C34" s="573" t="s">
        <v>267</v>
      </c>
      <c r="D34" s="2410">
        <v>63292</v>
      </c>
      <c r="E34" s="2386">
        <v>32779</v>
      </c>
      <c r="F34" s="891">
        <v>8660</v>
      </c>
      <c r="G34" s="891">
        <v>12957</v>
      </c>
      <c r="H34" s="891">
        <v>8895</v>
      </c>
      <c r="I34" s="2387">
        <v>1</v>
      </c>
      <c r="J34" s="2386">
        <v>35538</v>
      </c>
      <c r="K34" s="891">
        <v>27754</v>
      </c>
      <c r="L34" s="2387"/>
      <c r="M34" s="2383">
        <v>37215</v>
      </c>
      <c r="N34" s="575">
        <v>14744</v>
      </c>
      <c r="O34" s="575">
        <v>10948</v>
      </c>
      <c r="P34" s="2384">
        <v>385</v>
      </c>
      <c r="Q34" s="576">
        <v>5395</v>
      </c>
    </row>
    <row r="35" spans="1:17" s="576" customFormat="1" x14ac:dyDescent="0.25">
      <c r="A35" s="578" t="s">
        <v>76</v>
      </c>
      <c r="B35" s="574" t="s">
        <v>77</v>
      </c>
      <c r="C35" s="573" t="s">
        <v>267</v>
      </c>
      <c r="D35" s="2410">
        <v>4559</v>
      </c>
      <c r="E35" s="2386">
        <v>2056</v>
      </c>
      <c r="F35" s="891">
        <v>932</v>
      </c>
      <c r="G35" s="891">
        <v>1255</v>
      </c>
      <c r="H35" s="891">
        <v>316</v>
      </c>
      <c r="I35" s="2387">
        <v>0</v>
      </c>
      <c r="J35" s="2386">
        <v>2613</v>
      </c>
      <c r="K35" s="891">
        <v>1946</v>
      </c>
      <c r="L35" s="2387"/>
      <c r="M35" s="2383">
        <v>3210</v>
      </c>
      <c r="N35" s="575">
        <v>1215</v>
      </c>
      <c r="O35" s="575">
        <v>120</v>
      </c>
      <c r="P35" s="2384">
        <v>14</v>
      </c>
      <c r="Q35" s="576">
        <v>189</v>
      </c>
    </row>
    <row r="36" spans="1:17" s="576" customFormat="1" x14ac:dyDescent="0.25">
      <c r="A36" s="578" t="s">
        <v>78</v>
      </c>
      <c r="B36" s="574" t="s">
        <v>79</v>
      </c>
      <c r="C36" s="573" t="s">
        <v>268</v>
      </c>
      <c r="D36" s="2410">
        <v>2558</v>
      </c>
      <c r="E36" s="2386">
        <v>1047</v>
      </c>
      <c r="F36" s="891">
        <v>550</v>
      </c>
      <c r="G36" s="891">
        <v>775</v>
      </c>
      <c r="H36" s="891">
        <v>186</v>
      </c>
      <c r="I36" s="2387">
        <v>0</v>
      </c>
      <c r="J36" s="2386">
        <v>1374</v>
      </c>
      <c r="K36" s="891">
        <v>1184</v>
      </c>
      <c r="L36" s="2387"/>
      <c r="M36" s="2383">
        <v>2393</v>
      </c>
      <c r="N36" s="575">
        <v>113</v>
      </c>
      <c r="O36" s="575">
        <v>49</v>
      </c>
      <c r="P36" s="2384">
        <v>3</v>
      </c>
      <c r="Q36" s="576">
        <v>103</v>
      </c>
    </row>
    <row r="37" spans="1:17" s="576" customFormat="1" x14ac:dyDescent="0.25">
      <c r="A37" s="578" t="s">
        <v>80</v>
      </c>
      <c r="B37" s="574" t="s">
        <v>81</v>
      </c>
      <c r="C37" s="573" t="s">
        <v>266</v>
      </c>
      <c r="D37" s="2410">
        <v>2299</v>
      </c>
      <c r="E37" s="2386">
        <v>1042</v>
      </c>
      <c r="F37" s="891">
        <v>498</v>
      </c>
      <c r="G37" s="891">
        <v>612</v>
      </c>
      <c r="H37" s="891">
        <v>147</v>
      </c>
      <c r="I37" s="2387">
        <v>0</v>
      </c>
      <c r="J37" s="2386">
        <v>1306</v>
      </c>
      <c r="K37" s="891">
        <v>993</v>
      </c>
      <c r="L37" s="2387"/>
      <c r="M37" s="2383">
        <v>1525</v>
      </c>
      <c r="N37" s="575">
        <v>748</v>
      </c>
      <c r="O37" s="575">
        <v>20</v>
      </c>
      <c r="P37" s="2384">
        <v>6</v>
      </c>
      <c r="Q37" s="576">
        <v>52</v>
      </c>
    </row>
    <row r="38" spans="1:17" s="576" customFormat="1" x14ac:dyDescent="0.25">
      <c r="A38" s="578" t="s">
        <v>84</v>
      </c>
      <c r="B38" s="574" t="s">
        <v>85</v>
      </c>
      <c r="C38" s="573" t="s">
        <v>265</v>
      </c>
      <c r="D38" s="2410">
        <v>8784</v>
      </c>
      <c r="E38" s="2386">
        <v>3722</v>
      </c>
      <c r="F38" s="891">
        <v>1926</v>
      </c>
      <c r="G38" s="891">
        <v>2597</v>
      </c>
      <c r="H38" s="891">
        <v>536</v>
      </c>
      <c r="I38" s="2387">
        <v>3</v>
      </c>
      <c r="J38" s="2386">
        <v>4958</v>
      </c>
      <c r="K38" s="891">
        <v>3826</v>
      </c>
      <c r="L38" s="2387"/>
      <c r="M38" s="2383">
        <v>7361</v>
      </c>
      <c r="N38" s="575">
        <v>1249</v>
      </c>
      <c r="O38" s="575">
        <v>139</v>
      </c>
      <c r="P38" s="2384">
        <v>35</v>
      </c>
      <c r="Q38" s="576">
        <v>251</v>
      </c>
    </row>
    <row r="39" spans="1:17" s="576" customFormat="1" x14ac:dyDescent="0.25">
      <c r="A39" s="578" t="s">
        <v>86</v>
      </c>
      <c r="B39" s="574" t="s">
        <v>87</v>
      </c>
      <c r="C39" s="573" t="s">
        <v>267</v>
      </c>
      <c r="D39" s="2410">
        <v>7486</v>
      </c>
      <c r="E39" s="2386">
        <v>3651</v>
      </c>
      <c r="F39" s="891">
        <v>1601</v>
      </c>
      <c r="G39" s="891">
        <v>1821</v>
      </c>
      <c r="H39" s="891">
        <v>412</v>
      </c>
      <c r="I39" s="2387">
        <v>1</v>
      </c>
      <c r="J39" s="2386">
        <v>4281</v>
      </c>
      <c r="K39" s="891">
        <v>3205</v>
      </c>
      <c r="L39" s="2387"/>
      <c r="M39" s="2383">
        <v>6475</v>
      </c>
      <c r="N39" s="575">
        <v>834</v>
      </c>
      <c r="O39" s="575">
        <v>152</v>
      </c>
      <c r="P39" s="2384">
        <v>25</v>
      </c>
      <c r="Q39" s="576">
        <v>522</v>
      </c>
    </row>
    <row r="40" spans="1:17" s="576" customFormat="1" x14ac:dyDescent="0.25">
      <c r="A40" s="578" t="s">
        <v>92</v>
      </c>
      <c r="B40" s="574" t="s">
        <v>93</v>
      </c>
      <c r="C40" s="573" t="s">
        <v>268</v>
      </c>
      <c r="D40" s="2410">
        <v>2920</v>
      </c>
      <c r="E40" s="2386">
        <v>1134</v>
      </c>
      <c r="F40" s="891">
        <v>671</v>
      </c>
      <c r="G40" s="891">
        <v>907</v>
      </c>
      <c r="H40" s="891">
        <v>208</v>
      </c>
      <c r="I40" s="2387">
        <v>0</v>
      </c>
      <c r="J40" s="2386">
        <v>1608</v>
      </c>
      <c r="K40" s="891">
        <v>1312</v>
      </c>
      <c r="L40" s="2387"/>
      <c r="M40" s="2383">
        <v>2824</v>
      </c>
      <c r="N40" s="575">
        <v>82</v>
      </c>
      <c r="O40" s="575">
        <v>12</v>
      </c>
      <c r="P40" s="2384">
        <v>2</v>
      </c>
      <c r="Q40" s="576">
        <v>35</v>
      </c>
    </row>
    <row r="41" spans="1:17" s="576" customFormat="1" x14ac:dyDescent="0.25">
      <c r="A41" s="578" t="s">
        <v>94</v>
      </c>
      <c r="B41" s="574" t="s">
        <v>95</v>
      </c>
      <c r="C41" s="573" t="s">
        <v>264</v>
      </c>
      <c r="D41" s="2410">
        <v>4724</v>
      </c>
      <c r="E41" s="2386">
        <v>1878</v>
      </c>
      <c r="F41" s="891">
        <v>1092</v>
      </c>
      <c r="G41" s="891">
        <v>1491</v>
      </c>
      <c r="H41" s="891">
        <v>263</v>
      </c>
      <c r="I41" s="2387">
        <v>0</v>
      </c>
      <c r="J41" s="2386">
        <v>2647</v>
      </c>
      <c r="K41" s="891">
        <v>2077</v>
      </c>
      <c r="L41" s="2387"/>
      <c r="M41" s="2383">
        <v>3800</v>
      </c>
      <c r="N41" s="575">
        <v>825</v>
      </c>
      <c r="O41" s="575">
        <v>73</v>
      </c>
      <c r="P41" s="2384">
        <v>26</v>
      </c>
      <c r="Q41" s="576">
        <v>121</v>
      </c>
    </row>
    <row r="42" spans="1:17" s="576" customFormat="1" x14ac:dyDescent="0.25">
      <c r="A42" s="578" t="s">
        <v>96</v>
      </c>
      <c r="B42" s="574" t="s">
        <v>97</v>
      </c>
      <c r="C42" s="573" t="s">
        <v>266</v>
      </c>
      <c r="D42" s="2410">
        <v>1554</v>
      </c>
      <c r="E42" s="2386">
        <v>633</v>
      </c>
      <c r="F42" s="891">
        <v>294</v>
      </c>
      <c r="G42" s="891">
        <v>514</v>
      </c>
      <c r="H42" s="891">
        <v>113</v>
      </c>
      <c r="I42" s="2387">
        <v>0</v>
      </c>
      <c r="J42" s="2386">
        <v>889</v>
      </c>
      <c r="K42" s="891">
        <v>665</v>
      </c>
      <c r="L42" s="2387"/>
      <c r="M42" s="2383">
        <v>847</v>
      </c>
      <c r="N42" s="575">
        <v>669</v>
      </c>
      <c r="O42" s="575">
        <v>31</v>
      </c>
      <c r="P42" s="2384">
        <v>7</v>
      </c>
      <c r="Q42" s="576">
        <v>76</v>
      </c>
    </row>
    <row r="43" spans="1:17" s="576" customFormat="1" x14ac:dyDescent="0.25">
      <c r="A43" s="578" t="s">
        <v>98</v>
      </c>
      <c r="B43" s="574" t="s">
        <v>99</v>
      </c>
      <c r="C43" s="573" t="s">
        <v>268</v>
      </c>
      <c r="D43" s="2410">
        <v>3232</v>
      </c>
      <c r="E43" s="2386">
        <v>1227</v>
      </c>
      <c r="F43" s="891">
        <v>760</v>
      </c>
      <c r="G43" s="891">
        <v>950</v>
      </c>
      <c r="H43" s="891">
        <v>295</v>
      </c>
      <c r="I43" s="2387">
        <v>0</v>
      </c>
      <c r="J43" s="2386">
        <v>1793</v>
      </c>
      <c r="K43" s="891">
        <v>1439</v>
      </c>
      <c r="L43" s="2387"/>
      <c r="M43" s="2383">
        <v>3060</v>
      </c>
      <c r="N43" s="575">
        <v>153</v>
      </c>
      <c r="O43" s="575">
        <v>13</v>
      </c>
      <c r="P43" s="2384">
        <v>6</v>
      </c>
      <c r="Q43" s="576">
        <v>63</v>
      </c>
    </row>
    <row r="44" spans="1:17" s="576" customFormat="1" x14ac:dyDescent="0.25">
      <c r="A44" s="578" t="s">
        <v>100</v>
      </c>
      <c r="B44" s="574" t="s">
        <v>101</v>
      </c>
      <c r="C44" s="573" t="s">
        <v>267</v>
      </c>
      <c r="D44" s="2410">
        <v>2653</v>
      </c>
      <c r="E44" s="2386">
        <v>1249</v>
      </c>
      <c r="F44" s="891">
        <v>578</v>
      </c>
      <c r="G44" s="891">
        <v>707</v>
      </c>
      <c r="H44" s="891">
        <v>119</v>
      </c>
      <c r="I44" s="2387">
        <v>0</v>
      </c>
      <c r="J44" s="2386">
        <v>1472</v>
      </c>
      <c r="K44" s="891">
        <v>1181</v>
      </c>
      <c r="L44" s="2387"/>
      <c r="M44" s="2383">
        <v>2075</v>
      </c>
      <c r="N44" s="575">
        <v>527</v>
      </c>
      <c r="O44" s="575">
        <v>49</v>
      </c>
      <c r="P44" s="2384">
        <v>2</v>
      </c>
      <c r="Q44" s="576">
        <v>60</v>
      </c>
    </row>
    <row r="45" spans="1:17" s="576" customFormat="1" x14ac:dyDescent="0.25">
      <c r="A45" s="578" t="s">
        <v>102</v>
      </c>
      <c r="B45" s="574" t="s">
        <v>282</v>
      </c>
      <c r="C45" s="573" t="s">
        <v>264</v>
      </c>
      <c r="D45" s="2410">
        <v>5530</v>
      </c>
      <c r="E45" s="2386">
        <v>2329</v>
      </c>
      <c r="F45" s="891">
        <v>1329</v>
      </c>
      <c r="G45" s="891">
        <v>1479</v>
      </c>
      <c r="H45" s="891">
        <v>393</v>
      </c>
      <c r="I45" s="2387">
        <v>0</v>
      </c>
      <c r="J45" s="2386">
        <v>3202</v>
      </c>
      <c r="K45" s="891">
        <v>2328</v>
      </c>
      <c r="L45" s="2387"/>
      <c r="M45" s="2383">
        <v>753</v>
      </c>
      <c r="N45" s="575">
        <v>4670</v>
      </c>
      <c r="O45" s="575">
        <v>95</v>
      </c>
      <c r="P45" s="2384">
        <v>12</v>
      </c>
      <c r="Q45" s="576">
        <v>124</v>
      </c>
    </row>
    <row r="46" spans="1:17" s="576" customFormat="1" x14ac:dyDescent="0.25">
      <c r="A46" s="578" t="s">
        <v>104</v>
      </c>
      <c r="B46" s="574" t="s">
        <v>105</v>
      </c>
      <c r="C46" s="573" t="s">
        <v>265</v>
      </c>
      <c r="D46" s="2410">
        <v>8037</v>
      </c>
      <c r="E46" s="2386">
        <v>3145</v>
      </c>
      <c r="F46" s="891">
        <v>1906</v>
      </c>
      <c r="G46" s="891">
        <v>2261</v>
      </c>
      <c r="H46" s="891">
        <v>725</v>
      </c>
      <c r="I46" s="2387">
        <v>0</v>
      </c>
      <c r="J46" s="2386">
        <v>4613</v>
      </c>
      <c r="K46" s="891">
        <v>3424</v>
      </c>
      <c r="L46" s="2387"/>
      <c r="M46" s="2383">
        <v>3267</v>
      </c>
      <c r="N46" s="575">
        <v>4655</v>
      </c>
      <c r="O46" s="575">
        <v>82</v>
      </c>
      <c r="P46" s="2384">
        <v>33</v>
      </c>
      <c r="Q46" s="576">
        <v>115</v>
      </c>
    </row>
    <row r="47" spans="1:17" s="576" customFormat="1" x14ac:dyDescent="0.25">
      <c r="A47" s="578" t="s">
        <v>108</v>
      </c>
      <c r="B47" s="574" t="s">
        <v>109</v>
      </c>
      <c r="C47" s="573" t="s">
        <v>266</v>
      </c>
      <c r="D47" s="2410">
        <v>7165</v>
      </c>
      <c r="E47" s="2386">
        <v>3140</v>
      </c>
      <c r="F47" s="891">
        <v>1618</v>
      </c>
      <c r="G47" s="891">
        <v>2001</v>
      </c>
      <c r="H47" s="891">
        <v>406</v>
      </c>
      <c r="I47" s="2387">
        <v>0</v>
      </c>
      <c r="J47" s="2386">
        <v>4185</v>
      </c>
      <c r="K47" s="891">
        <v>2980</v>
      </c>
      <c r="L47" s="2387"/>
      <c r="M47" s="2383">
        <v>4881</v>
      </c>
      <c r="N47" s="575">
        <v>2061</v>
      </c>
      <c r="O47" s="575">
        <v>184</v>
      </c>
      <c r="P47" s="2384">
        <v>39</v>
      </c>
      <c r="Q47" s="576">
        <v>257</v>
      </c>
    </row>
    <row r="48" spans="1:17" s="576" customFormat="1" x14ac:dyDescent="0.25">
      <c r="A48" s="578" t="s">
        <v>110</v>
      </c>
      <c r="B48" s="574" t="s">
        <v>111</v>
      </c>
      <c r="C48" s="573" t="s">
        <v>266</v>
      </c>
      <c r="D48" s="2410">
        <v>44375</v>
      </c>
      <c r="E48" s="2386">
        <v>20853</v>
      </c>
      <c r="F48" s="891">
        <v>10276</v>
      </c>
      <c r="G48" s="891">
        <v>10908</v>
      </c>
      <c r="H48" s="891">
        <v>2338</v>
      </c>
      <c r="I48" s="2387">
        <v>0</v>
      </c>
      <c r="J48" s="2386">
        <v>26218</v>
      </c>
      <c r="K48" s="891">
        <v>18157</v>
      </c>
      <c r="L48" s="2387"/>
      <c r="M48" s="2383">
        <v>14333</v>
      </c>
      <c r="N48" s="575">
        <v>26698</v>
      </c>
      <c r="O48" s="575">
        <v>3047</v>
      </c>
      <c r="P48" s="2384">
        <v>297</v>
      </c>
      <c r="Q48" s="576">
        <v>1608</v>
      </c>
    </row>
    <row r="49" spans="1:17" s="576" customFormat="1" x14ac:dyDescent="0.25">
      <c r="A49" s="578" t="s">
        <v>112</v>
      </c>
      <c r="B49" s="574" t="s">
        <v>300</v>
      </c>
      <c r="C49" s="573" t="s">
        <v>265</v>
      </c>
      <c r="D49" s="2410">
        <v>18723</v>
      </c>
      <c r="E49" s="2386">
        <v>7487</v>
      </c>
      <c r="F49" s="891">
        <v>4400</v>
      </c>
      <c r="G49" s="891">
        <v>5695</v>
      </c>
      <c r="H49" s="891">
        <v>1141</v>
      </c>
      <c r="I49" s="2387">
        <v>0</v>
      </c>
      <c r="J49" s="2386">
        <v>10501</v>
      </c>
      <c r="K49" s="891">
        <v>8222</v>
      </c>
      <c r="L49" s="2387"/>
      <c r="M49" s="2383">
        <v>11353</v>
      </c>
      <c r="N49" s="575">
        <v>7194</v>
      </c>
      <c r="O49" s="575">
        <v>134</v>
      </c>
      <c r="P49" s="2384">
        <v>42</v>
      </c>
      <c r="Q49" s="576">
        <v>1090</v>
      </c>
    </row>
    <row r="50" spans="1:17" s="576" customFormat="1" x14ac:dyDescent="0.25">
      <c r="A50" s="578" t="s">
        <v>114</v>
      </c>
      <c r="B50" s="574" t="s">
        <v>115</v>
      </c>
      <c r="C50" s="573" t="s">
        <v>265</v>
      </c>
      <c r="D50" s="2410">
        <v>215</v>
      </c>
      <c r="E50" s="2386">
        <v>72</v>
      </c>
      <c r="F50" s="891">
        <v>39</v>
      </c>
      <c r="G50" s="891">
        <v>80</v>
      </c>
      <c r="H50" s="891">
        <v>24</v>
      </c>
      <c r="I50" s="2387">
        <v>0</v>
      </c>
      <c r="J50" s="2386">
        <v>125</v>
      </c>
      <c r="K50" s="891">
        <v>90</v>
      </c>
      <c r="L50" s="2387"/>
      <c r="M50" s="2383">
        <v>189</v>
      </c>
      <c r="N50" s="575">
        <v>19</v>
      </c>
      <c r="O50" s="575">
        <v>4</v>
      </c>
      <c r="P50" s="2384">
        <v>3</v>
      </c>
      <c r="Q50" s="576">
        <v>1</v>
      </c>
    </row>
    <row r="51" spans="1:17" s="576" customFormat="1" x14ac:dyDescent="0.25">
      <c r="A51" s="578" t="s">
        <v>118</v>
      </c>
      <c r="B51" s="574" t="s">
        <v>270</v>
      </c>
      <c r="C51" s="573" t="s">
        <v>264</v>
      </c>
      <c r="D51" s="2410">
        <v>4761</v>
      </c>
      <c r="E51" s="2386">
        <v>1999</v>
      </c>
      <c r="F51" s="891">
        <v>1059</v>
      </c>
      <c r="G51" s="891">
        <v>1360</v>
      </c>
      <c r="H51" s="891">
        <v>343</v>
      </c>
      <c r="I51" s="2387">
        <v>0</v>
      </c>
      <c r="J51" s="2386">
        <v>2768</v>
      </c>
      <c r="K51" s="891">
        <v>1993</v>
      </c>
      <c r="L51" s="2387"/>
      <c r="M51" s="2383">
        <v>2193</v>
      </c>
      <c r="N51" s="575">
        <v>2505</v>
      </c>
      <c r="O51" s="575">
        <v>51</v>
      </c>
      <c r="P51" s="2384">
        <v>12</v>
      </c>
      <c r="Q51" s="576">
        <v>78</v>
      </c>
    </row>
    <row r="52" spans="1:17" s="576" customFormat="1" x14ac:dyDescent="0.25">
      <c r="A52" s="578" t="s">
        <v>120</v>
      </c>
      <c r="B52" s="574" t="s">
        <v>121</v>
      </c>
      <c r="C52" s="573" t="s">
        <v>264</v>
      </c>
      <c r="D52" s="2410">
        <v>6081</v>
      </c>
      <c r="E52" s="2386">
        <v>2942</v>
      </c>
      <c r="F52" s="891">
        <v>1314</v>
      </c>
      <c r="G52" s="891">
        <v>1572</v>
      </c>
      <c r="H52" s="891">
        <v>253</v>
      </c>
      <c r="I52" s="2387">
        <v>0</v>
      </c>
      <c r="J52" s="2386">
        <v>3558</v>
      </c>
      <c r="K52" s="891">
        <v>2523</v>
      </c>
      <c r="L52" s="2387"/>
      <c r="M52" s="2383">
        <v>3153</v>
      </c>
      <c r="N52" s="575">
        <v>2688</v>
      </c>
      <c r="O52" s="575">
        <v>201</v>
      </c>
      <c r="P52" s="2384">
        <v>39</v>
      </c>
      <c r="Q52" s="576">
        <v>395</v>
      </c>
    </row>
    <row r="53" spans="1:17" s="576" customFormat="1" x14ac:dyDescent="0.25">
      <c r="A53" s="578" t="s">
        <v>122</v>
      </c>
      <c r="B53" s="574" t="s">
        <v>287</v>
      </c>
      <c r="C53" s="573" t="s">
        <v>266</v>
      </c>
      <c r="D53" s="2410">
        <v>1422</v>
      </c>
      <c r="E53" s="2386">
        <v>598</v>
      </c>
      <c r="F53" s="891">
        <v>312</v>
      </c>
      <c r="G53" s="891">
        <v>413</v>
      </c>
      <c r="H53" s="891">
        <v>99</v>
      </c>
      <c r="I53" s="2387">
        <v>0</v>
      </c>
      <c r="J53" s="2386">
        <v>809</v>
      </c>
      <c r="K53" s="891">
        <v>613</v>
      </c>
      <c r="L53" s="2387"/>
      <c r="M53" s="2383">
        <v>801</v>
      </c>
      <c r="N53" s="575">
        <v>588</v>
      </c>
      <c r="O53" s="575">
        <v>24</v>
      </c>
      <c r="P53" s="2384">
        <v>9</v>
      </c>
      <c r="Q53" s="576">
        <v>24</v>
      </c>
    </row>
    <row r="54" spans="1:17" s="576" customFormat="1" x14ac:dyDescent="0.25">
      <c r="A54" s="578" t="s">
        <v>124</v>
      </c>
      <c r="B54" s="574" t="s">
        <v>125</v>
      </c>
      <c r="C54" s="573" t="s">
        <v>267</v>
      </c>
      <c r="D54" s="2410">
        <v>3396</v>
      </c>
      <c r="E54" s="2386">
        <v>1596</v>
      </c>
      <c r="F54" s="891">
        <v>783</v>
      </c>
      <c r="G54" s="891">
        <v>851</v>
      </c>
      <c r="H54" s="891">
        <v>166</v>
      </c>
      <c r="I54" s="2387">
        <v>0</v>
      </c>
      <c r="J54" s="2386">
        <v>1945</v>
      </c>
      <c r="K54" s="891">
        <v>1451</v>
      </c>
      <c r="L54" s="2387"/>
      <c r="M54" s="2383">
        <v>2012</v>
      </c>
      <c r="N54" s="575">
        <v>1312</v>
      </c>
      <c r="O54" s="575">
        <v>61</v>
      </c>
      <c r="P54" s="2384">
        <v>11</v>
      </c>
      <c r="Q54" s="576">
        <v>99</v>
      </c>
    </row>
    <row r="55" spans="1:17" s="576" customFormat="1" x14ac:dyDescent="0.25">
      <c r="A55" s="578" t="s">
        <v>126</v>
      </c>
      <c r="B55" s="574" t="s">
        <v>127</v>
      </c>
      <c r="C55" s="573" t="s">
        <v>266</v>
      </c>
      <c r="D55" s="2410">
        <v>2021</v>
      </c>
      <c r="E55" s="2386">
        <v>912</v>
      </c>
      <c r="F55" s="891">
        <v>414</v>
      </c>
      <c r="G55" s="891">
        <v>571</v>
      </c>
      <c r="H55" s="891">
        <v>124</v>
      </c>
      <c r="I55" s="2387">
        <v>0</v>
      </c>
      <c r="J55" s="2386">
        <v>1198</v>
      </c>
      <c r="K55" s="891">
        <v>823</v>
      </c>
      <c r="L55" s="2387"/>
      <c r="M55" s="2383">
        <v>1124</v>
      </c>
      <c r="N55" s="575">
        <v>814</v>
      </c>
      <c r="O55" s="575">
        <v>75</v>
      </c>
      <c r="P55" s="2384">
        <v>8</v>
      </c>
      <c r="Q55" s="576">
        <v>46</v>
      </c>
    </row>
    <row r="56" spans="1:17" s="576" customFormat="1" x14ac:dyDescent="0.25">
      <c r="A56" s="578" t="s">
        <v>128</v>
      </c>
      <c r="B56" s="574" t="s">
        <v>129</v>
      </c>
      <c r="C56" s="573" t="s">
        <v>266</v>
      </c>
      <c r="D56" s="2410">
        <v>1963</v>
      </c>
      <c r="E56" s="2386">
        <v>824</v>
      </c>
      <c r="F56" s="891">
        <v>454</v>
      </c>
      <c r="G56" s="891">
        <v>517</v>
      </c>
      <c r="H56" s="891">
        <v>168</v>
      </c>
      <c r="I56" s="2387">
        <v>0</v>
      </c>
      <c r="J56" s="2386">
        <v>1171</v>
      </c>
      <c r="K56" s="891">
        <v>792</v>
      </c>
      <c r="L56" s="2387"/>
      <c r="M56" s="2383">
        <v>692</v>
      </c>
      <c r="N56" s="575">
        <v>1248</v>
      </c>
      <c r="O56" s="575">
        <v>20</v>
      </c>
      <c r="P56" s="2384">
        <v>3</v>
      </c>
      <c r="Q56" s="576">
        <v>13</v>
      </c>
    </row>
    <row r="57" spans="1:17" s="576" customFormat="1" x14ac:dyDescent="0.25">
      <c r="A57" s="578" t="s">
        <v>130</v>
      </c>
      <c r="B57" s="574" t="s">
        <v>131</v>
      </c>
      <c r="C57" s="573" t="s">
        <v>268</v>
      </c>
      <c r="D57" s="2410">
        <v>7146</v>
      </c>
      <c r="E57" s="2386">
        <v>2379</v>
      </c>
      <c r="F57" s="891">
        <v>1670</v>
      </c>
      <c r="G57" s="891">
        <v>2506</v>
      </c>
      <c r="H57" s="891">
        <v>591</v>
      </c>
      <c r="I57" s="2387">
        <v>0</v>
      </c>
      <c r="J57" s="2386">
        <v>3858</v>
      </c>
      <c r="K57" s="891">
        <v>3288</v>
      </c>
      <c r="L57" s="2387"/>
      <c r="M57" s="2383">
        <v>7036</v>
      </c>
      <c r="N57" s="575">
        <v>49</v>
      </c>
      <c r="O57" s="575">
        <v>29</v>
      </c>
      <c r="P57" s="2384">
        <v>32</v>
      </c>
      <c r="Q57" s="576">
        <v>32</v>
      </c>
    </row>
    <row r="58" spans="1:17" s="576" customFormat="1" x14ac:dyDescent="0.25">
      <c r="A58" s="578" t="s">
        <v>132</v>
      </c>
      <c r="B58" s="574" t="s">
        <v>133</v>
      </c>
      <c r="C58" s="573" t="s">
        <v>267</v>
      </c>
      <c r="D58" s="2410">
        <v>13484</v>
      </c>
      <c r="E58" s="2386">
        <v>7022</v>
      </c>
      <c r="F58" s="891">
        <v>1999</v>
      </c>
      <c r="G58" s="891">
        <v>2730</v>
      </c>
      <c r="H58" s="891">
        <v>1732</v>
      </c>
      <c r="I58" s="2387">
        <v>1</v>
      </c>
      <c r="J58" s="2386">
        <v>7741</v>
      </c>
      <c r="K58" s="891">
        <v>5743</v>
      </c>
      <c r="L58" s="2387"/>
      <c r="M58" s="2383">
        <v>8687</v>
      </c>
      <c r="N58" s="575">
        <v>2501</v>
      </c>
      <c r="O58" s="575">
        <v>2157</v>
      </c>
      <c r="P58" s="2384">
        <v>139</v>
      </c>
      <c r="Q58" s="576">
        <v>1133</v>
      </c>
    </row>
    <row r="59" spans="1:17" s="576" customFormat="1" x14ac:dyDescent="0.25">
      <c r="A59" s="578" t="s">
        <v>134</v>
      </c>
      <c r="B59" s="574" t="s">
        <v>135</v>
      </c>
      <c r="C59" s="573" t="s">
        <v>267</v>
      </c>
      <c r="D59" s="2410">
        <v>5171</v>
      </c>
      <c r="E59" s="2386">
        <v>2220</v>
      </c>
      <c r="F59" s="891">
        <v>1060</v>
      </c>
      <c r="G59" s="891">
        <v>1512</v>
      </c>
      <c r="H59" s="891">
        <v>379</v>
      </c>
      <c r="I59" s="2387">
        <v>0</v>
      </c>
      <c r="J59" s="2386">
        <v>2912</v>
      </c>
      <c r="K59" s="891">
        <v>2259</v>
      </c>
      <c r="L59" s="2387"/>
      <c r="M59" s="2383">
        <v>3579</v>
      </c>
      <c r="N59" s="575">
        <v>1519</v>
      </c>
      <c r="O59" s="575">
        <v>60</v>
      </c>
      <c r="P59" s="2384">
        <v>13</v>
      </c>
      <c r="Q59" s="576">
        <v>109</v>
      </c>
    </row>
    <row r="60" spans="1:17" s="576" customFormat="1" x14ac:dyDescent="0.25">
      <c r="A60" s="578" t="s">
        <v>136</v>
      </c>
      <c r="B60" s="574" t="s">
        <v>137</v>
      </c>
      <c r="C60" s="573" t="s">
        <v>266</v>
      </c>
      <c r="D60" s="2410">
        <v>2712</v>
      </c>
      <c r="E60" s="2386">
        <v>1102</v>
      </c>
      <c r="F60" s="891">
        <v>613</v>
      </c>
      <c r="G60" s="891">
        <v>751</v>
      </c>
      <c r="H60" s="891">
        <v>246</v>
      </c>
      <c r="I60" s="2387">
        <v>0</v>
      </c>
      <c r="J60" s="2386">
        <v>1540</v>
      </c>
      <c r="K60" s="891">
        <v>1172</v>
      </c>
      <c r="L60" s="2387"/>
      <c r="M60" s="2383">
        <v>1263</v>
      </c>
      <c r="N60" s="575">
        <v>1343</v>
      </c>
      <c r="O60" s="575">
        <v>101</v>
      </c>
      <c r="P60" s="2384">
        <v>5</v>
      </c>
      <c r="Q60" s="576">
        <v>97</v>
      </c>
    </row>
    <row r="61" spans="1:17" s="576" customFormat="1" x14ac:dyDescent="0.25">
      <c r="A61" s="578" t="s">
        <v>140</v>
      </c>
      <c r="B61" s="574" t="s">
        <v>141</v>
      </c>
      <c r="C61" s="573" t="s">
        <v>267</v>
      </c>
      <c r="D61" s="2410">
        <v>1629</v>
      </c>
      <c r="E61" s="2386">
        <v>678</v>
      </c>
      <c r="F61" s="891">
        <v>365</v>
      </c>
      <c r="G61" s="891">
        <v>458</v>
      </c>
      <c r="H61" s="891">
        <v>128</v>
      </c>
      <c r="I61" s="2387">
        <v>0</v>
      </c>
      <c r="J61" s="2386">
        <v>905</v>
      </c>
      <c r="K61" s="891">
        <v>724</v>
      </c>
      <c r="L61" s="2387"/>
      <c r="M61" s="2383">
        <v>1306</v>
      </c>
      <c r="N61" s="575">
        <v>302</v>
      </c>
      <c r="O61" s="575">
        <v>17</v>
      </c>
      <c r="P61" s="2384">
        <v>4</v>
      </c>
      <c r="Q61" s="576">
        <v>22</v>
      </c>
    </row>
    <row r="62" spans="1:17" s="576" customFormat="1" x14ac:dyDescent="0.25">
      <c r="A62" s="578" t="s">
        <v>146</v>
      </c>
      <c r="B62" s="574" t="s">
        <v>147</v>
      </c>
      <c r="C62" s="573" t="s">
        <v>264</v>
      </c>
      <c r="D62" s="2410">
        <v>1137</v>
      </c>
      <c r="E62" s="2386">
        <v>414</v>
      </c>
      <c r="F62" s="891">
        <v>268</v>
      </c>
      <c r="G62" s="891">
        <v>365</v>
      </c>
      <c r="H62" s="891">
        <v>90</v>
      </c>
      <c r="I62" s="2387">
        <v>0</v>
      </c>
      <c r="J62" s="2386">
        <v>648</v>
      </c>
      <c r="K62" s="891">
        <v>489</v>
      </c>
      <c r="L62" s="2387"/>
      <c r="M62" s="2383">
        <v>885</v>
      </c>
      <c r="N62" s="575">
        <v>241</v>
      </c>
      <c r="O62" s="575">
        <v>11</v>
      </c>
      <c r="P62" s="2384">
        <v>0</v>
      </c>
      <c r="Q62" s="576">
        <v>15</v>
      </c>
    </row>
    <row r="63" spans="1:17" s="576" customFormat="1" x14ac:dyDescent="0.25">
      <c r="A63" s="578" t="s">
        <v>148</v>
      </c>
      <c r="B63" s="574" t="s">
        <v>149</v>
      </c>
      <c r="C63" s="573" t="s">
        <v>265</v>
      </c>
      <c r="D63" s="2410">
        <v>6218</v>
      </c>
      <c r="E63" s="2386">
        <v>2520</v>
      </c>
      <c r="F63" s="891">
        <v>1370</v>
      </c>
      <c r="G63" s="891">
        <v>1816</v>
      </c>
      <c r="H63" s="891">
        <v>512</v>
      </c>
      <c r="I63" s="2387">
        <v>0</v>
      </c>
      <c r="J63" s="2386">
        <v>3581</v>
      </c>
      <c r="K63" s="891">
        <v>2637</v>
      </c>
      <c r="L63" s="2387"/>
      <c r="M63" s="2383">
        <v>2420</v>
      </c>
      <c r="N63" s="575">
        <v>3741</v>
      </c>
      <c r="O63" s="575">
        <v>49</v>
      </c>
      <c r="P63" s="2384">
        <v>8</v>
      </c>
      <c r="Q63" s="576">
        <v>83</v>
      </c>
    </row>
    <row r="64" spans="1:17" s="576" customFormat="1" x14ac:dyDescent="0.25">
      <c r="A64" s="578" t="s">
        <v>150</v>
      </c>
      <c r="B64" s="574" t="s">
        <v>151</v>
      </c>
      <c r="C64" s="573" t="s">
        <v>266</v>
      </c>
      <c r="D64" s="2410">
        <v>2024</v>
      </c>
      <c r="E64" s="2386">
        <v>804</v>
      </c>
      <c r="F64" s="891">
        <v>442</v>
      </c>
      <c r="G64" s="891">
        <v>617</v>
      </c>
      <c r="H64" s="891">
        <v>161</v>
      </c>
      <c r="I64" s="2387">
        <v>0</v>
      </c>
      <c r="J64" s="2386">
        <v>1143</v>
      </c>
      <c r="K64" s="891">
        <v>881</v>
      </c>
      <c r="L64" s="2387"/>
      <c r="M64" s="2383">
        <v>1384</v>
      </c>
      <c r="N64" s="575">
        <v>619</v>
      </c>
      <c r="O64" s="575">
        <v>16</v>
      </c>
      <c r="P64" s="2384">
        <v>5</v>
      </c>
      <c r="Q64" s="576">
        <v>32</v>
      </c>
    </row>
    <row r="65" spans="1:17" s="576" customFormat="1" x14ac:dyDescent="0.25">
      <c r="A65" s="578" t="s">
        <v>152</v>
      </c>
      <c r="B65" s="574" t="s">
        <v>153</v>
      </c>
      <c r="C65" s="573" t="s">
        <v>268</v>
      </c>
      <c r="D65" s="2410">
        <v>8579</v>
      </c>
      <c r="E65" s="2386">
        <v>3548</v>
      </c>
      <c r="F65" s="891">
        <v>2095</v>
      </c>
      <c r="G65" s="891">
        <v>2451</v>
      </c>
      <c r="H65" s="891">
        <v>485</v>
      </c>
      <c r="I65" s="2387">
        <v>0</v>
      </c>
      <c r="J65" s="2386">
        <v>4878</v>
      </c>
      <c r="K65" s="891">
        <v>3701</v>
      </c>
      <c r="L65" s="2387"/>
      <c r="M65" s="2383">
        <v>7543</v>
      </c>
      <c r="N65" s="575">
        <v>889</v>
      </c>
      <c r="O65" s="575">
        <v>128</v>
      </c>
      <c r="P65" s="2384">
        <v>19</v>
      </c>
      <c r="Q65" s="576">
        <v>245</v>
      </c>
    </row>
    <row r="66" spans="1:17" s="576" customFormat="1" x14ac:dyDescent="0.25">
      <c r="A66" s="578" t="s">
        <v>154</v>
      </c>
      <c r="B66" s="574" t="s">
        <v>155</v>
      </c>
      <c r="C66" s="573" t="s">
        <v>265</v>
      </c>
      <c r="D66" s="2410">
        <v>2410</v>
      </c>
      <c r="E66" s="2386">
        <v>971</v>
      </c>
      <c r="F66" s="891">
        <v>467</v>
      </c>
      <c r="G66" s="891">
        <v>744</v>
      </c>
      <c r="H66" s="891">
        <v>228</v>
      </c>
      <c r="I66" s="2387">
        <v>0</v>
      </c>
      <c r="J66" s="2386">
        <v>1332</v>
      </c>
      <c r="K66" s="891">
        <v>1078</v>
      </c>
      <c r="L66" s="2387"/>
      <c r="M66" s="2383">
        <v>1848</v>
      </c>
      <c r="N66" s="575">
        <v>518</v>
      </c>
      <c r="O66" s="575">
        <v>35</v>
      </c>
      <c r="P66" s="2384">
        <v>9</v>
      </c>
      <c r="Q66" s="576">
        <v>67</v>
      </c>
    </row>
    <row r="67" spans="1:17" s="576" customFormat="1" x14ac:dyDescent="0.25">
      <c r="A67" s="578" t="s">
        <v>156</v>
      </c>
      <c r="B67" s="574" t="s">
        <v>157</v>
      </c>
      <c r="C67" s="573" t="s">
        <v>266</v>
      </c>
      <c r="D67" s="2410">
        <v>1620</v>
      </c>
      <c r="E67" s="2386">
        <v>749</v>
      </c>
      <c r="F67" s="891">
        <v>384</v>
      </c>
      <c r="G67" s="891">
        <v>412</v>
      </c>
      <c r="H67" s="891">
        <v>75</v>
      </c>
      <c r="I67" s="2387">
        <v>0</v>
      </c>
      <c r="J67" s="2386">
        <v>930</v>
      </c>
      <c r="K67" s="891">
        <v>690</v>
      </c>
      <c r="L67" s="2387"/>
      <c r="M67" s="2383">
        <v>1218</v>
      </c>
      <c r="N67" s="575">
        <v>356</v>
      </c>
      <c r="O67" s="575">
        <v>39</v>
      </c>
      <c r="P67" s="2384">
        <v>7</v>
      </c>
      <c r="Q67" s="576">
        <v>56</v>
      </c>
    </row>
    <row r="68" spans="1:17" s="576" customFormat="1" x14ac:dyDescent="0.25">
      <c r="A68" s="578" t="s">
        <v>162</v>
      </c>
      <c r="B68" s="574" t="s">
        <v>163</v>
      </c>
      <c r="C68" s="573" t="s">
        <v>264</v>
      </c>
      <c r="D68" s="2410">
        <v>3034</v>
      </c>
      <c r="E68" s="2386">
        <v>1178</v>
      </c>
      <c r="F68" s="891">
        <v>609</v>
      </c>
      <c r="G68" s="891">
        <v>866</v>
      </c>
      <c r="H68" s="891">
        <v>381</v>
      </c>
      <c r="I68" s="2387">
        <v>0</v>
      </c>
      <c r="J68" s="2386">
        <v>1731</v>
      </c>
      <c r="K68" s="891">
        <v>1303</v>
      </c>
      <c r="L68" s="2387"/>
      <c r="M68" s="2383">
        <v>1091</v>
      </c>
      <c r="N68" s="575">
        <v>1928</v>
      </c>
      <c r="O68" s="575">
        <v>11</v>
      </c>
      <c r="P68" s="2384">
        <v>4</v>
      </c>
      <c r="Q68" s="576">
        <v>131</v>
      </c>
    </row>
    <row r="69" spans="1:17" s="576" customFormat="1" x14ac:dyDescent="0.25">
      <c r="A69" s="578" t="s">
        <v>164</v>
      </c>
      <c r="B69" s="574" t="s">
        <v>165</v>
      </c>
      <c r="C69" s="573" t="s">
        <v>266</v>
      </c>
      <c r="D69" s="2410">
        <v>2122</v>
      </c>
      <c r="E69" s="2386">
        <v>859</v>
      </c>
      <c r="F69" s="891">
        <v>461</v>
      </c>
      <c r="G69" s="891">
        <v>618</v>
      </c>
      <c r="H69" s="891">
        <v>184</v>
      </c>
      <c r="I69" s="2387">
        <v>0</v>
      </c>
      <c r="J69" s="2386">
        <v>1205</v>
      </c>
      <c r="K69" s="891">
        <v>917</v>
      </c>
      <c r="L69" s="2387"/>
      <c r="M69" s="2383">
        <v>877</v>
      </c>
      <c r="N69" s="575">
        <v>1201</v>
      </c>
      <c r="O69" s="575">
        <v>36</v>
      </c>
      <c r="P69" s="2384">
        <v>8</v>
      </c>
      <c r="Q69" s="576">
        <v>35</v>
      </c>
    </row>
    <row r="70" spans="1:17" s="576" customFormat="1" x14ac:dyDescent="0.25">
      <c r="A70" s="578" t="s">
        <v>168</v>
      </c>
      <c r="B70" s="574" t="s">
        <v>169</v>
      </c>
      <c r="C70" s="573" t="s">
        <v>266</v>
      </c>
      <c r="D70" s="2410">
        <v>3888</v>
      </c>
      <c r="E70" s="2386">
        <v>1654</v>
      </c>
      <c r="F70" s="891">
        <v>878</v>
      </c>
      <c r="G70" s="891">
        <v>1058</v>
      </c>
      <c r="H70" s="891">
        <v>298</v>
      </c>
      <c r="I70" s="2387">
        <v>0</v>
      </c>
      <c r="J70" s="2386">
        <v>2254</v>
      </c>
      <c r="K70" s="891">
        <v>1634</v>
      </c>
      <c r="L70" s="2387"/>
      <c r="M70" s="2383">
        <v>1667</v>
      </c>
      <c r="N70" s="575">
        <v>2171</v>
      </c>
      <c r="O70" s="575">
        <v>41</v>
      </c>
      <c r="P70" s="2384">
        <v>9</v>
      </c>
      <c r="Q70" s="576">
        <v>120</v>
      </c>
    </row>
    <row r="71" spans="1:17" s="576" customFormat="1" x14ac:dyDescent="0.25">
      <c r="A71" s="578" t="s">
        <v>170</v>
      </c>
      <c r="B71" s="574" t="s">
        <v>171</v>
      </c>
      <c r="C71" s="573" t="s">
        <v>267</v>
      </c>
      <c r="D71" s="2410">
        <v>4140</v>
      </c>
      <c r="E71" s="2386">
        <v>1819</v>
      </c>
      <c r="F71" s="891">
        <v>912</v>
      </c>
      <c r="G71" s="891">
        <v>1146</v>
      </c>
      <c r="H71" s="891">
        <v>263</v>
      </c>
      <c r="I71" s="2387">
        <v>0</v>
      </c>
      <c r="J71" s="2386">
        <v>2438</v>
      </c>
      <c r="K71" s="891">
        <v>1701</v>
      </c>
      <c r="L71" s="2387">
        <v>1</v>
      </c>
      <c r="M71" s="2383">
        <v>2952</v>
      </c>
      <c r="N71" s="575">
        <v>1101</v>
      </c>
      <c r="O71" s="575">
        <v>56</v>
      </c>
      <c r="P71" s="2384">
        <v>31</v>
      </c>
      <c r="Q71" s="576">
        <v>126</v>
      </c>
    </row>
    <row r="72" spans="1:17" s="576" customFormat="1" x14ac:dyDescent="0.25">
      <c r="A72" s="578" t="s">
        <v>172</v>
      </c>
      <c r="B72" s="574" t="s">
        <v>173</v>
      </c>
      <c r="C72" s="573" t="s">
        <v>267</v>
      </c>
      <c r="D72" s="2410">
        <v>4096</v>
      </c>
      <c r="E72" s="2386">
        <v>1621</v>
      </c>
      <c r="F72" s="891">
        <v>897</v>
      </c>
      <c r="G72" s="891">
        <v>1283</v>
      </c>
      <c r="H72" s="891">
        <v>295</v>
      </c>
      <c r="I72" s="2387">
        <v>0</v>
      </c>
      <c r="J72" s="2386">
        <v>2234</v>
      </c>
      <c r="K72" s="891">
        <v>1862</v>
      </c>
      <c r="L72" s="2387"/>
      <c r="M72" s="2383">
        <v>3901</v>
      </c>
      <c r="N72" s="575">
        <v>155</v>
      </c>
      <c r="O72" s="575">
        <v>31</v>
      </c>
      <c r="P72" s="2384">
        <v>9</v>
      </c>
      <c r="Q72" s="576">
        <v>47</v>
      </c>
    </row>
    <row r="73" spans="1:17" s="576" customFormat="1" x14ac:dyDescent="0.25">
      <c r="A73" s="578" t="s">
        <v>174</v>
      </c>
      <c r="B73" s="574" t="s">
        <v>175</v>
      </c>
      <c r="C73" s="573" t="s">
        <v>268</v>
      </c>
      <c r="D73" s="2410">
        <v>3698</v>
      </c>
      <c r="E73" s="2386">
        <v>1334</v>
      </c>
      <c r="F73" s="891">
        <v>856</v>
      </c>
      <c r="G73" s="891">
        <v>1185</v>
      </c>
      <c r="H73" s="891">
        <v>323</v>
      </c>
      <c r="I73" s="2387">
        <v>0</v>
      </c>
      <c r="J73" s="2386">
        <v>1994</v>
      </c>
      <c r="K73" s="891">
        <v>1704</v>
      </c>
      <c r="L73" s="2387"/>
      <c r="M73" s="2383">
        <v>3340</v>
      </c>
      <c r="N73" s="575">
        <v>314</v>
      </c>
      <c r="O73" s="575">
        <v>35</v>
      </c>
      <c r="P73" s="2384">
        <v>9</v>
      </c>
      <c r="Q73" s="576">
        <v>70</v>
      </c>
    </row>
    <row r="74" spans="1:17" s="576" customFormat="1" x14ac:dyDescent="0.25">
      <c r="A74" s="578" t="s">
        <v>178</v>
      </c>
      <c r="B74" s="574" t="s">
        <v>179</v>
      </c>
      <c r="C74" s="573" t="s">
        <v>265</v>
      </c>
      <c r="D74" s="2410">
        <v>11737</v>
      </c>
      <c r="E74" s="2386">
        <v>4715</v>
      </c>
      <c r="F74" s="891">
        <v>2561</v>
      </c>
      <c r="G74" s="891">
        <v>3571</v>
      </c>
      <c r="H74" s="891">
        <v>890</v>
      </c>
      <c r="I74" s="2387">
        <v>0</v>
      </c>
      <c r="J74" s="2386">
        <v>6674</v>
      </c>
      <c r="K74" s="891">
        <v>5063</v>
      </c>
      <c r="L74" s="2387"/>
      <c r="M74" s="2383">
        <v>7456</v>
      </c>
      <c r="N74" s="575">
        <v>4037</v>
      </c>
      <c r="O74" s="575">
        <v>181</v>
      </c>
      <c r="P74" s="2384">
        <v>63</v>
      </c>
      <c r="Q74" s="576">
        <v>315</v>
      </c>
    </row>
    <row r="75" spans="1:17" s="576" customFormat="1" x14ac:dyDescent="0.25">
      <c r="A75" s="578" t="s">
        <v>182</v>
      </c>
      <c r="B75" s="574" t="s">
        <v>183</v>
      </c>
      <c r="C75" s="573" t="s">
        <v>266</v>
      </c>
      <c r="D75" s="2410">
        <v>1653</v>
      </c>
      <c r="E75" s="2386">
        <v>680</v>
      </c>
      <c r="F75" s="891">
        <v>362</v>
      </c>
      <c r="G75" s="891">
        <v>510</v>
      </c>
      <c r="H75" s="891">
        <v>101</v>
      </c>
      <c r="I75" s="2387">
        <v>0</v>
      </c>
      <c r="J75" s="2386">
        <v>950</v>
      </c>
      <c r="K75" s="891">
        <v>703</v>
      </c>
      <c r="L75" s="2387"/>
      <c r="M75" s="2383">
        <v>1307</v>
      </c>
      <c r="N75" s="575">
        <v>314</v>
      </c>
      <c r="O75" s="575">
        <v>27</v>
      </c>
      <c r="P75" s="2384">
        <v>5</v>
      </c>
      <c r="Q75" s="576">
        <v>34</v>
      </c>
    </row>
    <row r="76" spans="1:17" s="576" customFormat="1" x14ac:dyDescent="0.25">
      <c r="A76" s="578" t="s">
        <v>184</v>
      </c>
      <c r="B76" s="574" t="s">
        <v>185</v>
      </c>
      <c r="C76" s="573" t="s">
        <v>266</v>
      </c>
      <c r="D76" s="2410">
        <v>4266</v>
      </c>
      <c r="E76" s="2386">
        <v>1731</v>
      </c>
      <c r="F76" s="891">
        <v>1015</v>
      </c>
      <c r="G76" s="891">
        <v>1193</v>
      </c>
      <c r="H76" s="891">
        <v>327</v>
      </c>
      <c r="I76" s="2387">
        <v>0</v>
      </c>
      <c r="J76" s="2386">
        <v>2453</v>
      </c>
      <c r="K76" s="891">
        <v>1813</v>
      </c>
      <c r="L76" s="2387"/>
      <c r="M76" s="2383">
        <v>1644</v>
      </c>
      <c r="N76" s="575">
        <v>2573</v>
      </c>
      <c r="O76" s="575">
        <v>37</v>
      </c>
      <c r="P76" s="2384">
        <v>12</v>
      </c>
      <c r="Q76" s="576">
        <v>71</v>
      </c>
    </row>
    <row r="77" spans="1:17" s="576" customFormat="1" x14ac:dyDescent="0.25">
      <c r="A77" s="578" t="s">
        <v>186</v>
      </c>
      <c r="B77" s="574" t="s">
        <v>187</v>
      </c>
      <c r="C77" s="573" t="s">
        <v>264</v>
      </c>
      <c r="D77" s="2410">
        <v>4474</v>
      </c>
      <c r="E77" s="2386">
        <v>2127</v>
      </c>
      <c r="F77" s="891">
        <v>1150</v>
      </c>
      <c r="G77" s="891">
        <v>1055</v>
      </c>
      <c r="H77" s="891">
        <v>142</v>
      </c>
      <c r="I77" s="2387">
        <v>0</v>
      </c>
      <c r="J77" s="2386">
        <v>2637</v>
      </c>
      <c r="K77" s="891">
        <v>1837</v>
      </c>
      <c r="L77" s="2387"/>
      <c r="M77" s="2383">
        <v>2219</v>
      </c>
      <c r="N77" s="575">
        <v>2119</v>
      </c>
      <c r="O77" s="575">
        <v>101</v>
      </c>
      <c r="P77" s="2384">
        <v>35</v>
      </c>
      <c r="Q77" s="576">
        <v>172</v>
      </c>
    </row>
    <row r="78" spans="1:17" s="576" customFormat="1" x14ac:dyDescent="0.25">
      <c r="A78" s="578" t="s">
        <v>188</v>
      </c>
      <c r="B78" s="574" t="s">
        <v>189</v>
      </c>
      <c r="C78" s="573" t="s">
        <v>267</v>
      </c>
      <c r="D78" s="2410">
        <v>37535</v>
      </c>
      <c r="E78" s="2386">
        <v>20310</v>
      </c>
      <c r="F78" s="891">
        <v>7259</v>
      </c>
      <c r="G78" s="891">
        <v>7511</v>
      </c>
      <c r="H78" s="891">
        <v>2455</v>
      </c>
      <c r="I78" s="2387">
        <v>0</v>
      </c>
      <c r="J78" s="2386">
        <v>21566</v>
      </c>
      <c r="K78" s="891">
        <v>15968</v>
      </c>
      <c r="L78" s="2387">
        <v>1</v>
      </c>
      <c r="M78" s="2383">
        <v>19341</v>
      </c>
      <c r="N78" s="575">
        <v>14161</v>
      </c>
      <c r="O78" s="575">
        <v>3763</v>
      </c>
      <c r="P78" s="2384">
        <v>270</v>
      </c>
      <c r="Q78" s="576">
        <v>3845</v>
      </c>
    </row>
    <row r="79" spans="1:17" s="576" customFormat="1" x14ac:dyDescent="0.25">
      <c r="A79" s="578" t="s">
        <v>190</v>
      </c>
      <c r="B79" s="574" t="s">
        <v>191</v>
      </c>
      <c r="C79" s="573" t="s">
        <v>268</v>
      </c>
      <c r="D79" s="2410">
        <v>7060</v>
      </c>
      <c r="E79" s="2386">
        <v>2610</v>
      </c>
      <c r="F79" s="891">
        <v>1734</v>
      </c>
      <c r="G79" s="891">
        <v>2237</v>
      </c>
      <c r="H79" s="891">
        <v>479</v>
      </c>
      <c r="I79" s="2387">
        <v>0</v>
      </c>
      <c r="J79" s="2386">
        <v>3954</v>
      </c>
      <c r="K79" s="891">
        <v>3106</v>
      </c>
      <c r="L79" s="2387"/>
      <c r="M79" s="2383">
        <v>6249</v>
      </c>
      <c r="N79" s="575">
        <v>739</v>
      </c>
      <c r="O79" s="575">
        <v>62</v>
      </c>
      <c r="P79" s="2384">
        <v>10</v>
      </c>
      <c r="Q79" s="576">
        <v>90</v>
      </c>
    </row>
    <row r="80" spans="1:17" s="576" customFormat="1" x14ac:dyDescent="0.25">
      <c r="A80" s="578" t="s">
        <v>194</v>
      </c>
      <c r="B80" s="574" t="s">
        <v>195</v>
      </c>
      <c r="C80" s="573" t="s">
        <v>267</v>
      </c>
      <c r="D80" s="2410">
        <v>581</v>
      </c>
      <c r="E80" s="2386">
        <v>247</v>
      </c>
      <c r="F80" s="891">
        <v>142</v>
      </c>
      <c r="G80" s="891">
        <v>145</v>
      </c>
      <c r="H80" s="891">
        <v>47</v>
      </c>
      <c r="I80" s="2387">
        <v>0</v>
      </c>
      <c r="J80" s="2386">
        <v>338</v>
      </c>
      <c r="K80" s="891">
        <v>243</v>
      </c>
      <c r="L80" s="2387"/>
      <c r="M80" s="2383">
        <v>504</v>
      </c>
      <c r="N80" s="575">
        <v>70</v>
      </c>
      <c r="O80" s="575">
        <v>7</v>
      </c>
      <c r="P80" s="2384">
        <v>0</v>
      </c>
      <c r="Q80" s="576">
        <v>7</v>
      </c>
    </row>
    <row r="81" spans="1:17" s="576" customFormat="1" x14ac:dyDescent="0.25">
      <c r="A81" s="578" t="s">
        <v>198</v>
      </c>
      <c r="B81" s="574" t="s">
        <v>272</v>
      </c>
      <c r="C81" s="573" t="s">
        <v>266</v>
      </c>
      <c r="D81" s="2410">
        <v>1927</v>
      </c>
      <c r="E81" s="2386">
        <v>777</v>
      </c>
      <c r="F81" s="891">
        <v>465</v>
      </c>
      <c r="G81" s="891">
        <v>526</v>
      </c>
      <c r="H81" s="891">
        <v>159</v>
      </c>
      <c r="I81" s="2387">
        <v>0</v>
      </c>
      <c r="J81" s="2386">
        <v>1147</v>
      </c>
      <c r="K81" s="891">
        <v>780</v>
      </c>
      <c r="L81" s="2387"/>
      <c r="M81" s="2383">
        <v>959</v>
      </c>
      <c r="N81" s="575">
        <v>938</v>
      </c>
      <c r="O81" s="575">
        <v>15</v>
      </c>
      <c r="P81" s="2384">
        <v>15</v>
      </c>
      <c r="Q81" s="576">
        <v>70</v>
      </c>
    </row>
    <row r="82" spans="1:17" s="576" customFormat="1" x14ac:dyDescent="0.25">
      <c r="A82" s="578" t="s">
        <v>202</v>
      </c>
      <c r="B82" s="574" t="s">
        <v>301</v>
      </c>
      <c r="C82" s="573" t="s">
        <v>265</v>
      </c>
      <c r="D82" s="2410">
        <v>10334</v>
      </c>
      <c r="E82" s="2386">
        <v>4478</v>
      </c>
      <c r="F82" s="891">
        <v>2126</v>
      </c>
      <c r="G82" s="891">
        <v>3025</v>
      </c>
      <c r="H82" s="891">
        <v>705</v>
      </c>
      <c r="I82" s="2387">
        <v>0</v>
      </c>
      <c r="J82" s="2386">
        <v>5938</v>
      </c>
      <c r="K82" s="891">
        <v>4396</v>
      </c>
      <c r="L82" s="2387"/>
      <c r="M82" s="2383">
        <v>7986</v>
      </c>
      <c r="N82" s="575">
        <v>1934</v>
      </c>
      <c r="O82" s="575">
        <v>391</v>
      </c>
      <c r="P82" s="2384">
        <v>23</v>
      </c>
      <c r="Q82" s="576">
        <v>307</v>
      </c>
    </row>
    <row r="83" spans="1:17" s="576" customFormat="1" x14ac:dyDescent="0.25">
      <c r="A83" s="578" t="s">
        <v>204</v>
      </c>
      <c r="B83" s="574" t="s">
        <v>293</v>
      </c>
      <c r="C83" s="573" t="s">
        <v>265</v>
      </c>
      <c r="D83" s="2410">
        <v>5351</v>
      </c>
      <c r="E83" s="2386">
        <v>2194</v>
      </c>
      <c r="F83" s="891">
        <v>1158</v>
      </c>
      <c r="G83" s="891">
        <v>1535</v>
      </c>
      <c r="H83" s="891">
        <v>464</v>
      </c>
      <c r="I83" s="2387">
        <v>0</v>
      </c>
      <c r="J83" s="2386">
        <v>3098</v>
      </c>
      <c r="K83" s="891">
        <v>2253</v>
      </c>
      <c r="L83" s="2387"/>
      <c r="M83" s="2383">
        <v>4786</v>
      </c>
      <c r="N83" s="575">
        <v>487</v>
      </c>
      <c r="O83" s="575">
        <v>53</v>
      </c>
      <c r="P83" s="2384">
        <v>25</v>
      </c>
      <c r="Q83" s="576">
        <v>85</v>
      </c>
    </row>
    <row r="84" spans="1:17" s="576" customFormat="1" x14ac:dyDescent="0.25">
      <c r="A84" s="578" t="s">
        <v>206</v>
      </c>
      <c r="B84" s="574" t="s">
        <v>294</v>
      </c>
      <c r="C84" s="573" t="s">
        <v>267</v>
      </c>
      <c r="D84" s="2410">
        <v>14796</v>
      </c>
      <c r="E84" s="2386">
        <v>7166</v>
      </c>
      <c r="F84" s="891">
        <v>2968</v>
      </c>
      <c r="G84" s="891">
        <v>3778</v>
      </c>
      <c r="H84" s="891">
        <v>884</v>
      </c>
      <c r="I84" s="2387">
        <v>0</v>
      </c>
      <c r="J84" s="2386">
        <v>8383</v>
      </c>
      <c r="K84" s="891">
        <v>6413</v>
      </c>
      <c r="L84" s="2387"/>
      <c r="M84" s="2383">
        <v>12656</v>
      </c>
      <c r="N84" s="575">
        <v>1781</v>
      </c>
      <c r="O84" s="575">
        <v>337</v>
      </c>
      <c r="P84" s="2384">
        <v>22</v>
      </c>
      <c r="Q84" s="576">
        <v>1523</v>
      </c>
    </row>
    <row r="85" spans="1:17" s="576" customFormat="1" x14ac:dyDescent="0.25">
      <c r="A85" s="578" t="s">
        <v>208</v>
      </c>
      <c r="B85" s="574" t="s">
        <v>209</v>
      </c>
      <c r="C85" s="573" t="s">
        <v>268</v>
      </c>
      <c r="D85" s="2410">
        <v>6883</v>
      </c>
      <c r="E85" s="2386">
        <v>2359</v>
      </c>
      <c r="F85" s="891">
        <v>1671</v>
      </c>
      <c r="G85" s="891">
        <v>2395</v>
      </c>
      <c r="H85" s="891">
        <v>458</v>
      </c>
      <c r="I85" s="2387">
        <v>0</v>
      </c>
      <c r="J85" s="2386">
        <v>3807</v>
      </c>
      <c r="K85" s="891">
        <v>3076</v>
      </c>
      <c r="L85" s="2387"/>
      <c r="M85" s="2383">
        <v>6771</v>
      </c>
      <c r="N85" s="575">
        <v>65</v>
      </c>
      <c r="O85" s="575">
        <v>22</v>
      </c>
      <c r="P85" s="2384">
        <v>25</v>
      </c>
      <c r="Q85" s="576">
        <v>40</v>
      </c>
    </row>
    <row r="86" spans="1:17" s="576" customFormat="1" x14ac:dyDescent="0.25">
      <c r="A86" s="578" t="s">
        <v>210</v>
      </c>
      <c r="B86" s="574" t="s">
        <v>211</v>
      </c>
      <c r="C86" s="573" t="s">
        <v>268</v>
      </c>
      <c r="D86" s="2410">
        <v>4751</v>
      </c>
      <c r="E86" s="2386">
        <v>1695</v>
      </c>
      <c r="F86" s="891">
        <v>1054</v>
      </c>
      <c r="G86" s="891">
        <v>1576</v>
      </c>
      <c r="H86" s="891">
        <v>426</v>
      </c>
      <c r="I86" s="2387">
        <v>0</v>
      </c>
      <c r="J86" s="2386">
        <v>2564</v>
      </c>
      <c r="K86" s="891">
        <v>2187</v>
      </c>
      <c r="L86" s="2387"/>
      <c r="M86" s="2383">
        <v>4651</v>
      </c>
      <c r="N86" s="575">
        <v>69</v>
      </c>
      <c r="O86" s="575">
        <v>27</v>
      </c>
      <c r="P86" s="2384">
        <v>4</v>
      </c>
      <c r="Q86" s="576">
        <v>40</v>
      </c>
    </row>
    <row r="87" spans="1:17" s="576" customFormat="1" x14ac:dyDescent="0.25">
      <c r="A87" s="578" t="s">
        <v>212</v>
      </c>
      <c r="B87" s="574" t="s">
        <v>213</v>
      </c>
      <c r="C87" s="573" t="s">
        <v>267</v>
      </c>
      <c r="D87" s="2410">
        <v>6294</v>
      </c>
      <c r="E87" s="2386">
        <v>2893</v>
      </c>
      <c r="F87" s="891">
        <v>1403</v>
      </c>
      <c r="G87" s="891">
        <v>1657</v>
      </c>
      <c r="H87" s="891">
        <v>341</v>
      </c>
      <c r="I87" s="2387">
        <v>0</v>
      </c>
      <c r="J87" s="2386">
        <v>3575</v>
      </c>
      <c r="K87" s="891">
        <v>2719</v>
      </c>
      <c r="L87" s="2387"/>
      <c r="M87" s="2383">
        <v>5659</v>
      </c>
      <c r="N87" s="575">
        <v>388</v>
      </c>
      <c r="O87" s="575">
        <v>233</v>
      </c>
      <c r="P87" s="2384">
        <v>14</v>
      </c>
      <c r="Q87" s="576">
        <v>615</v>
      </c>
    </row>
    <row r="88" spans="1:17" s="576" customFormat="1" x14ac:dyDescent="0.25">
      <c r="A88" s="578" t="s">
        <v>214</v>
      </c>
      <c r="B88" s="574" t="s">
        <v>215</v>
      </c>
      <c r="C88" s="573" t="s">
        <v>268</v>
      </c>
      <c r="D88" s="2410">
        <v>7570</v>
      </c>
      <c r="E88" s="2386">
        <v>2681</v>
      </c>
      <c r="F88" s="891">
        <v>1861</v>
      </c>
      <c r="G88" s="891">
        <v>2510</v>
      </c>
      <c r="H88" s="891">
        <v>518</v>
      </c>
      <c r="I88" s="2387">
        <v>0</v>
      </c>
      <c r="J88" s="2386">
        <v>4180</v>
      </c>
      <c r="K88" s="891">
        <v>3390</v>
      </c>
      <c r="L88" s="2387"/>
      <c r="M88" s="2383">
        <v>7351</v>
      </c>
      <c r="N88" s="575">
        <v>159</v>
      </c>
      <c r="O88" s="575">
        <v>50</v>
      </c>
      <c r="P88" s="2384">
        <v>10</v>
      </c>
      <c r="Q88" s="576">
        <v>75</v>
      </c>
    </row>
    <row r="89" spans="1:17" s="576" customFormat="1" x14ac:dyDescent="0.25">
      <c r="A89" s="578" t="s">
        <v>216</v>
      </c>
      <c r="B89" s="574" t="s">
        <v>217</v>
      </c>
      <c r="C89" s="573" t="s">
        <v>264</v>
      </c>
      <c r="D89" s="2410">
        <v>3506</v>
      </c>
      <c r="E89" s="2386">
        <v>1407</v>
      </c>
      <c r="F89" s="891">
        <v>799</v>
      </c>
      <c r="G89" s="891">
        <v>1021</v>
      </c>
      <c r="H89" s="891">
        <v>279</v>
      </c>
      <c r="I89" s="2387">
        <v>0</v>
      </c>
      <c r="J89" s="2386">
        <v>2057</v>
      </c>
      <c r="K89" s="891">
        <v>1449</v>
      </c>
      <c r="L89" s="2387"/>
      <c r="M89" s="2383">
        <v>1246</v>
      </c>
      <c r="N89" s="575">
        <v>2212</v>
      </c>
      <c r="O89" s="575">
        <v>33</v>
      </c>
      <c r="P89" s="2384">
        <v>15</v>
      </c>
      <c r="Q89" s="576">
        <v>40</v>
      </c>
    </row>
    <row r="90" spans="1:17" s="576" customFormat="1" x14ac:dyDescent="0.25">
      <c r="A90" s="578" t="s">
        <v>218</v>
      </c>
      <c r="B90" s="574" t="s">
        <v>219</v>
      </c>
      <c r="C90" s="573" t="s">
        <v>267</v>
      </c>
      <c r="D90" s="2410">
        <v>15469</v>
      </c>
      <c r="E90" s="2386">
        <v>7693</v>
      </c>
      <c r="F90" s="891">
        <v>3319</v>
      </c>
      <c r="G90" s="891">
        <v>3773</v>
      </c>
      <c r="H90" s="891">
        <v>684</v>
      </c>
      <c r="I90" s="2387">
        <v>0</v>
      </c>
      <c r="J90" s="2386">
        <v>8971</v>
      </c>
      <c r="K90" s="891">
        <v>6498</v>
      </c>
      <c r="L90" s="2387"/>
      <c r="M90" s="2383">
        <v>9544</v>
      </c>
      <c r="N90" s="575">
        <v>5287</v>
      </c>
      <c r="O90" s="575">
        <v>530</v>
      </c>
      <c r="P90" s="2384">
        <v>108</v>
      </c>
      <c r="Q90" s="576">
        <v>591</v>
      </c>
    </row>
    <row r="91" spans="1:17" s="576" customFormat="1" x14ac:dyDescent="0.25">
      <c r="A91" s="578" t="s">
        <v>220</v>
      </c>
      <c r="B91" s="574" t="s">
        <v>221</v>
      </c>
      <c r="C91" s="573" t="s">
        <v>267</v>
      </c>
      <c r="D91" s="2410">
        <v>12394</v>
      </c>
      <c r="E91" s="2386">
        <v>6466</v>
      </c>
      <c r="F91" s="891">
        <v>2836</v>
      </c>
      <c r="G91" s="891">
        <v>2616</v>
      </c>
      <c r="H91" s="891">
        <v>476</v>
      </c>
      <c r="I91" s="2387">
        <v>0</v>
      </c>
      <c r="J91" s="2386">
        <v>7288</v>
      </c>
      <c r="K91" s="891">
        <v>5106</v>
      </c>
      <c r="L91" s="2387"/>
      <c r="M91" s="2383">
        <v>6796</v>
      </c>
      <c r="N91" s="575">
        <v>4745</v>
      </c>
      <c r="O91" s="575">
        <v>742</v>
      </c>
      <c r="P91" s="2384">
        <v>111</v>
      </c>
      <c r="Q91" s="576">
        <v>875</v>
      </c>
    </row>
    <row r="92" spans="1:17" s="576" customFormat="1" x14ac:dyDescent="0.25">
      <c r="A92" s="578" t="s">
        <v>224</v>
      </c>
      <c r="B92" s="574" t="s">
        <v>225</v>
      </c>
      <c r="C92" s="573" t="s">
        <v>264</v>
      </c>
      <c r="D92" s="2410">
        <v>1210</v>
      </c>
      <c r="E92" s="2386">
        <v>454</v>
      </c>
      <c r="F92" s="891">
        <v>275</v>
      </c>
      <c r="G92" s="891">
        <v>399</v>
      </c>
      <c r="H92" s="891">
        <v>82</v>
      </c>
      <c r="I92" s="2387">
        <v>0</v>
      </c>
      <c r="J92" s="2386">
        <v>672</v>
      </c>
      <c r="K92" s="891">
        <v>538</v>
      </c>
      <c r="L92" s="2387"/>
      <c r="M92" s="2383">
        <v>447</v>
      </c>
      <c r="N92" s="575">
        <v>748</v>
      </c>
      <c r="O92" s="575">
        <v>13</v>
      </c>
      <c r="P92" s="2384">
        <v>2</v>
      </c>
      <c r="Q92" s="576">
        <v>10</v>
      </c>
    </row>
    <row r="93" spans="1:17" s="576" customFormat="1" x14ac:dyDescent="0.25">
      <c r="A93" s="578" t="s">
        <v>226</v>
      </c>
      <c r="B93" s="574" t="s">
        <v>227</v>
      </c>
      <c r="C93" s="573" t="s">
        <v>264</v>
      </c>
      <c r="D93" s="2410">
        <v>2401</v>
      </c>
      <c r="E93" s="2386">
        <v>1015</v>
      </c>
      <c r="F93" s="891">
        <v>562</v>
      </c>
      <c r="G93" s="891">
        <v>646</v>
      </c>
      <c r="H93" s="891">
        <v>178</v>
      </c>
      <c r="I93" s="2387">
        <v>0</v>
      </c>
      <c r="J93" s="2386">
        <v>1387</v>
      </c>
      <c r="K93" s="891">
        <v>1014</v>
      </c>
      <c r="L93" s="2387"/>
      <c r="M93" s="2383">
        <v>648</v>
      </c>
      <c r="N93" s="575">
        <v>1725</v>
      </c>
      <c r="O93" s="575">
        <v>22</v>
      </c>
      <c r="P93" s="2384">
        <v>6</v>
      </c>
      <c r="Q93" s="576">
        <v>41</v>
      </c>
    </row>
    <row r="94" spans="1:17" s="576" customFormat="1" x14ac:dyDescent="0.25">
      <c r="A94" s="578" t="s">
        <v>228</v>
      </c>
      <c r="B94" s="574" t="s">
        <v>229</v>
      </c>
      <c r="C94" s="573" t="s">
        <v>268</v>
      </c>
      <c r="D94" s="2410">
        <v>10417</v>
      </c>
      <c r="E94" s="2386">
        <v>3812</v>
      </c>
      <c r="F94" s="891">
        <v>2505</v>
      </c>
      <c r="G94" s="891">
        <v>3453</v>
      </c>
      <c r="H94" s="891">
        <v>647</v>
      </c>
      <c r="I94" s="2387">
        <v>0</v>
      </c>
      <c r="J94" s="2386">
        <v>5865</v>
      </c>
      <c r="K94" s="891">
        <v>4552</v>
      </c>
      <c r="L94" s="2387"/>
      <c r="M94" s="2383">
        <v>9892</v>
      </c>
      <c r="N94" s="575">
        <v>419</v>
      </c>
      <c r="O94" s="575">
        <v>44</v>
      </c>
      <c r="P94" s="2384">
        <v>62</v>
      </c>
      <c r="Q94" s="576">
        <v>86</v>
      </c>
    </row>
    <row r="95" spans="1:17" s="576" customFormat="1" x14ac:dyDescent="0.25">
      <c r="A95" s="578" t="s">
        <v>232</v>
      </c>
      <c r="B95" s="574" t="s">
        <v>233</v>
      </c>
      <c r="C95" s="573" t="s">
        <v>267</v>
      </c>
      <c r="D95" s="2410">
        <v>5687</v>
      </c>
      <c r="E95" s="2386">
        <v>2533</v>
      </c>
      <c r="F95" s="891">
        <v>1291</v>
      </c>
      <c r="G95" s="891">
        <v>1577</v>
      </c>
      <c r="H95" s="891">
        <v>286</v>
      </c>
      <c r="I95" s="2387">
        <v>0</v>
      </c>
      <c r="J95" s="2386">
        <v>3214</v>
      </c>
      <c r="K95" s="891">
        <v>2473</v>
      </c>
      <c r="L95" s="2387"/>
      <c r="M95" s="2383">
        <v>4858</v>
      </c>
      <c r="N95" s="575">
        <v>686</v>
      </c>
      <c r="O95" s="575">
        <v>113</v>
      </c>
      <c r="P95" s="2384">
        <v>30</v>
      </c>
      <c r="Q95" s="576">
        <v>136</v>
      </c>
    </row>
    <row r="96" spans="1:17" s="576" customFormat="1" x14ac:dyDescent="0.25">
      <c r="A96" s="578" t="s">
        <v>234</v>
      </c>
      <c r="B96" s="574" t="s">
        <v>235</v>
      </c>
      <c r="C96" s="573" t="s">
        <v>268</v>
      </c>
      <c r="D96" s="2410">
        <v>9544</v>
      </c>
      <c r="E96" s="2386">
        <v>3634</v>
      </c>
      <c r="F96" s="891">
        <v>2113</v>
      </c>
      <c r="G96" s="891">
        <v>3135</v>
      </c>
      <c r="H96" s="891">
        <v>662</v>
      </c>
      <c r="I96" s="2387">
        <v>0</v>
      </c>
      <c r="J96" s="2386">
        <v>5368</v>
      </c>
      <c r="K96" s="891">
        <v>4176</v>
      </c>
      <c r="L96" s="2387"/>
      <c r="M96" s="2383">
        <v>9234</v>
      </c>
      <c r="N96" s="575">
        <v>226</v>
      </c>
      <c r="O96" s="575">
        <v>62</v>
      </c>
      <c r="P96" s="2384">
        <v>22</v>
      </c>
      <c r="Q96" s="576">
        <v>126</v>
      </c>
    </row>
    <row r="97" spans="1:17" s="576" customFormat="1" x14ac:dyDescent="0.25">
      <c r="A97" s="578" t="s">
        <v>236</v>
      </c>
      <c r="B97" s="574" t="s">
        <v>237</v>
      </c>
      <c r="C97" s="573" t="s">
        <v>266</v>
      </c>
      <c r="D97" s="2410">
        <v>4136</v>
      </c>
      <c r="E97" s="2386">
        <v>1745</v>
      </c>
      <c r="F97" s="891">
        <v>929</v>
      </c>
      <c r="G97" s="891">
        <v>1151</v>
      </c>
      <c r="H97" s="891">
        <v>311</v>
      </c>
      <c r="I97" s="2387">
        <v>0</v>
      </c>
      <c r="J97" s="2386">
        <v>2350</v>
      </c>
      <c r="K97" s="891">
        <v>1786</v>
      </c>
      <c r="L97" s="2387"/>
      <c r="M97" s="2383">
        <v>2109</v>
      </c>
      <c r="N97" s="575">
        <v>1916</v>
      </c>
      <c r="O97" s="575">
        <v>93</v>
      </c>
      <c r="P97" s="2384">
        <v>18</v>
      </c>
      <c r="Q97" s="576">
        <v>162</v>
      </c>
    </row>
    <row r="98" spans="1:17" s="576" customFormat="1" x14ac:dyDescent="0.25">
      <c r="A98" s="578" t="s">
        <v>242</v>
      </c>
      <c r="B98" s="574" t="s">
        <v>243</v>
      </c>
      <c r="C98" s="573" t="s">
        <v>268</v>
      </c>
      <c r="D98" s="2410">
        <v>10290</v>
      </c>
      <c r="E98" s="2386">
        <v>3827</v>
      </c>
      <c r="F98" s="891">
        <v>2518</v>
      </c>
      <c r="G98" s="891">
        <v>3385</v>
      </c>
      <c r="H98" s="891">
        <v>560</v>
      </c>
      <c r="I98" s="2387">
        <v>0</v>
      </c>
      <c r="J98" s="2386">
        <v>5792</v>
      </c>
      <c r="K98" s="891">
        <v>4498</v>
      </c>
      <c r="L98" s="2387"/>
      <c r="M98" s="2383">
        <v>9959</v>
      </c>
      <c r="N98" s="575">
        <v>271</v>
      </c>
      <c r="O98" s="575">
        <v>30</v>
      </c>
      <c r="P98" s="2384">
        <v>30</v>
      </c>
      <c r="Q98" s="576">
        <v>47</v>
      </c>
    </row>
    <row r="99" spans="1:17" s="576" customFormat="1" x14ac:dyDescent="0.25">
      <c r="A99" s="578" t="s">
        <v>244</v>
      </c>
      <c r="B99" s="574" t="s">
        <v>245</v>
      </c>
      <c r="C99" s="573" t="s">
        <v>268</v>
      </c>
      <c r="D99" s="2410">
        <v>5283</v>
      </c>
      <c r="E99" s="2386">
        <v>1996</v>
      </c>
      <c r="F99" s="891">
        <v>1228</v>
      </c>
      <c r="G99" s="891">
        <v>1680</v>
      </c>
      <c r="H99" s="891">
        <v>379</v>
      </c>
      <c r="I99" s="2387">
        <v>0</v>
      </c>
      <c r="J99" s="2386">
        <v>2994</v>
      </c>
      <c r="K99" s="891">
        <v>2289</v>
      </c>
      <c r="L99" s="2387"/>
      <c r="M99" s="2383">
        <v>4951</v>
      </c>
      <c r="N99" s="575">
        <v>289</v>
      </c>
      <c r="O99" s="575">
        <v>25</v>
      </c>
      <c r="P99" s="2384">
        <v>18</v>
      </c>
      <c r="Q99" s="576">
        <v>48</v>
      </c>
    </row>
    <row r="100" spans="1:17" s="576" customFormat="1" x14ac:dyDescent="0.25">
      <c r="A100" s="578" t="s">
        <v>246</v>
      </c>
      <c r="B100" s="574" t="s">
        <v>247</v>
      </c>
      <c r="C100" s="573" t="s">
        <v>264</v>
      </c>
      <c r="D100" s="2410">
        <v>4542</v>
      </c>
      <c r="E100" s="2386">
        <v>2217</v>
      </c>
      <c r="F100" s="891">
        <v>965</v>
      </c>
      <c r="G100" s="891">
        <v>1169</v>
      </c>
      <c r="H100" s="891">
        <v>191</v>
      </c>
      <c r="I100" s="2387">
        <v>0</v>
      </c>
      <c r="J100" s="2386">
        <v>2713</v>
      </c>
      <c r="K100" s="891">
        <v>1829</v>
      </c>
      <c r="L100" s="2387"/>
      <c r="M100" s="2383">
        <v>2717</v>
      </c>
      <c r="N100" s="575">
        <v>1601</v>
      </c>
      <c r="O100" s="575">
        <v>201</v>
      </c>
      <c r="P100" s="2384">
        <v>23</v>
      </c>
      <c r="Q100" s="576">
        <v>197</v>
      </c>
    </row>
    <row r="101" spans="1:17" s="576" customFormat="1" x14ac:dyDescent="0.25">
      <c r="A101" s="578" t="s">
        <v>14</v>
      </c>
      <c r="B101" s="574" t="s">
        <v>15</v>
      </c>
      <c r="C101" s="573" t="s">
        <v>267</v>
      </c>
      <c r="D101" s="2410">
        <v>13457</v>
      </c>
      <c r="E101" s="2386">
        <v>6928</v>
      </c>
      <c r="F101" s="891">
        <v>2401</v>
      </c>
      <c r="G101" s="891">
        <v>2934</v>
      </c>
      <c r="H101" s="891">
        <v>1194</v>
      </c>
      <c r="I101" s="2387">
        <v>0</v>
      </c>
      <c r="J101" s="2386">
        <v>7615</v>
      </c>
      <c r="K101" s="891">
        <v>5842</v>
      </c>
      <c r="L101" s="2387"/>
      <c r="M101" s="2383">
        <v>5977</v>
      </c>
      <c r="N101" s="575">
        <v>5978</v>
      </c>
      <c r="O101" s="575">
        <v>1359</v>
      </c>
      <c r="P101" s="2384">
        <v>143</v>
      </c>
      <c r="Q101" s="576">
        <v>1220</v>
      </c>
    </row>
    <row r="102" spans="1:17" s="576" customFormat="1" x14ac:dyDescent="0.25">
      <c r="A102" s="578" t="s">
        <v>34</v>
      </c>
      <c r="B102" s="574" t="s">
        <v>35</v>
      </c>
      <c r="C102" s="573" t="s">
        <v>268</v>
      </c>
      <c r="D102" s="2410">
        <v>5526</v>
      </c>
      <c r="E102" s="2386">
        <v>2082</v>
      </c>
      <c r="F102" s="891">
        <v>1384</v>
      </c>
      <c r="G102" s="891">
        <v>1732</v>
      </c>
      <c r="H102" s="891">
        <v>328</v>
      </c>
      <c r="I102" s="2387">
        <v>0</v>
      </c>
      <c r="J102" s="2386">
        <v>3088</v>
      </c>
      <c r="K102" s="891">
        <v>2438</v>
      </c>
      <c r="L102" s="2387"/>
      <c r="M102" s="2383">
        <v>4739</v>
      </c>
      <c r="N102" s="575">
        <v>703</v>
      </c>
      <c r="O102" s="575">
        <v>56</v>
      </c>
      <c r="P102" s="2384">
        <v>28</v>
      </c>
      <c r="Q102" s="576">
        <v>79</v>
      </c>
    </row>
    <row r="103" spans="1:17" s="576" customFormat="1" x14ac:dyDescent="0.25">
      <c r="A103" s="578" t="s">
        <v>52</v>
      </c>
      <c r="B103" s="574" t="s">
        <v>53</v>
      </c>
      <c r="C103" s="573" t="s">
        <v>265</v>
      </c>
      <c r="D103" s="2410">
        <v>6033</v>
      </c>
      <c r="E103" s="2386">
        <v>2463</v>
      </c>
      <c r="F103" s="891">
        <v>1356</v>
      </c>
      <c r="G103" s="891">
        <v>1809</v>
      </c>
      <c r="H103" s="891">
        <v>405</v>
      </c>
      <c r="I103" s="2387">
        <v>0</v>
      </c>
      <c r="J103" s="2386">
        <v>3238</v>
      </c>
      <c r="K103" s="891">
        <v>2795</v>
      </c>
      <c r="L103" s="2387"/>
      <c r="M103" s="2383">
        <v>2226</v>
      </c>
      <c r="N103" s="575">
        <v>3434</v>
      </c>
      <c r="O103" s="575">
        <v>360</v>
      </c>
      <c r="P103" s="2384">
        <v>13</v>
      </c>
      <c r="Q103" s="576">
        <v>272</v>
      </c>
    </row>
    <row r="104" spans="1:17" s="576" customFormat="1" x14ac:dyDescent="0.25">
      <c r="A104" s="578" t="s">
        <v>54</v>
      </c>
      <c r="B104" s="574" t="s">
        <v>55</v>
      </c>
      <c r="C104" s="573" t="s">
        <v>264</v>
      </c>
      <c r="D104" s="2410">
        <v>28990</v>
      </c>
      <c r="E104" s="2386">
        <v>13777</v>
      </c>
      <c r="F104" s="891">
        <v>6682</v>
      </c>
      <c r="G104" s="891">
        <v>7163</v>
      </c>
      <c r="H104" s="891">
        <v>1368</v>
      </c>
      <c r="I104" s="2387">
        <v>0</v>
      </c>
      <c r="J104" s="2386">
        <v>17535</v>
      </c>
      <c r="K104" s="891">
        <v>11455</v>
      </c>
      <c r="L104" s="2387"/>
      <c r="M104" s="2383">
        <v>9607</v>
      </c>
      <c r="N104" s="575">
        <v>18344</v>
      </c>
      <c r="O104" s="575">
        <v>865</v>
      </c>
      <c r="P104" s="2384">
        <v>174</v>
      </c>
      <c r="Q104" s="576">
        <v>1055</v>
      </c>
    </row>
    <row r="105" spans="1:17" s="576" customFormat="1" x14ac:dyDescent="0.25">
      <c r="A105" s="578" t="s">
        <v>66</v>
      </c>
      <c r="B105" s="574" t="s">
        <v>67</v>
      </c>
      <c r="C105" s="573" t="s">
        <v>265</v>
      </c>
      <c r="D105" s="2410">
        <v>15354</v>
      </c>
      <c r="E105" s="2386">
        <v>6012</v>
      </c>
      <c r="F105" s="891">
        <v>3872</v>
      </c>
      <c r="G105" s="891">
        <v>4467</v>
      </c>
      <c r="H105" s="891">
        <v>1003</v>
      </c>
      <c r="I105" s="2387">
        <v>0</v>
      </c>
      <c r="J105" s="2386">
        <v>8821</v>
      </c>
      <c r="K105" s="891">
        <v>6533</v>
      </c>
      <c r="L105" s="2387"/>
      <c r="M105" s="2383">
        <v>4228</v>
      </c>
      <c r="N105" s="575">
        <v>10850</v>
      </c>
      <c r="O105" s="575">
        <v>223</v>
      </c>
      <c r="P105" s="2384">
        <v>53</v>
      </c>
      <c r="Q105" s="576">
        <v>339</v>
      </c>
    </row>
    <row r="106" spans="1:17" s="576" customFormat="1" x14ac:dyDescent="0.25">
      <c r="A106" s="578" t="s">
        <v>82</v>
      </c>
      <c r="B106" s="574" t="s">
        <v>83</v>
      </c>
      <c r="C106" s="573" t="s">
        <v>264</v>
      </c>
      <c r="D106" s="2410">
        <v>3267</v>
      </c>
      <c r="E106" s="2386">
        <v>1394</v>
      </c>
      <c r="F106" s="891">
        <v>820</v>
      </c>
      <c r="G106" s="891">
        <v>862</v>
      </c>
      <c r="H106" s="891">
        <v>191</v>
      </c>
      <c r="I106" s="2387">
        <v>0</v>
      </c>
      <c r="J106" s="2386">
        <v>1920</v>
      </c>
      <c r="K106" s="891">
        <v>1347</v>
      </c>
      <c r="L106" s="2387"/>
      <c r="M106" s="2383">
        <v>390</v>
      </c>
      <c r="N106" s="575">
        <v>2841</v>
      </c>
      <c r="O106" s="575">
        <v>24</v>
      </c>
      <c r="P106" s="2384">
        <v>12</v>
      </c>
      <c r="Q106" s="576">
        <v>50</v>
      </c>
    </row>
    <row r="107" spans="1:17" s="576" customFormat="1" x14ac:dyDescent="0.25">
      <c r="A107" s="578" t="s">
        <v>88</v>
      </c>
      <c r="B107" s="574" t="s">
        <v>89</v>
      </c>
      <c r="C107" s="573" t="s">
        <v>267</v>
      </c>
      <c r="D107" s="2410">
        <v>5955</v>
      </c>
      <c r="E107" s="2386">
        <v>2764</v>
      </c>
      <c r="F107" s="891">
        <v>1420</v>
      </c>
      <c r="G107" s="891">
        <v>1495</v>
      </c>
      <c r="H107" s="891">
        <v>276</v>
      </c>
      <c r="I107" s="2387">
        <v>0</v>
      </c>
      <c r="J107" s="2386">
        <v>3404</v>
      </c>
      <c r="K107" s="891">
        <v>2551</v>
      </c>
      <c r="L107" s="2387"/>
      <c r="M107" s="2383">
        <v>2550</v>
      </c>
      <c r="N107" s="575">
        <v>2866</v>
      </c>
      <c r="O107" s="575">
        <v>507</v>
      </c>
      <c r="P107" s="2384">
        <v>32</v>
      </c>
      <c r="Q107" s="576">
        <v>266</v>
      </c>
    </row>
    <row r="108" spans="1:17" s="576" customFormat="1" x14ac:dyDescent="0.25">
      <c r="A108" s="578" t="s">
        <v>90</v>
      </c>
      <c r="B108" s="574" t="s">
        <v>91</v>
      </c>
      <c r="C108" s="573" t="s">
        <v>268</v>
      </c>
      <c r="D108" s="2410">
        <v>2384</v>
      </c>
      <c r="E108" s="2386">
        <v>984</v>
      </c>
      <c r="F108" s="891">
        <v>548</v>
      </c>
      <c r="G108" s="891">
        <v>681</v>
      </c>
      <c r="H108" s="891">
        <v>171</v>
      </c>
      <c r="I108" s="2387">
        <v>0</v>
      </c>
      <c r="J108" s="2386">
        <v>1340</v>
      </c>
      <c r="K108" s="891">
        <v>1044</v>
      </c>
      <c r="L108" s="2387"/>
      <c r="M108" s="2383">
        <v>2133</v>
      </c>
      <c r="N108" s="575">
        <v>240</v>
      </c>
      <c r="O108" s="575">
        <v>9</v>
      </c>
      <c r="P108" s="2384">
        <v>2</v>
      </c>
      <c r="Q108" s="576">
        <v>327</v>
      </c>
    </row>
    <row r="109" spans="1:17" s="576" customFormat="1" x14ac:dyDescent="0.25">
      <c r="A109" s="578" t="s">
        <v>106</v>
      </c>
      <c r="B109" s="574" t="s">
        <v>107</v>
      </c>
      <c r="C109" s="573" t="s">
        <v>264</v>
      </c>
      <c r="D109" s="2410">
        <v>28327</v>
      </c>
      <c r="E109" s="2386">
        <v>12638</v>
      </c>
      <c r="F109" s="891">
        <v>6725</v>
      </c>
      <c r="G109" s="891">
        <v>7713</v>
      </c>
      <c r="H109" s="891">
        <v>1250</v>
      </c>
      <c r="I109" s="2387">
        <v>1</v>
      </c>
      <c r="J109" s="2386">
        <v>16703</v>
      </c>
      <c r="K109" s="891">
        <v>11623</v>
      </c>
      <c r="L109" s="2387">
        <v>1</v>
      </c>
      <c r="M109" s="2383">
        <v>6632</v>
      </c>
      <c r="N109" s="575">
        <v>20740</v>
      </c>
      <c r="O109" s="575">
        <v>749</v>
      </c>
      <c r="P109" s="2384">
        <v>206</v>
      </c>
      <c r="Q109" s="576">
        <v>969</v>
      </c>
    </row>
    <row r="110" spans="1:17" s="576" customFormat="1" x14ac:dyDescent="0.25">
      <c r="A110" s="578" t="s">
        <v>116</v>
      </c>
      <c r="B110" s="574" t="s">
        <v>117</v>
      </c>
      <c r="C110" s="573" t="s">
        <v>266</v>
      </c>
      <c r="D110" s="2410">
        <v>9187</v>
      </c>
      <c r="E110" s="2386">
        <v>4132</v>
      </c>
      <c r="F110" s="891">
        <v>2372</v>
      </c>
      <c r="G110" s="891">
        <v>2354</v>
      </c>
      <c r="H110" s="891">
        <v>329</v>
      </c>
      <c r="I110" s="2387">
        <v>0</v>
      </c>
      <c r="J110" s="2386">
        <v>5363</v>
      </c>
      <c r="K110" s="891">
        <v>3824</v>
      </c>
      <c r="L110" s="2387"/>
      <c r="M110" s="2383">
        <v>3563</v>
      </c>
      <c r="N110" s="575">
        <v>5391</v>
      </c>
      <c r="O110" s="575">
        <v>177</v>
      </c>
      <c r="P110" s="2384">
        <v>56</v>
      </c>
      <c r="Q110" s="576">
        <v>409</v>
      </c>
    </row>
    <row r="111" spans="1:17" s="576" customFormat="1" x14ac:dyDescent="0.25">
      <c r="A111" s="578" t="s">
        <v>138</v>
      </c>
      <c r="B111" s="574" t="s">
        <v>139</v>
      </c>
      <c r="C111" s="573" t="s">
        <v>265</v>
      </c>
      <c r="D111" s="2410">
        <v>15544</v>
      </c>
      <c r="E111" s="2386">
        <v>6910</v>
      </c>
      <c r="F111" s="891">
        <v>3660</v>
      </c>
      <c r="G111" s="891">
        <v>4089</v>
      </c>
      <c r="H111" s="891">
        <v>885</v>
      </c>
      <c r="I111" s="2387">
        <v>0</v>
      </c>
      <c r="J111" s="2386">
        <v>9144</v>
      </c>
      <c r="K111" s="891">
        <v>6400</v>
      </c>
      <c r="L111" s="2387"/>
      <c r="M111" s="2383">
        <v>5269</v>
      </c>
      <c r="N111" s="575">
        <v>9961</v>
      </c>
      <c r="O111" s="575">
        <v>257</v>
      </c>
      <c r="P111" s="2384">
        <v>57</v>
      </c>
      <c r="Q111" s="576">
        <v>286</v>
      </c>
    </row>
    <row r="112" spans="1:17" s="576" customFormat="1" x14ac:dyDescent="0.25">
      <c r="A112" s="578" t="s">
        <v>142</v>
      </c>
      <c r="B112" s="574" t="s">
        <v>143</v>
      </c>
      <c r="C112" s="573" t="s">
        <v>267</v>
      </c>
      <c r="D112" s="2410">
        <v>5389</v>
      </c>
      <c r="E112" s="2386">
        <v>3351</v>
      </c>
      <c r="F112" s="891">
        <v>933</v>
      </c>
      <c r="G112" s="891">
        <v>880</v>
      </c>
      <c r="H112" s="891">
        <v>225</v>
      </c>
      <c r="I112" s="2387">
        <v>0</v>
      </c>
      <c r="J112" s="2386">
        <v>3012</v>
      </c>
      <c r="K112" s="891">
        <v>2377</v>
      </c>
      <c r="L112" s="2387"/>
      <c r="M112" s="2383">
        <v>3598</v>
      </c>
      <c r="N112" s="575">
        <v>1435</v>
      </c>
      <c r="O112" s="575">
        <v>337</v>
      </c>
      <c r="P112" s="2384">
        <v>19</v>
      </c>
      <c r="Q112" s="576">
        <v>1134</v>
      </c>
    </row>
    <row r="113" spans="1:17" s="576" customFormat="1" x14ac:dyDescent="0.25">
      <c r="A113" s="578" t="s">
        <v>144</v>
      </c>
      <c r="B113" s="574" t="s">
        <v>145</v>
      </c>
      <c r="C113" s="573" t="s">
        <v>267</v>
      </c>
      <c r="D113" s="2410">
        <v>1749</v>
      </c>
      <c r="E113" s="2386">
        <v>1048</v>
      </c>
      <c r="F113" s="891">
        <v>278</v>
      </c>
      <c r="G113" s="891">
        <v>299</v>
      </c>
      <c r="H113" s="891">
        <v>124</v>
      </c>
      <c r="I113" s="2387">
        <v>0</v>
      </c>
      <c r="J113" s="2386">
        <v>997</v>
      </c>
      <c r="K113" s="891">
        <v>752</v>
      </c>
      <c r="L113" s="2387"/>
      <c r="M113" s="2383">
        <v>1248</v>
      </c>
      <c r="N113" s="575">
        <v>359</v>
      </c>
      <c r="O113" s="575">
        <v>133</v>
      </c>
      <c r="P113" s="2384">
        <v>9</v>
      </c>
      <c r="Q113" s="576">
        <v>490</v>
      </c>
    </row>
    <row r="114" spans="1:17" s="576" customFormat="1" x14ac:dyDescent="0.25">
      <c r="A114" s="578" t="s">
        <v>158</v>
      </c>
      <c r="B114" s="574" t="s">
        <v>159</v>
      </c>
      <c r="C114" s="573" t="s">
        <v>264</v>
      </c>
      <c r="D114" s="2410">
        <v>43338</v>
      </c>
      <c r="E114" s="2386">
        <v>20228</v>
      </c>
      <c r="F114" s="891">
        <v>10602</v>
      </c>
      <c r="G114" s="891">
        <v>10762</v>
      </c>
      <c r="H114" s="891">
        <v>1745</v>
      </c>
      <c r="I114" s="2387">
        <v>1</v>
      </c>
      <c r="J114" s="2386">
        <v>25930</v>
      </c>
      <c r="K114" s="891">
        <v>17408</v>
      </c>
      <c r="L114" s="2387"/>
      <c r="M114" s="2383">
        <v>9863</v>
      </c>
      <c r="N114" s="575">
        <v>31691</v>
      </c>
      <c r="O114" s="575">
        <v>1543</v>
      </c>
      <c r="P114" s="2384">
        <v>241</v>
      </c>
      <c r="Q114" s="576">
        <v>2544</v>
      </c>
    </row>
    <row r="115" spans="1:17" s="576" customFormat="1" x14ac:dyDescent="0.25">
      <c r="A115" s="578" t="s">
        <v>160</v>
      </c>
      <c r="B115" s="574" t="s">
        <v>161</v>
      </c>
      <c r="C115" s="573" t="s">
        <v>264</v>
      </c>
      <c r="D115" s="2410">
        <v>54073</v>
      </c>
      <c r="E115" s="2386">
        <v>24535</v>
      </c>
      <c r="F115" s="891">
        <v>12259</v>
      </c>
      <c r="G115" s="891">
        <v>14398</v>
      </c>
      <c r="H115" s="891">
        <v>2880</v>
      </c>
      <c r="I115" s="2387">
        <v>1</v>
      </c>
      <c r="J115" s="2386">
        <v>32071</v>
      </c>
      <c r="K115" s="891">
        <v>22000</v>
      </c>
      <c r="L115" s="2387">
        <v>2</v>
      </c>
      <c r="M115" s="2383">
        <v>10323</v>
      </c>
      <c r="N115" s="575">
        <v>41889</v>
      </c>
      <c r="O115" s="575">
        <v>1403</v>
      </c>
      <c r="P115" s="2384">
        <v>458</v>
      </c>
      <c r="Q115" s="576">
        <v>2029</v>
      </c>
    </row>
    <row r="116" spans="1:17" s="576" customFormat="1" x14ac:dyDescent="0.25">
      <c r="A116" s="578" t="s">
        <v>166</v>
      </c>
      <c r="B116" s="574" t="s">
        <v>167</v>
      </c>
      <c r="C116" s="573" t="s">
        <v>268</v>
      </c>
      <c r="D116" s="2410">
        <v>1329</v>
      </c>
      <c r="E116" s="2386">
        <v>452</v>
      </c>
      <c r="F116" s="891">
        <v>326</v>
      </c>
      <c r="G116" s="891">
        <v>449</v>
      </c>
      <c r="H116" s="891">
        <v>102</v>
      </c>
      <c r="I116" s="2387">
        <v>0</v>
      </c>
      <c r="J116" s="2386">
        <v>786</v>
      </c>
      <c r="K116" s="891">
        <v>543</v>
      </c>
      <c r="L116" s="2387"/>
      <c r="M116" s="2383">
        <v>1198</v>
      </c>
      <c r="N116" s="575">
        <v>113</v>
      </c>
      <c r="O116" s="575">
        <v>14</v>
      </c>
      <c r="P116" s="2384">
        <v>4</v>
      </c>
      <c r="Q116" s="576">
        <v>19</v>
      </c>
    </row>
    <row r="117" spans="1:17" s="576" customFormat="1" x14ac:dyDescent="0.25">
      <c r="A117" s="578" t="s">
        <v>176</v>
      </c>
      <c r="B117" s="574" t="s">
        <v>177</v>
      </c>
      <c r="C117" s="573" t="s">
        <v>266</v>
      </c>
      <c r="D117" s="2410">
        <v>13235</v>
      </c>
      <c r="E117" s="2386">
        <v>5208</v>
      </c>
      <c r="F117" s="891">
        <v>3503</v>
      </c>
      <c r="G117" s="891">
        <v>3833</v>
      </c>
      <c r="H117" s="891">
        <v>691</v>
      </c>
      <c r="I117" s="2387">
        <v>0</v>
      </c>
      <c r="J117" s="2386">
        <v>7529</v>
      </c>
      <c r="K117" s="891">
        <v>5706</v>
      </c>
      <c r="L117" s="2387"/>
      <c r="M117" s="2383">
        <v>1330</v>
      </c>
      <c r="N117" s="575">
        <v>11607</v>
      </c>
      <c r="O117" s="575">
        <v>211</v>
      </c>
      <c r="P117" s="2384">
        <v>87</v>
      </c>
      <c r="Q117" s="576">
        <v>390</v>
      </c>
    </row>
    <row r="118" spans="1:17" s="576" customFormat="1" x14ac:dyDescent="0.25">
      <c r="A118" s="578" t="s">
        <v>180</v>
      </c>
      <c r="B118" s="574" t="s">
        <v>181</v>
      </c>
      <c r="C118" s="573" t="s">
        <v>264</v>
      </c>
      <c r="D118" s="2410">
        <v>28343</v>
      </c>
      <c r="E118" s="2386">
        <v>12658</v>
      </c>
      <c r="F118" s="891">
        <v>6964</v>
      </c>
      <c r="G118" s="891">
        <v>7387</v>
      </c>
      <c r="H118" s="891">
        <v>1334</v>
      </c>
      <c r="I118" s="2387">
        <v>0</v>
      </c>
      <c r="J118" s="2386">
        <v>16639</v>
      </c>
      <c r="K118" s="891">
        <v>11704</v>
      </c>
      <c r="L118" s="2387"/>
      <c r="M118" s="2383">
        <v>4948</v>
      </c>
      <c r="N118" s="575">
        <v>22844</v>
      </c>
      <c r="O118" s="575">
        <v>371</v>
      </c>
      <c r="P118" s="2384">
        <v>180</v>
      </c>
      <c r="Q118" s="576">
        <v>515</v>
      </c>
    </row>
    <row r="119" spans="1:17" s="576" customFormat="1" x14ac:dyDescent="0.25">
      <c r="A119" s="578" t="s">
        <v>192</v>
      </c>
      <c r="B119" s="574" t="s">
        <v>193</v>
      </c>
      <c r="C119" s="573" t="s">
        <v>268</v>
      </c>
      <c r="D119" s="2410">
        <v>2139</v>
      </c>
      <c r="E119" s="2386">
        <v>898</v>
      </c>
      <c r="F119" s="891">
        <v>582</v>
      </c>
      <c r="G119" s="891">
        <v>586</v>
      </c>
      <c r="H119" s="891">
        <v>72</v>
      </c>
      <c r="I119" s="2387">
        <v>1</v>
      </c>
      <c r="J119" s="2386">
        <v>1227</v>
      </c>
      <c r="K119" s="891">
        <v>912</v>
      </c>
      <c r="L119" s="2387"/>
      <c r="M119" s="2383">
        <v>1634</v>
      </c>
      <c r="N119" s="575">
        <v>480</v>
      </c>
      <c r="O119" s="575">
        <v>19</v>
      </c>
      <c r="P119" s="2384">
        <v>6</v>
      </c>
      <c r="Q119" s="576">
        <v>47</v>
      </c>
    </row>
    <row r="120" spans="1:17" s="576" customFormat="1" x14ac:dyDescent="0.25">
      <c r="A120" s="578" t="s">
        <v>196</v>
      </c>
      <c r="B120" s="574" t="s">
        <v>197</v>
      </c>
      <c r="C120" s="573" t="s">
        <v>266</v>
      </c>
      <c r="D120" s="2410">
        <v>56976</v>
      </c>
      <c r="E120" s="2386">
        <v>24532</v>
      </c>
      <c r="F120" s="891">
        <v>13343</v>
      </c>
      <c r="G120" s="891">
        <v>15968</v>
      </c>
      <c r="H120" s="891">
        <v>3133</v>
      </c>
      <c r="I120" s="2387">
        <v>0</v>
      </c>
      <c r="J120" s="2386">
        <v>32691</v>
      </c>
      <c r="K120" s="891">
        <v>24285</v>
      </c>
      <c r="L120" s="2387"/>
      <c r="M120" s="2383">
        <v>8026</v>
      </c>
      <c r="N120" s="575">
        <v>47409</v>
      </c>
      <c r="O120" s="575">
        <v>1174</v>
      </c>
      <c r="P120" s="2384">
        <v>367</v>
      </c>
      <c r="Q120" s="576">
        <v>2301</v>
      </c>
    </row>
    <row r="121" spans="1:17" s="576" customFormat="1" x14ac:dyDescent="0.25">
      <c r="A121" s="578" t="s">
        <v>200</v>
      </c>
      <c r="B121" s="574" t="s">
        <v>201</v>
      </c>
      <c r="C121" s="573" t="s">
        <v>265</v>
      </c>
      <c r="D121" s="2410">
        <v>28466</v>
      </c>
      <c r="E121" s="2386">
        <v>12359</v>
      </c>
      <c r="F121" s="891">
        <v>6435</v>
      </c>
      <c r="G121" s="891">
        <v>8142</v>
      </c>
      <c r="H121" s="891">
        <v>1529</v>
      </c>
      <c r="I121" s="2387">
        <v>1</v>
      </c>
      <c r="J121" s="2386">
        <v>16261</v>
      </c>
      <c r="K121" s="891">
        <v>12205</v>
      </c>
      <c r="L121" s="2387"/>
      <c r="M121" s="2383">
        <v>13651</v>
      </c>
      <c r="N121" s="575">
        <v>13565</v>
      </c>
      <c r="O121" s="575">
        <v>1134</v>
      </c>
      <c r="P121" s="2384">
        <v>116</v>
      </c>
      <c r="Q121" s="576">
        <v>1097</v>
      </c>
    </row>
    <row r="122" spans="1:17" s="576" customFormat="1" x14ac:dyDescent="0.25">
      <c r="A122" s="578" t="s">
        <v>222</v>
      </c>
      <c r="B122" s="574" t="s">
        <v>223</v>
      </c>
      <c r="C122" s="573" t="s">
        <v>264</v>
      </c>
      <c r="D122" s="2410">
        <v>15345</v>
      </c>
      <c r="E122" s="2386">
        <v>6801</v>
      </c>
      <c r="F122" s="891">
        <v>3533</v>
      </c>
      <c r="G122" s="891">
        <v>4110</v>
      </c>
      <c r="H122" s="891">
        <v>901</v>
      </c>
      <c r="I122" s="2387">
        <v>0</v>
      </c>
      <c r="J122" s="2386">
        <v>8999</v>
      </c>
      <c r="K122" s="891">
        <v>6346</v>
      </c>
      <c r="L122" s="2387"/>
      <c r="M122" s="2383">
        <v>3342</v>
      </c>
      <c r="N122" s="575">
        <v>11662</v>
      </c>
      <c r="O122" s="575">
        <v>240</v>
      </c>
      <c r="P122" s="2384">
        <v>101</v>
      </c>
      <c r="Q122" s="576">
        <v>323</v>
      </c>
    </row>
    <row r="123" spans="1:17" s="576" customFormat="1" x14ac:dyDescent="0.25">
      <c r="A123" s="578" t="s">
        <v>230</v>
      </c>
      <c r="B123" s="574" t="s">
        <v>231</v>
      </c>
      <c r="C123" s="573" t="s">
        <v>264</v>
      </c>
      <c r="D123" s="2410">
        <v>42711</v>
      </c>
      <c r="E123" s="2386">
        <v>19840</v>
      </c>
      <c r="F123" s="891">
        <v>9774</v>
      </c>
      <c r="G123" s="891">
        <v>10780</v>
      </c>
      <c r="H123" s="891">
        <v>2315</v>
      </c>
      <c r="I123" s="2387">
        <v>2</v>
      </c>
      <c r="J123" s="2386">
        <v>25380</v>
      </c>
      <c r="K123" s="891">
        <v>17331</v>
      </c>
      <c r="L123" s="2387"/>
      <c r="M123" s="2383">
        <v>18167</v>
      </c>
      <c r="N123" s="575">
        <v>21663</v>
      </c>
      <c r="O123" s="575">
        <v>2502</v>
      </c>
      <c r="P123" s="2384">
        <v>379</v>
      </c>
      <c r="Q123" s="576">
        <v>2348</v>
      </c>
    </row>
    <row r="124" spans="1:17" s="576" customFormat="1" x14ac:dyDescent="0.25">
      <c r="A124" s="578" t="s">
        <v>238</v>
      </c>
      <c r="B124" s="574" t="s">
        <v>239</v>
      </c>
      <c r="C124" s="573" t="s">
        <v>264</v>
      </c>
      <c r="D124" s="2410">
        <v>1812</v>
      </c>
      <c r="E124" s="2386">
        <v>818</v>
      </c>
      <c r="F124" s="891">
        <v>414</v>
      </c>
      <c r="G124" s="891">
        <v>517</v>
      </c>
      <c r="H124" s="891">
        <v>63</v>
      </c>
      <c r="I124" s="2387">
        <v>0</v>
      </c>
      <c r="J124" s="2386">
        <v>988</v>
      </c>
      <c r="K124" s="891">
        <v>824</v>
      </c>
      <c r="L124" s="2387"/>
      <c r="M124" s="2383">
        <v>753</v>
      </c>
      <c r="N124" s="575">
        <v>960</v>
      </c>
      <c r="O124" s="575">
        <v>90</v>
      </c>
      <c r="P124" s="2384">
        <v>9</v>
      </c>
      <c r="Q124" s="576">
        <v>65</v>
      </c>
    </row>
    <row r="125" spans="1:17" s="576" customFormat="1" x14ac:dyDescent="0.25">
      <c r="A125" s="578" t="s">
        <v>240</v>
      </c>
      <c r="B125" s="574" t="s">
        <v>241</v>
      </c>
      <c r="C125" s="573" t="s">
        <v>267</v>
      </c>
      <c r="D125" s="2410">
        <v>5358</v>
      </c>
      <c r="E125" s="2386">
        <v>2612</v>
      </c>
      <c r="F125" s="891">
        <v>1132</v>
      </c>
      <c r="G125" s="891">
        <v>1308</v>
      </c>
      <c r="H125" s="891">
        <v>304</v>
      </c>
      <c r="I125" s="2387">
        <v>2</v>
      </c>
      <c r="J125" s="2386">
        <v>2925</v>
      </c>
      <c r="K125" s="891">
        <v>2433</v>
      </c>
      <c r="L125" s="2387"/>
      <c r="M125" s="2383">
        <v>3910</v>
      </c>
      <c r="N125" s="575">
        <v>1345</v>
      </c>
      <c r="O125" s="575">
        <v>82</v>
      </c>
      <c r="P125" s="2384">
        <v>21</v>
      </c>
      <c r="Q125" s="576">
        <v>651</v>
      </c>
    </row>
    <row r="126" spans="1:17" x14ac:dyDescent="0.25">
      <c r="B126" s="481"/>
      <c r="C126" s="481"/>
      <c r="D126" s="481"/>
      <c r="E126" s="481"/>
      <c r="F126" s="481"/>
      <c r="G126" s="481"/>
      <c r="H126" s="481"/>
      <c r="I126" s="481"/>
      <c r="J126" s="481"/>
      <c r="K126" s="481"/>
      <c r="L126" s="481"/>
    </row>
    <row r="128" spans="1:17" ht="15.75" customHeight="1" x14ac:dyDescent="0.25">
      <c r="A128" s="2746" t="s">
        <v>1403</v>
      </c>
      <c r="B128" s="2746"/>
      <c r="C128" s="2746"/>
      <c r="D128" s="2746"/>
      <c r="E128" s="2746"/>
      <c r="F128" s="2746"/>
      <c r="G128" s="2746"/>
      <c r="H128" s="2746"/>
      <c r="I128" s="2746"/>
      <c r="J128" s="2746"/>
      <c r="K128" s="2746"/>
      <c r="L128" s="2746"/>
      <c r="M128" s="2746"/>
      <c r="N128" s="2746"/>
      <c r="O128" s="2746"/>
      <c r="P128" s="2746"/>
    </row>
    <row r="129" spans="1:16" x14ac:dyDescent="0.25">
      <c r="A129" s="2746"/>
      <c r="B129" s="2746"/>
      <c r="C129" s="2746"/>
      <c r="D129" s="2746"/>
      <c r="E129" s="2746"/>
      <c r="F129" s="2746"/>
      <c r="G129" s="2746"/>
      <c r="H129" s="2746"/>
      <c r="I129" s="2746"/>
      <c r="J129" s="2746"/>
      <c r="K129" s="2746"/>
      <c r="L129" s="2746"/>
      <c r="M129" s="2746"/>
      <c r="N129" s="2746"/>
      <c r="O129" s="2746"/>
      <c r="P129" s="2746"/>
    </row>
    <row r="130" spans="1:16" s="389" customFormat="1" x14ac:dyDescent="0.25">
      <c r="A130" s="389" t="s">
        <v>248</v>
      </c>
    </row>
    <row r="131" spans="1:16" s="389" customFormat="1" x14ac:dyDescent="0.25">
      <c r="A131" s="390" t="s">
        <v>249</v>
      </c>
      <c r="B131" s="391" t="s">
        <v>250</v>
      </c>
      <c r="C131" s="391"/>
      <c r="D131" s="391"/>
      <c r="E131" s="391"/>
      <c r="F131" s="391"/>
      <c r="G131" s="391"/>
      <c r="H131" s="391"/>
      <c r="I131" s="391"/>
      <c r="J131" s="391"/>
      <c r="K131" s="391"/>
      <c r="L131" s="391"/>
    </row>
  </sheetData>
  <autoFilter ref="A4:C4"/>
  <sortState ref="A6:Q125">
    <sortCondition ref="A6:A125"/>
  </sortState>
  <mergeCells count="5">
    <mergeCell ref="A128:P129"/>
    <mergeCell ref="M3:P3"/>
    <mergeCell ref="E3:I3"/>
    <mergeCell ref="J3:L3"/>
    <mergeCell ref="Q3:Q4"/>
  </mergeCells>
  <hyperlinks>
    <hyperlink ref="B131" r:id="rId1"/>
  </hyperlinks>
  <pageMargins left="0.75" right="0.75" top="1" bottom="1" header="0.5" footer="0.5"/>
  <pageSetup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114" activePane="bottomRight" state="frozen"/>
      <selection pane="topRight" activeCell="D1" sqref="D1"/>
      <selection pane="bottomLeft" activeCell="A6" sqref="A6"/>
      <selection pane="bottomRight" activeCell="A125" sqref="A6:XFD125"/>
    </sheetView>
  </sheetViews>
  <sheetFormatPr defaultColWidth="14.375" defaultRowHeight="15.75" x14ac:dyDescent="0.25"/>
  <cols>
    <col min="1" max="1" width="14.375" style="476"/>
    <col min="2" max="2" width="32.25" style="476" customWidth="1"/>
    <col min="3" max="4" width="14.5" style="476" customWidth="1"/>
    <col min="5" max="5" width="11.875" style="476" customWidth="1"/>
    <col min="6" max="7" width="11.125" style="476" customWidth="1"/>
    <col min="8" max="9" width="14.5" style="476" customWidth="1"/>
    <col min="10" max="12" width="9.75" style="476" customWidth="1"/>
    <col min="13" max="16" width="10.75" style="476" customWidth="1"/>
    <col min="17" max="16384" width="14.375" style="476"/>
  </cols>
  <sheetData>
    <row r="1" spans="1:17" x14ac:dyDescent="0.25">
      <c r="A1" s="254" t="s">
        <v>1396</v>
      </c>
    </row>
    <row r="2" spans="1:17" x14ac:dyDescent="0.25">
      <c r="B2" s="477"/>
      <c r="C2" s="477"/>
      <c r="D2" s="477"/>
      <c r="E2" s="477"/>
      <c r="F2" s="477"/>
      <c r="G2" s="477"/>
      <c r="H2" s="477"/>
      <c r="I2" s="477"/>
      <c r="J2" s="477"/>
      <c r="K2" s="477"/>
      <c r="L2" s="477"/>
    </row>
    <row r="3" spans="1:17" ht="23.25" customHeight="1" x14ac:dyDescent="0.25">
      <c r="A3" s="478"/>
      <c r="B3" s="479"/>
      <c r="C3" s="577"/>
      <c r="D3" s="577"/>
      <c r="E3" s="2747" t="s">
        <v>865</v>
      </c>
      <c r="F3" s="2748"/>
      <c r="G3" s="2748"/>
      <c r="H3" s="2748"/>
      <c r="I3" s="2748"/>
      <c r="J3" s="2747" t="s">
        <v>860</v>
      </c>
      <c r="K3" s="2748"/>
      <c r="L3" s="2749"/>
      <c r="M3" s="2748" t="s">
        <v>767</v>
      </c>
      <c r="N3" s="2748"/>
      <c r="O3" s="2748"/>
      <c r="P3" s="2748"/>
      <c r="Q3" s="2751" t="s">
        <v>1383</v>
      </c>
    </row>
    <row r="4" spans="1:17" ht="35.25" customHeight="1" x14ac:dyDescent="0.25">
      <c r="A4" s="480" t="s">
        <v>4</v>
      </c>
      <c r="B4" s="479" t="s">
        <v>5</v>
      </c>
      <c r="C4" s="577" t="s">
        <v>251</v>
      </c>
      <c r="D4" s="577" t="s">
        <v>281</v>
      </c>
      <c r="E4" s="2389" t="s">
        <v>618</v>
      </c>
      <c r="F4" s="2390" t="s">
        <v>1391</v>
      </c>
      <c r="G4" s="2390" t="s">
        <v>1392</v>
      </c>
      <c r="H4" s="2390" t="s">
        <v>778</v>
      </c>
      <c r="I4" s="2390" t="s">
        <v>1381</v>
      </c>
      <c r="J4" s="2389" t="s">
        <v>549</v>
      </c>
      <c r="K4" s="2390" t="s">
        <v>548</v>
      </c>
      <c r="L4" s="2391" t="s">
        <v>1381</v>
      </c>
      <c r="M4" s="577" t="s">
        <v>2</v>
      </c>
      <c r="N4" s="577" t="s">
        <v>445</v>
      </c>
      <c r="O4" s="577" t="s">
        <v>827</v>
      </c>
      <c r="P4" s="1332" t="s">
        <v>1381</v>
      </c>
      <c r="Q4" s="2751"/>
    </row>
    <row r="5" spans="1:17" x14ac:dyDescent="0.25">
      <c r="A5" s="1046" t="s">
        <v>8</v>
      </c>
      <c r="B5" s="1047" t="s">
        <v>281</v>
      </c>
      <c r="C5" s="1048"/>
      <c r="D5" s="2411">
        <f>SUM(D6:D125)</f>
        <v>93236</v>
      </c>
      <c r="E5" s="2385">
        <f>SUM(E6:E125)</f>
        <v>64367</v>
      </c>
      <c r="F5" s="2377">
        <f t="shared" ref="F5:I5" si="0">SUM(F6:F125)</f>
        <v>20077</v>
      </c>
      <c r="G5" s="2377">
        <f t="shared" si="0"/>
        <v>8704</v>
      </c>
      <c r="H5" s="2377">
        <f t="shared" si="0"/>
        <v>87</v>
      </c>
      <c r="I5" s="2377">
        <f t="shared" si="0"/>
        <v>1</v>
      </c>
      <c r="J5" s="2385">
        <f t="shared" ref="J5" si="1">SUM(J6:J125)</f>
        <v>56121</v>
      </c>
      <c r="K5" s="2377">
        <f t="shared" ref="K5:Q5" si="2">SUM(K6:K125)</f>
        <v>37115</v>
      </c>
      <c r="L5" s="2392">
        <f t="shared" si="2"/>
        <v>0</v>
      </c>
      <c r="M5" s="1049">
        <f t="shared" si="2"/>
        <v>37349</v>
      </c>
      <c r="N5" s="1049">
        <f t="shared" si="2"/>
        <v>51307</v>
      </c>
      <c r="O5" s="1049">
        <f t="shared" si="2"/>
        <v>4374</v>
      </c>
      <c r="P5" s="1049">
        <f t="shared" si="2"/>
        <v>206</v>
      </c>
      <c r="Q5" s="2412">
        <f t="shared" si="2"/>
        <v>4071</v>
      </c>
    </row>
    <row r="6" spans="1:17" s="576" customFormat="1" x14ac:dyDescent="0.25">
      <c r="A6" s="578" t="s">
        <v>10</v>
      </c>
      <c r="B6" s="574" t="s">
        <v>11</v>
      </c>
      <c r="C6" s="573" t="s">
        <v>264</v>
      </c>
      <c r="D6" s="2410">
        <v>472</v>
      </c>
      <c r="E6" s="2386">
        <v>341</v>
      </c>
      <c r="F6" s="891">
        <v>97</v>
      </c>
      <c r="G6" s="891">
        <v>34</v>
      </c>
      <c r="H6" s="891">
        <v>0</v>
      </c>
      <c r="I6" s="891">
        <v>0</v>
      </c>
      <c r="J6" s="2386">
        <v>285</v>
      </c>
      <c r="K6" s="891">
        <v>187</v>
      </c>
      <c r="L6" s="2387"/>
      <c r="M6" s="575">
        <v>172</v>
      </c>
      <c r="N6" s="575">
        <v>295</v>
      </c>
      <c r="O6" s="575">
        <v>5</v>
      </c>
      <c r="P6" s="575">
        <v>0</v>
      </c>
      <c r="Q6" s="2409">
        <v>16</v>
      </c>
    </row>
    <row r="7" spans="1:17" s="576" customFormat="1" x14ac:dyDescent="0.25">
      <c r="A7" s="578" t="s">
        <v>12</v>
      </c>
      <c r="B7" s="574" t="s">
        <v>13</v>
      </c>
      <c r="C7" s="573" t="s">
        <v>265</v>
      </c>
      <c r="D7" s="2410">
        <v>582</v>
      </c>
      <c r="E7" s="2386">
        <v>384</v>
      </c>
      <c r="F7" s="891">
        <v>120</v>
      </c>
      <c r="G7" s="891">
        <v>76</v>
      </c>
      <c r="H7" s="891">
        <v>2</v>
      </c>
      <c r="I7" s="891">
        <v>0</v>
      </c>
      <c r="J7" s="2386">
        <v>327</v>
      </c>
      <c r="K7" s="891">
        <v>255</v>
      </c>
      <c r="L7" s="2387"/>
      <c r="M7" s="575">
        <v>312</v>
      </c>
      <c r="N7" s="575">
        <v>217</v>
      </c>
      <c r="O7" s="575">
        <v>49</v>
      </c>
      <c r="P7" s="575">
        <v>4</v>
      </c>
      <c r="Q7" s="2409">
        <v>33</v>
      </c>
    </row>
    <row r="8" spans="1:17" s="576" customFormat="1" x14ac:dyDescent="0.25">
      <c r="A8" s="578" t="s">
        <v>16</v>
      </c>
      <c r="B8" s="574" t="s">
        <v>297</v>
      </c>
      <c r="C8" s="573" t="s">
        <v>265</v>
      </c>
      <c r="D8" s="2410">
        <v>307</v>
      </c>
      <c r="E8" s="2386">
        <v>220</v>
      </c>
      <c r="F8" s="891">
        <v>64</v>
      </c>
      <c r="G8" s="891">
        <v>23</v>
      </c>
      <c r="H8" s="891">
        <v>0</v>
      </c>
      <c r="I8" s="891">
        <v>0</v>
      </c>
      <c r="J8" s="2386">
        <v>179</v>
      </c>
      <c r="K8" s="891">
        <v>128</v>
      </c>
      <c r="L8" s="2387"/>
      <c r="M8" s="575">
        <v>257</v>
      </c>
      <c r="N8" s="575">
        <v>48</v>
      </c>
      <c r="O8" s="575">
        <v>2</v>
      </c>
      <c r="P8" s="575">
        <v>0</v>
      </c>
      <c r="Q8" s="2409">
        <v>5</v>
      </c>
    </row>
    <row r="9" spans="1:17" s="576" customFormat="1" x14ac:dyDescent="0.25">
      <c r="A9" s="578" t="s">
        <v>18</v>
      </c>
      <c r="B9" s="574" t="s">
        <v>19</v>
      </c>
      <c r="C9" s="573" t="s">
        <v>266</v>
      </c>
      <c r="D9" s="2410">
        <v>98</v>
      </c>
      <c r="E9" s="2386">
        <v>67</v>
      </c>
      <c r="F9" s="891">
        <v>24</v>
      </c>
      <c r="G9" s="891">
        <v>7</v>
      </c>
      <c r="H9" s="891">
        <v>0</v>
      </c>
      <c r="I9" s="891">
        <v>0</v>
      </c>
      <c r="J9" s="2386">
        <v>60</v>
      </c>
      <c r="K9" s="891">
        <v>38</v>
      </c>
      <c r="L9" s="2387"/>
      <c r="M9" s="575">
        <v>54</v>
      </c>
      <c r="N9" s="575">
        <v>44</v>
      </c>
      <c r="O9" s="575">
        <v>0</v>
      </c>
      <c r="P9" s="575">
        <v>0</v>
      </c>
      <c r="Q9" s="2409"/>
    </row>
    <row r="10" spans="1:17" s="576" customFormat="1" x14ac:dyDescent="0.25">
      <c r="A10" s="578" t="s">
        <v>20</v>
      </c>
      <c r="B10" s="574" t="s">
        <v>21</v>
      </c>
      <c r="C10" s="573" t="s">
        <v>265</v>
      </c>
      <c r="D10" s="2410">
        <v>336</v>
      </c>
      <c r="E10" s="2386">
        <v>250</v>
      </c>
      <c r="F10" s="891">
        <v>65</v>
      </c>
      <c r="G10" s="891">
        <v>21</v>
      </c>
      <c r="H10" s="891">
        <v>0</v>
      </c>
      <c r="I10" s="891">
        <v>0</v>
      </c>
      <c r="J10" s="2386">
        <v>190</v>
      </c>
      <c r="K10" s="891">
        <v>146</v>
      </c>
      <c r="L10" s="2387"/>
      <c r="M10" s="575">
        <v>217</v>
      </c>
      <c r="N10" s="575">
        <v>111</v>
      </c>
      <c r="O10" s="575">
        <v>8</v>
      </c>
      <c r="P10" s="575">
        <v>0</v>
      </c>
      <c r="Q10" s="2409">
        <v>8</v>
      </c>
    </row>
    <row r="11" spans="1:17" s="576" customFormat="1" x14ac:dyDescent="0.25">
      <c r="A11" s="578" t="s">
        <v>22</v>
      </c>
      <c r="B11" s="574" t="s">
        <v>23</v>
      </c>
      <c r="C11" s="573" t="s">
        <v>265</v>
      </c>
      <c r="D11" s="2410">
        <v>217</v>
      </c>
      <c r="E11" s="2386">
        <v>156</v>
      </c>
      <c r="F11" s="891">
        <v>44</v>
      </c>
      <c r="G11" s="891">
        <v>17</v>
      </c>
      <c r="H11" s="891">
        <v>0</v>
      </c>
      <c r="I11" s="891">
        <v>0</v>
      </c>
      <c r="J11" s="2386">
        <v>126</v>
      </c>
      <c r="K11" s="891">
        <v>91</v>
      </c>
      <c r="L11" s="2387"/>
      <c r="M11" s="575">
        <v>91</v>
      </c>
      <c r="N11" s="575">
        <v>126</v>
      </c>
      <c r="O11" s="575">
        <v>0</v>
      </c>
      <c r="P11" s="575">
        <v>0</v>
      </c>
      <c r="Q11" s="2409">
        <v>10</v>
      </c>
    </row>
    <row r="12" spans="1:17" s="576" customFormat="1" x14ac:dyDescent="0.25">
      <c r="A12" s="578" t="s">
        <v>24</v>
      </c>
      <c r="B12" s="574" t="s">
        <v>25</v>
      </c>
      <c r="C12" s="573" t="s">
        <v>267</v>
      </c>
      <c r="D12" s="2410">
        <v>717</v>
      </c>
      <c r="E12" s="2386">
        <v>487</v>
      </c>
      <c r="F12" s="891">
        <v>141</v>
      </c>
      <c r="G12" s="891">
        <v>89</v>
      </c>
      <c r="H12" s="891">
        <v>0</v>
      </c>
      <c r="I12" s="891">
        <v>0</v>
      </c>
      <c r="J12" s="2386">
        <v>427</v>
      </c>
      <c r="K12" s="891">
        <v>290</v>
      </c>
      <c r="L12" s="2387"/>
      <c r="M12" s="575">
        <v>299</v>
      </c>
      <c r="N12" s="575">
        <v>378</v>
      </c>
      <c r="O12" s="575">
        <v>40</v>
      </c>
      <c r="P12" s="575">
        <v>0</v>
      </c>
      <c r="Q12" s="2409">
        <v>63</v>
      </c>
    </row>
    <row r="13" spans="1:17" s="576" customFormat="1" x14ac:dyDescent="0.25">
      <c r="A13" s="578" t="s">
        <v>26</v>
      </c>
      <c r="B13" s="574" t="s">
        <v>685</v>
      </c>
      <c r="C13" s="573" t="s">
        <v>265</v>
      </c>
      <c r="D13" s="2410">
        <v>1628</v>
      </c>
      <c r="E13" s="2386">
        <v>1130</v>
      </c>
      <c r="F13" s="891">
        <v>330</v>
      </c>
      <c r="G13" s="891">
        <v>166</v>
      </c>
      <c r="H13" s="891">
        <v>2</v>
      </c>
      <c r="I13" s="891">
        <v>0</v>
      </c>
      <c r="J13" s="2386">
        <v>974</v>
      </c>
      <c r="K13" s="891">
        <v>654</v>
      </c>
      <c r="L13" s="2387"/>
      <c r="M13" s="575">
        <v>1227</v>
      </c>
      <c r="N13" s="575">
        <v>388</v>
      </c>
      <c r="O13" s="575">
        <v>12</v>
      </c>
      <c r="P13" s="575">
        <v>1</v>
      </c>
      <c r="Q13" s="2409">
        <v>58</v>
      </c>
    </row>
    <row r="14" spans="1:17" s="576" customFormat="1" x14ac:dyDescent="0.25">
      <c r="A14" s="578" t="s">
        <v>27</v>
      </c>
      <c r="B14" s="574" t="s">
        <v>28</v>
      </c>
      <c r="C14" s="573" t="s">
        <v>265</v>
      </c>
      <c r="D14" s="2410">
        <v>19</v>
      </c>
      <c r="E14" s="2386">
        <v>15</v>
      </c>
      <c r="F14" s="891">
        <v>3</v>
      </c>
      <c r="G14" s="891">
        <v>1</v>
      </c>
      <c r="H14" s="891">
        <v>0</v>
      </c>
      <c r="I14" s="891">
        <v>0</v>
      </c>
      <c r="J14" s="2386">
        <v>11</v>
      </c>
      <c r="K14" s="891">
        <v>8</v>
      </c>
      <c r="L14" s="2387"/>
      <c r="M14" s="575">
        <v>18</v>
      </c>
      <c r="N14" s="575">
        <v>1</v>
      </c>
      <c r="O14" s="575">
        <v>0</v>
      </c>
      <c r="P14" s="575">
        <v>0</v>
      </c>
      <c r="Q14" s="2409"/>
    </row>
    <row r="15" spans="1:17" s="576" customFormat="1" x14ac:dyDescent="0.25">
      <c r="A15" s="578" t="s">
        <v>29</v>
      </c>
      <c r="B15" s="574" t="s">
        <v>901</v>
      </c>
      <c r="C15" s="573" t="s">
        <v>265</v>
      </c>
      <c r="D15" s="2410">
        <v>487</v>
      </c>
      <c r="E15" s="2386">
        <v>354</v>
      </c>
      <c r="F15" s="891">
        <v>96</v>
      </c>
      <c r="G15" s="891">
        <v>37</v>
      </c>
      <c r="H15" s="891">
        <v>0</v>
      </c>
      <c r="I15" s="891">
        <v>0</v>
      </c>
      <c r="J15" s="2386">
        <v>283</v>
      </c>
      <c r="K15" s="891">
        <v>204</v>
      </c>
      <c r="L15" s="2387"/>
      <c r="M15" s="575">
        <v>345</v>
      </c>
      <c r="N15" s="575">
        <v>134</v>
      </c>
      <c r="O15" s="575">
        <v>6</v>
      </c>
      <c r="P15" s="575">
        <v>2</v>
      </c>
      <c r="Q15" s="2409">
        <v>3</v>
      </c>
    </row>
    <row r="16" spans="1:17" s="576" customFormat="1" x14ac:dyDescent="0.25">
      <c r="A16" s="578" t="s">
        <v>30</v>
      </c>
      <c r="B16" s="574" t="s">
        <v>31</v>
      </c>
      <c r="C16" s="573" t="s">
        <v>268</v>
      </c>
      <c r="D16" s="2410">
        <v>70</v>
      </c>
      <c r="E16" s="2386">
        <v>50</v>
      </c>
      <c r="F16" s="891">
        <v>13</v>
      </c>
      <c r="G16" s="891">
        <v>7</v>
      </c>
      <c r="H16" s="891">
        <v>0</v>
      </c>
      <c r="I16" s="891">
        <v>0</v>
      </c>
      <c r="J16" s="2386">
        <v>44</v>
      </c>
      <c r="K16" s="891">
        <v>26</v>
      </c>
      <c r="L16" s="2387"/>
      <c r="M16" s="575">
        <v>66</v>
      </c>
      <c r="N16" s="575">
        <v>4</v>
      </c>
      <c r="O16" s="575">
        <v>0</v>
      </c>
      <c r="P16" s="575">
        <v>0</v>
      </c>
      <c r="Q16" s="2409">
        <v>2</v>
      </c>
    </row>
    <row r="17" spans="1:17" s="576" customFormat="1" x14ac:dyDescent="0.25">
      <c r="A17" s="578" t="s">
        <v>32</v>
      </c>
      <c r="B17" s="574" t="s">
        <v>33</v>
      </c>
      <c r="C17" s="573" t="s">
        <v>265</v>
      </c>
      <c r="D17" s="2410">
        <v>136</v>
      </c>
      <c r="E17" s="2386">
        <v>93</v>
      </c>
      <c r="F17" s="891">
        <v>20</v>
      </c>
      <c r="G17" s="891">
        <v>23</v>
      </c>
      <c r="H17" s="891">
        <v>0</v>
      </c>
      <c r="I17" s="891">
        <v>0</v>
      </c>
      <c r="J17" s="2386">
        <v>73</v>
      </c>
      <c r="K17" s="891">
        <v>63</v>
      </c>
      <c r="L17" s="2387"/>
      <c r="M17" s="575">
        <v>121</v>
      </c>
      <c r="N17" s="575">
        <v>14</v>
      </c>
      <c r="O17" s="575">
        <v>1</v>
      </c>
      <c r="P17" s="575">
        <v>0</v>
      </c>
      <c r="Q17" s="2409">
        <v>3</v>
      </c>
    </row>
    <row r="18" spans="1:17" s="576" customFormat="1" x14ac:dyDescent="0.25">
      <c r="A18" s="578" t="s">
        <v>36</v>
      </c>
      <c r="B18" s="574" t="s">
        <v>37</v>
      </c>
      <c r="C18" s="573" t="s">
        <v>264</v>
      </c>
      <c r="D18" s="2410">
        <v>267</v>
      </c>
      <c r="E18" s="2386">
        <v>180</v>
      </c>
      <c r="F18" s="891">
        <v>70</v>
      </c>
      <c r="G18" s="891">
        <v>17</v>
      </c>
      <c r="H18" s="891">
        <v>0</v>
      </c>
      <c r="I18" s="891">
        <v>0</v>
      </c>
      <c r="J18" s="2386">
        <v>160</v>
      </c>
      <c r="K18" s="891">
        <v>107</v>
      </c>
      <c r="L18" s="2387"/>
      <c r="M18" s="575">
        <v>44</v>
      </c>
      <c r="N18" s="575">
        <v>223</v>
      </c>
      <c r="O18" s="575">
        <v>0</v>
      </c>
      <c r="P18" s="575">
        <v>0</v>
      </c>
      <c r="Q18" s="2409"/>
    </row>
    <row r="19" spans="1:17" s="576" customFormat="1" x14ac:dyDescent="0.25">
      <c r="A19" s="578" t="s">
        <v>38</v>
      </c>
      <c r="B19" s="574" t="s">
        <v>39</v>
      </c>
      <c r="C19" s="573" t="s">
        <v>268</v>
      </c>
      <c r="D19" s="2410">
        <v>335</v>
      </c>
      <c r="E19" s="2386">
        <v>240</v>
      </c>
      <c r="F19" s="891">
        <v>64</v>
      </c>
      <c r="G19" s="891">
        <v>31</v>
      </c>
      <c r="H19" s="891">
        <v>0</v>
      </c>
      <c r="I19" s="891">
        <v>0</v>
      </c>
      <c r="J19" s="2386">
        <v>177</v>
      </c>
      <c r="K19" s="891">
        <v>158</v>
      </c>
      <c r="L19" s="2387"/>
      <c r="M19" s="575">
        <v>332</v>
      </c>
      <c r="N19" s="575">
        <v>2</v>
      </c>
      <c r="O19" s="575">
        <v>0</v>
      </c>
      <c r="P19" s="575">
        <v>1</v>
      </c>
      <c r="Q19" s="2409">
        <v>2</v>
      </c>
    </row>
    <row r="20" spans="1:17" s="576" customFormat="1" x14ac:dyDescent="0.25">
      <c r="A20" s="578" t="s">
        <v>40</v>
      </c>
      <c r="B20" s="574" t="s">
        <v>41</v>
      </c>
      <c r="C20" s="573" t="s">
        <v>266</v>
      </c>
      <c r="D20" s="2410">
        <v>198</v>
      </c>
      <c r="E20" s="2386">
        <v>133</v>
      </c>
      <c r="F20" s="891">
        <v>40</v>
      </c>
      <c r="G20" s="891">
        <v>25</v>
      </c>
      <c r="H20" s="891">
        <v>0</v>
      </c>
      <c r="I20" s="891">
        <v>0</v>
      </c>
      <c r="J20" s="2386">
        <v>126</v>
      </c>
      <c r="K20" s="891">
        <v>72</v>
      </c>
      <c r="L20" s="2387"/>
      <c r="M20" s="575">
        <v>96</v>
      </c>
      <c r="N20" s="575">
        <v>98</v>
      </c>
      <c r="O20" s="575">
        <v>4</v>
      </c>
      <c r="P20" s="575">
        <v>0</v>
      </c>
      <c r="Q20" s="2409">
        <v>2</v>
      </c>
    </row>
    <row r="21" spans="1:17" s="576" customFormat="1" x14ac:dyDescent="0.25">
      <c r="A21" s="578" t="s">
        <v>42</v>
      </c>
      <c r="B21" s="574" t="s">
        <v>43</v>
      </c>
      <c r="C21" s="573" t="s">
        <v>265</v>
      </c>
      <c r="D21" s="2410">
        <v>675</v>
      </c>
      <c r="E21" s="2386">
        <v>453</v>
      </c>
      <c r="F21" s="891">
        <v>160</v>
      </c>
      <c r="G21" s="891">
        <v>62</v>
      </c>
      <c r="H21" s="891">
        <v>0</v>
      </c>
      <c r="I21" s="891">
        <v>0</v>
      </c>
      <c r="J21" s="2386">
        <v>417</v>
      </c>
      <c r="K21" s="891">
        <v>258</v>
      </c>
      <c r="L21" s="2387"/>
      <c r="M21" s="575">
        <v>478</v>
      </c>
      <c r="N21" s="575">
        <v>179</v>
      </c>
      <c r="O21" s="575">
        <v>18</v>
      </c>
      <c r="P21" s="575">
        <v>0</v>
      </c>
      <c r="Q21" s="2409">
        <v>21</v>
      </c>
    </row>
    <row r="22" spans="1:17" s="576" customFormat="1" x14ac:dyDescent="0.25">
      <c r="A22" s="578" t="s">
        <v>44</v>
      </c>
      <c r="B22" s="574" t="s">
        <v>45</v>
      </c>
      <c r="C22" s="573" t="s">
        <v>266</v>
      </c>
      <c r="D22" s="2410">
        <v>465</v>
      </c>
      <c r="E22" s="2386">
        <v>328</v>
      </c>
      <c r="F22" s="891">
        <v>97</v>
      </c>
      <c r="G22" s="891">
        <v>39</v>
      </c>
      <c r="H22" s="891">
        <v>1</v>
      </c>
      <c r="I22" s="891">
        <v>0</v>
      </c>
      <c r="J22" s="2386">
        <v>280</v>
      </c>
      <c r="K22" s="891">
        <v>185</v>
      </c>
      <c r="L22" s="2387"/>
      <c r="M22" s="575">
        <v>256</v>
      </c>
      <c r="N22" s="575">
        <v>199</v>
      </c>
      <c r="O22" s="575">
        <v>8</v>
      </c>
      <c r="P22" s="575">
        <v>2</v>
      </c>
      <c r="Q22" s="2409">
        <v>13</v>
      </c>
    </row>
    <row r="23" spans="1:17" s="576" customFormat="1" x14ac:dyDescent="0.25">
      <c r="A23" s="578" t="s">
        <v>46</v>
      </c>
      <c r="B23" s="574" t="s">
        <v>47</v>
      </c>
      <c r="C23" s="573" t="s">
        <v>268</v>
      </c>
      <c r="D23" s="2410">
        <v>352</v>
      </c>
      <c r="E23" s="2386">
        <v>247</v>
      </c>
      <c r="F23" s="891">
        <v>78</v>
      </c>
      <c r="G23" s="891">
        <v>27</v>
      </c>
      <c r="H23" s="891">
        <v>0</v>
      </c>
      <c r="I23" s="891">
        <v>0</v>
      </c>
      <c r="J23" s="2386">
        <v>204</v>
      </c>
      <c r="K23" s="891">
        <v>148</v>
      </c>
      <c r="L23" s="2387"/>
      <c r="M23" s="575">
        <v>338</v>
      </c>
      <c r="N23" s="575">
        <v>12</v>
      </c>
      <c r="O23" s="575">
        <v>2</v>
      </c>
      <c r="P23" s="575">
        <v>0</v>
      </c>
      <c r="Q23" s="2409">
        <v>14</v>
      </c>
    </row>
    <row r="24" spans="1:17" s="576" customFormat="1" x14ac:dyDescent="0.25">
      <c r="A24" s="578" t="s">
        <v>48</v>
      </c>
      <c r="B24" s="574" t="s">
        <v>269</v>
      </c>
      <c r="C24" s="573" t="s">
        <v>266</v>
      </c>
      <c r="D24" s="2410">
        <v>36</v>
      </c>
      <c r="E24" s="2386">
        <v>25</v>
      </c>
      <c r="F24" s="891">
        <v>7</v>
      </c>
      <c r="G24" s="891">
        <v>4</v>
      </c>
      <c r="H24" s="891">
        <v>0</v>
      </c>
      <c r="I24" s="891">
        <v>0</v>
      </c>
      <c r="J24" s="2386">
        <v>19</v>
      </c>
      <c r="K24" s="891">
        <v>17</v>
      </c>
      <c r="L24" s="2387"/>
      <c r="M24" s="575">
        <v>17</v>
      </c>
      <c r="N24" s="575">
        <v>17</v>
      </c>
      <c r="O24" s="575">
        <v>2</v>
      </c>
      <c r="P24" s="575">
        <v>0</v>
      </c>
      <c r="Q24" s="2409"/>
    </row>
    <row r="25" spans="1:17" s="576" customFormat="1" x14ac:dyDescent="0.25">
      <c r="A25" s="578" t="s">
        <v>50</v>
      </c>
      <c r="B25" s="574" t="s">
        <v>51</v>
      </c>
      <c r="C25" s="573" t="s">
        <v>265</v>
      </c>
      <c r="D25" s="2410">
        <v>215</v>
      </c>
      <c r="E25" s="2386">
        <v>152</v>
      </c>
      <c r="F25" s="891">
        <v>40</v>
      </c>
      <c r="G25" s="891">
        <v>23</v>
      </c>
      <c r="H25" s="891">
        <v>0</v>
      </c>
      <c r="I25" s="891">
        <v>0</v>
      </c>
      <c r="J25" s="2386">
        <v>122</v>
      </c>
      <c r="K25" s="891">
        <v>93</v>
      </c>
      <c r="L25" s="2387"/>
      <c r="M25" s="575">
        <v>96</v>
      </c>
      <c r="N25" s="575">
        <v>110</v>
      </c>
      <c r="O25" s="575">
        <v>9</v>
      </c>
      <c r="P25" s="575">
        <v>0</v>
      </c>
      <c r="Q25" s="2409">
        <v>10</v>
      </c>
    </row>
    <row r="26" spans="1:17" s="576" customFormat="1" x14ac:dyDescent="0.25">
      <c r="A26" s="578" t="s">
        <v>56</v>
      </c>
      <c r="B26" s="574" t="s">
        <v>295</v>
      </c>
      <c r="C26" s="573" t="s">
        <v>266</v>
      </c>
      <c r="D26" s="2410">
        <v>2601</v>
      </c>
      <c r="E26" s="2386">
        <v>1824</v>
      </c>
      <c r="F26" s="891">
        <v>499</v>
      </c>
      <c r="G26" s="891">
        <v>270</v>
      </c>
      <c r="H26" s="891">
        <v>8</v>
      </c>
      <c r="I26" s="891">
        <v>0</v>
      </c>
      <c r="J26" s="2386">
        <v>1558</v>
      </c>
      <c r="K26" s="891">
        <v>1043</v>
      </c>
      <c r="L26" s="2387"/>
      <c r="M26" s="575">
        <v>946</v>
      </c>
      <c r="N26" s="575">
        <v>1592</v>
      </c>
      <c r="O26" s="575">
        <v>56</v>
      </c>
      <c r="P26" s="575">
        <v>7</v>
      </c>
      <c r="Q26" s="2409">
        <v>158</v>
      </c>
    </row>
    <row r="27" spans="1:17" s="576" customFormat="1" x14ac:dyDescent="0.25">
      <c r="A27" s="578" t="s">
        <v>58</v>
      </c>
      <c r="B27" s="574" t="s">
        <v>59</v>
      </c>
      <c r="C27" s="573" t="s">
        <v>267</v>
      </c>
      <c r="D27" s="2410">
        <v>29</v>
      </c>
      <c r="E27" s="2386">
        <v>24</v>
      </c>
      <c r="F27" s="891">
        <v>3</v>
      </c>
      <c r="G27" s="891">
        <v>2</v>
      </c>
      <c r="H27" s="891">
        <v>0</v>
      </c>
      <c r="I27" s="891">
        <v>0</v>
      </c>
      <c r="J27" s="2386">
        <v>18</v>
      </c>
      <c r="K27" s="891">
        <v>11</v>
      </c>
      <c r="L27" s="2387"/>
      <c r="M27" s="575">
        <v>23</v>
      </c>
      <c r="N27" s="575">
        <v>6</v>
      </c>
      <c r="O27" s="575">
        <v>0</v>
      </c>
      <c r="P27" s="575">
        <v>0</v>
      </c>
      <c r="Q27" s="2409">
        <v>1</v>
      </c>
    </row>
    <row r="28" spans="1:17" s="576" customFormat="1" x14ac:dyDescent="0.25">
      <c r="A28" s="578" t="s">
        <v>60</v>
      </c>
      <c r="B28" s="574" t="s">
        <v>61</v>
      </c>
      <c r="C28" s="573" t="s">
        <v>265</v>
      </c>
      <c r="D28" s="2410">
        <v>50</v>
      </c>
      <c r="E28" s="2386">
        <v>35</v>
      </c>
      <c r="F28" s="891">
        <v>9</v>
      </c>
      <c r="G28" s="891">
        <v>6</v>
      </c>
      <c r="H28" s="891">
        <v>0</v>
      </c>
      <c r="I28" s="891">
        <v>0</v>
      </c>
      <c r="J28" s="2386">
        <v>33</v>
      </c>
      <c r="K28" s="891">
        <v>17</v>
      </c>
      <c r="L28" s="2387"/>
      <c r="M28" s="575">
        <v>49</v>
      </c>
      <c r="N28" s="575">
        <v>0</v>
      </c>
      <c r="O28" s="575">
        <v>1</v>
      </c>
      <c r="P28" s="575">
        <v>0</v>
      </c>
      <c r="Q28" s="2409"/>
    </row>
    <row r="29" spans="1:17" s="576" customFormat="1" x14ac:dyDescent="0.25">
      <c r="A29" s="578" t="s">
        <v>62</v>
      </c>
      <c r="B29" s="574" t="s">
        <v>63</v>
      </c>
      <c r="C29" s="573" t="s">
        <v>267</v>
      </c>
      <c r="D29" s="2410">
        <v>500</v>
      </c>
      <c r="E29" s="2386">
        <v>349</v>
      </c>
      <c r="F29" s="891">
        <v>102</v>
      </c>
      <c r="G29" s="891">
        <v>49</v>
      </c>
      <c r="H29" s="891">
        <v>0</v>
      </c>
      <c r="I29" s="891">
        <v>0</v>
      </c>
      <c r="J29" s="2386">
        <v>301</v>
      </c>
      <c r="K29" s="891">
        <v>199</v>
      </c>
      <c r="L29" s="2387"/>
      <c r="M29" s="575">
        <v>278</v>
      </c>
      <c r="N29" s="575">
        <v>214</v>
      </c>
      <c r="O29" s="575">
        <v>7</v>
      </c>
      <c r="P29" s="575">
        <v>1</v>
      </c>
      <c r="Q29" s="2409">
        <v>9</v>
      </c>
    </row>
    <row r="30" spans="1:17" s="576" customFormat="1" x14ac:dyDescent="0.25">
      <c r="A30" s="578" t="s">
        <v>64</v>
      </c>
      <c r="B30" s="574" t="s">
        <v>65</v>
      </c>
      <c r="C30" s="573" t="s">
        <v>266</v>
      </c>
      <c r="D30" s="2410">
        <v>158</v>
      </c>
      <c r="E30" s="2386">
        <v>112</v>
      </c>
      <c r="F30" s="891">
        <v>30</v>
      </c>
      <c r="G30" s="891">
        <v>16</v>
      </c>
      <c r="H30" s="891">
        <v>0</v>
      </c>
      <c r="I30" s="891">
        <v>0</v>
      </c>
      <c r="J30" s="2386">
        <v>98</v>
      </c>
      <c r="K30" s="891">
        <v>60</v>
      </c>
      <c r="L30" s="2387"/>
      <c r="M30" s="575">
        <v>56</v>
      </c>
      <c r="N30" s="575">
        <v>101</v>
      </c>
      <c r="O30" s="575">
        <v>1</v>
      </c>
      <c r="P30" s="575">
        <v>0</v>
      </c>
      <c r="Q30" s="2409">
        <v>2</v>
      </c>
    </row>
    <row r="31" spans="1:17" s="576" customFormat="1" x14ac:dyDescent="0.25">
      <c r="A31" s="578" t="s">
        <v>68</v>
      </c>
      <c r="B31" s="574" t="s">
        <v>69</v>
      </c>
      <c r="C31" s="573" t="s">
        <v>268</v>
      </c>
      <c r="D31" s="2410">
        <v>196</v>
      </c>
      <c r="E31" s="2386">
        <v>136</v>
      </c>
      <c r="F31" s="891">
        <v>45</v>
      </c>
      <c r="G31" s="891">
        <v>15</v>
      </c>
      <c r="H31" s="891">
        <v>0</v>
      </c>
      <c r="I31" s="891">
        <v>0</v>
      </c>
      <c r="J31" s="2386">
        <v>115</v>
      </c>
      <c r="K31" s="891">
        <v>81</v>
      </c>
      <c r="L31" s="2387"/>
      <c r="M31" s="575">
        <v>192</v>
      </c>
      <c r="N31" s="575">
        <v>4</v>
      </c>
      <c r="O31" s="575">
        <v>0</v>
      </c>
      <c r="P31" s="575">
        <v>0</v>
      </c>
      <c r="Q31" s="2409"/>
    </row>
    <row r="32" spans="1:17" s="576" customFormat="1" x14ac:dyDescent="0.25">
      <c r="A32" s="578" t="s">
        <v>70</v>
      </c>
      <c r="B32" s="574" t="s">
        <v>71</v>
      </c>
      <c r="C32" s="573" t="s">
        <v>264</v>
      </c>
      <c r="D32" s="2410">
        <v>274</v>
      </c>
      <c r="E32" s="2386">
        <v>188</v>
      </c>
      <c r="F32" s="891">
        <v>58</v>
      </c>
      <c r="G32" s="891">
        <v>28</v>
      </c>
      <c r="H32" s="891">
        <v>0</v>
      </c>
      <c r="I32" s="891">
        <v>0</v>
      </c>
      <c r="J32" s="2386">
        <v>155</v>
      </c>
      <c r="K32" s="891">
        <v>119</v>
      </c>
      <c r="L32" s="2387"/>
      <c r="M32" s="575">
        <v>124</v>
      </c>
      <c r="N32" s="575">
        <v>145</v>
      </c>
      <c r="O32" s="575">
        <v>5</v>
      </c>
      <c r="P32" s="575">
        <v>0</v>
      </c>
      <c r="Q32" s="2409">
        <v>9</v>
      </c>
    </row>
    <row r="33" spans="1:17" s="576" customFormat="1" x14ac:dyDescent="0.25">
      <c r="A33" s="578" t="s">
        <v>72</v>
      </c>
      <c r="B33" s="574" t="s">
        <v>73</v>
      </c>
      <c r="C33" s="573" t="s">
        <v>266</v>
      </c>
      <c r="D33" s="2410">
        <v>230</v>
      </c>
      <c r="E33" s="2386">
        <v>155</v>
      </c>
      <c r="F33" s="891">
        <v>58</v>
      </c>
      <c r="G33" s="891">
        <v>17</v>
      </c>
      <c r="H33" s="891">
        <v>0</v>
      </c>
      <c r="I33" s="891">
        <v>0</v>
      </c>
      <c r="J33" s="2386">
        <v>155</v>
      </c>
      <c r="K33" s="891">
        <v>75</v>
      </c>
      <c r="L33" s="2387"/>
      <c r="M33" s="575">
        <v>54</v>
      </c>
      <c r="N33" s="575">
        <v>176</v>
      </c>
      <c r="O33" s="575">
        <v>0</v>
      </c>
      <c r="P33" s="575">
        <v>0</v>
      </c>
      <c r="Q33" s="2409">
        <v>4</v>
      </c>
    </row>
    <row r="34" spans="1:17" s="576" customFormat="1" x14ac:dyDescent="0.25">
      <c r="A34" s="578" t="s">
        <v>74</v>
      </c>
      <c r="B34" s="574" t="s">
        <v>296</v>
      </c>
      <c r="C34" s="573" t="s">
        <v>267</v>
      </c>
      <c r="D34" s="2410">
        <v>4620</v>
      </c>
      <c r="E34" s="2386">
        <v>3068</v>
      </c>
      <c r="F34" s="891">
        <v>867</v>
      </c>
      <c r="G34" s="891">
        <v>681</v>
      </c>
      <c r="H34" s="891">
        <v>4</v>
      </c>
      <c r="I34" s="891">
        <v>0</v>
      </c>
      <c r="J34" s="2386">
        <v>2664</v>
      </c>
      <c r="K34" s="891">
        <v>1956</v>
      </c>
      <c r="L34" s="2387"/>
      <c r="M34" s="575">
        <v>2060</v>
      </c>
      <c r="N34" s="575">
        <v>1772</v>
      </c>
      <c r="O34" s="575">
        <v>759</v>
      </c>
      <c r="P34" s="575">
        <v>29</v>
      </c>
      <c r="Q34" s="2409">
        <v>223</v>
      </c>
    </row>
    <row r="35" spans="1:17" s="576" customFormat="1" x14ac:dyDescent="0.25">
      <c r="A35" s="578" t="s">
        <v>76</v>
      </c>
      <c r="B35" s="574" t="s">
        <v>77</v>
      </c>
      <c r="C35" s="573" t="s">
        <v>267</v>
      </c>
      <c r="D35" s="2410">
        <v>351</v>
      </c>
      <c r="E35" s="2386">
        <v>253</v>
      </c>
      <c r="F35" s="891">
        <v>60</v>
      </c>
      <c r="G35" s="891">
        <v>38</v>
      </c>
      <c r="H35" s="891">
        <v>0</v>
      </c>
      <c r="I35" s="891">
        <v>0</v>
      </c>
      <c r="J35" s="2386">
        <v>204</v>
      </c>
      <c r="K35" s="891">
        <v>147</v>
      </c>
      <c r="L35" s="2387"/>
      <c r="M35" s="575">
        <v>205</v>
      </c>
      <c r="N35" s="575">
        <v>137</v>
      </c>
      <c r="O35" s="575">
        <v>9</v>
      </c>
      <c r="P35" s="575">
        <v>0</v>
      </c>
      <c r="Q35" s="2409">
        <v>5</v>
      </c>
    </row>
    <row r="36" spans="1:17" s="576" customFormat="1" x14ac:dyDescent="0.25">
      <c r="A36" s="578" t="s">
        <v>78</v>
      </c>
      <c r="B36" s="574" t="s">
        <v>79</v>
      </c>
      <c r="C36" s="573" t="s">
        <v>268</v>
      </c>
      <c r="D36" s="2410">
        <v>179</v>
      </c>
      <c r="E36" s="2386">
        <v>124</v>
      </c>
      <c r="F36" s="891">
        <v>38</v>
      </c>
      <c r="G36" s="891">
        <v>17</v>
      </c>
      <c r="H36" s="891">
        <v>0</v>
      </c>
      <c r="I36" s="891">
        <v>0</v>
      </c>
      <c r="J36" s="2386">
        <v>100</v>
      </c>
      <c r="K36" s="891">
        <v>79</v>
      </c>
      <c r="L36" s="2387"/>
      <c r="M36" s="575">
        <v>169</v>
      </c>
      <c r="N36" s="575">
        <v>9</v>
      </c>
      <c r="O36" s="575">
        <v>1</v>
      </c>
      <c r="P36" s="575">
        <v>0</v>
      </c>
      <c r="Q36" s="2409">
        <v>4</v>
      </c>
    </row>
    <row r="37" spans="1:17" s="576" customFormat="1" x14ac:dyDescent="0.25">
      <c r="A37" s="578" t="s">
        <v>80</v>
      </c>
      <c r="B37" s="574" t="s">
        <v>81</v>
      </c>
      <c r="C37" s="573" t="s">
        <v>266</v>
      </c>
      <c r="D37" s="2410">
        <v>132</v>
      </c>
      <c r="E37" s="2386">
        <v>100</v>
      </c>
      <c r="F37" s="891">
        <v>16</v>
      </c>
      <c r="G37" s="891">
        <v>16</v>
      </c>
      <c r="H37" s="891">
        <v>0</v>
      </c>
      <c r="I37" s="891">
        <v>0</v>
      </c>
      <c r="J37" s="2386">
        <v>77</v>
      </c>
      <c r="K37" s="891">
        <v>55</v>
      </c>
      <c r="L37" s="2387"/>
      <c r="M37" s="575">
        <v>75</v>
      </c>
      <c r="N37" s="575">
        <v>57</v>
      </c>
      <c r="O37" s="575">
        <v>0</v>
      </c>
      <c r="P37" s="575">
        <v>0</v>
      </c>
      <c r="Q37" s="2409">
        <v>5</v>
      </c>
    </row>
    <row r="38" spans="1:17" s="576" customFormat="1" x14ac:dyDescent="0.25">
      <c r="A38" s="578" t="s">
        <v>84</v>
      </c>
      <c r="B38" s="574" t="s">
        <v>85</v>
      </c>
      <c r="C38" s="573" t="s">
        <v>265</v>
      </c>
      <c r="D38" s="2410">
        <v>547</v>
      </c>
      <c r="E38" s="2386">
        <v>387</v>
      </c>
      <c r="F38" s="891">
        <v>119</v>
      </c>
      <c r="G38" s="891">
        <v>41</v>
      </c>
      <c r="H38" s="891">
        <v>0</v>
      </c>
      <c r="I38" s="891">
        <v>0</v>
      </c>
      <c r="J38" s="2386">
        <v>316</v>
      </c>
      <c r="K38" s="891">
        <v>231</v>
      </c>
      <c r="L38" s="2387"/>
      <c r="M38" s="575">
        <v>447</v>
      </c>
      <c r="N38" s="575">
        <v>94</v>
      </c>
      <c r="O38" s="575">
        <v>6</v>
      </c>
      <c r="P38" s="575">
        <v>0</v>
      </c>
      <c r="Q38" s="2409">
        <v>22</v>
      </c>
    </row>
    <row r="39" spans="1:17" s="576" customFormat="1" x14ac:dyDescent="0.25">
      <c r="A39" s="578" t="s">
        <v>86</v>
      </c>
      <c r="B39" s="574" t="s">
        <v>87</v>
      </c>
      <c r="C39" s="573" t="s">
        <v>267</v>
      </c>
      <c r="D39" s="2410">
        <v>368</v>
      </c>
      <c r="E39" s="2386">
        <v>256</v>
      </c>
      <c r="F39" s="891">
        <v>79</v>
      </c>
      <c r="G39" s="891">
        <v>33</v>
      </c>
      <c r="H39" s="891">
        <v>0</v>
      </c>
      <c r="I39" s="891">
        <v>0</v>
      </c>
      <c r="J39" s="2386">
        <v>225</v>
      </c>
      <c r="K39" s="891">
        <v>143</v>
      </c>
      <c r="L39" s="2387"/>
      <c r="M39" s="575">
        <v>279</v>
      </c>
      <c r="N39" s="575">
        <v>84</v>
      </c>
      <c r="O39" s="575">
        <v>5</v>
      </c>
      <c r="P39" s="575">
        <v>0</v>
      </c>
      <c r="Q39" s="2409">
        <v>22</v>
      </c>
    </row>
    <row r="40" spans="1:17" s="576" customFormat="1" x14ac:dyDescent="0.25">
      <c r="A40" s="578" t="s">
        <v>92</v>
      </c>
      <c r="B40" s="574" t="s">
        <v>93</v>
      </c>
      <c r="C40" s="573" t="s">
        <v>268</v>
      </c>
      <c r="D40" s="2410">
        <v>173</v>
      </c>
      <c r="E40" s="2386">
        <v>129</v>
      </c>
      <c r="F40" s="891">
        <v>29</v>
      </c>
      <c r="G40" s="891">
        <v>15</v>
      </c>
      <c r="H40" s="891">
        <v>0</v>
      </c>
      <c r="I40" s="891">
        <v>0</v>
      </c>
      <c r="J40" s="2386">
        <v>93</v>
      </c>
      <c r="K40" s="891">
        <v>80</v>
      </c>
      <c r="L40" s="2387"/>
      <c r="M40" s="575">
        <v>170</v>
      </c>
      <c r="N40" s="575">
        <v>2</v>
      </c>
      <c r="O40" s="575">
        <v>1</v>
      </c>
      <c r="P40" s="575">
        <v>0</v>
      </c>
      <c r="Q40" s="2409">
        <v>6</v>
      </c>
    </row>
    <row r="41" spans="1:17" s="576" customFormat="1" x14ac:dyDescent="0.25">
      <c r="A41" s="578" t="s">
        <v>94</v>
      </c>
      <c r="B41" s="574" t="s">
        <v>95</v>
      </c>
      <c r="C41" s="573" t="s">
        <v>264</v>
      </c>
      <c r="D41" s="2410">
        <v>328</v>
      </c>
      <c r="E41" s="2386">
        <v>221</v>
      </c>
      <c r="F41" s="891">
        <v>64</v>
      </c>
      <c r="G41" s="891">
        <v>43</v>
      </c>
      <c r="H41" s="891">
        <v>0</v>
      </c>
      <c r="I41" s="891">
        <v>0</v>
      </c>
      <c r="J41" s="2386">
        <v>192</v>
      </c>
      <c r="K41" s="891">
        <v>136</v>
      </c>
      <c r="L41" s="2387"/>
      <c r="M41" s="575">
        <v>264</v>
      </c>
      <c r="N41" s="575">
        <v>59</v>
      </c>
      <c r="O41" s="575">
        <v>5</v>
      </c>
      <c r="P41" s="575">
        <v>0</v>
      </c>
      <c r="Q41" s="2409">
        <v>9</v>
      </c>
    </row>
    <row r="42" spans="1:17" s="576" customFormat="1" x14ac:dyDescent="0.25">
      <c r="A42" s="578" t="s">
        <v>96</v>
      </c>
      <c r="B42" s="574" t="s">
        <v>97</v>
      </c>
      <c r="C42" s="573" t="s">
        <v>266</v>
      </c>
      <c r="D42" s="2410">
        <v>86</v>
      </c>
      <c r="E42" s="2386">
        <v>51</v>
      </c>
      <c r="F42" s="891">
        <v>14</v>
      </c>
      <c r="G42" s="891">
        <v>21</v>
      </c>
      <c r="H42" s="891">
        <v>0</v>
      </c>
      <c r="I42" s="891">
        <v>0</v>
      </c>
      <c r="J42" s="2386">
        <v>55</v>
      </c>
      <c r="K42" s="891">
        <v>31</v>
      </c>
      <c r="L42" s="2387"/>
      <c r="M42" s="575">
        <v>48</v>
      </c>
      <c r="N42" s="575">
        <v>34</v>
      </c>
      <c r="O42" s="575">
        <v>4</v>
      </c>
      <c r="P42" s="575">
        <v>0</v>
      </c>
      <c r="Q42" s="2409">
        <v>3</v>
      </c>
    </row>
    <row r="43" spans="1:17" s="576" customFormat="1" x14ac:dyDescent="0.25">
      <c r="A43" s="578" t="s">
        <v>98</v>
      </c>
      <c r="B43" s="574" t="s">
        <v>99</v>
      </c>
      <c r="C43" s="573" t="s">
        <v>268</v>
      </c>
      <c r="D43" s="2410">
        <v>91</v>
      </c>
      <c r="E43" s="2386">
        <v>71</v>
      </c>
      <c r="F43" s="891">
        <v>15</v>
      </c>
      <c r="G43" s="891">
        <v>4</v>
      </c>
      <c r="H43" s="891">
        <v>1</v>
      </c>
      <c r="I43" s="891">
        <v>0</v>
      </c>
      <c r="J43" s="2386">
        <v>58</v>
      </c>
      <c r="K43" s="891">
        <v>33</v>
      </c>
      <c r="L43" s="2387"/>
      <c r="M43" s="575">
        <v>83</v>
      </c>
      <c r="N43" s="575">
        <v>8</v>
      </c>
      <c r="O43" s="575">
        <v>0</v>
      </c>
      <c r="P43" s="575">
        <v>0</v>
      </c>
      <c r="Q43" s="2409">
        <v>4</v>
      </c>
    </row>
    <row r="44" spans="1:17" s="576" customFormat="1" x14ac:dyDescent="0.25">
      <c r="A44" s="578" t="s">
        <v>100</v>
      </c>
      <c r="B44" s="574" t="s">
        <v>101</v>
      </c>
      <c r="C44" s="573" t="s">
        <v>267</v>
      </c>
      <c r="D44" s="2410">
        <v>227</v>
      </c>
      <c r="E44" s="2386">
        <v>161</v>
      </c>
      <c r="F44" s="891">
        <v>43</v>
      </c>
      <c r="G44" s="891">
        <v>23</v>
      </c>
      <c r="H44" s="891">
        <v>0</v>
      </c>
      <c r="I44" s="891">
        <v>0</v>
      </c>
      <c r="J44" s="2386">
        <v>125</v>
      </c>
      <c r="K44" s="891">
        <v>102</v>
      </c>
      <c r="L44" s="2387"/>
      <c r="M44" s="575">
        <v>150</v>
      </c>
      <c r="N44" s="575">
        <v>75</v>
      </c>
      <c r="O44" s="575">
        <v>2</v>
      </c>
      <c r="P44" s="575">
        <v>0</v>
      </c>
      <c r="Q44" s="2409">
        <v>5</v>
      </c>
    </row>
    <row r="45" spans="1:17" s="576" customFormat="1" x14ac:dyDescent="0.25">
      <c r="A45" s="578" t="s">
        <v>102</v>
      </c>
      <c r="B45" s="574" t="s">
        <v>282</v>
      </c>
      <c r="C45" s="573" t="s">
        <v>264</v>
      </c>
      <c r="D45" s="2410">
        <v>432</v>
      </c>
      <c r="E45" s="2386">
        <v>306</v>
      </c>
      <c r="F45" s="891">
        <v>99</v>
      </c>
      <c r="G45" s="891">
        <v>27</v>
      </c>
      <c r="H45" s="891">
        <v>0</v>
      </c>
      <c r="I45" s="891">
        <v>0</v>
      </c>
      <c r="J45" s="2386">
        <v>251</v>
      </c>
      <c r="K45" s="891">
        <v>181</v>
      </c>
      <c r="L45" s="2387"/>
      <c r="M45" s="575">
        <v>25</v>
      </c>
      <c r="N45" s="575">
        <v>400</v>
      </c>
      <c r="O45" s="575">
        <v>7</v>
      </c>
      <c r="P45" s="575">
        <v>0</v>
      </c>
      <c r="Q45" s="2409">
        <v>5</v>
      </c>
    </row>
    <row r="46" spans="1:17" s="576" customFormat="1" x14ac:dyDescent="0.25">
      <c r="A46" s="578" t="s">
        <v>104</v>
      </c>
      <c r="B46" s="574" t="s">
        <v>105</v>
      </c>
      <c r="C46" s="573" t="s">
        <v>265</v>
      </c>
      <c r="D46" s="2410">
        <v>472</v>
      </c>
      <c r="E46" s="2386">
        <v>335</v>
      </c>
      <c r="F46" s="891">
        <v>109</v>
      </c>
      <c r="G46" s="891">
        <v>27</v>
      </c>
      <c r="H46" s="891">
        <v>1</v>
      </c>
      <c r="I46" s="891">
        <v>0</v>
      </c>
      <c r="J46" s="2386">
        <v>293</v>
      </c>
      <c r="K46" s="891">
        <v>179</v>
      </c>
      <c r="L46" s="2387"/>
      <c r="M46" s="575">
        <v>130</v>
      </c>
      <c r="N46" s="575">
        <v>340</v>
      </c>
      <c r="O46" s="575">
        <v>0</v>
      </c>
      <c r="P46" s="575">
        <v>2</v>
      </c>
      <c r="Q46" s="2409">
        <v>8</v>
      </c>
    </row>
    <row r="47" spans="1:17" s="576" customFormat="1" x14ac:dyDescent="0.25">
      <c r="A47" s="578" t="s">
        <v>108</v>
      </c>
      <c r="B47" s="574" t="s">
        <v>109</v>
      </c>
      <c r="C47" s="573" t="s">
        <v>266</v>
      </c>
      <c r="D47" s="2410">
        <v>459</v>
      </c>
      <c r="E47" s="2386">
        <v>303</v>
      </c>
      <c r="F47" s="891">
        <v>97</v>
      </c>
      <c r="G47" s="891">
        <v>58</v>
      </c>
      <c r="H47" s="891">
        <v>1</v>
      </c>
      <c r="I47" s="891">
        <v>0</v>
      </c>
      <c r="J47" s="2386">
        <v>261</v>
      </c>
      <c r="K47" s="891">
        <v>198</v>
      </c>
      <c r="L47" s="2387"/>
      <c r="M47" s="575">
        <v>262</v>
      </c>
      <c r="N47" s="575">
        <v>178</v>
      </c>
      <c r="O47" s="575">
        <v>15</v>
      </c>
      <c r="P47" s="575">
        <v>4</v>
      </c>
      <c r="Q47" s="2409">
        <v>3</v>
      </c>
    </row>
    <row r="48" spans="1:17" s="576" customFormat="1" x14ac:dyDescent="0.25">
      <c r="A48" s="578" t="s">
        <v>110</v>
      </c>
      <c r="B48" s="574" t="s">
        <v>111</v>
      </c>
      <c r="C48" s="573" t="s">
        <v>266</v>
      </c>
      <c r="D48" s="2410">
        <v>4267</v>
      </c>
      <c r="E48" s="2386">
        <v>2809</v>
      </c>
      <c r="F48" s="891">
        <v>977</v>
      </c>
      <c r="G48" s="891">
        <v>470</v>
      </c>
      <c r="H48" s="891">
        <v>11</v>
      </c>
      <c r="I48" s="891">
        <v>0</v>
      </c>
      <c r="J48" s="2386">
        <v>2620</v>
      </c>
      <c r="K48" s="891">
        <v>1647</v>
      </c>
      <c r="L48" s="2387"/>
      <c r="M48" s="575">
        <v>891</v>
      </c>
      <c r="N48" s="575">
        <v>2752</v>
      </c>
      <c r="O48" s="575">
        <v>615</v>
      </c>
      <c r="P48" s="575">
        <v>9</v>
      </c>
      <c r="Q48" s="2409">
        <v>106</v>
      </c>
    </row>
    <row r="49" spans="1:17" s="576" customFormat="1" x14ac:dyDescent="0.25">
      <c r="A49" s="578" t="s">
        <v>112</v>
      </c>
      <c r="B49" s="574" t="s">
        <v>300</v>
      </c>
      <c r="C49" s="573" t="s">
        <v>265</v>
      </c>
      <c r="D49" s="2410">
        <v>1277</v>
      </c>
      <c r="E49" s="2386">
        <v>927</v>
      </c>
      <c r="F49" s="891">
        <v>252</v>
      </c>
      <c r="G49" s="891">
        <v>97</v>
      </c>
      <c r="H49" s="891">
        <v>1</v>
      </c>
      <c r="I49" s="891">
        <v>0</v>
      </c>
      <c r="J49" s="2386">
        <v>747</v>
      </c>
      <c r="K49" s="891">
        <v>530</v>
      </c>
      <c r="L49" s="2387"/>
      <c r="M49" s="575">
        <v>660</v>
      </c>
      <c r="N49" s="575">
        <v>595</v>
      </c>
      <c r="O49" s="575">
        <v>15</v>
      </c>
      <c r="P49" s="575">
        <v>7</v>
      </c>
      <c r="Q49" s="2409">
        <v>79</v>
      </c>
    </row>
    <row r="50" spans="1:17" s="576" customFormat="1" x14ac:dyDescent="0.25">
      <c r="A50" s="578" t="s">
        <v>114</v>
      </c>
      <c r="B50" s="574" t="s">
        <v>115</v>
      </c>
      <c r="C50" s="573" t="s">
        <v>265</v>
      </c>
      <c r="D50" s="2410">
        <v>8</v>
      </c>
      <c r="E50" s="2386">
        <v>6</v>
      </c>
      <c r="F50" s="891">
        <v>1</v>
      </c>
      <c r="G50" s="891">
        <v>1</v>
      </c>
      <c r="H50" s="891">
        <v>0</v>
      </c>
      <c r="I50" s="891">
        <v>0</v>
      </c>
      <c r="J50" s="2386">
        <v>5</v>
      </c>
      <c r="K50" s="891">
        <v>3</v>
      </c>
      <c r="L50" s="2387"/>
      <c r="M50" s="575">
        <v>8</v>
      </c>
      <c r="N50" s="575">
        <v>0</v>
      </c>
      <c r="O50" s="575">
        <v>0</v>
      </c>
      <c r="P50" s="575">
        <v>0</v>
      </c>
      <c r="Q50" s="2409"/>
    </row>
    <row r="51" spans="1:17" s="576" customFormat="1" x14ac:dyDescent="0.25">
      <c r="A51" s="578" t="s">
        <v>118</v>
      </c>
      <c r="B51" s="574" t="s">
        <v>270</v>
      </c>
      <c r="C51" s="573" t="s">
        <v>264</v>
      </c>
      <c r="D51" s="2410">
        <v>331</v>
      </c>
      <c r="E51" s="2386">
        <v>222</v>
      </c>
      <c r="F51" s="891">
        <v>74</v>
      </c>
      <c r="G51" s="891">
        <v>35</v>
      </c>
      <c r="H51" s="891">
        <v>0</v>
      </c>
      <c r="I51" s="891">
        <v>0</v>
      </c>
      <c r="J51" s="2386">
        <v>199</v>
      </c>
      <c r="K51" s="891">
        <v>132</v>
      </c>
      <c r="L51" s="2387"/>
      <c r="M51" s="575">
        <v>150</v>
      </c>
      <c r="N51" s="575">
        <v>174</v>
      </c>
      <c r="O51" s="575">
        <v>7</v>
      </c>
      <c r="P51" s="575">
        <v>0</v>
      </c>
      <c r="Q51" s="2409">
        <v>4</v>
      </c>
    </row>
    <row r="52" spans="1:17" s="576" customFormat="1" x14ac:dyDescent="0.25">
      <c r="A52" s="578" t="s">
        <v>120</v>
      </c>
      <c r="B52" s="574" t="s">
        <v>121</v>
      </c>
      <c r="C52" s="573" t="s">
        <v>264</v>
      </c>
      <c r="D52" s="2410">
        <v>544</v>
      </c>
      <c r="E52" s="2386">
        <v>374</v>
      </c>
      <c r="F52" s="891">
        <v>121</v>
      </c>
      <c r="G52" s="891">
        <v>49</v>
      </c>
      <c r="H52" s="891">
        <v>0</v>
      </c>
      <c r="I52" s="891">
        <v>0</v>
      </c>
      <c r="J52" s="2386">
        <v>323</v>
      </c>
      <c r="K52" s="891">
        <v>221</v>
      </c>
      <c r="L52" s="2387"/>
      <c r="M52" s="575">
        <v>238</v>
      </c>
      <c r="N52" s="575">
        <v>290</v>
      </c>
      <c r="O52" s="575">
        <v>13</v>
      </c>
      <c r="P52" s="575">
        <v>3</v>
      </c>
      <c r="Q52" s="2409">
        <v>49</v>
      </c>
    </row>
    <row r="53" spans="1:17" s="576" customFormat="1" x14ac:dyDescent="0.25">
      <c r="A53" s="578" t="s">
        <v>122</v>
      </c>
      <c r="B53" s="574" t="s">
        <v>287</v>
      </c>
      <c r="C53" s="573" t="s">
        <v>266</v>
      </c>
      <c r="D53" s="2410">
        <v>130</v>
      </c>
      <c r="E53" s="2386">
        <v>83</v>
      </c>
      <c r="F53" s="891">
        <v>27</v>
      </c>
      <c r="G53" s="891">
        <v>20</v>
      </c>
      <c r="H53" s="891">
        <v>0</v>
      </c>
      <c r="I53" s="891">
        <v>0</v>
      </c>
      <c r="J53" s="2386">
        <v>86</v>
      </c>
      <c r="K53" s="891">
        <v>44</v>
      </c>
      <c r="L53" s="2387"/>
      <c r="M53" s="575">
        <v>68</v>
      </c>
      <c r="N53" s="575">
        <v>62</v>
      </c>
      <c r="O53" s="575">
        <v>0</v>
      </c>
      <c r="P53" s="575">
        <v>0</v>
      </c>
      <c r="Q53" s="2409">
        <v>2</v>
      </c>
    </row>
    <row r="54" spans="1:17" s="576" customFormat="1" x14ac:dyDescent="0.25">
      <c r="A54" s="578" t="s">
        <v>124</v>
      </c>
      <c r="B54" s="574" t="s">
        <v>125</v>
      </c>
      <c r="C54" s="573" t="s">
        <v>267</v>
      </c>
      <c r="D54" s="2410">
        <v>224</v>
      </c>
      <c r="E54" s="2386">
        <v>171</v>
      </c>
      <c r="F54" s="891">
        <v>34</v>
      </c>
      <c r="G54" s="891">
        <v>19</v>
      </c>
      <c r="H54" s="891">
        <v>0</v>
      </c>
      <c r="I54" s="891">
        <v>0</v>
      </c>
      <c r="J54" s="2386">
        <v>141</v>
      </c>
      <c r="K54" s="891">
        <v>83</v>
      </c>
      <c r="L54" s="2387"/>
      <c r="M54" s="575">
        <v>119</v>
      </c>
      <c r="N54" s="575">
        <v>103</v>
      </c>
      <c r="O54" s="575">
        <v>2</v>
      </c>
      <c r="P54" s="575">
        <v>0</v>
      </c>
      <c r="Q54" s="2409">
        <v>11</v>
      </c>
    </row>
    <row r="55" spans="1:17" s="576" customFormat="1" x14ac:dyDescent="0.25">
      <c r="A55" s="578" t="s">
        <v>126</v>
      </c>
      <c r="B55" s="574" t="s">
        <v>127</v>
      </c>
      <c r="C55" s="573" t="s">
        <v>266</v>
      </c>
      <c r="D55" s="2410">
        <v>107</v>
      </c>
      <c r="E55" s="2386">
        <v>76</v>
      </c>
      <c r="F55" s="891">
        <v>22</v>
      </c>
      <c r="G55" s="891">
        <v>9</v>
      </c>
      <c r="H55" s="891">
        <v>0</v>
      </c>
      <c r="I55" s="891">
        <v>0</v>
      </c>
      <c r="J55" s="2386">
        <v>65</v>
      </c>
      <c r="K55" s="891">
        <v>42</v>
      </c>
      <c r="L55" s="2387"/>
      <c r="M55" s="575">
        <v>46</v>
      </c>
      <c r="N55" s="575">
        <v>59</v>
      </c>
      <c r="O55" s="575">
        <v>2</v>
      </c>
      <c r="P55" s="575">
        <v>0</v>
      </c>
      <c r="Q55" s="2409"/>
    </row>
    <row r="56" spans="1:17" s="576" customFormat="1" x14ac:dyDescent="0.25">
      <c r="A56" s="578" t="s">
        <v>128</v>
      </c>
      <c r="B56" s="574" t="s">
        <v>129</v>
      </c>
      <c r="C56" s="573" t="s">
        <v>266</v>
      </c>
      <c r="D56" s="2410">
        <v>139</v>
      </c>
      <c r="E56" s="2386">
        <v>95</v>
      </c>
      <c r="F56" s="891">
        <v>32</v>
      </c>
      <c r="G56" s="891">
        <v>12</v>
      </c>
      <c r="H56" s="891">
        <v>0</v>
      </c>
      <c r="I56" s="891">
        <v>0</v>
      </c>
      <c r="J56" s="2386">
        <v>90</v>
      </c>
      <c r="K56" s="891">
        <v>49</v>
      </c>
      <c r="L56" s="2387"/>
      <c r="M56" s="575">
        <v>37</v>
      </c>
      <c r="N56" s="575">
        <v>102</v>
      </c>
      <c r="O56" s="575">
        <v>0</v>
      </c>
      <c r="P56" s="575">
        <v>0</v>
      </c>
      <c r="Q56" s="2409"/>
    </row>
    <row r="57" spans="1:17" s="576" customFormat="1" x14ac:dyDescent="0.25">
      <c r="A57" s="578" t="s">
        <v>130</v>
      </c>
      <c r="B57" s="574" t="s">
        <v>131</v>
      </c>
      <c r="C57" s="573" t="s">
        <v>268</v>
      </c>
      <c r="D57" s="2410">
        <v>804</v>
      </c>
      <c r="E57" s="2386">
        <v>535</v>
      </c>
      <c r="F57" s="891">
        <v>174</v>
      </c>
      <c r="G57" s="891">
        <v>95</v>
      </c>
      <c r="H57" s="891">
        <v>0</v>
      </c>
      <c r="I57" s="891">
        <v>0</v>
      </c>
      <c r="J57" s="2386">
        <v>451</v>
      </c>
      <c r="K57" s="891">
        <v>353</v>
      </c>
      <c r="L57" s="2387"/>
      <c r="M57" s="575">
        <v>792</v>
      </c>
      <c r="N57" s="575">
        <v>10</v>
      </c>
      <c r="O57" s="575">
        <v>2</v>
      </c>
      <c r="P57" s="575">
        <v>0</v>
      </c>
      <c r="Q57" s="2409">
        <v>2</v>
      </c>
    </row>
    <row r="58" spans="1:17" s="576" customFormat="1" x14ac:dyDescent="0.25">
      <c r="A58" s="578" t="s">
        <v>132</v>
      </c>
      <c r="B58" s="574" t="s">
        <v>133</v>
      </c>
      <c r="C58" s="573" t="s">
        <v>267</v>
      </c>
      <c r="D58" s="2410">
        <v>1041</v>
      </c>
      <c r="E58" s="2386">
        <v>657</v>
      </c>
      <c r="F58" s="891">
        <v>212</v>
      </c>
      <c r="G58" s="891">
        <v>172</v>
      </c>
      <c r="H58" s="891">
        <v>0</v>
      </c>
      <c r="I58" s="891">
        <v>0</v>
      </c>
      <c r="J58" s="2386">
        <v>585</v>
      </c>
      <c r="K58" s="891">
        <v>456</v>
      </c>
      <c r="L58" s="2387"/>
      <c r="M58" s="575">
        <v>590</v>
      </c>
      <c r="N58" s="575">
        <v>269</v>
      </c>
      <c r="O58" s="575">
        <v>171</v>
      </c>
      <c r="P58" s="575">
        <v>11</v>
      </c>
      <c r="Q58" s="2409">
        <v>61</v>
      </c>
    </row>
    <row r="59" spans="1:17" s="576" customFormat="1" x14ac:dyDescent="0.25">
      <c r="A59" s="578" t="s">
        <v>134</v>
      </c>
      <c r="B59" s="574" t="s">
        <v>135</v>
      </c>
      <c r="C59" s="573" t="s">
        <v>267</v>
      </c>
      <c r="D59" s="2410">
        <v>299</v>
      </c>
      <c r="E59" s="2386">
        <v>217</v>
      </c>
      <c r="F59" s="891">
        <v>52</v>
      </c>
      <c r="G59" s="891">
        <v>27</v>
      </c>
      <c r="H59" s="891">
        <v>3</v>
      </c>
      <c r="I59" s="891">
        <v>0</v>
      </c>
      <c r="J59" s="2386">
        <v>180</v>
      </c>
      <c r="K59" s="891">
        <v>119</v>
      </c>
      <c r="L59" s="2387"/>
      <c r="M59" s="575">
        <v>184</v>
      </c>
      <c r="N59" s="575">
        <v>115</v>
      </c>
      <c r="O59" s="575">
        <v>0</v>
      </c>
      <c r="P59" s="575">
        <v>0</v>
      </c>
      <c r="Q59" s="2409">
        <v>9</v>
      </c>
    </row>
    <row r="60" spans="1:17" s="576" customFormat="1" x14ac:dyDescent="0.25">
      <c r="A60" s="578" t="s">
        <v>136</v>
      </c>
      <c r="B60" s="574" t="s">
        <v>137</v>
      </c>
      <c r="C60" s="573" t="s">
        <v>266</v>
      </c>
      <c r="D60" s="2410">
        <v>154</v>
      </c>
      <c r="E60" s="2386">
        <v>107</v>
      </c>
      <c r="F60" s="891">
        <v>25</v>
      </c>
      <c r="G60" s="891">
        <v>22</v>
      </c>
      <c r="H60" s="891">
        <v>0</v>
      </c>
      <c r="I60" s="891">
        <v>0</v>
      </c>
      <c r="J60" s="2386">
        <v>96</v>
      </c>
      <c r="K60" s="891">
        <v>58</v>
      </c>
      <c r="L60" s="2387"/>
      <c r="M60" s="575">
        <v>62</v>
      </c>
      <c r="N60" s="575">
        <v>89</v>
      </c>
      <c r="O60" s="575">
        <v>3</v>
      </c>
      <c r="P60" s="575">
        <v>0</v>
      </c>
      <c r="Q60" s="2409">
        <v>5</v>
      </c>
    </row>
    <row r="61" spans="1:17" s="576" customFormat="1" x14ac:dyDescent="0.25">
      <c r="A61" s="578" t="s">
        <v>140</v>
      </c>
      <c r="B61" s="574" t="s">
        <v>141</v>
      </c>
      <c r="C61" s="573" t="s">
        <v>267</v>
      </c>
      <c r="D61" s="2410">
        <v>86</v>
      </c>
      <c r="E61" s="2386">
        <v>60</v>
      </c>
      <c r="F61" s="891">
        <v>19</v>
      </c>
      <c r="G61" s="891">
        <v>7</v>
      </c>
      <c r="H61" s="891">
        <v>0</v>
      </c>
      <c r="I61" s="891">
        <v>0</v>
      </c>
      <c r="J61" s="2386">
        <v>43</v>
      </c>
      <c r="K61" s="891">
        <v>43</v>
      </c>
      <c r="L61" s="2387"/>
      <c r="M61" s="575">
        <v>67</v>
      </c>
      <c r="N61" s="575">
        <v>19</v>
      </c>
      <c r="O61" s="575">
        <v>0</v>
      </c>
      <c r="P61" s="575">
        <v>0</v>
      </c>
      <c r="Q61" s="2409">
        <v>1</v>
      </c>
    </row>
    <row r="62" spans="1:17" s="576" customFormat="1" x14ac:dyDescent="0.25">
      <c r="A62" s="578" t="s">
        <v>146</v>
      </c>
      <c r="B62" s="574" t="s">
        <v>147</v>
      </c>
      <c r="C62" s="573" t="s">
        <v>264</v>
      </c>
      <c r="D62" s="2410">
        <v>86</v>
      </c>
      <c r="E62" s="2386">
        <v>59</v>
      </c>
      <c r="F62" s="891">
        <v>17</v>
      </c>
      <c r="G62" s="891">
        <v>10</v>
      </c>
      <c r="H62" s="891">
        <v>0</v>
      </c>
      <c r="I62" s="891">
        <v>0</v>
      </c>
      <c r="J62" s="2386">
        <v>52</v>
      </c>
      <c r="K62" s="891">
        <v>34</v>
      </c>
      <c r="L62" s="2387"/>
      <c r="M62" s="575">
        <v>66</v>
      </c>
      <c r="N62" s="575">
        <v>20</v>
      </c>
      <c r="O62" s="575">
        <v>0</v>
      </c>
      <c r="P62" s="575">
        <v>0</v>
      </c>
      <c r="Q62" s="2409">
        <v>2</v>
      </c>
    </row>
    <row r="63" spans="1:17" s="576" customFormat="1" x14ac:dyDescent="0.25">
      <c r="A63" s="578" t="s">
        <v>148</v>
      </c>
      <c r="B63" s="574" t="s">
        <v>149</v>
      </c>
      <c r="C63" s="573" t="s">
        <v>265</v>
      </c>
      <c r="D63" s="2410">
        <v>401</v>
      </c>
      <c r="E63" s="2386">
        <v>309</v>
      </c>
      <c r="F63" s="891">
        <v>66</v>
      </c>
      <c r="G63" s="891">
        <v>26</v>
      </c>
      <c r="H63" s="891">
        <v>0</v>
      </c>
      <c r="I63" s="891">
        <v>0</v>
      </c>
      <c r="J63" s="2386">
        <v>232</v>
      </c>
      <c r="K63" s="891">
        <v>169</v>
      </c>
      <c r="L63" s="2387"/>
      <c r="M63" s="575">
        <v>120</v>
      </c>
      <c r="N63" s="575">
        <v>279</v>
      </c>
      <c r="O63" s="575">
        <v>2</v>
      </c>
      <c r="P63" s="575">
        <v>0</v>
      </c>
      <c r="Q63" s="2409">
        <v>6</v>
      </c>
    </row>
    <row r="64" spans="1:17" s="576" customFormat="1" x14ac:dyDescent="0.25">
      <c r="A64" s="578" t="s">
        <v>150</v>
      </c>
      <c r="B64" s="574" t="s">
        <v>151</v>
      </c>
      <c r="C64" s="573" t="s">
        <v>266</v>
      </c>
      <c r="D64" s="2410">
        <v>211</v>
      </c>
      <c r="E64" s="2386">
        <v>146</v>
      </c>
      <c r="F64" s="891">
        <v>36</v>
      </c>
      <c r="G64" s="891">
        <v>29</v>
      </c>
      <c r="H64" s="891">
        <v>0</v>
      </c>
      <c r="I64" s="891">
        <v>0</v>
      </c>
      <c r="J64" s="2386">
        <v>125</v>
      </c>
      <c r="K64" s="891">
        <v>86</v>
      </c>
      <c r="L64" s="2387"/>
      <c r="M64" s="575">
        <v>136</v>
      </c>
      <c r="N64" s="575">
        <v>75</v>
      </c>
      <c r="O64" s="575">
        <v>0</v>
      </c>
      <c r="P64" s="575">
        <v>0</v>
      </c>
      <c r="Q64" s="2409">
        <v>1</v>
      </c>
    </row>
    <row r="65" spans="1:17" s="576" customFormat="1" x14ac:dyDescent="0.25">
      <c r="A65" s="578" t="s">
        <v>152</v>
      </c>
      <c r="B65" s="574" t="s">
        <v>153</v>
      </c>
      <c r="C65" s="573" t="s">
        <v>268</v>
      </c>
      <c r="D65" s="2410">
        <v>889</v>
      </c>
      <c r="E65" s="2386">
        <v>615</v>
      </c>
      <c r="F65" s="891">
        <v>190</v>
      </c>
      <c r="G65" s="891">
        <v>83</v>
      </c>
      <c r="H65" s="891">
        <v>1</v>
      </c>
      <c r="I65" s="891">
        <v>0</v>
      </c>
      <c r="J65" s="2386">
        <v>512</v>
      </c>
      <c r="K65" s="891">
        <v>377</v>
      </c>
      <c r="L65" s="2387"/>
      <c r="M65" s="575">
        <v>740</v>
      </c>
      <c r="N65" s="575">
        <v>131</v>
      </c>
      <c r="O65" s="575">
        <v>18</v>
      </c>
      <c r="P65" s="575">
        <v>0</v>
      </c>
      <c r="Q65" s="2409">
        <v>34</v>
      </c>
    </row>
    <row r="66" spans="1:17" s="576" customFormat="1" x14ac:dyDescent="0.25">
      <c r="A66" s="578" t="s">
        <v>154</v>
      </c>
      <c r="B66" s="574" t="s">
        <v>155</v>
      </c>
      <c r="C66" s="573" t="s">
        <v>265</v>
      </c>
      <c r="D66" s="2410">
        <v>155</v>
      </c>
      <c r="E66" s="2386">
        <v>112</v>
      </c>
      <c r="F66" s="891">
        <v>29</v>
      </c>
      <c r="G66" s="891">
        <v>12</v>
      </c>
      <c r="H66" s="891">
        <v>2</v>
      </c>
      <c r="I66" s="891">
        <v>0</v>
      </c>
      <c r="J66" s="2386">
        <v>94</v>
      </c>
      <c r="K66" s="891">
        <v>61</v>
      </c>
      <c r="L66" s="2387"/>
      <c r="M66" s="575">
        <v>104</v>
      </c>
      <c r="N66" s="575">
        <v>49</v>
      </c>
      <c r="O66" s="575">
        <v>2</v>
      </c>
      <c r="P66" s="575">
        <v>0</v>
      </c>
      <c r="Q66" s="2409">
        <v>4</v>
      </c>
    </row>
    <row r="67" spans="1:17" s="576" customFormat="1" x14ac:dyDescent="0.25">
      <c r="A67" s="578" t="s">
        <v>156</v>
      </c>
      <c r="B67" s="574" t="s">
        <v>157</v>
      </c>
      <c r="C67" s="573" t="s">
        <v>266</v>
      </c>
      <c r="D67" s="2410">
        <v>110</v>
      </c>
      <c r="E67" s="2386">
        <v>81</v>
      </c>
      <c r="F67" s="891">
        <v>12</v>
      </c>
      <c r="G67" s="891">
        <v>17</v>
      </c>
      <c r="H67" s="891">
        <v>0</v>
      </c>
      <c r="I67" s="891">
        <v>0</v>
      </c>
      <c r="J67" s="2386">
        <v>58</v>
      </c>
      <c r="K67" s="891">
        <v>52</v>
      </c>
      <c r="L67" s="2387"/>
      <c r="M67" s="575">
        <v>74</v>
      </c>
      <c r="N67" s="575">
        <v>34</v>
      </c>
      <c r="O67" s="575">
        <v>2</v>
      </c>
      <c r="P67" s="575">
        <v>0</v>
      </c>
      <c r="Q67" s="2409">
        <v>6</v>
      </c>
    </row>
    <row r="68" spans="1:17" s="576" customFormat="1" x14ac:dyDescent="0.25">
      <c r="A68" s="578" t="s">
        <v>162</v>
      </c>
      <c r="B68" s="574" t="s">
        <v>163</v>
      </c>
      <c r="C68" s="573" t="s">
        <v>264</v>
      </c>
      <c r="D68" s="2410">
        <v>208</v>
      </c>
      <c r="E68" s="2386">
        <v>143</v>
      </c>
      <c r="F68" s="891">
        <v>48</v>
      </c>
      <c r="G68" s="891">
        <v>17</v>
      </c>
      <c r="H68" s="891">
        <v>0</v>
      </c>
      <c r="I68" s="891">
        <v>0</v>
      </c>
      <c r="J68" s="2386">
        <v>138</v>
      </c>
      <c r="K68" s="891">
        <v>70</v>
      </c>
      <c r="L68" s="2387"/>
      <c r="M68" s="575">
        <v>57</v>
      </c>
      <c r="N68" s="575">
        <v>151</v>
      </c>
      <c r="O68" s="575">
        <v>0</v>
      </c>
      <c r="P68" s="575">
        <v>0</v>
      </c>
      <c r="Q68" s="2409">
        <v>5</v>
      </c>
    </row>
    <row r="69" spans="1:17" s="576" customFormat="1" x14ac:dyDescent="0.25">
      <c r="A69" s="578" t="s">
        <v>164</v>
      </c>
      <c r="B69" s="574" t="s">
        <v>165</v>
      </c>
      <c r="C69" s="573" t="s">
        <v>266</v>
      </c>
      <c r="D69" s="2410">
        <v>115</v>
      </c>
      <c r="E69" s="2386">
        <v>84</v>
      </c>
      <c r="F69" s="891">
        <v>24</v>
      </c>
      <c r="G69" s="891">
        <v>7</v>
      </c>
      <c r="H69" s="891">
        <v>0</v>
      </c>
      <c r="I69" s="891">
        <v>0</v>
      </c>
      <c r="J69" s="2386">
        <v>76</v>
      </c>
      <c r="K69" s="891">
        <v>39</v>
      </c>
      <c r="L69" s="2387"/>
      <c r="M69" s="575">
        <v>38</v>
      </c>
      <c r="N69" s="575">
        <v>77</v>
      </c>
      <c r="O69" s="575">
        <v>0</v>
      </c>
      <c r="P69" s="575">
        <v>0</v>
      </c>
      <c r="Q69" s="2409"/>
    </row>
    <row r="70" spans="1:17" s="576" customFormat="1" x14ac:dyDescent="0.25">
      <c r="A70" s="578" t="s">
        <v>168</v>
      </c>
      <c r="B70" s="574" t="s">
        <v>169</v>
      </c>
      <c r="C70" s="573" t="s">
        <v>266</v>
      </c>
      <c r="D70" s="2410">
        <v>275</v>
      </c>
      <c r="E70" s="2386">
        <v>186</v>
      </c>
      <c r="F70" s="891">
        <v>66</v>
      </c>
      <c r="G70" s="891">
        <v>23</v>
      </c>
      <c r="H70" s="891">
        <v>0</v>
      </c>
      <c r="I70" s="891">
        <v>0</v>
      </c>
      <c r="J70" s="2386">
        <v>185</v>
      </c>
      <c r="K70" s="891">
        <v>90</v>
      </c>
      <c r="L70" s="2387"/>
      <c r="M70" s="575">
        <v>74</v>
      </c>
      <c r="N70" s="575">
        <v>197</v>
      </c>
      <c r="O70" s="575">
        <v>4</v>
      </c>
      <c r="P70" s="575">
        <v>0</v>
      </c>
      <c r="Q70" s="2409">
        <v>4</v>
      </c>
    </row>
    <row r="71" spans="1:17" s="576" customFormat="1" x14ac:dyDescent="0.25">
      <c r="A71" s="578" t="s">
        <v>170</v>
      </c>
      <c r="B71" s="574" t="s">
        <v>171</v>
      </c>
      <c r="C71" s="573" t="s">
        <v>267</v>
      </c>
      <c r="D71" s="2410">
        <v>301</v>
      </c>
      <c r="E71" s="2386">
        <v>211</v>
      </c>
      <c r="F71" s="891">
        <v>66</v>
      </c>
      <c r="G71" s="891">
        <v>24</v>
      </c>
      <c r="H71" s="891">
        <v>0</v>
      </c>
      <c r="I71" s="891">
        <v>0</v>
      </c>
      <c r="J71" s="2386">
        <v>187</v>
      </c>
      <c r="K71" s="891">
        <v>114</v>
      </c>
      <c r="L71" s="2387"/>
      <c r="M71" s="575">
        <v>199</v>
      </c>
      <c r="N71" s="575">
        <v>97</v>
      </c>
      <c r="O71" s="575">
        <v>3</v>
      </c>
      <c r="P71" s="575">
        <v>2</v>
      </c>
      <c r="Q71" s="2409">
        <v>7</v>
      </c>
    </row>
    <row r="72" spans="1:17" s="576" customFormat="1" x14ac:dyDescent="0.25">
      <c r="A72" s="578" t="s">
        <v>172</v>
      </c>
      <c r="B72" s="574" t="s">
        <v>173</v>
      </c>
      <c r="C72" s="573" t="s">
        <v>267</v>
      </c>
      <c r="D72" s="2410">
        <v>178</v>
      </c>
      <c r="E72" s="2386">
        <v>130</v>
      </c>
      <c r="F72" s="891">
        <v>32</v>
      </c>
      <c r="G72" s="891">
        <v>15</v>
      </c>
      <c r="H72" s="891">
        <v>1</v>
      </c>
      <c r="I72" s="891">
        <v>0</v>
      </c>
      <c r="J72" s="2386">
        <v>100</v>
      </c>
      <c r="K72" s="891">
        <v>78</v>
      </c>
      <c r="L72" s="2387"/>
      <c r="M72" s="575">
        <v>167</v>
      </c>
      <c r="N72" s="575">
        <v>11</v>
      </c>
      <c r="O72" s="575">
        <v>0</v>
      </c>
      <c r="P72" s="575">
        <v>0</v>
      </c>
      <c r="Q72" s="2409">
        <v>4</v>
      </c>
    </row>
    <row r="73" spans="1:17" s="576" customFormat="1" x14ac:dyDescent="0.25">
      <c r="A73" s="578" t="s">
        <v>174</v>
      </c>
      <c r="B73" s="574" t="s">
        <v>175</v>
      </c>
      <c r="C73" s="573" t="s">
        <v>268</v>
      </c>
      <c r="D73" s="2410">
        <v>315</v>
      </c>
      <c r="E73" s="2386">
        <v>205</v>
      </c>
      <c r="F73" s="891">
        <v>78</v>
      </c>
      <c r="G73" s="891">
        <v>32</v>
      </c>
      <c r="H73" s="891">
        <v>0</v>
      </c>
      <c r="I73" s="891">
        <v>0</v>
      </c>
      <c r="J73" s="2386">
        <v>186</v>
      </c>
      <c r="K73" s="891">
        <v>129</v>
      </c>
      <c r="L73" s="2387"/>
      <c r="M73" s="575">
        <v>285</v>
      </c>
      <c r="N73" s="575">
        <v>25</v>
      </c>
      <c r="O73" s="575">
        <v>5</v>
      </c>
      <c r="P73" s="575">
        <v>0</v>
      </c>
      <c r="Q73" s="2409">
        <v>6</v>
      </c>
    </row>
    <row r="74" spans="1:17" s="576" customFormat="1" x14ac:dyDescent="0.25">
      <c r="A74" s="578" t="s">
        <v>178</v>
      </c>
      <c r="B74" s="574" t="s">
        <v>179</v>
      </c>
      <c r="C74" s="573" t="s">
        <v>265</v>
      </c>
      <c r="D74" s="2410">
        <v>580</v>
      </c>
      <c r="E74" s="2386">
        <v>429</v>
      </c>
      <c r="F74" s="891">
        <v>98</v>
      </c>
      <c r="G74" s="891">
        <v>53</v>
      </c>
      <c r="H74" s="891">
        <v>0</v>
      </c>
      <c r="I74" s="891">
        <v>0</v>
      </c>
      <c r="J74" s="2386">
        <v>350</v>
      </c>
      <c r="K74" s="891">
        <v>230</v>
      </c>
      <c r="L74" s="2387"/>
      <c r="M74" s="575">
        <v>339</v>
      </c>
      <c r="N74" s="575">
        <v>230</v>
      </c>
      <c r="O74" s="575">
        <v>11</v>
      </c>
      <c r="P74" s="575">
        <v>0</v>
      </c>
      <c r="Q74" s="2409">
        <v>20</v>
      </c>
    </row>
    <row r="75" spans="1:17" s="576" customFormat="1" x14ac:dyDescent="0.25">
      <c r="A75" s="578" t="s">
        <v>182</v>
      </c>
      <c r="B75" s="574" t="s">
        <v>183</v>
      </c>
      <c r="C75" s="573" t="s">
        <v>266</v>
      </c>
      <c r="D75" s="2410">
        <v>108</v>
      </c>
      <c r="E75" s="2386">
        <v>76</v>
      </c>
      <c r="F75" s="891">
        <v>18</v>
      </c>
      <c r="G75" s="891">
        <v>14</v>
      </c>
      <c r="H75" s="891">
        <v>0</v>
      </c>
      <c r="I75" s="891">
        <v>0</v>
      </c>
      <c r="J75" s="2386">
        <v>61</v>
      </c>
      <c r="K75" s="891">
        <v>47</v>
      </c>
      <c r="L75" s="2387"/>
      <c r="M75" s="575">
        <v>85</v>
      </c>
      <c r="N75" s="575">
        <v>23</v>
      </c>
      <c r="O75" s="575">
        <v>0</v>
      </c>
      <c r="P75" s="575">
        <v>0</v>
      </c>
      <c r="Q75" s="2409">
        <v>1</v>
      </c>
    </row>
    <row r="76" spans="1:17" s="576" customFormat="1" x14ac:dyDescent="0.25">
      <c r="A76" s="578" t="s">
        <v>184</v>
      </c>
      <c r="B76" s="574" t="s">
        <v>185</v>
      </c>
      <c r="C76" s="573" t="s">
        <v>266</v>
      </c>
      <c r="D76" s="2410">
        <v>356</v>
      </c>
      <c r="E76" s="2386">
        <v>247</v>
      </c>
      <c r="F76" s="891">
        <v>77</v>
      </c>
      <c r="G76" s="891">
        <v>32</v>
      </c>
      <c r="H76" s="891">
        <v>0</v>
      </c>
      <c r="I76" s="891">
        <v>0</v>
      </c>
      <c r="J76" s="2386">
        <v>222</v>
      </c>
      <c r="K76" s="891">
        <v>134</v>
      </c>
      <c r="L76" s="2387"/>
      <c r="M76" s="575">
        <v>86</v>
      </c>
      <c r="N76" s="575">
        <v>268</v>
      </c>
      <c r="O76" s="575">
        <v>2</v>
      </c>
      <c r="P76" s="575">
        <v>0</v>
      </c>
      <c r="Q76" s="2409">
        <v>4</v>
      </c>
    </row>
    <row r="77" spans="1:17" s="576" customFormat="1" x14ac:dyDescent="0.25">
      <c r="A77" s="578" t="s">
        <v>186</v>
      </c>
      <c r="B77" s="574" t="s">
        <v>187</v>
      </c>
      <c r="C77" s="573" t="s">
        <v>264</v>
      </c>
      <c r="D77" s="2410">
        <v>282</v>
      </c>
      <c r="E77" s="2386">
        <v>188</v>
      </c>
      <c r="F77" s="891">
        <v>73</v>
      </c>
      <c r="G77" s="891">
        <v>21</v>
      </c>
      <c r="H77" s="891">
        <v>0</v>
      </c>
      <c r="I77" s="891">
        <v>0</v>
      </c>
      <c r="J77" s="2386">
        <v>163</v>
      </c>
      <c r="K77" s="891">
        <v>119</v>
      </c>
      <c r="L77" s="2387"/>
      <c r="M77" s="575">
        <v>117</v>
      </c>
      <c r="N77" s="575">
        <v>152</v>
      </c>
      <c r="O77" s="575">
        <v>11</v>
      </c>
      <c r="P77" s="575">
        <v>2</v>
      </c>
      <c r="Q77" s="2409">
        <v>18</v>
      </c>
    </row>
    <row r="78" spans="1:17" s="576" customFormat="1" x14ac:dyDescent="0.25">
      <c r="A78" s="578" t="s">
        <v>188</v>
      </c>
      <c r="B78" s="574" t="s">
        <v>189</v>
      </c>
      <c r="C78" s="573" t="s">
        <v>267</v>
      </c>
      <c r="D78" s="2410">
        <v>3600</v>
      </c>
      <c r="E78" s="2386">
        <v>2411</v>
      </c>
      <c r="F78" s="891">
        <v>754</v>
      </c>
      <c r="G78" s="891">
        <v>431</v>
      </c>
      <c r="H78" s="891">
        <v>4</v>
      </c>
      <c r="I78" s="891">
        <v>0</v>
      </c>
      <c r="J78" s="2386">
        <v>2058</v>
      </c>
      <c r="K78" s="891">
        <v>1542</v>
      </c>
      <c r="L78" s="2387"/>
      <c r="M78" s="575">
        <v>1510</v>
      </c>
      <c r="N78" s="575">
        <v>1563</v>
      </c>
      <c r="O78" s="575">
        <v>517</v>
      </c>
      <c r="P78" s="575">
        <v>10</v>
      </c>
      <c r="Q78" s="2409">
        <v>282</v>
      </c>
    </row>
    <row r="79" spans="1:17" s="576" customFormat="1" x14ac:dyDescent="0.25">
      <c r="A79" s="578" t="s">
        <v>190</v>
      </c>
      <c r="B79" s="574" t="s">
        <v>191</v>
      </c>
      <c r="C79" s="573" t="s">
        <v>268</v>
      </c>
      <c r="D79" s="2410">
        <v>423</v>
      </c>
      <c r="E79" s="2386">
        <v>310</v>
      </c>
      <c r="F79" s="891">
        <v>78</v>
      </c>
      <c r="G79" s="891">
        <v>35</v>
      </c>
      <c r="H79" s="891">
        <v>0</v>
      </c>
      <c r="I79" s="891">
        <v>0</v>
      </c>
      <c r="J79" s="2386">
        <v>246</v>
      </c>
      <c r="K79" s="891">
        <v>177</v>
      </c>
      <c r="L79" s="2387"/>
      <c r="M79" s="575">
        <v>345</v>
      </c>
      <c r="N79" s="575">
        <v>75</v>
      </c>
      <c r="O79" s="575">
        <v>3</v>
      </c>
      <c r="P79" s="575">
        <v>0</v>
      </c>
      <c r="Q79" s="2409">
        <v>7</v>
      </c>
    </row>
    <row r="80" spans="1:17" s="576" customFormat="1" x14ac:dyDescent="0.25">
      <c r="A80" s="578" t="s">
        <v>194</v>
      </c>
      <c r="B80" s="574" t="s">
        <v>195</v>
      </c>
      <c r="C80" s="573" t="s">
        <v>267</v>
      </c>
      <c r="D80" s="2410">
        <v>19</v>
      </c>
      <c r="E80" s="2386">
        <v>13</v>
      </c>
      <c r="F80" s="891">
        <v>4</v>
      </c>
      <c r="G80" s="891">
        <v>2</v>
      </c>
      <c r="H80" s="891">
        <v>0</v>
      </c>
      <c r="I80" s="891">
        <v>0</v>
      </c>
      <c r="J80" s="2386">
        <v>10</v>
      </c>
      <c r="K80" s="891">
        <v>9</v>
      </c>
      <c r="L80" s="2387"/>
      <c r="M80" s="575">
        <v>19</v>
      </c>
      <c r="N80" s="575">
        <v>0</v>
      </c>
      <c r="O80" s="575">
        <v>0</v>
      </c>
      <c r="P80" s="575">
        <v>0</v>
      </c>
      <c r="Q80" s="2409"/>
    </row>
    <row r="81" spans="1:17" s="576" customFormat="1" x14ac:dyDescent="0.25">
      <c r="A81" s="578" t="s">
        <v>198</v>
      </c>
      <c r="B81" s="574" t="s">
        <v>272</v>
      </c>
      <c r="C81" s="573" t="s">
        <v>266</v>
      </c>
      <c r="D81" s="2410">
        <v>113</v>
      </c>
      <c r="E81" s="2386">
        <v>79</v>
      </c>
      <c r="F81" s="891">
        <v>24</v>
      </c>
      <c r="G81" s="891">
        <v>10</v>
      </c>
      <c r="H81" s="891">
        <v>0</v>
      </c>
      <c r="I81" s="891">
        <v>0</v>
      </c>
      <c r="J81" s="2386">
        <v>72</v>
      </c>
      <c r="K81" s="891">
        <v>41</v>
      </c>
      <c r="L81" s="2387"/>
      <c r="M81" s="575">
        <v>48</v>
      </c>
      <c r="N81" s="575">
        <v>64</v>
      </c>
      <c r="O81" s="575">
        <v>0</v>
      </c>
      <c r="P81" s="575">
        <v>1</v>
      </c>
      <c r="Q81" s="2409">
        <v>1</v>
      </c>
    </row>
    <row r="82" spans="1:17" s="576" customFormat="1" x14ac:dyDescent="0.25">
      <c r="A82" s="578" t="s">
        <v>202</v>
      </c>
      <c r="B82" s="574" t="s">
        <v>301</v>
      </c>
      <c r="C82" s="573" t="s">
        <v>265</v>
      </c>
      <c r="D82" s="2410">
        <v>847</v>
      </c>
      <c r="E82" s="2386">
        <v>610</v>
      </c>
      <c r="F82" s="891">
        <v>148</v>
      </c>
      <c r="G82" s="891">
        <v>89</v>
      </c>
      <c r="H82" s="891">
        <v>0</v>
      </c>
      <c r="I82" s="891">
        <v>0</v>
      </c>
      <c r="J82" s="2386">
        <v>505</v>
      </c>
      <c r="K82" s="891">
        <v>342</v>
      </c>
      <c r="L82" s="2387"/>
      <c r="M82" s="575">
        <v>600</v>
      </c>
      <c r="N82" s="575">
        <v>215</v>
      </c>
      <c r="O82" s="575">
        <v>28</v>
      </c>
      <c r="P82" s="575">
        <v>4</v>
      </c>
      <c r="Q82" s="2409">
        <v>9</v>
      </c>
    </row>
    <row r="83" spans="1:17" s="576" customFormat="1" x14ac:dyDescent="0.25">
      <c r="A83" s="578" t="s">
        <v>204</v>
      </c>
      <c r="B83" s="574" t="s">
        <v>293</v>
      </c>
      <c r="C83" s="573" t="s">
        <v>265</v>
      </c>
      <c r="D83" s="2410">
        <v>261</v>
      </c>
      <c r="E83" s="2386">
        <v>183</v>
      </c>
      <c r="F83" s="891">
        <v>54</v>
      </c>
      <c r="G83" s="891">
        <v>22</v>
      </c>
      <c r="H83" s="891">
        <v>2</v>
      </c>
      <c r="I83" s="891">
        <v>0</v>
      </c>
      <c r="J83" s="2386">
        <v>143</v>
      </c>
      <c r="K83" s="891">
        <v>118</v>
      </c>
      <c r="L83" s="2387"/>
      <c r="M83" s="575">
        <v>208</v>
      </c>
      <c r="N83" s="575">
        <v>51</v>
      </c>
      <c r="O83" s="575">
        <v>0</v>
      </c>
      <c r="P83" s="575">
        <v>2</v>
      </c>
      <c r="Q83" s="2409">
        <v>6</v>
      </c>
    </row>
    <row r="84" spans="1:17" s="576" customFormat="1" x14ac:dyDescent="0.25">
      <c r="A84" s="578" t="s">
        <v>206</v>
      </c>
      <c r="B84" s="574" t="s">
        <v>294</v>
      </c>
      <c r="C84" s="573" t="s">
        <v>267</v>
      </c>
      <c r="D84" s="2410">
        <v>1318</v>
      </c>
      <c r="E84" s="2386">
        <v>905</v>
      </c>
      <c r="F84" s="891">
        <v>250</v>
      </c>
      <c r="G84" s="891">
        <v>162</v>
      </c>
      <c r="H84" s="891">
        <v>1</v>
      </c>
      <c r="I84" s="891">
        <v>0</v>
      </c>
      <c r="J84" s="2386">
        <v>759</v>
      </c>
      <c r="K84" s="891">
        <v>559</v>
      </c>
      <c r="L84" s="2387"/>
      <c r="M84" s="575">
        <v>963</v>
      </c>
      <c r="N84" s="575">
        <v>323</v>
      </c>
      <c r="O84" s="575">
        <v>32</v>
      </c>
      <c r="P84" s="575">
        <v>0</v>
      </c>
      <c r="Q84" s="2409">
        <v>185</v>
      </c>
    </row>
    <row r="85" spans="1:17" s="576" customFormat="1" x14ac:dyDescent="0.25">
      <c r="A85" s="578" t="s">
        <v>208</v>
      </c>
      <c r="B85" s="574" t="s">
        <v>209</v>
      </c>
      <c r="C85" s="573" t="s">
        <v>268</v>
      </c>
      <c r="D85" s="2410">
        <v>471</v>
      </c>
      <c r="E85" s="2386">
        <v>323</v>
      </c>
      <c r="F85" s="891">
        <v>102</v>
      </c>
      <c r="G85" s="891">
        <v>46</v>
      </c>
      <c r="H85" s="891">
        <v>0</v>
      </c>
      <c r="I85" s="891">
        <v>0</v>
      </c>
      <c r="J85" s="2386">
        <v>273</v>
      </c>
      <c r="K85" s="891">
        <v>198</v>
      </c>
      <c r="L85" s="2387"/>
      <c r="M85" s="575">
        <v>461</v>
      </c>
      <c r="N85" s="575">
        <v>9</v>
      </c>
      <c r="O85" s="575">
        <v>1</v>
      </c>
      <c r="P85" s="575">
        <v>0</v>
      </c>
      <c r="Q85" s="2409">
        <v>10</v>
      </c>
    </row>
    <row r="86" spans="1:17" s="576" customFormat="1" x14ac:dyDescent="0.25">
      <c r="A86" s="578" t="s">
        <v>210</v>
      </c>
      <c r="B86" s="574" t="s">
        <v>211</v>
      </c>
      <c r="C86" s="573" t="s">
        <v>268</v>
      </c>
      <c r="D86" s="2410">
        <v>413</v>
      </c>
      <c r="E86" s="2386">
        <v>286</v>
      </c>
      <c r="F86" s="891">
        <v>88</v>
      </c>
      <c r="G86" s="891">
        <v>39</v>
      </c>
      <c r="H86" s="891">
        <v>0</v>
      </c>
      <c r="I86" s="891">
        <v>0</v>
      </c>
      <c r="J86" s="2386">
        <v>239</v>
      </c>
      <c r="K86" s="891">
        <v>174</v>
      </c>
      <c r="L86" s="2387"/>
      <c r="M86" s="575">
        <v>402</v>
      </c>
      <c r="N86" s="575">
        <v>10</v>
      </c>
      <c r="O86" s="575">
        <v>1</v>
      </c>
      <c r="P86" s="575">
        <v>0</v>
      </c>
      <c r="Q86" s="2409">
        <v>1</v>
      </c>
    </row>
    <row r="87" spans="1:17" s="576" customFormat="1" x14ac:dyDescent="0.25">
      <c r="A87" s="578" t="s">
        <v>212</v>
      </c>
      <c r="B87" s="574" t="s">
        <v>213</v>
      </c>
      <c r="C87" s="573" t="s">
        <v>267</v>
      </c>
      <c r="D87" s="2410">
        <v>321</v>
      </c>
      <c r="E87" s="2386">
        <v>219</v>
      </c>
      <c r="F87" s="891">
        <v>79</v>
      </c>
      <c r="G87" s="891">
        <v>23</v>
      </c>
      <c r="H87" s="891">
        <v>0</v>
      </c>
      <c r="I87" s="891">
        <v>0</v>
      </c>
      <c r="J87" s="2386">
        <v>197</v>
      </c>
      <c r="K87" s="891">
        <v>124</v>
      </c>
      <c r="L87" s="2387"/>
      <c r="M87" s="575">
        <v>278</v>
      </c>
      <c r="N87" s="575">
        <v>37</v>
      </c>
      <c r="O87" s="575">
        <v>6</v>
      </c>
      <c r="P87" s="575">
        <v>0</v>
      </c>
      <c r="Q87" s="2409">
        <v>54</v>
      </c>
    </row>
    <row r="88" spans="1:17" s="576" customFormat="1" x14ac:dyDescent="0.25">
      <c r="A88" s="578" t="s">
        <v>214</v>
      </c>
      <c r="B88" s="574" t="s">
        <v>215</v>
      </c>
      <c r="C88" s="573" t="s">
        <v>268</v>
      </c>
      <c r="D88" s="2410">
        <v>552</v>
      </c>
      <c r="E88" s="2386">
        <v>396</v>
      </c>
      <c r="F88" s="891">
        <v>108</v>
      </c>
      <c r="G88" s="891">
        <v>48</v>
      </c>
      <c r="H88" s="891">
        <v>0</v>
      </c>
      <c r="I88" s="891">
        <v>0</v>
      </c>
      <c r="J88" s="2386">
        <v>328</v>
      </c>
      <c r="K88" s="891">
        <v>224</v>
      </c>
      <c r="L88" s="2387"/>
      <c r="M88" s="575">
        <v>539</v>
      </c>
      <c r="N88" s="575">
        <v>8</v>
      </c>
      <c r="O88" s="575">
        <v>3</v>
      </c>
      <c r="P88" s="575">
        <v>2</v>
      </c>
      <c r="Q88" s="2409">
        <v>10</v>
      </c>
    </row>
    <row r="89" spans="1:17" s="576" customFormat="1" x14ac:dyDescent="0.25">
      <c r="A89" s="578" t="s">
        <v>216</v>
      </c>
      <c r="B89" s="574" t="s">
        <v>217</v>
      </c>
      <c r="C89" s="573" t="s">
        <v>264</v>
      </c>
      <c r="D89" s="2410">
        <v>303</v>
      </c>
      <c r="E89" s="2386">
        <v>208</v>
      </c>
      <c r="F89" s="891">
        <v>69</v>
      </c>
      <c r="G89" s="891">
        <v>26</v>
      </c>
      <c r="H89" s="891">
        <v>0</v>
      </c>
      <c r="I89" s="891">
        <v>0</v>
      </c>
      <c r="J89" s="2386">
        <v>186</v>
      </c>
      <c r="K89" s="891">
        <v>117</v>
      </c>
      <c r="L89" s="2387"/>
      <c r="M89" s="575">
        <v>88</v>
      </c>
      <c r="N89" s="575">
        <v>211</v>
      </c>
      <c r="O89" s="575">
        <v>2</v>
      </c>
      <c r="P89" s="575">
        <v>2</v>
      </c>
      <c r="Q89" s="2409">
        <v>4</v>
      </c>
    </row>
    <row r="90" spans="1:17" s="576" customFormat="1" x14ac:dyDescent="0.25">
      <c r="A90" s="578" t="s">
        <v>218</v>
      </c>
      <c r="B90" s="574" t="s">
        <v>219</v>
      </c>
      <c r="C90" s="573" t="s">
        <v>267</v>
      </c>
      <c r="D90" s="2410">
        <v>1568</v>
      </c>
      <c r="E90" s="2386">
        <v>1078</v>
      </c>
      <c r="F90" s="891">
        <v>336</v>
      </c>
      <c r="G90" s="891">
        <v>154</v>
      </c>
      <c r="H90" s="891">
        <v>0</v>
      </c>
      <c r="I90" s="891">
        <v>0</v>
      </c>
      <c r="J90" s="2386">
        <v>914</v>
      </c>
      <c r="K90" s="891">
        <v>654</v>
      </c>
      <c r="L90" s="2387"/>
      <c r="M90" s="575">
        <v>817</v>
      </c>
      <c r="N90" s="575">
        <v>681</v>
      </c>
      <c r="O90" s="575">
        <v>69</v>
      </c>
      <c r="P90" s="575">
        <v>1</v>
      </c>
      <c r="Q90" s="2409">
        <v>45</v>
      </c>
    </row>
    <row r="91" spans="1:17" s="576" customFormat="1" x14ac:dyDescent="0.25">
      <c r="A91" s="578" t="s">
        <v>220</v>
      </c>
      <c r="B91" s="574" t="s">
        <v>221</v>
      </c>
      <c r="C91" s="573" t="s">
        <v>267</v>
      </c>
      <c r="D91" s="2410">
        <v>1322</v>
      </c>
      <c r="E91" s="2386">
        <v>899</v>
      </c>
      <c r="F91" s="891">
        <v>291</v>
      </c>
      <c r="G91" s="891">
        <v>130</v>
      </c>
      <c r="H91" s="891">
        <v>2</v>
      </c>
      <c r="I91" s="891">
        <v>0</v>
      </c>
      <c r="J91" s="2386">
        <v>789</v>
      </c>
      <c r="K91" s="891">
        <v>533</v>
      </c>
      <c r="L91" s="2387"/>
      <c r="M91" s="575">
        <v>589</v>
      </c>
      <c r="N91" s="575">
        <v>622</v>
      </c>
      <c r="O91" s="575">
        <v>111</v>
      </c>
      <c r="P91" s="575">
        <v>0</v>
      </c>
      <c r="Q91" s="2409">
        <v>90</v>
      </c>
    </row>
    <row r="92" spans="1:17" s="576" customFormat="1" x14ac:dyDescent="0.25">
      <c r="A92" s="578" t="s">
        <v>224</v>
      </c>
      <c r="B92" s="574" t="s">
        <v>225</v>
      </c>
      <c r="C92" s="573" t="s">
        <v>264</v>
      </c>
      <c r="D92" s="2410">
        <v>75</v>
      </c>
      <c r="E92" s="2386">
        <v>51</v>
      </c>
      <c r="F92" s="891">
        <v>19</v>
      </c>
      <c r="G92" s="891">
        <v>5</v>
      </c>
      <c r="H92" s="891">
        <v>0</v>
      </c>
      <c r="I92" s="891">
        <v>0</v>
      </c>
      <c r="J92" s="2386">
        <v>50</v>
      </c>
      <c r="K92" s="891">
        <v>25</v>
      </c>
      <c r="L92" s="2387"/>
      <c r="M92" s="575">
        <v>18</v>
      </c>
      <c r="N92" s="575">
        <v>56</v>
      </c>
      <c r="O92" s="575">
        <v>1</v>
      </c>
      <c r="P92" s="575">
        <v>0</v>
      </c>
      <c r="Q92" s="2409"/>
    </row>
    <row r="93" spans="1:17" s="576" customFormat="1" x14ac:dyDescent="0.25">
      <c r="A93" s="578" t="s">
        <v>226</v>
      </c>
      <c r="B93" s="574" t="s">
        <v>227</v>
      </c>
      <c r="C93" s="573" t="s">
        <v>264</v>
      </c>
      <c r="D93" s="2410">
        <v>264</v>
      </c>
      <c r="E93" s="2386">
        <v>190</v>
      </c>
      <c r="F93" s="891">
        <v>49</v>
      </c>
      <c r="G93" s="891">
        <v>25</v>
      </c>
      <c r="H93" s="891">
        <v>0</v>
      </c>
      <c r="I93" s="891">
        <v>0</v>
      </c>
      <c r="J93" s="2386">
        <v>161</v>
      </c>
      <c r="K93" s="891">
        <v>103</v>
      </c>
      <c r="L93" s="2387"/>
      <c r="M93" s="575">
        <v>48</v>
      </c>
      <c r="N93" s="575">
        <v>208</v>
      </c>
      <c r="O93" s="575">
        <v>8</v>
      </c>
      <c r="P93" s="575">
        <v>0</v>
      </c>
      <c r="Q93" s="2409">
        <v>13</v>
      </c>
    </row>
    <row r="94" spans="1:17" s="576" customFormat="1" x14ac:dyDescent="0.25">
      <c r="A94" s="578" t="s">
        <v>228</v>
      </c>
      <c r="B94" s="574" t="s">
        <v>229</v>
      </c>
      <c r="C94" s="573" t="s">
        <v>268</v>
      </c>
      <c r="D94" s="2410">
        <v>642</v>
      </c>
      <c r="E94" s="2386">
        <v>453</v>
      </c>
      <c r="F94" s="891">
        <v>127</v>
      </c>
      <c r="G94" s="891">
        <v>61</v>
      </c>
      <c r="H94" s="891">
        <v>1</v>
      </c>
      <c r="I94" s="891">
        <v>0</v>
      </c>
      <c r="J94" s="2386">
        <v>373</v>
      </c>
      <c r="K94" s="891">
        <v>269</v>
      </c>
      <c r="L94" s="2387"/>
      <c r="M94" s="575">
        <v>587</v>
      </c>
      <c r="N94" s="575">
        <v>51</v>
      </c>
      <c r="O94" s="575">
        <v>4</v>
      </c>
      <c r="P94" s="575">
        <v>0</v>
      </c>
      <c r="Q94" s="2409">
        <v>6</v>
      </c>
    </row>
    <row r="95" spans="1:17" s="576" customFormat="1" x14ac:dyDescent="0.25">
      <c r="A95" s="578" t="s">
        <v>232</v>
      </c>
      <c r="B95" s="574" t="s">
        <v>233</v>
      </c>
      <c r="C95" s="573" t="s">
        <v>267</v>
      </c>
      <c r="D95" s="2410">
        <v>403</v>
      </c>
      <c r="E95" s="2386">
        <v>283</v>
      </c>
      <c r="F95" s="891">
        <v>86</v>
      </c>
      <c r="G95" s="891">
        <v>34</v>
      </c>
      <c r="H95" s="891">
        <v>0</v>
      </c>
      <c r="I95" s="891">
        <v>0</v>
      </c>
      <c r="J95" s="2386">
        <v>230</v>
      </c>
      <c r="K95" s="891">
        <v>173</v>
      </c>
      <c r="L95" s="2387"/>
      <c r="M95" s="575">
        <v>307</v>
      </c>
      <c r="N95" s="575">
        <v>82</v>
      </c>
      <c r="O95" s="575">
        <v>14</v>
      </c>
      <c r="P95" s="575">
        <v>0</v>
      </c>
      <c r="Q95" s="2409">
        <v>15</v>
      </c>
    </row>
    <row r="96" spans="1:17" s="576" customFormat="1" x14ac:dyDescent="0.25">
      <c r="A96" s="578" t="s">
        <v>234</v>
      </c>
      <c r="B96" s="574" t="s">
        <v>235</v>
      </c>
      <c r="C96" s="573" t="s">
        <v>268</v>
      </c>
      <c r="D96" s="2410">
        <v>667</v>
      </c>
      <c r="E96" s="2386">
        <v>472</v>
      </c>
      <c r="F96" s="891">
        <v>125</v>
      </c>
      <c r="G96" s="891">
        <v>70</v>
      </c>
      <c r="H96" s="891">
        <v>0</v>
      </c>
      <c r="I96" s="891">
        <v>0</v>
      </c>
      <c r="J96" s="2386">
        <v>390</v>
      </c>
      <c r="K96" s="891">
        <v>277</v>
      </c>
      <c r="L96" s="2387"/>
      <c r="M96" s="575">
        <v>637</v>
      </c>
      <c r="N96" s="575">
        <v>27</v>
      </c>
      <c r="O96" s="575">
        <v>3</v>
      </c>
      <c r="P96" s="575">
        <v>0</v>
      </c>
      <c r="Q96" s="2409">
        <v>5</v>
      </c>
    </row>
    <row r="97" spans="1:17" s="576" customFormat="1" x14ac:dyDescent="0.25">
      <c r="A97" s="578" t="s">
        <v>236</v>
      </c>
      <c r="B97" s="574" t="s">
        <v>237</v>
      </c>
      <c r="C97" s="573" t="s">
        <v>266</v>
      </c>
      <c r="D97" s="2410">
        <v>331</v>
      </c>
      <c r="E97" s="2386">
        <v>224</v>
      </c>
      <c r="F97" s="891">
        <v>72</v>
      </c>
      <c r="G97" s="891">
        <v>35</v>
      </c>
      <c r="H97" s="891">
        <v>0</v>
      </c>
      <c r="I97" s="891">
        <v>0</v>
      </c>
      <c r="J97" s="2386">
        <v>200</v>
      </c>
      <c r="K97" s="891">
        <v>131</v>
      </c>
      <c r="L97" s="2387"/>
      <c r="M97" s="575">
        <v>122</v>
      </c>
      <c r="N97" s="575">
        <v>204</v>
      </c>
      <c r="O97" s="575">
        <v>4</v>
      </c>
      <c r="P97" s="575">
        <v>1</v>
      </c>
      <c r="Q97" s="2409">
        <v>6</v>
      </c>
    </row>
    <row r="98" spans="1:17" s="576" customFormat="1" x14ac:dyDescent="0.25">
      <c r="A98" s="578" t="s">
        <v>242</v>
      </c>
      <c r="B98" s="574" t="s">
        <v>243</v>
      </c>
      <c r="C98" s="573" t="s">
        <v>268</v>
      </c>
      <c r="D98" s="2410">
        <v>1093</v>
      </c>
      <c r="E98" s="2386">
        <v>758</v>
      </c>
      <c r="F98" s="891">
        <v>233</v>
      </c>
      <c r="G98" s="891">
        <v>101</v>
      </c>
      <c r="H98" s="891">
        <v>1</v>
      </c>
      <c r="I98" s="891">
        <v>0</v>
      </c>
      <c r="J98" s="2386">
        <v>622</v>
      </c>
      <c r="K98" s="891">
        <v>471</v>
      </c>
      <c r="L98" s="2387"/>
      <c r="M98" s="575">
        <v>1058</v>
      </c>
      <c r="N98" s="575">
        <v>31</v>
      </c>
      <c r="O98" s="575">
        <v>3</v>
      </c>
      <c r="P98" s="575">
        <v>1</v>
      </c>
      <c r="Q98" s="2409">
        <v>4</v>
      </c>
    </row>
    <row r="99" spans="1:17" s="576" customFormat="1" x14ac:dyDescent="0.25">
      <c r="A99" s="578" t="s">
        <v>244</v>
      </c>
      <c r="B99" s="574" t="s">
        <v>245</v>
      </c>
      <c r="C99" s="573" t="s">
        <v>268</v>
      </c>
      <c r="D99" s="2410">
        <v>352</v>
      </c>
      <c r="E99" s="2386">
        <v>246</v>
      </c>
      <c r="F99" s="891">
        <v>73</v>
      </c>
      <c r="G99" s="891">
        <v>33</v>
      </c>
      <c r="H99" s="891">
        <v>0</v>
      </c>
      <c r="I99" s="891">
        <v>0</v>
      </c>
      <c r="J99" s="2386">
        <v>203</v>
      </c>
      <c r="K99" s="891">
        <v>149</v>
      </c>
      <c r="L99" s="2387"/>
      <c r="M99" s="575">
        <v>321</v>
      </c>
      <c r="N99" s="575">
        <v>25</v>
      </c>
      <c r="O99" s="575">
        <v>6</v>
      </c>
      <c r="P99" s="575">
        <v>0</v>
      </c>
      <c r="Q99" s="2409">
        <v>5</v>
      </c>
    </row>
    <row r="100" spans="1:17" s="576" customFormat="1" x14ac:dyDescent="0.25">
      <c r="A100" s="578" t="s">
        <v>246</v>
      </c>
      <c r="B100" s="574" t="s">
        <v>247</v>
      </c>
      <c r="C100" s="573" t="s">
        <v>264</v>
      </c>
      <c r="D100" s="2410">
        <v>441</v>
      </c>
      <c r="E100" s="2386">
        <v>297</v>
      </c>
      <c r="F100" s="891">
        <v>93</v>
      </c>
      <c r="G100" s="891">
        <v>51</v>
      </c>
      <c r="H100" s="891">
        <v>0</v>
      </c>
      <c r="I100" s="891">
        <v>0</v>
      </c>
      <c r="J100" s="2386">
        <v>251</v>
      </c>
      <c r="K100" s="891">
        <v>190</v>
      </c>
      <c r="L100" s="2387"/>
      <c r="M100" s="575">
        <v>243</v>
      </c>
      <c r="N100" s="575">
        <v>193</v>
      </c>
      <c r="O100" s="575">
        <v>5</v>
      </c>
      <c r="P100" s="575">
        <v>0</v>
      </c>
      <c r="Q100" s="2409">
        <v>13</v>
      </c>
    </row>
    <row r="101" spans="1:17" s="576" customFormat="1" x14ac:dyDescent="0.25">
      <c r="A101" s="578" t="s">
        <v>14</v>
      </c>
      <c r="B101" s="574" t="s">
        <v>15</v>
      </c>
      <c r="C101" s="573" t="s">
        <v>267</v>
      </c>
      <c r="D101" s="2410">
        <v>2317</v>
      </c>
      <c r="E101" s="2386">
        <v>1447</v>
      </c>
      <c r="F101" s="891">
        <v>574</v>
      </c>
      <c r="G101" s="891">
        <v>296</v>
      </c>
      <c r="H101" s="891">
        <v>0</v>
      </c>
      <c r="I101" s="891">
        <v>0</v>
      </c>
      <c r="J101" s="2386">
        <v>1264</v>
      </c>
      <c r="K101" s="891">
        <v>1053</v>
      </c>
      <c r="L101" s="2387"/>
      <c r="M101" s="575">
        <v>966</v>
      </c>
      <c r="N101" s="575">
        <v>801</v>
      </c>
      <c r="O101" s="575">
        <v>535</v>
      </c>
      <c r="P101" s="575">
        <v>15</v>
      </c>
      <c r="Q101" s="2409">
        <v>209</v>
      </c>
    </row>
    <row r="102" spans="1:17" s="576" customFormat="1" x14ac:dyDescent="0.25">
      <c r="A102" s="578" t="s">
        <v>34</v>
      </c>
      <c r="B102" s="574" t="s">
        <v>35</v>
      </c>
      <c r="C102" s="573" t="s">
        <v>268</v>
      </c>
      <c r="D102" s="2410">
        <v>634</v>
      </c>
      <c r="E102" s="2386">
        <v>432</v>
      </c>
      <c r="F102" s="891">
        <v>136</v>
      </c>
      <c r="G102" s="891">
        <v>66</v>
      </c>
      <c r="H102" s="891">
        <v>0</v>
      </c>
      <c r="I102" s="891">
        <v>0</v>
      </c>
      <c r="J102" s="2386">
        <v>378</v>
      </c>
      <c r="K102" s="891">
        <v>256</v>
      </c>
      <c r="L102" s="2387"/>
      <c r="M102" s="575">
        <v>479</v>
      </c>
      <c r="N102" s="575">
        <v>151</v>
      </c>
      <c r="O102" s="575">
        <v>4</v>
      </c>
      <c r="P102" s="575">
        <v>0</v>
      </c>
      <c r="Q102" s="2409">
        <v>12</v>
      </c>
    </row>
    <row r="103" spans="1:17" s="576" customFormat="1" x14ac:dyDescent="0.25">
      <c r="A103" s="578" t="s">
        <v>52</v>
      </c>
      <c r="B103" s="574" t="s">
        <v>53</v>
      </c>
      <c r="C103" s="573" t="s">
        <v>265</v>
      </c>
      <c r="D103" s="2410">
        <v>894</v>
      </c>
      <c r="E103" s="2386">
        <v>581</v>
      </c>
      <c r="F103" s="891">
        <v>214</v>
      </c>
      <c r="G103" s="891">
        <v>98</v>
      </c>
      <c r="H103" s="891">
        <v>1</v>
      </c>
      <c r="I103" s="891">
        <v>0</v>
      </c>
      <c r="J103" s="2386">
        <v>513</v>
      </c>
      <c r="K103" s="891">
        <v>381</v>
      </c>
      <c r="L103" s="2387"/>
      <c r="M103" s="575">
        <v>333</v>
      </c>
      <c r="N103" s="575">
        <v>470</v>
      </c>
      <c r="O103" s="575">
        <v>90</v>
      </c>
      <c r="P103" s="575">
        <v>1</v>
      </c>
      <c r="Q103" s="2409">
        <v>24</v>
      </c>
    </row>
    <row r="104" spans="1:17" s="576" customFormat="1" x14ac:dyDescent="0.25">
      <c r="A104" s="578" t="s">
        <v>54</v>
      </c>
      <c r="B104" s="574" t="s">
        <v>55</v>
      </c>
      <c r="C104" s="573" t="s">
        <v>264</v>
      </c>
      <c r="D104" s="2410">
        <v>2615</v>
      </c>
      <c r="E104" s="2386">
        <v>1833</v>
      </c>
      <c r="F104" s="891">
        <v>551</v>
      </c>
      <c r="G104" s="891">
        <v>230</v>
      </c>
      <c r="H104" s="891">
        <v>1</v>
      </c>
      <c r="I104" s="891">
        <v>0</v>
      </c>
      <c r="J104" s="2386">
        <v>1596</v>
      </c>
      <c r="K104" s="891">
        <v>1019</v>
      </c>
      <c r="L104" s="2387"/>
      <c r="M104" s="575">
        <v>582</v>
      </c>
      <c r="N104" s="575">
        <v>1968</v>
      </c>
      <c r="O104" s="575">
        <v>64</v>
      </c>
      <c r="P104" s="575">
        <v>1</v>
      </c>
      <c r="Q104" s="2409">
        <v>119</v>
      </c>
    </row>
    <row r="105" spans="1:17" s="576" customFormat="1" x14ac:dyDescent="0.25">
      <c r="A105" s="578" t="s">
        <v>66</v>
      </c>
      <c r="B105" s="574" t="s">
        <v>67</v>
      </c>
      <c r="C105" s="573" t="s">
        <v>265</v>
      </c>
      <c r="D105" s="2410">
        <v>1118</v>
      </c>
      <c r="E105" s="2386">
        <v>801</v>
      </c>
      <c r="F105" s="891">
        <v>229</v>
      </c>
      <c r="G105" s="891">
        <v>84</v>
      </c>
      <c r="H105" s="891">
        <v>4</v>
      </c>
      <c r="I105" s="891">
        <v>0</v>
      </c>
      <c r="J105" s="2386">
        <v>709</v>
      </c>
      <c r="K105" s="891">
        <v>409</v>
      </c>
      <c r="L105" s="2387"/>
      <c r="M105" s="575">
        <v>192</v>
      </c>
      <c r="N105" s="575">
        <v>905</v>
      </c>
      <c r="O105" s="575">
        <v>20</v>
      </c>
      <c r="P105" s="575">
        <v>1</v>
      </c>
      <c r="Q105" s="2409">
        <v>32</v>
      </c>
    </row>
    <row r="106" spans="1:17" s="576" customFormat="1" x14ac:dyDescent="0.25">
      <c r="A106" s="578" t="s">
        <v>82</v>
      </c>
      <c r="B106" s="574" t="s">
        <v>83</v>
      </c>
      <c r="C106" s="573" t="s">
        <v>264</v>
      </c>
      <c r="D106" s="2410">
        <v>261</v>
      </c>
      <c r="E106" s="2386">
        <v>188</v>
      </c>
      <c r="F106" s="891">
        <v>61</v>
      </c>
      <c r="G106" s="891">
        <v>12</v>
      </c>
      <c r="H106" s="891">
        <v>0</v>
      </c>
      <c r="I106" s="891">
        <v>0</v>
      </c>
      <c r="J106" s="2386">
        <v>161</v>
      </c>
      <c r="K106" s="891">
        <v>100</v>
      </c>
      <c r="L106" s="2387"/>
      <c r="M106" s="575">
        <v>37</v>
      </c>
      <c r="N106" s="575">
        <v>222</v>
      </c>
      <c r="O106" s="575">
        <v>2</v>
      </c>
      <c r="P106" s="575">
        <v>0</v>
      </c>
      <c r="Q106" s="2409">
        <v>12</v>
      </c>
    </row>
    <row r="107" spans="1:17" s="576" customFormat="1" x14ac:dyDescent="0.25">
      <c r="A107" s="578" t="s">
        <v>88</v>
      </c>
      <c r="B107" s="574" t="s">
        <v>89</v>
      </c>
      <c r="C107" s="573" t="s">
        <v>267</v>
      </c>
      <c r="D107" s="2410">
        <v>777</v>
      </c>
      <c r="E107" s="2386">
        <v>501</v>
      </c>
      <c r="F107" s="891">
        <v>224</v>
      </c>
      <c r="G107" s="891">
        <v>51</v>
      </c>
      <c r="H107" s="891">
        <v>1</v>
      </c>
      <c r="I107" s="891">
        <v>0</v>
      </c>
      <c r="J107" s="2386">
        <v>468</v>
      </c>
      <c r="K107" s="891">
        <v>309</v>
      </c>
      <c r="L107" s="2387"/>
      <c r="M107" s="575">
        <v>226</v>
      </c>
      <c r="N107" s="575">
        <v>436</v>
      </c>
      <c r="O107" s="575">
        <v>115</v>
      </c>
      <c r="P107" s="575">
        <v>0</v>
      </c>
      <c r="Q107" s="2409">
        <v>34</v>
      </c>
    </row>
    <row r="108" spans="1:17" s="576" customFormat="1" x14ac:dyDescent="0.25">
      <c r="A108" s="578" t="s">
        <v>90</v>
      </c>
      <c r="B108" s="574" t="s">
        <v>91</v>
      </c>
      <c r="C108" s="573" t="s">
        <v>268</v>
      </c>
      <c r="D108" s="2410">
        <v>127</v>
      </c>
      <c r="E108" s="2386">
        <v>98</v>
      </c>
      <c r="F108" s="891">
        <v>22</v>
      </c>
      <c r="G108" s="891">
        <v>7</v>
      </c>
      <c r="H108" s="891">
        <v>0</v>
      </c>
      <c r="I108" s="891">
        <v>0</v>
      </c>
      <c r="J108" s="2386">
        <v>73</v>
      </c>
      <c r="K108" s="891">
        <v>54</v>
      </c>
      <c r="L108" s="2387"/>
      <c r="M108" s="575">
        <v>102</v>
      </c>
      <c r="N108" s="575">
        <v>24</v>
      </c>
      <c r="O108" s="575">
        <v>1</v>
      </c>
      <c r="P108" s="575">
        <v>0</v>
      </c>
      <c r="Q108" s="2409">
        <v>42</v>
      </c>
    </row>
    <row r="109" spans="1:17" s="576" customFormat="1" x14ac:dyDescent="0.25">
      <c r="A109" s="578" t="s">
        <v>106</v>
      </c>
      <c r="B109" s="574" t="s">
        <v>107</v>
      </c>
      <c r="C109" s="573" t="s">
        <v>264</v>
      </c>
      <c r="D109" s="2410">
        <v>3421</v>
      </c>
      <c r="E109" s="2386">
        <v>2354</v>
      </c>
      <c r="F109" s="891">
        <v>768</v>
      </c>
      <c r="G109" s="891">
        <v>299</v>
      </c>
      <c r="H109" s="891">
        <v>0</v>
      </c>
      <c r="I109" s="891">
        <v>0</v>
      </c>
      <c r="J109" s="2386">
        <v>2137</v>
      </c>
      <c r="K109" s="891">
        <v>1284</v>
      </c>
      <c r="L109" s="2387"/>
      <c r="M109" s="575">
        <v>621</v>
      </c>
      <c r="N109" s="575">
        <v>2715</v>
      </c>
      <c r="O109" s="575">
        <v>71</v>
      </c>
      <c r="P109" s="575">
        <v>14</v>
      </c>
      <c r="Q109" s="2409">
        <v>167</v>
      </c>
    </row>
    <row r="110" spans="1:17" s="576" customFormat="1" x14ac:dyDescent="0.25">
      <c r="A110" s="578" t="s">
        <v>116</v>
      </c>
      <c r="B110" s="574" t="s">
        <v>117</v>
      </c>
      <c r="C110" s="573" t="s">
        <v>266</v>
      </c>
      <c r="D110" s="2410">
        <v>993</v>
      </c>
      <c r="E110" s="2386">
        <v>674</v>
      </c>
      <c r="F110" s="891">
        <v>249</v>
      </c>
      <c r="G110" s="891">
        <v>69</v>
      </c>
      <c r="H110" s="891">
        <v>1</v>
      </c>
      <c r="I110" s="891">
        <v>0</v>
      </c>
      <c r="J110" s="2386">
        <v>611</v>
      </c>
      <c r="K110" s="891">
        <v>382</v>
      </c>
      <c r="L110" s="2387"/>
      <c r="M110" s="575">
        <v>287</v>
      </c>
      <c r="N110" s="575">
        <v>691</v>
      </c>
      <c r="O110" s="575">
        <v>15</v>
      </c>
      <c r="P110" s="575">
        <v>0</v>
      </c>
      <c r="Q110" s="2409">
        <v>62</v>
      </c>
    </row>
    <row r="111" spans="1:17" s="576" customFormat="1" x14ac:dyDescent="0.25">
      <c r="A111" s="578" t="s">
        <v>138</v>
      </c>
      <c r="B111" s="574" t="s">
        <v>139</v>
      </c>
      <c r="C111" s="573" t="s">
        <v>265</v>
      </c>
      <c r="D111" s="2410">
        <v>1334</v>
      </c>
      <c r="E111" s="2386">
        <v>919</v>
      </c>
      <c r="F111" s="891">
        <v>323</v>
      </c>
      <c r="G111" s="891">
        <v>91</v>
      </c>
      <c r="H111" s="891">
        <v>1</v>
      </c>
      <c r="I111" s="891">
        <v>0</v>
      </c>
      <c r="J111" s="2386">
        <v>836</v>
      </c>
      <c r="K111" s="891">
        <v>498</v>
      </c>
      <c r="L111" s="2387"/>
      <c r="M111" s="575">
        <v>329</v>
      </c>
      <c r="N111" s="575">
        <v>983</v>
      </c>
      <c r="O111" s="575">
        <v>21</v>
      </c>
      <c r="P111" s="575">
        <v>1</v>
      </c>
      <c r="Q111" s="2409">
        <v>29</v>
      </c>
    </row>
    <row r="112" spans="1:17" s="576" customFormat="1" x14ac:dyDescent="0.25">
      <c r="A112" s="578" t="s">
        <v>142</v>
      </c>
      <c r="B112" s="574" t="s">
        <v>143</v>
      </c>
      <c r="C112" s="573" t="s">
        <v>267</v>
      </c>
      <c r="D112" s="2410">
        <v>405</v>
      </c>
      <c r="E112" s="2386">
        <v>290</v>
      </c>
      <c r="F112" s="891">
        <v>87</v>
      </c>
      <c r="G112" s="891">
        <v>28</v>
      </c>
      <c r="H112" s="891">
        <v>0</v>
      </c>
      <c r="I112" s="891">
        <v>0</v>
      </c>
      <c r="J112" s="2386">
        <v>239</v>
      </c>
      <c r="K112" s="891">
        <v>166</v>
      </c>
      <c r="L112" s="2387"/>
      <c r="M112" s="575">
        <v>199</v>
      </c>
      <c r="N112" s="575">
        <v>185</v>
      </c>
      <c r="O112" s="575">
        <v>21</v>
      </c>
      <c r="P112" s="575">
        <v>0</v>
      </c>
      <c r="Q112" s="2409">
        <v>75</v>
      </c>
    </row>
    <row r="113" spans="1:17" s="576" customFormat="1" x14ac:dyDescent="0.25">
      <c r="A113" s="578" t="s">
        <v>144</v>
      </c>
      <c r="B113" s="574" t="s">
        <v>145</v>
      </c>
      <c r="C113" s="573" t="s">
        <v>267</v>
      </c>
      <c r="D113" s="2410">
        <v>128</v>
      </c>
      <c r="E113" s="2386">
        <v>85</v>
      </c>
      <c r="F113" s="891">
        <v>28</v>
      </c>
      <c r="G113" s="891">
        <v>15</v>
      </c>
      <c r="H113" s="891">
        <v>0</v>
      </c>
      <c r="I113" s="891">
        <v>0</v>
      </c>
      <c r="J113" s="2386">
        <v>75</v>
      </c>
      <c r="K113" s="891">
        <v>53</v>
      </c>
      <c r="L113" s="2387"/>
      <c r="M113" s="575">
        <v>85</v>
      </c>
      <c r="N113" s="575">
        <v>43</v>
      </c>
      <c r="O113" s="575">
        <v>0</v>
      </c>
      <c r="P113" s="575">
        <v>0</v>
      </c>
      <c r="Q113" s="2409">
        <v>18</v>
      </c>
    </row>
    <row r="114" spans="1:17" s="576" customFormat="1" x14ac:dyDescent="0.25">
      <c r="A114" s="578" t="s">
        <v>158</v>
      </c>
      <c r="B114" s="574" t="s">
        <v>159</v>
      </c>
      <c r="C114" s="573" t="s">
        <v>264</v>
      </c>
      <c r="D114" s="2410">
        <v>5596</v>
      </c>
      <c r="E114" s="2386">
        <v>3789</v>
      </c>
      <c r="F114" s="891">
        <v>1305</v>
      </c>
      <c r="G114" s="891">
        <v>501</v>
      </c>
      <c r="H114" s="891">
        <v>1</v>
      </c>
      <c r="I114" s="891">
        <v>0</v>
      </c>
      <c r="J114" s="2386">
        <v>3517</v>
      </c>
      <c r="K114" s="891">
        <v>2079</v>
      </c>
      <c r="L114" s="2387"/>
      <c r="M114" s="575">
        <v>1093</v>
      </c>
      <c r="N114" s="575">
        <v>4303</v>
      </c>
      <c r="O114" s="575">
        <v>185</v>
      </c>
      <c r="P114" s="575">
        <v>15</v>
      </c>
      <c r="Q114" s="2409">
        <v>320</v>
      </c>
    </row>
    <row r="115" spans="1:17" s="576" customFormat="1" x14ac:dyDescent="0.25">
      <c r="A115" s="578" t="s">
        <v>160</v>
      </c>
      <c r="B115" s="574" t="s">
        <v>161</v>
      </c>
      <c r="C115" s="573" t="s">
        <v>264</v>
      </c>
      <c r="D115" s="2410">
        <v>4860</v>
      </c>
      <c r="E115" s="2386">
        <v>3442</v>
      </c>
      <c r="F115" s="891">
        <v>1063</v>
      </c>
      <c r="G115" s="891">
        <v>350</v>
      </c>
      <c r="H115" s="891">
        <v>4</v>
      </c>
      <c r="I115" s="891">
        <v>1</v>
      </c>
      <c r="J115" s="2386">
        <v>3092</v>
      </c>
      <c r="K115" s="891">
        <v>1768</v>
      </c>
      <c r="L115" s="2387"/>
      <c r="M115" s="575">
        <v>587</v>
      </c>
      <c r="N115" s="575">
        <v>4144</v>
      </c>
      <c r="O115" s="575">
        <v>123</v>
      </c>
      <c r="P115" s="575">
        <v>6</v>
      </c>
      <c r="Q115" s="2409">
        <v>255</v>
      </c>
    </row>
    <row r="116" spans="1:17" s="576" customFormat="1" x14ac:dyDescent="0.25">
      <c r="A116" s="578" t="s">
        <v>166</v>
      </c>
      <c r="B116" s="574" t="s">
        <v>167</v>
      </c>
      <c r="C116" s="573" t="s">
        <v>268</v>
      </c>
      <c r="D116" s="2410">
        <v>138</v>
      </c>
      <c r="E116" s="2386">
        <v>85</v>
      </c>
      <c r="F116" s="891">
        <v>34</v>
      </c>
      <c r="G116" s="891">
        <v>19</v>
      </c>
      <c r="H116" s="891">
        <v>0</v>
      </c>
      <c r="I116" s="891">
        <v>0</v>
      </c>
      <c r="J116" s="2386">
        <v>79</v>
      </c>
      <c r="K116" s="891">
        <v>59</v>
      </c>
      <c r="L116" s="2387"/>
      <c r="M116" s="575">
        <v>117</v>
      </c>
      <c r="N116" s="575">
        <v>18</v>
      </c>
      <c r="O116" s="575">
        <v>3</v>
      </c>
      <c r="P116" s="575">
        <v>0</v>
      </c>
      <c r="Q116" s="2409">
        <v>2</v>
      </c>
    </row>
    <row r="117" spans="1:17" s="576" customFormat="1" x14ac:dyDescent="0.25">
      <c r="A117" s="578" t="s">
        <v>176</v>
      </c>
      <c r="B117" s="574" t="s">
        <v>177</v>
      </c>
      <c r="C117" s="573" t="s">
        <v>266</v>
      </c>
      <c r="D117" s="2410">
        <v>1380</v>
      </c>
      <c r="E117" s="2386">
        <v>941</v>
      </c>
      <c r="F117" s="891">
        <v>349</v>
      </c>
      <c r="G117" s="891">
        <v>89</v>
      </c>
      <c r="H117" s="891">
        <v>1</v>
      </c>
      <c r="I117" s="891">
        <v>0</v>
      </c>
      <c r="J117" s="2386">
        <v>870</v>
      </c>
      <c r="K117" s="891">
        <v>510</v>
      </c>
      <c r="L117" s="2387"/>
      <c r="M117" s="575">
        <v>93</v>
      </c>
      <c r="N117" s="575">
        <v>1259</v>
      </c>
      <c r="O117" s="575">
        <v>24</v>
      </c>
      <c r="P117" s="575">
        <v>4</v>
      </c>
      <c r="Q117" s="2409">
        <v>56</v>
      </c>
    </row>
    <row r="118" spans="1:17" s="576" customFormat="1" x14ac:dyDescent="0.25">
      <c r="A118" s="578" t="s">
        <v>180</v>
      </c>
      <c r="B118" s="574" t="s">
        <v>181</v>
      </c>
      <c r="C118" s="573" t="s">
        <v>264</v>
      </c>
      <c r="D118" s="2410">
        <v>2777</v>
      </c>
      <c r="E118" s="2386">
        <v>1967</v>
      </c>
      <c r="F118" s="891">
        <v>658</v>
      </c>
      <c r="G118" s="891">
        <v>149</v>
      </c>
      <c r="H118" s="891">
        <v>3</v>
      </c>
      <c r="I118" s="891">
        <v>0</v>
      </c>
      <c r="J118" s="2386">
        <v>1724</v>
      </c>
      <c r="K118" s="891">
        <v>1053</v>
      </c>
      <c r="L118" s="2387"/>
      <c r="M118" s="575">
        <v>297</v>
      </c>
      <c r="N118" s="575">
        <v>2447</v>
      </c>
      <c r="O118" s="575">
        <v>25</v>
      </c>
      <c r="P118" s="575">
        <v>8</v>
      </c>
      <c r="Q118" s="2409">
        <v>58</v>
      </c>
    </row>
    <row r="119" spans="1:17" s="576" customFormat="1" x14ac:dyDescent="0.25">
      <c r="A119" s="578" t="s">
        <v>192</v>
      </c>
      <c r="B119" s="574" t="s">
        <v>193</v>
      </c>
      <c r="C119" s="573" t="s">
        <v>268</v>
      </c>
      <c r="D119" s="2410">
        <v>230</v>
      </c>
      <c r="E119" s="2386">
        <v>167</v>
      </c>
      <c r="F119" s="891">
        <v>50</v>
      </c>
      <c r="G119" s="891">
        <v>12</v>
      </c>
      <c r="H119" s="891">
        <v>1</v>
      </c>
      <c r="I119" s="891">
        <v>0</v>
      </c>
      <c r="J119" s="2386">
        <v>134</v>
      </c>
      <c r="K119" s="891">
        <v>96</v>
      </c>
      <c r="L119" s="2387"/>
      <c r="M119" s="575">
        <v>145</v>
      </c>
      <c r="N119" s="575">
        <v>83</v>
      </c>
      <c r="O119" s="575">
        <v>0</v>
      </c>
      <c r="P119" s="575">
        <v>2</v>
      </c>
      <c r="Q119" s="2409">
        <v>4</v>
      </c>
    </row>
    <row r="120" spans="1:17" s="576" customFormat="1" x14ac:dyDescent="0.25">
      <c r="A120" s="578" t="s">
        <v>196</v>
      </c>
      <c r="B120" s="574" t="s">
        <v>197</v>
      </c>
      <c r="C120" s="573" t="s">
        <v>266</v>
      </c>
      <c r="D120" s="2410">
        <v>6116</v>
      </c>
      <c r="E120" s="2386">
        <v>4269</v>
      </c>
      <c r="F120" s="891">
        <v>1425</v>
      </c>
      <c r="G120" s="891">
        <v>408</v>
      </c>
      <c r="H120" s="891">
        <v>14</v>
      </c>
      <c r="I120" s="891">
        <v>0</v>
      </c>
      <c r="J120" s="2386">
        <v>3866</v>
      </c>
      <c r="K120" s="891">
        <v>2250</v>
      </c>
      <c r="L120" s="2387"/>
      <c r="M120" s="575">
        <v>427</v>
      </c>
      <c r="N120" s="575">
        <v>5586</v>
      </c>
      <c r="O120" s="575">
        <v>93</v>
      </c>
      <c r="P120" s="575">
        <v>10</v>
      </c>
      <c r="Q120" s="2409">
        <v>224</v>
      </c>
    </row>
    <row r="121" spans="1:17" s="576" customFormat="1" x14ac:dyDescent="0.25">
      <c r="A121" s="578" t="s">
        <v>200</v>
      </c>
      <c r="B121" s="574" t="s">
        <v>201</v>
      </c>
      <c r="C121" s="573" t="s">
        <v>265</v>
      </c>
      <c r="D121" s="2410">
        <v>3086</v>
      </c>
      <c r="E121" s="2386">
        <v>2163</v>
      </c>
      <c r="F121" s="891">
        <v>670</v>
      </c>
      <c r="G121" s="891">
        <v>250</v>
      </c>
      <c r="H121" s="891">
        <v>3</v>
      </c>
      <c r="I121" s="891">
        <v>0</v>
      </c>
      <c r="J121" s="2386">
        <v>1857</v>
      </c>
      <c r="K121" s="891">
        <v>1229</v>
      </c>
      <c r="L121" s="2387"/>
      <c r="M121" s="575">
        <v>1219</v>
      </c>
      <c r="N121" s="575">
        <v>1744</v>
      </c>
      <c r="O121" s="575">
        <v>116</v>
      </c>
      <c r="P121" s="575">
        <v>7</v>
      </c>
      <c r="Q121" s="2409">
        <v>105</v>
      </c>
    </row>
    <row r="122" spans="1:17" s="576" customFormat="1" x14ac:dyDescent="0.25">
      <c r="A122" s="578" t="s">
        <v>222</v>
      </c>
      <c r="B122" s="574" t="s">
        <v>223</v>
      </c>
      <c r="C122" s="573" t="s">
        <v>264</v>
      </c>
      <c r="D122" s="2410">
        <v>1257</v>
      </c>
      <c r="E122" s="2386">
        <v>922</v>
      </c>
      <c r="F122" s="891">
        <v>259</v>
      </c>
      <c r="G122" s="891">
        <v>76</v>
      </c>
      <c r="H122" s="891">
        <v>0</v>
      </c>
      <c r="I122" s="891">
        <v>0</v>
      </c>
      <c r="J122" s="2386">
        <v>778</v>
      </c>
      <c r="K122" s="891">
        <v>479</v>
      </c>
      <c r="L122" s="2387"/>
      <c r="M122" s="575">
        <v>216</v>
      </c>
      <c r="N122" s="575">
        <v>1026</v>
      </c>
      <c r="O122" s="575">
        <v>12</v>
      </c>
      <c r="P122" s="575">
        <v>3</v>
      </c>
      <c r="Q122" s="2409">
        <v>28</v>
      </c>
    </row>
    <row r="123" spans="1:17" s="576" customFormat="1" x14ac:dyDescent="0.25">
      <c r="A123" s="578" t="s">
        <v>230</v>
      </c>
      <c r="B123" s="574" t="s">
        <v>231</v>
      </c>
      <c r="C123" s="573" t="s">
        <v>264</v>
      </c>
      <c r="D123" s="2410">
        <v>2376</v>
      </c>
      <c r="E123" s="2386">
        <v>1726</v>
      </c>
      <c r="F123" s="891">
        <v>447</v>
      </c>
      <c r="G123" s="891">
        <v>202</v>
      </c>
      <c r="H123" s="891">
        <v>1</v>
      </c>
      <c r="I123" s="891">
        <v>0</v>
      </c>
      <c r="J123" s="2386">
        <v>1449</v>
      </c>
      <c r="K123" s="891">
        <v>927</v>
      </c>
      <c r="L123" s="2387"/>
      <c r="M123" s="575">
        <v>744</v>
      </c>
      <c r="N123" s="575">
        <v>1563</v>
      </c>
      <c r="O123" s="575">
        <v>62</v>
      </c>
      <c r="P123" s="575">
        <v>7</v>
      </c>
      <c r="Q123" s="2409">
        <v>156</v>
      </c>
    </row>
    <row r="124" spans="1:17" s="576" customFormat="1" x14ac:dyDescent="0.25">
      <c r="A124" s="578" t="s">
        <v>238</v>
      </c>
      <c r="B124" s="574" t="s">
        <v>239</v>
      </c>
      <c r="C124" s="573" t="s">
        <v>264</v>
      </c>
      <c r="D124" s="2410">
        <v>152</v>
      </c>
      <c r="E124" s="2386">
        <v>100</v>
      </c>
      <c r="F124" s="891">
        <v>39</v>
      </c>
      <c r="G124" s="891">
        <v>13</v>
      </c>
      <c r="H124" s="891">
        <v>0</v>
      </c>
      <c r="I124" s="891">
        <v>0</v>
      </c>
      <c r="J124" s="2386">
        <v>77</v>
      </c>
      <c r="K124" s="891">
        <v>75</v>
      </c>
      <c r="L124" s="2387"/>
      <c r="M124" s="575">
        <v>45</v>
      </c>
      <c r="N124" s="575">
        <v>104</v>
      </c>
      <c r="O124" s="575">
        <v>3</v>
      </c>
      <c r="P124" s="575">
        <v>0</v>
      </c>
      <c r="Q124" s="2409">
        <v>9</v>
      </c>
    </row>
    <row r="125" spans="1:17" s="576" customFormat="1" x14ac:dyDescent="0.25">
      <c r="A125" s="578" t="s">
        <v>240</v>
      </c>
      <c r="B125" s="574" t="s">
        <v>241</v>
      </c>
      <c r="C125" s="573" t="s">
        <v>267</v>
      </c>
      <c r="D125" s="2410">
        <v>349</v>
      </c>
      <c r="E125" s="2386">
        <v>246</v>
      </c>
      <c r="F125" s="891">
        <v>72</v>
      </c>
      <c r="G125" s="891">
        <v>31</v>
      </c>
      <c r="H125" s="891">
        <v>0</v>
      </c>
      <c r="I125" s="891">
        <v>0</v>
      </c>
      <c r="J125" s="2386">
        <v>216</v>
      </c>
      <c r="K125" s="891">
        <v>133</v>
      </c>
      <c r="L125" s="2387"/>
      <c r="M125" s="575">
        <v>196</v>
      </c>
      <c r="N125" s="575">
        <v>145</v>
      </c>
      <c r="O125" s="575">
        <v>8</v>
      </c>
      <c r="P125" s="575">
        <v>0</v>
      </c>
      <c r="Q125" s="2409">
        <v>27</v>
      </c>
    </row>
    <row r="126" spans="1:17" x14ac:dyDescent="0.25">
      <c r="B126" s="481"/>
      <c r="C126" s="481"/>
      <c r="D126" s="481"/>
      <c r="E126" s="481"/>
      <c r="F126" s="481"/>
      <c r="G126" s="481"/>
      <c r="H126" s="481"/>
      <c r="I126" s="481"/>
      <c r="J126" s="481"/>
      <c r="K126" s="481"/>
      <c r="L126" s="481"/>
    </row>
    <row r="128" spans="1:17" ht="45" customHeight="1" x14ac:dyDescent="0.25">
      <c r="A128" s="2746" t="s">
        <v>1403</v>
      </c>
      <c r="B128" s="2746"/>
      <c r="C128" s="2746"/>
      <c r="D128" s="2746"/>
      <c r="E128" s="2746"/>
      <c r="F128" s="2746"/>
      <c r="G128" s="2746"/>
      <c r="H128" s="2746"/>
      <c r="I128" s="2746"/>
      <c r="J128" s="1029"/>
      <c r="K128" s="1029"/>
      <c r="L128" s="2388"/>
    </row>
    <row r="129" spans="1:12" x14ac:dyDescent="0.25">
      <c r="A129" s="2746"/>
      <c r="B129" s="2746"/>
      <c r="C129" s="2746"/>
      <c r="D129" s="2746"/>
      <c r="E129" s="2746"/>
      <c r="F129" s="2746"/>
      <c r="G129" s="2746"/>
      <c r="H129" s="2746"/>
      <c r="I129" s="2746"/>
    </row>
    <row r="130" spans="1:12" s="389" customFormat="1" x14ac:dyDescent="0.25">
      <c r="A130" s="389" t="s">
        <v>248</v>
      </c>
    </row>
    <row r="131" spans="1:12" s="389" customFormat="1" x14ac:dyDescent="0.25">
      <c r="A131" s="390" t="s">
        <v>249</v>
      </c>
      <c r="B131" s="391" t="s">
        <v>250</v>
      </c>
      <c r="C131" s="391"/>
      <c r="D131" s="391"/>
      <c r="E131" s="391"/>
      <c r="F131" s="391"/>
      <c r="G131" s="391"/>
      <c r="H131" s="391"/>
      <c r="I131" s="391"/>
      <c r="J131" s="391"/>
      <c r="K131" s="391"/>
      <c r="L131" s="391"/>
    </row>
  </sheetData>
  <autoFilter ref="A4:C4"/>
  <sortState ref="A6:Q125">
    <sortCondition ref="A6:A125"/>
  </sortState>
  <mergeCells count="5">
    <mergeCell ref="Q3:Q4"/>
    <mergeCell ref="A128:I129"/>
    <mergeCell ref="M3:P3"/>
    <mergeCell ref="E3:I3"/>
    <mergeCell ref="J3:L3"/>
  </mergeCells>
  <hyperlinks>
    <hyperlink ref="B131"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M135"/>
  <sheetViews>
    <sheetView workbookViewId="0">
      <pane xSplit="2" ySplit="3" topLeftCell="C4" activePane="bottomRight" state="frozen"/>
      <selection pane="topRight" activeCell="C1" sqref="C1"/>
      <selection pane="bottomLeft" activeCell="A4" sqref="A4"/>
      <selection pane="bottomRight" activeCell="A4" sqref="A4:XFD123"/>
    </sheetView>
  </sheetViews>
  <sheetFormatPr defaultRowHeight="15.75" x14ac:dyDescent="0.25"/>
  <cols>
    <col min="1" max="1" width="8.75" style="491" customWidth="1"/>
    <col min="2" max="2" width="33.875" style="265" customWidth="1"/>
    <col min="3" max="3" width="11.625" style="265" customWidth="1"/>
    <col min="4" max="4" width="12.125" style="265" customWidth="1"/>
    <col min="5" max="5" width="16.75" style="491" customWidth="1"/>
    <col min="6" max="6" width="24.5" style="265" customWidth="1"/>
    <col min="7" max="7" width="26" style="265" customWidth="1"/>
    <col min="8" max="8" width="9" style="265"/>
    <col min="9" max="9" width="29.875" style="265" customWidth="1"/>
    <col min="10" max="10" width="25.625" style="265" customWidth="1"/>
    <col min="11" max="16384" width="9" style="265"/>
  </cols>
  <sheetData>
    <row r="1" spans="1:10" x14ac:dyDescent="0.25">
      <c r="A1" s="63" t="s">
        <v>1176</v>
      </c>
    </row>
    <row r="2" spans="1:10" x14ac:dyDescent="0.25">
      <c r="A2" s="63"/>
    </row>
    <row r="3" spans="1:10" ht="63" x14ac:dyDescent="0.25">
      <c r="A3" s="494" t="s">
        <v>4</v>
      </c>
      <c r="B3" s="495" t="s">
        <v>5</v>
      </c>
      <c r="C3" s="488" t="s">
        <v>251</v>
      </c>
      <c r="D3" s="496" t="s">
        <v>305</v>
      </c>
      <c r="E3" s="1472" t="s">
        <v>1147</v>
      </c>
      <c r="F3" s="1467" t="s">
        <v>1106</v>
      </c>
      <c r="G3" s="1467" t="s">
        <v>1177</v>
      </c>
      <c r="H3" s="492" t="s">
        <v>1174</v>
      </c>
      <c r="I3" s="490" t="s">
        <v>1175</v>
      </c>
      <c r="J3" s="1467" t="s">
        <v>1107</v>
      </c>
    </row>
    <row r="4" spans="1:10" x14ac:dyDescent="0.25">
      <c r="A4" s="497" t="s">
        <v>10</v>
      </c>
      <c r="B4" s="458" t="s">
        <v>11</v>
      </c>
      <c r="C4" s="458" t="s">
        <v>264</v>
      </c>
      <c r="D4" s="498" t="s">
        <v>10</v>
      </c>
      <c r="E4" s="491" t="s">
        <v>711</v>
      </c>
      <c r="F4" s="265" t="s">
        <v>647</v>
      </c>
      <c r="H4" s="493" t="s">
        <v>607</v>
      </c>
      <c r="I4" s="487" t="s">
        <v>708</v>
      </c>
      <c r="J4" s="265" t="s">
        <v>1108</v>
      </c>
    </row>
    <row r="5" spans="1:10" x14ac:dyDescent="0.25">
      <c r="A5" s="497" t="s">
        <v>12</v>
      </c>
      <c r="B5" s="458" t="s">
        <v>13</v>
      </c>
      <c r="C5" s="458" t="s">
        <v>265</v>
      </c>
      <c r="D5" s="498" t="s">
        <v>12</v>
      </c>
      <c r="E5" s="491" t="s">
        <v>713</v>
      </c>
      <c r="F5" s="265" t="s">
        <v>638</v>
      </c>
      <c r="G5" s="265" t="s">
        <v>656</v>
      </c>
      <c r="H5" s="493" t="s">
        <v>896</v>
      </c>
      <c r="I5" s="487" t="s">
        <v>709</v>
      </c>
      <c r="J5" s="265" t="s">
        <v>1109</v>
      </c>
    </row>
    <row r="6" spans="1:10" x14ac:dyDescent="0.25">
      <c r="A6" s="497" t="s">
        <v>16</v>
      </c>
      <c r="B6" s="458" t="s">
        <v>600</v>
      </c>
      <c r="C6" s="458" t="s">
        <v>265</v>
      </c>
      <c r="D6" s="498" t="s">
        <v>16</v>
      </c>
      <c r="E6" s="491" t="s">
        <v>711</v>
      </c>
      <c r="F6" s="265" t="s">
        <v>647</v>
      </c>
      <c r="H6" s="493" t="s">
        <v>896</v>
      </c>
      <c r="I6" s="487" t="s">
        <v>709</v>
      </c>
      <c r="J6" s="265" t="s">
        <v>1111</v>
      </c>
    </row>
    <row r="7" spans="1:10" x14ac:dyDescent="0.25">
      <c r="A7" s="497" t="s">
        <v>18</v>
      </c>
      <c r="B7" s="458" t="s">
        <v>19</v>
      </c>
      <c r="C7" s="458" t="s">
        <v>266</v>
      </c>
      <c r="D7" s="498" t="s">
        <v>18</v>
      </c>
      <c r="E7" s="491" t="s">
        <v>712</v>
      </c>
      <c r="F7" s="265" t="s">
        <v>638</v>
      </c>
      <c r="G7" s="265" t="s">
        <v>657</v>
      </c>
      <c r="H7" s="493" t="s">
        <v>896</v>
      </c>
      <c r="I7" s="487" t="s">
        <v>709</v>
      </c>
      <c r="J7" s="265" t="s">
        <v>1112</v>
      </c>
    </row>
    <row r="8" spans="1:10" x14ac:dyDescent="0.25">
      <c r="A8" s="497" t="s">
        <v>20</v>
      </c>
      <c r="B8" s="458" t="s">
        <v>21</v>
      </c>
      <c r="C8" s="458" t="s">
        <v>265</v>
      </c>
      <c r="D8" s="498" t="s">
        <v>20</v>
      </c>
      <c r="E8" s="491" t="s">
        <v>711</v>
      </c>
      <c r="F8" s="265" t="s">
        <v>647</v>
      </c>
      <c r="H8" s="493" t="s">
        <v>607</v>
      </c>
      <c r="I8" s="487" t="s">
        <v>708</v>
      </c>
      <c r="J8" s="265" t="s">
        <v>1108</v>
      </c>
    </row>
    <row r="9" spans="1:10" x14ac:dyDescent="0.25">
      <c r="A9" s="497" t="s">
        <v>22</v>
      </c>
      <c r="B9" s="458" t="s">
        <v>23</v>
      </c>
      <c r="C9" s="458" t="s">
        <v>265</v>
      </c>
      <c r="D9" s="498" t="s">
        <v>22</v>
      </c>
      <c r="E9" s="491" t="s">
        <v>712</v>
      </c>
      <c r="F9" s="265" t="s">
        <v>647</v>
      </c>
      <c r="H9" s="493" t="s">
        <v>896</v>
      </c>
      <c r="I9" s="487" t="s">
        <v>709</v>
      </c>
      <c r="J9" s="265" t="s">
        <v>1111</v>
      </c>
    </row>
    <row r="10" spans="1:10" x14ac:dyDescent="0.25">
      <c r="A10" s="497" t="s">
        <v>24</v>
      </c>
      <c r="B10" s="458" t="s">
        <v>25</v>
      </c>
      <c r="C10" s="458" t="s">
        <v>267</v>
      </c>
      <c r="D10" s="498" t="s">
        <v>24</v>
      </c>
      <c r="E10" s="499" t="s">
        <v>713</v>
      </c>
      <c r="F10" s="265" t="s">
        <v>638</v>
      </c>
      <c r="G10" s="265" t="s">
        <v>1113</v>
      </c>
      <c r="H10" s="493" t="s">
        <v>608</v>
      </c>
      <c r="I10" s="487" t="s">
        <v>710</v>
      </c>
      <c r="J10" s="265" t="s">
        <v>1110</v>
      </c>
    </row>
    <row r="11" spans="1:10" x14ac:dyDescent="0.25">
      <c r="A11" s="497" t="s">
        <v>26</v>
      </c>
      <c r="B11" s="458" t="s">
        <v>298</v>
      </c>
      <c r="C11" s="458" t="s">
        <v>265</v>
      </c>
      <c r="D11" s="498" t="s">
        <v>26</v>
      </c>
      <c r="E11" s="491" t="s">
        <v>713</v>
      </c>
      <c r="F11" s="265" t="s">
        <v>647</v>
      </c>
      <c r="H11" s="493" t="s">
        <v>896</v>
      </c>
      <c r="I11" s="487" t="s">
        <v>709</v>
      </c>
      <c r="J11" s="265" t="s">
        <v>1110</v>
      </c>
    </row>
    <row r="12" spans="1:10" x14ac:dyDescent="0.25">
      <c r="A12" s="497" t="s">
        <v>27</v>
      </c>
      <c r="B12" s="458" t="s">
        <v>28</v>
      </c>
      <c r="C12" s="458" t="s">
        <v>265</v>
      </c>
      <c r="D12" s="498" t="s">
        <v>27</v>
      </c>
      <c r="E12" s="491" t="s">
        <v>712</v>
      </c>
      <c r="F12" s="265" t="s">
        <v>647</v>
      </c>
      <c r="H12" s="493" t="s">
        <v>607</v>
      </c>
      <c r="I12" s="487" t="s">
        <v>708</v>
      </c>
      <c r="J12" s="265" t="s">
        <v>1108</v>
      </c>
    </row>
    <row r="13" spans="1:10" x14ac:dyDescent="0.25">
      <c r="A13" s="497" t="s">
        <v>29</v>
      </c>
      <c r="B13" s="458" t="s">
        <v>901</v>
      </c>
      <c r="C13" s="458" t="s">
        <v>265</v>
      </c>
      <c r="D13" s="498" t="s">
        <v>29</v>
      </c>
      <c r="E13" s="491" t="s">
        <v>713</v>
      </c>
      <c r="F13" s="265" t="s">
        <v>647</v>
      </c>
      <c r="H13" s="493" t="s">
        <v>896</v>
      </c>
      <c r="I13" s="487" t="s">
        <v>709</v>
      </c>
      <c r="J13" s="265" t="s">
        <v>1111</v>
      </c>
    </row>
    <row r="14" spans="1:10" x14ac:dyDescent="0.25">
      <c r="A14" s="497" t="s">
        <v>30</v>
      </c>
      <c r="B14" s="458" t="s">
        <v>31</v>
      </c>
      <c r="C14" s="458" t="s">
        <v>268</v>
      </c>
      <c r="D14" s="498" t="s">
        <v>30</v>
      </c>
      <c r="E14" s="491" t="s">
        <v>712</v>
      </c>
      <c r="F14" s="265" t="s">
        <v>647</v>
      </c>
      <c r="H14" s="493" t="s">
        <v>896</v>
      </c>
      <c r="I14" s="487" t="s">
        <v>709</v>
      </c>
      <c r="J14" s="265" t="s">
        <v>1112</v>
      </c>
    </row>
    <row r="15" spans="1:10" x14ac:dyDescent="0.25">
      <c r="A15" s="497" t="s">
        <v>32</v>
      </c>
      <c r="B15" s="458" t="s">
        <v>33</v>
      </c>
      <c r="C15" s="458" t="s">
        <v>265</v>
      </c>
      <c r="D15" s="498" t="s">
        <v>32</v>
      </c>
      <c r="E15" s="491" t="s">
        <v>712</v>
      </c>
      <c r="F15" s="265" t="s">
        <v>647</v>
      </c>
      <c r="H15" s="493" t="s">
        <v>607</v>
      </c>
      <c r="I15" s="487" t="s">
        <v>708</v>
      </c>
      <c r="J15" s="265" t="s">
        <v>1108</v>
      </c>
    </row>
    <row r="16" spans="1:10" x14ac:dyDescent="0.25">
      <c r="A16" s="497" t="s">
        <v>36</v>
      </c>
      <c r="B16" s="458" t="s">
        <v>37</v>
      </c>
      <c r="C16" s="458" t="s">
        <v>264</v>
      </c>
      <c r="D16" s="498" t="s">
        <v>36</v>
      </c>
      <c r="E16" s="491" t="s">
        <v>711</v>
      </c>
      <c r="F16" s="265" t="s">
        <v>647</v>
      </c>
      <c r="H16" s="493" t="s">
        <v>607</v>
      </c>
      <c r="I16" s="487" t="s">
        <v>708</v>
      </c>
      <c r="J16" s="265" t="s">
        <v>1108</v>
      </c>
    </row>
    <row r="17" spans="1:10" x14ac:dyDescent="0.25">
      <c r="A17" s="497" t="s">
        <v>38</v>
      </c>
      <c r="B17" s="458" t="s">
        <v>39</v>
      </c>
      <c r="C17" s="458" t="s">
        <v>268</v>
      </c>
      <c r="D17" s="498" t="s">
        <v>38</v>
      </c>
      <c r="E17" s="491" t="s">
        <v>711</v>
      </c>
      <c r="F17" s="265" t="s">
        <v>647</v>
      </c>
      <c r="H17" s="493" t="s">
        <v>896</v>
      </c>
      <c r="I17" s="487" t="s">
        <v>709</v>
      </c>
      <c r="J17" s="265" t="s">
        <v>1112</v>
      </c>
    </row>
    <row r="18" spans="1:10" x14ac:dyDescent="0.25">
      <c r="A18" s="497" t="s">
        <v>40</v>
      </c>
      <c r="B18" s="458" t="s">
        <v>41</v>
      </c>
      <c r="C18" s="458" t="s">
        <v>266</v>
      </c>
      <c r="D18" s="498" t="s">
        <v>40</v>
      </c>
      <c r="E18" s="491" t="s">
        <v>711</v>
      </c>
      <c r="F18" s="265" t="s">
        <v>647</v>
      </c>
      <c r="H18" s="493" t="s">
        <v>896</v>
      </c>
      <c r="I18" s="487" t="s">
        <v>709</v>
      </c>
      <c r="J18" s="265" t="s">
        <v>1112</v>
      </c>
    </row>
    <row r="19" spans="1:10" x14ac:dyDescent="0.25">
      <c r="A19" s="497" t="s">
        <v>42</v>
      </c>
      <c r="B19" s="458" t="s">
        <v>43</v>
      </c>
      <c r="C19" s="458" t="s">
        <v>265</v>
      </c>
      <c r="D19" s="498" t="s">
        <v>42</v>
      </c>
      <c r="E19" s="491" t="s">
        <v>711</v>
      </c>
      <c r="F19" s="265" t="s">
        <v>647</v>
      </c>
      <c r="H19" s="493" t="s">
        <v>896</v>
      </c>
      <c r="I19" s="487" t="s">
        <v>709</v>
      </c>
      <c r="J19" s="265" t="s">
        <v>1114</v>
      </c>
    </row>
    <row r="20" spans="1:10" x14ac:dyDescent="0.25">
      <c r="A20" s="497" t="s">
        <v>44</v>
      </c>
      <c r="B20" s="458" t="s">
        <v>45</v>
      </c>
      <c r="C20" s="458" t="s">
        <v>266</v>
      </c>
      <c r="D20" s="498" t="s">
        <v>44</v>
      </c>
      <c r="E20" s="491" t="s">
        <v>711</v>
      </c>
      <c r="F20" s="265" t="s">
        <v>647</v>
      </c>
      <c r="H20" s="493" t="s">
        <v>896</v>
      </c>
      <c r="I20" s="487" t="s">
        <v>709</v>
      </c>
      <c r="J20" s="265" t="s">
        <v>1111</v>
      </c>
    </row>
    <row r="21" spans="1:10" x14ac:dyDescent="0.25">
      <c r="A21" s="497" t="s">
        <v>46</v>
      </c>
      <c r="B21" s="458" t="s">
        <v>47</v>
      </c>
      <c r="C21" s="458" t="s">
        <v>268</v>
      </c>
      <c r="D21" s="498" t="s">
        <v>46</v>
      </c>
      <c r="E21" s="491" t="s">
        <v>711</v>
      </c>
      <c r="F21" s="265" t="s">
        <v>647</v>
      </c>
      <c r="H21" s="493" t="s">
        <v>896</v>
      </c>
      <c r="I21" s="487" t="s">
        <v>709</v>
      </c>
      <c r="J21" s="265" t="s">
        <v>1112</v>
      </c>
    </row>
    <row r="22" spans="1:10" x14ac:dyDescent="0.25">
      <c r="A22" s="497" t="s">
        <v>48</v>
      </c>
      <c r="B22" s="458" t="s">
        <v>269</v>
      </c>
      <c r="C22" s="458" t="s">
        <v>266</v>
      </c>
      <c r="D22" s="498" t="s">
        <v>48</v>
      </c>
      <c r="E22" s="491" t="s">
        <v>712</v>
      </c>
      <c r="F22" s="265" t="s">
        <v>647</v>
      </c>
      <c r="H22" s="493" t="s">
        <v>896</v>
      </c>
      <c r="I22" s="487" t="s">
        <v>709</v>
      </c>
      <c r="J22" s="265" t="s">
        <v>1115</v>
      </c>
    </row>
    <row r="23" spans="1:10" x14ac:dyDescent="0.25">
      <c r="A23" s="497" t="s">
        <v>50</v>
      </c>
      <c r="B23" s="458" t="s">
        <v>51</v>
      </c>
      <c r="C23" s="458" t="s">
        <v>265</v>
      </c>
      <c r="D23" s="498" t="s">
        <v>50</v>
      </c>
      <c r="E23" s="491" t="s">
        <v>711</v>
      </c>
      <c r="F23" s="265" t="s">
        <v>647</v>
      </c>
      <c r="H23" s="493" t="s">
        <v>896</v>
      </c>
      <c r="I23" s="487" t="s">
        <v>709</v>
      </c>
      <c r="J23" s="265" t="s">
        <v>1112</v>
      </c>
    </row>
    <row r="24" spans="1:10" x14ac:dyDescent="0.25">
      <c r="A24" s="497" t="s">
        <v>56</v>
      </c>
      <c r="B24" s="458" t="s">
        <v>295</v>
      </c>
      <c r="C24" s="458" t="s">
        <v>266</v>
      </c>
      <c r="D24" s="498" t="s">
        <v>56</v>
      </c>
      <c r="E24" s="491" t="s">
        <v>713</v>
      </c>
      <c r="F24" s="265" t="s">
        <v>647</v>
      </c>
      <c r="H24" s="493" t="s">
        <v>608</v>
      </c>
      <c r="I24" s="487" t="s">
        <v>710</v>
      </c>
      <c r="J24" s="265" t="s">
        <v>1110</v>
      </c>
    </row>
    <row r="25" spans="1:10" x14ac:dyDescent="0.25">
      <c r="A25" s="497" t="s">
        <v>58</v>
      </c>
      <c r="B25" s="458" t="s">
        <v>59</v>
      </c>
      <c r="C25" s="458" t="s">
        <v>267</v>
      </c>
      <c r="D25" s="498" t="s">
        <v>58</v>
      </c>
      <c r="E25" s="491" t="s">
        <v>712</v>
      </c>
      <c r="F25" s="265" t="s">
        <v>647</v>
      </c>
      <c r="H25" s="493" t="s">
        <v>1116</v>
      </c>
      <c r="I25" s="487" t="s">
        <v>708</v>
      </c>
      <c r="J25" s="265" t="s">
        <v>1108</v>
      </c>
    </row>
    <row r="26" spans="1:10" x14ac:dyDescent="0.25">
      <c r="A26" s="497" t="s">
        <v>60</v>
      </c>
      <c r="B26" s="458" t="s">
        <v>61</v>
      </c>
      <c r="C26" s="458" t="s">
        <v>265</v>
      </c>
      <c r="D26" s="498" t="s">
        <v>60</v>
      </c>
      <c r="E26" s="491" t="s">
        <v>712</v>
      </c>
      <c r="F26" s="265" t="s">
        <v>647</v>
      </c>
      <c r="H26" s="493" t="s">
        <v>607</v>
      </c>
      <c r="I26" s="487" t="s">
        <v>708</v>
      </c>
      <c r="J26" s="265" t="s">
        <v>1108</v>
      </c>
    </row>
    <row r="27" spans="1:10" x14ac:dyDescent="0.25">
      <c r="A27" s="497" t="s">
        <v>62</v>
      </c>
      <c r="B27" s="458" t="s">
        <v>63</v>
      </c>
      <c r="C27" s="458" t="s">
        <v>267</v>
      </c>
      <c r="D27" s="498" t="s">
        <v>62</v>
      </c>
      <c r="E27" s="491" t="s">
        <v>711</v>
      </c>
      <c r="F27" s="265" t="s">
        <v>647</v>
      </c>
      <c r="H27" s="493" t="s">
        <v>896</v>
      </c>
      <c r="I27" s="487" t="s">
        <v>709</v>
      </c>
      <c r="J27" s="265" t="s">
        <v>1111</v>
      </c>
    </row>
    <row r="28" spans="1:10" x14ac:dyDescent="0.25">
      <c r="A28" s="497" t="s">
        <v>64</v>
      </c>
      <c r="B28" s="458" t="s">
        <v>65</v>
      </c>
      <c r="C28" s="458" t="s">
        <v>266</v>
      </c>
      <c r="D28" s="498" t="s">
        <v>64</v>
      </c>
      <c r="E28" s="491" t="s">
        <v>712</v>
      </c>
      <c r="F28" s="265" t="s">
        <v>647</v>
      </c>
      <c r="H28" s="493" t="s">
        <v>896</v>
      </c>
      <c r="I28" s="487" t="s">
        <v>709</v>
      </c>
      <c r="J28" s="265" t="s">
        <v>1115</v>
      </c>
    </row>
    <row r="29" spans="1:10" x14ac:dyDescent="0.25">
      <c r="A29" s="497" t="s">
        <v>68</v>
      </c>
      <c r="B29" s="458" t="s">
        <v>69</v>
      </c>
      <c r="C29" s="458" t="s">
        <v>268</v>
      </c>
      <c r="D29" s="498" t="s">
        <v>68</v>
      </c>
      <c r="E29" s="491" t="s">
        <v>711</v>
      </c>
      <c r="F29" s="265" t="s">
        <v>647</v>
      </c>
      <c r="H29" s="493" t="s">
        <v>607</v>
      </c>
      <c r="I29" s="487" t="s">
        <v>708</v>
      </c>
      <c r="J29" s="265" t="s">
        <v>1108</v>
      </c>
    </row>
    <row r="30" spans="1:10" x14ac:dyDescent="0.25">
      <c r="A30" s="497" t="s">
        <v>70</v>
      </c>
      <c r="B30" s="458" t="s">
        <v>71</v>
      </c>
      <c r="C30" s="458" t="s">
        <v>264</v>
      </c>
      <c r="D30" s="498" t="s">
        <v>70</v>
      </c>
      <c r="E30" s="491" t="s">
        <v>711</v>
      </c>
      <c r="F30" s="265" t="s">
        <v>638</v>
      </c>
      <c r="G30" s="265" t="s">
        <v>657</v>
      </c>
      <c r="H30" s="493" t="s">
        <v>896</v>
      </c>
      <c r="I30" s="487" t="s">
        <v>709</v>
      </c>
      <c r="J30" s="265" t="s">
        <v>1111</v>
      </c>
    </row>
    <row r="31" spans="1:10" x14ac:dyDescent="0.25">
      <c r="A31" s="497" t="s">
        <v>72</v>
      </c>
      <c r="B31" s="458" t="s">
        <v>73</v>
      </c>
      <c r="C31" s="458" t="s">
        <v>266</v>
      </c>
      <c r="D31" s="498" t="s">
        <v>72</v>
      </c>
      <c r="E31" s="491" t="s">
        <v>712</v>
      </c>
      <c r="F31" s="265" t="s">
        <v>647</v>
      </c>
      <c r="H31" s="493" t="s">
        <v>896</v>
      </c>
      <c r="I31" s="487" t="s">
        <v>709</v>
      </c>
      <c r="J31" s="265" t="s">
        <v>1115</v>
      </c>
    </row>
    <row r="32" spans="1:10" x14ac:dyDescent="0.25">
      <c r="A32" s="497" t="s">
        <v>74</v>
      </c>
      <c r="B32" s="458" t="s">
        <v>763</v>
      </c>
      <c r="C32" s="458" t="s">
        <v>267</v>
      </c>
      <c r="D32" s="498" t="s">
        <v>74</v>
      </c>
      <c r="E32" s="491" t="s">
        <v>713</v>
      </c>
      <c r="F32" s="265" t="s">
        <v>638</v>
      </c>
      <c r="G32" s="265" t="s">
        <v>1053</v>
      </c>
      <c r="H32" s="493" t="s">
        <v>608</v>
      </c>
      <c r="I32" s="487" t="s">
        <v>710</v>
      </c>
      <c r="J32" s="265" t="s">
        <v>1110</v>
      </c>
    </row>
    <row r="33" spans="1:10" x14ac:dyDescent="0.25">
      <c r="A33" s="497" t="s">
        <v>76</v>
      </c>
      <c r="B33" s="458" t="s">
        <v>77</v>
      </c>
      <c r="C33" s="458" t="s">
        <v>267</v>
      </c>
      <c r="D33" s="498" t="s">
        <v>76</v>
      </c>
      <c r="E33" s="491" t="s">
        <v>711</v>
      </c>
      <c r="F33" s="265" t="s">
        <v>638</v>
      </c>
      <c r="G33" s="265" t="s">
        <v>657</v>
      </c>
      <c r="H33" s="493" t="s">
        <v>608</v>
      </c>
      <c r="I33" s="487" t="s">
        <v>710</v>
      </c>
      <c r="J33" s="265" t="s">
        <v>1110</v>
      </c>
    </row>
    <row r="34" spans="1:10" x14ac:dyDescent="0.25">
      <c r="A34" s="497" t="s">
        <v>78</v>
      </c>
      <c r="B34" s="458" t="s">
        <v>79</v>
      </c>
      <c r="C34" s="458" t="s">
        <v>268</v>
      </c>
      <c r="D34" s="498" t="s">
        <v>78</v>
      </c>
      <c r="E34" s="491" t="s">
        <v>712</v>
      </c>
      <c r="F34" s="265" t="s">
        <v>647</v>
      </c>
      <c r="H34" s="493" t="s">
        <v>607</v>
      </c>
      <c r="I34" s="487" t="s">
        <v>708</v>
      </c>
      <c r="J34" s="265" t="s">
        <v>1108</v>
      </c>
    </row>
    <row r="35" spans="1:10" x14ac:dyDescent="0.25">
      <c r="A35" s="497" t="s">
        <v>80</v>
      </c>
      <c r="B35" s="458" t="s">
        <v>81</v>
      </c>
      <c r="C35" s="458" t="s">
        <v>266</v>
      </c>
      <c r="D35" s="498" t="s">
        <v>80</v>
      </c>
      <c r="E35" s="491" t="s">
        <v>711</v>
      </c>
      <c r="F35" s="265" t="s">
        <v>647</v>
      </c>
      <c r="H35" s="493" t="s">
        <v>896</v>
      </c>
      <c r="I35" s="487" t="s">
        <v>709</v>
      </c>
      <c r="J35" s="265" t="s">
        <v>1117</v>
      </c>
    </row>
    <row r="36" spans="1:10" x14ac:dyDescent="0.25">
      <c r="A36" s="497" t="s">
        <v>84</v>
      </c>
      <c r="B36" s="458" t="s">
        <v>308</v>
      </c>
      <c r="C36" s="458" t="s">
        <v>265</v>
      </c>
      <c r="D36" s="498" t="s">
        <v>84</v>
      </c>
      <c r="E36" s="491" t="s">
        <v>711</v>
      </c>
      <c r="F36" s="265" t="s">
        <v>647</v>
      </c>
      <c r="H36" s="493" t="s">
        <v>607</v>
      </c>
      <c r="I36" s="487" t="s">
        <v>708</v>
      </c>
      <c r="J36" s="265" t="s">
        <v>1108</v>
      </c>
    </row>
    <row r="37" spans="1:10" x14ac:dyDescent="0.25">
      <c r="A37" s="497" t="s">
        <v>86</v>
      </c>
      <c r="B37" s="458" t="s">
        <v>87</v>
      </c>
      <c r="C37" s="458" t="s">
        <v>267</v>
      </c>
      <c r="D37" s="498" t="s">
        <v>86</v>
      </c>
      <c r="E37" s="491" t="s">
        <v>711</v>
      </c>
      <c r="F37" s="265" t="s">
        <v>647</v>
      </c>
      <c r="H37" s="493" t="s">
        <v>896</v>
      </c>
      <c r="I37" s="487" t="s">
        <v>709</v>
      </c>
      <c r="J37" s="265" t="s">
        <v>1115</v>
      </c>
    </row>
    <row r="38" spans="1:10" x14ac:dyDescent="0.25">
      <c r="A38" s="497" t="s">
        <v>92</v>
      </c>
      <c r="B38" s="458" t="s">
        <v>93</v>
      </c>
      <c r="C38" s="458" t="s">
        <v>268</v>
      </c>
      <c r="D38" s="498" t="s">
        <v>92</v>
      </c>
      <c r="E38" s="491" t="s">
        <v>711</v>
      </c>
      <c r="F38" s="265" t="s">
        <v>647</v>
      </c>
      <c r="H38" s="493" t="s">
        <v>896</v>
      </c>
      <c r="I38" s="487" t="s">
        <v>709</v>
      </c>
      <c r="J38" s="265" t="s">
        <v>1112</v>
      </c>
    </row>
    <row r="39" spans="1:10" x14ac:dyDescent="0.25">
      <c r="A39" s="497" t="s">
        <v>94</v>
      </c>
      <c r="B39" s="458" t="s">
        <v>95</v>
      </c>
      <c r="C39" s="458" t="s">
        <v>264</v>
      </c>
      <c r="D39" s="498" t="s">
        <v>94</v>
      </c>
      <c r="E39" s="491" t="s">
        <v>711</v>
      </c>
      <c r="F39" s="265" t="s">
        <v>647</v>
      </c>
      <c r="H39" s="493" t="s">
        <v>896</v>
      </c>
      <c r="I39" s="487" t="s">
        <v>709</v>
      </c>
      <c r="J39" s="265" t="s">
        <v>1120</v>
      </c>
    </row>
    <row r="40" spans="1:10" x14ac:dyDescent="0.25">
      <c r="A40" s="497" t="s">
        <v>96</v>
      </c>
      <c r="B40" s="458" t="s">
        <v>97</v>
      </c>
      <c r="C40" s="458" t="s">
        <v>266</v>
      </c>
      <c r="D40" s="498" t="s">
        <v>96</v>
      </c>
      <c r="E40" s="491" t="s">
        <v>712</v>
      </c>
      <c r="F40" s="265" t="s">
        <v>647</v>
      </c>
      <c r="H40" s="493" t="s">
        <v>896</v>
      </c>
      <c r="I40" s="487" t="s">
        <v>709</v>
      </c>
      <c r="J40" s="265" t="s">
        <v>1111</v>
      </c>
    </row>
    <row r="41" spans="1:10" x14ac:dyDescent="0.25">
      <c r="A41" s="497" t="s">
        <v>98</v>
      </c>
      <c r="B41" s="458" t="s">
        <v>99</v>
      </c>
      <c r="C41" s="458" t="s">
        <v>268</v>
      </c>
      <c r="D41" s="498" t="s">
        <v>98</v>
      </c>
      <c r="E41" s="491" t="s">
        <v>711</v>
      </c>
      <c r="F41" s="265" t="s">
        <v>647</v>
      </c>
      <c r="H41" s="493" t="s">
        <v>896</v>
      </c>
      <c r="I41" s="487" t="s">
        <v>709</v>
      </c>
      <c r="J41" s="265" t="s">
        <v>1121</v>
      </c>
    </row>
    <row r="42" spans="1:10" x14ac:dyDescent="0.25">
      <c r="A42" s="497" t="s">
        <v>100</v>
      </c>
      <c r="B42" s="458" t="s">
        <v>101</v>
      </c>
      <c r="C42" s="458" t="s">
        <v>267</v>
      </c>
      <c r="D42" s="498" t="s">
        <v>100</v>
      </c>
      <c r="E42" s="491" t="s">
        <v>712</v>
      </c>
      <c r="F42" s="265" t="s">
        <v>647</v>
      </c>
      <c r="H42" s="493" t="s">
        <v>896</v>
      </c>
      <c r="I42" s="487" t="s">
        <v>709</v>
      </c>
      <c r="J42" s="265" t="s">
        <v>1122</v>
      </c>
    </row>
    <row r="43" spans="1:10" x14ac:dyDescent="0.25">
      <c r="A43" s="497" t="s">
        <v>102</v>
      </c>
      <c r="B43" s="458" t="s">
        <v>282</v>
      </c>
      <c r="C43" s="458" t="s">
        <v>264</v>
      </c>
      <c r="D43" s="498" t="s">
        <v>102</v>
      </c>
      <c r="E43" s="491" t="s">
        <v>711</v>
      </c>
      <c r="F43" s="265" t="s">
        <v>647</v>
      </c>
      <c r="H43" s="493" t="s">
        <v>896</v>
      </c>
      <c r="I43" s="487" t="s">
        <v>709</v>
      </c>
      <c r="J43" s="265" t="s">
        <v>1112</v>
      </c>
    </row>
    <row r="44" spans="1:10" x14ac:dyDescent="0.25">
      <c r="A44" s="497" t="s">
        <v>104</v>
      </c>
      <c r="B44" s="458" t="s">
        <v>602</v>
      </c>
      <c r="C44" s="458" t="s">
        <v>265</v>
      </c>
      <c r="D44" s="498" t="s">
        <v>104</v>
      </c>
      <c r="E44" s="491" t="s">
        <v>711</v>
      </c>
      <c r="F44" s="265" t="s">
        <v>647</v>
      </c>
      <c r="H44" s="493" t="s">
        <v>607</v>
      </c>
      <c r="I44" s="487" t="s">
        <v>708</v>
      </c>
      <c r="J44" s="265" t="s">
        <v>1108</v>
      </c>
    </row>
    <row r="45" spans="1:10" x14ac:dyDescent="0.25">
      <c r="A45" s="497" t="s">
        <v>108</v>
      </c>
      <c r="B45" s="458" t="s">
        <v>109</v>
      </c>
      <c r="C45" s="458" t="s">
        <v>266</v>
      </c>
      <c r="D45" s="498" t="s">
        <v>108</v>
      </c>
      <c r="E45" s="491" t="s">
        <v>711</v>
      </c>
      <c r="F45" s="265" t="s">
        <v>638</v>
      </c>
      <c r="G45" s="265" t="s">
        <v>1054</v>
      </c>
      <c r="H45" s="493" t="s">
        <v>608</v>
      </c>
      <c r="I45" s="487" t="s">
        <v>710</v>
      </c>
      <c r="J45" s="265" t="s">
        <v>1110</v>
      </c>
    </row>
    <row r="46" spans="1:10" x14ac:dyDescent="0.25">
      <c r="A46" s="497" t="s">
        <v>110</v>
      </c>
      <c r="B46" s="458" t="s">
        <v>111</v>
      </c>
      <c r="C46" s="458" t="s">
        <v>266</v>
      </c>
      <c r="D46" s="498" t="s">
        <v>110</v>
      </c>
      <c r="E46" s="491" t="s">
        <v>713</v>
      </c>
      <c r="F46" s="265" t="s">
        <v>647</v>
      </c>
      <c r="H46" s="493" t="s">
        <v>608</v>
      </c>
      <c r="I46" s="487" t="s">
        <v>710</v>
      </c>
      <c r="J46" s="265" t="s">
        <v>1110</v>
      </c>
    </row>
    <row r="47" spans="1:10" x14ac:dyDescent="0.25">
      <c r="A47" s="497" t="s">
        <v>112</v>
      </c>
      <c r="B47" s="458" t="s">
        <v>300</v>
      </c>
      <c r="C47" s="458" t="s">
        <v>265</v>
      </c>
      <c r="D47" s="498" t="s">
        <v>112</v>
      </c>
      <c r="E47" s="491" t="s">
        <v>713</v>
      </c>
      <c r="F47" s="265" t="s">
        <v>647</v>
      </c>
      <c r="H47" s="493" t="s">
        <v>607</v>
      </c>
      <c r="I47" s="487" t="s">
        <v>708</v>
      </c>
      <c r="J47" s="265" t="s">
        <v>1108</v>
      </c>
    </row>
    <row r="48" spans="1:10" x14ac:dyDescent="0.25">
      <c r="A48" s="497" t="s">
        <v>114</v>
      </c>
      <c r="B48" s="458" t="s">
        <v>115</v>
      </c>
      <c r="C48" s="458" t="s">
        <v>265</v>
      </c>
      <c r="D48" s="498" t="s">
        <v>114</v>
      </c>
      <c r="E48" s="491" t="s">
        <v>712</v>
      </c>
      <c r="F48" s="265" t="s">
        <v>647</v>
      </c>
      <c r="H48" s="493" t="s">
        <v>607</v>
      </c>
      <c r="I48" s="487" t="s">
        <v>708</v>
      </c>
      <c r="J48" s="265" t="s">
        <v>1108</v>
      </c>
    </row>
    <row r="49" spans="1:10" x14ac:dyDescent="0.25">
      <c r="A49" s="497" t="s">
        <v>118</v>
      </c>
      <c r="B49" s="458" t="s">
        <v>119</v>
      </c>
      <c r="C49" s="458" t="s">
        <v>264</v>
      </c>
      <c r="D49" s="498" t="s">
        <v>118</v>
      </c>
      <c r="E49" s="491" t="s">
        <v>711</v>
      </c>
      <c r="F49" s="265" t="s">
        <v>647</v>
      </c>
      <c r="H49" s="493" t="s">
        <v>896</v>
      </c>
      <c r="I49" s="487" t="s">
        <v>709</v>
      </c>
      <c r="J49" s="265" t="s">
        <v>1112</v>
      </c>
    </row>
    <row r="50" spans="1:10" x14ac:dyDescent="0.25">
      <c r="A50" s="497" t="s">
        <v>120</v>
      </c>
      <c r="B50" s="458" t="s">
        <v>121</v>
      </c>
      <c r="C50" s="458" t="s">
        <v>264</v>
      </c>
      <c r="D50" s="498" t="s">
        <v>120</v>
      </c>
      <c r="E50" s="491" t="s">
        <v>711</v>
      </c>
      <c r="F50" s="265" t="s">
        <v>638</v>
      </c>
      <c r="G50" s="265" t="s">
        <v>656</v>
      </c>
      <c r="H50" s="493" t="s">
        <v>608</v>
      </c>
      <c r="I50" s="487" t="s">
        <v>710</v>
      </c>
      <c r="J50" s="265" t="s">
        <v>1110</v>
      </c>
    </row>
    <row r="51" spans="1:10" x14ac:dyDescent="0.25">
      <c r="A51" s="497" t="s">
        <v>122</v>
      </c>
      <c r="B51" s="458" t="s">
        <v>271</v>
      </c>
      <c r="C51" s="458" t="s">
        <v>266</v>
      </c>
      <c r="D51" s="498" t="s">
        <v>122</v>
      </c>
      <c r="E51" s="491" t="s">
        <v>712</v>
      </c>
      <c r="F51" s="265" t="s">
        <v>638</v>
      </c>
      <c r="G51" s="265" t="s">
        <v>657</v>
      </c>
      <c r="H51" s="493" t="s">
        <v>896</v>
      </c>
      <c r="I51" s="487" t="s">
        <v>709</v>
      </c>
      <c r="J51" s="265" t="s">
        <v>1111</v>
      </c>
    </row>
    <row r="52" spans="1:10" x14ac:dyDescent="0.25">
      <c r="A52" s="497" t="s">
        <v>124</v>
      </c>
      <c r="B52" s="458" t="s">
        <v>125</v>
      </c>
      <c r="C52" s="458" t="s">
        <v>267</v>
      </c>
      <c r="D52" s="498" t="s">
        <v>124</v>
      </c>
      <c r="E52" s="491" t="s">
        <v>712</v>
      </c>
      <c r="F52" s="265" t="s">
        <v>647</v>
      </c>
      <c r="H52" s="493" t="s">
        <v>896</v>
      </c>
      <c r="I52" s="487" t="s">
        <v>709</v>
      </c>
      <c r="J52" s="265" t="s">
        <v>1115</v>
      </c>
    </row>
    <row r="53" spans="1:10" x14ac:dyDescent="0.25">
      <c r="A53" s="497" t="s">
        <v>126</v>
      </c>
      <c r="B53" s="458" t="s">
        <v>127</v>
      </c>
      <c r="C53" s="458" t="s">
        <v>266</v>
      </c>
      <c r="D53" s="498" t="s">
        <v>126</v>
      </c>
      <c r="E53" s="491" t="s">
        <v>712</v>
      </c>
      <c r="F53" s="265" t="s">
        <v>647</v>
      </c>
      <c r="H53" s="493" t="s">
        <v>896</v>
      </c>
      <c r="I53" s="487" t="s">
        <v>709</v>
      </c>
      <c r="J53" s="265" t="s">
        <v>1135</v>
      </c>
    </row>
    <row r="54" spans="1:10" x14ac:dyDescent="0.25">
      <c r="A54" s="497" t="s">
        <v>128</v>
      </c>
      <c r="B54" s="458" t="s">
        <v>129</v>
      </c>
      <c r="C54" s="458" t="s">
        <v>266</v>
      </c>
      <c r="D54" s="498" t="s">
        <v>128</v>
      </c>
      <c r="E54" s="491" t="s">
        <v>712</v>
      </c>
      <c r="F54" s="265" t="s">
        <v>647</v>
      </c>
      <c r="H54" s="493" t="s">
        <v>896</v>
      </c>
      <c r="I54" s="487" t="s">
        <v>709</v>
      </c>
      <c r="J54" s="265" t="s">
        <v>1115</v>
      </c>
    </row>
    <row r="55" spans="1:10" x14ac:dyDescent="0.25">
      <c r="A55" s="497" t="s">
        <v>130</v>
      </c>
      <c r="B55" s="458" t="s">
        <v>131</v>
      </c>
      <c r="C55" s="458" t="s">
        <v>268</v>
      </c>
      <c r="D55" s="498" t="s">
        <v>130</v>
      </c>
      <c r="E55" s="491" t="s">
        <v>711</v>
      </c>
      <c r="F55" s="265" t="s">
        <v>647</v>
      </c>
      <c r="H55" s="493" t="s">
        <v>607</v>
      </c>
      <c r="I55" s="487" t="s">
        <v>708</v>
      </c>
      <c r="J55" s="265" t="s">
        <v>1108</v>
      </c>
    </row>
    <row r="56" spans="1:10" x14ac:dyDescent="0.25">
      <c r="A56" s="497" t="s">
        <v>132</v>
      </c>
      <c r="B56" s="458" t="s">
        <v>133</v>
      </c>
      <c r="C56" s="458" t="s">
        <v>267</v>
      </c>
      <c r="D56" s="498" t="s">
        <v>132</v>
      </c>
      <c r="E56" s="491" t="s">
        <v>713</v>
      </c>
      <c r="F56" s="265" t="s">
        <v>638</v>
      </c>
      <c r="G56" s="265" t="s">
        <v>657</v>
      </c>
      <c r="H56" s="493" t="s">
        <v>608</v>
      </c>
      <c r="I56" s="487" t="s">
        <v>710</v>
      </c>
      <c r="J56" s="265" t="s">
        <v>1110</v>
      </c>
    </row>
    <row r="57" spans="1:10" x14ac:dyDescent="0.25">
      <c r="A57" s="497" t="s">
        <v>134</v>
      </c>
      <c r="B57" s="458" t="s">
        <v>135</v>
      </c>
      <c r="C57" s="458" t="s">
        <v>267</v>
      </c>
      <c r="D57" s="498" t="s">
        <v>134</v>
      </c>
      <c r="E57" s="491" t="s">
        <v>711</v>
      </c>
      <c r="F57" s="265" t="s">
        <v>638</v>
      </c>
      <c r="G57" s="265" t="s">
        <v>657</v>
      </c>
      <c r="H57" s="493" t="s">
        <v>608</v>
      </c>
      <c r="I57" s="487" t="s">
        <v>710</v>
      </c>
      <c r="J57" s="265" t="s">
        <v>1110</v>
      </c>
    </row>
    <row r="58" spans="1:10" x14ac:dyDescent="0.25">
      <c r="A58" s="497" t="s">
        <v>136</v>
      </c>
      <c r="B58" s="458" t="s">
        <v>137</v>
      </c>
      <c r="C58" s="458" t="s">
        <v>266</v>
      </c>
      <c r="D58" s="498" t="s">
        <v>136</v>
      </c>
      <c r="E58" s="491" t="s">
        <v>712</v>
      </c>
      <c r="F58" s="265" t="s">
        <v>638</v>
      </c>
      <c r="G58" s="265" t="s">
        <v>657</v>
      </c>
      <c r="H58" s="493" t="s">
        <v>896</v>
      </c>
      <c r="I58" s="487" t="s">
        <v>709</v>
      </c>
      <c r="J58" s="265" t="s">
        <v>1112</v>
      </c>
    </row>
    <row r="59" spans="1:10" x14ac:dyDescent="0.25">
      <c r="A59" s="497" t="s">
        <v>140</v>
      </c>
      <c r="B59" s="458" t="s">
        <v>141</v>
      </c>
      <c r="C59" s="458" t="s">
        <v>267</v>
      </c>
      <c r="D59" s="498" t="s">
        <v>140</v>
      </c>
      <c r="E59" s="491" t="s">
        <v>712</v>
      </c>
      <c r="F59" s="265" t="s">
        <v>647</v>
      </c>
      <c r="H59" s="493" t="s">
        <v>607</v>
      </c>
      <c r="I59" s="487" t="s">
        <v>708</v>
      </c>
      <c r="J59" s="265" t="s">
        <v>1108</v>
      </c>
    </row>
    <row r="60" spans="1:10" x14ac:dyDescent="0.25">
      <c r="A60" s="497" t="s">
        <v>146</v>
      </c>
      <c r="B60" s="458" t="s">
        <v>147</v>
      </c>
      <c r="C60" s="458" t="s">
        <v>264</v>
      </c>
      <c r="D60" s="498" t="s">
        <v>146</v>
      </c>
      <c r="E60" s="491" t="s">
        <v>712</v>
      </c>
      <c r="F60" s="265" t="s">
        <v>647</v>
      </c>
      <c r="H60" s="493" t="s">
        <v>896</v>
      </c>
      <c r="I60" s="487" t="s">
        <v>709</v>
      </c>
      <c r="J60" s="265" t="s">
        <v>1115</v>
      </c>
    </row>
    <row r="61" spans="1:10" x14ac:dyDescent="0.25">
      <c r="A61" s="497" t="s">
        <v>148</v>
      </c>
      <c r="B61" s="458" t="s">
        <v>149</v>
      </c>
      <c r="C61" s="458" t="s">
        <v>265</v>
      </c>
      <c r="D61" s="498" t="s">
        <v>148</v>
      </c>
      <c r="E61" s="491" t="s">
        <v>711</v>
      </c>
      <c r="F61" s="265" t="s">
        <v>647</v>
      </c>
      <c r="H61" s="493" t="s">
        <v>896</v>
      </c>
      <c r="I61" s="487" t="s">
        <v>709</v>
      </c>
      <c r="J61" s="265" t="s">
        <v>1117</v>
      </c>
    </row>
    <row r="62" spans="1:10" x14ac:dyDescent="0.25">
      <c r="A62" s="497" t="s">
        <v>150</v>
      </c>
      <c r="B62" s="458" t="s">
        <v>151</v>
      </c>
      <c r="C62" s="458" t="s">
        <v>266</v>
      </c>
      <c r="D62" s="498" t="s">
        <v>150</v>
      </c>
      <c r="E62" s="491" t="s">
        <v>712</v>
      </c>
      <c r="F62" s="265" t="s">
        <v>638</v>
      </c>
      <c r="G62" s="265" t="s">
        <v>657</v>
      </c>
      <c r="H62" s="493" t="s">
        <v>896</v>
      </c>
      <c r="I62" s="487" t="s">
        <v>709</v>
      </c>
      <c r="J62" s="265" t="s">
        <v>1115</v>
      </c>
    </row>
    <row r="63" spans="1:10" x14ac:dyDescent="0.25">
      <c r="A63" s="497" t="s">
        <v>152</v>
      </c>
      <c r="B63" s="458" t="s">
        <v>153</v>
      </c>
      <c r="C63" s="458" t="s">
        <v>268</v>
      </c>
      <c r="D63" s="498" t="s">
        <v>152</v>
      </c>
      <c r="E63" s="491" t="s">
        <v>711</v>
      </c>
      <c r="F63" s="265" t="s">
        <v>647</v>
      </c>
      <c r="H63" s="493" t="s">
        <v>608</v>
      </c>
      <c r="I63" s="487" t="s">
        <v>710</v>
      </c>
      <c r="J63" s="265" t="s">
        <v>1110</v>
      </c>
    </row>
    <row r="64" spans="1:10" x14ac:dyDescent="0.25">
      <c r="A64" s="497" t="s">
        <v>154</v>
      </c>
      <c r="B64" s="458" t="s">
        <v>155</v>
      </c>
      <c r="C64" s="458" t="s">
        <v>265</v>
      </c>
      <c r="D64" s="498" t="s">
        <v>154</v>
      </c>
      <c r="E64" s="491" t="s">
        <v>712</v>
      </c>
      <c r="F64" s="265" t="s">
        <v>647</v>
      </c>
      <c r="H64" s="493" t="s">
        <v>607</v>
      </c>
      <c r="I64" s="487" t="s">
        <v>708</v>
      </c>
      <c r="J64" s="265" t="s">
        <v>1108</v>
      </c>
    </row>
    <row r="65" spans="1:10" x14ac:dyDescent="0.25">
      <c r="A65" s="497" t="s">
        <v>156</v>
      </c>
      <c r="B65" s="458" t="s">
        <v>157</v>
      </c>
      <c r="C65" s="458" t="s">
        <v>266</v>
      </c>
      <c r="D65" s="498" t="s">
        <v>156</v>
      </c>
      <c r="E65" s="491" t="s">
        <v>712</v>
      </c>
      <c r="F65" s="265" t="s">
        <v>638</v>
      </c>
      <c r="G65" s="265" t="s">
        <v>657</v>
      </c>
      <c r="H65" s="493" t="s">
        <v>896</v>
      </c>
      <c r="I65" s="487" t="s">
        <v>709</v>
      </c>
      <c r="J65" s="265" t="s">
        <v>1111</v>
      </c>
    </row>
    <row r="66" spans="1:10" x14ac:dyDescent="0.25">
      <c r="A66" s="497" t="s">
        <v>162</v>
      </c>
      <c r="B66" s="458" t="s">
        <v>163</v>
      </c>
      <c r="C66" s="458" t="s">
        <v>264</v>
      </c>
      <c r="D66" s="498" t="s">
        <v>162</v>
      </c>
      <c r="E66" s="491" t="s">
        <v>711</v>
      </c>
      <c r="F66" s="265" t="s">
        <v>647</v>
      </c>
      <c r="H66" s="493" t="s">
        <v>896</v>
      </c>
      <c r="I66" s="487" t="s">
        <v>709</v>
      </c>
      <c r="J66" s="265" t="s">
        <v>1117</v>
      </c>
    </row>
    <row r="67" spans="1:10" x14ac:dyDescent="0.25">
      <c r="A67" s="497" t="s">
        <v>164</v>
      </c>
      <c r="B67" s="458" t="s">
        <v>165</v>
      </c>
      <c r="C67" s="458" t="s">
        <v>266</v>
      </c>
      <c r="D67" s="498" t="s">
        <v>164</v>
      </c>
      <c r="E67" s="491" t="s">
        <v>712</v>
      </c>
      <c r="F67" s="265" t="s">
        <v>647</v>
      </c>
      <c r="H67" s="493" t="s">
        <v>607</v>
      </c>
      <c r="I67" s="487" t="s">
        <v>708</v>
      </c>
      <c r="J67" s="265" t="s">
        <v>1108</v>
      </c>
    </row>
    <row r="68" spans="1:10" x14ac:dyDescent="0.25">
      <c r="A68" s="497" t="s">
        <v>168</v>
      </c>
      <c r="B68" s="458" t="s">
        <v>169</v>
      </c>
      <c r="C68" s="458" t="s">
        <v>266</v>
      </c>
      <c r="D68" s="498" t="s">
        <v>168</v>
      </c>
      <c r="E68" s="491" t="s">
        <v>712</v>
      </c>
      <c r="F68" s="265" t="s">
        <v>647</v>
      </c>
      <c r="H68" s="493" t="s">
        <v>607</v>
      </c>
      <c r="I68" s="487" t="s">
        <v>708</v>
      </c>
    </row>
    <row r="69" spans="1:10" x14ac:dyDescent="0.25">
      <c r="A69" s="497" t="s">
        <v>170</v>
      </c>
      <c r="B69" s="458" t="s">
        <v>171</v>
      </c>
      <c r="C69" s="458" t="s">
        <v>267</v>
      </c>
      <c r="D69" s="498" t="s">
        <v>170</v>
      </c>
      <c r="E69" s="491" t="s">
        <v>711</v>
      </c>
      <c r="F69" s="265" t="s">
        <v>647</v>
      </c>
      <c r="H69" s="493" t="s">
        <v>607</v>
      </c>
      <c r="I69" s="487" t="s">
        <v>708</v>
      </c>
      <c r="J69" s="265" t="s">
        <v>1108</v>
      </c>
    </row>
    <row r="70" spans="1:10" x14ac:dyDescent="0.25">
      <c r="A70" s="497" t="s">
        <v>172</v>
      </c>
      <c r="B70" s="458" t="s">
        <v>173</v>
      </c>
      <c r="C70" s="458" t="s">
        <v>267</v>
      </c>
      <c r="D70" s="498" t="s">
        <v>172</v>
      </c>
      <c r="E70" s="491" t="s">
        <v>711</v>
      </c>
      <c r="F70" s="265" t="s">
        <v>647</v>
      </c>
      <c r="H70" s="493" t="s">
        <v>607</v>
      </c>
      <c r="I70" s="487" t="s">
        <v>708</v>
      </c>
      <c r="J70" s="265" t="s">
        <v>1108</v>
      </c>
    </row>
    <row r="71" spans="1:10" x14ac:dyDescent="0.25">
      <c r="A71" s="497" t="s">
        <v>174</v>
      </c>
      <c r="B71" s="458" t="s">
        <v>175</v>
      </c>
      <c r="C71" s="458" t="s">
        <v>268</v>
      </c>
      <c r="D71" s="498" t="s">
        <v>174</v>
      </c>
      <c r="E71" s="491" t="s">
        <v>711</v>
      </c>
      <c r="F71" s="265" t="s">
        <v>647</v>
      </c>
      <c r="H71" s="493" t="s">
        <v>607</v>
      </c>
      <c r="I71" s="487" t="s">
        <v>708</v>
      </c>
      <c r="J71" s="265" t="s">
        <v>1108</v>
      </c>
    </row>
    <row r="72" spans="1:10" x14ac:dyDescent="0.25">
      <c r="A72" s="497" t="s">
        <v>178</v>
      </c>
      <c r="B72" s="458" t="s">
        <v>179</v>
      </c>
      <c r="C72" s="458" t="s">
        <v>265</v>
      </c>
      <c r="D72" s="498" t="s">
        <v>178</v>
      </c>
      <c r="E72" s="491" t="s">
        <v>711</v>
      </c>
      <c r="F72" s="265" t="s">
        <v>647</v>
      </c>
      <c r="H72" s="493" t="s">
        <v>896</v>
      </c>
      <c r="I72" s="487" t="s">
        <v>709</v>
      </c>
      <c r="J72" s="265" t="s">
        <v>1127</v>
      </c>
    </row>
    <row r="73" spans="1:10" x14ac:dyDescent="0.25">
      <c r="A73" s="497" t="s">
        <v>182</v>
      </c>
      <c r="B73" s="458" t="s">
        <v>183</v>
      </c>
      <c r="C73" s="458" t="s">
        <v>266</v>
      </c>
      <c r="D73" s="498" t="s">
        <v>182</v>
      </c>
      <c r="E73" s="491" t="s">
        <v>711</v>
      </c>
      <c r="F73" s="265" t="s">
        <v>647</v>
      </c>
      <c r="H73" s="493" t="s">
        <v>896</v>
      </c>
      <c r="I73" s="487" t="s">
        <v>709</v>
      </c>
      <c r="J73" s="265" t="s">
        <v>1128</v>
      </c>
    </row>
    <row r="74" spans="1:10" x14ac:dyDescent="0.25">
      <c r="A74" s="497" t="s">
        <v>184</v>
      </c>
      <c r="B74" s="458" t="s">
        <v>185</v>
      </c>
      <c r="C74" s="458" t="s">
        <v>266</v>
      </c>
      <c r="D74" s="498" t="s">
        <v>184</v>
      </c>
      <c r="E74" s="491" t="s">
        <v>711</v>
      </c>
      <c r="F74" s="265" t="s">
        <v>647</v>
      </c>
      <c r="H74" s="493" t="s">
        <v>896</v>
      </c>
      <c r="I74" s="487" t="s">
        <v>709</v>
      </c>
      <c r="J74" s="265" t="s">
        <v>1129</v>
      </c>
    </row>
    <row r="75" spans="1:10" x14ac:dyDescent="0.25">
      <c r="A75" s="497" t="s">
        <v>186</v>
      </c>
      <c r="B75" s="458" t="s">
        <v>187</v>
      </c>
      <c r="C75" s="458" t="s">
        <v>264</v>
      </c>
      <c r="D75" s="498" t="s">
        <v>186</v>
      </c>
      <c r="E75" s="491" t="s">
        <v>711</v>
      </c>
      <c r="F75" s="265" t="s">
        <v>638</v>
      </c>
      <c r="G75" s="265" t="s">
        <v>657</v>
      </c>
      <c r="H75" s="493" t="s">
        <v>608</v>
      </c>
      <c r="I75" s="487" t="s">
        <v>710</v>
      </c>
      <c r="J75" s="265" t="s">
        <v>1110</v>
      </c>
    </row>
    <row r="76" spans="1:10" x14ac:dyDescent="0.25">
      <c r="A76" s="497" t="s">
        <v>188</v>
      </c>
      <c r="B76" s="458" t="s">
        <v>189</v>
      </c>
      <c r="C76" s="458" t="s">
        <v>267</v>
      </c>
      <c r="D76" s="498" t="s">
        <v>188</v>
      </c>
      <c r="E76" s="491" t="s">
        <v>713</v>
      </c>
      <c r="F76" s="265" t="s">
        <v>638</v>
      </c>
      <c r="G76" s="265" t="s">
        <v>1130</v>
      </c>
      <c r="H76" s="493" t="s">
        <v>608</v>
      </c>
      <c r="I76" s="487" t="s">
        <v>710</v>
      </c>
      <c r="J76" s="265" t="s">
        <v>1110</v>
      </c>
    </row>
    <row r="77" spans="1:10" x14ac:dyDescent="0.25">
      <c r="A77" s="497" t="s">
        <v>190</v>
      </c>
      <c r="B77" s="458" t="s">
        <v>191</v>
      </c>
      <c r="C77" s="458" t="s">
        <v>268</v>
      </c>
      <c r="D77" s="498" t="s">
        <v>190</v>
      </c>
      <c r="E77" s="491" t="s">
        <v>711</v>
      </c>
      <c r="F77" s="265" t="s">
        <v>647</v>
      </c>
      <c r="H77" s="493" t="s">
        <v>896</v>
      </c>
      <c r="I77" s="487" t="s">
        <v>709</v>
      </c>
      <c r="J77" s="265" t="s">
        <v>1112</v>
      </c>
    </row>
    <row r="78" spans="1:10" x14ac:dyDescent="0.25">
      <c r="A78" s="497" t="s">
        <v>194</v>
      </c>
      <c r="B78" s="458" t="s">
        <v>195</v>
      </c>
      <c r="C78" s="458" t="s">
        <v>267</v>
      </c>
      <c r="D78" s="498" t="s">
        <v>194</v>
      </c>
      <c r="E78" s="491" t="s">
        <v>712</v>
      </c>
      <c r="F78" s="265" t="s">
        <v>647</v>
      </c>
      <c r="H78" s="493" t="s">
        <v>607</v>
      </c>
      <c r="I78" s="487" t="s">
        <v>708</v>
      </c>
      <c r="J78" s="265" t="s">
        <v>1108</v>
      </c>
    </row>
    <row r="79" spans="1:10" x14ac:dyDescent="0.25">
      <c r="A79" s="497" t="s">
        <v>198</v>
      </c>
      <c r="B79" s="458" t="s">
        <v>199</v>
      </c>
      <c r="C79" s="458" t="s">
        <v>266</v>
      </c>
      <c r="D79" s="498" t="s">
        <v>198</v>
      </c>
      <c r="E79" s="491" t="s">
        <v>712</v>
      </c>
      <c r="F79" s="265" t="s">
        <v>647</v>
      </c>
      <c r="H79" s="493" t="s">
        <v>896</v>
      </c>
      <c r="I79" s="487" t="s">
        <v>709</v>
      </c>
      <c r="J79" s="265" t="s">
        <v>1111</v>
      </c>
    </row>
    <row r="80" spans="1:10" x14ac:dyDescent="0.25">
      <c r="A80" s="497" t="s">
        <v>202</v>
      </c>
      <c r="B80" s="458" t="s">
        <v>611</v>
      </c>
      <c r="C80" s="458" t="s">
        <v>265</v>
      </c>
      <c r="D80" s="498" t="s">
        <v>202</v>
      </c>
      <c r="E80" s="491" t="s">
        <v>713</v>
      </c>
      <c r="F80" s="265" t="s">
        <v>638</v>
      </c>
      <c r="G80" s="265" t="s">
        <v>656</v>
      </c>
      <c r="H80" s="493" t="s">
        <v>608</v>
      </c>
      <c r="I80" s="487" t="s">
        <v>710</v>
      </c>
      <c r="J80" s="265" t="s">
        <v>1110</v>
      </c>
    </row>
    <row r="81" spans="1:13" x14ac:dyDescent="0.25">
      <c r="A81" s="497" t="s">
        <v>204</v>
      </c>
      <c r="B81" s="458" t="s">
        <v>293</v>
      </c>
      <c r="C81" s="458" t="s">
        <v>265</v>
      </c>
      <c r="D81" s="498" t="s">
        <v>204</v>
      </c>
      <c r="E81" s="491" t="s">
        <v>711</v>
      </c>
      <c r="F81" s="265" t="s">
        <v>647</v>
      </c>
      <c r="H81" s="493" t="s">
        <v>607</v>
      </c>
      <c r="I81" s="487" t="s">
        <v>708</v>
      </c>
      <c r="J81" s="265" t="s">
        <v>1108</v>
      </c>
    </row>
    <row r="82" spans="1:13" x14ac:dyDescent="0.25">
      <c r="A82" s="497" t="s">
        <v>206</v>
      </c>
      <c r="B82" s="458" t="s">
        <v>294</v>
      </c>
      <c r="C82" s="458" t="s">
        <v>267</v>
      </c>
      <c r="D82" s="498" t="s">
        <v>206</v>
      </c>
      <c r="E82" s="491" t="s">
        <v>713</v>
      </c>
      <c r="F82" s="265" t="s">
        <v>638</v>
      </c>
      <c r="G82" s="265" t="s">
        <v>693</v>
      </c>
      <c r="H82" s="493" t="s">
        <v>896</v>
      </c>
      <c r="I82" s="487" t="s">
        <v>709</v>
      </c>
      <c r="J82" s="265" t="s">
        <v>1132</v>
      </c>
      <c r="L82" s="64" t="s">
        <v>1148</v>
      </c>
      <c r="M82" s="64" t="s">
        <v>1149</v>
      </c>
    </row>
    <row r="83" spans="1:13" x14ac:dyDescent="0.25">
      <c r="A83" s="497" t="s">
        <v>208</v>
      </c>
      <c r="B83" s="458" t="s">
        <v>209</v>
      </c>
      <c r="C83" s="458" t="s">
        <v>268</v>
      </c>
      <c r="D83" s="498" t="s">
        <v>208</v>
      </c>
      <c r="E83" s="491" t="s">
        <v>711</v>
      </c>
      <c r="F83" s="265" t="s">
        <v>647</v>
      </c>
      <c r="H83" s="493" t="s">
        <v>896</v>
      </c>
      <c r="I83" s="487" t="s">
        <v>709</v>
      </c>
      <c r="J83" s="265" t="s">
        <v>1112</v>
      </c>
      <c r="L83" s="265" t="s">
        <v>1150</v>
      </c>
      <c r="M83" s="265" t="s">
        <v>1151</v>
      </c>
    </row>
    <row r="84" spans="1:13" x14ac:dyDescent="0.25">
      <c r="A84" s="497" t="s">
        <v>210</v>
      </c>
      <c r="B84" s="458" t="s">
        <v>211</v>
      </c>
      <c r="C84" s="458" t="s">
        <v>268</v>
      </c>
      <c r="D84" s="498" t="s">
        <v>210</v>
      </c>
      <c r="E84" s="491" t="s">
        <v>711</v>
      </c>
      <c r="F84" s="265" t="s">
        <v>647</v>
      </c>
      <c r="H84" s="493" t="s">
        <v>896</v>
      </c>
      <c r="I84" s="487" t="s">
        <v>709</v>
      </c>
      <c r="J84" s="265" t="s">
        <v>1115</v>
      </c>
      <c r="L84" s="265" t="s">
        <v>1152</v>
      </c>
      <c r="M84" s="265" t="s">
        <v>1153</v>
      </c>
    </row>
    <row r="85" spans="1:13" x14ac:dyDescent="0.25">
      <c r="A85" s="497" t="s">
        <v>212</v>
      </c>
      <c r="B85" s="458" t="s">
        <v>213</v>
      </c>
      <c r="C85" s="458" t="s">
        <v>267</v>
      </c>
      <c r="D85" s="498" t="s">
        <v>212</v>
      </c>
      <c r="E85" s="491" t="s">
        <v>711</v>
      </c>
      <c r="F85" s="265" t="s">
        <v>647</v>
      </c>
      <c r="H85" s="493" t="s">
        <v>607</v>
      </c>
      <c r="I85" s="487" t="s">
        <v>708</v>
      </c>
      <c r="J85" s="265" t="s">
        <v>1108</v>
      </c>
      <c r="L85" s="265" t="s">
        <v>1154</v>
      </c>
      <c r="M85" s="265" t="s">
        <v>1155</v>
      </c>
    </row>
    <row r="86" spans="1:13" x14ac:dyDescent="0.25">
      <c r="A86" s="497" t="s">
        <v>214</v>
      </c>
      <c r="B86" s="458" t="s">
        <v>215</v>
      </c>
      <c r="C86" s="458" t="s">
        <v>268</v>
      </c>
      <c r="D86" s="498" t="s">
        <v>214</v>
      </c>
      <c r="E86" s="491" t="s">
        <v>711</v>
      </c>
      <c r="F86" s="265" t="s">
        <v>647</v>
      </c>
      <c r="H86" s="493" t="s">
        <v>607</v>
      </c>
      <c r="I86" s="487" t="s">
        <v>708</v>
      </c>
      <c r="J86" s="265" t="s">
        <v>1108</v>
      </c>
      <c r="L86" s="265" t="s">
        <v>1156</v>
      </c>
      <c r="M86" s="265" t="s">
        <v>1157</v>
      </c>
    </row>
    <row r="87" spans="1:13" x14ac:dyDescent="0.25">
      <c r="A87" s="497" t="s">
        <v>216</v>
      </c>
      <c r="B87" s="458" t="s">
        <v>217</v>
      </c>
      <c r="C87" s="458" t="s">
        <v>264</v>
      </c>
      <c r="D87" s="498" t="s">
        <v>216</v>
      </c>
      <c r="E87" s="491" t="s">
        <v>711</v>
      </c>
      <c r="F87" s="265" t="s">
        <v>647</v>
      </c>
      <c r="H87" s="493" t="s">
        <v>607</v>
      </c>
      <c r="I87" s="487" t="s">
        <v>708</v>
      </c>
      <c r="J87" s="265" t="s">
        <v>1108</v>
      </c>
      <c r="L87" s="265" t="s">
        <v>1158</v>
      </c>
      <c r="M87" s="265" t="s">
        <v>1159</v>
      </c>
    </row>
    <row r="88" spans="1:13" x14ac:dyDescent="0.25">
      <c r="A88" s="497" t="s">
        <v>218</v>
      </c>
      <c r="B88" s="458" t="s">
        <v>219</v>
      </c>
      <c r="C88" s="458" t="s">
        <v>267</v>
      </c>
      <c r="D88" s="498" t="s">
        <v>218</v>
      </c>
      <c r="E88" s="491" t="s">
        <v>713</v>
      </c>
      <c r="F88" s="265" t="s">
        <v>638</v>
      </c>
      <c r="G88" s="265" t="s">
        <v>657</v>
      </c>
      <c r="H88" s="493" t="s">
        <v>608</v>
      </c>
      <c r="I88" s="487" t="s">
        <v>710</v>
      </c>
      <c r="J88" s="265" t="s">
        <v>1110</v>
      </c>
      <c r="L88" s="265" t="s">
        <v>1160</v>
      </c>
      <c r="M88" s="265" t="s">
        <v>1161</v>
      </c>
    </row>
    <row r="89" spans="1:13" x14ac:dyDescent="0.25">
      <c r="A89" s="497" t="s">
        <v>220</v>
      </c>
      <c r="B89" s="458" t="s">
        <v>221</v>
      </c>
      <c r="C89" s="458" t="s">
        <v>267</v>
      </c>
      <c r="D89" s="498" t="s">
        <v>220</v>
      </c>
      <c r="E89" s="491" t="s">
        <v>711</v>
      </c>
      <c r="F89" s="265" t="s">
        <v>647</v>
      </c>
      <c r="H89" s="493" t="s">
        <v>896</v>
      </c>
      <c r="I89" s="487" t="s">
        <v>709</v>
      </c>
      <c r="J89" s="265" t="s">
        <v>1120</v>
      </c>
      <c r="L89" s="265" t="s">
        <v>1162</v>
      </c>
      <c r="M89" s="265" t="s">
        <v>1163</v>
      </c>
    </row>
    <row r="90" spans="1:13" x14ac:dyDescent="0.25">
      <c r="A90" s="497" t="s">
        <v>224</v>
      </c>
      <c r="B90" s="458" t="s">
        <v>225</v>
      </c>
      <c r="C90" s="458" t="s">
        <v>264</v>
      </c>
      <c r="D90" s="498" t="s">
        <v>224</v>
      </c>
      <c r="E90" s="491" t="s">
        <v>711</v>
      </c>
      <c r="F90" s="265" t="s">
        <v>647</v>
      </c>
      <c r="H90" s="493" t="s">
        <v>607</v>
      </c>
      <c r="I90" s="487" t="s">
        <v>708</v>
      </c>
      <c r="J90" s="265" t="s">
        <v>1108</v>
      </c>
      <c r="L90" s="265" t="s">
        <v>1166</v>
      </c>
      <c r="M90" s="265" t="s">
        <v>1167</v>
      </c>
    </row>
    <row r="91" spans="1:13" x14ac:dyDescent="0.25">
      <c r="A91" s="497" t="s">
        <v>226</v>
      </c>
      <c r="B91" s="458" t="s">
        <v>227</v>
      </c>
      <c r="C91" s="458" t="s">
        <v>264</v>
      </c>
      <c r="D91" s="498" t="s">
        <v>226</v>
      </c>
      <c r="E91" s="491" t="s">
        <v>711</v>
      </c>
      <c r="F91" s="265" t="s">
        <v>647</v>
      </c>
      <c r="H91" s="493" t="s">
        <v>607</v>
      </c>
      <c r="I91" s="487" t="s">
        <v>708</v>
      </c>
      <c r="J91" s="265" t="s">
        <v>1108</v>
      </c>
      <c r="L91" s="265" t="s">
        <v>1168</v>
      </c>
      <c r="M91" s="265" t="s">
        <v>1169</v>
      </c>
    </row>
    <row r="92" spans="1:13" x14ac:dyDescent="0.25">
      <c r="A92" s="497" t="s">
        <v>228</v>
      </c>
      <c r="B92" s="458" t="s">
        <v>229</v>
      </c>
      <c r="C92" s="458" t="s">
        <v>268</v>
      </c>
      <c r="D92" s="498" t="s">
        <v>228</v>
      </c>
      <c r="E92" s="491" t="s">
        <v>711</v>
      </c>
      <c r="F92" s="265" t="s">
        <v>647</v>
      </c>
      <c r="H92" s="493" t="s">
        <v>607</v>
      </c>
      <c r="I92" s="487" t="s">
        <v>708</v>
      </c>
      <c r="J92" s="265" t="s">
        <v>1108</v>
      </c>
      <c r="L92" s="265" t="s">
        <v>1170</v>
      </c>
      <c r="M92" s="265" t="s">
        <v>1171</v>
      </c>
    </row>
    <row r="93" spans="1:13" x14ac:dyDescent="0.25">
      <c r="A93" s="497" t="s">
        <v>232</v>
      </c>
      <c r="B93" s="458" t="s">
        <v>233</v>
      </c>
      <c r="C93" s="458" t="s">
        <v>267</v>
      </c>
      <c r="D93" s="498" t="s">
        <v>232</v>
      </c>
      <c r="E93" s="491" t="s">
        <v>711</v>
      </c>
      <c r="F93" s="265" t="s">
        <v>638</v>
      </c>
      <c r="G93" s="265" t="s">
        <v>657</v>
      </c>
      <c r="H93" s="493" t="s">
        <v>896</v>
      </c>
      <c r="I93" s="487" t="s">
        <v>709</v>
      </c>
      <c r="J93" s="265" t="s">
        <v>1135</v>
      </c>
    </row>
    <row r="94" spans="1:13" x14ac:dyDescent="0.25">
      <c r="A94" s="497" t="s">
        <v>234</v>
      </c>
      <c r="B94" s="458" t="s">
        <v>235</v>
      </c>
      <c r="C94" s="458" t="s">
        <v>268</v>
      </c>
      <c r="D94" s="498" t="s">
        <v>234</v>
      </c>
      <c r="E94" s="491" t="s">
        <v>711</v>
      </c>
      <c r="F94" s="265" t="s">
        <v>647</v>
      </c>
      <c r="H94" s="493" t="s">
        <v>607</v>
      </c>
      <c r="I94" s="487" t="s">
        <v>708</v>
      </c>
      <c r="J94" s="265" t="s">
        <v>1108</v>
      </c>
    </row>
    <row r="95" spans="1:13" x14ac:dyDescent="0.25">
      <c r="A95" s="497" t="s">
        <v>236</v>
      </c>
      <c r="B95" s="458" t="s">
        <v>237</v>
      </c>
      <c r="C95" s="458" t="s">
        <v>266</v>
      </c>
      <c r="D95" s="498" t="s">
        <v>236</v>
      </c>
      <c r="E95" s="491" t="s">
        <v>711</v>
      </c>
      <c r="F95" s="265" t="s">
        <v>647</v>
      </c>
      <c r="H95" s="493" t="s">
        <v>607</v>
      </c>
      <c r="I95" s="487" t="s">
        <v>708</v>
      </c>
      <c r="J95" s="265" t="s">
        <v>1108</v>
      </c>
    </row>
    <row r="96" spans="1:13" x14ac:dyDescent="0.25">
      <c r="A96" s="497" t="s">
        <v>242</v>
      </c>
      <c r="B96" s="458" t="s">
        <v>243</v>
      </c>
      <c r="C96" s="458" t="s">
        <v>268</v>
      </c>
      <c r="D96" s="498" t="s">
        <v>242</v>
      </c>
      <c r="E96" s="491" t="s">
        <v>713</v>
      </c>
      <c r="F96" s="265" t="s">
        <v>647</v>
      </c>
      <c r="H96" s="493" t="s">
        <v>607</v>
      </c>
      <c r="I96" s="487" t="s">
        <v>708</v>
      </c>
      <c r="J96" s="265" t="s">
        <v>1108</v>
      </c>
    </row>
    <row r="97" spans="1:10" x14ac:dyDescent="0.25">
      <c r="A97" s="497" t="s">
        <v>244</v>
      </c>
      <c r="B97" s="458" t="s">
        <v>245</v>
      </c>
      <c r="C97" s="458" t="s">
        <v>268</v>
      </c>
      <c r="D97" s="498" t="s">
        <v>244</v>
      </c>
      <c r="E97" s="491" t="s">
        <v>711</v>
      </c>
      <c r="F97" s="265" t="s">
        <v>647</v>
      </c>
      <c r="H97" s="493" t="s">
        <v>896</v>
      </c>
      <c r="I97" s="487" t="s">
        <v>709</v>
      </c>
      <c r="J97" s="265" t="s">
        <v>1112</v>
      </c>
    </row>
    <row r="98" spans="1:10" x14ac:dyDescent="0.25">
      <c r="A98" s="497" t="s">
        <v>246</v>
      </c>
      <c r="B98" s="458" t="s">
        <v>247</v>
      </c>
      <c r="C98" s="458" t="s">
        <v>264</v>
      </c>
      <c r="D98" s="498" t="s">
        <v>246</v>
      </c>
      <c r="E98" s="491" t="s">
        <v>711</v>
      </c>
      <c r="F98" s="265" t="s">
        <v>647</v>
      </c>
      <c r="H98" s="493" t="s">
        <v>896</v>
      </c>
      <c r="I98" s="487" t="s">
        <v>709</v>
      </c>
      <c r="J98" s="265" t="s">
        <v>1114</v>
      </c>
    </row>
    <row r="99" spans="1:10" x14ac:dyDescent="0.25">
      <c r="A99" s="497" t="s">
        <v>14</v>
      </c>
      <c r="B99" s="458" t="s">
        <v>15</v>
      </c>
      <c r="C99" s="458" t="s">
        <v>267</v>
      </c>
      <c r="D99" s="498" t="s">
        <v>14</v>
      </c>
      <c r="E99" s="499" t="s">
        <v>713</v>
      </c>
      <c r="F99" s="265" t="s">
        <v>638</v>
      </c>
      <c r="G99" s="265" t="s">
        <v>1055</v>
      </c>
      <c r="H99" s="493" t="s">
        <v>896</v>
      </c>
      <c r="I99" s="487" t="s">
        <v>709</v>
      </c>
      <c r="J99" s="265" t="s">
        <v>1110</v>
      </c>
    </row>
    <row r="100" spans="1:10" x14ac:dyDescent="0.25">
      <c r="A100" s="497" t="s">
        <v>34</v>
      </c>
      <c r="B100" s="458" t="s">
        <v>35</v>
      </c>
      <c r="C100" s="458" t="s">
        <v>268</v>
      </c>
      <c r="D100" s="498" t="s">
        <v>34</v>
      </c>
      <c r="E100" s="491" t="s">
        <v>711</v>
      </c>
      <c r="F100" s="265" t="s">
        <v>647</v>
      </c>
      <c r="H100" s="493" t="s">
        <v>607</v>
      </c>
      <c r="I100" s="487" t="s">
        <v>708</v>
      </c>
      <c r="J100" s="265" t="s">
        <v>1108</v>
      </c>
    </row>
    <row r="101" spans="1:10" x14ac:dyDescent="0.25">
      <c r="A101" s="497" t="s">
        <v>52</v>
      </c>
      <c r="B101" s="458" t="s">
        <v>53</v>
      </c>
      <c r="C101" s="458" t="s">
        <v>265</v>
      </c>
      <c r="D101" s="498" t="s">
        <v>52</v>
      </c>
      <c r="E101" s="491" t="s">
        <v>713</v>
      </c>
      <c r="F101" s="265" t="s">
        <v>638</v>
      </c>
      <c r="G101" s="265" t="s">
        <v>656</v>
      </c>
      <c r="H101" s="493" t="s">
        <v>608</v>
      </c>
      <c r="I101" s="487" t="s">
        <v>710</v>
      </c>
      <c r="J101" s="265" t="s">
        <v>1110</v>
      </c>
    </row>
    <row r="102" spans="1:10" x14ac:dyDescent="0.25">
      <c r="A102" s="497" t="s">
        <v>54</v>
      </c>
      <c r="B102" s="458" t="s">
        <v>55</v>
      </c>
      <c r="C102" s="458" t="s">
        <v>264</v>
      </c>
      <c r="D102" s="498" t="s">
        <v>54</v>
      </c>
      <c r="E102" s="491" t="s">
        <v>713</v>
      </c>
      <c r="F102" s="265" t="s">
        <v>638</v>
      </c>
      <c r="G102" s="265" t="s">
        <v>1055</v>
      </c>
      <c r="H102" s="493" t="s">
        <v>608</v>
      </c>
      <c r="I102" s="487" t="s">
        <v>710</v>
      </c>
      <c r="J102" s="265" t="s">
        <v>1110</v>
      </c>
    </row>
    <row r="103" spans="1:10" x14ac:dyDescent="0.25">
      <c r="A103" s="497" t="s">
        <v>66</v>
      </c>
      <c r="B103" s="458" t="s">
        <v>67</v>
      </c>
      <c r="C103" s="458" t="s">
        <v>265</v>
      </c>
      <c r="D103" s="498" t="s">
        <v>66</v>
      </c>
      <c r="E103" s="491" t="s">
        <v>713</v>
      </c>
      <c r="F103" s="265" t="s">
        <v>638</v>
      </c>
      <c r="G103" s="265" t="s">
        <v>656</v>
      </c>
      <c r="H103" s="493" t="s">
        <v>608</v>
      </c>
      <c r="I103" s="487" t="s">
        <v>710</v>
      </c>
      <c r="J103" s="265" t="s">
        <v>1110</v>
      </c>
    </row>
    <row r="104" spans="1:10" x14ac:dyDescent="0.25">
      <c r="A104" s="497" t="s">
        <v>82</v>
      </c>
      <c r="B104" s="458" t="s">
        <v>311</v>
      </c>
      <c r="C104" s="458" t="s">
        <v>264</v>
      </c>
      <c r="D104" s="498" t="s">
        <v>82</v>
      </c>
      <c r="E104" s="491" t="s">
        <v>711</v>
      </c>
      <c r="F104" s="265" t="s">
        <v>638</v>
      </c>
      <c r="G104" s="265" t="s">
        <v>1055</v>
      </c>
      <c r="H104" s="493" t="s">
        <v>607</v>
      </c>
      <c r="I104" s="487" t="s">
        <v>708</v>
      </c>
      <c r="J104" s="265" t="s">
        <v>1108</v>
      </c>
    </row>
    <row r="105" spans="1:10" x14ac:dyDescent="0.25">
      <c r="A105" s="497" t="s">
        <v>88</v>
      </c>
      <c r="B105" s="458" t="s">
        <v>89</v>
      </c>
      <c r="C105" s="458" t="s">
        <v>267</v>
      </c>
      <c r="D105" s="498" t="s">
        <v>88</v>
      </c>
      <c r="E105" s="491" t="s">
        <v>711</v>
      </c>
      <c r="F105" s="265" t="s">
        <v>647</v>
      </c>
      <c r="H105" s="493" t="s">
        <v>896</v>
      </c>
      <c r="I105" s="487" t="s">
        <v>709</v>
      </c>
      <c r="J105" s="265" t="s">
        <v>1118</v>
      </c>
    </row>
    <row r="106" spans="1:10" x14ac:dyDescent="0.25">
      <c r="A106" s="497" t="s">
        <v>90</v>
      </c>
      <c r="B106" s="458" t="s">
        <v>91</v>
      </c>
      <c r="C106" s="458" t="s">
        <v>268</v>
      </c>
      <c r="D106" s="498" t="s">
        <v>90</v>
      </c>
      <c r="E106" s="491" t="s">
        <v>712</v>
      </c>
      <c r="F106" s="265" t="s">
        <v>638</v>
      </c>
      <c r="G106" s="265" t="s">
        <v>1055</v>
      </c>
      <c r="H106" s="493" t="s">
        <v>896</v>
      </c>
      <c r="I106" s="487" t="s">
        <v>709</v>
      </c>
      <c r="J106" s="265" t="s">
        <v>1119</v>
      </c>
    </row>
    <row r="107" spans="1:10" x14ac:dyDescent="0.25">
      <c r="A107" s="497" t="s">
        <v>106</v>
      </c>
      <c r="B107" s="458" t="s">
        <v>107</v>
      </c>
      <c r="C107" s="458" t="s">
        <v>264</v>
      </c>
      <c r="D107" s="498" t="s">
        <v>106</v>
      </c>
      <c r="E107" s="491" t="s">
        <v>713</v>
      </c>
      <c r="F107" s="265" t="s">
        <v>638</v>
      </c>
      <c r="G107" s="265" t="s">
        <v>656</v>
      </c>
      <c r="H107" s="493" t="s">
        <v>608</v>
      </c>
      <c r="I107" s="487" t="s">
        <v>710</v>
      </c>
      <c r="J107" s="265" t="s">
        <v>1110</v>
      </c>
    </row>
    <row r="108" spans="1:10" x14ac:dyDescent="0.25">
      <c r="A108" s="497" t="s">
        <v>116</v>
      </c>
      <c r="B108" s="458" t="s">
        <v>117</v>
      </c>
      <c r="C108" s="458" t="s">
        <v>266</v>
      </c>
      <c r="D108" s="498" t="s">
        <v>116</v>
      </c>
      <c r="E108" s="491" t="s">
        <v>711</v>
      </c>
      <c r="F108" s="265" t="s">
        <v>638</v>
      </c>
      <c r="G108" s="265" t="s">
        <v>1055</v>
      </c>
      <c r="H108" s="493" t="s">
        <v>896</v>
      </c>
      <c r="I108" s="487" t="s">
        <v>709</v>
      </c>
      <c r="J108" s="265" t="s">
        <v>1123</v>
      </c>
    </row>
    <row r="109" spans="1:10" x14ac:dyDescent="0.25">
      <c r="A109" s="497" t="s">
        <v>138</v>
      </c>
      <c r="B109" s="458" t="s">
        <v>139</v>
      </c>
      <c r="C109" s="458" t="s">
        <v>265</v>
      </c>
      <c r="D109" s="498" t="s">
        <v>138</v>
      </c>
      <c r="E109" s="491" t="s">
        <v>713</v>
      </c>
      <c r="F109" s="265" t="s">
        <v>638</v>
      </c>
      <c r="G109" s="265" t="s">
        <v>656</v>
      </c>
      <c r="H109" s="493" t="s">
        <v>608</v>
      </c>
      <c r="I109" s="487" t="s">
        <v>710</v>
      </c>
      <c r="J109" s="265" t="s">
        <v>1110</v>
      </c>
    </row>
    <row r="110" spans="1:10" x14ac:dyDescent="0.25">
      <c r="A110" s="497" t="s">
        <v>142</v>
      </c>
      <c r="B110" s="458" t="s">
        <v>143</v>
      </c>
      <c r="C110" s="458" t="s">
        <v>267</v>
      </c>
      <c r="D110" s="498" t="s">
        <v>142</v>
      </c>
      <c r="E110" s="491" t="s">
        <v>711</v>
      </c>
      <c r="F110" s="265" t="s">
        <v>638</v>
      </c>
      <c r="G110" s="265" t="s">
        <v>1124</v>
      </c>
      <c r="H110" s="493" t="s">
        <v>896</v>
      </c>
      <c r="I110" s="487" t="s">
        <v>709</v>
      </c>
      <c r="J110" s="265" t="s">
        <v>1110</v>
      </c>
    </row>
    <row r="111" spans="1:10" x14ac:dyDescent="0.25">
      <c r="A111" s="497" t="s">
        <v>144</v>
      </c>
      <c r="B111" s="458" t="s">
        <v>145</v>
      </c>
      <c r="C111" s="458" t="s">
        <v>267</v>
      </c>
      <c r="D111" s="498" t="s">
        <v>144</v>
      </c>
      <c r="E111" s="491" t="s">
        <v>712</v>
      </c>
      <c r="F111" s="265" t="s">
        <v>638</v>
      </c>
      <c r="G111" s="265" t="s">
        <v>1124</v>
      </c>
      <c r="H111" s="493" t="s">
        <v>896</v>
      </c>
      <c r="I111" s="487" t="s">
        <v>709</v>
      </c>
      <c r="J111" s="265" t="s">
        <v>1125</v>
      </c>
    </row>
    <row r="112" spans="1:10" x14ac:dyDescent="0.25">
      <c r="A112" s="497" t="s">
        <v>158</v>
      </c>
      <c r="B112" s="458" t="s">
        <v>159</v>
      </c>
      <c r="C112" s="458" t="s">
        <v>264</v>
      </c>
      <c r="D112" s="498" t="s">
        <v>158</v>
      </c>
      <c r="E112" s="491" t="s">
        <v>713</v>
      </c>
      <c r="F112" s="265" t="s">
        <v>638</v>
      </c>
      <c r="G112" s="265" t="s">
        <v>656</v>
      </c>
      <c r="H112" s="493" t="s">
        <v>608</v>
      </c>
      <c r="I112" s="487" t="s">
        <v>710</v>
      </c>
      <c r="J112" s="265" t="s">
        <v>1110</v>
      </c>
    </row>
    <row r="113" spans="1:13" x14ac:dyDescent="0.25">
      <c r="A113" s="497" t="s">
        <v>160</v>
      </c>
      <c r="B113" s="458" t="s">
        <v>161</v>
      </c>
      <c r="C113" s="458" t="s">
        <v>264</v>
      </c>
      <c r="D113" s="498" t="s">
        <v>160</v>
      </c>
      <c r="E113" s="491" t="s">
        <v>713</v>
      </c>
      <c r="F113" s="265" t="s">
        <v>638</v>
      </c>
      <c r="G113" s="265" t="s">
        <v>656</v>
      </c>
      <c r="H113" s="493" t="s">
        <v>608</v>
      </c>
      <c r="I113" s="487" t="s">
        <v>710</v>
      </c>
      <c r="J113" s="265" t="s">
        <v>1110</v>
      </c>
    </row>
    <row r="114" spans="1:13" x14ac:dyDescent="0.25">
      <c r="A114" s="497" t="s">
        <v>166</v>
      </c>
      <c r="B114" s="458" t="s">
        <v>167</v>
      </c>
      <c r="C114" s="458" t="s">
        <v>268</v>
      </c>
      <c r="D114" s="498" t="s">
        <v>166</v>
      </c>
      <c r="E114" s="491" t="s">
        <v>712</v>
      </c>
      <c r="F114" s="265" t="s">
        <v>638</v>
      </c>
      <c r="G114" s="265" t="s">
        <v>1055</v>
      </c>
      <c r="H114" s="493" t="s">
        <v>896</v>
      </c>
      <c r="I114" s="487" t="s">
        <v>709</v>
      </c>
      <c r="J114" s="265" t="s">
        <v>1115</v>
      </c>
    </row>
    <row r="115" spans="1:13" x14ac:dyDescent="0.25">
      <c r="A115" s="497" t="s">
        <v>176</v>
      </c>
      <c r="B115" s="458" t="s">
        <v>177</v>
      </c>
      <c r="C115" s="458" t="s">
        <v>266</v>
      </c>
      <c r="D115" s="498" t="s">
        <v>176</v>
      </c>
      <c r="E115" s="491" t="s">
        <v>713</v>
      </c>
      <c r="F115" s="265" t="s">
        <v>638</v>
      </c>
      <c r="G115" s="265" t="s">
        <v>1055</v>
      </c>
      <c r="H115" s="493" t="s">
        <v>896</v>
      </c>
      <c r="I115" s="487" t="s">
        <v>709</v>
      </c>
      <c r="J115" s="265" t="s">
        <v>1126</v>
      </c>
    </row>
    <row r="116" spans="1:13" x14ac:dyDescent="0.25">
      <c r="A116" s="497" t="s">
        <v>180</v>
      </c>
      <c r="B116" s="458" t="s">
        <v>181</v>
      </c>
      <c r="C116" s="458" t="s">
        <v>264</v>
      </c>
      <c r="D116" s="498" t="s">
        <v>180</v>
      </c>
      <c r="E116" s="491" t="s">
        <v>713</v>
      </c>
      <c r="F116" s="265" t="s">
        <v>638</v>
      </c>
      <c r="G116" s="265" t="s">
        <v>656</v>
      </c>
      <c r="H116" s="493" t="s">
        <v>608</v>
      </c>
      <c r="I116" s="487" t="s">
        <v>710</v>
      </c>
      <c r="J116" s="265" t="s">
        <v>1110</v>
      </c>
    </row>
    <row r="117" spans="1:13" x14ac:dyDescent="0.25">
      <c r="A117" s="497" t="s">
        <v>192</v>
      </c>
      <c r="B117" s="458" t="s">
        <v>193</v>
      </c>
      <c r="C117" s="458" t="s">
        <v>268</v>
      </c>
      <c r="D117" s="498" t="s">
        <v>192</v>
      </c>
      <c r="E117" s="491" t="s">
        <v>712</v>
      </c>
      <c r="F117" s="265" t="s">
        <v>647</v>
      </c>
      <c r="H117" s="493" t="s">
        <v>607</v>
      </c>
      <c r="I117" s="487" t="s">
        <v>708</v>
      </c>
      <c r="J117" s="265" t="s">
        <v>1108</v>
      </c>
    </row>
    <row r="118" spans="1:13" x14ac:dyDescent="0.25">
      <c r="A118" s="497" t="s">
        <v>196</v>
      </c>
      <c r="B118" s="458" t="s">
        <v>312</v>
      </c>
      <c r="C118" s="458" t="s">
        <v>266</v>
      </c>
      <c r="D118" s="498" t="s">
        <v>196</v>
      </c>
      <c r="E118" s="491" t="s">
        <v>713</v>
      </c>
      <c r="F118" s="265" t="s">
        <v>638</v>
      </c>
      <c r="G118" s="265" t="s">
        <v>1131</v>
      </c>
      <c r="H118" s="493" t="s">
        <v>608</v>
      </c>
      <c r="I118" s="487" t="s">
        <v>710</v>
      </c>
      <c r="J118" s="265" t="s">
        <v>1110</v>
      </c>
    </row>
    <row r="119" spans="1:13" x14ac:dyDescent="0.25">
      <c r="A119" s="497" t="s">
        <v>200</v>
      </c>
      <c r="B119" s="458" t="s">
        <v>313</v>
      </c>
      <c r="C119" s="458" t="s">
        <v>265</v>
      </c>
      <c r="D119" s="498" t="s">
        <v>200</v>
      </c>
      <c r="E119" s="491" t="s">
        <v>713</v>
      </c>
      <c r="F119" s="265" t="s">
        <v>638</v>
      </c>
      <c r="G119" s="265" t="s">
        <v>656</v>
      </c>
      <c r="H119" s="493" t="s">
        <v>608</v>
      </c>
      <c r="I119" s="487" t="s">
        <v>710</v>
      </c>
      <c r="J119" s="265" t="s">
        <v>1110</v>
      </c>
    </row>
    <row r="120" spans="1:13" x14ac:dyDescent="0.25">
      <c r="A120" s="497" t="s">
        <v>222</v>
      </c>
      <c r="B120" s="458" t="s">
        <v>223</v>
      </c>
      <c r="C120" s="458" t="s">
        <v>264</v>
      </c>
      <c r="D120" s="498" t="s">
        <v>222</v>
      </c>
      <c r="E120" s="491" t="s">
        <v>713</v>
      </c>
      <c r="F120" s="265" t="s">
        <v>638</v>
      </c>
      <c r="G120" s="265" t="s">
        <v>656</v>
      </c>
      <c r="H120" s="493" t="s">
        <v>896</v>
      </c>
      <c r="I120" s="487" t="s">
        <v>709</v>
      </c>
      <c r="J120" s="265" t="s">
        <v>1133</v>
      </c>
      <c r="L120" s="265" t="s">
        <v>1164</v>
      </c>
      <c r="M120" s="265" t="s">
        <v>1165</v>
      </c>
    </row>
    <row r="121" spans="1:13" x14ac:dyDescent="0.25">
      <c r="A121" s="497" t="s">
        <v>230</v>
      </c>
      <c r="B121" s="458" t="s">
        <v>231</v>
      </c>
      <c r="C121" s="458" t="s">
        <v>264</v>
      </c>
      <c r="D121" s="498" t="s">
        <v>230</v>
      </c>
      <c r="E121" s="491" t="s">
        <v>713</v>
      </c>
      <c r="F121" s="265" t="s">
        <v>638</v>
      </c>
      <c r="G121" s="265" t="s">
        <v>1134</v>
      </c>
      <c r="H121" s="493" t="s">
        <v>608</v>
      </c>
      <c r="I121" s="487" t="s">
        <v>710</v>
      </c>
      <c r="J121" s="265" t="s">
        <v>1110</v>
      </c>
      <c r="L121" s="265" t="s">
        <v>1172</v>
      </c>
      <c r="M121" s="265" t="s">
        <v>1173</v>
      </c>
    </row>
    <row r="122" spans="1:13" x14ac:dyDescent="0.25">
      <c r="A122" s="497" t="s">
        <v>238</v>
      </c>
      <c r="B122" s="458" t="s">
        <v>239</v>
      </c>
      <c r="C122" s="458" t="s">
        <v>264</v>
      </c>
      <c r="D122" s="498" t="s">
        <v>238</v>
      </c>
      <c r="E122" s="491" t="s">
        <v>712</v>
      </c>
      <c r="F122" s="265" t="s">
        <v>638</v>
      </c>
      <c r="G122" s="265" t="s">
        <v>656</v>
      </c>
      <c r="H122" s="493" t="s">
        <v>896</v>
      </c>
      <c r="I122" s="487" t="s">
        <v>709</v>
      </c>
      <c r="J122" s="265" t="s">
        <v>1110</v>
      </c>
    </row>
    <row r="123" spans="1:13" x14ac:dyDescent="0.25">
      <c r="A123" s="497" t="s">
        <v>240</v>
      </c>
      <c r="B123" s="458" t="s">
        <v>241</v>
      </c>
      <c r="C123" s="458" t="s">
        <v>267</v>
      </c>
      <c r="D123" s="498" t="s">
        <v>240</v>
      </c>
      <c r="E123" s="491" t="s">
        <v>711</v>
      </c>
      <c r="F123" s="265" t="s">
        <v>638</v>
      </c>
      <c r="G123" s="265" t="s">
        <v>1055</v>
      </c>
      <c r="H123" s="493" t="s">
        <v>608</v>
      </c>
      <c r="I123" s="487" t="s">
        <v>710</v>
      </c>
      <c r="J123" s="265" t="s">
        <v>1110</v>
      </c>
    </row>
    <row r="124" spans="1:13" x14ac:dyDescent="0.25">
      <c r="A124" s="497"/>
      <c r="B124" s="458"/>
      <c r="C124" s="458"/>
      <c r="D124" s="498"/>
    </row>
    <row r="125" spans="1:13" x14ac:dyDescent="0.25">
      <c r="A125" s="497"/>
      <c r="B125" s="458"/>
      <c r="C125" s="458"/>
      <c r="D125" s="310"/>
      <c r="E125" s="491" t="s">
        <v>1136</v>
      </c>
      <c r="F125" s="265" t="s">
        <v>1140</v>
      </c>
      <c r="I125" s="265" t="s">
        <v>1143</v>
      </c>
    </row>
    <row r="126" spans="1:13" x14ac:dyDescent="0.25">
      <c r="A126" s="497"/>
      <c r="B126" s="458"/>
      <c r="C126" s="458"/>
      <c r="D126" s="310"/>
      <c r="E126" s="491" t="s">
        <v>1137</v>
      </c>
      <c r="F126" s="265" t="s">
        <v>1141</v>
      </c>
      <c r="I126" s="265" t="s">
        <v>1144</v>
      </c>
    </row>
    <row r="127" spans="1:13" x14ac:dyDescent="0.25">
      <c r="A127" s="497"/>
      <c r="B127" s="458"/>
      <c r="C127" s="458"/>
      <c r="D127" s="310"/>
      <c r="E127" s="491" t="s">
        <v>1138</v>
      </c>
      <c r="F127" s="265" t="s">
        <v>1142</v>
      </c>
      <c r="I127" s="265" t="s">
        <v>1145</v>
      </c>
    </row>
    <row r="128" spans="1:13" x14ac:dyDescent="0.25">
      <c r="E128" s="491" t="s">
        <v>1139</v>
      </c>
      <c r="I128" s="265" t="s">
        <v>1146</v>
      </c>
    </row>
    <row r="130" spans="1:2" x14ac:dyDescent="0.25">
      <c r="A130" s="500" t="s">
        <v>1421</v>
      </c>
    </row>
    <row r="131" spans="1:2" x14ac:dyDescent="0.25">
      <c r="A131" s="489" t="s">
        <v>660</v>
      </c>
    </row>
    <row r="132" spans="1:2" x14ac:dyDescent="0.25">
      <c r="A132" s="489" t="s">
        <v>1103</v>
      </c>
    </row>
    <row r="133" spans="1:2" x14ac:dyDescent="0.25">
      <c r="A133" s="489"/>
    </row>
    <row r="134" spans="1:2" s="389" customFormat="1" x14ac:dyDescent="0.25">
      <c r="A134" s="389" t="s">
        <v>248</v>
      </c>
    </row>
    <row r="135" spans="1:2" s="389" customFormat="1" x14ac:dyDescent="0.25">
      <c r="A135" s="390" t="s">
        <v>249</v>
      </c>
      <c r="B135" s="391" t="s">
        <v>250</v>
      </c>
    </row>
  </sheetData>
  <autoFilter ref="A3:I123"/>
  <sortState ref="A4:M123">
    <sortCondition ref="A4:A123"/>
  </sortState>
  <dataValidations count="1">
    <dataValidation type="list" allowBlank="1" showInputMessage="1" showErrorMessage="1" sqref="G4:G123">
      <formula1>$H$204:$H$208</formula1>
    </dataValidation>
  </dataValidations>
  <hyperlinks>
    <hyperlink ref="B135" r:id="rId1"/>
  </hyperlink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114" activePane="bottomRight" state="frozen"/>
      <selection pane="topRight" activeCell="D1" sqref="D1"/>
      <selection pane="bottomLeft" activeCell="A6" sqref="A6"/>
      <selection pane="bottomRight" activeCell="E3" sqref="E3:I4"/>
    </sheetView>
  </sheetViews>
  <sheetFormatPr defaultColWidth="14.375" defaultRowHeight="15.75" x14ac:dyDescent="0.25"/>
  <cols>
    <col min="1" max="1" width="14.375" style="476"/>
    <col min="2" max="2" width="32.25" style="476" customWidth="1"/>
    <col min="3" max="3" width="14.5" style="476" customWidth="1"/>
    <col min="4" max="4" width="12.25" style="476" customWidth="1"/>
    <col min="5" max="5" width="11.875" style="476" customWidth="1"/>
    <col min="6" max="7" width="11.125" style="476" customWidth="1"/>
    <col min="8" max="9" width="14.5" style="476" customWidth="1"/>
    <col min="10" max="12" width="10.125" style="476" customWidth="1"/>
    <col min="13" max="16" width="12.25" style="476" customWidth="1"/>
    <col min="17" max="17" width="15.375" style="476" customWidth="1"/>
    <col min="18" max="16384" width="14.375" style="476"/>
  </cols>
  <sheetData>
    <row r="1" spans="1:17" x14ac:dyDescent="0.25">
      <c r="A1" s="254" t="s">
        <v>1397</v>
      </c>
    </row>
    <row r="2" spans="1:17" x14ac:dyDescent="0.25">
      <c r="B2" s="477"/>
      <c r="C2" s="477"/>
      <c r="E2" s="477"/>
      <c r="F2" s="477"/>
      <c r="G2" s="477"/>
      <c r="H2" s="477"/>
      <c r="I2" s="477"/>
      <c r="J2" s="477"/>
      <c r="K2" s="477"/>
      <c r="L2" s="477"/>
    </row>
    <row r="3" spans="1:17" ht="23.25" customHeight="1" x14ac:dyDescent="0.25">
      <c r="A3" s="478"/>
      <c r="B3" s="479"/>
      <c r="C3" s="577"/>
      <c r="D3" s="1028"/>
      <c r="E3" s="2747" t="s">
        <v>865</v>
      </c>
      <c r="F3" s="2748"/>
      <c r="G3" s="2748"/>
      <c r="H3" s="2748"/>
      <c r="I3" s="2749"/>
      <c r="J3" s="2747" t="s">
        <v>860</v>
      </c>
      <c r="K3" s="2748"/>
      <c r="L3" s="2749"/>
      <c r="M3" s="2748" t="s">
        <v>767</v>
      </c>
      <c r="N3" s="2748"/>
      <c r="O3" s="2748"/>
      <c r="P3" s="2748"/>
      <c r="Q3" s="2752" t="s">
        <v>623</v>
      </c>
    </row>
    <row r="4" spans="1:17" ht="35.25" customHeight="1" x14ac:dyDescent="0.25">
      <c r="A4" s="480" t="s">
        <v>4</v>
      </c>
      <c r="B4" s="479" t="s">
        <v>5</v>
      </c>
      <c r="C4" s="577" t="s">
        <v>251</v>
      </c>
      <c r="D4" s="1028" t="s">
        <v>281</v>
      </c>
      <c r="E4" s="2378" t="s">
        <v>618</v>
      </c>
      <c r="F4" s="2359" t="s">
        <v>1393</v>
      </c>
      <c r="G4" s="2390" t="s">
        <v>1394</v>
      </c>
      <c r="H4" s="2359" t="s">
        <v>778</v>
      </c>
      <c r="I4" s="2379" t="s">
        <v>1381</v>
      </c>
      <c r="J4" s="2378" t="s">
        <v>549</v>
      </c>
      <c r="K4" s="2359" t="s">
        <v>548</v>
      </c>
      <c r="L4" s="2379" t="s">
        <v>1381</v>
      </c>
      <c r="M4" s="577" t="s">
        <v>2</v>
      </c>
      <c r="N4" s="577" t="s">
        <v>445</v>
      </c>
      <c r="O4" s="577" t="s">
        <v>827</v>
      </c>
      <c r="P4" s="577" t="s">
        <v>1381</v>
      </c>
      <c r="Q4" s="2753"/>
    </row>
    <row r="5" spans="1:17" x14ac:dyDescent="0.25">
      <c r="A5" s="1046" t="s">
        <v>8</v>
      </c>
      <c r="B5" s="1047" t="s">
        <v>281</v>
      </c>
      <c r="C5" s="1048"/>
      <c r="D5" s="1049">
        <f>SUM(D6:D125)</f>
        <v>1496591</v>
      </c>
      <c r="E5" s="2385">
        <f>SUM(E6:E125)</f>
        <v>761889</v>
      </c>
      <c r="F5" s="2377">
        <f t="shared" ref="F5:I5" si="0">SUM(F6:F125)</f>
        <v>308429</v>
      </c>
      <c r="G5" s="2377">
        <f t="shared" si="0"/>
        <v>294724</v>
      </c>
      <c r="H5" s="2377">
        <f t="shared" si="0"/>
        <v>131542</v>
      </c>
      <c r="I5" s="2392">
        <f t="shared" si="0"/>
        <v>7</v>
      </c>
      <c r="J5" s="2385">
        <f t="shared" ref="J5" si="1">SUM(J6:J125)</f>
        <v>870739</v>
      </c>
      <c r="K5" s="2377">
        <f t="shared" ref="K5:Q5" si="2">SUM(K6:K125)</f>
        <v>625852</v>
      </c>
      <c r="L5" s="2392">
        <f t="shared" si="2"/>
        <v>0</v>
      </c>
      <c r="M5" s="1049">
        <f t="shared" si="2"/>
        <v>838572</v>
      </c>
      <c r="N5" s="1049">
        <f t="shared" si="2"/>
        <v>576285</v>
      </c>
      <c r="O5" s="1049">
        <f t="shared" si="2"/>
        <v>78478</v>
      </c>
      <c r="P5" s="1049">
        <f t="shared" si="2"/>
        <v>3256</v>
      </c>
      <c r="Q5" s="2407">
        <f t="shared" si="2"/>
        <v>76048</v>
      </c>
    </row>
    <row r="6" spans="1:17" s="576" customFormat="1" x14ac:dyDescent="0.25">
      <c r="A6" s="578" t="s">
        <v>10</v>
      </c>
      <c r="B6" s="574" t="s">
        <v>11</v>
      </c>
      <c r="C6" s="573" t="s">
        <v>264</v>
      </c>
      <c r="D6" s="575">
        <v>9667</v>
      </c>
      <c r="E6" s="2386">
        <v>4973</v>
      </c>
      <c r="F6" s="891">
        <v>1772</v>
      </c>
      <c r="G6" s="891">
        <v>1873</v>
      </c>
      <c r="H6" s="891">
        <v>1049</v>
      </c>
      <c r="I6" s="2387">
        <v>0</v>
      </c>
      <c r="J6" s="2386">
        <v>5586</v>
      </c>
      <c r="K6" s="891">
        <v>4081</v>
      </c>
      <c r="L6" s="2387"/>
      <c r="M6" s="575">
        <v>5040</v>
      </c>
      <c r="N6" s="575">
        <v>4495</v>
      </c>
      <c r="O6" s="575">
        <v>102</v>
      </c>
      <c r="P6" s="575">
        <v>30</v>
      </c>
      <c r="Q6" s="2408">
        <v>585</v>
      </c>
    </row>
    <row r="7" spans="1:17" s="576" customFormat="1" x14ac:dyDescent="0.25">
      <c r="A7" s="578" t="s">
        <v>12</v>
      </c>
      <c r="B7" s="574" t="s">
        <v>13</v>
      </c>
      <c r="C7" s="573" t="s">
        <v>265</v>
      </c>
      <c r="D7" s="575">
        <v>11572</v>
      </c>
      <c r="E7" s="2386">
        <v>6286</v>
      </c>
      <c r="F7" s="891">
        <v>2283</v>
      </c>
      <c r="G7" s="891">
        <v>2019</v>
      </c>
      <c r="H7" s="891">
        <v>984</v>
      </c>
      <c r="I7" s="2387">
        <v>0</v>
      </c>
      <c r="J7" s="2386">
        <v>6645</v>
      </c>
      <c r="K7" s="891">
        <v>4927</v>
      </c>
      <c r="L7" s="2387"/>
      <c r="M7" s="575">
        <v>7760</v>
      </c>
      <c r="N7" s="575">
        <v>3125</v>
      </c>
      <c r="O7" s="575">
        <v>661</v>
      </c>
      <c r="P7" s="575">
        <v>26</v>
      </c>
      <c r="Q7" s="2408">
        <v>590</v>
      </c>
    </row>
    <row r="8" spans="1:17" s="576" customFormat="1" x14ac:dyDescent="0.25">
      <c r="A8" s="578" t="s">
        <v>16</v>
      </c>
      <c r="B8" s="574" t="s">
        <v>297</v>
      </c>
      <c r="C8" s="573" t="s">
        <v>265</v>
      </c>
      <c r="D8" s="575">
        <v>5862</v>
      </c>
      <c r="E8" s="2386">
        <v>2572</v>
      </c>
      <c r="F8" s="891">
        <v>1221</v>
      </c>
      <c r="G8" s="891">
        <v>1388</v>
      </c>
      <c r="H8" s="891">
        <v>681</v>
      </c>
      <c r="I8" s="2387">
        <v>0</v>
      </c>
      <c r="J8" s="2386">
        <v>3444</v>
      </c>
      <c r="K8" s="891">
        <v>2418</v>
      </c>
      <c r="L8" s="2387"/>
      <c r="M8" s="575">
        <v>5154</v>
      </c>
      <c r="N8" s="575">
        <v>655</v>
      </c>
      <c r="O8" s="575">
        <v>52</v>
      </c>
      <c r="P8" s="575">
        <v>1</v>
      </c>
      <c r="Q8" s="2408">
        <v>47</v>
      </c>
    </row>
    <row r="9" spans="1:17" s="576" customFormat="1" x14ac:dyDescent="0.25">
      <c r="A9" s="578" t="s">
        <v>18</v>
      </c>
      <c r="B9" s="574" t="s">
        <v>19</v>
      </c>
      <c r="C9" s="573" t="s">
        <v>266</v>
      </c>
      <c r="D9" s="575">
        <v>2834</v>
      </c>
      <c r="E9" s="2386">
        <v>1281</v>
      </c>
      <c r="F9" s="891">
        <v>585</v>
      </c>
      <c r="G9" s="891">
        <v>631</v>
      </c>
      <c r="H9" s="891">
        <v>337</v>
      </c>
      <c r="I9" s="2387">
        <v>0</v>
      </c>
      <c r="J9" s="2386">
        <v>1641</v>
      </c>
      <c r="K9" s="891">
        <v>1193</v>
      </c>
      <c r="L9" s="2387"/>
      <c r="M9" s="575">
        <v>1807</v>
      </c>
      <c r="N9" s="575">
        <v>969</v>
      </c>
      <c r="O9" s="575">
        <v>54</v>
      </c>
      <c r="P9" s="575">
        <v>4</v>
      </c>
      <c r="Q9" s="2408">
        <v>62</v>
      </c>
    </row>
    <row r="10" spans="1:17" s="576" customFormat="1" x14ac:dyDescent="0.25">
      <c r="A10" s="578" t="s">
        <v>20</v>
      </c>
      <c r="B10" s="574" t="s">
        <v>21</v>
      </c>
      <c r="C10" s="573" t="s">
        <v>265</v>
      </c>
      <c r="D10" s="575">
        <v>6924</v>
      </c>
      <c r="E10" s="2386">
        <v>3187</v>
      </c>
      <c r="F10" s="891">
        <v>1417</v>
      </c>
      <c r="G10" s="891">
        <v>1525</v>
      </c>
      <c r="H10" s="891">
        <v>795</v>
      </c>
      <c r="I10" s="2387">
        <v>0</v>
      </c>
      <c r="J10" s="2386">
        <v>3955</v>
      </c>
      <c r="K10" s="891">
        <v>2969</v>
      </c>
      <c r="L10" s="2387"/>
      <c r="M10" s="575">
        <v>4881</v>
      </c>
      <c r="N10" s="575">
        <v>1901</v>
      </c>
      <c r="O10" s="575">
        <v>141</v>
      </c>
      <c r="P10" s="575">
        <v>1</v>
      </c>
      <c r="Q10" s="2408">
        <v>121</v>
      </c>
    </row>
    <row r="11" spans="1:17" s="576" customFormat="1" x14ac:dyDescent="0.25">
      <c r="A11" s="578" t="s">
        <v>22</v>
      </c>
      <c r="B11" s="574" t="s">
        <v>23</v>
      </c>
      <c r="C11" s="573" t="s">
        <v>265</v>
      </c>
      <c r="D11" s="575">
        <v>3932</v>
      </c>
      <c r="E11" s="2386">
        <v>1776</v>
      </c>
      <c r="F11" s="891">
        <v>848</v>
      </c>
      <c r="G11" s="891">
        <v>882</v>
      </c>
      <c r="H11" s="891">
        <v>426</v>
      </c>
      <c r="I11" s="2387">
        <v>0</v>
      </c>
      <c r="J11" s="2386">
        <v>2322</v>
      </c>
      <c r="K11" s="891">
        <v>1610</v>
      </c>
      <c r="L11" s="2387"/>
      <c r="M11" s="575">
        <v>2501</v>
      </c>
      <c r="N11" s="575">
        <v>1394</v>
      </c>
      <c r="O11" s="575">
        <v>35</v>
      </c>
      <c r="P11" s="575">
        <v>2</v>
      </c>
      <c r="Q11" s="2408">
        <v>26</v>
      </c>
    </row>
    <row r="12" spans="1:17" s="576" customFormat="1" x14ac:dyDescent="0.25">
      <c r="A12" s="578" t="s">
        <v>24</v>
      </c>
      <c r="B12" s="574" t="s">
        <v>25</v>
      </c>
      <c r="C12" s="573" t="s">
        <v>267</v>
      </c>
      <c r="D12" s="575">
        <v>17892</v>
      </c>
      <c r="E12" s="2386">
        <v>10310</v>
      </c>
      <c r="F12" s="891">
        <v>2441</v>
      </c>
      <c r="G12" s="891">
        <v>2709</v>
      </c>
      <c r="H12" s="891">
        <v>2432</v>
      </c>
      <c r="I12" s="2387">
        <v>0</v>
      </c>
      <c r="J12" s="2386">
        <v>9897</v>
      </c>
      <c r="K12" s="891">
        <v>7995</v>
      </c>
      <c r="L12" s="2387"/>
      <c r="M12" s="575">
        <v>10972</v>
      </c>
      <c r="N12" s="575">
        <v>4648</v>
      </c>
      <c r="O12" s="575">
        <v>2240</v>
      </c>
      <c r="P12" s="575">
        <v>32</v>
      </c>
      <c r="Q12" s="2408">
        <v>2028</v>
      </c>
    </row>
    <row r="13" spans="1:17" s="576" customFormat="1" x14ac:dyDescent="0.25">
      <c r="A13" s="578" t="s">
        <v>26</v>
      </c>
      <c r="B13" s="574" t="s">
        <v>685</v>
      </c>
      <c r="C13" s="573" t="s">
        <v>265</v>
      </c>
      <c r="D13" s="575">
        <v>25170</v>
      </c>
      <c r="E13" s="2386">
        <v>12233</v>
      </c>
      <c r="F13" s="891">
        <v>5429</v>
      </c>
      <c r="G13" s="891">
        <v>5334</v>
      </c>
      <c r="H13" s="891">
        <v>2174</v>
      </c>
      <c r="I13" s="2387">
        <v>0</v>
      </c>
      <c r="J13" s="2386">
        <v>14763</v>
      </c>
      <c r="K13" s="891">
        <v>10407</v>
      </c>
      <c r="L13" s="2387"/>
      <c r="M13" s="575">
        <v>21366</v>
      </c>
      <c r="N13" s="575">
        <v>3386</v>
      </c>
      <c r="O13" s="575">
        <v>391</v>
      </c>
      <c r="P13" s="575">
        <v>27</v>
      </c>
      <c r="Q13" s="2408">
        <v>548</v>
      </c>
    </row>
    <row r="14" spans="1:17" s="576" customFormat="1" x14ac:dyDescent="0.25">
      <c r="A14" s="578" t="s">
        <v>27</v>
      </c>
      <c r="B14" s="574" t="s">
        <v>28</v>
      </c>
      <c r="C14" s="573" t="s">
        <v>265</v>
      </c>
      <c r="D14" s="575">
        <v>813</v>
      </c>
      <c r="E14" s="2386">
        <v>369</v>
      </c>
      <c r="F14" s="891">
        <v>163</v>
      </c>
      <c r="G14" s="891">
        <v>179</v>
      </c>
      <c r="H14" s="891">
        <v>102</v>
      </c>
      <c r="I14" s="2387">
        <v>0</v>
      </c>
      <c r="J14" s="2386">
        <v>485</v>
      </c>
      <c r="K14" s="891">
        <v>328</v>
      </c>
      <c r="L14" s="2387"/>
      <c r="M14" s="575">
        <v>762</v>
      </c>
      <c r="N14" s="575">
        <v>45</v>
      </c>
      <c r="O14" s="575">
        <v>6</v>
      </c>
      <c r="P14" s="575">
        <v>0</v>
      </c>
      <c r="Q14" s="2408">
        <v>12</v>
      </c>
    </row>
    <row r="15" spans="1:17" s="576" customFormat="1" x14ac:dyDescent="0.25">
      <c r="A15" s="578" t="s">
        <v>29</v>
      </c>
      <c r="B15" s="574" t="s">
        <v>901</v>
      </c>
      <c r="C15" s="573" t="s">
        <v>265</v>
      </c>
      <c r="D15" s="575">
        <v>11564</v>
      </c>
      <c r="E15" s="2386">
        <v>5672</v>
      </c>
      <c r="F15" s="891">
        <v>2383</v>
      </c>
      <c r="G15" s="891">
        <v>2489</v>
      </c>
      <c r="H15" s="891">
        <v>1020</v>
      </c>
      <c r="I15" s="2387">
        <v>0</v>
      </c>
      <c r="J15" s="2386">
        <v>6601</v>
      </c>
      <c r="K15" s="891">
        <v>4963</v>
      </c>
      <c r="L15" s="2387"/>
      <c r="M15" s="575">
        <v>9630</v>
      </c>
      <c r="N15" s="575">
        <v>1715</v>
      </c>
      <c r="O15" s="575">
        <v>210</v>
      </c>
      <c r="P15" s="575">
        <v>9</v>
      </c>
      <c r="Q15" s="2408">
        <v>257</v>
      </c>
    </row>
    <row r="16" spans="1:17" s="576" customFormat="1" x14ac:dyDescent="0.25">
      <c r="A16" s="578" t="s">
        <v>30</v>
      </c>
      <c r="B16" s="574" t="s">
        <v>31</v>
      </c>
      <c r="C16" s="573" t="s">
        <v>268</v>
      </c>
      <c r="D16" s="575">
        <v>1137</v>
      </c>
      <c r="E16" s="2386">
        <v>483</v>
      </c>
      <c r="F16" s="891">
        <v>227</v>
      </c>
      <c r="G16" s="891">
        <v>292</v>
      </c>
      <c r="H16" s="891">
        <v>135</v>
      </c>
      <c r="I16" s="2387">
        <v>0</v>
      </c>
      <c r="J16" s="2386">
        <v>655</v>
      </c>
      <c r="K16" s="891">
        <v>482</v>
      </c>
      <c r="L16" s="2387"/>
      <c r="M16" s="575">
        <v>1099</v>
      </c>
      <c r="N16" s="575">
        <v>27</v>
      </c>
      <c r="O16" s="575">
        <v>11</v>
      </c>
      <c r="P16" s="575">
        <v>0</v>
      </c>
      <c r="Q16" s="2408">
        <v>5</v>
      </c>
    </row>
    <row r="17" spans="1:17" s="576" customFormat="1" x14ac:dyDescent="0.25">
      <c r="A17" s="578" t="s">
        <v>32</v>
      </c>
      <c r="B17" s="574" t="s">
        <v>33</v>
      </c>
      <c r="C17" s="573" t="s">
        <v>265</v>
      </c>
      <c r="D17" s="575">
        <v>3902</v>
      </c>
      <c r="E17" s="2386">
        <v>1848</v>
      </c>
      <c r="F17" s="891">
        <v>775</v>
      </c>
      <c r="G17" s="891">
        <v>872</v>
      </c>
      <c r="H17" s="891">
        <v>407</v>
      </c>
      <c r="I17" s="2387">
        <v>0</v>
      </c>
      <c r="J17" s="2386">
        <v>2224</v>
      </c>
      <c r="K17" s="891">
        <v>1678</v>
      </c>
      <c r="L17" s="2387"/>
      <c r="M17" s="575">
        <v>3593</v>
      </c>
      <c r="N17" s="575">
        <v>221</v>
      </c>
      <c r="O17" s="575">
        <v>83</v>
      </c>
      <c r="P17" s="575">
        <v>5</v>
      </c>
      <c r="Q17" s="2408">
        <v>127</v>
      </c>
    </row>
    <row r="18" spans="1:17" s="576" customFormat="1" x14ac:dyDescent="0.25">
      <c r="A18" s="578" t="s">
        <v>36</v>
      </c>
      <c r="B18" s="574" t="s">
        <v>37</v>
      </c>
      <c r="C18" s="573" t="s">
        <v>264</v>
      </c>
      <c r="D18" s="575">
        <v>5064</v>
      </c>
      <c r="E18" s="2386">
        <v>2074</v>
      </c>
      <c r="F18" s="891">
        <v>1032</v>
      </c>
      <c r="G18" s="891">
        <v>1112</v>
      </c>
      <c r="H18" s="891">
        <v>846</v>
      </c>
      <c r="I18" s="2387">
        <v>0</v>
      </c>
      <c r="J18" s="2386">
        <v>2939</v>
      </c>
      <c r="K18" s="891">
        <v>2125</v>
      </c>
      <c r="L18" s="2387"/>
      <c r="M18" s="575">
        <v>1398</v>
      </c>
      <c r="N18" s="575">
        <v>3598</v>
      </c>
      <c r="O18" s="575">
        <v>63</v>
      </c>
      <c r="P18" s="575">
        <v>5</v>
      </c>
      <c r="Q18" s="2408">
        <v>66</v>
      </c>
    </row>
    <row r="19" spans="1:17" s="576" customFormat="1" x14ac:dyDescent="0.25">
      <c r="A19" s="578" t="s">
        <v>38</v>
      </c>
      <c r="B19" s="574" t="s">
        <v>39</v>
      </c>
      <c r="C19" s="573" t="s">
        <v>268</v>
      </c>
      <c r="D19" s="575">
        <v>7238</v>
      </c>
      <c r="E19" s="2386">
        <v>2738</v>
      </c>
      <c r="F19" s="891">
        <v>1405</v>
      </c>
      <c r="G19" s="891">
        <v>2332</v>
      </c>
      <c r="H19" s="891">
        <v>763</v>
      </c>
      <c r="I19" s="2387">
        <v>0</v>
      </c>
      <c r="J19" s="2386">
        <v>4037</v>
      </c>
      <c r="K19" s="891">
        <v>3201</v>
      </c>
      <c r="L19" s="2387"/>
      <c r="M19" s="575">
        <v>7161</v>
      </c>
      <c r="N19" s="575">
        <v>51</v>
      </c>
      <c r="O19" s="575">
        <v>22</v>
      </c>
      <c r="P19" s="575">
        <v>4</v>
      </c>
      <c r="Q19" s="2408">
        <v>16</v>
      </c>
    </row>
    <row r="20" spans="1:17" s="576" customFormat="1" x14ac:dyDescent="0.25">
      <c r="A20" s="578" t="s">
        <v>40</v>
      </c>
      <c r="B20" s="574" t="s">
        <v>41</v>
      </c>
      <c r="C20" s="573" t="s">
        <v>266</v>
      </c>
      <c r="D20" s="575">
        <v>4200</v>
      </c>
      <c r="E20" s="2386">
        <v>1945</v>
      </c>
      <c r="F20" s="891">
        <v>810</v>
      </c>
      <c r="G20" s="891">
        <v>911</v>
      </c>
      <c r="H20" s="891">
        <v>534</v>
      </c>
      <c r="I20" s="2387">
        <v>0</v>
      </c>
      <c r="J20" s="2386">
        <v>2446</v>
      </c>
      <c r="K20" s="891">
        <v>1754</v>
      </c>
      <c r="L20" s="2387"/>
      <c r="M20" s="575">
        <v>2272</v>
      </c>
      <c r="N20" s="575">
        <v>1872</v>
      </c>
      <c r="O20" s="575">
        <v>51</v>
      </c>
      <c r="P20" s="575">
        <v>5</v>
      </c>
      <c r="Q20" s="2408">
        <v>54</v>
      </c>
    </row>
    <row r="21" spans="1:17" s="576" customFormat="1" x14ac:dyDescent="0.25">
      <c r="A21" s="578" t="s">
        <v>42</v>
      </c>
      <c r="B21" s="574" t="s">
        <v>43</v>
      </c>
      <c r="C21" s="573" t="s">
        <v>265</v>
      </c>
      <c r="D21" s="575">
        <v>12361</v>
      </c>
      <c r="E21" s="2386">
        <v>5761</v>
      </c>
      <c r="F21" s="891">
        <v>2697</v>
      </c>
      <c r="G21" s="891">
        <v>2649</v>
      </c>
      <c r="H21" s="891">
        <v>1254</v>
      </c>
      <c r="I21" s="2387">
        <v>0</v>
      </c>
      <c r="J21" s="2386">
        <v>7285</v>
      </c>
      <c r="K21" s="891">
        <v>5076</v>
      </c>
      <c r="L21" s="2387"/>
      <c r="M21" s="575">
        <v>9035</v>
      </c>
      <c r="N21" s="575">
        <v>3041</v>
      </c>
      <c r="O21" s="575">
        <v>271</v>
      </c>
      <c r="P21" s="575">
        <v>14</v>
      </c>
      <c r="Q21" s="2408">
        <v>244</v>
      </c>
    </row>
    <row r="22" spans="1:17" s="576" customFormat="1" x14ac:dyDescent="0.25">
      <c r="A22" s="578" t="s">
        <v>44</v>
      </c>
      <c r="B22" s="574" t="s">
        <v>45</v>
      </c>
      <c r="C22" s="573" t="s">
        <v>266</v>
      </c>
      <c r="D22" s="575">
        <v>6883</v>
      </c>
      <c r="E22" s="2386">
        <v>3415</v>
      </c>
      <c r="F22" s="891">
        <v>1532</v>
      </c>
      <c r="G22" s="891">
        <v>1386</v>
      </c>
      <c r="H22" s="891">
        <v>550</v>
      </c>
      <c r="I22" s="2387">
        <v>0</v>
      </c>
      <c r="J22" s="2386">
        <v>4054</v>
      </c>
      <c r="K22" s="891">
        <v>2829</v>
      </c>
      <c r="L22" s="2387"/>
      <c r="M22" s="575">
        <v>4102</v>
      </c>
      <c r="N22" s="575">
        <v>2570</v>
      </c>
      <c r="O22" s="575">
        <v>189</v>
      </c>
      <c r="P22" s="575">
        <v>22</v>
      </c>
      <c r="Q22" s="2408">
        <v>188</v>
      </c>
    </row>
    <row r="23" spans="1:17" s="576" customFormat="1" x14ac:dyDescent="0.25">
      <c r="A23" s="578" t="s">
        <v>46</v>
      </c>
      <c r="B23" s="574" t="s">
        <v>47</v>
      </c>
      <c r="C23" s="573" t="s">
        <v>268</v>
      </c>
      <c r="D23" s="575">
        <v>7716</v>
      </c>
      <c r="E23" s="2386">
        <v>3297</v>
      </c>
      <c r="F23" s="891">
        <v>1402</v>
      </c>
      <c r="G23" s="891">
        <v>1866</v>
      </c>
      <c r="H23" s="891">
        <v>1150</v>
      </c>
      <c r="I23" s="2387">
        <v>1</v>
      </c>
      <c r="J23" s="2386">
        <v>4381</v>
      </c>
      <c r="K23" s="891">
        <v>3335</v>
      </c>
      <c r="L23" s="2387"/>
      <c r="M23" s="575">
        <v>7511</v>
      </c>
      <c r="N23" s="575">
        <v>124</v>
      </c>
      <c r="O23" s="575">
        <v>78</v>
      </c>
      <c r="P23" s="575">
        <v>3</v>
      </c>
      <c r="Q23" s="2408">
        <v>212</v>
      </c>
    </row>
    <row r="24" spans="1:17" s="576" customFormat="1" x14ac:dyDescent="0.25">
      <c r="A24" s="578" t="s">
        <v>48</v>
      </c>
      <c r="B24" s="574" t="s">
        <v>269</v>
      </c>
      <c r="C24" s="573" t="s">
        <v>266</v>
      </c>
      <c r="D24" s="575">
        <v>1517</v>
      </c>
      <c r="E24" s="2386">
        <v>646</v>
      </c>
      <c r="F24" s="891">
        <v>297</v>
      </c>
      <c r="G24" s="891">
        <v>366</v>
      </c>
      <c r="H24" s="891">
        <v>208</v>
      </c>
      <c r="I24" s="2387">
        <v>0</v>
      </c>
      <c r="J24" s="2386">
        <v>897</v>
      </c>
      <c r="K24" s="891">
        <v>620</v>
      </c>
      <c r="L24" s="2387"/>
      <c r="M24" s="575">
        <v>540</v>
      </c>
      <c r="N24" s="575">
        <v>926</v>
      </c>
      <c r="O24" s="575">
        <v>49</v>
      </c>
      <c r="P24" s="575">
        <v>2</v>
      </c>
      <c r="Q24" s="2408">
        <v>6</v>
      </c>
    </row>
    <row r="25" spans="1:17" s="576" customFormat="1" x14ac:dyDescent="0.25">
      <c r="A25" s="578" t="s">
        <v>50</v>
      </c>
      <c r="B25" s="574" t="s">
        <v>51</v>
      </c>
      <c r="C25" s="573" t="s">
        <v>265</v>
      </c>
      <c r="D25" s="575">
        <v>3368</v>
      </c>
      <c r="E25" s="2386">
        <v>1468</v>
      </c>
      <c r="F25" s="891">
        <v>662</v>
      </c>
      <c r="G25" s="891">
        <v>720</v>
      </c>
      <c r="H25" s="891">
        <v>518</v>
      </c>
      <c r="I25" s="2387">
        <v>0</v>
      </c>
      <c r="J25" s="2386">
        <v>1934</v>
      </c>
      <c r="K25" s="891">
        <v>1434</v>
      </c>
      <c r="L25" s="2387"/>
      <c r="M25" s="575">
        <v>1732</v>
      </c>
      <c r="N25" s="575">
        <v>1607</v>
      </c>
      <c r="O25" s="575">
        <v>27</v>
      </c>
      <c r="P25" s="575">
        <v>2</v>
      </c>
      <c r="Q25" s="2408">
        <v>46</v>
      </c>
    </row>
    <row r="26" spans="1:17" s="576" customFormat="1" x14ac:dyDescent="0.25">
      <c r="A26" s="578" t="s">
        <v>56</v>
      </c>
      <c r="B26" s="574" t="s">
        <v>295</v>
      </c>
      <c r="C26" s="573" t="s">
        <v>266</v>
      </c>
      <c r="D26" s="575">
        <v>62078</v>
      </c>
      <c r="E26" s="2386">
        <v>33565</v>
      </c>
      <c r="F26" s="891">
        <v>14096</v>
      </c>
      <c r="G26" s="891">
        <v>11209</v>
      </c>
      <c r="H26" s="891">
        <v>3208</v>
      </c>
      <c r="I26" s="2387">
        <v>0</v>
      </c>
      <c r="J26" s="2386">
        <v>36024</v>
      </c>
      <c r="K26" s="891">
        <v>26054</v>
      </c>
      <c r="L26" s="2387"/>
      <c r="M26" s="575">
        <v>34998</v>
      </c>
      <c r="N26" s="575">
        <v>23813</v>
      </c>
      <c r="O26" s="575">
        <v>3067</v>
      </c>
      <c r="P26" s="575">
        <v>200</v>
      </c>
      <c r="Q26" s="2408">
        <v>4501</v>
      </c>
    </row>
    <row r="27" spans="1:17" s="576" customFormat="1" x14ac:dyDescent="0.25">
      <c r="A27" s="578" t="s">
        <v>58</v>
      </c>
      <c r="B27" s="574" t="s">
        <v>59</v>
      </c>
      <c r="C27" s="573" t="s">
        <v>267</v>
      </c>
      <c r="D27" s="575">
        <v>1359</v>
      </c>
      <c r="E27" s="2386">
        <v>676</v>
      </c>
      <c r="F27" s="891">
        <v>236</v>
      </c>
      <c r="G27" s="891">
        <v>276</v>
      </c>
      <c r="H27" s="891">
        <v>171</v>
      </c>
      <c r="I27" s="2387">
        <v>0</v>
      </c>
      <c r="J27" s="2386">
        <v>764</v>
      </c>
      <c r="K27" s="891">
        <v>595</v>
      </c>
      <c r="L27" s="2387"/>
      <c r="M27" s="575">
        <v>1148</v>
      </c>
      <c r="N27" s="575">
        <v>176</v>
      </c>
      <c r="O27" s="575">
        <v>28</v>
      </c>
      <c r="P27" s="575">
        <v>7</v>
      </c>
      <c r="Q27" s="2408">
        <v>81</v>
      </c>
    </row>
    <row r="28" spans="1:17" s="576" customFormat="1" x14ac:dyDescent="0.25">
      <c r="A28" s="578" t="s">
        <v>60</v>
      </c>
      <c r="B28" s="574" t="s">
        <v>61</v>
      </c>
      <c r="C28" s="573" t="s">
        <v>265</v>
      </c>
      <c r="D28" s="575">
        <v>1103</v>
      </c>
      <c r="E28" s="2386">
        <v>497</v>
      </c>
      <c r="F28" s="891">
        <v>232</v>
      </c>
      <c r="G28" s="891">
        <v>238</v>
      </c>
      <c r="H28" s="891">
        <v>136</v>
      </c>
      <c r="I28" s="2387">
        <v>0</v>
      </c>
      <c r="J28" s="2386">
        <v>652</v>
      </c>
      <c r="K28" s="891">
        <v>451</v>
      </c>
      <c r="L28" s="2387"/>
      <c r="M28" s="575">
        <v>1094</v>
      </c>
      <c r="N28" s="575">
        <v>8</v>
      </c>
      <c r="O28" s="575">
        <v>1</v>
      </c>
      <c r="P28" s="575">
        <v>0</v>
      </c>
      <c r="Q28" s="2408"/>
    </row>
    <row r="29" spans="1:17" s="576" customFormat="1" x14ac:dyDescent="0.25">
      <c r="A29" s="578" t="s">
        <v>62</v>
      </c>
      <c r="B29" s="574" t="s">
        <v>63</v>
      </c>
      <c r="C29" s="573" t="s">
        <v>267</v>
      </c>
      <c r="D29" s="575">
        <v>9565</v>
      </c>
      <c r="E29" s="2386">
        <v>5391</v>
      </c>
      <c r="F29" s="891">
        <v>1733</v>
      </c>
      <c r="G29" s="891">
        <v>1686</v>
      </c>
      <c r="H29" s="891">
        <v>755</v>
      </c>
      <c r="I29" s="2387">
        <v>0</v>
      </c>
      <c r="J29" s="2386">
        <v>5469</v>
      </c>
      <c r="K29" s="891">
        <v>4096</v>
      </c>
      <c r="L29" s="2387"/>
      <c r="M29" s="575">
        <v>6576</v>
      </c>
      <c r="N29" s="575">
        <v>2595</v>
      </c>
      <c r="O29" s="575">
        <v>382</v>
      </c>
      <c r="P29" s="575">
        <v>12</v>
      </c>
      <c r="Q29" s="2408">
        <v>674</v>
      </c>
    </row>
    <row r="30" spans="1:17" s="576" customFormat="1" x14ac:dyDescent="0.25">
      <c r="A30" s="578" t="s">
        <v>64</v>
      </c>
      <c r="B30" s="574" t="s">
        <v>65</v>
      </c>
      <c r="C30" s="573" t="s">
        <v>266</v>
      </c>
      <c r="D30" s="575">
        <v>3011</v>
      </c>
      <c r="E30" s="2386">
        <v>1382</v>
      </c>
      <c r="F30" s="891">
        <v>611</v>
      </c>
      <c r="G30" s="891">
        <v>676</v>
      </c>
      <c r="H30" s="891">
        <v>342</v>
      </c>
      <c r="I30" s="2387">
        <v>0</v>
      </c>
      <c r="J30" s="2386">
        <v>1758</v>
      </c>
      <c r="K30" s="891">
        <v>1253</v>
      </c>
      <c r="L30" s="2387"/>
      <c r="M30" s="575">
        <v>1634</v>
      </c>
      <c r="N30" s="575">
        <v>1350</v>
      </c>
      <c r="O30" s="575">
        <v>24</v>
      </c>
      <c r="P30" s="575">
        <v>3</v>
      </c>
      <c r="Q30" s="2408">
        <v>68</v>
      </c>
    </row>
    <row r="31" spans="1:17" s="576" customFormat="1" x14ac:dyDescent="0.25">
      <c r="A31" s="578" t="s">
        <v>68</v>
      </c>
      <c r="B31" s="574" t="s">
        <v>69</v>
      </c>
      <c r="C31" s="573" t="s">
        <v>268</v>
      </c>
      <c r="D31" s="575">
        <v>5241</v>
      </c>
      <c r="E31" s="2386">
        <v>2074</v>
      </c>
      <c r="F31" s="891">
        <v>990</v>
      </c>
      <c r="G31" s="891">
        <v>1597</v>
      </c>
      <c r="H31" s="891">
        <v>580</v>
      </c>
      <c r="I31" s="2387">
        <v>0</v>
      </c>
      <c r="J31" s="2386">
        <v>2960</v>
      </c>
      <c r="K31" s="891">
        <v>2281</v>
      </c>
      <c r="L31" s="2387"/>
      <c r="M31" s="575">
        <v>5184</v>
      </c>
      <c r="N31" s="575">
        <v>40</v>
      </c>
      <c r="O31" s="575">
        <v>16</v>
      </c>
      <c r="P31" s="575">
        <v>1</v>
      </c>
      <c r="Q31" s="2408">
        <v>5</v>
      </c>
    </row>
    <row r="32" spans="1:17" s="576" customFormat="1" x14ac:dyDescent="0.25">
      <c r="A32" s="578" t="s">
        <v>70</v>
      </c>
      <c r="B32" s="574" t="s">
        <v>71</v>
      </c>
      <c r="C32" s="573" t="s">
        <v>264</v>
      </c>
      <c r="D32" s="575">
        <v>6539</v>
      </c>
      <c r="E32" s="2386">
        <v>3121</v>
      </c>
      <c r="F32" s="891">
        <v>1451</v>
      </c>
      <c r="G32" s="891">
        <v>1403</v>
      </c>
      <c r="H32" s="891">
        <v>564</v>
      </c>
      <c r="I32" s="2387">
        <v>0</v>
      </c>
      <c r="J32" s="2386">
        <v>3865</v>
      </c>
      <c r="K32" s="891">
        <v>2674</v>
      </c>
      <c r="L32" s="2387"/>
      <c r="M32" s="575">
        <v>3689</v>
      </c>
      <c r="N32" s="575">
        <v>2740</v>
      </c>
      <c r="O32" s="575">
        <v>98</v>
      </c>
      <c r="P32" s="575">
        <v>12</v>
      </c>
      <c r="Q32" s="2408">
        <v>255</v>
      </c>
    </row>
    <row r="33" spans="1:17" s="576" customFormat="1" x14ac:dyDescent="0.25">
      <c r="A33" s="578" t="s">
        <v>72</v>
      </c>
      <c r="B33" s="574" t="s">
        <v>73</v>
      </c>
      <c r="C33" s="573" t="s">
        <v>266</v>
      </c>
      <c r="D33" s="575">
        <v>3178</v>
      </c>
      <c r="E33" s="2386">
        <v>1508</v>
      </c>
      <c r="F33" s="891">
        <v>716</v>
      </c>
      <c r="G33" s="891">
        <v>683</v>
      </c>
      <c r="H33" s="891">
        <v>271</v>
      </c>
      <c r="I33" s="2387">
        <v>0</v>
      </c>
      <c r="J33" s="2386">
        <v>1928</v>
      </c>
      <c r="K33" s="891">
        <v>1250</v>
      </c>
      <c r="L33" s="2387"/>
      <c r="M33" s="575">
        <v>1143</v>
      </c>
      <c r="N33" s="575">
        <v>1957</v>
      </c>
      <c r="O33" s="575">
        <v>78</v>
      </c>
      <c r="P33" s="575">
        <v>0</v>
      </c>
      <c r="Q33" s="2408">
        <v>58</v>
      </c>
    </row>
    <row r="34" spans="1:17" s="576" customFormat="1" x14ac:dyDescent="0.25">
      <c r="A34" s="578" t="s">
        <v>74</v>
      </c>
      <c r="B34" s="574" t="s">
        <v>296</v>
      </c>
      <c r="C34" s="573" t="s">
        <v>267</v>
      </c>
      <c r="D34" s="575">
        <v>120065</v>
      </c>
      <c r="E34" s="2386">
        <v>72554</v>
      </c>
      <c r="F34" s="891">
        <v>18212</v>
      </c>
      <c r="G34" s="891">
        <v>16084</v>
      </c>
      <c r="H34" s="891">
        <v>13215</v>
      </c>
      <c r="I34" s="2387">
        <v>0</v>
      </c>
      <c r="J34" s="2386">
        <v>66356</v>
      </c>
      <c r="K34" s="891">
        <v>53709</v>
      </c>
      <c r="L34" s="2387"/>
      <c r="M34" s="575">
        <v>75607</v>
      </c>
      <c r="N34" s="575">
        <v>21901</v>
      </c>
      <c r="O34" s="575">
        <v>22185</v>
      </c>
      <c r="P34" s="575">
        <v>372</v>
      </c>
      <c r="Q34" s="2408">
        <v>9563</v>
      </c>
    </row>
    <row r="35" spans="1:17" s="576" customFormat="1" x14ac:dyDescent="0.25">
      <c r="A35" s="578" t="s">
        <v>76</v>
      </c>
      <c r="B35" s="574" t="s">
        <v>77</v>
      </c>
      <c r="C35" s="573" t="s">
        <v>267</v>
      </c>
      <c r="D35" s="575">
        <v>7757</v>
      </c>
      <c r="E35" s="2386">
        <v>4288</v>
      </c>
      <c r="F35" s="891">
        <v>1448</v>
      </c>
      <c r="G35" s="891">
        <v>1341</v>
      </c>
      <c r="H35" s="891">
        <v>680</v>
      </c>
      <c r="I35" s="2387">
        <v>0</v>
      </c>
      <c r="J35" s="2386">
        <v>4427</v>
      </c>
      <c r="K35" s="891">
        <v>3330</v>
      </c>
      <c r="L35" s="2387"/>
      <c r="M35" s="575">
        <v>5963</v>
      </c>
      <c r="N35" s="575">
        <v>1573</v>
      </c>
      <c r="O35" s="575">
        <v>193</v>
      </c>
      <c r="P35" s="575">
        <v>28</v>
      </c>
      <c r="Q35" s="2408">
        <v>534</v>
      </c>
    </row>
    <row r="36" spans="1:17" s="576" customFormat="1" x14ac:dyDescent="0.25">
      <c r="A36" s="578" t="s">
        <v>78</v>
      </c>
      <c r="B36" s="574" t="s">
        <v>79</v>
      </c>
      <c r="C36" s="573" t="s">
        <v>268</v>
      </c>
      <c r="D36" s="575">
        <v>3353</v>
      </c>
      <c r="E36" s="2386">
        <v>1618</v>
      </c>
      <c r="F36" s="891">
        <v>616</v>
      </c>
      <c r="G36" s="891">
        <v>772</v>
      </c>
      <c r="H36" s="891">
        <v>347</v>
      </c>
      <c r="I36" s="2387">
        <v>0</v>
      </c>
      <c r="J36" s="2386">
        <v>1867</v>
      </c>
      <c r="K36" s="891">
        <v>1486</v>
      </c>
      <c r="L36" s="2387"/>
      <c r="M36" s="575">
        <v>3165</v>
      </c>
      <c r="N36" s="575">
        <v>133</v>
      </c>
      <c r="O36" s="575">
        <v>55</v>
      </c>
      <c r="P36" s="575">
        <v>0</v>
      </c>
      <c r="Q36" s="2408">
        <v>112</v>
      </c>
    </row>
    <row r="37" spans="1:17" s="576" customFormat="1" x14ac:dyDescent="0.25">
      <c r="A37" s="578" t="s">
        <v>80</v>
      </c>
      <c r="B37" s="574" t="s">
        <v>81</v>
      </c>
      <c r="C37" s="573" t="s">
        <v>266</v>
      </c>
      <c r="D37" s="575">
        <v>3812</v>
      </c>
      <c r="E37" s="2386">
        <v>1895</v>
      </c>
      <c r="F37" s="891">
        <v>765</v>
      </c>
      <c r="G37" s="891">
        <v>780</v>
      </c>
      <c r="H37" s="891">
        <v>372</v>
      </c>
      <c r="I37" s="2387">
        <v>0</v>
      </c>
      <c r="J37" s="2386">
        <v>2224</v>
      </c>
      <c r="K37" s="891">
        <v>1588</v>
      </c>
      <c r="L37" s="2387"/>
      <c r="M37" s="575">
        <v>2655</v>
      </c>
      <c r="N37" s="575">
        <v>1076</v>
      </c>
      <c r="O37" s="575">
        <v>65</v>
      </c>
      <c r="P37" s="575">
        <v>16</v>
      </c>
      <c r="Q37" s="2408">
        <v>97</v>
      </c>
    </row>
    <row r="38" spans="1:17" s="576" customFormat="1" x14ac:dyDescent="0.25">
      <c r="A38" s="578" t="s">
        <v>84</v>
      </c>
      <c r="B38" s="574" t="s">
        <v>85</v>
      </c>
      <c r="C38" s="573" t="s">
        <v>265</v>
      </c>
      <c r="D38" s="575">
        <v>11395</v>
      </c>
      <c r="E38" s="2386">
        <v>5567</v>
      </c>
      <c r="F38" s="891">
        <v>2204</v>
      </c>
      <c r="G38" s="891">
        <v>2529</v>
      </c>
      <c r="H38" s="891">
        <v>1095</v>
      </c>
      <c r="I38" s="2387">
        <v>0</v>
      </c>
      <c r="J38" s="2386">
        <v>6589</v>
      </c>
      <c r="K38" s="891">
        <v>4806</v>
      </c>
      <c r="L38" s="2387"/>
      <c r="M38" s="575">
        <v>9761</v>
      </c>
      <c r="N38" s="575">
        <v>1429</v>
      </c>
      <c r="O38" s="575">
        <v>187</v>
      </c>
      <c r="P38" s="575">
        <v>18</v>
      </c>
      <c r="Q38" s="2408">
        <v>408</v>
      </c>
    </row>
    <row r="39" spans="1:17" s="576" customFormat="1" x14ac:dyDescent="0.25">
      <c r="A39" s="578" t="s">
        <v>86</v>
      </c>
      <c r="B39" s="574" t="s">
        <v>87</v>
      </c>
      <c r="C39" s="573" t="s">
        <v>267</v>
      </c>
      <c r="D39" s="575">
        <v>12392</v>
      </c>
      <c r="E39" s="2386">
        <v>6929</v>
      </c>
      <c r="F39" s="891">
        <v>2481</v>
      </c>
      <c r="G39" s="891">
        <v>2063</v>
      </c>
      <c r="H39" s="891">
        <v>919</v>
      </c>
      <c r="I39" s="2387">
        <v>0</v>
      </c>
      <c r="J39" s="2386">
        <v>7110</v>
      </c>
      <c r="K39" s="891">
        <v>5282</v>
      </c>
      <c r="L39" s="2387"/>
      <c r="M39" s="575">
        <v>10978</v>
      </c>
      <c r="N39" s="575">
        <v>1128</v>
      </c>
      <c r="O39" s="575">
        <v>276</v>
      </c>
      <c r="P39" s="575">
        <v>10</v>
      </c>
      <c r="Q39" s="2408">
        <v>1090</v>
      </c>
    </row>
    <row r="40" spans="1:17" s="576" customFormat="1" x14ac:dyDescent="0.25">
      <c r="A40" s="578" t="s">
        <v>92</v>
      </c>
      <c r="B40" s="574" t="s">
        <v>93</v>
      </c>
      <c r="C40" s="573" t="s">
        <v>268</v>
      </c>
      <c r="D40" s="575">
        <v>4010</v>
      </c>
      <c r="E40" s="2386">
        <v>1717</v>
      </c>
      <c r="F40" s="891">
        <v>758</v>
      </c>
      <c r="G40" s="891">
        <v>1048</v>
      </c>
      <c r="H40" s="891">
        <v>487</v>
      </c>
      <c r="I40" s="2387">
        <v>0</v>
      </c>
      <c r="J40" s="2386">
        <v>2283</v>
      </c>
      <c r="K40" s="891">
        <v>1727</v>
      </c>
      <c r="L40" s="2387"/>
      <c r="M40" s="575">
        <v>3884</v>
      </c>
      <c r="N40" s="575">
        <v>106</v>
      </c>
      <c r="O40" s="575">
        <v>16</v>
      </c>
      <c r="P40" s="575">
        <v>4</v>
      </c>
      <c r="Q40" s="2408">
        <v>44</v>
      </c>
    </row>
    <row r="41" spans="1:17" s="576" customFormat="1" x14ac:dyDescent="0.25">
      <c r="A41" s="578" t="s">
        <v>94</v>
      </c>
      <c r="B41" s="574" t="s">
        <v>95</v>
      </c>
      <c r="C41" s="573" t="s">
        <v>264</v>
      </c>
      <c r="D41" s="575">
        <v>6398</v>
      </c>
      <c r="E41" s="2386">
        <v>3017</v>
      </c>
      <c r="F41" s="891">
        <v>1404</v>
      </c>
      <c r="G41" s="891">
        <v>1411</v>
      </c>
      <c r="H41" s="891">
        <v>566</v>
      </c>
      <c r="I41" s="2387">
        <v>0</v>
      </c>
      <c r="J41" s="2386">
        <v>3703</v>
      </c>
      <c r="K41" s="891">
        <v>2695</v>
      </c>
      <c r="L41" s="2387"/>
      <c r="M41" s="575">
        <v>5242</v>
      </c>
      <c r="N41" s="575">
        <v>1059</v>
      </c>
      <c r="O41" s="575">
        <v>93</v>
      </c>
      <c r="P41" s="575">
        <v>4</v>
      </c>
      <c r="Q41" s="2408">
        <v>140</v>
      </c>
    </row>
    <row r="42" spans="1:17" s="576" customFormat="1" x14ac:dyDescent="0.25">
      <c r="A42" s="578" t="s">
        <v>96</v>
      </c>
      <c r="B42" s="574" t="s">
        <v>97</v>
      </c>
      <c r="C42" s="573" t="s">
        <v>266</v>
      </c>
      <c r="D42" s="575">
        <v>2220</v>
      </c>
      <c r="E42" s="2386">
        <v>1082</v>
      </c>
      <c r="F42" s="891">
        <v>423</v>
      </c>
      <c r="G42" s="891">
        <v>492</v>
      </c>
      <c r="H42" s="891">
        <v>223</v>
      </c>
      <c r="I42" s="2387">
        <v>0</v>
      </c>
      <c r="J42" s="2386">
        <v>1300</v>
      </c>
      <c r="K42" s="891">
        <v>920</v>
      </c>
      <c r="L42" s="2387"/>
      <c r="M42" s="575">
        <v>1318</v>
      </c>
      <c r="N42" s="575">
        <v>842</v>
      </c>
      <c r="O42" s="575">
        <v>53</v>
      </c>
      <c r="P42" s="575">
        <v>7</v>
      </c>
      <c r="Q42" s="2408">
        <v>125</v>
      </c>
    </row>
    <row r="43" spans="1:17" s="576" customFormat="1" x14ac:dyDescent="0.25">
      <c r="A43" s="578" t="s">
        <v>98</v>
      </c>
      <c r="B43" s="574" t="s">
        <v>99</v>
      </c>
      <c r="C43" s="573" t="s">
        <v>268</v>
      </c>
      <c r="D43" s="575">
        <v>4130</v>
      </c>
      <c r="E43" s="2386">
        <v>1746</v>
      </c>
      <c r="F43" s="891">
        <v>765</v>
      </c>
      <c r="G43" s="891">
        <v>917</v>
      </c>
      <c r="H43" s="891">
        <v>702</v>
      </c>
      <c r="I43" s="2387">
        <v>0</v>
      </c>
      <c r="J43" s="2386">
        <v>2417</v>
      </c>
      <c r="K43" s="891">
        <v>1713</v>
      </c>
      <c r="L43" s="2387"/>
      <c r="M43" s="575">
        <v>3936</v>
      </c>
      <c r="N43" s="575">
        <v>171</v>
      </c>
      <c r="O43" s="575">
        <v>23</v>
      </c>
      <c r="P43" s="575">
        <v>0</v>
      </c>
      <c r="Q43" s="2408">
        <v>89</v>
      </c>
    </row>
    <row r="44" spans="1:17" s="576" customFormat="1" x14ac:dyDescent="0.25">
      <c r="A44" s="578" t="s">
        <v>100</v>
      </c>
      <c r="B44" s="574" t="s">
        <v>101</v>
      </c>
      <c r="C44" s="573" t="s">
        <v>267</v>
      </c>
      <c r="D44" s="575">
        <v>3664</v>
      </c>
      <c r="E44" s="2386">
        <v>2025</v>
      </c>
      <c r="F44" s="891">
        <v>696</v>
      </c>
      <c r="G44" s="891">
        <v>675</v>
      </c>
      <c r="H44" s="891">
        <v>268</v>
      </c>
      <c r="I44" s="2387">
        <v>0</v>
      </c>
      <c r="J44" s="2386">
        <v>2080</v>
      </c>
      <c r="K44" s="891">
        <v>1584</v>
      </c>
      <c r="L44" s="2387"/>
      <c r="M44" s="575">
        <v>2981</v>
      </c>
      <c r="N44" s="575">
        <v>574</v>
      </c>
      <c r="O44" s="575">
        <v>105</v>
      </c>
      <c r="P44" s="575">
        <v>4</v>
      </c>
      <c r="Q44" s="2408">
        <v>106</v>
      </c>
    </row>
    <row r="45" spans="1:17" s="576" customFormat="1" x14ac:dyDescent="0.25">
      <c r="A45" s="578" t="s">
        <v>102</v>
      </c>
      <c r="B45" s="574" t="s">
        <v>282</v>
      </c>
      <c r="C45" s="573" t="s">
        <v>264</v>
      </c>
      <c r="D45" s="575">
        <v>5975</v>
      </c>
      <c r="E45" s="2386">
        <v>2754</v>
      </c>
      <c r="F45" s="891">
        <v>1343</v>
      </c>
      <c r="G45" s="891">
        <v>1232</v>
      </c>
      <c r="H45" s="891">
        <v>646</v>
      </c>
      <c r="I45" s="2387">
        <v>0</v>
      </c>
      <c r="J45" s="2386">
        <v>3525</v>
      </c>
      <c r="K45" s="891">
        <v>2450</v>
      </c>
      <c r="L45" s="2387"/>
      <c r="M45" s="575">
        <v>1062</v>
      </c>
      <c r="N45" s="575">
        <v>4796</v>
      </c>
      <c r="O45" s="575">
        <v>111</v>
      </c>
      <c r="P45" s="575">
        <v>6</v>
      </c>
      <c r="Q45" s="2408">
        <v>133</v>
      </c>
    </row>
    <row r="46" spans="1:17" s="576" customFormat="1" x14ac:dyDescent="0.25">
      <c r="A46" s="578" t="s">
        <v>104</v>
      </c>
      <c r="B46" s="574" t="s">
        <v>105</v>
      </c>
      <c r="C46" s="573" t="s">
        <v>265</v>
      </c>
      <c r="D46" s="575">
        <v>10265</v>
      </c>
      <c r="E46" s="2386">
        <v>4357</v>
      </c>
      <c r="F46" s="891">
        <v>2147</v>
      </c>
      <c r="G46" s="891">
        <v>2292</v>
      </c>
      <c r="H46" s="891">
        <v>1469</v>
      </c>
      <c r="I46" s="2387">
        <v>0</v>
      </c>
      <c r="J46" s="2386">
        <v>6049</v>
      </c>
      <c r="K46" s="891">
        <v>4216</v>
      </c>
      <c r="L46" s="2387"/>
      <c r="M46" s="575">
        <v>4554</v>
      </c>
      <c r="N46" s="575">
        <v>5587</v>
      </c>
      <c r="O46" s="575">
        <v>112</v>
      </c>
      <c r="P46" s="575">
        <v>12</v>
      </c>
      <c r="Q46" s="2408">
        <v>167</v>
      </c>
    </row>
    <row r="47" spans="1:17" s="576" customFormat="1" x14ac:dyDescent="0.25">
      <c r="A47" s="578" t="s">
        <v>108</v>
      </c>
      <c r="B47" s="574" t="s">
        <v>109</v>
      </c>
      <c r="C47" s="573" t="s">
        <v>266</v>
      </c>
      <c r="D47" s="575">
        <v>10243</v>
      </c>
      <c r="E47" s="2386">
        <v>5192</v>
      </c>
      <c r="F47" s="891">
        <v>2216</v>
      </c>
      <c r="G47" s="891">
        <v>1999</v>
      </c>
      <c r="H47" s="891">
        <v>836</v>
      </c>
      <c r="I47" s="2387">
        <v>0</v>
      </c>
      <c r="J47" s="2386">
        <v>5926</v>
      </c>
      <c r="K47" s="891">
        <v>4317</v>
      </c>
      <c r="L47" s="2387"/>
      <c r="M47" s="575">
        <v>7469</v>
      </c>
      <c r="N47" s="575">
        <v>2415</v>
      </c>
      <c r="O47" s="575">
        <v>327</v>
      </c>
      <c r="P47" s="575">
        <v>32</v>
      </c>
      <c r="Q47" s="2408">
        <v>417</v>
      </c>
    </row>
    <row r="48" spans="1:17" s="576" customFormat="1" x14ac:dyDescent="0.25">
      <c r="A48" s="578" t="s">
        <v>110</v>
      </c>
      <c r="B48" s="574" t="s">
        <v>111</v>
      </c>
      <c r="C48" s="573" t="s">
        <v>266</v>
      </c>
      <c r="D48" s="575">
        <v>58400</v>
      </c>
      <c r="E48" s="2386">
        <v>30390</v>
      </c>
      <c r="F48" s="891">
        <v>13308</v>
      </c>
      <c r="G48" s="891">
        <v>10798</v>
      </c>
      <c r="H48" s="891">
        <v>3904</v>
      </c>
      <c r="I48" s="2387">
        <v>0</v>
      </c>
      <c r="J48" s="2386">
        <v>34318</v>
      </c>
      <c r="K48" s="891">
        <v>24082</v>
      </c>
      <c r="L48" s="2387"/>
      <c r="M48" s="575">
        <v>21925</v>
      </c>
      <c r="N48" s="575">
        <v>31646</v>
      </c>
      <c r="O48" s="575">
        <v>4673</v>
      </c>
      <c r="P48" s="575">
        <v>156</v>
      </c>
      <c r="Q48" s="2408">
        <v>2469</v>
      </c>
    </row>
    <row r="49" spans="1:17" s="576" customFormat="1" x14ac:dyDescent="0.25">
      <c r="A49" s="578" t="s">
        <v>112</v>
      </c>
      <c r="B49" s="574" t="s">
        <v>300</v>
      </c>
      <c r="C49" s="573" t="s">
        <v>265</v>
      </c>
      <c r="D49" s="575">
        <v>22231</v>
      </c>
      <c r="E49" s="2386">
        <v>9924</v>
      </c>
      <c r="F49" s="891">
        <v>4524</v>
      </c>
      <c r="G49" s="891">
        <v>5329</v>
      </c>
      <c r="H49" s="891">
        <v>2454</v>
      </c>
      <c r="I49" s="2387">
        <v>0</v>
      </c>
      <c r="J49" s="2386">
        <v>13080</v>
      </c>
      <c r="K49" s="891">
        <v>9151</v>
      </c>
      <c r="L49" s="2387"/>
      <c r="M49" s="575">
        <v>13871</v>
      </c>
      <c r="N49" s="575">
        <v>8127</v>
      </c>
      <c r="O49" s="575">
        <v>218</v>
      </c>
      <c r="P49" s="575">
        <v>15</v>
      </c>
      <c r="Q49" s="2408">
        <v>1421</v>
      </c>
    </row>
    <row r="50" spans="1:17" s="576" customFormat="1" x14ac:dyDescent="0.25">
      <c r="A50" s="578" t="s">
        <v>114</v>
      </c>
      <c r="B50" s="574" t="s">
        <v>115</v>
      </c>
      <c r="C50" s="573" t="s">
        <v>265</v>
      </c>
      <c r="D50" s="575">
        <v>325</v>
      </c>
      <c r="E50" s="2386">
        <v>147</v>
      </c>
      <c r="F50" s="891">
        <v>51</v>
      </c>
      <c r="G50" s="891">
        <v>82</v>
      </c>
      <c r="H50" s="891">
        <v>45</v>
      </c>
      <c r="I50" s="2387">
        <v>0</v>
      </c>
      <c r="J50" s="2386">
        <v>195</v>
      </c>
      <c r="K50" s="891">
        <v>130</v>
      </c>
      <c r="L50" s="2387"/>
      <c r="M50" s="575">
        <v>308</v>
      </c>
      <c r="N50" s="575">
        <v>12</v>
      </c>
      <c r="O50" s="575">
        <v>5</v>
      </c>
      <c r="P50" s="575">
        <v>0</v>
      </c>
      <c r="Q50" s="2408">
        <v>6</v>
      </c>
    </row>
    <row r="51" spans="1:17" s="576" customFormat="1" x14ac:dyDescent="0.25">
      <c r="A51" s="578" t="s">
        <v>118</v>
      </c>
      <c r="B51" s="574" t="s">
        <v>270</v>
      </c>
      <c r="C51" s="573" t="s">
        <v>264</v>
      </c>
      <c r="D51" s="575">
        <v>6118</v>
      </c>
      <c r="E51" s="2386">
        <v>2802</v>
      </c>
      <c r="F51" s="891">
        <v>1287</v>
      </c>
      <c r="G51" s="891">
        <v>1330</v>
      </c>
      <c r="H51" s="891">
        <v>699</v>
      </c>
      <c r="I51" s="2387">
        <v>0</v>
      </c>
      <c r="J51" s="2386">
        <v>3649</v>
      </c>
      <c r="K51" s="891">
        <v>2469</v>
      </c>
      <c r="L51" s="2387"/>
      <c r="M51" s="575">
        <v>3018</v>
      </c>
      <c r="N51" s="575">
        <v>2974</v>
      </c>
      <c r="O51" s="575">
        <v>122</v>
      </c>
      <c r="P51" s="575">
        <v>4</v>
      </c>
      <c r="Q51" s="2408">
        <v>105</v>
      </c>
    </row>
    <row r="52" spans="1:17" s="576" customFormat="1" x14ac:dyDescent="0.25">
      <c r="A52" s="578" t="s">
        <v>120</v>
      </c>
      <c r="B52" s="574" t="s">
        <v>121</v>
      </c>
      <c r="C52" s="573" t="s">
        <v>264</v>
      </c>
      <c r="D52" s="575">
        <v>8233</v>
      </c>
      <c r="E52" s="2386">
        <v>4521</v>
      </c>
      <c r="F52" s="891">
        <v>1700</v>
      </c>
      <c r="G52" s="891">
        <v>1522</v>
      </c>
      <c r="H52" s="891">
        <v>490</v>
      </c>
      <c r="I52" s="2387">
        <v>0</v>
      </c>
      <c r="J52" s="2386">
        <v>4851</v>
      </c>
      <c r="K52" s="891">
        <v>3382</v>
      </c>
      <c r="L52" s="2387"/>
      <c r="M52" s="575">
        <v>4715</v>
      </c>
      <c r="N52" s="575">
        <v>3169</v>
      </c>
      <c r="O52" s="575">
        <v>325</v>
      </c>
      <c r="P52" s="575">
        <v>24</v>
      </c>
      <c r="Q52" s="2408">
        <v>495</v>
      </c>
    </row>
    <row r="53" spans="1:17" s="576" customFormat="1" x14ac:dyDescent="0.25">
      <c r="A53" s="578" t="s">
        <v>122</v>
      </c>
      <c r="B53" s="574" t="s">
        <v>287</v>
      </c>
      <c r="C53" s="573" t="s">
        <v>266</v>
      </c>
      <c r="D53" s="575">
        <v>1799</v>
      </c>
      <c r="E53" s="2386">
        <v>783</v>
      </c>
      <c r="F53" s="891">
        <v>377</v>
      </c>
      <c r="G53" s="891">
        <v>435</v>
      </c>
      <c r="H53" s="891">
        <v>204</v>
      </c>
      <c r="I53" s="2387">
        <v>0</v>
      </c>
      <c r="J53" s="2386">
        <v>1070</v>
      </c>
      <c r="K53" s="891">
        <v>729</v>
      </c>
      <c r="L53" s="2387"/>
      <c r="M53" s="575">
        <v>1041</v>
      </c>
      <c r="N53" s="575">
        <v>715</v>
      </c>
      <c r="O53" s="575">
        <v>40</v>
      </c>
      <c r="P53" s="575">
        <v>3</v>
      </c>
      <c r="Q53" s="2408">
        <v>32</v>
      </c>
    </row>
    <row r="54" spans="1:17" s="576" customFormat="1" x14ac:dyDescent="0.25">
      <c r="A54" s="578" t="s">
        <v>124</v>
      </c>
      <c r="B54" s="574" t="s">
        <v>125</v>
      </c>
      <c r="C54" s="573" t="s">
        <v>267</v>
      </c>
      <c r="D54" s="575">
        <v>4127</v>
      </c>
      <c r="E54" s="2386">
        <v>2147</v>
      </c>
      <c r="F54" s="891">
        <v>900</v>
      </c>
      <c r="G54" s="891">
        <v>772</v>
      </c>
      <c r="H54" s="891">
        <v>308</v>
      </c>
      <c r="I54" s="2387">
        <v>0</v>
      </c>
      <c r="J54" s="2386">
        <v>2448</v>
      </c>
      <c r="K54" s="891">
        <v>1679</v>
      </c>
      <c r="L54" s="2387"/>
      <c r="M54" s="575">
        <v>2587</v>
      </c>
      <c r="N54" s="575">
        <v>1455</v>
      </c>
      <c r="O54" s="575">
        <v>77</v>
      </c>
      <c r="P54" s="575">
        <v>8</v>
      </c>
      <c r="Q54" s="2408">
        <v>120</v>
      </c>
    </row>
    <row r="55" spans="1:17" s="576" customFormat="1" x14ac:dyDescent="0.25">
      <c r="A55" s="578" t="s">
        <v>126</v>
      </c>
      <c r="B55" s="574" t="s">
        <v>127</v>
      </c>
      <c r="C55" s="573" t="s">
        <v>266</v>
      </c>
      <c r="D55" s="575">
        <v>2748</v>
      </c>
      <c r="E55" s="2386">
        <v>1341</v>
      </c>
      <c r="F55" s="891">
        <v>582</v>
      </c>
      <c r="G55" s="891">
        <v>569</v>
      </c>
      <c r="H55" s="891">
        <v>256</v>
      </c>
      <c r="I55" s="2387">
        <v>0</v>
      </c>
      <c r="J55" s="2386">
        <v>1671</v>
      </c>
      <c r="K55" s="891">
        <v>1077</v>
      </c>
      <c r="L55" s="2387"/>
      <c r="M55" s="575">
        <v>1677</v>
      </c>
      <c r="N55" s="575">
        <v>937</v>
      </c>
      <c r="O55" s="575">
        <v>124</v>
      </c>
      <c r="P55" s="575">
        <v>10</v>
      </c>
      <c r="Q55" s="2408">
        <v>61</v>
      </c>
    </row>
    <row r="56" spans="1:17" s="576" customFormat="1" x14ac:dyDescent="0.25">
      <c r="A56" s="578" t="s">
        <v>128</v>
      </c>
      <c r="B56" s="574" t="s">
        <v>129</v>
      </c>
      <c r="C56" s="573" t="s">
        <v>266</v>
      </c>
      <c r="D56" s="575">
        <v>2469</v>
      </c>
      <c r="E56" s="2386">
        <v>1123</v>
      </c>
      <c r="F56" s="891">
        <v>498</v>
      </c>
      <c r="G56" s="891">
        <v>487</v>
      </c>
      <c r="H56" s="891">
        <v>361</v>
      </c>
      <c r="I56" s="2387">
        <v>0</v>
      </c>
      <c r="J56" s="2386">
        <v>1499</v>
      </c>
      <c r="K56" s="891">
        <v>970</v>
      </c>
      <c r="L56" s="2387"/>
      <c r="M56" s="575">
        <v>889</v>
      </c>
      <c r="N56" s="575">
        <v>1543</v>
      </c>
      <c r="O56" s="575">
        <v>33</v>
      </c>
      <c r="P56" s="575">
        <v>4</v>
      </c>
      <c r="Q56" s="2408">
        <v>17</v>
      </c>
    </row>
    <row r="57" spans="1:17" s="576" customFormat="1" x14ac:dyDescent="0.25">
      <c r="A57" s="578" t="s">
        <v>130</v>
      </c>
      <c r="B57" s="574" t="s">
        <v>131</v>
      </c>
      <c r="C57" s="573" t="s">
        <v>268</v>
      </c>
      <c r="D57" s="575">
        <v>8411</v>
      </c>
      <c r="E57" s="2386">
        <v>3208</v>
      </c>
      <c r="F57" s="891">
        <v>1506</v>
      </c>
      <c r="G57" s="891">
        <v>2528</v>
      </c>
      <c r="H57" s="891">
        <v>1169</v>
      </c>
      <c r="I57" s="2387">
        <v>0</v>
      </c>
      <c r="J57" s="2386">
        <v>4679</v>
      </c>
      <c r="K57" s="891">
        <v>3732</v>
      </c>
      <c r="L57" s="2387"/>
      <c r="M57" s="575">
        <v>8308</v>
      </c>
      <c r="N57" s="575">
        <v>53</v>
      </c>
      <c r="O57" s="575">
        <v>41</v>
      </c>
      <c r="P57" s="575">
        <v>9</v>
      </c>
      <c r="Q57" s="2408">
        <v>41</v>
      </c>
    </row>
    <row r="58" spans="1:17" s="576" customFormat="1" x14ac:dyDescent="0.25">
      <c r="A58" s="578" t="s">
        <v>132</v>
      </c>
      <c r="B58" s="574" t="s">
        <v>133</v>
      </c>
      <c r="C58" s="573" t="s">
        <v>267</v>
      </c>
      <c r="D58" s="575">
        <v>28832</v>
      </c>
      <c r="E58" s="2386">
        <v>17735</v>
      </c>
      <c r="F58" s="891">
        <v>4543</v>
      </c>
      <c r="G58" s="891">
        <v>3626</v>
      </c>
      <c r="H58" s="891">
        <v>2927</v>
      </c>
      <c r="I58" s="2387">
        <v>1</v>
      </c>
      <c r="J58" s="2386">
        <v>16035</v>
      </c>
      <c r="K58" s="891">
        <v>12797</v>
      </c>
      <c r="L58" s="2387"/>
      <c r="M58" s="575">
        <v>20336</v>
      </c>
      <c r="N58" s="575">
        <v>3844</v>
      </c>
      <c r="O58" s="575">
        <v>4544</v>
      </c>
      <c r="P58" s="575">
        <v>108</v>
      </c>
      <c r="Q58" s="2408">
        <v>2265</v>
      </c>
    </row>
    <row r="59" spans="1:17" s="576" customFormat="1" x14ac:dyDescent="0.25">
      <c r="A59" s="578" t="s">
        <v>134</v>
      </c>
      <c r="B59" s="574" t="s">
        <v>135</v>
      </c>
      <c r="C59" s="573" t="s">
        <v>267</v>
      </c>
      <c r="D59" s="575">
        <v>6874</v>
      </c>
      <c r="E59" s="2386">
        <v>3309</v>
      </c>
      <c r="F59" s="891">
        <v>1412</v>
      </c>
      <c r="G59" s="891">
        <v>1452</v>
      </c>
      <c r="H59" s="891">
        <v>701</v>
      </c>
      <c r="I59" s="2387">
        <v>0</v>
      </c>
      <c r="J59" s="2386">
        <v>3981</v>
      </c>
      <c r="K59" s="891">
        <v>2893</v>
      </c>
      <c r="L59" s="2387"/>
      <c r="M59" s="575">
        <v>4877</v>
      </c>
      <c r="N59" s="575">
        <v>1907</v>
      </c>
      <c r="O59" s="575">
        <v>82</v>
      </c>
      <c r="P59" s="575">
        <v>8</v>
      </c>
      <c r="Q59" s="2408">
        <v>147</v>
      </c>
    </row>
    <row r="60" spans="1:17" s="576" customFormat="1" x14ac:dyDescent="0.25">
      <c r="A60" s="578" t="s">
        <v>136</v>
      </c>
      <c r="B60" s="574" t="s">
        <v>137</v>
      </c>
      <c r="C60" s="573" t="s">
        <v>266</v>
      </c>
      <c r="D60" s="575">
        <v>3392</v>
      </c>
      <c r="E60" s="2386">
        <v>1482</v>
      </c>
      <c r="F60" s="891">
        <v>636</v>
      </c>
      <c r="G60" s="891">
        <v>741</v>
      </c>
      <c r="H60" s="891">
        <v>533</v>
      </c>
      <c r="I60" s="2387">
        <v>0</v>
      </c>
      <c r="J60" s="2386">
        <v>1956</v>
      </c>
      <c r="K60" s="891">
        <v>1436</v>
      </c>
      <c r="L60" s="2387"/>
      <c r="M60" s="575">
        <v>1588</v>
      </c>
      <c r="N60" s="575">
        <v>1661</v>
      </c>
      <c r="O60" s="575">
        <v>141</v>
      </c>
      <c r="P60" s="575">
        <v>2</v>
      </c>
      <c r="Q60" s="2408">
        <v>116</v>
      </c>
    </row>
    <row r="61" spans="1:17" s="576" customFormat="1" x14ac:dyDescent="0.25">
      <c r="A61" s="578" t="s">
        <v>140</v>
      </c>
      <c r="B61" s="574" t="s">
        <v>141</v>
      </c>
      <c r="C61" s="573" t="s">
        <v>267</v>
      </c>
      <c r="D61" s="575">
        <v>2477</v>
      </c>
      <c r="E61" s="2386">
        <v>1243</v>
      </c>
      <c r="F61" s="891">
        <v>464</v>
      </c>
      <c r="G61" s="891">
        <v>463</v>
      </c>
      <c r="H61" s="891">
        <v>307</v>
      </c>
      <c r="I61" s="2387">
        <v>0</v>
      </c>
      <c r="J61" s="2386">
        <v>1426</v>
      </c>
      <c r="K61" s="891">
        <v>1051</v>
      </c>
      <c r="L61" s="2387"/>
      <c r="M61" s="575">
        <v>2042</v>
      </c>
      <c r="N61" s="575">
        <v>397</v>
      </c>
      <c r="O61" s="575">
        <v>34</v>
      </c>
      <c r="P61" s="575">
        <v>4</v>
      </c>
      <c r="Q61" s="2408">
        <v>41</v>
      </c>
    </row>
    <row r="62" spans="1:17" s="576" customFormat="1" x14ac:dyDescent="0.25">
      <c r="A62" s="578" t="s">
        <v>146</v>
      </c>
      <c r="B62" s="574" t="s">
        <v>147</v>
      </c>
      <c r="C62" s="573" t="s">
        <v>264</v>
      </c>
      <c r="D62" s="575">
        <v>1427</v>
      </c>
      <c r="E62" s="2386">
        <v>640</v>
      </c>
      <c r="F62" s="891">
        <v>294</v>
      </c>
      <c r="G62" s="891">
        <v>310</v>
      </c>
      <c r="H62" s="891">
        <v>183</v>
      </c>
      <c r="I62" s="2387">
        <v>0</v>
      </c>
      <c r="J62" s="2386">
        <v>846</v>
      </c>
      <c r="K62" s="891">
        <v>581</v>
      </c>
      <c r="L62" s="2387"/>
      <c r="M62" s="575">
        <v>1133</v>
      </c>
      <c r="N62" s="575">
        <v>270</v>
      </c>
      <c r="O62" s="575">
        <v>23</v>
      </c>
      <c r="P62" s="575">
        <v>1</v>
      </c>
      <c r="Q62" s="2408">
        <v>22</v>
      </c>
    </row>
    <row r="63" spans="1:17" s="576" customFormat="1" x14ac:dyDescent="0.25">
      <c r="A63" s="578" t="s">
        <v>148</v>
      </c>
      <c r="B63" s="574" t="s">
        <v>149</v>
      </c>
      <c r="C63" s="573" t="s">
        <v>265</v>
      </c>
      <c r="D63" s="575">
        <v>7922</v>
      </c>
      <c r="E63" s="2386">
        <v>3598</v>
      </c>
      <c r="F63" s="891">
        <v>1503</v>
      </c>
      <c r="G63" s="891">
        <v>1683</v>
      </c>
      <c r="H63" s="891">
        <v>1138</v>
      </c>
      <c r="I63" s="2387">
        <v>0</v>
      </c>
      <c r="J63" s="2386">
        <v>4672</v>
      </c>
      <c r="K63" s="891">
        <v>3250</v>
      </c>
      <c r="L63" s="2387"/>
      <c r="M63" s="575">
        <v>3338</v>
      </c>
      <c r="N63" s="575">
        <v>4497</v>
      </c>
      <c r="O63" s="575">
        <v>84</v>
      </c>
      <c r="P63" s="575">
        <v>3</v>
      </c>
      <c r="Q63" s="2408">
        <v>154</v>
      </c>
    </row>
    <row r="64" spans="1:17" s="576" customFormat="1" x14ac:dyDescent="0.25">
      <c r="A64" s="578" t="s">
        <v>150</v>
      </c>
      <c r="B64" s="574" t="s">
        <v>151</v>
      </c>
      <c r="C64" s="573" t="s">
        <v>266</v>
      </c>
      <c r="D64" s="575">
        <v>2530</v>
      </c>
      <c r="E64" s="2386">
        <v>1125</v>
      </c>
      <c r="F64" s="891">
        <v>515</v>
      </c>
      <c r="G64" s="891">
        <v>574</v>
      </c>
      <c r="H64" s="891">
        <v>316</v>
      </c>
      <c r="I64" s="2387">
        <v>0</v>
      </c>
      <c r="J64" s="2386">
        <v>1480</v>
      </c>
      <c r="K64" s="891">
        <v>1050</v>
      </c>
      <c r="L64" s="2387"/>
      <c r="M64" s="575">
        <v>1745</v>
      </c>
      <c r="N64" s="575">
        <v>753</v>
      </c>
      <c r="O64" s="575">
        <v>30</v>
      </c>
      <c r="P64" s="575">
        <v>2</v>
      </c>
      <c r="Q64" s="2408">
        <v>38</v>
      </c>
    </row>
    <row r="65" spans="1:17" s="576" customFormat="1" x14ac:dyDescent="0.25">
      <c r="A65" s="578" t="s">
        <v>152</v>
      </c>
      <c r="B65" s="574" t="s">
        <v>153</v>
      </c>
      <c r="C65" s="573" t="s">
        <v>268</v>
      </c>
      <c r="D65" s="575">
        <v>11375</v>
      </c>
      <c r="E65" s="2386">
        <v>5465</v>
      </c>
      <c r="F65" s="891">
        <v>2456</v>
      </c>
      <c r="G65" s="891">
        <v>2484</v>
      </c>
      <c r="H65" s="891">
        <v>970</v>
      </c>
      <c r="I65" s="2387">
        <v>0</v>
      </c>
      <c r="J65" s="2386">
        <v>6689</v>
      </c>
      <c r="K65" s="891">
        <v>4686</v>
      </c>
      <c r="L65" s="2387"/>
      <c r="M65" s="575">
        <v>10023</v>
      </c>
      <c r="N65" s="575">
        <v>1029</v>
      </c>
      <c r="O65" s="575">
        <v>312</v>
      </c>
      <c r="P65" s="575">
        <v>11</v>
      </c>
      <c r="Q65" s="2408">
        <v>382</v>
      </c>
    </row>
    <row r="66" spans="1:17" s="576" customFormat="1" x14ac:dyDescent="0.25">
      <c r="A66" s="578" t="s">
        <v>154</v>
      </c>
      <c r="B66" s="574" t="s">
        <v>155</v>
      </c>
      <c r="C66" s="573" t="s">
        <v>265</v>
      </c>
      <c r="D66" s="575">
        <v>3269</v>
      </c>
      <c r="E66" s="2386">
        <v>1475</v>
      </c>
      <c r="F66" s="891">
        <v>619</v>
      </c>
      <c r="G66" s="891">
        <v>718</v>
      </c>
      <c r="H66" s="891">
        <v>457</v>
      </c>
      <c r="I66" s="2387">
        <v>0</v>
      </c>
      <c r="J66" s="2386">
        <v>1878</v>
      </c>
      <c r="K66" s="891">
        <v>1391</v>
      </c>
      <c r="L66" s="2387"/>
      <c r="M66" s="575">
        <v>2506</v>
      </c>
      <c r="N66" s="575">
        <v>677</v>
      </c>
      <c r="O66" s="575">
        <v>82</v>
      </c>
      <c r="P66" s="575">
        <v>4</v>
      </c>
      <c r="Q66" s="2408">
        <v>119</v>
      </c>
    </row>
    <row r="67" spans="1:17" s="576" customFormat="1" x14ac:dyDescent="0.25">
      <c r="A67" s="578" t="s">
        <v>156</v>
      </c>
      <c r="B67" s="574" t="s">
        <v>157</v>
      </c>
      <c r="C67" s="573" t="s">
        <v>266</v>
      </c>
      <c r="D67" s="575">
        <v>2328</v>
      </c>
      <c r="E67" s="2386">
        <v>1216</v>
      </c>
      <c r="F67" s="891">
        <v>519</v>
      </c>
      <c r="G67" s="891">
        <v>424</v>
      </c>
      <c r="H67" s="891">
        <v>169</v>
      </c>
      <c r="I67" s="2387">
        <v>0</v>
      </c>
      <c r="J67" s="2386">
        <v>1339</v>
      </c>
      <c r="K67" s="891">
        <v>989</v>
      </c>
      <c r="L67" s="2387"/>
      <c r="M67" s="575">
        <v>1763</v>
      </c>
      <c r="N67" s="575">
        <v>483</v>
      </c>
      <c r="O67" s="575">
        <v>78</v>
      </c>
      <c r="P67" s="575">
        <v>4</v>
      </c>
      <c r="Q67" s="2408">
        <v>82</v>
      </c>
    </row>
    <row r="68" spans="1:17" s="576" customFormat="1" x14ac:dyDescent="0.25">
      <c r="A68" s="578" t="s">
        <v>162</v>
      </c>
      <c r="B68" s="574" t="s">
        <v>163</v>
      </c>
      <c r="C68" s="573" t="s">
        <v>264</v>
      </c>
      <c r="D68" s="575">
        <v>3969</v>
      </c>
      <c r="E68" s="2386">
        <v>1777</v>
      </c>
      <c r="F68" s="891">
        <v>671</v>
      </c>
      <c r="G68" s="891">
        <v>842</v>
      </c>
      <c r="H68" s="891">
        <v>679</v>
      </c>
      <c r="I68" s="2387">
        <v>0</v>
      </c>
      <c r="J68" s="2386">
        <v>2299</v>
      </c>
      <c r="K68" s="891">
        <v>1670</v>
      </c>
      <c r="L68" s="2387"/>
      <c r="M68" s="575">
        <v>1609</v>
      </c>
      <c r="N68" s="575">
        <v>2338</v>
      </c>
      <c r="O68" s="575">
        <v>22</v>
      </c>
      <c r="P68" s="575">
        <v>0</v>
      </c>
      <c r="Q68" s="2408">
        <v>235</v>
      </c>
    </row>
    <row r="69" spans="1:17" s="576" customFormat="1" x14ac:dyDescent="0.25">
      <c r="A69" s="578" t="s">
        <v>164</v>
      </c>
      <c r="B69" s="574" t="s">
        <v>165</v>
      </c>
      <c r="C69" s="573" t="s">
        <v>266</v>
      </c>
      <c r="D69" s="575">
        <v>2651</v>
      </c>
      <c r="E69" s="2386">
        <v>1162</v>
      </c>
      <c r="F69" s="891">
        <v>537</v>
      </c>
      <c r="G69" s="891">
        <v>610</v>
      </c>
      <c r="H69" s="891">
        <v>342</v>
      </c>
      <c r="I69" s="2387">
        <v>0</v>
      </c>
      <c r="J69" s="2386">
        <v>1525</v>
      </c>
      <c r="K69" s="891">
        <v>1126</v>
      </c>
      <c r="L69" s="2387"/>
      <c r="M69" s="575">
        <v>1160</v>
      </c>
      <c r="N69" s="575">
        <v>1436</v>
      </c>
      <c r="O69" s="575">
        <v>54</v>
      </c>
      <c r="P69" s="575">
        <v>1</v>
      </c>
      <c r="Q69" s="2408">
        <v>54</v>
      </c>
    </row>
    <row r="70" spans="1:17" s="576" customFormat="1" x14ac:dyDescent="0.25">
      <c r="A70" s="578" t="s">
        <v>168</v>
      </c>
      <c r="B70" s="574" t="s">
        <v>169</v>
      </c>
      <c r="C70" s="573" t="s">
        <v>266</v>
      </c>
      <c r="D70" s="575">
        <v>4738</v>
      </c>
      <c r="E70" s="2386">
        <v>2134</v>
      </c>
      <c r="F70" s="891">
        <v>947</v>
      </c>
      <c r="G70" s="891">
        <v>989</v>
      </c>
      <c r="H70" s="891">
        <v>668</v>
      </c>
      <c r="I70" s="2387">
        <v>0</v>
      </c>
      <c r="J70" s="2386">
        <v>2773</v>
      </c>
      <c r="K70" s="891">
        <v>1965</v>
      </c>
      <c r="L70" s="2387"/>
      <c r="M70" s="575">
        <v>2182</v>
      </c>
      <c r="N70" s="575">
        <v>2489</v>
      </c>
      <c r="O70" s="575">
        <v>64</v>
      </c>
      <c r="P70" s="575">
        <v>3</v>
      </c>
      <c r="Q70" s="2408">
        <v>153</v>
      </c>
    </row>
    <row r="71" spans="1:17" s="576" customFormat="1" x14ac:dyDescent="0.25">
      <c r="A71" s="578" t="s">
        <v>170</v>
      </c>
      <c r="B71" s="574" t="s">
        <v>171</v>
      </c>
      <c r="C71" s="573" t="s">
        <v>267</v>
      </c>
      <c r="D71" s="575">
        <v>6414</v>
      </c>
      <c r="E71" s="2386">
        <v>3136</v>
      </c>
      <c r="F71" s="891">
        <v>1297</v>
      </c>
      <c r="G71" s="891">
        <v>1276</v>
      </c>
      <c r="H71" s="891">
        <v>705</v>
      </c>
      <c r="I71" s="2387">
        <v>0</v>
      </c>
      <c r="J71" s="2386">
        <v>3784</v>
      </c>
      <c r="K71" s="891">
        <v>2630</v>
      </c>
      <c r="L71" s="2387"/>
      <c r="M71" s="575">
        <v>4729</v>
      </c>
      <c r="N71" s="575">
        <v>1549</v>
      </c>
      <c r="O71" s="575">
        <v>129</v>
      </c>
      <c r="P71" s="575">
        <v>7</v>
      </c>
      <c r="Q71" s="2408">
        <v>249</v>
      </c>
    </row>
    <row r="72" spans="1:17" s="576" customFormat="1" x14ac:dyDescent="0.25">
      <c r="A72" s="578" t="s">
        <v>172</v>
      </c>
      <c r="B72" s="574" t="s">
        <v>173</v>
      </c>
      <c r="C72" s="573" t="s">
        <v>267</v>
      </c>
      <c r="D72" s="575">
        <v>5522</v>
      </c>
      <c r="E72" s="2386">
        <v>2493</v>
      </c>
      <c r="F72" s="891">
        <v>1075</v>
      </c>
      <c r="G72" s="891">
        <v>1282</v>
      </c>
      <c r="H72" s="891">
        <v>672</v>
      </c>
      <c r="I72" s="2387">
        <v>0</v>
      </c>
      <c r="J72" s="2386">
        <v>3143</v>
      </c>
      <c r="K72" s="891">
        <v>2379</v>
      </c>
      <c r="L72" s="2387"/>
      <c r="M72" s="575">
        <v>5293</v>
      </c>
      <c r="N72" s="575">
        <v>183</v>
      </c>
      <c r="O72" s="575">
        <v>41</v>
      </c>
      <c r="P72" s="575">
        <v>5</v>
      </c>
      <c r="Q72" s="2408">
        <v>63</v>
      </c>
    </row>
    <row r="73" spans="1:17" s="576" customFormat="1" x14ac:dyDescent="0.25">
      <c r="A73" s="578" t="s">
        <v>174</v>
      </c>
      <c r="B73" s="574" t="s">
        <v>175</v>
      </c>
      <c r="C73" s="573" t="s">
        <v>268</v>
      </c>
      <c r="D73" s="575">
        <v>4877</v>
      </c>
      <c r="E73" s="2386">
        <v>2020</v>
      </c>
      <c r="F73" s="891">
        <v>951</v>
      </c>
      <c r="G73" s="891">
        <v>1213</v>
      </c>
      <c r="H73" s="891">
        <v>693</v>
      </c>
      <c r="I73" s="2387">
        <v>0</v>
      </c>
      <c r="J73" s="2386">
        <v>2783</v>
      </c>
      <c r="K73" s="891">
        <v>2094</v>
      </c>
      <c r="L73" s="2387"/>
      <c r="M73" s="575">
        <v>4456</v>
      </c>
      <c r="N73" s="575">
        <v>374</v>
      </c>
      <c r="O73" s="575">
        <v>47</v>
      </c>
      <c r="P73" s="575">
        <v>0</v>
      </c>
      <c r="Q73" s="2408">
        <v>114</v>
      </c>
    </row>
    <row r="74" spans="1:17" s="576" customFormat="1" x14ac:dyDescent="0.25">
      <c r="A74" s="578" t="s">
        <v>178</v>
      </c>
      <c r="B74" s="574" t="s">
        <v>179</v>
      </c>
      <c r="C74" s="573" t="s">
        <v>265</v>
      </c>
      <c r="D74" s="575">
        <v>15992</v>
      </c>
      <c r="E74" s="2386">
        <v>6984</v>
      </c>
      <c r="F74" s="891">
        <v>3191</v>
      </c>
      <c r="G74" s="891">
        <v>3704</v>
      </c>
      <c r="H74" s="891">
        <v>2113</v>
      </c>
      <c r="I74" s="2387">
        <v>0</v>
      </c>
      <c r="J74" s="2386">
        <v>9478</v>
      </c>
      <c r="K74" s="891">
        <v>6514</v>
      </c>
      <c r="L74" s="2387"/>
      <c r="M74" s="575">
        <v>10460</v>
      </c>
      <c r="N74" s="575">
        <v>5220</v>
      </c>
      <c r="O74" s="575">
        <v>288</v>
      </c>
      <c r="P74" s="575">
        <v>24</v>
      </c>
      <c r="Q74" s="2408">
        <v>487</v>
      </c>
    </row>
    <row r="75" spans="1:17" s="576" customFormat="1" x14ac:dyDescent="0.25">
      <c r="A75" s="578" t="s">
        <v>182</v>
      </c>
      <c r="B75" s="574" t="s">
        <v>183</v>
      </c>
      <c r="C75" s="573" t="s">
        <v>266</v>
      </c>
      <c r="D75" s="575">
        <v>2711</v>
      </c>
      <c r="E75" s="2386">
        <v>1345</v>
      </c>
      <c r="F75" s="891">
        <v>544</v>
      </c>
      <c r="G75" s="891">
        <v>598</v>
      </c>
      <c r="H75" s="891">
        <v>224</v>
      </c>
      <c r="I75" s="2387">
        <v>0</v>
      </c>
      <c r="J75" s="2386">
        <v>1537</v>
      </c>
      <c r="K75" s="891">
        <v>1174</v>
      </c>
      <c r="L75" s="2387"/>
      <c r="M75" s="575">
        <v>2176</v>
      </c>
      <c r="N75" s="575">
        <v>470</v>
      </c>
      <c r="O75" s="575">
        <v>65</v>
      </c>
      <c r="P75" s="575">
        <v>0</v>
      </c>
      <c r="Q75" s="2408">
        <v>48</v>
      </c>
    </row>
    <row r="76" spans="1:17" s="576" customFormat="1" x14ac:dyDescent="0.25">
      <c r="A76" s="578" t="s">
        <v>184</v>
      </c>
      <c r="B76" s="574" t="s">
        <v>185</v>
      </c>
      <c r="C76" s="573" t="s">
        <v>266</v>
      </c>
      <c r="D76" s="575">
        <v>5334</v>
      </c>
      <c r="E76" s="2386">
        <v>2438</v>
      </c>
      <c r="F76" s="891">
        <v>1112</v>
      </c>
      <c r="G76" s="891">
        <v>1188</v>
      </c>
      <c r="H76" s="891">
        <v>596</v>
      </c>
      <c r="I76" s="2387">
        <v>0</v>
      </c>
      <c r="J76" s="2386">
        <v>3138</v>
      </c>
      <c r="K76" s="891">
        <v>2196</v>
      </c>
      <c r="L76" s="2387"/>
      <c r="M76" s="575">
        <v>2052</v>
      </c>
      <c r="N76" s="575">
        <v>3213</v>
      </c>
      <c r="O76" s="575">
        <v>67</v>
      </c>
      <c r="P76" s="575">
        <v>2</v>
      </c>
      <c r="Q76" s="2408">
        <v>83</v>
      </c>
    </row>
    <row r="77" spans="1:17" s="576" customFormat="1" x14ac:dyDescent="0.25">
      <c r="A77" s="578" t="s">
        <v>186</v>
      </c>
      <c r="B77" s="574" t="s">
        <v>187</v>
      </c>
      <c r="C77" s="573" t="s">
        <v>264</v>
      </c>
      <c r="D77" s="575">
        <v>5576</v>
      </c>
      <c r="E77" s="2386">
        <v>2840</v>
      </c>
      <c r="F77" s="891">
        <v>1356</v>
      </c>
      <c r="G77" s="891">
        <v>1047</v>
      </c>
      <c r="H77" s="891">
        <v>333</v>
      </c>
      <c r="I77" s="2387">
        <v>0</v>
      </c>
      <c r="J77" s="2386">
        <v>3305</v>
      </c>
      <c r="K77" s="891">
        <v>2271</v>
      </c>
      <c r="L77" s="2387"/>
      <c r="M77" s="575">
        <v>2832</v>
      </c>
      <c r="N77" s="575">
        <v>2561</v>
      </c>
      <c r="O77" s="575">
        <v>169</v>
      </c>
      <c r="P77" s="575">
        <v>14</v>
      </c>
      <c r="Q77" s="2408">
        <v>226</v>
      </c>
    </row>
    <row r="78" spans="1:17" s="576" customFormat="1" x14ac:dyDescent="0.25">
      <c r="A78" s="578" t="s">
        <v>188</v>
      </c>
      <c r="B78" s="574" t="s">
        <v>189</v>
      </c>
      <c r="C78" s="573" t="s">
        <v>267</v>
      </c>
      <c r="D78" s="575">
        <v>69840</v>
      </c>
      <c r="E78" s="2386">
        <v>43307</v>
      </c>
      <c r="F78" s="891">
        <v>13010</v>
      </c>
      <c r="G78" s="891">
        <v>9416</v>
      </c>
      <c r="H78" s="891">
        <v>4107</v>
      </c>
      <c r="I78" s="2387">
        <v>0</v>
      </c>
      <c r="J78" s="2386">
        <v>39186</v>
      </c>
      <c r="K78" s="891">
        <v>30654</v>
      </c>
      <c r="L78" s="2387"/>
      <c r="M78" s="575">
        <v>41184</v>
      </c>
      <c r="N78" s="575">
        <v>20343</v>
      </c>
      <c r="O78" s="575">
        <v>7930</v>
      </c>
      <c r="P78" s="575">
        <v>383</v>
      </c>
      <c r="Q78" s="2408">
        <v>7670</v>
      </c>
    </row>
    <row r="79" spans="1:17" s="576" customFormat="1" x14ac:dyDescent="0.25">
      <c r="A79" s="578" t="s">
        <v>190</v>
      </c>
      <c r="B79" s="574" t="s">
        <v>191</v>
      </c>
      <c r="C79" s="573" t="s">
        <v>268</v>
      </c>
      <c r="D79" s="575">
        <v>8431</v>
      </c>
      <c r="E79" s="2386">
        <v>3577</v>
      </c>
      <c r="F79" s="891">
        <v>1697</v>
      </c>
      <c r="G79" s="891">
        <v>2168</v>
      </c>
      <c r="H79" s="891">
        <v>989</v>
      </c>
      <c r="I79" s="2387">
        <v>0</v>
      </c>
      <c r="J79" s="2386">
        <v>4873</v>
      </c>
      <c r="K79" s="891">
        <v>3558</v>
      </c>
      <c r="L79" s="2387"/>
      <c r="M79" s="575">
        <v>7557</v>
      </c>
      <c r="N79" s="575">
        <v>785</v>
      </c>
      <c r="O79" s="575">
        <v>85</v>
      </c>
      <c r="P79" s="575">
        <v>4</v>
      </c>
      <c r="Q79" s="2408">
        <v>113</v>
      </c>
    </row>
    <row r="80" spans="1:17" s="576" customFormat="1" x14ac:dyDescent="0.25">
      <c r="A80" s="578" t="s">
        <v>194</v>
      </c>
      <c r="B80" s="574" t="s">
        <v>195</v>
      </c>
      <c r="C80" s="573" t="s">
        <v>267</v>
      </c>
      <c r="D80" s="575">
        <v>995</v>
      </c>
      <c r="E80" s="2386">
        <v>476</v>
      </c>
      <c r="F80" s="891">
        <v>215</v>
      </c>
      <c r="G80" s="891">
        <v>183</v>
      </c>
      <c r="H80" s="891">
        <v>121</v>
      </c>
      <c r="I80" s="2387">
        <v>0</v>
      </c>
      <c r="J80" s="2386">
        <v>568</v>
      </c>
      <c r="K80" s="891">
        <v>427</v>
      </c>
      <c r="L80" s="2387"/>
      <c r="M80" s="575">
        <v>876</v>
      </c>
      <c r="N80" s="575">
        <v>106</v>
      </c>
      <c r="O80" s="575">
        <v>13</v>
      </c>
      <c r="P80" s="575">
        <v>0</v>
      </c>
      <c r="Q80" s="2408">
        <v>15</v>
      </c>
    </row>
    <row r="81" spans="1:17" s="576" customFormat="1" x14ac:dyDescent="0.25">
      <c r="A81" s="578" t="s">
        <v>198</v>
      </c>
      <c r="B81" s="574" t="s">
        <v>272</v>
      </c>
      <c r="C81" s="573" t="s">
        <v>266</v>
      </c>
      <c r="D81" s="575">
        <v>2071</v>
      </c>
      <c r="E81" s="2386">
        <v>994</v>
      </c>
      <c r="F81" s="891">
        <v>454</v>
      </c>
      <c r="G81" s="891">
        <v>405</v>
      </c>
      <c r="H81" s="891">
        <v>218</v>
      </c>
      <c r="I81" s="2387">
        <v>0</v>
      </c>
      <c r="J81" s="2386">
        <v>1246</v>
      </c>
      <c r="K81" s="891">
        <v>825</v>
      </c>
      <c r="L81" s="2387"/>
      <c r="M81" s="575">
        <v>1149</v>
      </c>
      <c r="N81" s="575">
        <v>900</v>
      </c>
      <c r="O81" s="575">
        <v>19</v>
      </c>
      <c r="P81" s="575">
        <v>3</v>
      </c>
      <c r="Q81" s="2408">
        <v>111</v>
      </c>
    </row>
    <row r="82" spans="1:17" s="576" customFormat="1" x14ac:dyDescent="0.25">
      <c r="A82" s="578" t="s">
        <v>202</v>
      </c>
      <c r="B82" s="574" t="s">
        <v>301</v>
      </c>
      <c r="C82" s="573" t="s">
        <v>265</v>
      </c>
      <c r="D82" s="575">
        <v>15958</v>
      </c>
      <c r="E82" s="2386">
        <v>8123</v>
      </c>
      <c r="F82" s="891">
        <v>3039</v>
      </c>
      <c r="G82" s="891">
        <v>3189</v>
      </c>
      <c r="H82" s="891">
        <v>1607</v>
      </c>
      <c r="I82" s="2387">
        <v>0</v>
      </c>
      <c r="J82" s="2386">
        <v>9170</v>
      </c>
      <c r="K82" s="891">
        <v>6788</v>
      </c>
      <c r="L82" s="2387"/>
      <c r="M82" s="575">
        <v>12704</v>
      </c>
      <c r="N82" s="575">
        <v>2548</v>
      </c>
      <c r="O82" s="575">
        <v>670</v>
      </c>
      <c r="P82" s="575">
        <v>36</v>
      </c>
      <c r="Q82" s="2408">
        <v>462</v>
      </c>
    </row>
    <row r="83" spans="1:17" s="576" customFormat="1" x14ac:dyDescent="0.25">
      <c r="A83" s="578" t="s">
        <v>204</v>
      </c>
      <c r="B83" s="574" t="s">
        <v>293</v>
      </c>
      <c r="C83" s="573" t="s">
        <v>265</v>
      </c>
      <c r="D83" s="575">
        <v>7148</v>
      </c>
      <c r="E83" s="2386">
        <v>3224</v>
      </c>
      <c r="F83" s="891">
        <v>1479</v>
      </c>
      <c r="G83" s="891">
        <v>1559</v>
      </c>
      <c r="H83" s="891">
        <v>886</v>
      </c>
      <c r="I83" s="2387">
        <v>0</v>
      </c>
      <c r="J83" s="2386">
        <v>4184</v>
      </c>
      <c r="K83" s="891">
        <v>2964</v>
      </c>
      <c r="L83" s="2387"/>
      <c r="M83" s="575">
        <v>6485</v>
      </c>
      <c r="N83" s="575">
        <v>560</v>
      </c>
      <c r="O83" s="575">
        <v>103</v>
      </c>
      <c r="P83" s="575">
        <v>0</v>
      </c>
      <c r="Q83" s="2408">
        <v>129</v>
      </c>
    </row>
    <row r="84" spans="1:17" s="576" customFormat="1" x14ac:dyDescent="0.25">
      <c r="A84" s="578" t="s">
        <v>206</v>
      </c>
      <c r="B84" s="574" t="s">
        <v>294</v>
      </c>
      <c r="C84" s="573" t="s">
        <v>267</v>
      </c>
      <c r="D84" s="575">
        <v>22302</v>
      </c>
      <c r="E84" s="2386">
        <v>12598</v>
      </c>
      <c r="F84" s="891">
        <v>4256</v>
      </c>
      <c r="G84" s="891">
        <v>3679</v>
      </c>
      <c r="H84" s="891">
        <v>1769</v>
      </c>
      <c r="I84" s="2387">
        <v>0</v>
      </c>
      <c r="J84" s="2386">
        <v>12814</v>
      </c>
      <c r="K84" s="891">
        <v>9488</v>
      </c>
      <c r="L84" s="2387"/>
      <c r="M84" s="575">
        <v>19689</v>
      </c>
      <c r="N84" s="575">
        <v>2034</v>
      </c>
      <c r="O84" s="575">
        <v>554</v>
      </c>
      <c r="P84" s="575">
        <v>25</v>
      </c>
      <c r="Q84" s="2408">
        <v>2291</v>
      </c>
    </row>
    <row r="85" spans="1:17" s="576" customFormat="1" x14ac:dyDescent="0.25">
      <c r="A85" s="578" t="s">
        <v>208</v>
      </c>
      <c r="B85" s="574" t="s">
        <v>209</v>
      </c>
      <c r="C85" s="573" t="s">
        <v>268</v>
      </c>
      <c r="D85" s="575">
        <v>8415</v>
      </c>
      <c r="E85" s="2386">
        <v>3403</v>
      </c>
      <c r="F85" s="891">
        <v>1629</v>
      </c>
      <c r="G85" s="891">
        <v>2454</v>
      </c>
      <c r="H85" s="891">
        <v>929</v>
      </c>
      <c r="I85" s="2387">
        <v>0</v>
      </c>
      <c r="J85" s="2386">
        <v>4834</v>
      </c>
      <c r="K85" s="891">
        <v>3581</v>
      </c>
      <c r="L85" s="2387"/>
      <c r="M85" s="575">
        <v>8319</v>
      </c>
      <c r="N85" s="575">
        <v>73</v>
      </c>
      <c r="O85" s="575">
        <v>20</v>
      </c>
      <c r="P85" s="575">
        <v>3</v>
      </c>
      <c r="Q85" s="2408">
        <v>38</v>
      </c>
    </row>
    <row r="86" spans="1:17" s="576" customFormat="1" x14ac:dyDescent="0.25">
      <c r="A86" s="578" t="s">
        <v>210</v>
      </c>
      <c r="B86" s="574" t="s">
        <v>211</v>
      </c>
      <c r="C86" s="573" t="s">
        <v>268</v>
      </c>
      <c r="D86" s="575">
        <v>6235</v>
      </c>
      <c r="E86" s="2386">
        <v>2427</v>
      </c>
      <c r="F86" s="891">
        <v>1141</v>
      </c>
      <c r="G86" s="891">
        <v>1755</v>
      </c>
      <c r="H86" s="891">
        <v>912</v>
      </c>
      <c r="I86" s="2387">
        <v>0</v>
      </c>
      <c r="J86" s="2386">
        <v>3484</v>
      </c>
      <c r="K86" s="891">
        <v>2751</v>
      </c>
      <c r="L86" s="2387"/>
      <c r="M86" s="575">
        <v>6111</v>
      </c>
      <c r="N86" s="575">
        <v>81</v>
      </c>
      <c r="O86" s="575">
        <v>39</v>
      </c>
      <c r="P86" s="575">
        <v>4</v>
      </c>
      <c r="Q86" s="2408">
        <v>48</v>
      </c>
    </row>
    <row r="87" spans="1:17" s="576" customFormat="1" x14ac:dyDescent="0.25">
      <c r="A87" s="578" t="s">
        <v>212</v>
      </c>
      <c r="B87" s="574" t="s">
        <v>213</v>
      </c>
      <c r="C87" s="573" t="s">
        <v>267</v>
      </c>
      <c r="D87" s="575">
        <v>8784</v>
      </c>
      <c r="E87" s="2386">
        <v>4445</v>
      </c>
      <c r="F87" s="891">
        <v>1782</v>
      </c>
      <c r="G87" s="891">
        <v>1717</v>
      </c>
      <c r="H87" s="891">
        <v>840</v>
      </c>
      <c r="I87" s="2387">
        <v>0</v>
      </c>
      <c r="J87" s="2386">
        <v>5048</v>
      </c>
      <c r="K87" s="891">
        <v>3736</v>
      </c>
      <c r="L87" s="2387"/>
      <c r="M87" s="575">
        <v>8003</v>
      </c>
      <c r="N87" s="575">
        <v>434</v>
      </c>
      <c r="O87" s="575">
        <v>342</v>
      </c>
      <c r="P87" s="575">
        <v>5</v>
      </c>
      <c r="Q87" s="2408">
        <v>835</v>
      </c>
    </row>
    <row r="88" spans="1:17" s="576" customFormat="1" x14ac:dyDescent="0.25">
      <c r="A88" s="578" t="s">
        <v>214</v>
      </c>
      <c r="B88" s="574" t="s">
        <v>215</v>
      </c>
      <c r="C88" s="573" t="s">
        <v>268</v>
      </c>
      <c r="D88" s="575">
        <v>8857</v>
      </c>
      <c r="E88" s="2386">
        <v>3737</v>
      </c>
      <c r="F88" s="891">
        <v>1722</v>
      </c>
      <c r="G88" s="891">
        <v>2272</v>
      </c>
      <c r="H88" s="891">
        <v>1126</v>
      </c>
      <c r="I88" s="2387">
        <v>0</v>
      </c>
      <c r="J88" s="2386">
        <v>5092</v>
      </c>
      <c r="K88" s="891">
        <v>3765</v>
      </c>
      <c r="L88" s="2387"/>
      <c r="M88" s="575">
        <v>8622</v>
      </c>
      <c r="N88" s="575">
        <v>173</v>
      </c>
      <c r="O88" s="575">
        <v>60</v>
      </c>
      <c r="P88" s="575">
        <v>2</v>
      </c>
      <c r="Q88" s="2408">
        <v>83</v>
      </c>
    </row>
    <row r="89" spans="1:17" s="576" customFormat="1" x14ac:dyDescent="0.25">
      <c r="A89" s="578" t="s">
        <v>216</v>
      </c>
      <c r="B89" s="574" t="s">
        <v>217</v>
      </c>
      <c r="C89" s="573" t="s">
        <v>264</v>
      </c>
      <c r="D89" s="575">
        <v>4327</v>
      </c>
      <c r="E89" s="2386">
        <v>1966</v>
      </c>
      <c r="F89" s="891">
        <v>914</v>
      </c>
      <c r="G89" s="891">
        <v>924</v>
      </c>
      <c r="H89" s="891">
        <v>523</v>
      </c>
      <c r="I89" s="2387">
        <v>0</v>
      </c>
      <c r="J89" s="2386">
        <v>2605</v>
      </c>
      <c r="K89" s="891">
        <v>1722</v>
      </c>
      <c r="L89" s="2387"/>
      <c r="M89" s="575">
        <v>1836</v>
      </c>
      <c r="N89" s="575">
        <v>2436</v>
      </c>
      <c r="O89" s="575">
        <v>52</v>
      </c>
      <c r="P89" s="575">
        <v>3</v>
      </c>
      <c r="Q89" s="2408">
        <v>52</v>
      </c>
    </row>
    <row r="90" spans="1:17" s="576" customFormat="1" x14ac:dyDescent="0.25">
      <c r="A90" s="578" t="s">
        <v>218</v>
      </c>
      <c r="B90" s="574" t="s">
        <v>219</v>
      </c>
      <c r="C90" s="573" t="s">
        <v>267</v>
      </c>
      <c r="D90" s="575">
        <v>23011</v>
      </c>
      <c r="E90" s="2386">
        <v>12686</v>
      </c>
      <c r="F90" s="891">
        <v>4929</v>
      </c>
      <c r="G90" s="891">
        <v>4128</v>
      </c>
      <c r="H90" s="891">
        <v>1268</v>
      </c>
      <c r="I90" s="2387">
        <v>0</v>
      </c>
      <c r="J90" s="2386">
        <v>13349</v>
      </c>
      <c r="K90" s="891">
        <v>9662</v>
      </c>
      <c r="L90" s="2387"/>
      <c r="M90" s="575">
        <v>15177</v>
      </c>
      <c r="N90" s="575">
        <v>6613</v>
      </c>
      <c r="O90" s="575">
        <v>1164</v>
      </c>
      <c r="P90" s="575">
        <v>57</v>
      </c>
      <c r="Q90" s="2408">
        <v>1077</v>
      </c>
    </row>
    <row r="91" spans="1:17" s="576" customFormat="1" x14ac:dyDescent="0.25">
      <c r="A91" s="578" t="s">
        <v>220</v>
      </c>
      <c r="B91" s="574" t="s">
        <v>221</v>
      </c>
      <c r="C91" s="573" t="s">
        <v>267</v>
      </c>
      <c r="D91" s="575">
        <v>19568</v>
      </c>
      <c r="E91" s="2386">
        <v>10954</v>
      </c>
      <c r="F91" s="891">
        <v>4487</v>
      </c>
      <c r="G91" s="891">
        <v>3154</v>
      </c>
      <c r="H91" s="891">
        <v>973</v>
      </c>
      <c r="I91" s="2387">
        <v>0</v>
      </c>
      <c r="J91" s="2386">
        <v>11400</v>
      </c>
      <c r="K91" s="891">
        <v>8168</v>
      </c>
      <c r="L91" s="2387"/>
      <c r="M91" s="575">
        <v>11995</v>
      </c>
      <c r="N91" s="575">
        <v>6229</v>
      </c>
      <c r="O91" s="575">
        <v>1269</v>
      </c>
      <c r="P91" s="575">
        <v>75</v>
      </c>
      <c r="Q91" s="2408">
        <v>1627</v>
      </c>
    </row>
    <row r="92" spans="1:17" s="576" customFormat="1" x14ac:dyDescent="0.25">
      <c r="A92" s="578" t="s">
        <v>224</v>
      </c>
      <c r="B92" s="574" t="s">
        <v>225</v>
      </c>
      <c r="C92" s="573" t="s">
        <v>264</v>
      </c>
      <c r="D92" s="575">
        <v>1427</v>
      </c>
      <c r="E92" s="2386">
        <v>618</v>
      </c>
      <c r="F92" s="891">
        <v>314</v>
      </c>
      <c r="G92" s="891">
        <v>341</v>
      </c>
      <c r="H92" s="891">
        <v>154</v>
      </c>
      <c r="I92" s="2387">
        <v>0</v>
      </c>
      <c r="J92" s="2386">
        <v>842</v>
      </c>
      <c r="K92" s="891">
        <v>585</v>
      </c>
      <c r="L92" s="2387"/>
      <c r="M92" s="575">
        <v>493</v>
      </c>
      <c r="N92" s="575">
        <v>913</v>
      </c>
      <c r="O92" s="575">
        <v>21</v>
      </c>
      <c r="P92" s="575">
        <v>0</v>
      </c>
      <c r="Q92" s="2408">
        <v>12</v>
      </c>
    </row>
    <row r="93" spans="1:17" s="576" customFormat="1" x14ac:dyDescent="0.25">
      <c r="A93" s="578" t="s">
        <v>226</v>
      </c>
      <c r="B93" s="574" t="s">
        <v>227</v>
      </c>
      <c r="C93" s="573" t="s">
        <v>264</v>
      </c>
      <c r="D93" s="575">
        <v>2688</v>
      </c>
      <c r="E93" s="2386">
        <v>1260</v>
      </c>
      <c r="F93" s="891">
        <v>550</v>
      </c>
      <c r="G93" s="891">
        <v>564</v>
      </c>
      <c r="H93" s="891">
        <v>314</v>
      </c>
      <c r="I93" s="2387">
        <v>0</v>
      </c>
      <c r="J93" s="2386">
        <v>1568</v>
      </c>
      <c r="K93" s="891">
        <v>1120</v>
      </c>
      <c r="L93" s="2387"/>
      <c r="M93" s="575">
        <v>754</v>
      </c>
      <c r="N93" s="575">
        <v>1913</v>
      </c>
      <c r="O93" s="575">
        <v>20</v>
      </c>
      <c r="P93" s="575">
        <v>1</v>
      </c>
      <c r="Q93" s="2408">
        <v>47</v>
      </c>
    </row>
    <row r="94" spans="1:17" s="576" customFormat="1" x14ac:dyDescent="0.25">
      <c r="A94" s="578" t="s">
        <v>228</v>
      </c>
      <c r="B94" s="574" t="s">
        <v>229</v>
      </c>
      <c r="C94" s="573" t="s">
        <v>268</v>
      </c>
      <c r="D94" s="575">
        <v>12520</v>
      </c>
      <c r="E94" s="2386">
        <v>5253</v>
      </c>
      <c r="F94" s="891">
        <v>2590</v>
      </c>
      <c r="G94" s="891">
        <v>3418</v>
      </c>
      <c r="H94" s="891">
        <v>1259</v>
      </c>
      <c r="I94" s="2387">
        <v>0</v>
      </c>
      <c r="J94" s="2386">
        <v>7269</v>
      </c>
      <c r="K94" s="891">
        <v>5251</v>
      </c>
      <c r="L94" s="2387"/>
      <c r="M94" s="575">
        <v>11966</v>
      </c>
      <c r="N94" s="575">
        <v>471</v>
      </c>
      <c r="O94" s="575">
        <v>74</v>
      </c>
      <c r="P94" s="575">
        <v>9</v>
      </c>
      <c r="Q94" s="2408">
        <v>82</v>
      </c>
    </row>
    <row r="95" spans="1:17" s="576" customFormat="1" x14ac:dyDescent="0.25">
      <c r="A95" s="578" t="s">
        <v>232</v>
      </c>
      <c r="B95" s="574" t="s">
        <v>233</v>
      </c>
      <c r="C95" s="573" t="s">
        <v>267</v>
      </c>
      <c r="D95" s="575">
        <v>7702</v>
      </c>
      <c r="E95" s="2386">
        <v>3870</v>
      </c>
      <c r="F95" s="891">
        <v>1655</v>
      </c>
      <c r="G95" s="891">
        <v>1577</v>
      </c>
      <c r="H95" s="891">
        <v>600</v>
      </c>
      <c r="I95" s="2387">
        <v>0</v>
      </c>
      <c r="J95" s="2386">
        <v>4454</v>
      </c>
      <c r="K95" s="891">
        <v>3248</v>
      </c>
      <c r="L95" s="2387"/>
      <c r="M95" s="575">
        <v>6708</v>
      </c>
      <c r="N95" s="575">
        <v>822</v>
      </c>
      <c r="O95" s="575">
        <v>162</v>
      </c>
      <c r="P95" s="575">
        <v>10</v>
      </c>
      <c r="Q95" s="2408">
        <v>231</v>
      </c>
    </row>
    <row r="96" spans="1:17" s="576" customFormat="1" x14ac:dyDescent="0.25">
      <c r="A96" s="578" t="s">
        <v>234</v>
      </c>
      <c r="B96" s="574" t="s">
        <v>235</v>
      </c>
      <c r="C96" s="573" t="s">
        <v>268</v>
      </c>
      <c r="D96" s="575">
        <v>12061</v>
      </c>
      <c r="E96" s="2386">
        <v>5201</v>
      </c>
      <c r="F96" s="891">
        <v>2292</v>
      </c>
      <c r="G96" s="891">
        <v>3164</v>
      </c>
      <c r="H96" s="891">
        <v>1404</v>
      </c>
      <c r="I96" s="2387">
        <v>0</v>
      </c>
      <c r="J96" s="2386">
        <v>6952</v>
      </c>
      <c r="K96" s="891">
        <v>5109</v>
      </c>
      <c r="L96" s="2387"/>
      <c r="M96" s="575">
        <v>11692</v>
      </c>
      <c r="N96" s="575">
        <v>249</v>
      </c>
      <c r="O96" s="575">
        <v>117</v>
      </c>
      <c r="P96" s="575">
        <v>3</v>
      </c>
      <c r="Q96" s="2408">
        <v>140</v>
      </c>
    </row>
    <row r="97" spans="1:17" s="576" customFormat="1" x14ac:dyDescent="0.25">
      <c r="A97" s="578" t="s">
        <v>236</v>
      </c>
      <c r="B97" s="574" t="s">
        <v>237</v>
      </c>
      <c r="C97" s="573" t="s">
        <v>266</v>
      </c>
      <c r="D97" s="575">
        <v>4930</v>
      </c>
      <c r="E97" s="2386">
        <v>2361</v>
      </c>
      <c r="F97" s="891">
        <v>1031</v>
      </c>
      <c r="G97" s="891">
        <v>980</v>
      </c>
      <c r="H97" s="891">
        <v>558</v>
      </c>
      <c r="I97" s="2387">
        <v>0</v>
      </c>
      <c r="J97" s="2386">
        <v>2860</v>
      </c>
      <c r="K97" s="891">
        <v>2070</v>
      </c>
      <c r="L97" s="2387"/>
      <c r="M97" s="575">
        <v>2677</v>
      </c>
      <c r="N97" s="575">
        <v>2132</v>
      </c>
      <c r="O97" s="575">
        <v>114</v>
      </c>
      <c r="P97" s="575">
        <v>7</v>
      </c>
      <c r="Q97" s="2408">
        <v>238</v>
      </c>
    </row>
    <row r="98" spans="1:17" s="576" customFormat="1" x14ac:dyDescent="0.25">
      <c r="A98" s="578" t="s">
        <v>242</v>
      </c>
      <c r="B98" s="574" t="s">
        <v>243</v>
      </c>
      <c r="C98" s="573" t="s">
        <v>268</v>
      </c>
      <c r="D98" s="575">
        <v>12619</v>
      </c>
      <c r="E98" s="2386">
        <v>5183</v>
      </c>
      <c r="F98" s="891">
        <v>2580</v>
      </c>
      <c r="G98" s="891">
        <v>3704</v>
      </c>
      <c r="H98" s="891">
        <v>1151</v>
      </c>
      <c r="I98" s="2387">
        <v>1</v>
      </c>
      <c r="J98" s="2386">
        <v>7262</v>
      </c>
      <c r="K98" s="891">
        <v>5357</v>
      </c>
      <c r="L98" s="2387"/>
      <c r="M98" s="575">
        <v>12259</v>
      </c>
      <c r="N98" s="575">
        <v>317</v>
      </c>
      <c r="O98" s="575">
        <v>43</v>
      </c>
      <c r="P98" s="575">
        <v>0</v>
      </c>
      <c r="Q98" s="2408">
        <v>46</v>
      </c>
    </row>
    <row r="99" spans="1:17" s="576" customFormat="1" x14ac:dyDescent="0.25">
      <c r="A99" s="578" t="s">
        <v>244</v>
      </c>
      <c r="B99" s="574" t="s">
        <v>245</v>
      </c>
      <c r="C99" s="573" t="s">
        <v>268</v>
      </c>
      <c r="D99" s="575">
        <v>6988</v>
      </c>
      <c r="E99" s="2386">
        <v>3085</v>
      </c>
      <c r="F99" s="891">
        <v>1351</v>
      </c>
      <c r="G99" s="891">
        <v>1735</v>
      </c>
      <c r="H99" s="891">
        <v>817</v>
      </c>
      <c r="I99" s="2387">
        <v>0</v>
      </c>
      <c r="J99" s="2386">
        <v>4072</v>
      </c>
      <c r="K99" s="891">
        <v>2916</v>
      </c>
      <c r="L99" s="2387"/>
      <c r="M99" s="575">
        <v>6603</v>
      </c>
      <c r="N99" s="575">
        <v>334</v>
      </c>
      <c r="O99" s="575">
        <v>48</v>
      </c>
      <c r="P99" s="575">
        <v>3</v>
      </c>
      <c r="Q99" s="2408">
        <v>73</v>
      </c>
    </row>
    <row r="100" spans="1:17" s="576" customFormat="1" x14ac:dyDescent="0.25">
      <c r="A100" s="578" t="s">
        <v>246</v>
      </c>
      <c r="B100" s="574" t="s">
        <v>247</v>
      </c>
      <c r="C100" s="573" t="s">
        <v>264</v>
      </c>
      <c r="D100" s="575">
        <v>6543</v>
      </c>
      <c r="E100" s="2386">
        <v>3532</v>
      </c>
      <c r="F100" s="891">
        <v>1415</v>
      </c>
      <c r="G100" s="891">
        <v>1137</v>
      </c>
      <c r="H100" s="891">
        <v>459</v>
      </c>
      <c r="I100" s="2387">
        <v>0</v>
      </c>
      <c r="J100" s="2386">
        <v>3891</v>
      </c>
      <c r="K100" s="891">
        <v>2652</v>
      </c>
      <c r="L100" s="2387"/>
      <c r="M100" s="575">
        <v>4131</v>
      </c>
      <c r="N100" s="575">
        <v>1988</v>
      </c>
      <c r="O100" s="575">
        <v>404</v>
      </c>
      <c r="P100" s="575">
        <v>20</v>
      </c>
      <c r="Q100" s="2408">
        <v>282</v>
      </c>
    </row>
    <row r="101" spans="1:17" s="576" customFormat="1" x14ac:dyDescent="0.25">
      <c r="A101" s="578" t="s">
        <v>14</v>
      </c>
      <c r="B101" s="574" t="s">
        <v>15</v>
      </c>
      <c r="C101" s="573" t="s">
        <v>267</v>
      </c>
      <c r="D101" s="575">
        <v>21694</v>
      </c>
      <c r="E101" s="2386">
        <v>12916</v>
      </c>
      <c r="F101" s="891">
        <v>3634</v>
      </c>
      <c r="G101" s="891">
        <v>3302</v>
      </c>
      <c r="H101" s="891">
        <v>1842</v>
      </c>
      <c r="I101" s="2387">
        <v>0</v>
      </c>
      <c r="J101" s="2386">
        <v>12100</v>
      </c>
      <c r="K101" s="891">
        <v>9594</v>
      </c>
      <c r="L101" s="2387"/>
      <c r="M101" s="575">
        <v>10604</v>
      </c>
      <c r="N101" s="575">
        <v>8902</v>
      </c>
      <c r="O101" s="575">
        <v>2008</v>
      </c>
      <c r="P101" s="575">
        <v>180</v>
      </c>
      <c r="Q101" s="2408">
        <v>1876</v>
      </c>
    </row>
    <row r="102" spans="1:17" s="576" customFormat="1" x14ac:dyDescent="0.25">
      <c r="A102" s="578" t="s">
        <v>34</v>
      </c>
      <c r="B102" s="574" t="s">
        <v>35</v>
      </c>
      <c r="C102" s="573" t="s">
        <v>268</v>
      </c>
      <c r="D102" s="575">
        <v>5969</v>
      </c>
      <c r="E102" s="2386">
        <v>2573</v>
      </c>
      <c r="F102" s="891">
        <v>1222</v>
      </c>
      <c r="G102" s="891">
        <v>1576</v>
      </c>
      <c r="H102" s="891">
        <v>598</v>
      </c>
      <c r="I102" s="2387">
        <v>0</v>
      </c>
      <c r="J102" s="2386">
        <v>3530</v>
      </c>
      <c r="K102" s="891">
        <v>2439</v>
      </c>
      <c r="L102" s="2387"/>
      <c r="M102" s="575">
        <v>5147</v>
      </c>
      <c r="N102" s="575">
        <v>736</v>
      </c>
      <c r="O102" s="575">
        <v>86</v>
      </c>
      <c r="P102" s="575">
        <v>0</v>
      </c>
      <c r="Q102" s="2408">
        <v>85</v>
      </c>
    </row>
    <row r="103" spans="1:17" s="576" customFormat="1" x14ac:dyDescent="0.25">
      <c r="A103" s="578" t="s">
        <v>52</v>
      </c>
      <c r="B103" s="574" t="s">
        <v>53</v>
      </c>
      <c r="C103" s="573" t="s">
        <v>265</v>
      </c>
      <c r="D103" s="575">
        <v>7765</v>
      </c>
      <c r="E103" s="2386">
        <v>3691</v>
      </c>
      <c r="F103" s="891">
        <v>1605</v>
      </c>
      <c r="G103" s="891">
        <v>1754</v>
      </c>
      <c r="H103" s="891">
        <v>715</v>
      </c>
      <c r="I103" s="2387">
        <v>0</v>
      </c>
      <c r="J103" s="2386">
        <v>4299</v>
      </c>
      <c r="K103" s="891">
        <v>3466</v>
      </c>
      <c r="L103" s="2387"/>
      <c r="M103" s="575">
        <v>3222</v>
      </c>
      <c r="N103" s="575">
        <v>4033</v>
      </c>
      <c r="O103" s="575">
        <v>501</v>
      </c>
      <c r="P103" s="575">
        <v>9</v>
      </c>
      <c r="Q103" s="2408">
        <v>420</v>
      </c>
    </row>
    <row r="104" spans="1:17" s="576" customFormat="1" x14ac:dyDescent="0.25">
      <c r="A104" s="578" t="s">
        <v>54</v>
      </c>
      <c r="B104" s="574" t="s">
        <v>55</v>
      </c>
      <c r="C104" s="573" t="s">
        <v>264</v>
      </c>
      <c r="D104" s="575">
        <v>40876</v>
      </c>
      <c r="E104" s="2386">
        <v>20683</v>
      </c>
      <c r="F104" s="891">
        <v>9510</v>
      </c>
      <c r="G104" s="891">
        <v>7955</v>
      </c>
      <c r="H104" s="891">
        <v>2728</v>
      </c>
      <c r="I104" s="2387">
        <v>0</v>
      </c>
      <c r="J104" s="2386">
        <v>24521</v>
      </c>
      <c r="K104" s="891">
        <v>16355</v>
      </c>
      <c r="L104" s="2387"/>
      <c r="M104" s="575">
        <v>15937</v>
      </c>
      <c r="N104" s="575">
        <v>23212</v>
      </c>
      <c r="O104" s="575">
        <v>1641</v>
      </c>
      <c r="P104" s="575">
        <v>86</v>
      </c>
      <c r="Q104" s="2408">
        <v>1658</v>
      </c>
    </row>
    <row r="105" spans="1:17" s="576" customFormat="1" x14ac:dyDescent="0.25">
      <c r="A105" s="578" t="s">
        <v>66</v>
      </c>
      <c r="B105" s="574" t="s">
        <v>67</v>
      </c>
      <c r="C105" s="573" t="s">
        <v>265</v>
      </c>
      <c r="D105" s="575">
        <v>17835</v>
      </c>
      <c r="E105" s="2386">
        <v>7502</v>
      </c>
      <c r="F105" s="891">
        <v>3882</v>
      </c>
      <c r="G105" s="891">
        <v>4375</v>
      </c>
      <c r="H105" s="891">
        <v>2076</v>
      </c>
      <c r="I105" s="2387">
        <v>0</v>
      </c>
      <c r="J105" s="2386">
        <v>10810</v>
      </c>
      <c r="K105" s="891">
        <v>7025</v>
      </c>
      <c r="L105" s="2387"/>
      <c r="M105" s="575">
        <v>5489</v>
      </c>
      <c r="N105" s="575">
        <v>11980</v>
      </c>
      <c r="O105" s="575">
        <v>340</v>
      </c>
      <c r="P105" s="575">
        <v>26</v>
      </c>
      <c r="Q105" s="2408">
        <v>439</v>
      </c>
    </row>
    <row r="106" spans="1:17" s="576" customFormat="1" x14ac:dyDescent="0.25">
      <c r="A106" s="578" t="s">
        <v>82</v>
      </c>
      <c r="B106" s="574" t="s">
        <v>83</v>
      </c>
      <c r="C106" s="573" t="s">
        <v>264</v>
      </c>
      <c r="D106" s="575">
        <v>3520</v>
      </c>
      <c r="E106" s="2386">
        <v>1589</v>
      </c>
      <c r="F106" s="891">
        <v>789</v>
      </c>
      <c r="G106" s="891">
        <v>791</v>
      </c>
      <c r="H106" s="891">
        <v>351</v>
      </c>
      <c r="I106" s="2387">
        <v>0</v>
      </c>
      <c r="J106" s="2386">
        <v>2199</v>
      </c>
      <c r="K106" s="891">
        <v>1321</v>
      </c>
      <c r="L106" s="2387"/>
      <c r="M106" s="575">
        <v>496</v>
      </c>
      <c r="N106" s="575">
        <v>2967</v>
      </c>
      <c r="O106" s="575">
        <v>51</v>
      </c>
      <c r="P106" s="575">
        <v>6</v>
      </c>
      <c r="Q106" s="2408">
        <v>48</v>
      </c>
    </row>
    <row r="107" spans="1:17" s="576" customFormat="1" x14ac:dyDescent="0.25">
      <c r="A107" s="578" t="s">
        <v>88</v>
      </c>
      <c r="B107" s="574" t="s">
        <v>89</v>
      </c>
      <c r="C107" s="573" t="s">
        <v>267</v>
      </c>
      <c r="D107" s="575">
        <v>7189</v>
      </c>
      <c r="E107" s="2386">
        <v>3779</v>
      </c>
      <c r="F107" s="891">
        <v>1629</v>
      </c>
      <c r="G107" s="891">
        <v>1320</v>
      </c>
      <c r="H107" s="891">
        <v>460</v>
      </c>
      <c r="I107" s="2387">
        <v>1</v>
      </c>
      <c r="J107" s="2386">
        <v>4239</v>
      </c>
      <c r="K107" s="891">
        <v>2950</v>
      </c>
      <c r="L107" s="2387"/>
      <c r="M107" s="575">
        <v>3294</v>
      </c>
      <c r="N107" s="575">
        <v>3248</v>
      </c>
      <c r="O107" s="575">
        <v>635</v>
      </c>
      <c r="P107" s="575">
        <v>12</v>
      </c>
      <c r="Q107" s="2408">
        <v>363</v>
      </c>
    </row>
    <row r="108" spans="1:17" s="576" customFormat="1" x14ac:dyDescent="0.25">
      <c r="A108" s="578" t="s">
        <v>90</v>
      </c>
      <c r="B108" s="574" t="s">
        <v>91</v>
      </c>
      <c r="C108" s="573" t="s">
        <v>268</v>
      </c>
      <c r="D108" s="575">
        <v>2670</v>
      </c>
      <c r="E108" s="2386">
        <v>1212</v>
      </c>
      <c r="F108" s="891">
        <v>496</v>
      </c>
      <c r="G108" s="891">
        <v>571</v>
      </c>
      <c r="H108" s="891">
        <v>391</v>
      </c>
      <c r="I108" s="2387">
        <v>0</v>
      </c>
      <c r="J108" s="2386">
        <v>1541</v>
      </c>
      <c r="K108" s="891">
        <v>1129</v>
      </c>
      <c r="L108" s="2387"/>
      <c r="M108" s="575">
        <v>2415</v>
      </c>
      <c r="N108" s="575">
        <v>239</v>
      </c>
      <c r="O108" s="575">
        <v>16</v>
      </c>
      <c r="P108" s="575">
        <v>0</v>
      </c>
      <c r="Q108" s="2408">
        <v>451</v>
      </c>
    </row>
    <row r="109" spans="1:17" s="576" customFormat="1" x14ac:dyDescent="0.25">
      <c r="A109" s="578" t="s">
        <v>106</v>
      </c>
      <c r="B109" s="574" t="s">
        <v>107</v>
      </c>
      <c r="C109" s="573" t="s">
        <v>264</v>
      </c>
      <c r="D109" s="575">
        <v>33050</v>
      </c>
      <c r="E109" s="2386">
        <v>16331</v>
      </c>
      <c r="F109" s="891">
        <v>7824</v>
      </c>
      <c r="G109" s="891">
        <v>6899</v>
      </c>
      <c r="H109" s="891">
        <v>1996</v>
      </c>
      <c r="I109" s="2387">
        <v>0</v>
      </c>
      <c r="J109" s="2386">
        <v>19941</v>
      </c>
      <c r="K109" s="891">
        <v>13109</v>
      </c>
      <c r="L109" s="2387"/>
      <c r="M109" s="575">
        <v>8516</v>
      </c>
      <c r="N109" s="575">
        <v>23439</v>
      </c>
      <c r="O109" s="575">
        <v>1038</v>
      </c>
      <c r="P109" s="575">
        <v>57</v>
      </c>
      <c r="Q109" s="2408">
        <v>1252</v>
      </c>
    </row>
    <row r="110" spans="1:17" s="576" customFormat="1" x14ac:dyDescent="0.25">
      <c r="A110" s="578" t="s">
        <v>116</v>
      </c>
      <c r="B110" s="574" t="s">
        <v>117</v>
      </c>
      <c r="C110" s="573" t="s">
        <v>266</v>
      </c>
      <c r="D110" s="575">
        <v>9650</v>
      </c>
      <c r="E110" s="2386">
        <v>4896</v>
      </c>
      <c r="F110" s="891">
        <v>2320</v>
      </c>
      <c r="G110" s="891">
        <v>1921</v>
      </c>
      <c r="H110" s="891">
        <v>513</v>
      </c>
      <c r="I110" s="2387">
        <v>0</v>
      </c>
      <c r="J110" s="2386">
        <v>5840</v>
      </c>
      <c r="K110" s="891">
        <v>3810</v>
      </c>
      <c r="L110" s="2387"/>
      <c r="M110" s="575">
        <v>3849</v>
      </c>
      <c r="N110" s="575">
        <v>5603</v>
      </c>
      <c r="O110" s="575">
        <v>192</v>
      </c>
      <c r="P110" s="575">
        <v>6</v>
      </c>
      <c r="Q110" s="2408">
        <v>478</v>
      </c>
    </row>
    <row r="111" spans="1:17" s="576" customFormat="1" x14ac:dyDescent="0.25">
      <c r="A111" s="578" t="s">
        <v>138</v>
      </c>
      <c r="B111" s="574" t="s">
        <v>139</v>
      </c>
      <c r="C111" s="573" t="s">
        <v>265</v>
      </c>
      <c r="D111" s="575">
        <v>18912</v>
      </c>
      <c r="E111" s="2386">
        <v>9102</v>
      </c>
      <c r="F111" s="891">
        <v>4222</v>
      </c>
      <c r="G111" s="891">
        <v>3888</v>
      </c>
      <c r="H111" s="891">
        <v>1700</v>
      </c>
      <c r="I111" s="2387">
        <v>0</v>
      </c>
      <c r="J111" s="2386">
        <v>11213</v>
      </c>
      <c r="K111" s="891">
        <v>7699</v>
      </c>
      <c r="L111" s="2387"/>
      <c r="M111" s="575">
        <v>7250</v>
      </c>
      <c r="N111" s="575">
        <v>11207</v>
      </c>
      <c r="O111" s="575">
        <v>432</v>
      </c>
      <c r="P111" s="575">
        <v>23</v>
      </c>
      <c r="Q111" s="2408">
        <v>368</v>
      </c>
    </row>
    <row r="112" spans="1:17" s="576" customFormat="1" x14ac:dyDescent="0.25">
      <c r="A112" s="578" t="s">
        <v>142</v>
      </c>
      <c r="B112" s="574" t="s">
        <v>143</v>
      </c>
      <c r="C112" s="573" t="s">
        <v>267</v>
      </c>
      <c r="D112" s="575">
        <v>9354</v>
      </c>
      <c r="E112" s="2386">
        <v>6483</v>
      </c>
      <c r="F112" s="891">
        <v>1575</v>
      </c>
      <c r="G112" s="891">
        <v>961</v>
      </c>
      <c r="H112" s="891">
        <v>334</v>
      </c>
      <c r="I112" s="2387">
        <v>1</v>
      </c>
      <c r="J112" s="2386">
        <v>5083</v>
      </c>
      <c r="K112" s="891">
        <v>4271</v>
      </c>
      <c r="L112" s="2387"/>
      <c r="M112" s="575">
        <v>6863</v>
      </c>
      <c r="N112" s="575">
        <v>1825</v>
      </c>
      <c r="O112" s="575">
        <v>623</v>
      </c>
      <c r="P112" s="575">
        <v>43</v>
      </c>
      <c r="Q112" s="2408">
        <v>2061</v>
      </c>
    </row>
    <row r="113" spans="1:17" s="576" customFormat="1" x14ac:dyDescent="0.25">
      <c r="A113" s="578" t="s">
        <v>144</v>
      </c>
      <c r="B113" s="574" t="s">
        <v>145</v>
      </c>
      <c r="C113" s="573" t="s">
        <v>267</v>
      </c>
      <c r="D113" s="575">
        <v>3577</v>
      </c>
      <c r="E113" s="2386">
        <v>2477</v>
      </c>
      <c r="F113" s="891">
        <v>521</v>
      </c>
      <c r="G113" s="891">
        <v>400</v>
      </c>
      <c r="H113" s="891">
        <v>179</v>
      </c>
      <c r="I113" s="2387">
        <v>0</v>
      </c>
      <c r="J113" s="2386">
        <v>1962</v>
      </c>
      <c r="K113" s="891">
        <v>1615</v>
      </c>
      <c r="L113" s="2387"/>
      <c r="M113" s="575">
        <v>2794</v>
      </c>
      <c r="N113" s="575">
        <v>466</v>
      </c>
      <c r="O113" s="575">
        <v>298</v>
      </c>
      <c r="P113" s="575">
        <v>19</v>
      </c>
      <c r="Q113" s="2408">
        <v>978</v>
      </c>
    </row>
    <row r="114" spans="1:17" s="576" customFormat="1" x14ac:dyDescent="0.25">
      <c r="A114" s="578" t="s">
        <v>158</v>
      </c>
      <c r="B114" s="574" t="s">
        <v>159</v>
      </c>
      <c r="C114" s="573" t="s">
        <v>264</v>
      </c>
      <c r="D114" s="575">
        <v>51181</v>
      </c>
      <c r="E114" s="2386">
        <v>25883</v>
      </c>
      <c r="F114" s="891">
        <v>12248</v>
      </c>
      <c r="G114" s="891">
        <v>9942</v>
      </c>
      <c r="H114" s="891">
        <v>3108</v>
      </c>
      <c r="I114" s="2387">
        <v>0</v>
      </c>
      <c r="J114" s="2386">
        <v>31131</v>
      </c>
      <c r="K114" s="891">
        <v>20050</v>
      </c>
      <c r="L114" s="2387"/>
      <c r="M114" s="575">
        <v>13748</v>
      </c>
      <c r="N114" s="575">
        <v>35207</v>
      </c>
      <c r="O114" s="575">
        <v>2115</v>
      </c>
      <c r="P114" s="575">
        <v>111</v>
      </c>
      <c r="Q114" s="2408">
        <v>3196</v>
      </c>
    </row>
    <row r="115" spans="1:17" s="576" customFormat="1" x14ac:dyDescent="0.25">
      <c r="A115" s="578" t="s">
        <v>160</v>
      </c>
      <c r="B115" s="574" t="s">
        <v>161</v>
      </c>
      <c r="C115" s="573" t="s">
        <v>264</v>
      </c>
      <c r="D115" s="575">
        <v>62192</v>
      </c>
      <c r="E115" s="2386">
        <v>30027</v>
      </c>
      <c r="F115" s="891">
        <v>14128</v>
      </c>
      <c r="G115" s="891">
        <v>13422</v>
      </c>
      <c r="H115" s="891">
        <v>4615</v>
      </c>
      <c r="I115" s="2387">
        <v>0</v>
      </c>
      <c r="J115" s="2386">
        <v>37563</v>
      </c>
      <c r="K115" s="891">
        <v>24629</v>
      </c>
      <c r="L115" s="2387"/>
      <c r="M115" s="575">
        <v>13995</v>
      </c>
      <c r="N115" s="575">
        <v>46038</v>
      </c>
      <c r="O115" s="575">
        <v>2054</v>
      </c>
      <c r="P115" s="575">
        <v>105</v>
      </c>
      <c r="Q115" s="2408">
        <v>2560</v>
      </c>
    </row>
    <row r="116" spans="1:17" s="576" customFormat="1" x14ac:dyDescent="0.25">
      <c r="A116" s="578" t="s">
        <v>166</v>
      </c>
      <c r="B116" s="574" t="s">
        <v>167</v>
      </c>
      <c r="C116" s="573" t="s">
        <v>268</v>
      </c>
      <c r="D116" s="575">
        <v>1466</v>
      </c>
      <c r="E116" s="2386">
        <v>565</v>
      </c>
      <c r="F116" s="891">
        <v>298</v>
      </c>
      <c r="G116" s="891">
        <v>437</v>
      </c>
      <c r="H116" s="891">
        <v>166</v>
      </c>
      <c r="I116" s="2387">
        <v>0</v>
      </c>
      <c r="J116" s="2386">
        <v>904</v>
      </c>
      <c r="K116" s="891">
        <v>562</v>
      </c>
      <c r="L116" s="2387"/>
      <c r="M116" s="575">
        <v>1325</v>
      </c>
      <c r="N116" s="575">
        <v>129</v>
      </c>
      <c r="O116" s="575">
        <v>12</v>
      </c>
      <c r="P116" s="575">
        <v>0</v>
      </c>
      <c r="Q116" s="2408">
        <v>23</v>
      </c>
    </row>
    <row r="117" spans="1:17" s="576" customFormat="1" x14ac:dyDescent="0.25">
      <c r="A117" s="578" t="s">
        <v>176</v>
      </c>
      <c r="B117" s="574" t="s">
        <v>177</v>
      </c>
      <c r="C117" s="573" t="s">
        <v>266</v>
      </c>
      <c r="D117" s="575">
        <v>14490</v>
      </c>
      <c r="E117" s="2386">
        <v>5962</v>
      </c>
      <c r="F117" s="891">
        <v>3717</v>
      </c>
      <c r="G117" s="891">
        <v>3529</v>
      </c>
      <c r="H117" s="891">
        <v>1282</v>
      </c>
      <c r="I117" s="2387">
        <v>0</v>
      </c>
      <c r="J117" s="2386">
        <v>8592</v>
      </c>
      <c r="K117" s="891">
        <v>5898</v>
      </c>
      <c r="L117" s="2387"/>
      <c r="M117" s="575">
        <v>1741</v>
      </c>
      <c r="N117" s="575">
        <v>12467</v>
      </c>
      <c r="O117" s="575">
        <v>264</v>
      </c>
      <c r="P117" s="575">
        <v>18</v>
      </c>
      <c r="Q117" s="2408">
        <v>482</v>
      </c>
    </row>
    <row r="118" spans="1:17" s="576" customFormat="1" x14ac:dyDescent="0.25">
      <c r="A118" s="578" t="s">
        <v>180</v>
      </c>
      <c r="B118" s="574" t="s">
        <v>181</v>
      </c>
      <c r="C118" s="573" t="s">
        <v>264</v>
      </c>
      <c r="D118" s="575">
        <v>32259</v>
      </c>
      <c r="E118" s="2386">
        <v>15491</v>
      </c>
      <c r="F118" s="891">
        <v>7741</v>
      </c>
      <c r="G118" s="891">
        <v>6901</v>
      </c>
      <c r="H118" s="891">
        <v>2126</v>
      </c>
      <c r="I118" s="2387">
        <v>0</v>
      </c>
      <c r="J118" s="2386">
        <v>19518</v>
      </c>
      <c r="K118" s="891">
        <v>12741</v>
      </c>
      <c r="L118" s="2387"/>
      <c r="M118" s="575">
        <v>6516</v>
      </c>
      <c r="N118" s="575">
        <v>25141</v>
      </c>
      <c r="O118" s="575">
        <v>549</v>
      </c>
      <c r="P118" s="575">
        <v>53</v>
      </c>
      <c r="Q118" s="2408">
        <v>628</v>
      </c>
    </row>
    <row r="119" spans="1:17" s="576" customFormat="1" x14ac:dyDescent="0.25">
      <c r="A119" s="578" t="s">
        <v>192</v>
      </c>
      <c r="B119" s="574" t="s">
        <v>193</v>
      </c>
      <c r="C119" s="573" t="s">
        <v>268</v>
      </c>
      <c r="D119" s="575">
        <v>2505</v>
      </c>
      <c r="E119" s="2386">
        <v>1168</v>
      </c>
      <c r="F119" s="891">
        <v>602</v>
      </c>
      <c r="G119" s="891">
        <v>584</v>
      </c>
      <c r="H119" s="891">
        <v>150</v>
      </c>
      <c r="I119" s="2387">
        <v>1</v>
      </c>
      <c r="J119" s="2386">
        <v>1479</v>
      </c>
      <c r="K119" s="891">
        <v>1026</v>
      </c>
      <c r="L119" s="2387"/>
      <c r="M119" s="575">
        <v>1949</v>
      </c>
      <c r="N119" s="575">
        <v>529</v>
      </c>
      <c r="O119" s="575">
        <v>25</v>
      </c>
      <c r="P119" s="575">
        <v>2</v>
      </c>
      <c r="Q119" s="2408">
        <v>55</v>
      </c>
    </row>
    <row r="120" spans="1:17" s="576" customFormat="1" x14ac:dyDescent="0.25">
      <c r="A120" s="578" t="s">
        <v>196</v>
      </c>
      <c r="B120" s="574" t="s">
        <v>197</v>
      </c>
      <c r="C120" s="573" t="s">
        <v>266</v>
      </c>
      <c r="D120" s="575">
        <v>63411</v>
      </c>
      <c r="E120" s="2386">
        <v>29687</v>
      </c>
      <c r="F120" s="891">
        <v>14235</v>
      </c>
      <c r="G120" s="891">
        <v>13925</v>
      </c>
      <c r="H120" s="891">
        <v>5564</v>
      </c>
      <c r="I120" s="2387">
        <v>0</v>
      </c>
      <c r="J120" s="2386">
        <v>37411</v>
      </c>
      <c r="K120" s="891">
        <v>26000</v>
      </c>
      <c r="L120" s="2387"/>
      <c r="M120" s="575">
        <v>11550</v>
      </c>
      <c r="N120" s="575">
        <v>50246</v>
      </c>
      <c r="O120" s="575">
        <v>1504</v>
      </c>
      <c r="P120" s="575">
        <v>111</v>
      </c>
      <c r="Q120" s="2408">
        <v>2819</v>
      </c>
    </row>
    <row r="121" spans="1:17" s="576" customFormat="1" x14ac:dyDescent="0.25">
      <c r="A121" s="578" t="s">
        <v>200</v>
      </c>
      <c r="B121" s="574" t="s">
        <v>201</v>
      </c>
      <c r="C121" s="573" t="s">
        <v>265</v>
      </c>
      <c r="D121" s="575">
        <v>33415</v>
      </c>
      <c r="E121" s="2386">
        <v>16142</v>
      </c>
      <c r="F121" s="891">
        <v>6957</v>
      </c>
      <c r="G121" s="891">
        <v>7635</v>
      </c>
      <c r="H121" s="891">
        <v>2680</v>
      </c>
      <c r="I121" s="2387">
        <v>1</v>
      </c>
      <c r="J121" s="2386">
        <v>19576</v>
      </c>
      <c r="K121" s="891">
        <v>13839</v>
      </c>
      <c r="L121" s="2387"/>
      <c r="M121" s="575">
        <v>16881</v>
      </c>
      <c r="N121" s="575">
        <v>15085</v>
      </c>
      <c r="O121" s="575">
        <v>1383</v>
      </c>
      <c r="P121" s="575">
        <v>66</v>
      </c>
      <c r="Q121" s="2408">
        <v>1339</v>
      </c>
    </row>
    <row r="122" spans="1:17" s="576" customFormat="1" x14ac:dyDescent="0.25">
      <c r="A122" s="578" t="s">
        <v>222</v>
      </c>
      <c r="B122" s="574" t="s">
        <v>223</v>
      </c>
      <c r="C122" s="573" t="s">
        <v>264</v>
      </c>
      <c r="D122" s="575">
        <v>18721</v>
      </c>
      <c r="E122" s="2386">
        <v>8919</v>
      </c>
      <c r="F122" s="891">
        <v>4246</v>
      </c>
      <c r="G122" s="891">
        <v>4032</v>
      </c>
      <c r="H122" s="891">
        <v>1524</v>
      </c>
      <c r="I122" s="2387">
        <v>0</v>
      </c>
      <c r="J122" s="2386">
        <v>11174</v>
      </c>
      <c r="K122" s="891">
        <v>7547</v>
      </c>
      <c r="L122" s="2387"/>
      <c r="M122" s="575">
        <v>4705</v>
      </c>
      <c r="N122" s="575">
        <v>13550</v>
      </c>
      <c r="O122" s="575">
        <v>407</v>
      </c>
      <c r="P122" s="575">
        <v>59</v>
      </c>
      <c r="Q122" s="2408">
        <v>420</v>
      </c>
    </row>
    <row r="123" spans="1:17" s="576" customFormat="1" x14ac:dyDescent="0.25">
      <c r="A123" s="578" t="s">
        <v>230</v>
      </c>
      <c r="B123" s="574" t="s">
        <v>231</v>
      </c>
      <c r="C123" s="573" t="s">
        <v>264</v>
      </c>
      <c r="D123" s="575">
        <v>61832</v>
      </c>
      <c r="E123" s="2386">
        <v>32078</v>
      </c>
      <c r="F123" s="891">
        <v>14450</v>
      </c>
      <c r="G123" s="891">
        <v>11330</v>
      </c>
      <c r="H123" s="891">
        <v>3974</v>
      </c>
      <c r="I123" s="2387">
        <v>0</v>
      </c>
      <c r="J123" s="2386">
        <v>36953</v>
      </c>
      <c r="K123" s="891">
        <v>24879</v>
      </c>
      <c r="L123" s="2387"/>
      <c r="M123" s="575">
        <v>29772</v>
      </c>
      <c r="N123" s="575">
        <v>27367</v>
      </c>
      <c r="O123" s="575">
        <v>4481</v>
      </c>
      <c r="P123" s="575">
        <v>212</v>
      </c>
      <c r="Q123" s="2408">
        <v>3480</v>
      </c>
    </row>
    <row r="124" spans="1:17" s="576" customFormat="1" x14ac:dyDescent="0.25">
      <c r="A124" s="578" t="s">
        <v>238</v>
      </c>
      <c r="B124" s="574" t="s">
        <v>239</v>
      </c>
      <c r="C124" s="573" t="s">
        <v>264</v>
      </c>
      <c r="D124" s="575">
        <v>1974</v>
      </c>
      <c r="E124" s="2386">
        <v>1056</v>
      </c>
      <c r="F124" s="891">
        <v>404</v>
      </c>
      <c r="G124" s="891">
        <v>370</v>
      </c>
      <c r="H124" s="891">
        <v>144</v>
      </c>
      <c r="I124" s="2387">
        <v>0</v>
      </c>
      <c r="J124" s="2386">
        <v>1120</v>
      </c>
      <c r="K124" s="891">
        <v>854</v>
      </c>
      <c r="L124" s="2387"/>
      <c r="M124" s="575">
        <v>895</v>
      </c>
      <c r="N124" s="575">
        <v>949</v>
      </c>
      <c r="O124" s="575">
        <v>126</v>
      </c>
      <c r="P124" s="575">
        <v>4</v>
      </c>
      <c r="Q124" s="2408">
        <v>82</v>
      </c>
    </row>
    <row r="125" spans="1:17" s="576" customFormat="1" x14ac:dyDescent="0.25">
      <c r="A125" s="578" t="s">
        <v>240</v>
      </c>
      <c r="B125" s="574" t="s">
        <v>241</v>
      </c>
      <c r="C125" s="573" t="s">
        <v>267</v>
      </c>
      <c r="D125" s="575">
        <v>7224</v>
      </c>
      <c r="E125" s="2386">
        <v>4105</v>
      </c>
      <c r="F125" s="891">
        <v>1343</v>
      </c>
      <c r="G125" s="891">
        <v>1267</v>
      </c>
      <c r="H125" s="891">
        <v>509</v>
      </c>
      <c r="I125" s="2387">
        <v>0</v>
      </c>
      <c r="J125" s="2386">
        <v>4023</v>
      </c>
      <c r="K125" s="891">
        <v>3201</v>
      </c>
      <c r="L125" s="2387"/>
      <c r="M125" s="575">
        <v>5633</v>
      </c>
      <c r="N125" s="575">
        <v>1445</v>
      </c>
      <c r="O125" s="575">
        <v>129</v>
      </c>
      <c r="P125" s="575">
        <v>17</v>
      </c>
      <c r="Q125" s="2408">
        <v>1033</v>
      </c>
    </row>
    <row r="126" spans="1:17" x14ac:dyDescent="0.25">
      <c r="B126" s="481"/>
      <c r="C126" s="481"/>
      <c r="E126" s="481"/>
      <c r="F126" s="481"/>
      <c r="G126" s="481"/>
      <c r="H126" s="481"/>
      <c r="I126" s="481"/>
      <c r="J126" s="481"/>
      <c r="K126" s="481"/>
      <c r="L126" s="481"/>
    </row>
    <row r="128" spans="1:17" ht="49.5" customHeight="1" x14ac:dyDescent="0.25">
      <c r="A128" s="2746" t="s">
        <v>1404</v>
      </c>
      <c r="B128" s="2746"/>
      <c r="C128" s="2746"/>
      <c r="D128" s="2746"/>
      <c r="E128" s="2746"/>
      <c r="F128" s="2746"/>
      <c r="G128" s="2746"/>
      <c r="H128" s="2746"/>
      <c r="I128" s="2746"/>
      <c r="J128" s="1029"/>
      <c r="K128" s="1029"/>
      <c r="L128" s="2360"/>
    </row>
    <row r="130" spans="1:12" s="389" customFormat="1" x14ac:dyDescent="0.25">
      <c r="A130" s="389" t="s">
        <v>248</v>
      </c>
    </row>
    <row r="131" spans="1:12" s="389" customFormat="1" x14ac:dyDescent="0.25">
      <c r="A131" s="390" t="s">
        <v>249</v>
      </c>
      <c r="B131" s="391" t="s">
        <v>250</v>
      </c>
      <c r="C131" s="391"/>
      <c r="E131" s="391"/>
      <c r="F131" s="391"/>
      <c r="G131" s="391"/>
      <c r="H131" s="391"/>
      <c r="I131" s="391"/>
      <c r="J131" s="391"/>
      <c r="K131" s="391"/>
      <c r="L131" s="391"/>
    </row>
  </sheetData>
  <autoFilter ref="A4:C4"/>
  <sortState ref="A6:Q125">
    <sortCondition ref="A6:A125"/>
  </sortState>
  <mergeCells count="5">
    <mergeCell ref="Q3:Q4"/>
    <mergeCell ref="A128:I128"/>
    <mergeCell ref="M3:P3"/>
    <mergeCell ref="E3:I3"/>
    <mergeCell ref="J3:L3"/>
  </mergeCells>
  <hyperlinks>
    <hyperlink ref="B131" r:id="rId1"/>
  </hyperlinks>
  <pageMargins left="0.7" right="0.7" top="0.75" bottom="0.75" header="0.3" footer="0.3"/>
  <pageSetup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5"/>
  <sheetViews>
    <sheetView workbookViewId="0">
      <selection activeCell="B5" sqref="B5"/>
    </sheetView>
  </sheetViews>
  <sheetFormatPr defaultRowHeight="12.75" x14ac:dyDescent="0.2"/>
  <cols>
    <col min="1" max="1" width="5" style="320" bestFit="1" customWidth="1"/>
    <col min="2" max="2" width="26.375" style="320" customWidth="1"/>
    <col min="3" max="3" width="8.75" style="93" customWidth="1"/>
    <col min="4" max="16384" width="9" style="93"/>
  </cols>
  <sheetData>
    <row r="1" spans="1:24" x14ac:dyDescent="0.2">
      <c r="A1" s="93"/>
      <c r="B1" s="93"/>
    </row>
    <row r="2" spans="1:24" x14ac:dyDescent="0.2">
      <c r="A2" s="93"/>
      <c r="B2" s="93"/>
      <c r="C2" s="2755" t="s">
        <v>778</v>
      </c>
      <c r="D2" s="2755"/>
      <c r="E2" s="2755"/>
      <c r="F2" s="2755"/>
      <c r="G2" s="2755" t="s">
        <v>779</v>
      </c>
      <c r="H2" s="2755"/>
      <c r="I2" s="2755"/>
      <c r="J2" s="2755"/>
      <c r="K2" s="2755" t="s">
        <v>781</v>
      </c>
      <c r="L2" s="2755"/>
      <c r="M2" s="2755"/>
      <c r="N2" s="2755"/>
      <c r="P2" s="2754" t="s">
        <v>722</v>
      </c>
      <c r="Q2" s="2754"/>
      <c r="R2" s="2754"/>
      <c r="S2" s="2754" t="s">
        <v>780</v>
      </c>
      <c r="T2" s="2754"/>
      <c r="U2" s="2754"/>
      <c r="V2" s="2754" t="s">
        <v>7</v>
      </c>
      <c r="W2" s="2754"/>
      <c r="X2" s="2754"/>
    </row>
    <row r="3" spans="1:24" x14ac:dyDescent="0.2">
      <c r="A3" s="319" t="s">
        <v>4</v>
      </c>
      <c r="B3" s="319" t="s">
        <v>5</v>
      </c>
      <c r="C3" s="321" t="s">
        <v>281</v>
      </c>
      <c r="D3" s="321" t="s">
        <v>2</v>
      </c>
      <c r="E3" s="321" t="s">
        <v>445</v>
      </c>
      <c r="F3" s="321" t="s">
        <v>446</v>
      </c>
      <c r="G3" s="321" t="s">
        <v>281</v>
      </c>
      <c r="H3" s="321" t="s">
        <v>2</v>
      </c>
      <c r="I3" s="321" t="s">
        <v>445</v>
      </c>
      <c r="J3" s="321" t="s">
        <v>446</v>
      </c>
      <c r="K3" s="321" t="s">
        <v>281</v>
      </c>
      <c r="L3" s="321" t="s">
        <v>2</v>
      </c>
      <c r="M3" s="321" t="s">
        <v>445</v>
      </c>
      <c r="N3" s="321" t="s">
        <v>446</v>
      </c>
      <c r="P3" s="93" t="s">
        <v>2</v>
      </c>
      <c r="Q3" s="93" t="s">
        <v>445</v>
      </c>
      <c r="R3" s="93" t="s">
        <v>446</v>
      </c>
      <c r="S3" s="93" t="s">
        <v>2</v>
      </c>
      <c r="T3" s="93" t="s">
        <v>445</v>
      </c>
      <c r="U3" s="93" t="s">
        <v>446</v>
      </c>
      <c r="V3" s="93" t="s">
        <v>2</v>
      </c>
      <c r="W3" s="93" t="s">
        <v>445</v>
      </c>
      <c r="X3" s="93" t="s">
        <v>446</v>
      </c>
    </row>
    <row r="4" spans="1:24" x14ac:dyDescent="0.2">
      <c r="A4" s="319"/>
      <c r="B4" s="319" t="s">
        <v>9</v>
      </c>
      <c r="C4" s="93">
        <f>SUM(C5:C125)</f>
        <v>22002</v>
      </c>
      <c r="D4" s="93">
        <f t="shared" ref="D4:N4" si="0">SUM(D5:D125)</f>
        <v>19535</v>
      </c>
      <c r="E4" s="93">
        <f t="shared" si="0"/>
        <v>1592</v>
      </c>
      <c r="F4" s="93">
        <f t="shared" si="0"/>
        <v>902</v>
      </c>
      <c r="G4" s="93">
        <f t="shared" si="0"/>
        <v>424404</v>
      </c>
      <c r="H4" s="93">
        <f t="shared" si="0"/>
        <v>366184</v>
      </c>
      <c r="I4" s="93">
        <f t="shared" si="0"/>
        <v>34432</v>
      </c>
      <c r="J4" s="93">
        <f t="shared" si="0"/>
        <v>24382</v>
      </c>
      <c r="K4" s="93">
        <f t="shared" si="0"/>
        <v>214324</v>
      </c>
      <c r="L4" s="93">
        <f t="shared" si="0"/>
        <v>178956</v>
      </c>
      <c r="M4" s="93">
        <f t="shared" si="0"/>
        <v>22489</v>
      </c>
      <c r="N4" s="93">
        <f t="shared" si="0"/>
        <v>13188</v>
      </c>
      <c r="P4" s="93">
        <f>D4/C4</f>
        <v>0.8878738296518498</v>
      </c>
      <c r="Q4" s="93">
        <f>E4/C4</f>
        <v>7.235705844923189E-2</v>
      </c>
      <c r="R4" s="93">
        <f>F4/C4</f>
        <v>4.0996273066084901E-2</v>
      </c>
      <c r="S4" s="93">
        <f>H4/G4</f>
        <v>0.86281938907267608</v>
      </c>
      <c r="T4" s="93">
        <f>I4/G4</f>
        <v>8.1130243824280635E-2</v>
      </c>
      <c r="U4" s="93">
        <f>J4/G4</f>
        <v>5.7449976908794449E-2</v>
      </c>
      <c r="V4" s="93">
        <f>L4/K4</f>
        <v>0.83497881711800825</v>
      </c>
      <c r="W4" s="93">
        <f>M4/K4</f>
        <v>0.10492991918777178</v>
      </c>
      <c r="X4" s="93">
        <f>N4/K4</f>
        <v>6.1533006102909613E-2</v>
      </c>
    </row>
    <row r="5" spans="1:24" x14ac:dyDescent="0.2">
      <c r="A5" s="320">
        <v>1</v>
      </c>
      <c r="B5" s="93" t="s">
        <v>450</v>
      </c>
      <c r="C5" s="93">
        <v>57</v>
      </c>
      <c r="D5" s="93">
        <v>48</v>
      </c>
      <c r="E5" s="93">
        <v>6</v>
      </c>
      <c r="F5" s="93">
        <f>C5-D5-E5</f>
        <v>3</v>
      </c>
      <c r="G5" s="93">
        <v>1743</v>
      </c>
      <c r="H5" s="93">
        <v>1596</v>
      </c>
      <c r="I5" s="93">
        <v>71</v>
      </c>
      <c r="J5" s="93">
        <f>G5-H5-I5</f>
        <v>76</v>
      </c>
      <c r="K5" s="93">
        <v>1235</v>
      </c>
      <c r="L5" s="93">
        <v>1115</v>
      </c>
      <c r="M5" s="93">
        <v>57</v>
      </c>
      <c r="N5" s="93">
        <f>K5-L5-M5</f>
        <v>63</v>
      </c>
      <c r="P5" s="93">
        <f t="shared" ref="P5:P68" si="1">D5/C5</f>
        <v>0.84210526315789469</v>
      </c>
      <c r="Q5" s="93">
        <f t="shared" ref="Q5:Q68" si="2">E5/C5</f>
        <v>0.10526315789473684</v>
      </c>
      <c r="R5" s="93">
        <f t="shared" ref="R5:R68" si="3">F5/C5</f>
        <v>5.2631578947368418E-2</v>
      </c>
      <c r="S5" s="93">
        <f t="shared" ref="S5:S68" si="4">H5/G5</f>
        <v>0.91566265060240959</v>
      </c>
      <c r="T5" s="93">
        <f t="shared" ref="T5:T68" si="5">I5/G5</f>
        <v>4.0734366035570853E-2</v>
      </c>
      <c r="U5" s="93">
        <f t="shared" ref="U5:U68" si="6">J5/G5</f>
        <v>4.360298336201951E-2</v>
      </c>
      <c r="V5" s="93">
        <f t="shared" ref="V5:V68" si="7">L5/K5</f>
        <v>0.90283400809716596</v>
      </c>
      <c r="W5" s="93">
        <f t="shared" ref="W5:W68" si="8">M5/K5</f>
        <v>4.6153846153846156E-2</v>
      </c>
      <c r="X5" s="93">
        <f t="shared" ref="X5:X68" si="9">N5/K5</f>
        <v>5.1012145748987853E-2</v>
      </c>
    </row>
    <row r="6" spans="1:24" x14ac:dyDescent="0.2">
      <c r="A6" s="320">
        <v>3</v>
      </c>
      <c r="B6" s="93" t="s">
        <v>451</v>
      </c>
      <c r="C6" s="93">
        <v>153</v>
      </c>
      <c r="D6" s="93">
        <v>146</v>
      </c>
      <c r="E6" s="93">
        <v>3</v>
      </c>
      <c r="F6" s="93">
        <f t="shared" ref="F6:F69" si="10">C6-D6-E6</f>
        <v>4</v>
      </c>
      <c r="G6" s="93">
        <v>3666</v>
      </c>
      <c r="H6" s="93">
        <v>3182</v>
      </c>
      <c r="I6" s="93">
        <v>233</v>
      </c>
      <c r="J6" s="93">
        <f t="shared" ref="J6:J69" si="11">G6-H6-I6</f>
        <v>251</v>
      </c>
      <c r="K6" s="93">
        <v>1832</v>
      </c>
      <c r="L6" s="93">
        <v>1586</v>
      </c>
      <c r="M6" s="93">
        <v>122</v>
      </c>
      <c r="N6" s="93">
        <f t="shared" ref="N6:N69" si="12">K6-L6-M6</f>
        <v>124</v>
      </c>
      <c r="P6" s="93">
        <f t="shared" si="1"/>
        <v>0.95424836601307195</v>
      </c>
      <c r="Q6" s="93">
        <f t="shared" si="2"/>
        <v>1.9607843137254902E-2</v>
      </c>
      <c r="R6" s="93">
        <f t="shared" si="3"/>
        <v>2.6143790849673203E-2</v>
      </c>
      <c r="S6" s="93">
        <f t="shared" si="4"/>
        <v>0.86797599563557015</v>
      </c>
      <c r="T6" s="93">
        <f t="shared" si="5"/>
        <v>6.3557010365520999E-2</v>
      </c>
      <c r="U6" s="93">
        <f t="shared" si="6"/>
        <v>6.846699399890889E-2</v>
      </c>
      <c r="V6" s="93">
        <f t="shared" si="7"/>
        <v>0.86572052401746724</v>
      </c>
      <c r="W6" s="93">
        <f t="shared" si="8"/>
        <v>6.6593886462882099E-2</v>
      </c>
      <c r="X6" s="93">
        <f t="shared" si="9"/>
        <v>6.768558951965066E-2</v>
      </c>
    </row>
    <row r="7" spans="1:24" x14ac:dyDescent="0.2">
      <c r="A7" s="320">
        <v>5</v>
      </c>
      <c r="B7" s="93" t="s">
        <v>686</v>
      </c>
      <c r="C7" s="93">
        <v>32</v>
      </c>
      <c r="D7" s="93">
        <v>30</v>
      </c>
      <c r="E7" s="93">
        <v>1</v>
      </c>
      <c r="F7" s="93">
        <f>(C7-D7-E7)+0</f>
        <v>1</v>
      </c>
      <c r="G7" s="93">
        <v>158</v>
      </c>
      <c r="H7" s="93">
        <v>142</v>
      </c>
      <c r="I7" s="93">
        <v>10</v>
      </c>
      <c r="J7" s="93">
        <f>(G7-H7-I7)+1</f>
        <v>7</v>
      </c>
      <c r="K7" s="93">
        <v>103</v>
      </c>
      <c r="L7" s="93">
        <v>93</v>
      </c>
      <c r="M7" s="93">
        <v>10</v>
      </c>
      <c r="N7" s="93">
        <f>(K7-L7-M7)+0</f>
        <v>0</v>
      </c>
      <c r="P7" s="93">
        <f t="shared" si="1"/>
        <v>0.9375</v>
      </c>
      <c r="Q7" s="93">
        <f t="shared" si="2"/>
        <v>3.125E-2</v>
      </c>
      <c r="R7" s="93">
        <f t="shared" si="3"/>
        <v>3.125E-2</v>
      </c>
      <c r="S7" s="93">
        <f t="shared" si="4"/>
        <v>0.89873417721518989</v>
      </c>
      <c r="T7" s="93">
        <f t="shared" si="5"/>
        <v>6.3291139240506333E-2</v>
      </c>
      <c r="U7" s="93">
        <f t="shared" si="6"/>
        <v>4.4303797468354431E-2</v>
      </c>
      <c r="V7" s="93">
        <f t="shared" si="7"/>
        <v>0.90291262135922334</v>
      </c>
      <c r="W7" s="93">
        <f t="shared" si="8"/>
        <v>9.7087378640776698E-2</v>
      </c>
      <c r="X7" s="93">
        <f t="shared" si="9"/>
        <v>0</v>
      </c>
    </row>
    <row r="8" spans="1:24" x14ac:dyDescent="0.2">
      <c r="A8" s="320">
        <v>7</v>
      </c>
      <c r="B8" s="93" t="s">
        <v>452</v>
      </c>
      <c r="C8" s="93">
        <v>15</v>
      </c>
      <c r="D8" s="93">
        <v>13</v>
      </c>
      <c r="E8" s="93">
        <v>2</v>
      </c>
      <c r="F8" s="93">
        <f t="shared" si="10"/>
        <v>0</v>
      </c>
      <c r="G8" s="93">
        <v>218</v>
      </c>
      <c r="H8" s="93">
        <v>178</v>
      </c>
      <c r="I8" s="93">
        <v>6</v>
      </c>
      <c r="J8" s="93">
        <f t="shared" si="11"/>
        <v>34</v>
      </c>
      <c r="K8" s="93">
        <v>90</v>
      </c>
      <c r="L8" s="93">
        <v>72</v>
      </c>
      <c r="M8" s="93">
        <v>3</v>
      </c>
      <c r="N8" s="93">
        <f t="shared" si="12"/>
        <v>15</v>
      </c>
      <c r="P8" s="93">
        <f t="shared" si="1"/>
        <v>0.8666666666666667</v>
      </c>
      <c r="Q8" s="93">
        <f t="shared" si="2"/>
        <v>0.13333333333333333</v>
      </c>
      <c r="R8" s="93">
        <f t="shared" si="3"/>
        <v>0</v>
      </c>
      <c r="S8" s="93">
        <f t="shared" si="4"/>
        <v>0.8165137614678899</v>
      </c>
      <c r="T8" s="93">
        <f t="shared" si="5"/>
        <v>2.7522935779816515E-2</v>
      </c>
      <c r="U8" s="93">
        <f t="shared" si="6"/>
        <v>0.15596330275229359</v>
      </c>
      <c r="V8" s="93">
        <f t="shared" si="7"/>
        <v>0.8</v>
      </c>
      <c r="W8" s="93">
        <f t="shared" si="8"/>
        <v>3.3333333333333333E-2</v>
      </c>
      <c r="X8" s="93">
        <f t="shared" si="9"/>
        <v>0.16666666666666666</v>
      </c>
    </row>
    <row r="9" spans="1:24" x14ac:dyDescent="0.2">
      <c r="A9" s="320">
        <v>9</v>
      </c>
      <c r="B9" s="93" t="s">
        <v>453</v>
      </c>
      <c r="C9" s="93">
        <v>41</v>
      </c>
      <c r="D9" s="93">
        <v>33</v>
      </c>
      <c r="E9" s="93">
        <v>7</v>
      </c>
      <c r="F9" s="93">
        <f t="shared" si="10"/>
        <v>1</v>
      </c>
      <c r="G9" s="93">
        <v>397</v>
      </c>
      <c r="H9" s="93">
        <v>339</v>
      </c>
      <c r="I9" s="93">
        <v>45</v>
      </c>
      <c r="J9" s="93">
        <f t="shared" si="11"/>
        <v>13</v>
      </c>
      <c r="K9" s="93">
        <v>202</v>
      </c>
      <c r="L9" s="93">
        <v>185</v>
      </c>
      <c r="M9" s="93">
        <v>16</v>
      </c>
      <c r="N9" s="93">
        <f t="shared" si="12"/>
        <v>1</v>
      </c>
      <c r="P9" s="93">
        <f t="shared" si="1"/>
        <v>0.80487804878048785</v>
      </c>
      <c r="Q9" s="93">
        <f t="shared" si="2"/>
        <v>0.17073170731707318</v>
      </c>
      <c r="R9" s="93">
        <f t="shared" si="3"/>
        <v>2.4390243902439025E-2</v>
      </c>
      <c r="S9" s="93">
        <f t="shared" si="4"/>
        <v>0.853904282115869</v>
      </c>
      <c r="T9" s="93">
        <f t="shared" si="5"/>
        <v>0.11335012594458438</v>
      </c>
      <c r="U9" s="93">
        <f t="shared" si="6"/>
        <v>3.2745591939546598E-2</v>
      </c>
      <c r="V9" s="93">
        <f t="shared" si="7"/>
        <v>0.91584158415841588</v>
      </c>
      <c r="W9" s="93">
        <f t="shared" si="8"/>
        <v>7.9207920792079209E-2</v>
      </c>
      <c r="X9" s="93">
        <f t="shared" si="9"/>
        <v>4.9504950495049506E-3</v>
      </c>
    </row>
    <row r="10" spans="1:24" x14ac:dyDescent="0.2">
      <c r="A10" s="320">
        <v>11</v>
      </c>
      <c r="B10" s="93" t="s">
        <v>454</v>
      </c>
      <c r="C10" s="93">
        <v>14</v>
      </c>
      <c r="D10" s="93">
        <v>14</v>
      </c>
      <c r="E10" s="93">
        <v>0</v>
      </c>
      <c r="F10" s="93">
        <f t="shared" si="10"/>
        <v>0</v>
      </c>
      <c r="G10" s="93">
        <v>115</v>
      </c>
      <c r="H10" s="93">
        <v>95</v>
      </c>
      <c r="I10" s="93">
        <v>11</v>
      </c>
      <c r="J10" s="93">
        <f t="shared" si="11"/>
        <v>9</v>
      </c>
      <c r="K10" s="93">
        <v>60</v>
      </c>
      <c r="L10" s="93">
        <v>51</v>
      </c>
      <c r="M10" s="93">
        <v>6</v>
      </c>
      <c r="N10" s="93">
        <f t="shared" si="12"/>
        <v>3</v>
      </c>
      <c r="P10" s="93">
        <f t="shared" si="1"/>
        <v>1</v>
      </c>
      <c r="Q10" s="93">
        <f t="shared" si="2"/>
        <v>0</v>
      </c>
      <c r="R10" s="93">
        <f t="shared" si="3"/>
        <v>0</v>
      </c>
      <c r="S10" s="93">
        <f t="shared" si="4"/>
        <v>0.82608695652173914</v>
      </c>
      <c r="T10" s="93">
        <f t="shared" si="5"/>
        <v>9.5652173913043481E-2</v>
      </c>
      <c r="U10" s="93">
        <f t="shared" si="6"/>
        <v>7.8260869565217397E-2</v>
      </c>
      <c r="V10" s="93">
        <f t="shared" si="7"/>
        <v>0.85</v>
      </c>
      <c r="W10" s="93">
        <f t="shared" si="8"/>
        <v>0.1</v>
      </c>
      <c r="X10" s="93">
        <f t="shared" si="9"/>
        <v>0.05</v>
      </c>
    </row>
    <row r="11" spans="1:24" x14ac:dyDescent="0.2">
      <c r="A11" s="320">
        <v>13</v>
      </c>
      <c r="B11" s="93" t="s">
        <v>455</v>
      </c>
      <c r="C11" s="93">
        <v>1535</v>
      </c>
      <c r="D11" s="93">
        <v>1418</v>
      </c>
      <c r="E11" s="93">
        <v>55</v>
      </c>
      <c r="F11" s="93">
        <f t="shared" si="10"/>
        <v>62</v>
      </c>
      <c r="G11" s="93">
        <v>23449</v>
      </c>
      <c r="H11" s="93">
        <v>20976</v>
      </c>
      <c r="I11" s="93">
        <v>983</v>
      </c>
      <c r="J11" s="93">
        <f t="shared" si="11"/>
        <v>1490</v>
      </c>
      <c r="K11" s="93">
        <v>7809</v>
      </c>
      <c r="L11" s="93">
        <v>6853</v>
      </c>
      <c r="M11" s="93">
        <v>414</v>
      </c>
      <c r="N11" s="93">
        <f t="shared" si="12"/>
        <v>542</v>
      </c>
      <c r="P11" s="93">
        <f t="shared" si="1"/>
        <v>0.92377850162866448</v>
      </c>
      <c r="Q11" s="93">
        <f t="shared" si="2"/>
        <v>3.5830618892508145E-2</v>
      </c>
      <c r="R11" s="93">
        <f t="shared" si="3"/>
        <v>4.0390879478827364E-2</v>
      </c>
      <c r="S11" s="93">
        <f t="shared" si="4"/>
        <v>0.89453708047251479</v>
      </c>
      <c r="T11" s="93">
        <f t="shared" si="5"/>
        <v>4.1920764211693461E-2</v>
      </c>
      <c r="U11" s="93">
        <f t="shared" si="6"/>
        <v>6.3542155315791715E-2</v>
      </c>
      <c r="V11" s="93">
        <f t="shared" si="7"/>
        <v>0.87757715456524521</v>
      </c>
      <c r="W11" s="93">
        <f t="shared" si="8"/>
        <v>5.3015751056473298E-2</v>
      </c>
      <c r="X11" s="93">
        <f t="shared" si="9"/>
        <v>6.9407094378281464E-2</v>
      </c>
    </row>
    <row r="12" spans="1:24" x14ac:dyDescent="0.2">
      <c r="A12" s="320">
        <v>15</v>
      </c>
      <c r="B12" s="93" t="s">
        <v>782</v>
      </c>
      <c r="C12" s="93">
        <v>132</v>
      </c>
      <c r="D12" s="93">
        <v>115</v>
      </c>
      <c r="E12" s="93">
        <v>10</v>
      </c>
      <c r="F12" s="93">
        <f>((C12-D12-E12)+3)+1</f>
        <v>11</v>
      </c>
      <c r="G12" s="93">
        <v>2063</v>
      </c>
      <c r="H12" s="93">
        <v>1815</v>
      </c>
      <c r="I12" s="93">
        <v>162</v>
      </c>
      <c r="J12" s="93">
        <f>((G12-H12-I12)+21)+24</f>
        <v>131</v>
      </c>
      <c r="K12" s="93">
        <v>1405</v>
      </c>
      <c r="L12" s="93">
        <v>1224</v>
      </c>
      <c r="M12" s="93">
        <v>125</v>
      </c>
      <c r="N12" s="93">
        <f>((K12-L12-M12)+3)+22</f>
        <v>81</v>
      </c>
      <c r="P12" s="93">
        <f t="shared" si="1"/>
        <v>0.87121212121212122</v>
      </c>
      <c r="Q12" s="93">
        <f t="shared" si="2"/>
        <v>7.575757575757576E-2</v>
      </c>
      <c r="R12" s="93">
        <f t="shared" si="3"/>
        <v>8.3333333333333329E-2</v>
      </c>
      <c r="S12" s="93">
        <f t="shared" si="4"/>
        <v>0.87978671837130396</v>
      </c>
      <c r="T12" s="93">
        <f t="shared" si="5"/>
        <v>7.8526417838099855E-2</v>
      </c>
      <c r="U12" s="93">
        <f t="shared" si="6"/>
        <v>6.3499757634512849E-2</v>
      </c>
      <c r="V12" s="93">
        <f t="shared" si="7"/>
        <v>0.87117437722419933</v>
      </c>
      <c r="W12" s="93">
        <f t="shared" si="8"/>
        <v>8.8967971530249115E-2</v>
      </c>
      <c r="X12" s="93">
        <f t="shared" si="9"/>
        <v>5.7651245551601421E-2</v>
      </c>
    </row>
    <row r="13" spans="1:24" x14ac:dyDescent="0.2">
      <c r="A13" s="320">
        <v>17</v>
      </c>
      <c r="B13" s="93" t="s">
        <v>456</v>
      </c>
      <c r="C13" s="93">
        <v>11</v>
      </c>
      <c r="D13" s="93">
        <v>10</v>
      </c>
      <c r="E13" s="93">
        <v>1</v>
      </c>
      <c r="F13" s="93">
        <f t="shared" si="10"/>
        <v>0</v>
      </c>
      <c r="G13" s="93">
        <v>54</v>
      </c>
      <c r="H13" s="93">
        <v>44</v>
      </c>
      <c r="I13" s="93">
        <v>8</v>
      </c>
      <c r="J13" s="93">
        <f t="shared" si="11"/>
        <v>2</v>
      </c>
      <c r="K13" s="93">
        <v>37</v>
      </c>
      <c r="L13" s="93">
        <v>26</v>
      </c>
      <c r="M13" s="93">
        <v>11</v>
      </c>
      <c r="N13" s="93">
        <f t="shared" si="12"/>
        <v>0</v>
      </c>
      <c r="P13" s="93">
        <f t="shared" si="1"/>
        <v>0.90909090909090906</v>
      </c>
      <c r="Q13" s="93">
        <f t="shared" si="2"/>
        <v>9.0909090909090912E-2</v>
      </c>
      <c r="R13" s="93">
        <f t="shared" si="3"/>
        <v>0</v>
      </c>
      <c r="S13" s="93">
        <f t="shared" si="4"/>
        <v>0.81481481481481477</v>
      </c>
      <c r="T13" s="93">
        <f t="shared" si="5"/>
        <v>0.14814814814814814</v>
      </c>
      <c r="U13" s="93">
        <f t="shared" si="6"/>
        <v>3.7037037037037035E-2</v>
      </c>
      <c r="V13" s="93">
        <f t="shared" si="7"/>
        <v>0.70270270270270274</v>
      </c>
      <c r="W13" s="93">
        <f t="shared" si="8"/>
        <v>0.29729729729729731</v>
      </c>
      <c r="X13" s="93">
        <f t="shared" si="9"/>
        <v>0</v>
      </c>
    </row>
    <row r="14" spans="1:24" x14ac:dyDescent="0.2">
      <c r="A14" s="320">
        <v>19</v>
      </c>
      <c r="B14" s="93" t="s">
        <v>687</v>
      </c>
      <c r="C14" s="93">
        <v>87</v>
      </c>
      <c r="D14" s="93">
        <v>80</v>
      </c>
      <c r="E14" s="93">
        <v>6</v>
      </c>
      <c r="F14" s="93">
        <f>(C14-D14-E14)+0</f>
        <v>1</v>
      </c>
      <c r="G14" s="93">
        <v>760</v>
      </c>
      <c r="H14" s="93">
        <v>697</v>
      </c>
      <c r="I14" s="93">
        <v>35</v>
      </c>
      <c r="J14" s="93">
        <f>(G14-H14-I14)+4</f>
        <v>32</v>
      </c>
      <c r="K14" s="93">
        <v>515</v>
      </c>
      <c r="L14" s="93">
        <v>448</v>
      </c>
      <c r="M14" s="93">
        <v>46</v>
      </c>
      <c r="N14" s="93">
        <f>(K14-L14-M14)+2</f>
        <v>23</v>
      </c>
      <c r="P14" s="93">
        <f t="shared" si="1"/>
        <v>0.91954022988505746</v>
      </c>
      <c r="Q14" s="93">
        <f t="shared" si="2"/>
        <v>6.8965517241379309E-2</v>
      </c>
      <c r="R14" s="93">
        <f t="shared" si="3"/>
        <v>1.1494252873563218E-2</v>
      </c>
      <c r="S14" s="93">
        <f t="shared" si="4"/>
        <v>0.91710526315789476</v>
      </c>
      <c r="T14" s="93">
        <f t="shared" si="5"/>
        <v>4.6052631578947366E-2</v>
      </c>
      <c r="U14" s="93">
        <f t="shared" si="6"/>
        <v>4.2105263157894736E-2</v>
      </c>
      <c r="V14" s="93">
        <f t="shared" si="7"/>
        <v>0.86990291262135921</v>
      </c>
      <c r="W14" s="93">
        <f t="shared" si="8"/>
        <v>8.9320388349514557E-2</v>
      </c>
      <c r="X14" s="93">
        <f t="shared" si="9"/>
        <v>4.4660194174757278E-2</v>
      </c>
    </row>
    <row r="15" spans="1:24" x14ac:dyDescent="0.2">
      <c r="A15" s="320">
        <v>21</v>
      </c>
      <c r="B15" s="93" t="s">
        <v>457</v>
      </c>
      <c r="C15" s="93">
        <v>1</v>
      </c>
      <c r="D15" s="93">
        <v>1</v>
      </c>
      <c r="E15" s="93">
        <v>0</v>
      </c>
      <c r="F15" s="93">
        <f t="shared" si="10"/>
        <v>0</v>
      </c>
      <c r="G15" s="93">
        <v>39</v>
      </c>
      <c r="H15" s="93">
        <v>37</v>
      </c>
      <c r="I15" s="93">
        <v>2</v>
      </c>
      <c r="J15" s="93">
        <f t="shared" si="11"/>
        <v>0</v>
      </c>
      <c r="K15" s="93">
        <v>10</v>
      </c>
      <c r="L15" s="93">
        <v>10</v>
      </c>
      <c r="M15" s="93">
        <v>0</v>
      </c>
      <c r="N15" s="93">
        <f t="shared" si="12"/>
        <v>0</v>
      </c>
      <c r="P15" s="93">
        <f t="shared" si="1"/>
        <v>1</v>
      </c>
      <c r="Q15" s="93">
        <f t="shared" si="2"/>
        <v>0</v>
      </c>
      <c r="R15" s="93">
        <f t="shared" si="3"/>
        <v>0</v>
      </c>
      <c r="S15" s="93">
        <f t="shared" si="4"/>
        <v>0.94871794871794868</v>
      </c>
      <c r="T15" s="93">
        <f t="shared" si="5"/>
        <v>5.128205128205128E-2</v>
      </c>
      <c r="U15" s="93">
        <f t="shared" si="6"/>
        <v>0</v>
      </c>
      <c r="V15" s="93">
        <f t="shared" si="7"/>
        <v>1</v>
      </c>
      <c r="W15" s="93">
        <f t="shared" si="8"/>
        <v>0</v>
      </c>
      <c r="X15" s="93">
        <f t="shared" si="9"/>
        <v>0</v>
      </c>
    </row>
    <row r="16" spans="1:24" x14ac:dyDescent="0.2">
      <c r="A16" s="320">
        <v>23</v>
      </c>
      <c r="B16" s="93" t="s">
        <v>458</v>
      </c>
      <c r="C16" s="93">
        <v>16</v>
      </c>
      <c r="D16" s="93">
        <v>16</v>
      </c>
      <c r="E16" s="93">
        <v>0</v>
      </c>
      <c r="F16" s="93">
        <f t="shared" si="10"/>
        <v>0</v>
      </c>
      <c r="G16" s="93">
        <v>212</v>
      </c>
      <c r="H16" s="93">
        <v>184</v>
      </c>
      <c r="I16" s="93">
        <v>13</v>
      </c>
      <c r="J16" s="93">
        <f t="shared" si="11"/>
        <v>15</v>
      </c>
      <c r="K16" s="93">
        <v>167</v>
      </c>
      <c r="L16" s="93">
        <v>141</v>
      </c>
      <c r="M16" s="93">
        <v>18</v>
      </c>
      <c r="N16" s="93">
        <f t="shared" si="12"/>
        <v>8</v>
      </c>
      <c r="P16" s="93">
        <f t="shared" si="1"/>
        <v>1</v>
      </c>
      <c r="Q16" s="93">
        <f t="shared" si="2"/>
        <v>0</v>
      </c>
      <c r="R16" s="93">
        <f t="shared" si="3"/>
        <v>0</v>
      </c>
      <c r="S16" s="93">
        <f t="shared" si="4"/>
        <v>0.86792452830188682</v>
      </c>
      <c r="T16" s="93">
        <f t="shared" si="5"/>
        <v>6.1320754716981132E-2</v>
      </c>
      <c r="U16" s="93">
        <f t="shared" si="6"/>
        <v>7.0754716981132074E-2</v>
      </c>
      <c r="V16" s="93">
        <f t="shared" si="7"/>
        <v>0.84431137724550898</v>
      </c>
      <c r="W16" s="93">
        <f t="shared" si="8"/>
        <v>0.10778443113772455</v>
      </c>
      <c r="X16" s="93">
        <f t="shared" si="9"/>
        <v>4.790419161676647E-2</v>
      </c>
    </row>
    <row r="17" spans="1:24" x14ac:dyDescent="0.2">
      <c r="A17" s="320">
        <v>25</v>
      </c>
      <c r="B17" s="93" t="s">
        <v>459</v>
      </c>
      <c r="C17" s="93">
        <v>13</v>
      </c>
      <c r="D17" s="93">
        <v>8</v>
      </c>
      <c r="E17" s="93">
        <v>4</v>
      </c>
      <c r="F17" s="93">
        <f t="shared" si="10"/>
        <v>1</v>
      </c>
      <c r="G17" s="93">
        <v>199</v>
      </c>
      <c r="H17" s="93">
        <v>145</v>
      </c>
      <c r="I17" s="93">
        <v>46</v>
      </c>
      <c r="J17" s="93">
        <f t="shared" si="11"/>
        <v>8</v>
      </c>
      <c r="K17" s="93">
        <v>104</v>
      </c>
      <c r="L17" s="93">
        <v>73</v>
      </c>
      <c r="M17" s="93">
        <v>23</v>
      </c>
      <c r="N17" s="93">
        <f t="shared" si="12"/>
        <v>8</v>
      </c>
      <c r="P17" s="93">
        <f t="shared" si="1"/>
        <v>0.61538461538461542</v>
      </c>
      <c r="Q17" s="93">
        <f t="shared" si="2"/>
        <v>0.30769230769230771</v>
      </c>
      <c r="R17" s="93">
        <f t="shared" si="3"/>
        <v>7.6923076923076927E-2</v>
      </c>
      <c r="S17" s="93">
        <f t="shared" si="4"/>
        <v>0.72864321608040206</v>
      </c>
      <c r="T17" s="93">
        <f t="shared" si="5"/>
        <v>0.23115577889447236</v>
      </c>
      <c r="U17" s="93">
        <f t="shared" si="6"/>
        <v>4.0201005025125629E-2</v>
      </c>
      <c r="V17" s="93">
        <f t="shared" si="7"/>
        <v>0.70192307692307687</v>
      </c>
      <c r="W17" s="93">
        <f t="shared" si="8"/>
        <v>0.22115384615384615</v>
      </c>
      <c r="X17" s="93">
        <f t="shared" si="9"/>
        <v>7.6923076923076927E-2</v>
      </c>
    </row>
    <row r="18" spans="1:24" x14ac:dyDescent="0.2">
      <c r="A18" s="320">
        <v>27</v>
      </c>
      <c r="B18" s="93" t="s">
        <v>460</v>
      </c>
      <c r="C18" s="93">
        <v>8</v>
      </c>
      <c r="D18" s="93">
        <v>8</v>
      </c>
      <c r="E18" s="93">
        <v>0</v>
      </c>
      <c r="F18" s="93">
        <f t="shared" si="10"/>
        <v>0</v>
      </c>
      <c r="G18" s="93">
        <v>50</v>
      </c>
      <c r="H18" s="93">
        <v>44</v>
      </c>
      <c r="I18" s="93">
        <v>3</v>
      </c>
      <c r="J18" s="93">
        <f t="shared" si="11"/>
        <v>3</v>
      </c>
      <c r="K18" s="93">
        <v>42</v>
      </c>
      <c r="L18" s="93">
        <v>36</v>
      </c>
      <c r="M18" s="93">
        <v>2</v>
      </c>
      <c r="N18" s="93">
        <f t="shared" si="12"/>
        <v>4</v>
      </c>
      <c r="P18" s="93">
        <f t="shared" si="1"/>
        <v>1</v>
      </c>
      <c r="Q18" s="93">
        <f t="shared" si="2"/>
        <v>0</v>
      </c>
      <c r="R18" s="93">
        <f t="shared" si="3"/>
        <v>0</v>
      </c>
      <c r="S18" s="93">
        <f t="shared" si="4"/>
        <v>0.88</v>
      </c>
      <c r="T18" s="93">
        <f t="shared" si="5"/>
        <v>0.06</v>
      </c>
      <c r="U18" s="93">
        <f t="shared" si="6"/>
        <v>0.06</v>
      </c>
      <c r="V18" s="93">
        <f t="shared" si="7"/>
        <v>0.8571428571428571</v>
      </c>
      <c r="W18" s="93">
        <f t="shared" si="8"/>
        <v>4.7619047619047616E-2</v>
      </c>
      <c r="X18" s="93">
        <f t="shared" si="9"/>
        <v>9.5238095238095233E-2</v>
      </c>
    </row>
    <row r="19" spans="1:24" x14ac:dyDescent="0.2">
      <c r="A19" s="320">
        <v>29</v>
      </c>
      <c r="B19" s="93" t="s">
        <v>461</v>
      </c>
      <c r="C19" s="93">
        <v>13</v>
      </c>
      <c r="D19" s="93">
        <v>8</v>
      </c>
      <c r="E19" s="93">
        <v>5</v>
      </c>
      <c r="F19" s="93">
        <f t="shared" si="10"/>
        <v>0</v>
      </c>
      <c r="G19" s="93">
        <v>197</v>
      </c>
      <c r="H19" s="93">
        <v>163</v>
      </c>
      <c r="I19" s="93">
        <v>27</v>
      </c>
      <c r="J19" s="93">
        <f t="shared" si="11"/>
        <v>7</v>
      </c>
      <c r="K19" s="93">
        <v>88</v>
      </c>
      <c r="L19" s="93">
        <v>72</v>
      </c>
      <c r="M19" s="93">
        <v>16</v>
      </c>
      <c r="N19" s="93">
        <f t="shared" si="12"/>
        <v>0</v>
      </c>
      <c r="P19" s="93">
        <f t="shared" si="1"/>
        <v>0.61538461538461542</v>
      </c>
      <c r="Q19" s="93">
        <f t="shared" si="2"/>
        <v>0.38461538461538464</v>
      </c>
      <c r="R19" s="93">
        <f t="shared" si="3"/>
        <v>0</v>
      </c>
      <c r="S19" s="93">
        <f t="shared" si="4"/>
        <v>0.82741116751269039</v>
      </c>
      <c r="T19" s="93">
        <f t="shared" si="5"/>
        <v>0.13705583756345177</v>
      </c>
      <c r="U19" s="93">
        <f t="shared" si="6"/>
        <v>3.553299492385787E-2</v>
      </c>
      <c r="V19" s="93">
        <f t="shared" si="7"/>
        <v>0.81818181818181823</v>
      </c>
      <c r="W19" s="93">
        <f t="shared" si="8"/>
        <v>0.18181818181818182</v>
      </c>
      <c r="X19" s="93">
        <f t="shared" si="9"/>
        <v>0</v>
      </c>
    </row>
    <row r="20" spans="1:24" x14ac:dyDescent="0.2">
      <c r="A20" s="320">
        <v>31</v>
      </c>
      <c r="B20" s="93" t="s">
        <v>462</v>
      </c>
      <c r="C20" s="93">
        <v>37</v>
      </c>
      <c r="D20" s="93">
        <v>34</v>
      </c>
      <c r="E20" s="93">
        <v>2</v>
      </c>
      <c r="F20" s="93">
        <f t="shared" si="10"/>
        <v>1</v>
      </c>
      <c r="G20" s="93">
        <v>672</v>
      </c>
      <c r="H20" s="93">
        <v>604</v>
      </c>
      <c r="I20" s="93">
        <v>40</v>
      </c>
      <c r="J20" s="93">
        <f t="shared" si="11"/>
        <v>28</v>
      </c>
      <c r="K20" s="93">
        <v>310</v>
      </c>
      <c r="L20" s="93">
        <v>277</v>
      </c>
      <c r="M20" s="93">
        <v>26</v>
      </c>
      <c r="N20" s="93">
        <f t="shared" si="12"/>
        <v>7</v>
      </c>
      <c r="P20" s="93">
        <f t="shared" si="1"/>
        <v>0.91891891891891897</v>
      </c>
      <c r="Q20" s="93">
        <f t="shared" si="2"/>
        <v>5.4054054054054057E-2</v>
      </c>
      <c r="R20" s="93">
        <f t="shared" si="3"/>
        <v>2.7027027027027029E-2</v>
      </c>
      <c r="S20" s="93">
        <f t="shared" si="4"/>
        <v>0.89880952380952384</v>
      </c>
      <c r="T20" s="93">
        <f t="shared" si="5"/>
        <v>5.9523809523809521E-2</v>
      </c>
      <c r="U20" s="93">
        <f t="shared" si="6"/>
        <v>4.1666666666666664E-2</v>
      </c>
      <c r="V20" s="93">
        <f t="shared" si="7"/>
        <v>0.8935483870967742</v>
      </c>
      <c r="W20" s="93">
        <f t="shared" si="8"/>
        <v>8.387096774193549E-2</v>
      </c>
      <c r="X20" s="93">
        <f t="shared" si="9"/>
        <v>2.2580645161290321E-2</v>
      </c>
    </row>
    <row r="21" spans="1:24" x14ac:dyDescent="0.2">
      <c r="A21" s="320">
        <v>33</v>
      </c>
      <c r="B21" s="93" t="s">
        <v>463</v>
      </c>
      <c r="C21" s="93">
        <v>46</v>
      </c>
      <c r="D21" s="93">
        <v>39</v>
      </c>
      <c r="E21" s="93">
        <v>6</v>
      </c>
      <c r="F21" s="93">
        <f t="shared" si="10"/>
        <v>1</v>
      </c>
      <c r="G21" s="93">
        <v>606</v>
      </c>
      <c r="H21" s="93">
        <v>501</v>
      </c>
      <c r="I21" s="93">
        <v>63</v>
      </c>
      <c r="J21" s="93">
        <f t="shared" si="11"/>
        <v>42</v>
      </c>
      <c r="K21" s="93">
        <v>364</v>
      </c>
      <c r="L21" s="93">
        <v>284</v>
      </c>
      <c r="M21" s="93">
        <v>62</v>
      </c>
      <c r="N21" s="93">
        <f t="shared" si="12"/>
        <v>18</v>
      </c>
      <c r="P21" s="93">
        <f t="shared" si="1"/>
        <v>0.84782608695652173</v>
      </c>
      <c r="Q21" s="93">
        <f t="shared" si="2"/>
        <v>0.13043478260869565</v>
      </c>
      <c r="R21" s="93">
        <f t="shared" si="3"/>
        <v>2.1739130434782608E-2</v>
      </c>
      <c r="S21" s="93">
        <f t="shared" si="4"/>
        <v>0.82673267326732669</v>
      </c>
      <c r="T21" s="93">
        <f t="shared" si="5"/>
        <v>0.10396039603960396</v>
      </c>
      <c r="U21" s="93">
        <f t="shared" si="6"/>
        <v>6.9306930693069313E-2</v>
      </c>
      <c r="V21" s="93">
        <f t="shared" si="7"/>
        <v>0.78021978021978022</v>
      </c>
      <c r="W21" s="93">
        <f t="shared" si="8"/>
        <v>0.17032967032967034</v>
      </c>
      <c r="X21" s="93">
        <f t="shared" si="9"/>
        <v>4.9450549450549448E-2</v>
      </c>
    </row>
    <row r="22" spans="1:24" x14ac:dyDescent="0.2">
      <c r="A22" s="320">
        <v>35</v>
      </c>
      <c r="B22" s="93" t="s">
        <v>464</v>
      </c>
      <c r="C22" s="93">
        <v>34</v>
      </c>
      <c r="D22" s="93">
        <v>33</v>
      </c>
      <c r="E22" s="93">
        <v>0</v>
      </c>
      <c r="F22" s="93">
        <f t="shared" si="10"/>
        <v>1</v>
      </c>
      <c r="G22" s="93">
        <v>457</v>
      </c>
      <c r="H22" s="93">
        <v>425</v>
      </c>
      <c r="I22" s="93">
        <v>5</v>
      </c>
      <c r="J22" s="93">
        <f t="shared" si="11"/>
        <v>27</v>
      </c>
      <c r="K22" s="93">
        <v>344</v>
      </c>
      <c r="L22" s="93">
        <v>314</v>
      </c>
      <c r="M22" s="93">
        <v>6</v>
      </c>
      <c r="N22" s="93">
        <f t="shared" si="12"/>
        <v>24</v>
      </c>
      <c r="P22" s="93">
        <f t="shared" si="1"/>
        <v>0.97058823529411764</v>
      </c>
      <c r="Q22" s="93">
        <f t="shared" si="2"/>
        <v>0</v>
      </c>
      <c r="R22" s="93">
        <f t="shared" si="3"/>
        <v>2.9411764705882353E-2</v>
      </c>
      <c r="S22" s="93">
        <f t="shared" si="4"/>
        <v>0.92997811816192555</v>
      </c>
      <c r="T22" s="93">
        <f t="shared" si="5"/>
        <v>1.0940919037199124E-2</v>
      </c>
      <c r="U22" s="93">
        <f t="shared" si="6"/>
        <v>5.9080962800875277E-2</v>
      </c>
      <c r="V22" s="93">
        <f t="shared" si="7"/>
        <v>0.91279069767441856</v>
      </c>
      <c r="W22" s="93">
        <f t="shared" si="8"/>
        <v>1.7441860465116279E-2</v>
      </c>
      <c r="X22" s="93">
        <f t="shared" si="9"/>
        <v>6.9767441860465115E-2</v>
      </c>
    </row>
    <row r="23" spans="1:24" x14ac:dyDescent="0.2">
      <c r="A23" s="320">
        <v>36</v>
      </c>
      <c r="B23" s="93" t="s">
        <v>465</v>
      </c>
      <c r="C23" s="93">
        <v>3</v>
      </c>
      <c r="D23" s="93">
        <v>3</v>
      </c>
      <c r="E23" s="93">
        <v>0</v>
      </c>
      <c r="F23" s="93">
        <f t="shared" si="10"/>
        <v>0</v>
      </c>
      <c r="G23" s="93">
        <v>78</v>
      </c>
      <c r="H23" s="93">
        <v>47</v>
      </c>
      <c r="I23" s="93">
        <v>4</v>
      </c>
      <c r="J23" s="93">
        <f t="shared" si="11"/>
        <v>27</v>
      </c>
      <c r="K23" s="93">
        <v>26</v>
      </c>
      <c r="L23" s="93">
        <v>18</v>
      </c>
      <c r="M23" s="93">
        <v>4</v>
      </c>
      <c r="N23" s="93">
        <f t="shared" si="12"/>
        <v>4</v>
      </c>
      <c r="P23" s="93">
        <f t="shared" si="1"/>
        <v>1</v>
      </c>
      <c r="Q23" s="93">
        <f t="shared" si="2"/>
        <v>0</v>
      </c>
      <c r="R23" s="93">
        <f t="shared" si="3"/>
        <v>0</v>
      </c>
      <c r="S23" s="93">
        <f t="shared" si="4"/>
        <v>0.60256410256410253</v>
      </c>
      <c r="T23" s="93">
        <f t="shared" si="5"/>
        <v>5.128205128205128E-2</v>
      </c>
      <c r="U23" s="93">
        <f t="shared" si="6"/>
        <v>0.34615384615384615</v>
      </c>
      <c r="V23" s="93">
        <f t="shared" si="7"/>
        <v>0.69230769230769229</v>
      </c>
      <c r="W23" s="93">
        <f t="shared" si="8"/>
        <v>0.15384615384615385</v>
      </c>
      <c r="X23" s="93">
        <f t="shared" si="9"/>
        <v>0.15384615384615385</v>
      </c>
    </row>
    <row r="24" spans="1:24" x14ac:dyDescent="0.2">
      <c r="A24" s="320">
        <v>37</v>
      </c>
      <c r="B24" s="93" t="s">
        <v>466</v>
      </c>
      <c r="C24" s="93">
        <v>10</v>
      </c>
      <c r="D24" s="93">
        <v>9</v>
      </c>
      <c r="E24" s="93">
        <v>1</v>
      </c>
      <c r="F24" s="93">
        <f t="shared" si="10"/>
        <v>0</v>
      </c>
      <c r="G24" s="93">
        <v>164</v>
      </c>
      <c r="H24" s="93">
        <v>133</v>
      </c>
      <c r="I24" s="93">
        <v>22</v>
      </c>
      <c r="J24" s="93">
        <f t="shared" si="11"/>
        <v>9</v>
      </c>
      <c r="K24" s="93">
        <v>100</v>
      </c>
      <c r="L24" s="93">
        <v>75</v>
      </c>
      <c r="M24" s="93">
        <v>21</v>
      </c>
      <c r="N24" s="93">
        <f t="shared" si="12"/>
        <v>4</v>
      </c>
      <c r="P24" s="93">
        <f t="shared" si="1"/>
        <v>0.9</v>
      </c>
      <c r="Q24" s="93">
        <f t="shared" si="2"/>
        <v>0.1</v>
      </c>
      <c r="R24" s="93">
        <f t="shared" si="3"/>
        <v>0</v>
      </c>
      <c r="S24" s="93">
        <f t="shared" si="4"/>
        <v>0.81097560975609762</v>
      </c>
      <c r="T24" s="93">
        <f t="shared" si="5"/>
        <v>0.13414634146341464</v>
      </c>
      <c r="U24" s="93">
        <f t="shared" si="6"/>
        <v>5.4878048780487805E-2</v>
      </c>
      <c r="V24" s="93">
        <f t="shared" si="7"/>
        <v>0.75</v>
      </c>
      <c r="W24" s="93">
        <f t="shared" si="8"/>
        <v>0.21</v>
      </c>
      <c r="X24" s="93">
        <f t="shared" si="9"/>
        <v>0.04</v>
      </c>
    </row>
    <row r="25" spans="1:24" x14ac:dyDescent="0.2">
      <c r="A25" s="320">
        <v>41</v>
      </c>
      <c r="B25" s="93" t="s">
        <v>688</v>
      </c>
      <c r="C25" s="93">
        <v>650</v>
      </c>
      <c r="D25" s="93">
        <v>564</v>
      </c>
      <c r="E25" s="93">
        <v>57</v>
      </c>
      <c r="F25" s="93">
        <f>(C25-D25-E25)+3</f>
        <v>32</v>
      </c>
      <c r="G25" s="93">
        <v>14927</v>
      </c>
      <c r="H25" s="93">
        <v>12410</v>
      </c>
      <c r="I25" s="93">
        <v>1545</v>
      </c>
      <c r="J25" s="93">
        <f>(G25-H25-I25)+20</f>
        <v>992</v>
      </c>
      <c r="K25" s="93">
        <v>8746</v>
      </c>
      <c r="L25" s="93">
        <v>7085</v>
      </c>
      <c r="M25" s="93">
        <v>1130</v>
      </c>
      <c r="N25" s="93">
        <f>(K25-L25-M25)+13</f>
        <v>544</v>
      </c>
      <c r="P25" s="93">
        <f t="shared" si="1"/>
        <v>0.86769230769230765</v>
      </c>
      <c r="Q25" s="93">
        <f t="shared" si="2"/>
        <v>8.7692307692307694E-2</v>
      </c>
      <c r="R25" s="93">
        <f t="shared" si="3"/>
        <v>4.9230769230769231E-2</v>
      </c>
      <c r="S25" s="93">
        <f t="shared" si="4"/>
        <v>0.83137937964761843</v>
      </c>
      <c r="T25" s="93">
        <f t="shared" si="5"/>
        <v>0.10350371809472768</v>
      </c>
      <c r="U25" s="93">
        <f t="shared" si="6"/>
        <v>6.6456756213572721E-2</v>
      </c>
      <c r="V25" s="93">
        <f t="shared" si="7"/>
        <v>0.81008461010747768</v>
      </c>
      <c r="W25" s="93">
        <f t="shared" si="8"/>
        <v>0.12920192087811572</v>
      </c>
      <c r="X25" s="93">
        <f t="shared" si="9"/>
        <v>6.2199862794420309E-2</v>
      </c>
    </row>
    <row r="26" spans="1:24" x14ac:dyDescent="0.2">
      <c r="A26" s="320">
        <v>43</v>
      </c>
      <c r="B26" s="93" t="s">
        <v>467</v>
      </c>
      <c r="C26" s="93">
        <v>19</v>
      </c>
      <c r="D26" s="93">
        <v>17</v>
      </c>
      <c r="E26" s="93">
        <v>1</v>
      </c>
      <c r="F26" s="93">
        <f t="shared" si="10"/>
        <v>1</v>
      </c>
      <c r="G26" s="93">
        <v>304</v>
      </c>
      <c r="H26" s="93">
        <v>276</v>
      </c>
      <c r="I26" s="93">
        <v>5</v>
      </c>
      <c r="J26" s="93">
        <f t="shared" si="11"/>
        <v>23</v>
      </c>
      <c r="K26" s="93">
        <v>186</v>
      </c>
      <c r="L26" s="93">
        <v>167</v>
      </c>
      <c r="M26" s="93">
        <v>8</v>
      </c>
      <c r="N26" s="93">
        <f t="shared" si="12"/>
        <v>11</v>
      </c>
      <c r="P26" s="93">
        <f t="shared" si="1"/>
        <v>0.89473684210526316</v>
      </c>
      <c r="Q26" s="93">
        <f t="shared" si="2"/>
        <v>5.2631578947368418E-2</v>
      </c>
      <c r="R26" s="93">
        <f t="shared" si="3"/>
        <v>5.2631578947368418E-2</v>
      </c>
      <c r="S26" s="93">
        <f t="shared" si="4"/>
        <v>0.90789473684210531</v>
      </c>
      <c r="T26" s="93">
        <f t="shared" si="5"/>
        <v>1.6447368421052631E-2</v>
      </c>
      <c r="U26" s="93">
        <f t="shared" si="6"/>
        <v>7.5657894736842105E-2</v>
      </c>
      <c r="V26" s="93">
        <f t="shared" si="7"/>
        <v>0.89784946236559138</v>
      </c>
      <c r="W26" s="93">
        <f t="shared" si="8"/>
        <v>4.3010752688172046E-2</v>
      </c>
      <c r="X26" s="93">
        <f t="shared" si="9"/>
        <v>5.9139784946236562E-2</v>
      </c>
    </row>
    <row r="27" spans="1:24" x14ac:dyDescent="0.2">
      <c r="A27" s="320">
        <v>45</v>
      </c>
      <c r="B27" s="93" t="s">
        <v>468</v>
      </c>
      <c r="C27" s="93">
        <v>5</v>
      </c>
      <c r="D27" s="93">
        <v>5</v>
      </c>
      <c r="E27" s="93">
        <v>0</v>
      </c>
      <c r="F27" s="93">
        <f t="shared" si="10"/>
        <v>0</v>
      </c>
      <c r="G27" s="93">
        <v>24</v>
      </c>
      <c r="H27" s="93">
        <v>18</v>
      </c>
      <c r="I27" s="93">
        <v>1</v>
      </c>
      <c r="J27" s="93">
        <f t="shared" si="11"/>
        <v>5</v>
      </c>
      <c r="K27" s="93">
        <v>18</v>
      </c>
      <c r="L27" s="93">
        <v>17</v>
      </c>
      <c r="M27" s="93">
        <v>0</v>
      </c>
      <c r="N27" s="93">
        <f t="shared" si="12"/>
        <v>1</v>
      </c>
      <c r="P27" s="93">
        <f t="shared" si="1"/>
        <v>1</v>
      </c>
      <c r="Q27" s="93">
        <f t="shared" si="2"/>
        <v>0</v>
      </c>
      <c r="R27" s="93">
        <f t="shared" si="3"/>
        <v>0</v>
      </c>
      <c r="S27" s="93">
        <f t="shared" si="4"/>
        <v>0.75</v>
      </c>
      <c r="T27" s="93">
        <f t="shared" si="5"/>
        <v>4.1666666666666664E-2</v>
      </c>
      <c r="U27" s="93">
        <f t="shared" si="6"/>
        <v>0.20833333333333334</v>
      </c>
      <c r="V27" s="93">
        <f t="shared" si="7"/>
        <v>0.94444444444444442</v>
      </c>
      <c r="W27" s="93">
        <f t="shared" si="8"/>
        <v>0</v>
      </c>
      <c r="X27" s="93">
        <f t="shared" si="9"/>
        <v>5.5555555555555552E-2</v>
      </c>
    </row>
    <row r="28" spans="1:24" x14ac:dyDescent="0.2">
      <c r="A28" s="320">
        <v>47</v>
      </c>
      <c r="B28" s="93" t="s">
        <v>469</v>
      </c>
      <c r="C28" s="93">
        <v>95</v>
      </c>
      <c r="D28" s="93">
        <v>83</v>
      </c>
      <c r="E28" s="93">
        <v>7</v>
      </c>
      <c r="F28" s="93">
        <f t="shared" si="10"/>
        <v>5</v>
      </c>
      <c r="G28" s="93">
        <v>2527</v>
      </c>
      <c r="H28" s="93">
        <v>2116</v>
      </c>
      <c r="I28" s="93">
        <v>193</v>
      </c>
      <c r="J28" s="93">
        <f t="shared" si="11"/>
        <v>218</v>
      </c>
      <c r="K28" s="93">
        <v>1584</v>
      </c>
      <c r="L28" s="93">
        <v>1282</v>
      </c>
      <c r="M28" s="93">
        <v>176</v>
      </c>
      <c r="N28" s="93">
        <f t="shared" si="12"/>
        <v>126</v>
      </c>
      <c r="P28" s="93">
        <f t="shared" si="1"/>
        <v>0.87368421052631584</v>
      </c>
      <c r="Q28" s="93">
        <f t="shared" si="2"/>
        <v>7.3684210526315783E-2</v>
      </c>
      <c r="R28" s="93">
        <f t="shared" si="3"/>
        <v>5.2631578947368418E-2</v>
      </c>
      <c r="S28" s="93">
        <f t="shared" si="4"/>
        <v>0.83735654926790659</v>
      </c>
      <c r="T28" s="93">
        <f t="shared" si="5"/>
        <v>7.6375148397309064E-2</v>
      </c>
      <c r="U28" s="93">
        <f t="shared" si="6"/>
        <v>8.626830233478433E-2</v>
      </c>
      <c r="V28" s="93">
        <f t="shared" si="7"/>
        <v>0.80934343434343436</v>
      </c>
      <c r="W28" s="93">
        <f t="shared" si="8"/>
        <v>0.1111111111111111</v>
      </c>
      <c r="X28" s="93">
        <f t="shared" si="9"/>
        <v>7.9545454545454544E-2</v>
      </c>
    </row>
    <row r="29" spans="1:24" x14ac:dyDescent="0.2">
      <c r="A29" s="320">
        <v>49</v>
      </c>
      <c r="B29" s="93" t="s">
        <v>470</v>
      </c>
      <c r="C29" s="93">
        <v>3</v>
      </c>
      <c r="D29" s="93">
        <v>1</v>
      </c>
      <c r="E29" s="93">
        <v>2</v>
      </c>
      <c r="F29" s="93">
        <f t="shared" si="10"/>
        <v>0</v>
      </c>
      <c r="G29" s="93">
        <v>111</v>
      </c>
      <c r="H29" s="93">
        <v>92</v>
      </c>
      <c r="I29" s="93">
        <v>15</v>
      </c>
      <c r="J29" s="93">
        <f t="shared" si="11"/>
        <v>4</v>
      </c>
      <c r="K29" s="93">
        <v>95</v>
      </c>
      <c r="L29" s="93">
        <v>67</v>
      </c>
      <c r="M29" s="93">
        <v>27</v>
      </c>
      <c r="N29" s="93">
        <f t="shared" si="12"/>
        <v>1</v>
      </c>
      <c r="P29" s="93">
        <f t="shared" si="1"/>
        <v>0.33333333333333331</v>
      </c>
      <c r="Q29" s="93">
        <f t="shared" si="2"/>
        <v>0.66666666666666663</v>
      </c>
      <c r="R29" s="93">
        <f t="shared" si="3"/>
        <v>0</v>
      </c>
      <c r="S29" s="93">
        <f t="shared" si="4"/>
        <v>0.8288288288288288</v>
      </c>
      <c r="T29" s="93">
        <f t="shared" si="5"/>
        <v>0.13513513513513514</v>
      </c>
      <c r="U29" s="93">
        <f t="shared" si="6"/>
        <v>3.6036036036036036E-2</v>
      </c>
      <c r="V29" s="93">
        <f t="shared" si="7"/>
        <v>0.70526315789473681</v>
      </c>
      <c r="W29" s="93">
        <f t="shared" si="8"/>
        <v>0.28421052631578947</v>
      </c>
      <c r="X29" s="93">
        <f t="shared" si="9"/>
        <v>1.0526315789473684E-2</v>
      </c>
    </row>
    <row r="30" spans="1:24" x14ac:dyDescent="0.2">
      <c r="A30" s="320">
        <v>51</v>
      </c>
      <c r="B30" s="93" t="s">
        <v>471</v>
      </c>
      <c r="C30" s="93">
        <v>7</v>
      </c>
      <c r="D30" s="93">
        <v>7</v>
      </c>
      <c r="E30" s="93">
        <v>0</v>
      </c>
      <c r="F30" s="93">
        <f t="shared" si="10"/>
        <v>0</v>
      </c>
      <c r="G30" s="93">
        <v>53</v>
      </c>
      <c r="H30" s="93">
        <v>45</v>
      </c>
      <c r="I30" s="93">
        <v>4</v>
      </c>
      <c r="J30" s="93">
        <f t="shared" si="11"/>
        <v>4</v>
      </c>
      <c r="K30" s="93">
        <v>34</v>
      </c>
      <c r="L30" s="93">
        <v>30</v>
      </c>
      <c r="M30" s="93">
        <v>1</v>
      </c>
      <c r="N30" s="93">
        <f t="shared" si="12"/>
        <v>3</v>
      </c>
      <c r="P30" s="93">
        <f t="shared" si="1"/>
        <v>1</v>
      </c>
      <c r="Q30" s="93">
        <f t="shared" si="2"/>
        <v>0</v>
      </c>
      <c r="R30" s="93">
        <f t="shared" si="3"/>
        <v>0</v>
      </c>
      <c r="S30" s="93">
        <f t="shared" si="4"/>
        <v>0.84905660377358494</v>
      </c>
      <c r="T30" s="93">
        <f t="shared" si="5"/>
        <v>7.5471698113207544E-2</v>
      </c>
      <c r="U30" s="93">
        <f t="shared" si="6"/>
        <v>7.5471698113207544E-2</v>
      </c>
      <c r="V30" s="93">
        <f t="shared" si="7"/>
        <v>0.88235294117647056</v>
      </c>
      <c r="W30" s="93">
        <f t="shared" si="8"/>
        <v>2.9411764705882353E-2</v>
      </c>
      <c r="X30" s="93">
        <f t="shared" si="9"/>
        <v>8.8235294117647065E-2</v>
      </c>
    </row>
    <row r="31" spans="1:24" x14ac:dyDescent="0.2">
      <c r="A31" s="320">
        <v>53</v>
      </c>
      <c r="B31" s="93" t="s">
        <v>472</v>
      </c>
      <c r="C31" s="93">
        <v>16</v>
      </c>
      <c r="D31" s="93">
        <v>7</v>
      </c>
      <c r="E31" s="93">
        <v>8</v>
      </c>
      <c r="F31" s="93">
        <f t="shared" si="10"/>
        <v>1</v>
      </c>
      <c r="G31" s="93">
        <v>425</v>
      </c>
      <c r="H31" s="93">
        <v>317</v>
      </c>
      <c r="I31" s="93">
        <v>84</v>
      </c>
      <c r="J31" s="93">
        <f t="shared" si="11"/>
        <v>24</v>
      </c>
      <c r="K31" s="93">
        <v>299</v>
      </c>
      <c r="L31" s="93">
        <v>221</v>
      </c>
      <c r="M31" s="93">
        <v>65</v>
      </c>
      <c r="N31" s="93">
        <f t="shared" si="12"/>
        <v>13</v>
      </c>
      <c r="P31" s="93">
        <f t="shared" si="1"/>
        <v>0.4375</v>
      </c>
      <c r="Q31" s="93">
        <f t="shared" si="2"/>
        <v>0.5</v>
      </c>
      <c r="R31" s="93">
        <f t="shared" si="3"/>
        <v>6.25E-2</v>
      </c>
      <c r="S31" s="93">
        <f t="shared" si="4"/>
        <v>0.74588235294117644</v>
      </c>
      <c r="T31" s="93">
        <f t="shared" si="5"/>
        <v>0.1976470588235294</v>
      </c>
      <c r="U31" s="93">
        <f t="shared" si="6"/>
        <v>5.647058823529412E-2</v>
      </c>
      <c r="V31" s="93">
        <f t="shared" si="7"/>
        <v>0.73913043478260865</v>
      </c>
      <c r="W31" s="93">
        <f t="shared" si="8"/>
        <v>0.21739130434782608</v>
      </c>
      <c r="X31" s="93">
        <f t="shared" si="9"/>
        <v>4.3478260869565216E-2</v>
      </c>
    </row>
    <row r="32" spans="1:24" x14ac:dyDescent="0.2">
      <c r="A32" s="320">
        <v>57</v>
      </c>
      <c r="B32" s="93" t="s">
        <v>473</v>
      </c>
      <c r="C32" s="93">
        <v>19</v>
      </c>
      <c r="D32" s="93">
        <v>16</v>
      </c>
      <c r="E32" s="93">
        <v>2</v>
      </c>
      <c r="F32" s="93">
        <f t="shared" si="10"/>
        <v>1</v>
      </c>
      <c r="G32" s="93">
        <v>222</v>
      </c>
      <c r="H32" s="93">
        <v>151</v>
      </c>
      <c r="I32" s="93">
        <v>18</v>
      </c>
      <c r="J32" s="93">
        <f t="shared" si="11"/>
        <v>53</v>
      </c>
      <c r="K32" s="93">
        <v>116</v>
      </c>
      <c r="L32" s="93">
        <v>80</v>
      </c>
      <c r="M32" s="93">
        <v>22</v>
      </c>
      <c r="N32" s="93">
        <f t="shared" si="12"/>
        <v>14</v>
      </c>
      <c r="P32" s="93">
        <f t="shared" si="1"/>
        <v>0.84210526315789469</v>
      </c>
      <c r="Q32" s="93">
        <f t="shared" si="2"/>
        <v>0.10526315789473684</v>
      </c>
      <c r="R32" s="93">
        <f t="shared" si="3"/>
        <v>5.2631578947368418E-2</v>
      </c>
      <c r="S32" s="93">
        <f t="shared" si="4"/>
        <v>0.68018018018018023</v>
      </c>
      <c r="T32" s="93">
        <f t="shared" si="5"/>
        <v>8.1081081081081086E-2</v>
      </c>
      <c r="U32" s="93">
        <f t="shared" si="6"/>
        <v>0.23873873873873874</v>
      </c>
      <c r="V32" s="93">
        <f t="shared" si="7"/>
        <v>0.68965517241379315</v>
      </c>
      <c r="W32" s="93">
        <f t="shared" si="8"/>
        <v>0.18965517241379309</v>
      </c>
      <c r="X32" s="93">
        <f t="shared" si="9"/>
        <v>0.1206896551724138</v>
      </c>
    </row>
    <row r="33" spans="1:24" x14ac:dyDescent="0.2">
      <c r="A33" s="320">
        <v>59</v>
      </c>
      <c r="B33" s="93" t="s">
        <v>296</v>
      </c>
      <c r="C33" s="93">
        <v>7248</v>
      </c>
      <c r="D33" s="93">
        <v>6757</v>
      </c>
      <c r="E33" s="93">
        <v>238</v>
      </c>
      <c r="F33" s="93">
        <f>((C33-D33-E33)+10)+2</f>
        <v>265</v>
      </c>
      <c r="G33" s="93">
        <v>118237</v>
      </c>
      <c r="H33" s="93">
        <v>107418</v>
      </c>
      <c r="I33" s="93">
        <v>4936</v>
      </c>
      <c r="J33" s="93">
        <f>((G33-H33-I33)+179)+20</f>
        <v>6082</v>
      </c>
      <c r="K33" s="93">
        <v>53198</v>
      </c>
      <c r="L33" s="93">
        <v>47298</v>
      </c>
      <c r="M33" s="93">
        <v>2831</v>
      </c>
      <c r="N33" s="93">
        <f>((K33-L33-M33)+103)+32</f>
        <v>3204</v>
      </c>
      <c r="P33" s="93">
        <f t="shared" si="1"/>
        <v>0.93225717439293598</v>
      </c>
      <c r="Q33" s="93">
        <f t="shared" si="2"/>
        <v>3.283664459161148E-2</v>
      </c>
      <c r="R33" s="93">
        <f t="shared" si="3"/>
        <v>3.6561810154525386E-2</v>
      </c>
      <c r="S33" s="93">
        <f t="shared" si="4"/>
        <v>0.9084973400881281</v>
      </c>
      <c r="T33" s="93">
        <f t="shared" si="5"/>
        <v>4.1746661366577301E-2</v>
      </c>
      <c r="U33" s="93">
        <f t="shared" si="6"/>
        <v>5.1439058839449582E-2</v>
      </c>
      <c r="V33" s="93">
        <f t="shared" si="7"/>
        <v>0.8890935749464266</v>
      </c>
      <c r="W33" s="93">
        <f t="shared" si="8"/>
        <v>5.3216286326553633E-2</v>
      </c>
      <c r="X33" s="93">
        <f t="shared" si="9"/>
        <v>6.0227828113838866E-2</v>
      </c>
    </row>
    <row r="34" spans="1:24" x14ac:dyDescent="0.2">
      <c r="A34" s="320">
        <v>61</v>
      </c>
      <c r="B34" s="93" t="s">
        <v>474</v>
      </c>
      <c r="C34" s="93">
        <v>120</v>
      </c>
      <c r="D34" s="93">
        <v>109</v>
      </c>
      <c r="E34" s="93">
        <v>8</v>
      </c>
      <c r="F34" s="93">
        <f t="shared" si="10"/>
        <v>3</v>
      </c>
      <c r="G34" s="93">
        <v>2532</v>
      </c>
      <c r="H34" s="93">
        <v>2301</v>
      </c>
      <c r="I34" s="93">
        <v>110</v>
      </c>
      <c r="J34" s="93">
        <f t="shared" si="11"/>
        <v>121</v>
      </c>
      <c r="K34" s="93">
        <v>1632</v>
      </c>
      <c r="L34" s="93">
        <v>1440</v>
      </c>
      <c r="M34" s="93">
        <v>111</v>
      </c>
      <c r="N34" s="93">
        <f t="shared" si="12"/>
        <v>81</v>
      </c>
      <c r="P34" s="93">
        <f t="shared" si="1"/>
        <v>0.90833333333333333</v>
      </c>
      <c r="Q34" s="93">
        <f t="shared" si="2"/>
        <v>6.6666666666666666E-2</v>
      </c>
      <c r="R34" s="93">
        <f t="shared" si="3"/>
        <v>2.5000000000000001E-2</v>
      </c>
      <c r="S34" s="93">
        <f t="shared" si="4"/>
        <v>0.90876777251184837</v>
      </c>
      <c r="T34" s="93">
        <f t="shared" si="5"/>
        <v>4.3443917851500792E-2</v>
      </c>
      <c r="U34" s="93">
        <f t="shared" si="6"/>
        <v>4.7788309636650872E-2</v>
      </c>
      <c r="V34" s="93">
        <f t="shared" si="7"/>
        <v>0.88235294117647056</v>
      </c>
      <c r="W34" s="93">
        <f t="shared" si="8"/>
        <v>6.8014705882352935E-2</v>
      </c>
      <c r="X34" s="93">
        <f t="shared" si="9"/>
        <v>4.9632352941176468E-2</v>
      </c>
    </row>
    <row r="35" spans="1:24" x14ac:dyDescent="0.2">
      <c r="A35" s="320">
        <v>63</v>
      </c>
      <c r="B35" s="93" t="s">
        <v>475</v>
      </c>
      <c r="C35" s="93">
        <v>20</v>
      </c>
      <c r="D35" s="93">
        <v>18</v>
      </c>
      <c r="E35" s="93">
        <v>2</v>
      </c>
      <c r="F35" s="93">
        <f t="shared" si="10"/>
        <v>0</v>
      </c>
      <c r="G35" s="93">
        <v>251</v>
      </c>
      <c r="H35" s="93">
        <v>230</v>
      </c>
      <c r="I35" s="93">
        <v>17</v>
      </c>
      <c r="J35" s="93">
        <f t="shared" si="11"/>
        <v>4</v>
      </c>
      <c r="K35" s="93">
        <v>142</v>
      </c>
      <c r="L35" s="93">
        <v>136</v>
      </c>
      <c r="M35" s="93">
        <v>5</v>
      </c>
      <c r="N35" s="93">
        <f t="shared" si="12"/>
        <v>1</v>
      </c>
      <c r="P35" s="93">
        <f t="shared" si="1"/>
        <v>0.9</v>
      </c>
      <c r="Q35" s="93">
        <f t="shared" si="2"/>
        <v>0.1</v>
      </c>
      <c r="R35" s="93">
        <f t="shared" si="3"/>
        <v>0</v>
      </c>
      <c r="S35" s="93">
        <f t="shared" si="4"/>
        <v>0.91633466135458164</v>
      </c>
      <c r="T35" s="93">
        <f t="shared" si="5"/>
        <v>6.7729083665338641E-2</v>
      </c>
      <c r="U35" s="93">
        <f t="shared" si="6"/>
        <v>1.5936254980079681E-2</v>
      </c>
      <c r="V35" s="93">
        <f t="shared" si="7"/>
        <v>0.95774647887323938</v>
      </c>
      <c r="W35" s="93">
        <f t="shared" si="8"/>
        <v>3.5211267605633804E-2</v>
      </c>
      <c r="X35" s="93">
        <f t="shared" si="9"/>
        <v>7.0422535211267607E-3</v>
      </c>
    </row>
    <row r="36" spans="1:24" x14ac:dyDescent="0.2">
      <c r="A36" s="320">
        <v>65</v>
      </c>
      <c r="B36" s="93" t="s">
        <v>476</v>
      </c>
      <c r="C36" s="93">
        <v>44</v>
      </c>
      <c r="D36" s="93">
        <v>40</v>
      </c>
      <c r="E36" s="93">
        <v>2</v>
      </c>
      <c r="F36" s="93">
        <f t="shared" si="10"/>
        <v>2</v>
      </c>
      <c r="G36" s="93">
        <v>453</v>
      </c>
      <c r="H36" s="93">
        <v>414</v>
      </c>
      <c r="I36" s="93">
        <v>26</v>
      </c>
      <c r="J36" s="93">
        <f t="shared" si="11"/>
        <v>13</v>
      </c>
      <c r="K36" s="93">
        <v>296</v>
      </c>
      <c r="L36" s="93">
        <v>258</v>
      </c>
      <c r="M36" s="93">
        <v>27</v>
      </c>
      <c r="N36" s="93">
        <f t="shared" si="12"/>
        <v>11</v>
      </c>
      <c r="P36" s="93">
        <f t="shared" si="1"/>
        <v>0.90909090909090906</v>
      </c>
      <c r="Q36" s="93">
        <f t="shared" si="2"/>
        <v>4.5454545454545456E-2</v>
      </c>
      <c r="R36" s="93">
        <f t="shared" si="3"/>
        <v>4.5454545454545456E-2</v>
      </c>
      <c r="S36" s="93">
        <f t="shared" si="4"/>
        <v>0.91390728476821192</v>
      </c>
      <c r="T36" s="93">
        <f t="shared" si="5"/>
        <v>5.7395143487858721E-2</v>
      </c>
      <c r="U36" s="93">
        <f t="shared" si="6"/>
        <v>2.8697571743929361E-2</v>
      </c>
      <c r="V36" s="93">
        <f t="shared" si="7"/>
        <v>0.8716216216216216</v>
      </c>
      <c r="W36" s="93">
        <f t="shared" si="8"/>
        <v>9.1216216216216214E-2</v>
      </c>
      <c r="X36" s="93">
        <f t="shared" si="9"/>
        <v>3.7162162162162164E-2</v>
      </c>
    </row>
    <row r="37" spans="1:24" x14ac:dyDescent="0.2">
      <c r="A37" s="320">
        <v>67</v>
      </c>
      <c r="B37" s="93" t="s">
        <v>85</v>
      </c>
      <c r="C37" s="93">
        <v>55</v>
      </c>
      <c r="D37" s="93">
        <v>50</v>
      </c>
      <c r="E37" s="93">
        <v>5</v>
      </c>
      <c r="F37" s="93">
        <f t="shared" si="10"/>
        <v>0</v>
      </c>
      <c r="G37" s="93">
        <v>850</v>
      </c>
      <c r="H37" s="93">
        <v>694</v>
      </c>
      <c r="I37" s="93">
        <v>50</v>
      </c>
      <c r="J37" s="93">
        <f t="shared" si="11"/>
        <v>106</v>
      </c>
      <c r="K37" s="93">
        <v>592</v>
      </c>
      <c r="L37" s="93">
        <v>506</v>
      </c>
      <c r="M37" s="93">
        <v>21</v>
      </c>
      <c r="N37" s="93">
        <f t="shared" si="12"/>
        <v>65</v>
      </c>
      <c r="P37" s="93">
        <f t="shared" si="1"/>
        <v>0.90909090909090906</v>
      </c>
      <c r="Q37" s="93">
        <f t="shared" si="2"/>
        <v>9.0909090909090912E-2</v>
      </c>
      <c r="R37" s="93">
        <f t="shared" si="3"/>
        <v>0</v>
      </c>
      <c r="S37" s="93">
        <f t="shared" si="4"/>
        <v>0.81647058823529417</v>
      </c>
      <c r="T37" s="93">
        <f t="shared" si="5"/>
        <v>5.8823529411764705E-2</v>
      </c>
      <c r="U37" s="93">
        <f t="shared" si="6"/>
        <v>0.12470588235294118</v>
      </c>
      <c r="V37" s="93">
        <f t="shared" si="7"/>
        <v>0.85472972972972971</v>
      </c>
      <c r="W37" s="93">
        <f t="shared" si="8"/>
        <v>3.5472972972972971E-2</v>
      </c>
      <c r="X37" s="93">
        <f t="shared" si="9"/>
        <v>0.1097972972972973</v>
      </c>
    </row>
    <row r="38" spans="1:24" x14ac:dyDescent="0.2">
      <c r="A38" s="320">
        <v>69</v>
      </c>
      <c r="B38" s="93" t="s">
        <v>477</v>
      </c>
      <c r="C38" s="93">
        <v>129</v>
      </c>
      <c r="D38" s="93">
        <v>121</v>
      </c>
      <c r="E38" s="93">
        <v>3</v>
      </c>
      <c r="F38" s="93">
        <f t="shared" si="10"/>
        <v>5</v>
      </c>
      <c r="G38" s="93">
        <v>3136</v>
      </c>
      <c r="H38" s="93">
        <v>2869</v>
      </c>
      <c r="I38" s="93">
        <v>140</v>
      </c>
      <c r="J38" s="93">
        <f t="shared" si="11"/>
        <v>127</v>
      </c>
      <c r="K38" s="93">
        <v>2215</v>
      </c>
      <c r="L38" s="93">
        <v>1968</v>
      </c>
      <c r="M38" s="93">
        <v>152</v>
      </c>
      <c r="N38" s="93">
        <f t="shared" si="12"/>
        <v>95</v>
      </c>
      <c r="P38" s="93">
        <f t="shared" si="1"/>
        <v>0.93798449612403101</v>
      </c>
      <c r="Q38" s="93">
        <f t="shared" si="2"/>
        <v>2.3255813953488372E-2</v>
      </c>
      <c r="R38" s="93">
        <f t="shared" si="3"/>
        <v>3.875968992248062E-2</v>
      </c>
      <c r="S38" s="93">
        <f t="shared" si="4"/>
        <v>0.91485969387755106</v>
      </c>
      <c r="T38" s="93">
        <f t="shared" si="5"/>
        <v>4.4642857142857144E-2</v>
      </c>
      <c r="U38" s="93">
        <f t="shared" si="6"/>
        <v>4.0497448979591837E-2</v>
      </c>
      <c r="V38" s="93">
        <f t="shared" si="7"/>
        <v>0.8884875846501129</v>
      </c>
      <c r="W38" s="93">
        <f t="shared" si="8"/>
        <v>6.8623024830699778E-2</v>
      </c>
      <c r="X38" s="93">
        <f t="shared" si="9"/>
        <v>4.2889390519187359E-2</v>
      </c>
    </row>
    <row r="39" spans="1:24" x14ac:dyDescent="0.2">
      <c r="A39" s="320">
        <v>71</v>
      </c>
      <c r="B39" s="93" t="s">
        <v>478</v>
      </c>
      <c r="C39" s="93">
        <v>19</v>
      </c>
      <c r="D39" s="93">
        <v>19</v>
      </c>
      <c r="E39" s="93">
        <v>0</v>
      </c>
      <c r="F39" s="93">
        <f t="shared" si="10"/>
        <v>0</v>
      </c>
      <c r="G39" s="93">
        <v>107</v>
      </c>
      <c r="H39" s="93">
        <v>100</v>
      </c>
      <c r="I39" s="93">
        <v>2</v>
      </c>
      <c r="J39" s="93">
        <f t="shared" si="11"/>
        <v>5</v>
      </c>
      <c r="K39" s="93">
        <v>87</v>
      </c>
      <c r="L39" s="93">
        <v>83</v>
      </c>
      <c r="M39" s="93">
        <v>0</v>
      </c>
      <c r="N39" s="93">
        <f t="shared" si="12"/>
        <v>4</v>
      </c>
      <c r="P39" s="93">
        <f t="shared" si="1"/>
        <v>1</v>
      </c>
      <c r="Q39" s="93">
        <f t="shared" si="2"/>
        <v>0</v>
      </c>
      <c r="R39" s="93">
        <f t="shared" si="3"/>
        <v>0</v>
      </c>
      <c r="S39" s="93">
        <f t="shared" si="4"/>
        <v>0.93457943925233644</v>
      </c>
      <c r="T39" s="93">
        <f t="shared" si="5"/>
        <v>1.8691588785046728E-2</v>
      </c>
      <c r="U39" s="93">
        <f t="shared" si="6"/>
        <v>4.6728971962616821E-2</v>
      </c>
      <c r="V39" s="93">
        <f t="shared" si="7"/>
        <v>0.95402298850574707</v>
      </c>
      <c r="W39" s="93">
        <f t="shared" si="8"/>
        <v>0</v>
      </c>
      <c r="X39" s="93">
        <f t="shared" si="9"/>
        <v>4.5977011494252873E-2</v>
      </c>
    </row>
    <row r="40" spans="1:24" x14ac:dyDescent="0.2">
      <c r="A40" s="320">
        <v>73</v>
      </c>
      <c r="B40" s="93" t="s">
        <v>479</v>
      </c>
      <c r="C40" s="93">
        <v>55</v>
      </c>
      <c r="D40" s="93">
        <v>50</v>
      </c>
      <c r="E40" s="93">
        <v>3</v>
      </c>
      <c r="F40" s="93">
        <f t="shared" si="10"/>
        <v>2</v>
      </c>
      <c r="G40" s="93">
        <v>588</v>
      </c>
      <c r="H40" s="93">
        <v>513</v>
      </c>
      <c r="I40" s="93">
        <v>47</v>
      </c>
      <c r="J40" s="93">
        <f t="shared" si="11"/>
        <v>28</v>
      </c>
      <c r="K40" s="93">
        <v>335</v>
      </c>
      <c r="L40" s="93">
        <v>297</v>
      </c>
      <c r="M40" s="93">
        <v>26</v>
      </c>
      <c r="N40" s="93">
        <f t="shared" si="12"/>
        <v>12</v>
      </c>
      <c r="P40" s="93">
        <f t="shared" si="1"/>
        <v>0.90909090909090906</v>
      </c>
      <c r="Q40" s="93">
        <f t="shared" si="2"/>
        <v>5.4545454545454543E-2</v>
      </c>
      <c r="R40" s="93">
        <f t="shared" si="3"/>
        <v>3.6363636363636362E-2</v>
      </c>
      <c r="S40" s="93">
        <f t="shared" si="4"/>
        <v>0.87244897959183676</v>
      </c>
      <c r="T40" s="93">
        <f t="shared" si="5"/>
        <v>7.9931972789115652E-2</v>
      </c>
      <c r="U40" s="93">
        <f t="shared" si="6"/>
        <v>4.7619047619047616E-2</v>
      </c>
      <c r="V40" s="93">
        <f t="shared" si="7"/>
        <v>0.88656716417910453</v>
      </c>
      <c r="W40" s="93">
        <f t="shared" si="8"/>
        <v>7.7611940298507459E-2</v>
      </c>
      <c r="X40" s="93">
        <f t="shared" si="9"/>
        <v>3.5820895522388062E-2</v>
      </c>
    </row>
    <row r="41" spans="1:24" x14ac:dyDescent="0.2">
      <c r="A41" s="320">
        <v>75</v>
      </c>
      <c r="B41" s="93" t="s">
        <v>480</v>
      </c>
      <c r="C41" s="93">
        <v>17</v>
      </c>
      <c r="D41" s="93">
        <v>14</v>
      </c>
      <c r="E41" s="93">
        <v>3</v>
      </c>
      <c r="F41" s="93">
        <f t="shared" si="10"/>
        <v>0</v>
      </c>
      <c r="G41" s="93">
        <v>281</v>
      </c>
      <c r="H41" s="93">
        <v>251</v>
      </c>
      <c r="I41" s="93">
        <v>20</v>
      </c>
      <c r="J41" s="93">
        <f t="shared" si="11"/>
        <v>10</v>
      </c>
      <c r="K41" s="93">
        <v>160</v>
      </c>
      <c r="L41" s="93">
        <v>135</v>
      </c>
      <c r="M41" s="93">
        <v>16</v>
      </c>
      <c r="N41" s="93">
        <f t="shared" si="12"/>
        <v>9</v>
      </c>
      <c r="P41" s="93">
        <f t="shared" si="1"/>
        <v>0.82352941176470584</v>
      </c>
      <c r="Q41" s="93">
        <f t="shared" si="2"/>
        <v>0.17647058823529413</v>
      </c>
      <c r="R41" s="93">
        <f t="shared" si="3"/>
        <v>0</v>
      </c>
      <c r="S41" s="93">
        <f t="shared" si="4"/>
        <v>0.89323843416370108</v>
      </c>
      <c r="T41" s="93">
        <f t="shared" si="5"/>
        <v>7.1174377224199295E-2</v>
      </c>
      <c r="U41" s="93">
        <f t="shared" si="6"/>
        <v>3.5587188612099648E-2</v>
      </c>
      <c r="V41" s="93">
        <f t="shared" si="7"/>
        <v>0.84375</v>
      </c>
      <c r="W41" s="93">
        <f t="shared" si="8"/>
        <v>0.1</v>
      </c>
      <c r="X41" s="93">
        <f t="shared" si="9"/>
        <v>5.6250000000000001E-2</v>
      </c>
    </row>
    <row r="42" spans="1:24" x14ac:dyDescent="0.2">
      <c r="A42" s="320">
        <v>77</v>
      </c>
      <c r="B42" s="93" t="s">
        <v>481</v>
      </c>
      <c r="C42" s="93">
        <v>10</v>
      </c>
      <c r="D42" s="93">
        <v>9</v>
      </c>
      <c r="E42" s="93">
        <v>1</v>
      </c>
      <c r="F42" s="93">
        <f t="shared" si="10"/>
        <v>0</v>
      </c>
      <c r="G42" s="93">
        <v>252</v>
      </c>
      <c r="H42" s="93">
        <v>236</v>
      </c>
      <c r="I42" s="93">
        <v>6</v>
      </c>
      <c r="J42" s="93">
        <f t="shared" si="11"/>
        <v>10</v>
      </c>
      <c r="K42" s="93">
        <v>162</v>
      </c>
      <c r="L42" s="93">
        <v>155</v>
      </c>
      <c r="M42" s="93">
        <v>6</v>
      </c>
      <c r="N42" s="93">
        <f t="shared" si="12"/>
        <v>1</v>
      </c>
      <c r="P42" s="93">
        <f t="shared" si="1"/>
        <v>0.9</v>
      </c>
      <c r="Q42" s="93">
        <f t="shared" si="2"/>
        <v>0.1</v>
      </c>
      <c r="R42" s="93">
        <f t="shared" si="3"/>
        <v>0</v>
      </c>
      <c r="S42" s="93">
        <f t="shared" si="4"/>
        <v>0.93650793650793651</v>
      </c>
      <c r="T42" s="93">
        <f t="shared" si="5"/>
        <v>2.3809523809523808E-2</v>
      </c>
      <c r="U42" s="93">
        <f t="shared" si="6"/>
        <v>3.968253968253968E-2</v>
      </c>
      <c r="V42" s="93">
        <f t="shared" si="7"/>
        <v>0.95679012345679015</v>
      </c>
      <c r="W42" s="93">
        <f t="shared" si="8"/>
        <v>3.7037037037037035E-2</v>
      </c>
      <c r="X42" s="93">
        <f t="shared" si="9"/>
        <v>6.1728395061728392E-3</v>
      </c>
    </row>
    <row r="43" spans="1:24" x14ac:dyDescent="0.2">
      <c r="A43" s="320">
        <v>79</v>
      </c>
      <c r="B43" s="93" t="s">
        <v>482</v>
      </c>
      <c r="C43" s="93">
        <v>21</v>
      </c>
      <c r="D43" s="93">
        <v>21</v>
      </c>
      <c r="E43" s="93">
        <v>0</v>
      </c>
      <c r="F43" s="93">
        <f t="shared" si="10"/>
        <v>0</v>
      </c>
      <c r="G43" s="93">
        <v>482</v>
      </c>
      <c r="H43" s="93">
        <v>443</v>
      </c>
      <c r="I43" s="93">
        <v>14</v>
      </c>
      <c r="J43" s="93">
        <f t="shared" si="11"/>
        <v>25</v>
      </c>
      <c r="K43" s="93">
        <v>344</v>
      </c>
      <c r="L43" s="93">
        <v>307</v>
      </c>
      <c r="M43" s="93">
        <v>22</v>
      </c>
      <c r="N43" s="93">
        <f t="shared" si="12"/>
        <v>15</v>
      </c>
      <c r="P43" s="93">
        <f t="shared" si="1"/>
        <v>1</v>
      </c>
      <c r="Q43" s="93">
        <f t="shared" si="2"/>
        <v>0</v>
      </c>
      <c r="R43" s="93">
        <f t="shared" si="3"/>
        <v>0</v>
      </c>
      <c r="S43" s="93">
        <f t="shared" si="4"/>
        <v>0.91908713692946054</v>
      </c>
      <c r="T43" s="93">
        <f t="shared" si="5"/>
        <v>2.9045643153526972E-2</v>
      </c>
      <c r="U43" s="93">
        <f t="shared" si="6"/>
        <v>5.1867219917012451E-2</v>
      </c>
      <c r="V43" s="93">
        <f t="shared" si="7"/>
        <v>0.89244186046511631</v>
      </c>
      <c r="W43" s="93">
        <f t="shared" si="8"/>
        <v>6.3953488372093026E-2</v>
      </c>
      <c r="X43" s="93">
        <f t="shared" si="9"/>
        <v>4.3604651162790699E-2</v>
      </c>
    </row>
    <row r="44" spans="1:24" x14ac:dyDescent="0.2">
      <c r="A44" s="320">
        <v>81</v>
      </c>
      <c r="B44" s="93" t="s">
        <v>692</v>
      </c>
      <c r="C44" s="93">
        <v>12</v>
      </c>
      <c r="D44" s="93">
        <v>6</v>
      </c>
      <c r="E44" s="93">
        <v>5</v>
      </c>
      <c r="F44" s="93">
        <f>(C44-D44-E44)+1</f>
        <v>2</v>
      </c>
      <c r="G44" s="93">
        <v>328</v>
      </c>
      <c r="H44" s="93">
        <v>250</v>
      </c>
      <c r="I44" s="93">
        <v>64</v>
      </c>
      <c r="J44" s="93">
        <f>(G44-H44-I44)+12</f>
        <v>26</v>
      </c>
      <c r="K44" s="93">
        <v>143</v>
      </c>
      <c r="L44" s="93">
        <v>94</v>
      </c>
      <c r="M44" s="93">
        <v>44</v>
      </c>
      <c r="N44" s="93">
        <f>(K44-L44-M44)+4</f>
        <v>9</v>
      </c>
      <c r="P44" s="93">
        <f t="shared" si="1"/>
        <v>0.5</v>
      </c>
      <c r="Q44" s="93">
        <f t="shared" si="2"/>
        <v>0.41666666666666669</v>
      </c>
      <c r="R44" s="93">
        <f t="shared" si="3"/>
        <v>0.16666666666666666</v>
      </c>
      <c r="S44" s="93">
        <f t="shared" si="4"/>
        <v>0.76219512195121952</v>
      </c>
      <c r="T44" s="93">
        <f t="shared" si="5"/>
        <v>0.1951219512195122</v>
      </c>
      <c r="U44" s="93">
        <f t="shared" si="6"/>
        <v>7.926829268292683E-2</v>
      </c>
      <c r="V44" s="93">
        <f t="shared" si="7"/>
        <v>0.65734265734265729</v>
      </c>
      <c r="W44" s="93">
        <f t="shared" si="8"/>
        <v>0.30769230769230771</v>
      </c>
      <c r="X44" s="93">
        <f t="shared" si="9"/>
        <v>6.2937062937062943E-2</v>
      </c>
    </row>
    <row r="45" spans="1:24" x14ac:dyDescent="0.2">
      <c r="A45" s="320">
        <v>83</v>
      </c>
      <c r="B45" s="93" t="s">
        <v>775</v>
      </c>
      <c r="C45" s="93">
        <v>41</v>
      </c>
      <c r="D45" s="93">
        <v>32</v>
      </c>
      <c r="E45" s="93">
        <v>9</v>
      </c>
      <c r="F45" s="93">
        <f t="shared" si="10"/>
        <v>0</v>
      </c>
      <c r="G45" s="93">
        <v>344</v>
      </c>
      <c r="H45" s="93">
        <v>260</v>
      </c>
      <c r="I45" s="93">
        <v>68</v>
      </c>
      <c r="J45" s="93">
        <f t="shared" si="11"/>
        <v>16</v>
      </c>
      <c r="K45" s="93">
        <v>235</v>
      </c>
      <c r="L45" s="93">
        <v>181</v>
      </c>
      <c r="M45" s="93">
        <v>48</v>
      </c>
      <c r="N45" s="93">
        <f t="shared" si="12"/>
        <v>6</v>
      </c>
      <c r="P45" s="93">
        <f t="shared" si="1"/>
        <v>0.78048780487804881</v>
      </c>
      <c r="Q45" s="93">
        <f t="shared" si="2"/>
        <v>0.21951219512195122</v>
      </c>
      <c r="R45" s="93">
        <f t="shared" si="3"/>
        <v>0</v>
      </c>
      <c r="S45" s="93">
        <f t="shared" si="4"/>
        <v>0.7558139534883721</v>
      </c>
      <c r="T45" s="93">
        <f t="shared" si="5"/>
        <v>0.19767441860465115</v>
      </c>
      <c r="U45" s="93">
        <f t="shared" si="6"/>
        <v>4.6511627906976744E-2</v>
      </c>
      <c r="V45" s="93">
        <f t="shared" si="7"/>
        <v>0.77021276595744681</v>
      </c>
      <c r="W45" s="93">
        <f t="shared" si="8"/>
        <v>0.20425531914893616</v>
      </c>
      <c r="X45" s="93">
        <f t="shared" si="9"/>
        <v>2.553191489361702E-2</v>
      </c>
    </row>
    <row r="46" spans="1:24" x14ac:dyDescent="0.2">
      <c r="A46" s="320">
        <v>85</v>
      </c>
      <c r="B46" s="93" t="s">
        <v>483</v>
      </c>
      <c r="C46" s="93">
        <v>92</v>
      </c>
      <c r="D46" s="93">
        <v>84</v>
      </c>
      <c r="E46" s="93">
        <v>6</v>
      </c>
      <c r="F46" s="93">
        <f t="shared" si="10"/>
        <v>2</v>
      </c>
      <c r="G46" s="93">
        <v>1392</v>
      </c>
      <c r="H46" s="93">
        <v>1198</v>
      </c>
      <c r="I46" s="93">
        <v>103</v>
      </c>
      <c r="J46" s="93">
        <f t="shared" si="11"/>
        <v>91</v>
      </c>
      <c r="K46" s="93">
        <v>821</v>
      </c>
      <c r="L46" s="93">
        <v>695</v>
      </c>
      <c r="M46" s="93">
        <v>69</v>
      </c>
      <c r="N46" s="93">
        <f t="shared" si="12"/>
        <v>57</v>
      </c>
      <c r="P46" s="93">
        <f t="shared" si="1"/>
        <v>0.91304347826086951</v>
      </c>
      <c r="Q46" s="93">
        <f t="shared" si="2"/>
        <v>6.5217391304347824E-2</v>
      </c>
      <c r="R46" s="93">
        <f t="shared" si="3"/>
        <v>2.1739130434782608E-2</v>
      </c>
      <c r="S46" s="93">
        <f t="shared" si="4"/>
        <v>0.86063218390804597</v>
      </c>
      <c r="T46" s="93">
        <f t="shared" si="5"/>
        <v>7.3994252873563218E-2</v>
      </c>
      <c r="U46" s="93">
        <f t="shared" si="6"/>
        <v>6.5373563218390801E-2</v>
      </c>
      <c r="V46" s="93">
        <f t="shared" si="7"/>
        <v>0.84652862362971981</v>
      </c>
      <c r="W46" s="93">
        <f t="shared" si="8"/>
        <v>8.4043848964677217E-2</v>
      </c>
      <c r="X46" s="93">
        <f t="shared" si="9"/>
        <v>6.9427527405602929E-2</v>
      </c>
    </row>
    <row r="47" spans="1:24" x14ac:dyDescent="0.2">
      <c r="A47" s="320">
        <v>87</v>
      </c>
      <c r="B47" s="93" t="s">
        <v>484</v>
      </c>
      <c r="C47" s="93">
        <v>547</v>
      </c>
      <c r="D47" s="93">
        <v>462</v>
      </c>
      <c r="E47" s="93">
        <v>68</v>
      </c>
      <c r="F47" s="93">
        <f t="shared" si="10"/>
        <v>17</v>
      </c>
      <c r="G47" s="93">
        <v>9871</v>
      </c>
      <c r="H47" s="93">
        <v>8145</v>
      </c>
      <c r="I47" s="93">
        <v>1289</v>
      </c>
      <c r="J47" s="93">
        <f t="shared" si="11"/>
        <v>437</v>
      </c>
      <c r="K47" s="93">
        <v>5298</v>
      </c>
      <c r="L47" s="93">
        <v>4149</v>
      </c>
      <c r="M47" s="93">
        <v>905</v>
      </c>
      <c r="N47" s="93">
        <f t="shared" si="12"/>
        <v>244</v>
      </c>
      <c r="P47" s="93">
        <f t="shared" si="1"/>
        <v>0.84460694698354666</v>
      </c>
      <c r="Q47" s="93">
        <f t="shared" si="2"/>
        <v>0.12431444241316271</v>
      </c>
      <c r="R47" s="93">
        <f t="shared" si="3"/>
        <v>3.1078610603290677E-2</v>
      </c>
      <c r="S47" s="93">
        <f t="shared" si="4"/>
        <v>0.82514436227332588</v>
      </c>
      <c r="T47" s="93">
        <f t="shared" si="5"/>
        <v>0.13058454057339683</v>
      </c>
      <c r="U47" s="93">
        <f t="shared" si="6"/>
        <v>4.4271097153277275E-2</v>
      </c>
      <c r="V47" s="93">
        <f t="shared" si="7"/>
        <v>0.78312570781426949</v>
      </c>
      <c r="W47" s="93">
        <f t="shared" si="8"/>
        <v>0.17081917704794261</v>
      </c>
      <c r="X47" s="93">
        <f t="shared" si="9"/>
        <v>4.6055115137787844E-2</v>
      </c>
    </row>
    <row r="48" spans="1:24" x14ac:dyDescent="0.2">
      <c r="A48" s="320">
        <v>89</v>
      </c>
      <c r="B48" s="93" t="s">
        <v>776</v>
      </c>
      <c r="C48" s="93">
        <v>48</v>
      </c>
      <c r="D48" s="93">
        <v>38</v>
      </c>
      <c r="E48" s="93">
        <v>4</v>
      </c>
      <c r="F48" s="93">
        <f t="shared" si="10"/>
        <v>6</v>
      </c>
      <c r="G48" s="93">
        <v>1511</v>
      </c>
      <c r="H48" s="93">
        <v>1324</v>
      </c>
      <c r="I48" s="93">
        <v>116</v>
      </c>
      <c r="J48" s="93">
        <f t="shared" si="11"/>
        <v>71</v>
      </c>
      <c r="K48" s="93">
        <v>1126</v>
      </c>
      <c r="L48" s="93">
        <v>996</v>
      </c>
      <c r="M48" s="93">
        <v>88</v>
      </c>
      <c r="N48" s="93">
        <f t="shared" si="12"/>
        <v>42</v>
      </c>
      <c r="P48" s="93">
        <f t="shared" si="1"/>
        <v>0.79166666666666663</v>
      </c>
      <c r="Q48" s="93">
        <f t="shared" si="2"/>
        <v>8.3333333333333329E-2</v>
      </c>
      <c r="R48" s="93">
        <f t="shared" si="3"/>
        <v>0.125</v>
      </c>
      <c r="S48" s="93">
        <f t="shared" si="4"/>
        <v>0.87624090006618138</v>
      </c>
      <c r="T48" s="93">
        <f t="shared" si="5"/>
        <v>7.6770350761085376E-2</v>
      </c>
      <c r="U48" s="93">
        <f t="shared" si="6"/>
        <v>4.6988749172733289E-2</v>
      </c>
      <c r="V48" s="93">
        <f t="shared" si="7"/>
        <v>0.88454706927175841</v>
      </c>
      <c r="W48" s="93">
        <f t="shared" si="8"/>
        <v>7.8152753108348141E-2</v>
      </c>
      <c r="X48" s="93">
        <f t="shared" si="9"/>
        <v>3.7300177619893425E-2</v>
      </c>
    </row>
    <row r="49" spans="1:24" x14ac:dyDescent="0.2">
      <c r="A49" s="320">
        <v>91</v>
      </c>
      <c r="B49" s="93" t="s">
        <v>485</v>
      </c>
      <c r="C49" s="93">
        <v>4</v>
      </c>
      <c r="D49" s="93">
        <v>3</v>
      </c>
      <c r="E49" s="93">
        <v>0</v>
      </c>
      <c r="F49" s="93">
        <f t="shared" si="10"/>
        <v>1</v>
      </c>
      <c r="G49" s="93">
        <v>12</v>
      </c>
      <c r="H49" s="93">
        <v>12</v>
      </c>
      <c r="I49" s="93">
        <v>0</v>
      </c>
      <c r="J49" s="93">
        <f t="shared" si="11"/>
        <v>0</v>
      </c>
      <c r="K49" s="93">
        <v>5</v>
      </c>
      <c r="L49" s="93">
        <v>4</v>
      </c>
      <c r="M49" s="93">
        <v>1</v>
      </c>
      <c r="N49" s="93">
        <f t="shared" si="12"/>
        <v>0</v>
      </c>
      <c r="P49" s="93">
        <f t="shared" si="1"/>
        <v>0.75</v>
      </c>
      <c r="Q49" s="93">
        <f t="shared" si="2"/>
        <v>0</v>
      </c>
      <c r="R49" s="93">
        <f t="shared" si="3"/>
        <v>0.25</v>
      </c>
      <c r="S49" s="93">
        <f t="shared" si="4"/>
        <v>1</v>
      </c>
      <c r="T49" s="93">
        <f t="shared" si="5"/>
        <v>0</v>
      </c>
      <c r="U49" s="93">
        <f t="shared" si="6"/>
        <v>0</v>
      </c>
      <c r="V49" s="93">
        <f t="shared" si="7"/>
        <v>0.8</v>
      </c>
      <c r="W49" s="93">
        <f t="shared" si="8"/>
        <v>0.2</v>
      </c>
      <c r="X49" s="93">
        <f t="shared" si="9"/>
        <v>0</v>
      </c>
    </row>
    <row r="50" spans="1:24" x14ac:dyDescent="0.2">
      <c r="A50" s="320">
        <v>93</v>
      </c>
      <c r="B50" s="93" t="s">
        <v>486</v>
      </c>
      <c r="C50" s="93">
        <v>33</v>
      </c>
      <c r="D50" s="93">
        <v>26</v>
      </c>
      <c r="E50" s="93">
        <v>6</v>
      </c>
      <c r="F50" s="93">
        <f t="shared" si="10"/>
        <v>1</v>
      </c>
      <c r="G50" s="93">
        <v>396</v>
      </c>
      <c r="H50" s="93">
        <v>317</v>
      </c>
      <c r="I50" s="93">
        <v>45</v>
      </c>
      <c r="J50" s="93">
        <f t="shared" si="11"/>
        <v>34</v>
      </c>
      <c r="K50" s="93">
        <v>293</v>
      </c>
      <c r="L50" s="93">
        <v>226</v>
      </c>
      <c r="M50" s="93">
        <v>51</v>
      </c>
      <c r="N50" s="93">
        <f t="shared" si="12"/>
        <v>16</v>
      </c>
      <c r="P50" s="93">
        <f t="shared" si="1"/>
        <v>0.78787878787878785</v>
      </c>
      <c r="Q50" s="93">
        <f t="shared" si="2"/>
        <v>0.18181818181818182</v>
      </c>
      <c r="R50" s="93">
        <f t="shared" si="3"/>
        <v>3.0303030303030304E-2</v>
      </c>
      <c r="S50" s="93">
        <f t="shared" si="4"/>
        <v>0.8005050505050505</v>
      </c>
      <c r="T50" s="93">
        <f t="shared" si="5"/>
        <v>0.11363636363636363</v>
      </c>
      <c r="U50" s="93">
        <f t="shared" si="6"/>
        <v>8.5858585858585856E-2</v>
      </c>
      <c r="V50" s="93">
        <f t="shared" si="7"/>
        <v>0.77133105802047786</v>
      </c>
      <c r="W50" s="93">
        <f t="shared" si="8"/>
        <v>0.17406143344709898</v>
      </c>
      <c r="X50" s="93">
        <f t="shared" si="9"/>
        <v>5.4607508532423209E-2</v>
      </c>
    </row>
    <row r="51" spans="1:24" x14ac:dyDescent="0.2">
      <c r="A51" s="320">
        <v>95</v>
      </c>
      <c r="B51" s="93" t="s">
        <v>285</v>
      </c>
      <c r="C51" s="93">
        <v>159</v>
      </c>
      <c r="D51" s="93">
        <v>143</v>
      </c>
      <c r="E51" s="93">
        <v>13</v>
      </c>
      <c r="F51" s="93">
        <f t="shared" si="10"/>
        <v>3</v>
      </c>
      <c r="G51" s="93">
        <v>1980</v>
      </c>
      <c r="H51" s="93">
        <v>1747</v>
      </c>
      <c r="I51" s="93">
        <v>167</v>
      </c>
      <c r="J51" s="93">
        <f t="shared" si="11"/>
        <v>66</v>
      </c>
      <c r="K51" s="93">
        <v>1122</v>
      </c>
      <c r="L51" s="93">
        <v>978</v>
      </c>
      <c r="M51" s="93">
        <v>103</v>
      </c>
      <c r="N51" s="93">
        <f t="shared" si="12"/>
        <v>41</v>
      </c>
      <c r="P51" s="93">
        <f t="shared" si="1"/>
        <v>0.89937106918238996</v>
      </c>
      <c r="Q51" s="93">
        <f t="shared" si="2"/>
        <v>8.1761006289308172E-2</v>
      </c>
      <c r="R51" s="93">
        <f t="shared" si="3"/>
        <v>1.8867924528301886E-2</v>
      </c>
      <c r="S51" s="93">
        <f t="shared" si="4"/>
        <v>0.88232323232323229</v>
      </c>
      <c r="T51" s="93">
        <f t="shared" si="5"/>
        <v>8.4343434343434345E-2</v>
      </c>
      <c r="U51" s="93">
        <f t="shared" si="6"/>
        <v>3.3333333333333333E-2</v>
      </c>
      <c r="V51" s="93">
        <f t="shared" si="7"/>
        <v>0.87165775401069523</v>
      </c>
      <c r="W51" s="93">
        <f t="shared" si="8"/>
        <v>9.1800356506238856E-2</v>
      </c>
      <c r="X51" s="93">
        <f t="shared" si="9"/>
        <v>3.6541889483065956E-2</v>
      </c>
    </row>
    <row r="52" spans="1:24" x14ac:dyDescent="0.2">
      <c r="A52" s="320">
        <v>97</v>
      </c>
      <c r="B52" s="93" t="s">
        <v>487</v>
      </c>
      <c r="C52" s="93">
        <v>3</v>
      </c>
      <c r="D52" s="93">
        <v>3</v>
      </c>
      <c r="E52" s="93">
        <v>0</v>
      </c>
      <c r="F52" s="93">
        <f t="shared" si="10"/>
        <v>0</v>
      </c>
      <c r="G52" s="93">
        <v>121</v>
      </c>
      <c r="H52" s="93">
        <v>107</v>
      </c>
      <c r="I52" s="93">
        <v>8</v>
      </c>
      <c r="J52" s="93">
        <f t="shared" si="11"/>
        <v>6</v>
      </c>
      <c r="K52" s="93">
        <v>78</v>
      </c>
      <c r="L52" s="93">
        <v>63</v>
      </c>
      <c r="M52" s="93">
        <v>8</v>
      </c>
      <c r="N52" s="93">
        <f t="shared" si="12"/>
        <v>7</v>
      </c>
      <c r="P52" s="93">
        <f t="shared" si="1"/>
        <v>1</v>
      </c>
      <c r="Q52" s="93">
        <f t="shared" si="2"/>
        <v>0</v>
      </c>
      <c r="R52" s="93">
        <f t="shared" si="3"/>
        <v>0</v>
      </c>
      <c r="S52" s="93">
        <f t="shared" si="4"/>
        <v>0.88429752066115708</v>
      </c>
      <c r="T52" s="93">
        <f t="shared" si="5"/>
        <v>6.6115702479338845E-2</v>
      </c>
      <c r="U52" s="93">
        <f t="shared" si="6"/>
        <v>4.9586776859504134E-2</v>
      </c>
      <c r="V52" s="93">
        <f t="shared" si="7"/>
        <v>0.80769230769230771</v>
      </c>
      <c r="W52" s="93">
        <f t="shared" si="8"/>
        <v>0.10256410256410256</v>
      </c>
      <c r="X52" s="93">
        <f t="shared" si="9"/>
        <v>8.9743589743589744E-2</v>
      </c>
    </row>
    <row r="53" spans="1:24" x14ac:dyDescent="0.2">
      <c r="A53" s="320">
        <v>99</v>
      </c>
      <c r="B53" s="93" t="s">
        <v>488</v>
      </c>
      <c r="C53" s="93">
        <v>25</v>
      </c>
      <c r="D53" s="93">
        <v>22</v>
      </c>
      <c r="E53" s="93">
        <v>3</v>
      </c>
      <c r="F53" s="93">
        <f t="shared" si="10"/>
        <v>0</v>
      </c>
      <c r="G53" s="93">
        <v>530</v>
      </c>
      <c r="H53" s="93">
        <v>450</v>
      </c>
      <c r="I53" s="93">
        <v>40</v>
      </c>
      <c r="J53" s="93">
        <f t="shared" si="11"/>
        <v>40</v>
      </c>
      <c r="K53" s="93">
        <v>308</v>
      </c>
      <c r="L53" s="93">
        <v>255</v>
      </c>
      <c r="M53" s="93">
        <v>40</v>
      </c>
      <c r="N53" s="93">
        <f t="shared" si="12"/>
        <v>13</v>
      </c>
      <c r="P53" s="93">
        <f t="shared" si="1"/>
        <v>0.88</v>
      </c>
      <c r="Q53" s="93">
        <f t="shared" si="2"/>
        <v>0.12</v>
      </c>
      <c r="R53" s="93">
        <f t="shared" si="3"/>
        <v>0</v>
      </c>
      <c r="S53" s="93">
        <f t="shared" si="4"/>
        <v>0.84905660377358494</v>
      </c>
      <c r="T53" s="93">
        <f t="shared" si="5"/>
        <v>7.5471698113207544E-2</v>
      </c>
      <c r="U53" s="93">
        <f t="shared" si="6"/>
        <v>7.5471698113207544E-2</v>
      </c>
      <c r="V53" s="93">
        <f t="shared" si="7"/>
        <v>0.82792207792207795</v>
      </c>
      <c r="W53" s="93">
        <f t="shared" si="8"/>
        <v>0.12987012987012986</v>
      </c>
      <c r="X53" s="93">
        <f t="shared" si="9"/>
        <v>4.2207792207792208E-2</v>
      </c>
    </row>
    <row r="54" spans="1:24" x14ac:dyDescent="0.2">
      <c r="A54" s="320">
        <v>101</v>
      </c>
      <c r="B54" s="93" t="s">
        <v>489</v>
      </c>
      <c r="C54" s="93">
        <v>12</v>
      </c>
      <c r="D54" s="93">
        <v>10</v>
      </c>
      <c r="E54" s="93">
        <v>0</v>
      </c>
      <c r="F54" s="93">
        <f t="shared" si="10"/>
        <v>2</v>
      </c>
      <c r="G54" s="93">
        <v>204</v>
      </c>
      <c r="H54" s="93">
        <v>162</v>
      </c>
      <c r="I54" s="93">
        <v>27</v>
      </c>
      <c r="J54" s="93">
        <f t="shared" si="11"/>
        <v>15</v>
      </c>
      <c r="K54" s="93">
        <v>140</v>
      </c>
      <c r="L54" s="93">
        <v>122</v>
      </c>
      <c r="M54" s="93">
        <v>13</v>
      </c>
      <c r="N54" s="93">
        <f t="shared" si="12"/>
        <v>5</v>
      </c>
      <c r="P54" s="93">
        <f t="shared" si="1"/>
        <v>0.83333333333333337</v>
      </c>
      <c r="Q54" s="93">
        <f t="shared" si="2"/>
        <v>0</v>
      </c>
      <c r="R54" s="93">
        <f t="shared" si="3"/>
        <v>0.16666666666666666</v>
      </c>
      <c r="S54" s="93">
        <f t="shared" si="4"/>
        <v>0.79411764705882348</v>
      </c>
      <c r="T54" s="93">
        <f t="shared" si="5"/>
        <v>0.13235294117647059</v>
      </c>
      <c r="U54" s="93">
        <f t="shared" si="6"/>
        <v>7.3529411764705885E-2</v>
      </c>
      <c r="V54" s="93">
        <f t="shared" si="7"/>
        <v>0.87142857142857144</v>
      </c>
      <c r="W54" s="93">
        <f t="shared" si="8"/>
        <v>9.285714285714286E-2</v>
      </c>
      <c r="X54" s="93">
        <f t="shared" si="9"/>
        <v>3.5714285714285712E-2</v>
      </c>
    </row>
    <row r="55" spans="1:24" x14ac:dyDescent="0.2">
      <c r="A55" s="320">
        <v>103</v>
      </c>
      <c r="B55" s="93" t="s">
        <v>490</v>
      </c>
      <c r="C55" s="93">
        <v>22</v>
      </c>
      <c r="D55" s="93">
        <v>15</v>
      </c>
      <c r="E55" s="93">
        <v>7</v>
      </c>
      <c r="F55" s="93">
        <f t="shared" si="10"/>
        <v>0</v>
      </c>
      <c r="G55" s="93">
        <v>70</v>
      </c>
      <c r="H55" s="93">
        <v>54</v>
      </c>
      <c r="I55" s="93">
        <v>7</v>
      </c>
      <c r="J55" s="93">
        <f t="shared" si="11"/>
        <v>9</v>
      </c>
      <c r="K55" s="93">
        <v>49</v>
      </c>
      <c r="L55" s="93">
        <v>34</v>
      </c>
      <c r="M55" s="93">
        <v>13</v>
      </c>
      <c r="N55" s="93">
        <f t="shared" si="12"/>
        <v>2</v>
      </c>
      <c r="P55" s="93">
        <f t="shared" si="1"/>
        <v>0.68181818181818177</v>
      </c>
      <c r="Q55" s="93">
        <f t="shared" si="2"/>
        <v>0.31818181818181818</v>
      </c>
      <c r="R55" s="93">
        <f t="shared" si="3"/>
        <v>0</v>
      </c>
      <c r="S55" s="93">
        <f t="shared" si="4"/>
        <v>0.77142857142857146</v>
      </c>
      <c r="T55" s="93">
        <f t="shared" si="5"/>
        <v>0.1</v>
      </c>
      <c r="U55" s="93">
        <f t="shared" si="6"/>
        <v>0.12857142857142856</v>
      </c>
      <c r="V55" s="93">
        <f t="shared" si="7"/>
        <v>0.69387755102040816</v>
      </c>
      <c r="W55" s="93">
        <f t="shared" si="8"/>
        <v>0.26530612244897961</v>
      </c>
      <c r="X55" s="93">
        <f t="shared" si="9"/>
        <v>4.0816326530612242E-2</v>
      </c>
    </row>
    <row r="56" spans="1:24" x14ac:dyDescent="0.2">
      <c r="A56" s="320">
        <v>105</v>
      </c>
      <c r="B56" s="93" t="s">
        <v>491</v>
      </c>
      <c r="C56" s="93">
        <v>11</v>
      </c>
      <c r="D56" s="93">
        <v>9</v>
      </c>
      <c r="E56" s="93">
        <v>1</v>
      </c>
      <c r="F56" s="93">
        <f t="shared" si="10"/>
        <v>1</v>
      </c>
      <c r="G56" s="93">
        <v>345</v>
      </c>
      <c r="H56" s="93">
        <v>277</v>
      </c>
      <c r="I56" s="93">
        <v>55</v>
      </c>
      <c r="J56" s="93">
        <f t="shared" si="11"/>
        <v>13</v>
      </c>
      <c r="K56" s="93">
        <v>70</v>
      </c>
      <c r="L56" s="93">
        <v>67</v>
      </c>
      <c r="M56" s="93">
        <v>0</v>
      </c>
      <c r="N56" s="93">
        <f t="shared" si="12"/>
        <v>3</v>
      </c>
      <c r="P56" s="93">
        <f t="shared" si="1"/>
        <v>0.81818181818181823</v>
      </c>
      <c r="Q56" s="93">
        <f t="shared" si="2"/>
        <v>9.0909090909090912E-2</v>
      </c>
      <c r="R56" s="93">
        <f t="shared" si="3"/>
        <v>9.0909090909090912E-2</v>
      </c>
      <c r="S56" s="93">
        <f t="shared" si="4"/>
        <v>0.80289855072463767</v>
      </c>
      <c r="T56" s="93">
        <f t="shared" si="5"/>
        <v>0.15942028985507245</v>
      </c>
      <c r="U56" s="93">
        <f t="shared" si="6"/>
        <v>3.7681159420289857E-2</v>
      </c>
      <c r="V56" s="93">
        <f t="shared" si="7"/>
        <v>0.95714285714285718</v>
      </c>
      <c r="W56" s="93">
        <f t="shared" si="8"/>
        <v>0</v>
      </c>
      <c r="X56" s="93">
        <f t="shared" si="9"/>
        <v>4.2857142857142858E-2</v>
      </c>
    </row>
    <row r="57" spans="1:24" x14ac:dyDescent="0.2">
      <c r="A57" s="320">
        <v>107</v>
      </c>
      <c r="B57" s="93" t="s">
        <v>492</v>
      </c>
      <c r="C57" s="93">
        <v>1182</v>
      </c>
      <c r="D57" s="93">
        <v>1094</v>
      </c>
      <c r="E57" s="93">
        <v>42</v>
      </c>
      <c r="F57" s="93">
        <f t="shared" si="10"/>
        <v>46</v>
      </c>
      <c r="G57" s="93">
        <v>25826</v>
      </c>
      <c r="H57" s="93">
        <v>23649</v>
      </c>
      <c r="I57" s="93">
        <v>1045</v>
      </c>
      <c r="J57" s="93">
        <f t="shared" si="11"/>
        <v>1132</v>
      </c>
      <c r="K57" s="93">
        <v>13833</v>
      </c>
      <c r="L57" s="93">
        <v>12233</v>
      </c>
      <c r="M57" s="93">
        <v>812</v>
      </c>
      <c r="N57" s="93">
        <f t="shared" si="12"/>
        <v>788</v>
      </c>
      <c r="P57" s="93">
        <f t="shared" si="1"/>
        <v>0.9255499153976311</v>
      </c>
      <c r="Q57" s="93">
        <f t="shared" si="2"/>
        <v>3.553299492385787E-2</v>
      </c>
      <c r="R57" s="93">
        <f t="shared" si="3"/>
        <v>3.8917089678510999E-2</v>
      </c>
      <c r="S57" s="93">
        <f t="shared" si="4"/>
        <v>0.91570510338418643</v>
      </c>
      <c r="T57" s="93">
        <f t="shared" si="5"/>
        <v>4.0463099202354219E-2</v>
      </c>
      <c r="U57" s="93">
        <f t="shared" si="6"/>
        <v>4.3831797413459307E-2</v>
      </c>
      <c r="V57" s="93">
        <f t="shared" si="7"/>
        <v>0.88433456227860907</v>
      </c>
      <c r="W57" s="93">
        <f t="shared" si="8"/>
        <v>5.8700209643605873E-2</v>
      </c>
      <c r="X57" s="93">
        <f t="shared" si="9"/>
        <v>5.6965228077785007E-2</v>
      </c>
    </row>
    <row r="58" spans="1:24" x14ac:dyDescent="0.2">
      <c r="A58" s="320">
        <v>109</v>
      </c>
      <c r="B58" s="93" t="s">
        <v>493</v>
      </c>
      <c r="C58" s="93">
        <v>39</v>
      </c>
      <c r="D58" s="93">
        <v>33</v>
      </c>
      <c r="E58" s="93">
        <v>6</v>
      </c>
      <c r="F58" s="93">
        <f t="shared" si="10"/>
        <v>0</v>
      </c>
      <c r="G58" s="93">
        <v>465</v>
      </c>
      <c r="H58" s="93">
        <v>392</v>
      </c>
      <c r="I58" s="93">
        <v>48</v>
      </c>
      <c r="J58" s="93">
        <f t="shared" si="11"/>
        <v>25</v>
      </c>
      <c r="K58" s="93">
        <v>283</v>
      </c>
      <c r="L58" s="93">
        <v>251</v>
      </c>
      <c r="M58" s="93">
        <v>26</v>
      </c>
      <c r="N58" s="93">
        <f t="shared" si="12"/>
        <v>6</v>
      </c>
      <c r="P58" s="93">
        <f t="shared" si="1"/>
        <v>0.84615384615384615</v>
      </c>
      <c r="Q58" s="93">
        <f t="shared" si="2"/>
        <v>0.15384615384615385</v>
      </c>
      <c r="R58" s="93">
        <f t="shared" si="3"/>
        <v>0</v>
      </c>
      <c r="S58" s="93">
        <f t="shared" si="4"/>
        <v>0.84301075268817205</v>
      </c>
      <c r="T58" s="93">
        <f t="shared" si="5"/>
        <v>0.1032258064516129</v>
      </c>
      <c r="U58" s="93">
        <f t="shared" si="6"/>
        <v>5.3763440860215055E-2</v>
      </c>
      <c r="V58" s="93">
        <f t="shared" si="7"/>
        <v>0.88692579505300351</v>
      </c>
      <c r="W58" s="93">
        <f t="shared" si="8"/>
        <v>9.187279151943463E-2</v>
      </c>
      <c r="X58" s="93">
        <f t="shared" si="9"/>
        <v>2.1201413427561839E-2</v>
      </c>
    </row>
    <row r="59" spans="1:24" x14ac:dyDescent="0.2">
      <c r="A59" s="320">
        <v>111</v>
      </c>
      <c r="B59" s="93" t="s">
        <v>494</v>
      </c>
      <c r="C59" s="93">
        <v>15</v>
      </c>
      <c r="D59" s="93">
        <v>10</v>
      </c>
      <c r="E59" s="93">
        <v>4</v>
      </c>
      <c r="F59" s="93">
        <f t="shared" si="10"/>
        <v>1</v>
      </c>
      <c r="G59" s="93">
        <v>316</v>
      </c>
      <c r="H59" s="93">
        <v>252</v>
      </c>
      <c r="I59" s="93">
        <v>47</v>
      </c>
      <c r="J59" s="93">
        <f t="shared" si="11"/>
        <v>17</v>
      </c>
      <c r="K59" s="93">
        <v>173</v>
      </c>
      <c r="L59" s="93">
        <v>135</v>
      </c>
      <c r="M59" s="93">
        <v>31</v>
      </c>
      <c r="N59" s="93">
        <f t="shared" si="12"/>
        <v>7</v>
      </c>
      <c r="P59" s="93">
        <f t="shared" si="1"/>
        <v>0.66666666666666663</v>
      </c>
      <c r="Q59" s="93">
        <f t="shared" si="2"/>
        <v>0.26666666666666666</v>
      </c>
      <c r="R59" s="93">
        <f t="shared" si="3"/>
        <v>6.6666666666666666E-2</v>
      </c>
      <c r="S59" s="93">
        <f t="shared" si="4"/>
        <v>0.79746835443037978</v>
      </c>
      <c r="T59" s="93">
        <f t="shared" si="5"/>
        <v>0.14873417721518986</v>
      </c>
      <c r="U59" s="93">
        <f t="shared" si="6"/>
        <v>5.3797468354430382E-2</v>
      </c>
      <c r="V59" s="93">
        <f t="shared" si="7"/>
        <v>0.78034682080924855</v>
      </c>
      <c r="W59" s="93">
        <f t="shared" si="8"/>
        <v>0.1791907514450867</v>
      </c>
      <c r="X59" s="93">
        <f t="shared" si="9"/>
        <v>4.046242774566474E-2</v>
      </c>
    </row>
    <row r="60" spans="1:24" x14ac:dyDescent="0.2">
      <c r="A60" s="320">
        <v>113</v>
      </c>
      <c r="B60" s="93" t="s">
        <v>495</v>
      </c>
      <c r="C60" s="93">
        <v>12</v>
      </c>
      <c r="D60" s="93">
        <v>12</v>
      </c>
      <c r="E60" s="93">
        <v>0</v>
      </c>
      <c r="F60" s="93">
        <f t="shared" si="10"/>
        <v>0</v>
      </c>
      <c r="G60" s="93">
        <v>133</v>
      </c>
      <c r="H60" s="93">
        <v>122</v>
      </c>
      <c r="I60" s="93">
        <v>3</v>
      </c>
      <c r="J60" s="93">
        <f t="shared" si="11"/>
        <v>8</v>
      </c>
      <c r="K60" s="93">
        <v>97</v>
      </c>
      <c r="L60" s="93">
        <v>87</v>
      </c>
      <c r="M60" s="93">
        <v>10</v>
      </c>
      <c r="N60" s="93">
        <f t="shared" si="12"/>
        <v>0</v>
      </c>
      <c r="P60" s="93">
        <f t="shared" si="1"/>
        <v>1</v>
      </c>
      <c r="Q60" s="93">
        <f t="shared" si="2"/>
        <v>0</v>
      </c>
      <c r="R60" s="93">
        <f t="shared" si="3"/>
        <v>0</v>
      </c>
      <c r="S60" s="93">
        <f t="shared" si="4"/>
        <v>0.91729323308270672</v>
      </c>
      <c r="T60" s="93">
        <f t="shared" si="5"/>
        <v>2.2556390977443608E-2</v>
      </c>
      <c r="U60" s="93">
        <f t="shared" si="6"/>
        <v>6.0150375939849621E-2</v>
      </c>
      <c r="V60" s="93">
        <f t="shared" si="7"/>
        <v>0.89690721649484539</v>
      </c>
      <c r="W60" s="93">
        <f t="shared" si="8"/>
        <v>0.10309278350515463</v>
      </c>
      <c r="X60" s="93">
        <f t="shared" si="9"/>
        <v>0</v>
      </c>
    </row>
    <row r="61" spans="1:24" x14ac:dyDescent="0.2">
      <c r="A61" s="320">
        <v>115</v>
      </c>
      <c r="B61" s="93" t="s">
        <v>496</v>
      </c>
      <c r="C61" s="93">
        <v>8</v>
      </c>
      <c r="D61" s="93">
        <v>8</v>
      </c>
      <c r="E61" s="93">
        <v>0</v>
      </c>
      <c r="F61" s="93">
        <f t="shared" si="10"/>
        <v>0</v>
      </c>
      <c r="G61" s="93">
        <v>84</v>
      </c>
      <c r="H61" s="93">
        <v>77</v>
      </c>
      <c r="I61" s="93">
        <v>2</v>
      </c>
      <c r="J61" s="93">
        <f t="shared" si="11"/>
        <v>5</v>
      </c>
      <c r="K61" s="93">
        <v>46</v>
      </c>
      <c r="L61" s="93">
        <v>46</v>
      </c>
      <c r="M61" s="93">
        <v>0</v>
      </c>
      <c r="N61" s="93">
        <f t="shared" si="12"/>
        <v>0</v>
      </c>
      <c r="P61" s="93">
        <f t="shared" si="1"/>
        <v>1</v>
      </c>
      <c r="Q61" s="93">
        <f t="shared" si="2"/>
        <v>0</v>
      </c>
      <c r="R61" s="93">
        <f t="shared" si="3"/>
        <v>0</v>
      </c>
      <c r="S61" s="93">
        <f t="shared" si="4"/>
        <v>0.91666666666666663</v>
      </c>
      <c r="T61" s="93">
        <f t="shared" si="5"/>
        <v>2.3809523809523808E-2</v>
      </c>
      <c r="U61" s="93">
        <f t="shared" si="6"/>
        <v>5.9523809523809521E-2</v>
      </c>
      <c r="V61" s="93">
        <f t="shared" si="7"/>
        <v>1</v>
      </c>
      <c r="W61" s="93">
        <f t="shared" si="8"/>
        <v>0</v>
      </c>
      <c r="X61" s="93">
        <f t="shared" si="9"/>
        <v>0</v>
      </c>
    </row>
    <row r="62" spans="1:24" x14ac:dyDescent="0.2">
      <c r="A62" s="320">
        <v>117</v>
      </c>
      <c r="B62" s="93" t="s">
        <v>497</v>
      </c>
      <c r="C62" s="93">
        <v>65</v>
      </c>
      <c r="D62" s="93">
        <v>42</v>
      </c>
      <c r="E62" s="93">
        <v>16</v>
      </c>
      <c r="F62" s="93">
        <f t="shared" si="10"/>
        <v>7</v>
      </c>
      <c r="G62" s="93">
        <v>550</v>
      </c>
      <c r="H62" s="93">
        <v>453</v>
      </c>
      <c r="I62" s="93">
        <v>88</v>
      </c>
      <c r="J62" s="93">
        <f t="shared" si="11"/>
        <v>9</v>
      </c>
      <c r="K62" s="93">
        <v>256</v>
      </c>
      <c r="L62" s="93">
        <v>195</v>
      </c>
      <c r="M62" s="93">
        <v>59</v>
      </c>
      <c r="N62" s="93">
        <f t="shared" si="12"/>
        <v>2</v>
      </c>
      <c r="P62" s="93">
        <f t="shared" si="1"/>
        <v>0.64615384615384619</v>
      </c>
      <c r="Q62" s="93">
        <f t="shared" si="2"/>
        <v>0.24615384615384617</v>
      </c>
      <c r="R62" s="93">
        <f t="shared" si="3"/>
        <v>0.1076923076923077</v>
      </c>
      <c r="S62" s="93">
        <f t="shared" si="4"/>
        <v>0.82363636363636361</v>
      </c>
      <c r="T62" s="93">
        <f t="shared" si="5"/>
        <v>0.16</v>
      </c>
      <c r="U62" s="93">
        <f t="shared" si="6"/>
        <v>1.6363636363636365E-2</v>
      </c>
      <c r="V62" s="93">
        <f t="shared" si="7"/>
        <v>0.76171875</v>
      </c>
      <c r="W62" s="93">
        <f t="shared" si="8"/>
        <v>0.23046875</v>
      </c>
      <c r="X62" s="93">
        <f t="shared" si="9"/>
        <v>7.8125E-3</v>
      </c>
    </row>
    <row r="63" spans="1:24" x14ac:dyDescent="0.2">
      <c r="A63" s="320">
        <v>119</v>
      </c>
      <c r="B63" s="93" t="s">
        <v>498</v>
      </c>
      <c r="C63" s="93">
        <v>8</v>
      </c>
      <c r="D63" s="93">
        <v>4</v>
      </c>
      <c r="E63" s="93">
        <v>2</v>
      </c>
      <c r="F63" s="93">
        <f t="shared" si="10"/>
        <v>2</v>
      </c>
      <c r="G63" s="93">
        <v>113</v>
      </c>
      <c r="H63" s="93">
        <v>94</v>
      </c>
      <c r="I63" s="93">
        <v>17</v>
      </c>
      <c r="J63" s="93">
        <f t="shared" si="11"/>
        <v>2</v>
      </c>
      <c r="K63" s="93">
        <v>49</v>
      </c>
      <c r="L63" s="93">
        <v>43</v>
      </c>
      <c r="M63" s="93">
        <v>5</v>
      </c>
      <c r="N63" s="93">
        <f t="shared" si="12"/>
        <v>1</v>
      </c>
      <c r="P63" s="93">
        <f t="shared" si="1"/>
        <v>0.5</v>
      </c>
      <c r="Q63" s="93">
        <f t="shared" si="2"/>
        <v>0.25</v>
      </c>
      <c r="R63" s="93">
        <f t="shared" si="3"/>
        <v>0.25</v>
      </c>
      <c r="S63" s="93">
        <f t="shared" si="4"/>
        <v>0.83185840707964598</v>
      </c>
      <c r="T63" s="93">
        <f t="shared" si="5"/>
        <v>0.15044247787610621</v>
      </c>
      <c r="U63" s="93">
        <f t="shared" si="6"/>
        <v>1.7699115044247787E-2</v>
      </c>
      <c r="V63" s="93">
        <f t="shared" si="7"/>
        <v>0.87755102040816324</v>
      </c>
      <c r="W63" s="93">
        <f t="shared" si="8"/>
        <v>0.10204081632653061</v>
      </c>
      <c r="X63" s="93">
        <f t="shared" si="9"/>
        <v>2.0408163265306121E-2</v>
      </c>
    </row>
    <row r="64" spans="1:24" x14ac:dyDescent="0.2">
      <c r="A64" s="320">
        <v>121</v>
      </c>
      <c r="B64" s="93" t="s">
        <v>499</v>
      </c>
      <c r="C64" s="93">
        <v>74</v>
      </c>
      <c r="D64" s="93">
        <v>69</v>
      </c>
      <c r="E64" s="93">
        <v>4</v>
      </c>
      <c r="F64" s="93">
        <f t="shared" si="10"/>
        <v>1</v>
      </c>
      <c r="G64" s="93">
        <v>2075</v>
      </c>
      <c r="H64" s="93">
        <v>1799</v>
      </c>
      <c r="I64" s="93">
        <v>116</v>
      </c>
      <c r="J64" s="93">
        <f t="shared" si="11"/>
        <v>160</v>
      </c>
      <c r="K64" s="93">
        <v>540</v>
      </c>
      <c r="L64" s="93">
        <v>472</v>
      </c>
      <c r="M64" s="93">
        <v>31</v>
      </c>
      <c r="N64" s="93">
        <f t="shared" si="12"/>
        <v>37</v>
      </c>
      <c r="P64" s="93">
        <f t="shared" si="1"/>
        <v>0.93243243243243246</v>
      </c>
      <c r="Q64" s="93">
        <f t="shared" si="2"/>
        <v>5.4054054054054057E-2</v>
      </c>
      <c r="R64" s="93">
        <f t="shared" si="3"/>
        <v>1.3513513513513514E-2</v>
      </c>
      <c r="S64" s="93">
        <f t="shared" si="4"/>
        <v>0.86698795180722887</v>
      </c>
      <c r="T64" s="93">
        <f t="shared" si="5"/>
        <v>5.5903614457831326E-2</v>
      </c>
      <c r="U64" s="93">
        <f t="shared" si="6"/>
        <v>7.7108433734939766E-2</v>
      </c>
      <c r="V64" s="93">
        <f t="shared" si="7"/>
        <v>0.87407407407407411</v>
      </c>
      <c r="W64" s="93">
        <f t="shared" si="8"/>
        <v>5.7407407407407407E-2</v>
      </c>
      <c r="X64" s="93">
        <f t="shared" si="9"/>
        <v>6.851851851851852E-2</v>
      </c>
    </row>
    <row r="65" spans="1:24" x14ac:dyDescent="0.2">
      <c r="A65" s="320">
        <v>125</v>
      </c>
      <c r="B65" s="93" t="s">
        <v>500</v>
      </c>
      <c r="C65" s="93">
        <v>23</v>
      </c>
      <c r="D65" s="93">
        <v>19</v>
      </c>
      <c r="E65" s="93">
        <v>2</v>
      </c>
      <c r="F65" s="93">
        <f t="shared" si="10"/>
        <v>2</v>
      </c>
      <c r="G65" s="93">
        <v>297</v>
      </c>
      <c r="H65" s="93">
        <v>254</v>
      </c>
      <c r="I65" s="93">
        <v>26</v>
      </c>
      <c r="J65" s="93">
        <f t="shared" si="11"/>
        <v>17</v>
      </c>
      <c r="K65" s="93">
        <v>187</v>
      </c>
      <c r="L65" s="93">
        <v>149</v>
      </c>
      <c r="M65" s="93">
        <v>32</v>
      </c>
      <c r="N65" s="93">
        <f t="shared" si="12"/>
        <v>6</v>
      </c>
      <c r="P65" s="93">
        <f t="shared" si="1"/>
        <v>0.82608695652173914</v>
      </c>
      <c r="Q65" s="93">
        <f t="shared" si="2"/>
        <v>8.6956521739130432E-2</v>
      </c>
      <c r="R65" s="93">
        <f t="shared" si="3"/>
        <v>8.6956521739130432E-2</v>
      </c>
      <c r="S65" s="93">
        <f t="shared" si="4"/>
        <v>0.85521885521885521</v>
      </c>
      <c r="T65" s="93">
        <f t="shared" si="5"/>
        <v>8.7542087542087546E-2</v>
      </c>
      <c r="U65" s="93">
        <f t="shared" si="6"/>
        <v>5.7239057239057242E-2</v>
      </c>
      <c r="V65" s="93">
        <f t="shared" si="7"/>
        <v>0.79679144385026734</v>
      </c>
      <c r="W65" s="93">
        <f t="shared" si="8"/>
        <v>0.17112299465240641</v>
      </c>
      <c r="X65" s="93">
        <f t="shared" si="9"/>
        <v>3.2085561497326207E-2</v>
      </c>
    </row>
    <row r="66" spans="1:24" x14ac:dyDescent="0.2">
      <c r="A66" s="320">
        <v>127</v>
      </c>
      <c r="B66" s="93" t="s">
        <v>501</v>
      </c>
      <c r="C66" s="93">
        <v>15</v>
      </c>
      <c r="D66" s="93">
        <v>14</v>
      </c>
      <c r="E66" s="93">
        <v>0</v>
      </c>
      <c r="F66" s="93">
        <f t="shared" si="10"/>
        <v>1</v>
      </c>
      <c r="G66" s="93">
        <v>230</v>
      </c>
      <c r="H66" s="93">
        <v>202</v>
      </c>
      <c r="I66" s="93">
        <v>16</v>
      </c>
      <c r="J66" s="93">
        <f t="shared" si="11"/>
        <v>12</v>
      </c>
      <c r="K66" s="93">
        <v>165</v>
      </c>
      <c r="L66" s="93">
        <v>142</v>
      </c>
      <c r="M66" s="93">
        <v>9</v>
      </c>
      <c r="N66" s="93">
        <f t="shared" si="12"/>
        <v>14</v>
      </c>
      <c r="P66" s="93">
        <f t="shared" si="1"/>
        <v>0.93333333333333335</v>
      </c>
      <c r="Q66" s="93">
        <f t="shared" si="2"/>
        <v>0</v>
      </c>
      <c r="R66" s="93">
        <f t="shared" si="3"/>
        <v>6.6666666666666666E-2</v>
      </c>
      <c r="S66" s="93">
        <f t="shared" si="4"/>
        <v>0.87826086956521743</v>
      </c>
      <c r="T66" s="93">
        <f t="shared" si="5"/>
        <v>6.9565217391304349E-2</v>
      </c>
      <c r="U66" s="93">
        <f t="shared" si="6"/>
        <v>5.2173913043478258E-2</v>
      </c>
      <c r="V66" s="93">
        <f t="shared" si="7"/>
        <v>0.8606060606060606</v>
      </c>
      <c r="W66" s="93">
        <f t="shared" si="8"/>
        <v>5.4545454545454543E-2</v>
      </c>
      <c r="X66" s="93">
        <f t="shared" si="9"/>
        <v>8.4848484848484854E-2</v>
      </c>
    </row>
    <row r="67" spans="1:24" x14ac:dyDescent="0.2">
      <c r="A67" s="320">
        <v>131</v>
      </c>
      <c r="B67" s="93" t="s">
        <v>502</v>
      </c>
      <c r="C67" s="93">
        <v>32</v>
      </c>
      <c r="D67" s="93">
        <v>28</v>
      </c>
      <c r="E67" s="93">
        <v>3</v>
      </c>
      <c r="F67" s="93">
        <f t="shared" si="10"/>
        <v>1</v>
      </c>
      <c r="G67" s="93">
        <v>545</v>
      </c>
      <c r="H67" s="93">
        <v>495</v>
      </c>
      <c r="I67" s="93">
        <v>30</v>
      </c>
      <c r="J67" s="93">
        <f t="shared" si="11"/>
        <v>20</v>
      </c>
      <c r="K67" s="93">
        <v>336</v>
      </c>
      <c r="L67" s="93">
        <v>304</v>
      </c>
      <c r="M67" s="93">
        <v>25</v>
      </c>
      <c r="N67" s="93">
        <f t="shared" si="12"/>
        <v>7</v>
      </c>
      <c r="P67" s="93">
        <f t="shared" si="1"/>
        <v>0.875</v>
      </c>
      <c r="Q67" s="93">
        <f t="shared" si="2"/>
        <v>9.375E-2</v>
      </c>
      <c r="R67" s="93">
        <f t="shared" si="3"/>
        <v>3.125E-2</v>
      </c>
      <c r="S67" s="93">
        <f t="shared" si="4"/>
        <v>0.90825688073394495</v>
      </c>
      <c r="T67" s="93">
        <f t="shared" si="5"/>
        <v>5.5045871559633031E-2</v>
      </c>
      <c r="U67" s="93">
        <f t="shared" si="6"/>
        <v>3.669724770642202E-2</v>
      </c>
      <c r="V67" s="93">
        <f t="shared" si="7"/>
        <v>0.90476190476190477</v>
      </c>
      <c r="W67" s="93">
        <f t="shared" si="8"/>
        <v>7.4404761904761904E-2</v>
      </c>
      <c r="X67" s="93">
        <f t="shared" si="9"/>
        <v>2.0833333333333332E-2</v>
      </c>
    </row>
    <row r="68" spans="1:24" x14ac:dyDescent="0.2">
      <c r="A68" s="320">
        <v>133</v>
      </c>
      <c r="B68" s="93" t="s">
        <v>503</v>
      </c>
      <c r="C68" s="93">
        <v>20</v>
      </c>
      <c r="D68" s="93">
        <v>16</v>
      </c>
      <c r="E68" s="93">
        <v>4</v>
      </c>
      <c r="F68" s="93">
        <f t="shared" si="10"/>
        <v>0</v>
      </c>
      <c r="G68" s="93">
        <v>250</v>
      </c>
      <c r="H68" s="93">
        <v>221</v>
      </c>
      <c r="I68" s="93">
        <v>18</v>
      </c>
      <c r="J68" s="93">
        <f t="shared" si="11"/>
        <v>11</v>
      </c>
      <c r="K68" s="93">
        <v>130</v>
      </c>
      <c r="L68" s="93">
        <v>109</v>
      </c>
      <c r="M68" s="93">
        <v>10</v>
      </c>
      <c r="N68" s="93">
        <f t="shared" si="12"/>
        <v>11</v>
      </c>
      <c r="P68" s="93">
        <f t="shared" si="1"/>
        <v>0.8</v>
      </c>
      <c r="Q68" s="93">
        <f t="shared" si="2"/>
        <v>0.2</v>
      </c>
      <c r="R68" s="93">
        <f t="shared" si="3"/>
        <v>0</v>
      </c>
      <c r="S68" s="93">
        <f t="shared" si="4"/>
        <v>0.88400000000000001</v>
      </c>
      <c r="T68" s="93">
        <f t="shared" si="5"/>
        <v>7.1999999999999995E-2</v>
      </c>
      <c r="U68" s="93">
        <f t="shared" si="6"/>
        <v>4.3999999999999997E-2</v>
      </c>
      <c r="V68" s="93">
        <f t="shared" si="7"/>
        <v>0.83846153846153848</v>
      </c>
      <c r="W68" s="93">
        <f t="shared" si="8"/>
        <v>7.6923076923076927E-2</v>
      </c>
      <c r="X68" s="93">
        <f t="shared" si="9"/>
        <v>8.461538461538462E-2</v>
      </c>
    </row>
    <row r="69" spans="1:24" x14ac:dyDescent="0.2">
      <c r="A69" s="320">
        <v>135</v>
      </c>
      <c r="B69" s="93" t="s">
        <v>504</v>
      </c>
      <c r="C69" s="93">
        <v>25</v>
      </c>
      <c r="D69" s="93">
        <v>11</v>
      </c>
      <c r="E69" s="93">
        <v>14</v>
      </c>
      <c r="F69" s="93">
        <f t="shared" si="10"/>
        <v>0</v>
      </c>
      <c r="G69" s="93">
        <v>415</v>
      </c>
      <c r="H69" s="93">
        <v>304</v>
      </c>
      <c r="I69" s="93">
        <v>66</v>
      </c>
      <c r="J69" s="93">
        <f t="shared" si="11"/>
        <v>45</v>
      </c>
      <c r="K69" s="93">
        <v>215</v>
      </c>
      <c r="L69" s="93">
        <v>145</v>
      </c>
      <c r="M69" s="93">
        <v>46</v>
      </c>
      <c r="N69" s="93">
        <f t="shared" si="12"/>
        <v>24</v>
      </c>
      <c r="P69" s="93">
        <f t="shared" ref="P69:P121" si="13">D69/C69</f>
        <v>0.44</v>
      </c>
      <c r="Q69" s="93">
        <f t="shared" ref="Q69:Q121" si="14">E69/C69</f>
        <v>0.56000000000000005</v>
      </c>
      <c r="R69" s="93">
        <f t="shared" ref="R69:R121" si="15">F69/C69</f>
        <v>0</v>
      </c>
      <c r="S69" s="93">
        <f t="shared" ref="S69:S121" si="16">H69/G69</f>
        <v>0.73253012048192767</v>
      </c>
      <c r="T69" s="93">
        <f t="shared" ref="T69:T121" si="17">I69/G69</f>
        <v>0.15903614457831325</v>
      </c>
      <c r="U69" s="93">
        <f t="shared" ref="U69:U121" si="18">J69/G69</f>
        <v>0.10843373493975904</v>
      </c>
      <c r="V69" s="93">
        <f t="shared" ref="V69:V121" si="19">L69/K69</f>
        <v>0.67441860465116277</v>
      </c>
      <c r="W69" s="93">
        <f t="shared" ref="W69:W121" si="20">M69/K69</f>
        <v>0.21395348837209302</v>
      </c>
      <c r="X69" s="93">
        <f t="shared" ref="X69:X121" si="21">N69/K69</f>
        <v>0.11162790697674418</v>
      </c>
    </row>
    <row r="70" spans="1:24" x14ac:dyDescent="0.2">
      <c r="A70" s="320">
        <v>137</v>
      </c>
      <c r="B70" s="93" t="s">
        <v>505</v>
      </c>
      <c r="C70" s="93">
        <v>74</v>
      </c>
      <c r="D70" s="93">
        <v>68</v>
      </c>
      <c r="E70" s="93">
        <v>3</v>
      </c>
      <c r="F70" s="93">
        <f t="shared" ref="F70:F121" si="22">C70-D70-E70</f>
        <v>3</v>
      </c>
      <c r="G70" s="93">
        <v>690</v>
      </c>
      <c r="H70" s="93">
        <v>596</v>
      </c>
      <c r="I70" s="93">
        <v>59</v>
      </c>
      <c r="J70" s="93">
        <f t="shared" ref="J70:J121" si="23">G70-H70-I70</f>
        <v>35</v>
      </c>
      <c r="K70" s="93">
        <v>432</v>
      </c>
      <c r="L70" s="93">
        <v>368</v>
      </c>
      <c r="M70" s="93">
        <v>49</v>
      </c>
      <c r="N70" s="93">
        <f t="shared" ref="N70:N121" si="24">K70-L70-M70</f>
        <v>15</v>
      </c>
      <c r="P70" s="93">
        <f t="shared" si="13"/>
        <v>0.91891891891891897</v>
      </c>
      <c r="Q70" s="93">
        <f t="shared" si="14"/>
        <v>4.0540540540540543E-2</v>
      </c>
      <c r="R70" s="93">
        <f t="shared" si="15"/>
        <v>4.0540540540540543E-2</v>
      </c>
      <c r="S70" s="93">
        <f t="shared" si="16"/>
        <v>0.86376811594202896</v>
      </c>
      <c r="T70" s="93">
        <f t="shared" si="17"/>
        <v>8.5507246376811591E-2</v>
      </c>
      <c r="U70" s="93">
        <f t="shared" si="18"/>
        <v>5.0724637681159424E-2</v>
      </c>
      <c r="V70" s="93">
        <f t="shared" si="19"/>
        <v>0.85185185185185186</v>
      </c>
      <c r="W70" s="93">
        <f t="shared" si="20"/>
        <v>0.11342592592592593</v>
      </c>
      <c r="X70" s="93">
        <f t="shared" si="21"/>
        <v>3.4722222222222224E-2</v>
      </c>
    </row>
    <row r="71" spans="1:24" x14ac:dyDescent="0.2">
      <c r="A71" s="320">
        <v>139</v>
      </c>
      <c r="B71" s="93" t="s">
        <v>506</v>
      </c>
      <c r="C71" s="93">
        <v>27</v>
      </c>
      <c r="D71" s="93">
        <v>25</v>
      </c>
      <c r="E71" s="93">
        <v>2</v>
      </c>
      <c r="F71" s="93">
        <f t="shared" si="22"/>
        <v>0</v>
      </c>
      <c r="G71" s="93">
        <v>217</v>
      </c>
      <c r="H71" s="93">
        <v>195</v>
      </c>
      <c r="I71" s="93">
        <v>15</v>
      </c>
      <c r="J71" s="93">
        <f t="shared" si="23"/>
        <v>7</v>
      </c>
      <c r="K71" s="93">
        <v>144</v>
      </c>
      <c r="L71" s="93">
        <v>132</v>
      </c>
      <c r="M71" s="93">
        <v>10</v>
      </c>
      <c r="N71" s="93">
        <f t="shared" si="24"/>
        <v>2</v>
      </c>
      <c r="P71" s="93">
        <f t="shared" si="13"/>
        <v>0.92592592592592593</v>
      </c>
      <c r="Q71" s="93">
        <f t="shared" si="14"/>
        <v>7.407407407407407E-2</v>
      </c>
      <c r="R71" s="93">
        <f t="shared" si="15"/>
        <v>0</v>
      </c>
      <c r="S71" s="93">
        <f t="shared" si="16"/>
        <v>0.89861751152073732</v>
      </c>
      <c r="T71" s="93">
        <f t="shared" si="17"/>
        <v>6.9124423963133647E-2</v>
      </c>
      <c r="U71" s="93">
        <f t="shared" si="18"/>
        <v>3.2258064516129031E-2</v>
      </c>
      <c r="V71" s="93">
        <f t="shared" si="19"/>
        <v>0.91666666666666663</v>
      </c>
      <c r="W71" s="93">
        <f t="shared" si="20"/>
        <v>6.9444444444444448E-2</v>
      </c>
      <c r="X71" s="93">
        <f t="shared" si="21"/>
        <v>1.3888888888888888E-2</v>
      </c>
    </row>
    <row r="72" spans="1:24" x14ac:dyDescent="0.2">
      <c r="A72" s="320">
        <v>141</v>
      </c>
      <c r="B72" s="93" t="s">
        <v>507</v>
      </c>
      <c r="C72" s="93">
        <v>28</v>
      </c>
      <c r="D72" s="93">
        <v>26</v>
      </c>
      <c r="E72" s="93">
        <v>2</v>
      </c>
      <c r="F72" s="93">
        <f t="shared" si="22"/>
        <v>0</v>
      </c>
      <c r="G72" s="93">
        <v>270</v>
      </c>
      <c r="H72" s="93">
        <v>246</v>
      </c>
      <c r="I72" s="93">
        <v>7</v>
      </c>
      <c r="J72" s="93">
        <f t="shared" si="23"/>
        <v>17</v>
      </c>
      <c r="K72" s="93">
        <v>170</v>
      </c>
      <c r="L72" s="93">
        <v>155</v>
      </c>
      <c r="M72" s="93">
        <v>3</v>
      </c>
      <c r="N72" s="93">
        <f t="shared" si="24"/>
        <v>12</v>
      </c>
      <c r="P72" s="93">
        <f t="shared" si="13"/>
        <v>0.9285714285714286</v>
      </c>
      <c r="Q72" s="93">
        <f t="shared" si="14"/>
        <v>7.1428571428571425E-2</v>
      </c>
      <c r="R72" s="93">
        <f t="shared" si="15"/>
        <v>0</v>
      </c>
      <c r="S72" s="93">
        <f t="shared" si="16"/>
        <v>0.91111111111111109</v>
      </c>
      <c r="T72" s="93">
        <f t="shared" si="17"/>
        <v>2.5925925925925925E-2</v>
      </c>
      <c r="U72" s="93">
        <f t="shared" si="18"/>
        <v>6.2962962962962957E-2</v>
      </c>
      <c r="V72" s="93">
        <f t="shared" si="19"/>
        <v>0.91176470588235292</v>
      </c>
      <c r="W72" s="93">
        <f t="shared" si="20"/>
        <v>1.7647058823529412E-2</v>
      </c>
      <c r="X72" s="93">
        <f t="shared" si="21"/>
        <v>7.0588235294117646E-2</v>
      </c>
    </row>
    <row r="73" spans="1:24" x14ac:dyDescent="0.2">
      <c r="A73" s="320">
        <v>143</v>
      </c>
      <c r="B73" s="93" t="s">
        <v>508</v>
      </c>
      <c r="C73" s="93">
        <v>65</v>
      </c>
      <c r="D73" s="93">
        <v>54</v>
      </c>
      <c r="E73" s="93">
        <v>9</v>
      </c>
      <c r="F73" s="93">
        <f t="shared" si="22"/>
        <v>2</v>
      </c>
      <c r="G73" s="93">
        <v>807</v>
      </c>
      <c r="H73" s="93">
        <v>722</v>
      </c>
      <c r="I73" s="93">
        <v>60</v>
      </c>
      <c r="J73" s="93">
        <f t="shared" si="23"/>
        <v>25</v>
      </c>
      <c r="K73" s="93">
        <v>541</v>
      </c>
      <c r="L73" s="93">
        <v>481</v>
      </c>
      <c r="M73" s="93">
        <v>40</v>
      </c>
      <c r="N73" s="93">
        <f t="shared" si="24"/>
        <v>20</v>
      </c>
      <c r="P73" s="93">
        <f t="shared" si="13"/>
        <v>0.83076923076923082</v>
      </c>
      <c r="Q73" s="93">
        <f t="shared" si="14"/>
        <v>0.13846153846153847</v>
      </c>
      <c r="R73" s="93">
        <f t="shared" si="15"/>
        <v>3.0769230769230771E-2</v>
      </c>
      <c r="S73" s="93">
        <f t="shared" si="16"/>
        <v>0.89467162329615857</v>
      </c>
      <c r="T73" s="93">
        <f t="shared" si="17"/>
        <v>7.434944237918216E-2</v>
      </c>
      <c r="U73" s="93">
        <f t="shared" si="18"/>
        <v>3.0978934324659233E-2</v>
      </c>
      <c r="V73" s="93">
        <f t="shared" si="19"/>
        <v>0.88909426987061002</v>
      </c>
      <c r="W73" s="93">
        <f t="shared" si="20"/>
        <v>7.3937153419593352E-2</v>
      </c>
      <c r="X73" s="93">
        <f t="shared" si="21"/>
        <v>3.6968576709796676E-2</v>
      </c>
    </row>
    <row r="74" spans="1:24" x14ac:dyDescent="0.2">
      <c r="A74" s="320">
        <v>145</v>
      </c>
      <c r="B74" s="93" t="s">
        <v>509</v>
      </c>
      <c r="C74" s="93">
        <v>25</v>
      </c>
      <c r="D74" s="93">
        <v>23</v>
      </c>
      <c r="E74" s="93">
        <v>2</v>
      </c>
      <c r="F74" s="93">
        <f t="shared" si="22"/>
        <v>0</v>
      </c>
      <c r="G74" s="93">
        <v>340</v>
      </c>
      <c r="H74" s="93">
        <v>306</v>
      </c>
      <c r="I74" s="93">
        <v>28</v>
      </c>
      <c r="J74" s="93">
        <f t="shared" si="23"/>
        <v>6</v>
      </c>
      <c r="K74" s="93">
        <v>159</v>
      </c>
      <c r="L74" s="93">
        <v>145</v>
      </c>
      <c r="M74" s="93">
        <v>14</v>
      </c>
      <c r="N74" s="93">
        <f t="shared" si="24"/>
        <v>0</v>
      </c>
      <c r="P74" s="93">
        <f t="shared" si="13"/>
        <v>0.92</v>
      </c>
      <c r="Q74" s="93">
        <f t="shared" si="14"/>
        <v>0.08</v>
      </c>
      <c r="R74" s="93">
        <f t="shared" si="15"/>
        <v>0</v>
      </c>
      <c r="S74" s="93">
        <f t="shared" si="16"/>
        <v>0.9</v>
      </c>
      <c r="T74" s="93">
        <f t="shared" si="17"/>
        <v>8.2352941176470587E-2</v>
      </c>
      <c r="U74" s="93">
        <f t="shared" si="18"/>
        <v>1.7647058823529412E-2</v>
      </c>
      <c r="V74" s="93">
        <f t="shared" si="19"/>
        <v>0.91194968553459121</v>
      </c>
      <c r="W74" s="93">
        <f t="shared" si="20"/>
        <v>8.8050314465408799E-2</v>
      </c>
      <c r="X74" s="93">
        <f t="shared" si="21"/>
        <v>0</v>
      </c>
    </row>
    <row r="75" spans="1:24" x14ac:dyDescent="0.2">
      <c r="A75" s="320">
        <v>147</v>
      </c>
      <c r="B75" s="93" t="s">
        <v>510</v>
      </c>
      <c r="C75" s="93">
        <v>19</v>
      </c>
      <c r="D75" s="93">
        <v>15</v>
      </c>
      <c r="E75" s="93">
        <v>3</v>
      </c>
      <c r="F75" s="93">
        <f t="shared" si="22"/>
        <v>1</v>
      </c>
      <c r="G75" s="93">
        <v>387</v>
      </c>
      <c r="H75" s="93">
        <v>288</v>
      </c>
      <c r="I75" s="93">
        <v>81</v>
      </c>
      <c r="J75" s="93">
        <f t="shared" si="23"/>
        <v>18</v>
      </c>
      <c r="K75" s="93">
        <v>138</v>
      </c>
      <c r="L75" s="93">
        <v>90</v>
      </c>
      <c r="M75" s="93">
        <v>43</v>
      </c>
      <c r="N75" s="93">
        <f t="shared" si="24"/>
        <v>5</v>
      </c>
      <c r="P75" s="93">
        <f t="shared" si="13"/>
        <v>0.78947368421052633</v>
      </c>
      <c r="Q75" s="93">
        <f t="shared" si="14"/>
        <v>0.15789473684210525</v>
      </c>
      <c r="R75" s="93">
        <f t="shared" si="15"/>
        <v>5.2631578947368418E-2</v>
      </c>
      <c r="S75" s="93">
        <f t="shared" si="16"/>
        <v>0.7441860465116279</v>
      </c>
      <c r="T75" s="93">
        <f t="shared" si="17"/>
        <v>0.20930232558139536</v>
      </c>
      <c r="U75" s="93">
        <f t="shared" si="18"/>
        <v>4.6511627906976744E-2</v>
      </c>
      <c r="V75" s="93">
        <f t="shared" si="19"/>
        <v>0.65217391304347827</v>
      </c>
      <c r="W75" s="93">
        <f t="shared" si="20"/>
        <v>0.31159420289855072</v>
      </c>
      <c r="X75" s="93">
        <f t="shared" si="21"/>
        <v>3.6231884057971016E-2</v>
      </c>
    </row>
    <row r="76" spans="1:24" x14ac:dyDescent="0.2">
      <c r="A76" s="320">
        <v>149</v>
      </c>
      <c r="B76" s="93" t="s">
        <v>511</v>
      </c>
      <c r="C76" s="93">
        <v>42</v>
      </c>
      <c r="D76" s="93">
        <v>34</v>
      </c>
      <c r="E76" s="93">
        <v>6</v>
      </c>
      <c r="F76" s="93">
        <f t="shared" si="22"/>
        <v>2</v>
      </c>
      <c r="G76" s="93">
        <v>1603</v>
      </c>
      <c r="H76" s="93">
        <v>1198</v>
      </c>
      <c r="I76" s="93">
        <v>338</v>
      </c>
      <c r="J76" s="93">
        <f t="shared" si="23"/>
        <v>67</v>
      </c>
      <c r="K76" s="93">
        <v>739</v>
      </c>
      <c r="L76" s="93">
        <v>525</v>
      </c>
      <c r="M76" s="93">
        <v>163</v>
      </c>
      <c r="N76" s="93">
        <f t="shared" si="24"/>
        <v>51</v>
      </c>
      <c r="P76" s="93">
        <f t="shared" si="13"/>
        <v>0.80952380952380953</v>
      </c>
      <c r="Q76" s="93">
        <f t="shared" si="14"/>
        <v>0.14285714285714285</v>
      </c>
      <c r="R76" s="93">
        <f t="shared" si="15"/>
        <v>4.7619047619047616E-2</v>
      </c>
      <c r="S76" s="93">
        <f t="shared" si="16"/>
        <v>0.74734872114784778</v>
      </c>
      <c r="T76" s="93">
        <f t="shared" si="17"/>
        <v>0.21085464753587024</v>
      </c>
      <c r="U76" s="93">
        <f t="shared" si="18"/>
        <v>4.1796631316281974E-2</v>
      </c>
      <c r="V76" s="93">
        <f t="shared" si="19"/>
        <v>0.71041948579161029</v>
      </c>
      <c r="W76" s="93">
        <f t="shared" si="20"/>
        <v>0.22056833558863329</v>
      </c>
      <c r="X76" s="93">
        <f t="shared" si="21"/>
        <v>6.9012178619756434E-2</v>
      </c>
    </row>
    <row r="77" spans="1:24" x14ac:dyDescent="0.2">
      <c r="A77" s="320">
        <v>153</v>
      </c>
      <c r="B77" s="93" t="s">
        <v>512</v>
      </c>
      <c r="C77" s="93">
        <v>2113</v>
      </c>
      <c r="D77" s="93">
        <v>1878</v>
      </c>
      <c r="E77" s="93">
        <v>119</v>
      </c>
      <c r="F77" s="93">
        <f t="shared" si="22"/>
        <v>116</v>
      </c>
      <c r="G77" s="93">
        <v>53586</v>
      </c>
      <c r="H77" s="93">
        <v>46734</v>
      </c>
      <c r="I77" s="93">
        <v>3714</v>
      </c>
      <c r="J77" s="93">
        <f t="shared" si="23"/>
        <v>3138</v>
      </c>
      <c r="K77" s="93">
        <v>30044</v>
      </c>
      <c r="L77" s="93">
        <v>25292</v>
      </c>
      <c r="M77" s="93">
        <v>2766</v>
      </c>
      <c r="N77" s="93">
        <f t="shared" si="24"/>
        <v>1986</v>
      </c>
      <c r="P77" s="93">
        <f t="shared" si="13"/>
        <v>0.88878371982962612</v>
      </c>
      <c r="Q77" s="93">
        <f t="shared" si="14"/>
        <v>5.6318031235210599E-2</v>
      </c>
      <c r="R77" s="93">
        <f t="shared" si="15"/>
        <v>5.4898248935163277E-2</v>
      </c>
      <c r="S77" s="93">
        <f t="shared" si="16"/>
        <v>0.87213078042772363</v>
      </c>
      <c r="T77" s="93">
        <f t="shared" si="17"/>
        <v>6.9309147911767996E-2</v>
      </c>
      <c r="U77" s="93">
        <f t="shared" si="18"/>
        <v>5.8560071660508341E-2</v>
      </c>
      <c r="V77" s="93">
        <f t="shared" si="19"/>
        <v>0.84183197976301427</v>
      </c>
      <c r="W77" s="93">
        <f t="shared" si="20"/>
        <v>9.2064971375316204E-2</v>
      </c>
      <c r="X77" s="93">
        <f t="shared" si="21"/>
        <v>6.6103048861669553E-2</v>
      </c>
    </row>
    <row r="78" spans="1:24" x14ac:dyDescent="0.2">
      <c r="A78" s="320">
        <v>155</v>
      </c>
      <c r="B78" s="93" t="s">
        <v>513</v>
      </c>
      <c r="C78" s="93">
        <v>32</v>
      </c>
      <c r="D78" s="93">
        <v>31</v>
      </c>
      <c r="E78" s="93">
        <v>1</v>
      </c>
      <c r="F78" s="93">
        <f t="shared" si="22"/>
        <v>0</v>
      </c>
      <c r="G78" s="93">
        <v>264</v>
      </c>
      <c r="H78" s="93">
        <v>249</v>
      </c>
      <c r="I78" s="93">
        <v>8</v>
      </c>
      <c r="J78" s="93">
        <f t="shared" si="23"/>
        <v>7</v>
      </c>
      <c r="K78" s="93">
        <v>175</v>
      </c>
      <c r="L78" s="93">
        <v>160</v>
      </c>
      <c r="M78" s="93">
        <v>13</v>
      </c>
      <c r="N78" s="93">
        <f t="shared" si="24"/>
        <v>2</v>
      </c>
      <c r="P78" s="93">
        <f t="shared" si="13"/>
        <v>0.96875</v>
      </c>
      <c r="Q78" s="93">
        <f t="shared" si="14"/>
        <v>3.125E-2</v>
      </c>
      <c r="R78" s="93">
        <f t="shared" si="15"/>
        <v>0</v>
      </c>
      <c r="S78" s="93">
        <f t="shared" si="16"/>
        <v>0.94318181818181823</v>
      </c>
      <c r="T78" s="93">
        <f t="shared" si="17"/>
        <v>3.0303030303030304E-2</v>
      </c>
      <c r="U78" s="93">
        <f t="shared" si="18"/>
        <v>2.6515151515151516E-2</v>
      </c>
      <c r="V78" s="93">
        <f t="shared" si="19"/>
        <v>0.91428571428571426</v>
      </c>
      <c r="W78" s="93">
        <f t="shared" si="20"/>
        <v>7.4285714285714288E-2</v>
      </c>
      <c r="X78" s="93">
        <f t="shared" si="21"/>
        <v>1.1428571428571429E-2</v>
      </c>
    </row>
    <row r="79" spans="1:24" x14ac:dyDescent="0.2">
      <c r="A79" s="320">
        <v>157</v>
      </c>
      <c r="B79" s="93" t="s">
        <v>514</v>
      </c>
      <c r="C79" s="93">
        <v>18</v>
      </c>
      <c r="D79" s="93">
        <v>18</v>
      </c>
      <c r="E79" s="93">
        <v>0</v>
      </c>
      <c r="F79" s="93">
        <f t="shared" si="22"/>
        <v>0</v>
      </c>
      <c r="G79" s="93">
        <v>143</v>
      </c>
      <c r="H79" s="93">
        <v>134</v>
      </c>
      <c r="I79" s="93">
        <v>7</v>
      </c>
      <c r="J79" s="93">
        <f t="shared" si="23"/>
        <v>2</v>
      </c>
      <c r="K79" s="93">
        <v>82</v>
      </c>
      <c r="L79" s="93">
        <v>77</v>
      </c>
      <c r="M79" s="93">
        <v>4</v>
      </c>
      <c r="N79" s="93">
        <f t="shared" si="24"/>
        <v>1</v>
      </c>
      <c r="P79" s="93">
        <f t="shared" si="13"/>
        <v>1</v>
      </c>
      <c r="Q79" s="93">
        <f t="shared" si="14"/>
        <v>0</v>
      </c>
      <c r="R79" s="93">
        <f t="shared" si="15"/>
        <v>0</v>
      </c>
      <c r="S79" s="93">
        <f t="shared" si="16"/>
        <v>0.93706293706293708</v>
      </c>
      <c r="T79" s="93">
        <f t="shared" si="17"/>
        <v>4.8951048951048952E-2</v>
      </c>
      <c r="U79" s="93">
        <f t="shared" si="18"/>
        <v>1.3986013986013986E-2</v>
      </c>
      <c r="V79" s="93">
        <f t="shared" si="19"/>
        <v>0.93902439024390238</v>
      </c>
      <c r="W79" s="93">
        <f t="shared" si="20"/>
        <v>4.878048780487805E-2</v>
      </c>
      <c r="X79" s="93">
        <f t="shared" si="21"/>
        <v>1.2195121951219513E-2</v>
      </c>
    </row>
    <row r="80" spans="1:24" x14ac:dyDescent="0.2">
      <c r="A80" s="320">
        <v>159</v>
      </c>
      <c r="B80" s="93" t="s">
        <v>272</v>
      </c>
      <c r="C80" s="93">
        <v>20</v>
      </c>
      <c r="D80" s="93">
        <v>19</v>
      </c>
      <c r="E80" s="93">
        <v>1</v>
      </c>
      <c r="F80" s="93">
        <f t="shared" si="22"/>
        <v>0</v>
      </c>
      <c r="G80" s="93">
        <v>356</v>
      </c>
      <c r="H80" s="93">
        <v>331</v>
      </c>
      <c r="I80" s="93">
        <v>16</v>
      </c>
      <c r="J80" s="93">
        <f t="shared" si="23"/>
        <v>9</v>
      </c>
      <c r="K80" s="93">
        <v>157</v>
      </c>
      <c r="L80" s="93">
        <v>145</v>
      </c>
      <c r="M80" s="93">
        <v>9</v>
      </c>
      <c r="N80" s="93">
        <f t="shared" si="24"/>
        <v>3</v>
      </c>
      <c r="P80" s="93">
        <f t="shared" si="13"/>
        <v>0.95</v>
      </c>
      <c r="Q80" s="93">
        <f t="shared" si="14"/>
        <v>0.05</v>
      </c>
      <c r="R80" s="93">
        <f t="shared" si="15"/>
        <v>0</v>
      </c>
      <c r="S80" s="93">
        <f t="shared" si="16"/>
        <v>0.9297752808988764</v>
      </c>
      <c r="T80" s="93">
        <f t="shared" si="17"/>
        <v>4.49438202247191E-2</v>
      </c>
      <c r="U80" s="93">
        <f t="shared" si="18"/>
        <v>2.5280898876404494E-2</v>
      </c>
      <c r="V80" s="93">
        <f t="shared" si="19"/>
        <v>0.92356687898089174</v>
      </c>
      <c r="W80" s="93">
        <f t="shared" si="20"/>
        <v>5.7324840764331211E-2</v>
      </c>
      <c r="X80" s="93">
        <f t="shared" si="21"/>
        <v>1.9108280254777069E-2</v>
      </c>
    </row>
    <row r="81" spans="1:24" x14ac:dyDescent="0.2">
      <c r="A81" s="320">
        <v>161</v>
      </c>
      <c r="B81" s="93" t="s">
        <v>301</v>
      </c>
      <c r="C81" s="93">
        <v>114</v>
      </c>
      <c r="D81" s="93">
        <v>107</v>
      </c>
      <c r="E81" s="93">
        <v>4</v>
      </c>
      <c r="F81" s="93">
        <f>(C81-D81-E81)+1</f>
        <v>4</v>
      </c>
      <c r="G81" s="93">
        <v>1628</v>
      </c>
      <c r="H81" s="93">
        <v>1460</v>
      </c>
      <c r="I81" s="93">
        <v>107</v>
      </c>
      <c r="J81" s="93">
        <f>(G81-H81-I81)+18</f>
        <v>79</v>
      </c>
      <c r="K81" s="93">
        <v>1001</v>
      </c>
      <c r="L81" s="93">
        <v>885</v>
      </c>
      <c r="M81" s="93">
        <v>86</v>
      </c>
      <c r="N81" s="93">
        <f>(K81-L81-M81)+11</f>
        <v>41</v>
      </c>
      <c r="P81" s="93">
        <f t="shared" si="13"/>
        <v>0.93859649122807021</v>
      </c>
      <c r="Q81" s="93">
        <f t="shared" si="14"/>
        <v>3.5087719298245612E-2</v>
      </c>
      <c r="R81" s="93">
        <f t="shared" si="15"/>
        <v>3.5087719298245612E-2</v>
      </c>
      <c r="S81" s="93">
        <f t="shared" si="16"/>
        <v>0.89680589680589684</v>
      </c>
      <c r="T81" s="93">
        <f t="shared" si="17"/>
        <v>6.5724815724815727E-2</v>
      </c>
      <c r="U81" s="93">
        <f t="shared" si="18"/>
        <v>4.8525798525798525E-2</v>
      </c>
      <c r="V81" s="93">
        <f t="shared" si="19"/>
        <v>0.88411588411588415</v>
      </c>
      <c r="W81" s="93">
        <f t="shared" si="20"/>
        <v>8.5914085914085919E-2</v>
      </c>
      <c r="X81" s="93">
        <f t="shared" si="21"/>
        <v>4.095904095904096E-2</v>
      </c>
    </row>
    <row r="82" spans="1:24" x14ac:dyDescent="0.2">
      <c r="A82" s="320">
        <v>163</v>
      </c>
      <c r="B82" s="93" t="s">
        <v>690</v>
      </c>
      <c r="C82" s="93">
        <v>41</v>
      </c>
      <c r="D82" s="93">
        <v>40</v>
      </c>
      <c r="E82" s="93">
        <v>1</v>
      </c>
      <c r="F82" s="93">
        <f>((C82-D82-E82)+0)+0</f>
        <v>0</v>
      </c>
      <c r="G82" s="93">
        <v>487</v>
      </c>
      <c r="H82" s="93">
        <v>442</v>
      </c>
      <c r="I82" s="93">
        <v>24</v>
      </c>
      <c r="J82" s="93">
        <f>((G82-H82-I82)+4)+6</f>
        <v>31</v>
      </c>
      <c r="K82" s="93">
        <v>195</v>
      </c>
      <c r="L82" s="93">
        <v>175</v>
      </c>
      <c r="M82" s="93">
        <v>13</v>
      </c>
      <c r="N82" s="93">
        <f>((K82-L82-M82)+1)+0</f>
        <v>8</v>
      </c>
      <c r="P82" s="93">
        <f t="shared" si="13"/>
        <v>0.97560975609756095</v>
      </c>
      <c r="Q82" s="93">
        <f t="shared" si="14"/>
        <v>2.4390243902439025E-2</v>
      </c>
      <c r="R82" s="93">
        <f t="shared" si="15"/>
        <v>0</v>
      </c>
      <c r="S82" s="93">
        <f t="shared" si="16"/>
        <v>0.9075975359342916</v>
      </c>
      <c r="T82" s="93">
        <f t="shared" si="17"/>
        <v>4.9281314168377825E-2</v>
      </c>
      <c r="U82" s="93">
        <f t="shared" si="18"/>
        <v>6.3655030800821355E-2</v>
      </c>
      <c r="V82" s="93">
        <f t="shared" si="19"/>
        <v>0.89743589743589747</v>
      </c>
      <c r="W82" s="93">
        <f t="shared" si="20"/>
        <v>6.6666666666666666E-2</v>
      </c>
      <c r="X82" s="93">
        <f t="shared" si="21"/>
        <v>4.1025641025641026E-2</v>
      </c>
    </row>
    <row r="83" spans="1:24" x14ac:dyDescent="0.2">
      <c r="A83" s="320">
        <v>165</v>
      </c>
      <c r="B83" s="93" t="s">
        <v>691</v>
      </c>
      <c r="C83" s="93">
        <v>215</v>
      </c>
      <c r="D83" s="93">
        <v>194</v>
      </c>
      <c r="E83" s="93">
        <v>9</v>
      </c>
      <c r="F83" s="93">
        <f>(C83-D83-E83)+6</f>
        <v>18</v>
      </c>
      <c r="G83" s="93">
        <v>7689</v>
      </c>
      <c r="H83" s="93">
        <v>6695</v>
      </c>
      <c r="I83" s="93">
        <v>485</v>
      </c>
      <c r="J83" s="93">
        <f>(G83-H83-I83)+277</f>
        <v>786</v>
      </c>
      <c r="K83" s="93">
        <v>4417</v>
      </c>
      <c r="L83" s="93">
        <v>3859</v>
      </c>
      <c r="M83" s="93">
        <v>284</v>
      </c>
      <c r="N83" s="93">
        <f>(K83-L83-M83)+114</f>
        <v>388</v>
      </c>
      <c r="P83" s="93">
        <f t="shared" si="13"/>
        <v>0.9023255813953488</v>
      </c>
      <c r="Q83" s="93">
        <f t="shared" si="14"/>
        <v>4.1860465116279069E-2</v>
      </c>
      <c r="R83" s="93">
        <f t="shared" si="15"/>
        <v>8.3720930232558138E-2</v>
      </c>
      <c r="S83" s="93">
        <f t="shared" si="16"/>
        <v>0.87072441149694368</v>
      </c>
      <c r="T83" s="93">
        <f t="shared" si="17"/>
        <v>6.3077123162960075E-2</v>
      </c>
      <c r="U83" s="93">
        <f t="shared" si="18"/>
        <v>0.10222395630120952</v>
      </c>
      <c r="V83" s="93">
        <f t="shared" si="19"/>
        <v>0.87366991170477704</v>
      </c>
      <c r="W83" s="93">
        <f t="shared" si="20"/>
        <v>6.4297034186099167E-2</v>
      </c>
      <c r="X83" s="93">
        <f t="shared" si="21"/>
        <v>8.7842426986642519E-2</v>
      </c>
    </row>
    <row r="84" spans="1:24" x14ac:dyDescent="0.2">
      <c r="A84" s="320">
        <v>167</v>
      </c>
      <c r="B84" s="93" t="s">
        <v>515</v>
      </c>
      <c r="C84" s="93">
        <v>18</v>
      </c>
      <c r="D84" s="93">
        <v>17</v>
      </c>
      <c r="E84" s="93">
        <v>1</v>
      </c>
      <c r="F84" s="93">
        <f t="shared" si="22"/>
        <v>0</v>
      </c>
      <c r="G84" s="93">
        <v>152</v>
      </c>
      <c r="H84" s="93">
        <v>136</v>
      </c>
      <c r="I84" s="93">
        <v>8</v>
      </c>
      <c r="J84" s="93">
        <f t="shared" si="23"/>
        <v>8</v>
      </c>
      <c r="K84" s="93">
        <v>125</v>
      </c>
      <c r="L84" s="93">
        <v>110</v>
      </c>
      <c r="M84" s="93">
        <v>3</v>
      </c>
      <c r="N84" s="93">
        <f t="shared" si="24"/>
        <v>12</v>
      </c>
      <c r="P84" s="93">
        <f t="shared" si="13"/>
        <v>0.94444444444444442</v>
      </c>
      <c r="Q84" s="93">
        <f t="shared" si="14"/>
        <v>5.5555555555555552E-2</v>
      </c>
      <c r="R84" s="93">
        <f t="shared" si="15"/>
        <v>0</v>
      </c>
      <c r="S84" s="93">
        <f t="shared" si="16"/>
        <v>0.89473684210526316</v>
      </c>
      <c r="T84" s="93">
        <f t="shared" si="17"/>
        <v>5.2631578947368418E-2</v>
      </c>
      <c r="U84" s="93">
        <f t="shared" si="18"/>
        <v>5.2631578947368418E-2</v>
      </c>
      <c r="V84" s="93">
        <f t="shared" si="19"/>
        <v>0.88</v>
      </c>
      <c r="W84" s="93">
        <f t="shared" si="20"/>
        <v>2.4E-2</v>
      </c>
      <c r="X84" s="93">
        <f t="shared" si="21"/>
        <v>9.6000000000000002E-2</v>
      </c>
    </row>
    <row r="85" spans="1:24" x14ac:dyDescent="0.2">
      <c r="A85" s="320">
        <v>169</v>
      </c>
      <c r="B85" s="93" t="s">
        <v>516</v>
      </c>
      <c r="C85" s="93">
        <v>13</v>
      </c>
      <c r="D85" s="93">
        <v>12</v>
      </c>
      <c r="E85" s="93">
        <v>1</v>
      </c>
      <c r="F85" s="93">
        <f t="shared" si="22"/>
        <v>0</v>
      </c>
      <c r="G85" s="93">
        <v>131</v>
      </c>
      <c r="H85" s="93">
        <v>119</v>
      </c>
      <c r="I85" s="93">
        <v>3</v>
      </c>
      <c r="J85" s="93">
        <f t="shared" si="23"/>
        <v>9</v>
      </c>
      <c r="K85" s="93">
        <v>104</v>
      </c>
      <c r="L85" s="93">
        <v>93</v>
      </c>
      <c r="M85" s="93">
        <v>0</v>
      </c>
      <c r="N85" s="93">
        <f t="shared" si="24"/>
        <v>11</v>
      </c>
      <c r="P85" s="93">
        <f t="shared" si="13"/>
        <v>0.92307692307692313</v>
      </c>
      <c r="Q85" s="93">
        <f t="shared" si="14"/>
        <v>7.6923076923076927E-2</v>
      </c>
      <c r="R85" s="93">
        <f t="shared" si="15"/>
        <v>0</v>
      </c>
      <c r="S85" s="93">
        <f t="shared" si="16"/>
        <v>0.90839694656488545</v>
      </c>
      <c r="T85" s="93">
        <f t="shared" si="17"/>
        <v>2.2900763358778626E-2</v>
      </c>
      <c r="U85" s="93">
        <f t="shared" si="18"/>
        <v>6.8702290076335881E-2</v>
      </c>
      <c r="V85" s="93">
        <f t="shared" si="19"/>
        <v>0.89423076923076927</v>
      </c>
      <c r="W85" s="93">
        <f t="shared" si="20"/>
        <v>0</v>
      </c>
      <c r="X85" s="93">
        <f t="shared" si="21"/>
        <v>0.10576923076923077</v>
      </c>
    </row>
    <row r="86" spans="1:24" x14ac:dyDescent="0.2">
      <c r="A86" s="320">
        <v>171</v>
      </c>
      <c r="B86" s="93" t="s">
        <v>517</v>
      </c>
      <c r="C86" s="93">
        <v>74</v>
      </c>
      <c r="D86" s="93">
        <v>66</v>
      </c>
      <c r="E86" s="93">
        <v>1</v>
      </c>
      <c r="F86" s="93">
        <f t="shared" si="22"/>
        <v>7</v>
      </c>
      <c r="G86" s="93">
        <v>1518</v>
      </c>
      <c r="H86" s="93">
        <v>1378</v>
      </c>
      <c r="I86" s="93">
        <v>69</v>
      </c>
      <c r="J86" s="93">
        <f t="shared" si="23"/>
        <v>71</v>
      </c>
      <c r="K86" s="93">
        <v>1060</v>
      </c>
      <c r="L86" s="93">
        <v>979</v>
      </c>
      <c r="M86" s="93">
        <v>40</v>
      </c>
      <c r="N86" s="93">
        <f t="shared" si="24"/>
        <v>41</v>
      </c>
      <c r="P86" s="93">
        <f t="shared" si="13"/>
        <v>0.89189189189189189</v>
      </c>
      <c r="Q86" s="93">
        <f t="shared" si="14"/>
        <v>1.3513513513513514E-2</v>
      </c>
      <c r="R86" s="93">
        <f t="shared" si="15"/>
        <v>9.45945945945946E-2</v>
      </c>
      <c r="S86" s="93">
        <f t="shared" si="16"/>
        <v>0.90777338603425561</v>
      </c>
      <c r="T86" s="93">
        <f t="shared" si="17"/>
        <v>4.5454545454545456E-2</v>
      </c>
      <c r="U86" s="93">
        <f t="shared" si="18"/>
        <v>4.6772068511198944E-2</v>
      </c>
      <c r="V86" s="93">
        <f t="shared" si="19"/>
        <v>0.92358490566037732</v>
      </c>
      <c r="W86" s="93">
        <f t="shared" si="20"/>
        <v>3.7735849056603772E-2</v>
      </c>
      <c r="X86" s="93">
        <f t="shared" si="21"/>
        <v>3.8679245283018866E-2</v>
      </c>
    </row>
    <row r="87" spans="1:24" x14ac:dyDescent="0.2">
      <c r="A87" s="320">
        <v>173</v>
      </c>
      <c r="B87" s="93" t="s">
        <v>518</v>
      </c>
      <c r="C87" s="93">
        <v>24</v>
      </c>
      <c r="D87" s="93">
        <v>24</v>
      </c>
      <c r="E87" s="93">
        <v>0</v>
      </c>
      <c r="F87" s="93">
        <f t="shared" si="22"/>
        <v>0</v>
      </c>
      <c r="G87" s="93">
        <v>317</v>
      </c>
      <c r="H87" s="93">
        <v>293</v>
      </c>
      <c r="I87" s="93">
        <v>15</v>
      </c>
      <c r="J87" s="93">
        <f t="shared" si="23"/>
        <v>9</v>
      </c>
      <c r="K87" s="93">
        <v>200</v>
      </c>
      <c r="L87" s="93">
        <v>187</v>
      </c>
      <c r="M87" s="93">
        <v>13</v>
      </c>
      <c r="N87" s="93">
        <f t="shared" si="24"/>
        <v>0</v>
      </c>
      <c r="P87" s="93">
        <f t="shared" si="13"/>
        <v>1</v>
      </c>
      <c r="Q87" s="93">
        <f t="shared" si="14"/>
        <v>0</v>
      </c>
      <c r="R87" s="93">
        <f t="shared" si="15"/>
        <v>0</v>
      </c>
      <c r="S87" s="93">
        <f t="shared" si="16"/>
        <v>0.9242902208201893</v>
      </c>
      <c r="T87" s="93">
        <f t="shared" si="17"/>
        <v>4.7318611987381701E-2</v>
      </c>
      <c r="U87" s="93">
        <f t="shared" si="18"/>
        <v>2.8391167192429023E-2</v>
      </c>
      <c r="V87" s="93">
        <f t="shared" si="19"/>
        <v>0.93500000000000005</v>
      </c>
      <c r="W87" s="93">
        <f t="shared" si="20"/>
        <v>6.5000000000000002E-2</v>
      </c>
      <c r="X87" s="93">
        <f t="shared" si="21"/>
        <v>0</v>
      </c>
    </row>
    <row r="88" spans="1:24" x14ac:dyDescent="0.2">
      <c r="A88" s="320">
        <v>175</v>
      </c>
      <c r="B88" s="93" t="s">
        <v>519</v>
      </c>
      <c r="C88" s="93">
        <v>18</v>
      </c>
      <c r="D88" s="93">
        <v>13</v>
      </c>
      <c r="E88" s="93">
        <v>5</v>
      </c>
      <c r="F88" s="93">
        <f t="shared" si="22"/>
        <v>0</v>
      </c>
      <c r="G88" s="93">
        <v>118</v>
      </c>
      <c r="H88" s="93">
        <v>74</v>
      </c>
      <c r="I88" s="93">
        <v>29</v>
      </c>
      <c r="J88" s="93">
        <f t="shared" si="23"/>
        <v>15</v>
      </c>
      <c r="K88" s="93">
        <v>91</v>
      </c>
      <c r="L88" s="93">
        <v>62</v>
      </c>
      <c r="M88" s="93">
        <v>20</v>
      </c>
      <c r="N88" s="93">
        <f t="shared" si="24"/>
        <v>9</v>
      </c>
      <c r="P88" s="93">
        <f t="shared" si="13"/>
        <v>0.72222222222222221</v>
      </c>
      <c r="Q88" s="93">
        <f t="shared" si="14"/>
        <v>0.27777777777777779</v>
      </c>
      <c r="R88" s="93">
        <f t="shared" si="15"/>
        <v>0</v>
      </c>
      <c r="S88" s="93">
        <f t="shared" si="16"/>
        <v>0.6271186440677966</v>
      </c>
      <c r="T88" s="93">
        <f t="shared" si="17"/>
        <v>0.24576271186440679</v>
      </c>
      <c r="U88" s="93">
        <f t="shared" si="18"/>
        <v>0.1271186440677966</v>
      </c>
      <c r="V88" s="93">
        <f t="shared" si="19"/>
        <v>0.68131868131868134</v>
      </c>
      <c r="W88" s="93">
        <f t="shared" si="20"/>
        <v>0.21978021978021978</v>
      </c>
      <c r="X88" s="93">
        <f t="shared" si="21"/>
        <v>9.8901098901098897E-2</v>
      </c>
    </row>
    <row r="89" spans="1:24" x14ac:dyDescent="0.2">
      <c r="A89" s="320">
        <v>177</v>
      </c>
      <c r="B89" s="93" t="s">
        <v>520</v>
      </c>
      <c r="C89" s="93">
        <v>298</v>
      </c>
      <c r="D89" s="93">
        <v>273</v>
      </c>
      <c r="E89" s="93">
        <v>15</v>
      </c>
      <c r="F89" s="93">
        <f t="shared" si="22"/>
        <v>10</v>
      </c>
      <c r="G89" s="93">
        <v>5779</v>
      </c>
      <c r="H89" s="93">
        <v>5040</v>
      </c>
      <c r="I89" s="93">
        <v>493</v>
      </c>
      <c r="J89" s="93">
        <f t="shared" si="23"/>
        <v>246</v>
      </c>
      <c r="K89" s="93">
        <v>3576</v>
      </c>
      <c r="L89" s="93">
        <v>3027</v>
      </c>
      <c r="M89" s="93">
        <v>385</v>
      </c>
      <c r="N89" s="93">
        <f t="shared" si="24"/>
        <v>164</v>
      </c>
      <c r="P89" s="93">
        <f t="shared" si="13"/>
        <v>0.91610738255033553</v>
      </c>
      <c r="Q89" s="93">
        <f t="shared" si="14"/>
        <v>5.0335570469798654E-2</v>
      </c>
      <c r="R89" s="93">
        <f t="shared" si="15"/>
        <v>3.3557046979865772E-2</v>
      </c>
      <c r="S89" s="93">
        <f t="shared" si="16"/>
        <v>0.87212320470669669</v>
      </c>
      <c r="T89" s="93">
        <f t="shared" si="17"/>
        <v>8.5308876968333627E-2</v>
      </c>
      <c r="U89" s="93">
        <f t="shared" si="18"/>
        <v>4.2567918324969721E-2</v>
      </c>
      <c r="V89" s="93">
        <f t="shared" si="19"/>
        <v>0.84647651006711411</v>
      </c>
      <c r="W89" s="93">
        <f t="shared" si="20"/>
        <v>0.10766219239373602</v>
      </c>
      <c r="X89" s="93">
        <f t="shared" si="21"/>
        <v>4.5861297539149887E-2</v>
      </c>
    </row>
    <row r="90" spans="1:24" x14ac:dyDescent="0.2">
      <c r="A90" s="320">
        <v>179</v>
      </c>
      <c r="B90" s="93" t="s">
        <v>521</v>
      </c>
      <c r="C90" s="93">
        <v>305</v>
      </c>
      <c r="D90" s="93">
        <v>264</v>
      </c>
      <c r="E90" s="93">
        <v>26</v>
      </c>
      <c r="F90" s="93">
        <f t="shared" si="22"/>
        <v>15</v>
      </c>
      <c r="G90" s="93">
        <v>7426</v>
      </c>
      <c r="H90" s="93">
        <v>6368</v>
      </c>
      <c r="I90" s="93">
        <v>715</v>
      </c>
      <c r="J90" s="93">
        <f t="shared" si="23"/>
        <v>343</v>
      </c>
      <c r="K90" s="93">
        <v>4761</v>
      </c>
      <c r="L90" s="93">
        <v>3942</v>
      </c>
      <c r="M90" s="93">
        <v>554</v>
      </c>
      <c r="N90" s="93">
        <f t="shared" si="24"/>
        <v>265</v>
      </c>
      <c r="P90" s="93">
        <f t="shared" si="13"/>
        <v>0.86557377049180328</v>
      </c>
      <c r="Q90" s="93">
        <f t="shared" si="14"/>
        <v>8.5245901639344257E-2</v>
      </c>
      <c r="R90" s="93">
        <f t="shared" si="15"/>
        <v>4.9180327868852458E-2</v>
      </c>
      <c r="S90" s="93">
        <f t="shared" si="16"/>
        <v>0.85752760570966868</v>
      </c>
      <c r="T90" s="93">
        <f t="shared" si="17"/>
        <v>9.6283328844600058E-2</v>
      </c>
      <c r="U90" s="93">
        <f t="shared" si="18"/>
        <v>4.6189065445731217E-2</v>
      </c>
      <c r="V90" s="93">
        <f t="shared" si="19"/>
        <v>0.82797731568998112</v>
      </c>
      <c r="W90" s="93">
        <f t="shared" si="20"/>
        <v>0.11636210880067213</v>
      </c>
      <c r="X90" s="93">
        <f t="shared" si="21"/>
        <v>5.5660575509346777E-2</v>
      </c>
    </row>
    <row r="91" spans="1:24" x14ac:dyDescent="0.2">
      <c r="A91" s="320">
        <v>181</v>
      </c>
      <c r="B91" s="93" t="s">
        <v>522</v>
      </c>
      <c r="C91" s="93">
        <v>4</v>
      </c>
      <c r="D91" s="93">
        <v>3</v>
      </c>
      <c r="E91" s="93">
        <v>1</v>
      </c>
      <c r="F91" s="93">
        <f t="shared" si="22"/>
        <v>0</v>
      </c>
      <c r="G91" s="93">
        <v>71</v>
      </c>
      <c r="H91" s="93">
        <v>49</v>
      </c>
      <c r="I91" s="93">
        <v>16</v>
      </c>
      <c r="J91" s="93">
        <f t="shared" si="23"/>
        <v>6</v>
      </c>
      <c r="K91" s="93">
        <v>24</v>
      </c>
      <c r="L91" s="93">
        <v>13</v>
      </c>
      <c r="M91" s="93">
        <v>11</v>
      </c>
      <c r="N91" s="93">
        <f t="shared" si="24"/>
        <v>0</v>
      </c>
      <c r="P91" s="93">
        <f t="shared" si="13"/>
        <v>0.75</v>
      </c>
      <c r="Q91" s="93">
        <f t="shared" si="14"/>
        <v>0.25</v>
      </c>
      <c r="R91" s="93">
        <f t="shared" si="15"/>
        <v>0</v>
      </c>
      <c r="S91" s="93">
        <f t="shared" si="16"/>
        <v>0.6901408450704225</v>
      </c>
      <c r="T91" s="93">
        <f t="shared" si="17"/>
        <v>0.22535211267605634</v>
      </c>
      <c r="U91" s="93">
        <f t="shared" si="18"/>
        <v>8.4507042253521125E-2</v>
      </c>
      <c r="V91" s="93">
        <f t="shared" si="19"/>
        <v>0.54166666666666663</v>
      </c>
      <c r="W91" s="93">
        <f t="shared" si="20"/>
        <v>0.45833333333333331</v>
      </c>
      <c r="X91" s="93">
        <f t="shared" si="21"/>
        <v>0</v>
      </c>
    </row>
    <row r="92" spans="1:24" x14ac:dyDescent="0.2">
      <c r="A92" s="320">
        <v>183</v>
      </c>
      <c r="B92" s="93" t="s">
        <v>523</v>
      </c>
      <c r="C92" s="93">
        <v>3</v>
      </c>
      <c r="D92" s="93">
        <v>1</v>
      </c>
      <c r="E92" s="93">
        <v>2</v>
      </c>
      <c r="F92" s="93">
        <f t="shared" si="22"/>
        <v>0</v>
      </c>
      <c r="G92" s="93">
        <v>195</v>
      </c>
      <c r="H92" s="93">
        <v>148</v>
      </c>
      <c r="I92" s="93">
        <v>33</v>
      </c>
      <c r="J92" s="93">
        <f t="shared" si="23"/>
        <v>14</v>
      </c>
      <c r="K92" s="93">
        <v>88</v>
      </c>
      <c r="L92" s="93">
        <v>63</v>
      </c>
      <c r="M92" s="93">
        <v>19</v>
      </c>
      <c r="N92" s="93">
        <f t="shared" si="24"/>
        <v>6</v>
      </c>
      <c r="P92" s="93">
        <f t="shared" si="13"/>
        <v>0.33333333333333331</v>
      </c>
      <c r="Q92" s="93">
        <f t="shared" si="14"/>
        <v>0.66666666666666663</v>
      </c>
      <c r="R92" s="93">
        <f t="shared" si="15"/>
        <v>0</v>
      </c>
      <c r="S92" s="93">
        <f t="shared" si="16"/>
        <v>0.75897435897435894</v>
      </c>
      <c r="T92" s="93">
        <f t="shared" si="17"/>
        <v>0.16923076923076924</v>
      </c>
      <c r="U92" s="93">
        <f t="shared" si="18"/>
        <v>7.179487179487179E-2</v>
      </c>
      <c r="V92" s="93">
        <f t="shared" si="19"/>
        <v>0.71590909090909094</v>
      </c>
      <c r="W92" s="93">
        <f t="shared" si="20"/>
        <v>0.21590909090909091</v>
      </c>
      <c r="X92" s="93">
        <f t="shared" si="21"/>
        <v>6.8181818181818177E-2</v>
      </c>
    </row>
    <row r="93" spans="1:24" x14ac:dyDescent="0.2">
      <c r="A93" s="320">
        <v>185</v>
      </c>
      <c r="B93" s="93" t="s">
        <v>524</v>
      </c>
      <c r="C93" s="93">
        <v>26</v>
      </c>
      <c r="D93" s="93">
        <v>26</v>
      </c>
      <c r="E93" s="93">
        <v>0</v>
      </c>
      <c r="F93" s="93">
        <f t="shared" si="22"/>
        <v>0</v>
      </c>
      <c r="G93" s="93">
        <v>215</v>
      </c>
      <c r="H93" s="93">
        <v>196</v>
      </c>
      <c r="I93" s="93">
        <v>7</v>
      </c>
      <c r="J93" s="93">
        <f t="shared" si="23"/>
        <v>12</v>
      </c>
      <c r="K93" s="93">
        <v>84</v>
      </c>
      <c r="L93" s="93">
        <v>77</v>
      </c>
      <c r="M93" s="93">
        <v>7</v>
      </c>
      <c r="N93" s="93">
        <f t="shared" si="24"/>
        <v>0</v>
      </c>
      <c r="P93" s="93">
        <f t="shared" si="13"/>
        <v>1</v>
      </c>
      <c r="Q93" s="93">
        <f t="shared" si="14"/>
        <v>0</v>
      </c>
      <c r="R93" s="93">
        <f t="shared" si="15"/>
        <v>0</v>
      </c>
      <c r="S93" s="93">
        <f t="shared" si="16"/>
        <v>0.91162790697674423</v>
      </c>
      <c r="T93" s="93">
        <f t="shared" si="17"/>
        <v>3.255813953488372E-2</v>
      </c>
      <c r="U93" s="93">
        <f t="shared" si="18"/>
        <v>5.5813953488372092E-2</v>
      </c>
      <c r="V93" s="93">
        <f t="shared" si="19"/>
        <v>0.91666666666666663</v>
      </c>
      <c r="W93" s="93">
        <f t="shared" si="20"/>
        <v>8.3333333333333329E-2</v>
      </c>
      <c r="X93" s="93">
        <f t="shared" si="21"/>
        <v>0</v>
      </c>
    </row>
    <row r="94" spans="1:24" x14ac:dyDescent="0.2">
      <c r="A94" s="320">
        <v>187</v>
      </c>
      <c r="B94" s="93" t="s">
        <v>525</v>
      </c>
      <c r="C94" s="93">
        <v>60</v>
      </c>
      <c r="D94" s="93">
        <v>57</v>
      </c>
      <c r="E94" s="93">
        <v>0</v>
      </c>
      <c r="F94" s="93">
        <f t="shared" si="22"/>
        <v>3</v>
      </c>
      <c r="G94" s="93">
        <v>798</v>
      </c>
      <c r="H94" s="93">
        <v>733</v>
      </c>
      <c r="I94" s="93">
        <v>27</v>
      </c>
      <c r="J94" s="93">
        <f t="shared" si="23"/>
        <v>38</v>
      </c>
      <c r="K94" s="93">
        <v>549</v>
      </c>
      <c r="L94" s="93">
        <v>473</v>
      </c>
      <c r="M94" s="93">
        <v>24</v>
      </c>
      <c r="N94" s="93">
        <f t="shared" si="24"/>
        <v>52</v>
      </c>
      <c r="P94" s="93">
        <f t="shared" si="13"/>
        <v>0.95</v>
      </c>
      <c r="Q94" s="93">
        <f t="shared" si="14"/>
        <v>0</v>
      </c>
      <c r="R94" s="93">
        <f t="shared" si="15"/>
        <v>0.05</v>
      </c>
      <c r="S94" s="93">
        <f t="shared" si="16"/>
        <v>0.918546365914787</v>
      </c>
      <c r="T94" s="93">
        <f t="shared" si="17"/>
        <v>3.3834586466165412E-2</v>
      </c>
      <c r="U94" s="93">
        <f t="shared" si="18"/>
        <v>4.7619047619047616E-2</v>
      </c>
      <c r="V94" s="93">
        <f t="shared" si="19"/>
        <v>0.86156648451730422</v>
      </c>
      <c r="W94" s="93">
        <f t="shared" si="20"/>
        <v>4.3715846994535519E-2</v>
      </c>
      <c r="X94" s="93">
        <f t="shared" si="21"/>
        <v>9.4717668488160295E-2</v>
      </c>
    </row>
    <row r="95" spans="1:24" x14ac:dyDescent="0.2">
      <c r="A95" s="320">
        <v>191</v>
      </c>
      <c r="B95" s="93" t="s">
        <v>526</v>
      </c>
      <c r="C95" s="93">
        <v>51</v>
      </c>
      <c r="D95" s="93">
        <v>49</v>
      </c>
      <c r="E95" s="93">
        <v>0</v>
      </c>
      <c r="F95" s="93">
        <f t="shared" si="22"/>
        <v>2</v>
      </c>
      <c r="G95" s="93">
        <v>483</v>
      </c>
      <c r="H95" s="93">
        <v>460</v>
      </c>
      <c r="I95" s="93">
        <v>9</v>
      </c>
      <c r="J95" s="93">
        <f t="shared" si="23"/>
        <v>14</v>
      </c>
      <c r="K95" s="93">
        <v>246</v>
      </c>
      <c r="L95" s="93">
        <v>225</v>
      </c>
      <c r="M95" s="93">
        <v>9</v>
      </c>
      <c r="N95" s="93">
        <f t="shared" si="24"/>
        <v>12</v>
      </c>
      <c r="P95" s="93">
        <f t="shared" si="13"/>
        <v>0.96078431372549022</v>
      </c>
      <c r="Q95" s="93">
        <f t="shared" si="14"/>
        <v>0</v>
      </c>
      <c r="R95" s="93">
        <f t="shared" si="15"/>
        <v>3.9215686274509803E-2</v>
      </c>
      <c r="S95" s="93">
        <f t="shared" si="16"/>
        <v>0.95238095238095233</v>
      </c>
      <c r="T95" s="93">
        <f t="shared" si="17"/>
        <v>1.8633540372670808E-2</v>
      </c>
      <c r="U95" s="93">
        <f t="shared" si="18"/>
        <v>2.8985507246376812E-2</v>
      </c>
      <c r="V95" s="93">
        <f t="shared" si="19"/>
        <v>0.91463414634146345</v>
      </c>
      <c r="W95" s="93">
        <f t="shared" si="20"/>
        <v>3.6585365853658534E-2</v>
      </c>
      <c r="X95" s="93">
        <f t="shared" si="21"/>
        <v>4.878048780487805E-2</v>
      </c>
    </row>
    <row r="96" spans="1:24" x14ac:dyDescent="0.2">
      <c r="A96" s="320">
        <v>193</v>
      </c>
      <c r="B96" s="93" t="s">
        <v>527</v>
      </c>
      <c r="C96" s="93">
        <v>33</v>
      </c>
      <c r="D96" s="93">
        <v>23</v>
      </c>
      <c r="E96" s="93">
        <v>7</v>
      </c>
      <c r="F96" s="93">
        <f t="shared" si="22"/>
        <v>3</v>
      </c>
      <c r="G96" s="93">
        <v>663</v>
      </c>
      <c r="H96" s="93">
        <v>570</v>
      </c>
      <c r="I96" s="93">
        <v>53</v>
      </c>
      <c r="J96" s="93">
        <f t="shared" si="23"/>
        <v>40</v>
      </c>
      <c r="K96" s="93">
        <v>379</v>
      </c>
      <c r="L96" s="93">
        <v>315</v>
      </c>
      <c r="M96" s="93">
        <v>38</v>
      </c>
      <c r="N96" s="93">
        <f t="shared" si="24"/>
        <v>26</v>
      </c>
      <c r="P96" s="93">
        <f t="shared" si="13"/>
        <v>0.69696969696969702</v>
      </c>
      <c r="Q96" s="93">
        <f t="shared" si="14"/>
        <v>0.21212121212121213</v>
      </c>
      <c r="R96" s="93">
        <f t="shared" si="15"/>
        <v>9.0909090909090912E-2</v>
      </c>
      <c r="S96" s="93">
        <f t="shared" si="16"/>
        <v>0.85972850678733037</v>
      </c>
      <c r="T96" s="93">
        <f t="shared" si="17"/>
        <v>7.9939668174962286E-2</v>
      </c>
      <c r="U96" s="93">
        <f t="shared" si="18"/>
        <v>6.0331825037707391E-2</v>
      </c>
      <c r="V96" s="93">
        <f t="shared" si="19"/>
        <v>0.83113456464379942</v>
      </c>
      <c r="W96" s="93">
        <f t="shared" si="20"/>
        <v>0.10026385224274406</v>
      </c>
      <c r="X96" s="93">
        <f t="shared" si="21"/>
        <v>6.860158311345646E-2</v>
      </c>
    </row>
    <row r="97" spans="1:24" x14ac:dyDescent="0.2">
      <c r="A97" s="320">
        <v>195</v>
      </c>
      <c r="B97" s="93" t="s">
        <v>528</v>
      </c>
      <c r="C97" s="93">
        <v>22</v>
      </c>
      <c r="D97" s="93">
        <v>22</v>
      </c>
      <c r="E97" s="93">
        <v>0</v>
      </c>
      <c r="F97" s="93">
        <f t="shared" si="22"/>
        <v>0</v>
      </c>
      <c r="G97" s="93">
        <v>339</v>
      </c>
      <c r="H97" s="93">
        <v>303</v>
      </c>
      <c r="I97" s="93">
        <v>32</v>
      </c>
      <c r="J97" s="93">
        <f t="shared" si="23"/>
        <v>4</v>
      </c>
      <c r="K97" s="93">
        <v>161</v>
      </c>
      <c r="L97" s="93">
        <v>149</v>
      </c>
      <c r="M97" s="93">
        <v>9</v>
      </c>
      <c r="N97" s="93">
        <f t="shared" si="24"/>
        <v>3</v>
      </c>
      <c r="P97" s="93">
        <f t="shared" si="13"/>
        <v>1</v>
      </c>
      <c r="Q97" s="93">
        <f t="shared" si="14"/>
        <v>0</v>
      </c>
      <c r="R97" s="93">
        <f t="shared" si="15"/>
        <v>0</v>
      </c>
      <c r="S97" s="93">
        <f t="shared" si="16"/>
        <v>0.89380530973451322</v>
      </c>
      <c r="T97" s="93">
        <f t="shared" si="17"/>
        <v>9.4395280235988199E-2</v>
      </c>
      <c r="U97" s="93">
        <f t="shared" si="18"/>
        <v>1.1799410029498525E-2</v>
      </c>
      <c r="V97" s="93">
        <f t="shared" si="19"/>
        <v>0.92546583850931674</v>
      </c>
      <c r="W97" s="93">
        <f t="shared" si="20"/>
        <v>5.5900621118012424E-2</v>
      </c>
      <c r="X97" s="93">
        <f t="shared" si="21"/>
        <v>1.8633540372670808E-2</v>
      </c>
    </row>
    <row r="98" spans="1:24" x14ac:dyDescent="0.2">
      <c r="A98" s="320">
        <v>197</v>
      </c>
      <c r="B98" s="93" t="s">
        <v>529</v>
      </c>
      <c r="C98" s="93">
        <v>20</v>
      </c>
      <c r="D98" s="93">
        <v>20</v>
      </c>
      <c r="E98" s="93">
        <v>0</v>
      </c>
      <c r="F98" s="93">
        <f t="shared" si="22"/>
        <v>0</v>
      </c>
      <c r="G98" s="93">
        <v>168</v>
      </c>
      <c r="H98" s="93">
        <v>152</v>
      </c>
      <c r="I98" s="93">
        <v>9</v>
      </c>
      <c r="J98" s="93">
        <f t="shared" si="23"/>
        <v>7</v>
      </c>
      <c r="K98" s="93">
        <v>110</v>
      </c>
      <c r="L98" s="93">
        <v>99</v>
      </c>
      <c r="M98" s="93">
        <v>9</v>
      </c>
      <c r="N98" s="93">
        <f t="shared" si="24"/>
        <v>2</v>
      </c>
      <c r="P98" s="93">
        <f t="shared" si="13"/>
        <v>1</v>
      </c>
      <c r="Q98" s="93">
        <f t="shared" si="14"/>
        <v>0</v>
      </c>
      <c r="R98" s="93">
        <f t="shared" si="15"/>
        <v>0</v>
      </c>
      <c r="S98" s="93">
        <f t="shared" si="16"/>
        <v>0.90476190476190477</v>
      </c>
      <c r="T98" s="93">
        <f t="shared" si="17"/>
        <v>5.3571428571428568E-2</v>
      </c>
      <c r="U98" s="93">
        <f t="shared" si="18"/>
        <v>4.1666666666666664E-2</v>
      </c>
      <c r="V98" s="93">
        <f t="shared" si="19"/>
        <v>0.9</v>
      </c>
      <c r="W98" s="93">
        <f t="shared" si="20"/>
        <v>8.1818181818181818E-2</v>
      </c>
      <c r="X98" s="93">
        <f t="shared" si="21"/>
        <v>1.8181818181818181E-2</v>
      </c>
    </row>
    <row r="99" spans="1:24" x14ac:dyDescent="0.2">
      <c r="A99" s="320">
        <v>199</v>
      </c>
      <c r="B99" s="93" t="s">
        <v>689</v>
      </c>
      <c r="C99" s="93">
        <v>101</v>
      </c>
      <c r="D99" s="93">
        <v>90</v>
      </c>
      <c r="E99" s="93">
        <v>9</v>
      </c>
      <c r="F99" s="93">
        <f>(C99-D99-E99)+0</f>
        <v>2</v>
      </c>
      <c r="G99" s="93">
        <v>2018</v>
      </c>
      <c r="H99" s="93">
        <v>1720</v>
      </c>
      <c r="I99" s="93">
        <v>163</v>
      </c>
      <c r="J99" s="93">
        <f>(G99-H99-I99)+8</f>
        <v>143</v>
      </c>
      <c r="K99" s="93">
        <v>1307</v>
      </c>
      <c r="L99" s="93">
        <v>1057</v>
      </c>
      <c r="M99" s="93">
        <v>149</v>
      </c>
      <c r="N99" s="93">
        <f>(K99-L99-M99)+4</f>
        <v>105</v>
      </c>
      <c r="P99" s="93">
        <f t="shared" si="13"/>
        <v>0.8910891089108911</v>
      </c>
      <c r="Q99" s="93">
        <f t="shared" si="14"/>
        <v>8.9108910891089105E-2</v>
      </c>
      <c r="R99" s="93">
        <f t="shared" si="15"/>
        <v>1.9801980198019802E-2</v>
      </c>
      <c r="S99" s="93">
        <f t="shared" si="16"/>
        <v>0.85232903865213083</v>
      </c>
      <c r="T99" s="93">
        <f t="shared" si="17"/>
        <v>8.0773042616451934E-2</v>
      </c>
      <c r="U99" s="93">
        <f t="shared" si="18"/>
        <v>7.0862239841427158E-2</v>
      </c>
      <c r="V99" s="93">
        <f t="shared" si="19"/>
        <v>0.8087222647283856</v>
      </c>
      <c r="W99" s="93">
        <f t="shared" si="20"/>
        <v>0.11400153022188217</v>
      </c>
      <c r="X99" s="93">
        <f t="shared" si="21"/>
        <v>8.0336648814078038E-2</v>
      </c>
    </row>
    <row r="100" spans="1:24" x14ac:dyDescent="0.2">
      <c r="A100" s="320">
        <v>510</v>
      </c>
      <c r="B100" s="93" t="s">
        <v>669</v>
      </c>
      <c r="C100" s="93">
        <v>821</v>
      </c>
      <c r="D100" s="93">
        <v>748</v>
      </c>
      <c r="E100" s="93">
        <v>45</v>
      </c>
      <c r="F100" s="93">
        <f t="shared" si="22"/>
        <v>28</v>
      </c>
      <c r="G100" s="93">
        <v>16799</v>
      </c>
      <c r="H100" s="93">
        <v>14652</v>
      </c>
      <c r="I100" s="93">
        <v>1166</v>
      </c>
      <c r="J100" s="93">
        <f t="shared" si="23"/>
        <v>981</v>
      </c>
      <c r="K100" s="93">
        <v>6089</v>
      </c>
      <c r="L100" s="93">
        <v>5260</v>
      </c>
      <c r="M100" s="93">
        <v>488</v>
      </c>
      <c r="N100" s="93">
        <f t="shared" si="24"/>
        <v>341</v>
      </c>
      <c r="P100" s="93">
        <f t="shared" si="13"/>
        <v>0.91108404384896469</v>
      </c>
      <c r="Q100" s="93">
        <f t="shared" si="14"/>
        <v>5.4811205846528627E-2</v>
      </c>
      <c r="R100" s="93">
        <f t="shared" si="15"/>
        <v>3.4104750304506701E-2</v>
      </c>
      <c r="S100" s="93">
        <f t="shared" si="16"/>
        <v>0.87219477349842256</v>
      </c>
      <c r="T100" s="93">
        <f t="shared" si="17"/>
        <v>6.94088933865111E-2</v>
      </c>
      <c r="U100" s="93">
        <f t="shared" si="18"/>
        <v>5.8396333115066375E-2</v>
      </c>
      <c r="V100" s="93">
        <f t="shared" si="19"/>
        <v>0.8638528494005584</v>
      </c>
      <c r="W100" s="93">
        <f t="shared" si="20"/>
        <v>8.0144522910165869E-2</v>
      </c>
      <c r="X100" s="93">
        <f t="shared" si="21"/>
        <v>5.600262768927574E-2</v>
      </c>
    </row>
    <row r="101" spans="1:24" x14ac:dyDescent="0.2">
      <c r="A101" s="320">
        <v>520</v>
      </c>
      <c r="B101" s="93" t="s">
        <v>665</v>
      </c>
      <c r="C101" s="93">
        <v>11</v>
      </c>
      <c r="D101" s="93">
        <v>7</v>
      </c>
      <c r="E101" s="93">
        <v>1</v>
      </c>
      <c r="F101" s="93">
        <f t="shared" si="22"/>
        <v>3</v>
      </c>
      <c r="G101" s="93">
        <v>145</v>
      </c>
      <c r="H101" s="93">
        <v>122</v>
      </c>
      <c r="I101" s="93">
        <v>11</v>
      </c>
      <c r="J101" s="93">
        <f t="shared" si="23"/>
        <v>12</v>
      </c>
      <c r="K101" s="93">
        <v>102</v>
      </c>
      <c r="L101" s="93">
        <v>88</v>
      </c>
      <c r="M101" s="93">
        <v>10</v>
      </c>
      <c r="N101" s="93">
        <f t="shared" si="24"/>
        <v>4</v>
      </c>
      <c r="P101" s="93">
        <f t="shared" si="13"/>
        <v>0.63636363636363635</v>
      </c>
      <c r="Q101" s="93">
        <f t="shared" si="14"/>
        <v>9.0909090909090912E-2</v>
      </c>
      <c r="R101" s="93">
        <f t="shared" si="15"/>
        <v>0.27272727272727271</v>
      </c>
      <c r="S101" s="93">
        <f t="shared" si="16"/>
        <v>0.8413793103448276</v>
      </c>
      <c r="T101" s="93">
        <f t="shared" si="17"/>
        <v>7.586206896551724E-2</v>
      </c>
      <c r="U101" s="93">
        <f t="shared" si="18"/>
        <v>8.2758620689655171E-2</v>
      </c>
      <c r="V101" s="93">
        <f t="shared" si="19"/>
        <v>0.86274509803921573</v>
      </c>
      <c r="W101" s="93">
        <f t="shared" si="20"/>
        <v>9.8039215686274508E-2</v>
      </c>
      <c r="X101" s="93">
        <f t="shared" si="21"/>
        <v>3.9215686274509803E-2</v>
      </c>
    </row>
    <row r="102" spans="1:24" x14ac:dyDescent="0.2">
      <c r="A102" s="320">
        <v>540</v>
      </c>
      <c r="B102" s="93" t="s">
        <v>671</v>
      </c>
      <c r="C102" s="93">
        <v>61</v>
      </c>
      <c r="D102" s="93">
        <v>54</v>
      </c>
      <c r="E102" s="93">
        <v>3</v>
      </c>
      <c r="F102" s="93">
        <f t="shared" si="22"/>
        <v>4</v>
      </c>
      <c r="G102" s="93">
        <v>1629</v>
      </c>
      <c r="H102" s="93">
        <v>1384</v>
      </c>
      <c r="I102" s="93">
        <v>143</v>
      </c>
      <c r="J102" s="93">
        <f t="shared" si="23"/>
        <v>102</v>
      </c>
      <c r="K102" s="93">
        <v>538</v>
      </c>
      <c r="L102" s="93">
        <v>443</v>
      </c>
      <c r="M102" s="93">
        <v>69</v>
      </c>
      <c r="N102" s="93">
        <f t="shared" si="24"/>
        <v>26</v>
      </c>
      <c r="P102" s="93">
        <f t="shared" si="13"/>
        <v>0.88524590163934425</v>
      </c>
      <c r="Q102" s="93">
        <f t="shared" si="14"/>
        <v>4.9180327868852458E-2</v>
      </c>
      <c r="R102" s="93">
        <f t="shared" si="15"/>
        <v>6.5573770491803282E-2</v>
      </c>
      <c r="S102" s="93">
        <f t="shared" si="16"/>
        <v>0.84960098219766733</v>
      </c>
      <c r="T102" s="93">
        <f t="shared" si="17"/>
        <v>8.7783916513198279E-2</v>
      </c>
      <c r="U102" s="93">
        <f t="shared" si="18"/>
        <v>6.2615101289134445E-2</v>
      </c>
      <c r="V102" s="93">
        <f t="shared" si="19"/>
        <v>0.82342007434944242</v>
      </c>
      <c r="W102" s="93">
        <f t="shared" si="20"/>
        <v>0.12825278810408922</v>
      </c>
      <c r="X102" s="93">
        <f t="shared" si="21"/>
        <v>4.8327137546468404E-2</v>
      </c>
    </row>
    <row r="103" spans="1:24" x14ac:dyDescent="0.2">
      <c r="A103" s="320">
        <v>550</v>
      </c>
      <c r="B103" s="93" t="s">
        <v>677</v>
      </c>
      <c r="C103" s="93">
        <v>358</v>
      </c>
      <c r="D103" s="93">
        <v>280</v>
      </c>
      <c r="E103" s="93">
        <v>60</v>
      </c>
      <c r="F103" s="93">
        <f t="shared" si="22"/>
        <v>18</v>
      </c>
      <c r="G103" s="93">
        <v>6149</v>
      </c>
      <c r="H103" s="93">
        <v>4728</v>
      </c>
      <c r="I103" s="93">
        <v>985</v>
      </c>
      <c r="J103" s="93">
        <f t="shared" si="23"/>
        <v>436</v>
      </c>
      <c r="K103" s="93">
        <v>3821</v>
      </c>
      <c r="L103" s="93">
        <v>2776</v>
      </c>
      <c r="M103" s="93">
        <v>784</v>
      </c>
      <c r="N103" s="93">
        <f t="shared" si="24"/>
        <v>261</v>
      </c>
      <c r="P103" s="93">
        <f t="shared" si="13"/>
        <v>0.78212290502793291</v>
      </c>
      <c r="Q103" s="93">
        <f t="shared" si="14"/>
        <v>0.16759776536312848</v>
      </c>
      <c r="R103" s="93">
        <f t="shared" si="15"/>
        <v>5.027932960893855E-2</v>
      </c>
      <c r="S103" s="93">
        <f t="shared" si="16"/>
        <v>0.76890551309155963</v>
      </c>
      <c r="T103" s="93">
        <f t="shared" si="17"/>
        <v>0.16018864856074158</v>
      </c>
      <c r="U103" s="93">
        <f t="shared" si="18"/>
        <v>7.0905838347698813E-2</v>
      </c>
      <c r="V103" s="93">
        <f t="shared" si="19"/>
        <v>0.72651138445433128</v>
      </c>
      <c r="W103" s="93">
        <f t="shared" si="20"/>
        <v>0.20518188955770741</v>
      </c>
      <c r="X103" s="93">
        <f t="shared" si="21"/>
        <v>6.8306725987961267E-2</v>
      </c>
    </row>
    <row r="104" spans="1:24" x14ac:dyDescent="0.2">
      <c r="A104" s="320">
        <v>590</v>
      </c>
      <c r="B104" s="93" t="s">
        <v>673</v>
      </c>
      <c r="C104" s="93">
        <v>42</v>
      </c>
      <c r="D104" s="93">
        <v>30</v>
      </c>
      <c r="E104" s="93">
        <v>11</v>
      </c>
      <c r="F104" s="93">
        <f t="shared" si="22"/>
        <v>1</v>
      </c>
      <c r="G104" s="93">
        <v>741</v>
      </c>
      <c r="H104" s="93">
        <v>604</v>
      </c>
      <c r="I104" s="93">
        <v>81</v>
      </c>
      <c r="J104" s="93">
        <f t="shared" si="23"/>
        <v>56</v>
      </c>
      <c r="K104" s="93">
        <v>508</v>
      </c>
      <c r="L104" s="93">
        <v>422</v>
      </c>
      <c r="M104" s="93">
        <v>60</v>
      </c>
      <c r="N104" s="93">
        <f t="shared" si="24"/>
        <v>26</v>
      </c>
      <c r="P104" s="93">
        <f t="shared" si="13"/>
        <v>0.7142857142857143</v>
      </c>
      <c r="Q104" s="93">
        <f t="shared" si="14"/>
        <v>0.26190476190476192</v>
      </c>
      <c r="R104" s="93">
        <f t="shared" si="15"/>
        <v>2.3809523809523808E-2</v>
      </c>
      <c r="S104" s="93">
        <f t="shared" si="16"/>
        <v>0.81511470985155199</v>
      </c>
      <c r="T104" s="93">
        <f t="shared" si="17"/>
        <v>0.10931174089068826</v>
      </c>
      <c r="U104" s="93">
        <f t="shared" si="18"/>
        <v>7.5573549257759789E-2</v>
      </c>
      <c r="V104" s="93">
        <f t="shared" si="19"/>
        <v>0.8307086614173228</v>
      </c>
      <c r="W104" s="93">
        <f t="shared" si="20"/>
        <v>0.11811023622047244</v>
      </c>
      <c r="X104" s="93">
        <f t="shared" si="21"/>
        <v>5.1181102362204724E-2</v>
      </c>
    </row>
    <row r="105" spans="1:24" x14ac:dyDescent="0.2">
      <c r="A105" s="320">
        <v>620</v>
      </c>
      <c r="B105" s="93" t="s">
        <v>83</v>
      </c>
      <c r="C105" s="93">
        <v>8</v>
      </c>
      <c r="D105" s="93">
        <v>8</v>
      </c>
      <c r="E105" s="93">
        <v>0</v>
      </c>
      <c r="F105" s="93">
        <f t="shared" si="22"/>
        <v>0</v>
      </c>
      <c r="G105" s="93">
        <v>90</v>
      </c>
      <c r="H105" s="93">
        <v>67</v>
      </c>
      <c r="I105" s="93">
        <v>20</v>
      </c>
      <c r="J105" s="93">
        <f t="shared" si="23"/>
        <v>3</v>
      </c>
      <c r="K105" s="93">
        <v>63</v>
      </c>
      <c r="L105" s="93">
        <v>48</v>
      </c>
      <c r="M105" s="93">
        <v>15</v>
      </c>
      <c r="N105" s="93">
        <f t="shared" si="24"/>
        <v>0</v>
      </c>
      <c r="P105" s="93">
        <f t="shared" si="13"/>
        <v>1</v>
      </c>
      <c r="Q105" s="93">
        <f t="shared" si="14"/>
        <v>0</v>
      </c>
      <c r="R105" s="93">
        <f t="shared" si="15"/>
        <v>0</v>
      </c>
      <c r="S105" s="93">
        <f t="shared" si="16"/>
        <v>0.74444444444444446</v>
      </c>
      <c r="T105" s="93">
        <f t="shared" si="17"/>
        <v>0.22222222222222221</v>
      </c>
      <c r="U105" s="93">
        <f t="shared" si="18"/>
        <v>3.3333333333333333E-2</v>
      </c>
      <c r="V105" s="93">
        <f t="shared" si="19"/>
        <v>0.76190476190476186</v>
      </c>
      <c r="W105" s="93">
        <f t="shared" si="20"/>
        <v>0.23809523809523808</v>
      </c>
      <c r="X105" s="93">
        <f t="shared" si="21"/>
        <v>0</v>
      </c>
    </row>
    <row r="106" spans="1:24" x14ac:dyDescent="0.2">
      <c r="A106" s="320">
        <v>630</v>
      </c>
      <c r="B106" s="93" t="s">
        <v>674</v>
      </c>
      <c r="C106" s="93">
        <v>63</v>
      </c>
      <c r="D106" s="93">
        <v>57</v>
      </c>
      <c r="E106" s="93">
        <v>2</v>
      </c>
      <c r="F106" s="93">
        <f t="shared" si="22"/>
        <v>4</v>
      </c>
      <c r="G106" s="93">
        <v>1774</v>
      </c>
      <c r="H106" s="93">
        <v>1444</v>
      </c>
      <c r="I106" s="93">
        <v>196</v>
      </c>
      <c r="J106" s="93">
        <f t="shared" si="23"/>
        <v>134</v>
      </c>
      <c r="K106" s="93">
        <v>987</v>
      </c>
      <c r="L106" s="93">
        <v>762</v>
      </c>
      <c r="M106" s="93">
        <v>149</v>
      </c>
      <c r="N106" s="93">
        <f t="shared" si="24"/>
        <v>76</v>
      </c>
      <c r="P106" s="93">
        <f t="shared" si="13"/>
        <v>0.90476190476190477</v>
      </c>
      <c r="Q106" s="93">
        <f t="shared" si="14"/>
        <v>3.1746031746031744E-2</v>
      </c>
      <c r="R106" s="93">
        <f t="shared" si="15"/>
        <v>6.3492063492063489E-2</v>
      </c>
      <c r="S106" s="93">
        <f t="shared" si="16"/>
        <v>0.81397970687711385</v>
      </c>
      <c r="T106" s="93">
        <f t="shared" si="17"/>
        <v>0.1104847801578354</v>
      </c>
      <c r="U106" s="93">
        <f t="shared" si="18"/>
        <v>7.5535512965050733E-2</v>
      </c>
      <c r="V106" s="93">
        <f t="shared" si="19"/>
        <v>0.77203647416413379</v>
      </c>
      <c r="W106" s="93">
        <f t="shared" si="20"/>
        <v>0.15096251266464034</v>
      </c>
      <c r="X106" s="93">
        <f t="shared" si="21"/>
        <v>7.7001013171225943E-2</v>
      </c>
    </row>
    <row r="107" spans="1:24" x14ac:dyDescent="0.2">
      <c r="A107" s="320">
        <v>640</v>
      </c>
      <c r="B107" s="93" t="s">
        <v>666</v>
      </c>
      <c r="C107" s="93">
        <v>16</v>
      </c>
      <c r="D107" s="93">
        <v>13</v>
      </c>
      <c r="E107" s="93">
        <v>3</v>
      </c>
      <c r="F107" s="93">
        <f t="shared" si="22"/>
        <v>0</v>
      </c>
      <c r="G107" s="93">
        <v>481</v>
      </c>
      <c r="H107" s="93">
        <v>446</v>
      </c>
      <c r="I107" s="93">
        <v>13</v>
      </c>
      <c r="J107" s="93">
        <f t="shared" si="23"/>
        <v>22</v>
      </c>
      <c r="K107" s="93">
        <v>445</v>
      </c>
      <c r="L107" s="93">
        <v>399</v>
      </c>
      <c r="M107" s="93">
        <v>37</v>
      </c>
      <c r="N107" s="93">
        <f t="shared" si="24"/>
        <v>9</v>
      </c>
      <c r="P107" s="93">
        <f t="shared" si="13"/>
        <v>0.8125</v>
      </c>
      <c r="Q107" s="93">
        <f t="shared" si="14"/>
        <v>0.1875</v>
      </c>
      <c r="R107" s="93">
        <f t="shared" si="15"/>
        <v>0</v>
      </c>
      <c r="S107" s="93">
        <f t="shared" si="16"/>
        <v>0.92723492723492729</v>
      </c>
      <c r="T107" s="93">
        <f t="shared" si="17"/>
        <v>2.7027027027027029E-2</v>
      </c>
      <c r="U107" s="93">
        <f t="shared" si="18"/>
        <v>4.5738045738045741E-2</v>
      </c>
      <c r="V107" s="93">
        <f t="shared" si="19"/>
        <v>0.89662921348314606</v>
      </c>
      <c r="W107" s="93">
        <f t="shared" si="20"/>
        <v>8.3146067415730343E-2</v>
      </c>
      <c r="X107" s="93">
        <f t="shared" si="21"/>
        <v>2.0224719101123594E-2</v>
      </c>
    </row>
    <row r="108" spans="1:24" x14ac:dyDescent="0.2">
      <c r="A108" s="320">
        <v>650</v>
      </c>
      <c r="B108" s="93" t="s">
        <v>682</v>
      </c>
      <c r="C108" s="93">
        <v>258</v>
      </c>
      <c r="D108" s="93">
        <v>165</v>
      </c>
      <c r="E108" s="93">
        <v>86</v>
      </c>
      <c r="F108" s="93">
        <f t="shared" si="22"/>
        <v>7</v>
      </c>
      <c r="G108" s="93">
        <v>4089</v>
      </c>
      <c r="H108" s="93">
        <v>2678</v>
      </c>
      <c r="I108" s="93">
        <v>1155</v>
      </c>
      <c r="J108" s="93">
        <f t="shared" si="23"/>
        <v>256</v>
      </c>
      <c r="K108" s="93">
        <v>2117</v>
      </c>
      <c r="L108" s="93">
        <v>1225</v>
      </c>
      <c r="M108" s="93">
        <v>724</v>
      </c>
      <c r="N108" s="93">
        <f t="shared" si="24"/>
        <v>168</v>
      </c>
      <c r="P108" s="93">
        <f t="shared" si="13"/>
        <v>0.63953488372093026</v>
      </c>
      <c r="Q108" s="93">
        <f t="shared" si="14"/>
        <v>0.33333333333333331</v>
      </c>
      <c r="R108" s="93">
        <f t="shared" si="15"/>
        <v>2.7131782945736434E-2</v>
      </c>
      <c r="S108" s="93">
        <f t="shared" si="16"/>
        <v>0.65492785522132546</v>
      </c>
      <c r="T108" s="93">
        <f t="shared" si="17"/>
        <v>0.28246515040352166</v>
      </c>
      <c r="U108" s="93">
        <f t="shared" si="18"/>
        <v>6.2606994375152852E-2</v>
      </c>
      <c r="V108" s="93">
        <f t="shared" si="19"/>
        <v>0.5786490316485593</v>
      </c>
      <c r="W108" s="93">
        <f t="shared" si="20"/>
        <v>0.34199338686820974</v>
      </c>
      <c r="X108" s="93">
        <f t="shared" si="21"/>
        <v>7.9357581483230993E-2</v>
      </c>
    </row>
    <row r="109" spans="1:24" x14ac:dyDescent="0.2">
      <c r="A109" s="320">
        <v>670</v>
      </c>
      <c r="B109" s="93" t="s">
        <v>675</v>
      </c>
      <c r="C109" s="93">
        <v>50</v>
      </c>
      <c r="D109" s="93">
        <v>42</v>
      </c>
      <c r="E109" s="93">
        <v>6</v>
      </c>
      <c r="F109" s="93">
        <f t="shared" si="22"/>
        <v>2</v>
      </c>
      <c r="G109" s="93">
        <v>974</v>
      </c>
      <c r="H109" s="93">
        <v>711</v>
      </c>
      <c r="I109" s="93">
        <v>215</v>
      </c>
      <c r="J109" s="93">
        <f t="shared" si="23"/>
        <v>48</v>
      </c>
      <c r="K109" s="93">
        <v>494</v>
      </c>
      <c r="L109" s="93">
        <v>350</v>
      </c>
      <c r="M109" s="93">
        <v>130</v>
      </c>
      <c r="N109" s="93">
        <f t="shared" si="24"/>
        <v>14</v>
      </c>
      <c r="P109" s="93">
        <f t="shared" si="13"/>
        <v>0.84</v>
      </c>
      <c r="Q109" s="93">
        <f t="shared" si="14"/>
        <v>0.12</v>
      </c>
      <c r="R109" s="93">
        <f t="shared" si="15"/>
        <v>0.04</v>
      </c>
      <c r="S109" s="93">
        <f t="shared" si="16"/>
        <v>0.72997946611909648</v>
      </c>
      <c r="T109" s="93">
        <f t="shared" si="17"/>
        <v>0.22073921971252566</v>
      </c>
      <c r="U109" s="93">
        <f t="shared" si="18"/>
        <v>4.9281314168377825E-2</v>
      </c>
      <c r="V109" s="93">
        <f t="shared" si="19"/>
        <v>0.708502024291498</v>
      </c>
      <c r="W109" s="93">
        <f t="shared" si="20"/>
        <v>0.26315789473684209</v>
      </c>
      <c r="X109" s="93">
        <f t="shared" si="21"/>
        <v>2.8340080971659919E-2</v>
      </c>
    </row>
    <row r="110" spans="1:24" x14ac:dyDescent="0.2">
      <c r="A110" s="320">
        <v>680</v>
      </c>
      <c r="B110" s="93" t="s">
        <v>672</v>
      </c>
      <c r="C110" s="93">
        <v>78</v>
      </c>
      <c r="D110" s="93">
        <v>67</v>
      </c>
      <c r="E110" s="93">
        <v>11</v>
      </c>
      <c r="F110" s="93">
        <f t="shared" si="22"/>
        <v>0</v>
      </c>
      <c r="G110" s="93">
        <v>1695</v>
      </c>
      <c r="H110" s="93">
        <v>1374</v>
      </c>
      <c r="I110" s="93">
        <v>219</v>
      </c>
      <c r="J110" s="93">
        <f t="shared" si="23"/>
        <v>102</v>
      </c>
      <c r="K110" s="93">
        <v>649</v>
      </c>
      <c r="L110" s="93">
        <v>508</v>
      </c>
      <c r="M110" s="93">
        <v>96</v>
      </c>
      <c r="N110" s="93">
        <f t="shared" si="24"/>
        <v>45</v>
      </c>
      <c r="P110" s="93">
        <f t="shared" si="13"/>
        <v>0.85897435897435892</v>
      </c>
      <c r="Q110" s="93">
        <f t="shared" si="14"/>
        <v>0.14102564102564102</v>
      </c>
      <c r="R110" s="93">
        <f t="shared" si="15"/>
        <v>0</v>
      </c>
      <c r="S110" s="93">
        <f t="shared" si="16"/>
        <v>0.81061946902654869</v>
      </c>
      <c r="T110" s="93">
        <f t="shared" si="17"/>
        <v>0.12920353982300886</v>
      </c>
      <c r="U110" s="93">
        <f t="shared" si="18"/>
        <v>6.0176991150442477E-2</v>
      </c>
      <c r="V110" s="93">
        <f t="shared" si="19"/>
        <v>0.78274268104776579</v>
      </c>
      <c r="W110" s="93">
        <f t="shared" si="20"/>
        <v>0.14791987673343607</v>
      </c>
      <c r="X110" s="93">
        <f t="shared" si="21"/>
        <v>6.9337442218798145E-2</v>
      </c>
    </row>
    <row r="111" spans="1:24" x14ac:dyDescent="0.2">
      <c r="A111" s="320">
        <v>683</v>
      </c>
      <c r="B111" s="93" t="s">
        <v>273</v>
      </c>
      <c r="C111" s="93">
        <v>178</v>
      </c>
      <c r="D111" s="93">
        <v>162</v>
      </c>
      <c r="E111" s="93">
        <v>11</v>
      </c>
      <c r="F111" s="93">
        <f t="shared" si="22"/>
        <v>5</v>
      </c>
      <c r="G111" s="93">
        <v>7551</v>
      </c>
      <c r="H111" s="93">
        <v>6855</v>
      </c>
      <c r="I111" s="93">
        <v>405</v>
      </c>
      <c r="J111" s="93">
        <f t="shared" si="23"/>
        <v>291</v>
      </c>
      <c r="K111" s="93">
        <v>4648</v>
      </c>
      <c r="L111" s="93">
        <v>4150</v>
      </c>
      <c r="M111" s="93">
        <v>305</v>
      </c>
      <c r="N111" s="93">
        <f t="shared" si="24"/>
        <v>193</v>
      </c>
      <c r="P111" s="93">
        <f t="shared" si="13"/>
        <v>0.9101123595505618</v>
      </c>
      <c r="Q111" s="93">
        <f t="shared" si="14"/>
        <v>6.1797752808988762E-2</v>
      </c>
      <c r="R111" s="93">
        <f t="shared" si="15"/>
        <v>2.8089887640449437E-2</v>
      </c>
      <c r="S111" s="93">
        <f t="shared" si="16"/>
        <v>0.9078267779102106</v>
      </c>
      <c r="T111" s="93">
        <f t="shared" si="17"/>
        <v>5.3635280095351609E-2</v>
      </c>
      <c r="U111" s="93">
        <f t="shared" si="18"/>
        <v>3.8537941994437823E-2</v>
      </c>
      <c r="V111" s="93">
        <f t="shared" si="19"/>
        <v>0.8928571428571429</v>
      </c>
      <c r="W111" s="93">
        <f t="shared" si="20"/>
        <v>6.561962134251291E-2</v>
      </c>
      <c r="X111" s="93">
        <f t="shared" si="21"/>
        <v>4.1523235800344234E-2</v>
      </c>
    </row>
    <row r="112" spans="1:24" x14ac:dyDescent="0.2">
      <c r="A112" s="320">
        <v>685</v>
      </c>
      <c r="B112" s="93" t="s">
        <v>670</v>
      </c>
      <c r="C112" s="93">
        <v>99</v>
      </c>
      <c r="D112" s="93">
        <v>93</v>
      </c>
      <c r="E112" s="93">
        <v>2</v>
      </c>
      <c r="F112" s="93">
        <f t="shared" si="22"/>
        <v>4</v>
      </c>
      <c r="G112" s="93">
        <v>3242</v>
      </c>
      <c r="H112" s="93">
        <v>2913</v>
      </c>
      <c r="I112" s="93">
        <v>169</v>
      </c>
      <c r="J112" s="93">
        <f t="shared" si="23"/>
        <v>160</v>
      </c>
      <c r="K112" s="93">
        <v>1789</v>
      </c>
      <c r="L112" s="93">
        <v>1579</v>
      </c>
      <c r="M112" s="93">
        <v>126</v>
      </c>
      <c r="N112" s="93">
        <f t="shared" si="24"/>
        <v>84</v>
      </c>
      <c r="P112" s="93">
        <f t="shared" si="13"/>
        <v>0.93939393939393945</v>
      </c>
      <c r="Q112" s="93">
        <f t="shared" si="14"/>
        <v>2.0202020202020204E-2</v>
      </c>
      <c r="R112" s="93">
        <f t="shared" si="15"/>
        <v>4.0404040404040407E-2</v>
      </c>
      <c r="S112" s="93">
        <f t="shared" si="16"/>
        <v>0.89851943244910548</v>
      </c>
      <c r="T112" s="93">
        <f t="shared" si="17"/>
        <v>5.2128315854410856E-2</v>
      </c>
      <c r="U112" s="93">
        <f t="shared" si="18"/>
        <v>4.9352251696483655E-2</v>
      </c>
      <c r="V112" s="93">
        <f t="shared" si="19"/>
        <v>0.88261598658468421</v>
      </c>
      <c r="W112" s="93">
        <f t="shared" si="20"/>
        <v>7.0430408049189486E-2</v>
      </c>
      <c r="X112" s="93">
        <f t="shared" si="21"/>
        <v>4.6953605366126326E-2</v>
      </c>
    </row>
    <row r="113" spans="1:24" x14ac:dyDescent="0.2">
      <c r="A113" s="320">
        <v>690</v>
      </c>
      <c r="B113" s="93" t="s">
        <v>777</v>
      </c>
      <c r="C113" s="93">
        <v>13</v>
      </c>
      <c r="D113" s="93">
        <v>10</v>
      </c>
      <c r="E113" s="93">
        <v>3</v>
      </c>
      <c r="F113" s="93">
        <f t="shared" si="22"/>
        <v>0</v>
      </c>
      <c r="G113" s="93">
        <v>287</v>
      </c>
      <c r="H113" s="93">
        <v>241</v>
      </c>
      <c r="I113" s="93">
        <v>30</v>
      </c>
      <c r="J113" s="93">
        <f t="shared" si="23"/>
        <v>16</v>
      </c>
      <c r="K113" s="93">
        <v>230</v>
      </c>
      <c r="L113" s="93">
        <v>189</v>
      </c>
      <c r="M113" s="93">
        <v>29</v>
      </c>
      <c r="N113" s="93">
        <f t="shared" si="24"/>
        <v>12</v>
      </c>
      <c r="P113" s="93">
        <f t="shared" si="13"/>
        <v>0.76923076923076927</v>
      </c>
      <c r="Q113" s="93">
        <f t="shared" si="14"/>
        <v>0.23076923076923078</v>
      </c>
      <c r="R113" s="93">
        <f t="shared" si="15"/>
        <v>0</v>
      </c>
      <c r="S113" s="93">
        <f t="shared" si="16"/>
        <v>0.83972125435540068</v>
      </c>
      <c r="T113" s="93">
        <f t="shared" si="17"/>
        <v>0.10452961672473868</v>
      </c>
      <c r="U113" s="93">
        <f t="shared" si="18"/>
        <v>5.5749128919860627E-2</v>
      </c>
      <c r="V113" s="93">
        <f t="shared" si="19"/>
        <v>0.82173913043478264</v>
      </c>
      <c r="W113" s="93">
        <f t="shared" si="20"/>
        <v>0.12608695652173912</v>
      </c>
      <c r="X113" s="93">
        <f t="shared" si="21"/>
        <v>5.2173913043478258E-2</v>
      </c>
    </row>
    <row r="114" spans="1:24" x14ac:dyDescent="0.2">
      <c r="A114" s="320">
        <v>700</v>
      </c>
      <c r="B114" s="93" t="s">
        <v>683</v>
      </c>
      <c r="C114" s="93">
        <v>422</v>
      </c>
      <c r="D114" s="93">
        <v>327</v>
      </c>
      <c r="E114" s="93">
        <v>87</v>
      </c>
      <c r="F114" s="93">
        <f t="shared" si="22"/>
        <v>8</v>
      </c>
      <c r="G114" s="93">
        <v>8740</v>
      </c>
      <c r="H114" s="93">
        <v>6397</v>
      </c>
      <c r="I114" s="93">
        <v>1812</v>
      </c>
      <c r="J114" s="93">
        <f t="shared" si="23"/>
        <v>531</v>
      </c>
      <c r="K114" s="93">
        <v>4571</v>
      </c>
      <c r="L114" s="93">
        <v>2995</v>
      </c>
      <c r="M114" s="93">
        <v>1269</v>
      </c>
      <c r="N114" s="93">
        <f t="shared" si="24"/>
        <v>307</v>
      </c>
      <c r="P114" s="93">
        <f t="shared" si="13"/>
        <v>0.77488151658767768</v>
      </c>
      <c r="Q114" s="93">
        <f t="shared" si="14"/>
        <v>0.20616113744075829</v>
      </c>
      <c r="R114" s="93">
        <f t="shared" si="15"/>
        <v>1.8957345971563982E-2</v>
      </c>
      <c r="S114" s="93">
        <f t="shared" si="16"/>
        <v>0.73192219679633863</v>
      </c>
      <c r="T114" s="93">
        <f t="shared" si="17"/>
        <v>0.20732265446224257</v>
      </c>
      <c r="U114" s="93">
        <f t="shared" si="18"/>
        <v>6.0755148741418762E-2</v>
      </c>
      <c r="V114" s="93">
        <f t="shared" si="19"/>
        <v>0.65521767665718667</v>
      </c>
      <c r="W114" s="93">
        <f t="shared" si="20"/>
        <v>0.27761977685408007</v>
      </c>
      <c r="X114" s="93">
        <f t="shared" si="21"/>
        <v>6.7162546488733321E-2</v>
      </c>
    </row>
    <row r="115" spans="1:24" x14ac:dyDescent="0.2">
      <c r="A115" s="320">
        <v>710</v>
      </c>
      <c r="B115" s="93" t="s">
        <v>678</v>
      </c>
      <c r="C115" s="93">
        <v>397</v>
      </c>
      <c r="D115" s="93">
        <v>289</v>
      </c>
      <c r="E115" s="93">
        <v>86</v>
      </c>
      <c r="F115" s="93">
        <f t="shared" si="22"/>
        <v>22</v>
      </c>
      <c r="G115" s="93">
        <v>11906</v>
      </c>
      <c r="H115" s="93">
        <v>8602</v>
      </c>
      <c r="I115" s="93">
        <v>2487</v>
      </c>
      <c r="J115" s="93">
        <f t="shared" si="23"/>
        <v>817</v>
      </c>
      <c r="K115" s="93">
        <v>4411</v>
      </c>
      <c r="L115" s="93">
        <v>2909</v>
      </c>
      <c r="M115" s="93">
        <v>1197</v>
      </c>
      <c r="N115" s="93">
        <f t="shared" si="24"/>
        <v>305</v>
      </c>
      <c r="P115" s="93">
        <f t="shared" si="13"/>
        <v>0.72795969773299751</v>
      </c>
      <c r="Q115" s="93">
        <f t="shared" si="14"/>
        <v>0.21662468513853905</v>
      </c>
      <c r="R115" s="93">
        <f t="shared" si="15"/>
        <v>5.5415617128463476E-2</v>
      </c>
      <c r="S115" s="93">
        <f t="shared" si="16"/>
        <v>0.72249286074248276</v>
      </c>
      <c r="T115" s="93">
        <f t="shared" si="17"/>
        <v>0.20888627582731395</v>
      </c>
      <c r="U115" s="93">
        <f t="shared" si="18"/>
        <v>6.8620863430203252E-2</v>
      </c>
      <c r="V115" s="93">
        <f t="shared" si="19"/>
        <v>0.65948764452505104</v>
      </c>
      <c r="W115" s="93">
        <f t="shared" si="20"/>
        <v>0.27136703695307185</v>
      </c>
      <c r="X115" s="93">
        <f t="shared" si="21"/>
        <v>6.9145318521877122E-2</v>
      </c>
    </row>
    <row r="116" spans="1:24" x14ac:dyDescent="0.2">
      <c r="A116" s="320">
        <v>720</v>
      </c>
      <c r="B116" s="93" t="s">
        <v>664</v>
      </c>
      <c r="C116" s="93">
        <v>2</v>
      </c>
      <c r="D116" s="93">
        <v>2</v>
      </c>
      <c r="E116" s="93">
        <v>0</v>
      </c>
      <c r="F116" s="93">
        <f t="shared" si="22"/>
        <v>0</v>
      </c>
      <c r="G116" s="93">
        <v>62</v>
      </c>
      <c r="H116" s="93">
        <v>59</v>
      </c>
      <c r="I116" s="93">
        <v>0</v>
      </c>
      <c r="J116" s="93">
        <f t="shared" si="23"/>
        <v>3</v>
      </c>
      <c r="K116" s="93">
        <v>26</v>
      </c>
      <c r="L116" s="93">
        <v>24</v>
      </c>
      <c r="M116" s="93">
        <v>1</v>
      </c>
      <c r="N116" s="93">
        <f t="shared" si="24"/>
        <v>1</v>
      </c>
      <c r="P116" s="93">
        <f t="shared" si="13"/>
        <v>1</v>
      </c>
      <c r="Q116" s="93">
        <f t="shared" si="14"/>
        <v>0</v>
      </c>
      <c r="R116" s="93">
        <f t="shared" si="15"/>
        <v>0</v>
      </c>
      <c r="S116" s="93">
        <f t="shared" si="16"/>
        <v>0.95161290322580649</v>
      </c>
      <c r="T116" s="93">
        <f t="shared" si="17"/>
        <v>0</v>
      </c>
      <c r="U116" s="93">
        <f t="shared" si="18"/>
        <v>4.8387096774193547E-2</v>
      </c>
      <c r="V116" s="93">
        <f t="shared" si="19"/>
        <v>0.92307692307692313</v>
      </c>
      <c r="W116" s="93">
        <f t="shared" si="20"/>
        <v>3.8461538461538464E-2</v>
      </c>
      <c r="X116" s="93">
        <f t="shared" si="21"/>
        <v>3.8461538461538464E-2</v>
      </c>
    </row>
    <row r="117" spans="1:24" x14ac:dyDescent="0.2">
      <c r="A117" s="320">
        <v>730</v>
      </c>
      <c r="B117" s="93" t="s">
        <v>676</v>
      </c>
      <c r="C117" s="93">
        <v>48</v>
      </c>
      <c r="D117" s="93">
        <v>24</v>
      </c>
      <c r="E117" s="93">
        <v>24</v>
      </c>
      <c r="F117" s="93">
        <f t="shared" si="22"/>
        <v>0</v>
      </c>
      <c r="G117" s="93">
        <v>844</v>
      </c>
      <c r="H117" s="93">
        <v>552</v>
      </c>
      <c r="I117" s="93">
        <v>254</v>
      </c>
      <c r="J117" s="93">
        <f t="shared" si="23"/>
        <v>38</v>
      </c>
      <c r="K117" s="93">
        <v>426</v>
      </c>
      <c r="L117" s="93">
        <v>265</v>
      </c>
      <c r="M117" s="93">
        <v>136</v>
      </c>
      <c r="N117" s="93">
        <f t="shared" si="24"/>
        <v>25</v>
      </c>
      <c r="P117" s="93">
        <f t="shared" si="13"/>
        <v>0.5</v>
      </c>
      <c r="Q117" s="93">
        <f t="shared" si="14"/>
        <v>0.5</v>
      </c>
      <c r="R117" s="93">
        <f t="shared" si="15"/>
        <v>0</v>
      </c>
      <c r="S117" s="93">
        <f t="shared" si="16"/>
        <v>0.65402843601895733</v>
      </c>
      <c r="T117" s="93">
        <f t="shared" si="17"/>
        <v>0.3009478672985782</v>
      </c>
      <c r="U117" s="93">
        <f t="shared" si="18"/>
        <v>4.5023696682464455E-2</v>
      </c>
      <c r="V117" s="93">
        <f t="shared" si="19"/>
        <v>0.6220657276995305</v>
      </c>
      <c r="W117" s="93">
        <f t="shared" si="20"/>
        <v>0.31924882629107981</v>
      </c>
      <c r="X117" s="93">
        <f t="shared" si="21"/>
        <v>5.8685446009389672E-2</v>
      </c>
    </row>
    <row r="118" spans="1:24" x14ac:dyDescent="0.2">
      <c r="A118" s="320">
        <v>740</v>
      </c>
      <c r="B118" s="93" t="s">
        <v>679</v>
      </c>
      <c r="C118" s="93">
        <v>94</v>
      </c>
      <c r="D118" s="93">
        <v>49</v>
      </c>
      <c r="E118" s="93">
        <v>36</v>
      </c>
      <c r="F118" s="93">
        <f t="shared" si="22"/>
        <v>9</v>
      </c>
      <c r="G118" s="93">
        <v>2014</v>
      </c>
      <c r="H118" s="93">
        <v>1383</v>
      </c>
      <c r="I118" s="93">
        <v>499</v>
      </c>
      <c r="J118" s="93">
        <f t="shared" si="23"/>
        <v>132</v>
      </c>
      <c r="K118" s="93">
        <v>1004</v>
      </c>
      <c r="L118" s="93">
        <v>611</v>
      </c>
      <c r="M118" s="93">
        <v>313</v>
      </c>
      <c r="N118" s="93">
        <f t="shared" si="24"/>
        <v>80</v>
      </c>
      <c r="P118" s="93">
        <f t="shared" si="13"/>
        <v>0.52127659574468088</v>
      </c>
      <c r="Q118" s="93">
        <f t="shared" si="14"/>
        <v>0.38297872340425532</v>
      </c>
      <c r="R118" s="93">
        <f t="shared" si="15"/>
        <v>9.5744680851063829E-2</v>
      </c>
      <c r="S118" s="93">
        <f t="shared" si="16"/>
        <v>0.68669314796425029</v>
      </c>
      <c r="T118" s="93">
        <f t="shared" si="17"/>
        <v>0.2477656405163853</v>
      </c>
      <c r="U118" s="93">
        <f t="shared" si="18"/>
        <v>6.5541211519364442E-2</v>
      </c>
      <c r="V118" s="93">
        <f t="shared" si="19"/>
        <v>0.60856573705179284</v>
      </c>
      <c r="W118" s="93">
        <f t="shared" si="20"/>
        <v>0.31175298804780877</v>
      </c>
      <c r="X118" s="93">
        <f t="shared" si="21"/>
        <v>7.9681274900398405E-2</v>
      </c>
    </row>
    <row r="119" spans="1:24" x14ac:dyDescent="0.2">
      <c r="A119" s="320">
        <v>750</v>
      </c>
      <c r="B119" s="93" t="s">
        <v>667</v>
      </c>
      <c r="C119" s="93">
        <v>8</v>
      </c>
      <c r="D119" s="93">
        <v>6</v>
      </c>
      <c r="E119" s="93">
        <v>0</v>
      </c>
      <c r="F119" s="93">
        <f t="shared" si="22"/>
        <v>2</v>
      </c>
      <c r="G119" s="93">
        <v>328</v>
      </c>
      <c r="H119" s="93">
        <v>281</v>
      </c>
      <c r="I119" s="93">
        <v>12</v>
      </c>
      <c r="J119" s="93">
        <f t="shared" si="23"/>
        <v>35</v>
      </c>
      <c r="K119" s="93">
        <v>60</v>
      </c>
      <c r="L119" s="93">
        <v>42</v>
      </c>
      <c r="M119" s="93">
        <v>13</v>
      </c>
      <c r="N119" s="93">
        <f t="shared" si="24"/>
        <v>5</v>
      </c>
      <c r="P119" s="93">
        <f t="shared" si="13"/>
        <v>0.75</v>
      </c>
      <c r="Q119" s="93">
        <f t="shared" si="14"/>
        <v>0</v>
      </c>
      <c r="R119" s="93">
        <f t="shared" si="15"/>
        <v>0.25</v>
      </c>
      <c r="S119" s="93">
        <f t="shared" si="16"/>
        <v>0.85670731707317072</v>
      </c>
      <c r="T119" s="93">
        <f t="shared" si="17"/>
        <v>3.6585365853658534E-2</v>
      </c>
      <c r="U119" s="93">
        <f t="shared" si="18"/>
        <v>0.10670731707317073</v>
      </c>
      <c r="V119" s="93">
        <f t="shared" si="19"/>
        <v>0.7</v>
      </c>
      <c r="W119" s="93">
        <f t="shared" si="20"/>
        <v>0.21666666666666667</v>
      </c>
      <c r="X119" s="93">
        <f t="shared" si="21"/>
        <v>8.3333333333333329E-2</v>
      </c>
    </row>
    <row r="120" spans="1:24" x14ac:dyDescent="0.2">
      <c r="A120" s="320">
        <v>760</v>
      </c>
      <c r="B120" s="93" t="s">
        <v>197</v>
      </c>
      <c r="C120" s="93">
        <v>287</v>
      </c>
      <c r="D120" s="93">
        <v>198</v>
      </c>
      <c r="E120" s="93">
        <v>67</v>
      </c>
      <c r="F120" s="93">
        <f t="shared" si="22"/>
        <v>22</v>
      </c>
      <c r="G120" s="93">
        <v>8984</v>
      </c>
      <c r="H120" s="93">
        <v>6482</v>
      </c>
      <c r="I120" s="93">
        <v>1537</v>
      </c>
      <c r="J120" s="93">
        <f t="shared" si="23"/>
        <v>965</v>
      </c>
      <c r="K120" s="93">
        <v>3767</v>
      </c>
      <c r="L120" s="93">
        <v>2448</v>
      </c>
      <c r="M120" s="93">
        <v>866</v>
      </c>
      <c r="N120" s="93">
        <f t="shared" si="24"/>
        <v>453</v>
      </c>
      <c r="P120" s="93">
        <f t="shared" si="13"/>
        <v>0.68989547038327526</v>
      </c>
      <c r="Q120" s="93">
        <f t="shared" si="14"/>
        <v>0.23344947735191637</v>
      </c>
      <c r="R120" s="93">
        <f t="shared" si="15"/>
        <v>7.6655052264808357E-2</v>
      </c>
      <c r="S120" s="93">
        <f t="shared" si="16"/>
        <v>0.72150489759572578</v>
      </c>
      <c r="T120" s="93">
        <f t="shared" si="17"/>
        <v>0.17108192341941228</v>
      </c>
      <c r="U120" s="93">
        <f t="shared" si="18"/>
        <v>0.10741317898486198</v>
      </c>
      <c r="V120" s="93">
        <f t="shared" si="19"/>
        <v>0.64985399522166176</v>
      </c>
      <c r="W120" s="93">
        <f t="shared" si="20"/>
        <v>0.22989116007432969</v>
      </c>
      <c r="X120" s="93">
        <f t="shared" si="21"/>
        <v>0.12025484470400849</v>
      </c>
    </row>
    <row r="121" spans="1:24" x14ac:dyDescent="0.2">
      <c r="A121" s="320">
        <v>770</v>
      </c>
      <c r="B121" s="93" t="s">
        <v>201</v>
      </c>
      <c r="C121" s="93">
        <v>153</v>
      </c>
      <c r="D121" s="93">
        <v>127</v>
      </c>
      <c r="E121" s="93">
        <v>20</v>
      </c>
      <c r="F121" s="93">
        <f t="shared" si="22"/>
        <v>6</v>
      </c>
      <c r="G121" s="93">
        <v>3374</v>
      </c>
      <c r="H121" s="93">
        <v>2778</v>
      </c>
      <c r="I121" s="93">
        <v>409</v>
      </c>
      <c r="J121" s="93">
        <f t="shared" si="23"/>
        <v>187</v>
      </c>
      <c r="K121" s="93">
        <v>1894</v>
      </c>
      <c r="L121" s="93">
        <v>1494</v>
      </c>
      <c r="M121" s="93">
        <v>306</v>
      </c>
      <c r="N121" s="93">
        <f t="shared" si="24"/>
        <v>94</v>
      </c>
      <c r="P121" s="93">
        <f t="shared" si="13"/>
        <v>0.83006535947712423</v>
      </c>
      <c r="Q121" s="93">
        <f t="shared" si="14"/>
        <v>0.13071895424836602</v>
      </c>
      <c r="R121" s="93">
        <f t="shared" si="15"/>
        <v>3.9215686274509803E-2</v>
      </c>
      <c r="S121" s="93">
        <f t="shared" si="16"/>
        <v>0.82335506816834614</v>
      </c>
      <c r="T121" s="93">
        <f t="shared" si="17"/>
        <v>0.12122110254890338</v>
      </c>
      <c r="U121" s="93">
        <f t="shared" si="18"/>
        <v>5.5423829282750442E-2</v>
      </c>
      <c r="V121" s="93">
        <f t="shared" si="19"/>
        <v>0.78880675818373813</v>
      </c>
      <c r="W121" s="93">
        <f t="shared" si="20"/>
        <v>0.16156282998944033</v>
      </c>
      <c r="X121" s="93">
        <f t="shared" si="21"/>
        <v>4.9630411826821541E-2</v>
      </c>
    </row>
    <row r="122" spans="1:24" x14ac:dyDescent="0.2">
      <c r="A122" s="320">
        <v>800</v>
      </c>
      <c r="B122" s="93" t="s">
        <v>680</v>
      </c>
      <c r="C122" s="93">
        <v>86</v>
      </c>
      <c r="D122" s="93">
        <v>61</v>
      </c>
      <c r="E122" s="93">
        <v>17</v>
      </c>
      <c r="F122" s="93">
        <f>C122-D122-E122</f>
        <v>8</v>
      </c>
      <c r="G122" s="93">
        <v>1594</v>
      </c>
      <c r="H122" s="93">
        <v>1210</v>
      </c>
      <c r="I122" s="93">
        <v>298</v>
      </c>
      <c r="J122" s="93">
        <f>G122-H122-I122</f>
        <v>86</v>
      </c>
      <c r="K122" s="93">
        <v>1012</v>
      </c>
      <c r="L122" s="93">
        <v>660</v>
      </c>
      <c r="M122" s="93">
        <v>293</v>
      </c>
      <c r="N122" s="93">
        <f>K122-L122-M122</f>
        <v>59</v>
      </c>
      <c r="P122" s="93">
        <f>D122/C122</f>
        <v>0.70930232558139539</v>
      </c>
      <c r="Q122" s="93">
        <f>E122/C122</f>
        <v>0.19767441860465115</v>
      </c>
      <c r="R122" s="93">
        <f>F122/C122</f>
        <v>9.3023255813953487E-2</v>
      </c>
      <c r="S122" s="93">
        <f>H122/G122</f>
        <v>0.75909661229611036</v>
      </c>
      <c r="T122" s="93">
        <f>I122/G122</f>
        <v>0.18695106649937265</v>
      </c>
      <c r="U122" s="93">
        <f>J122/G122</f>
        <v>5.3952321204516936E-2</v>
      </c>
      <c r="V122" s="93">
        <f>L122/K122</f>
        <v>0.65217391304347827</v>
      </c>
      <c r="W122" s="93">
        <f>M122/K122</f>
        <v>0.28952569169960474</v>
      </c>
      <c r="X122" s="93">
        <f>N122/K122</f>
        <v>5.8300395256916999E-2</v>
      </c>
    </row>
    <row r="123" spans="1:24" x14ac:dyDescent="0.2">
      <c r="A123" s="320">
        <v>810</v>
      </c>
      <c r="B123" s="93" t="s">
        <v>681</v>
      </c>
      <c r="C123" s="93">
        <v>1121</v>
      </c>
      <c r="D123" s="93">
        <v>954</v>
      </c>
      <c r="E123" s="93">
        <v>107</v>
      </c>
      <c r="F123" s="93">
        <f>C123-D123-E123</f>
        <v>60</v>
      </c>
      <c r="G123" s="93">
        <v>19305</v>
      </c>
      <c r="H123" s="93">
        <v>15155</v>
      </c>
      <c r="I123" s="93">
        <v>2957</v>
      </c>
      <c r="J123" s="93">
        <f>G123-H123-I123</f>
        <v>1193</v>
      </c>
      <c r="K123" s="93">
        <v>10512</v>
      </c>
      <c r="L123" s="93">
        <v>7732</v>
      </c>
      <c r="M123" s="93">
        <v>2027</v>
      </c>
      <c r="N123" s="93">
        <f>K123-L123-M123</f>
        <v>753</v>
      </c>
      <c r="P123" s="93">
        <f>D123/C123</f>
        <v>0.85102586975914363</v>
      </c>
      <c r="Q123" s="93">
        <f>E123/C123</f>
        <v>9.5450490633363069E-2</v>
      </c>
      <c r="R123" s="93">
        <f>F123/C123</f>
        <v>5.352363960749331E-2</v>
      </c>
      <c r="S123" s="93">
        <f>H123/G123</f>
        <v>0.78502978502978504</v>
      </c>
      <c r="T123" s="93">
        <f>I123/G123</f>
        <v>0.15317275317275317</v>
      </c>
      <c r="U123" s="93">
        <f>J123/G123</f>
        <v>6.1797461797461796E-2</v>
      </c>
      <c r="V123" s="93">
        <f>L123/K123</f>
        <v>0.73554033485540338</v>
      </c>
      <c r="W123" s="93">
        <f>M123/K123</f>
        <v>0.19282724505327245</v>
      </c>
      <c r="X123" s="93">
        <f>N123/K123</f>
        <v>7.16324200913242E-2</v>
      </c>
    </row>
    <row r="124" spans="1:24" x14ac:dyDescent="0.2">
      <c r="A124" s="320">
        <v>830</v>
      </c>
      <c r="B124" s="93" t="s">
        <v>684</v>
      </c>
      <c r="C124" s="93">
        <v>18</v>
      </c>
      <c r="D124" s="93">
        <v>16</v>
      </c>
      <c r="E124" s="93">
        <v>2</v>
      </c>
      <c r="F124" s="93">
        <f>C124-D124-E124</f>
        <v>0</v>
      </c>
      <c r="G124" s="93">
        <v>797</v>
      </c>
      <c r="H124" s="93">
        <v>698</v>
      </c>
      <c r="I124" s="93">
        <v>59</v>
      </c>
      <c r="J124" s="93">
        <f>G124-H124-I124</f>
        <v>40</v>
      </c>
      <c r="K124" s="93">
        <v>181</v>
      </c>
      <c r="L124" s="93">
        <v>143</v>
      </c>
      <c r="M124" s="93">
        <v>31</v>
      </c>
      <c r="N124" s="93">
        <f>K124-L124-M124</f>
        <v>7</v>
      </c>
      <c r="P124" s="93">
        <f>D124/C124</f>
        <v>0.88888888888888884</v>
      </c>
      <c r="Q124" s="93">
        <f>E124/C124</f>
        <v>0.1111111111111111</v>
      </c>
      <c r="R124" s="93">
        <f>F124/C124</f>
        <v>0</v>
      </c>
      <c r="S124" s="93">
        <f>H124/G124</f>
        <v>0.87578419071518199</v>
      </c>
      <c r="T124" s="93">
        <f>I124/G124</f>
        <v>7.4027603513174403E-2</v>
      </c>
      <c r="U124" s="93">
        <f>J124/G124</f>
        <v>5.0188205771643665E-2</v>
      </c>
      <c r="V124" s="93">
        <f>L124/K124</f>
        <v>0.79005524861878451</v>
      </c>
      <c r="W124" s="93">
        <f>M124/K124</f>
        <v>0.17127071823204421</v>
      </c>
      <c r="X124" s="93">
        <f>N124/K124</f>
        <v>3.8674033149171269E-2</v>
      </c>
    </row>
    <row r="125" spans="1:24" x14ac:dyDescent="0.2">
      <c r="A125" s="320">
        <v>840</v>
      </c>
      <c r="B125" s="93" t="s">
        <v>668</v>
      </c>
      <c r="C125" s="93">
        <v>70</v>
      </c>
      <c r="D125" s="93">
        <v>67</v>
      </c>
      <c r="E125" s="93">
        <v>2</v>
      </c>
      <c r="F125" s="93">
        <f>C125-D125-E125</f>
        <v>1</v>
      </c>
      <c r="G125" s="93">
        <v>2490</v>
      </c>
      <c r="H125" s="93">
        <v>2175</v>
      </c>
      <c r="I125" s="93">
        <v>137</v>
      </c>
      <c r="J125" s="93">
        <f>G125-H125-I125</f>
        <v>178</v>
      </c>
      <c r="K125" s="93">
        <v>1639</v>
      </c>
      <c r="L125" s="93">
        <v>1414</v>
      </c>
      <c r="M125" s="93">
        <v>115</v>
      </c>
      <c r="N125" s="93">
        <f>K125-L125-M125</f>
        <v>110</v>
      </c>
      <c r="P125" s="93">
        <f>D125/C125</f>
        <v>0.95714285714285718</v>
      </c>
      <c r="Q125" s="93">
        <f>E125/C125</f>
        <v>2.8571428571428571E-2</v>
      </c>
      <c r="R125" s="93">
        <f>F125/C125</f>
        <v>1.4285714285714285E-2</v>
      </c>
      <c r="S125" s="93">
        <f>H125/G125</f>
        <v>0.87349397590361444</v>
      </c>
      <c r="T125" s="93">
        <f>I125/G125</f>
        <v>5.5020080321285143E-2</v>
      </c>
      <c r="U125" s="93">
        <f>J125/G125</f>
        <v>7.1485943775100397E-2</v>
      </c>
      <c r="V125" s="93">
        <f>L125/K125</f>
        <v>0.86272117144600369</v>
      </c>
      <c r="W125" s="93">
        <f>M125/K125</f>
        <v>7.0164734594264797E-2</v>
      </c>
      <c r="X125" s="93">
        <f>N125/K125</f>
        <v>6.7114093959731544E-2</v>
      </c>
    </row>
  </sheetData>
  <mergeCells count="6">
    <mergeCell ref="V2:X2"/>
    <mergeCell ref="C2:F2"/>
    <mergeCell ref="G2:J2"/>
    <mergeCell ref="K2:N2"/>
    <mergeCell ref="P2:R2"/>
    <mergeCell ref="S2:U2"/>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topLeftCell="A105" workbookViewId="0">
      <selection activeCell="A128" sqref="A128:H128"/>
    </sheetView>
  </sheetViews>
  <sheetFormatPr defaultColWidth="14.375" defaultRowHeight="15.75" x14ac:dyDescent="0.25"/>
  <cols>
    <col min="1" max="1" width="14.375" style="476"/>
    <col min="2" max="2" width="32.25" style="476" customWidth="1"/>
    <col min="3" max="3" width="14.5" style="476" customWidth="1"/>
    <col min="4" max="4" width="12.25" style="476" customWidth="1"/>
    <col min="5" max="5" width="11.875" style="476" customWidth="1"/>
    <col min="6" max="6" width="11.125" style="476" customWidth="1"/>
    <col min="7" max="9" width="14.5" style="476" customWidth="1"/>
    <col min="10" max="12" width="10.125" style="476" customWidth="1"/>
    <col min="13" max="16" width="12.25" style="476" customWidth="1"/>
    <col min="17" max="17" width="15.375" style="476" customWidth="1"/>
    <col min="18" max="16384" width="14.375" style="476"/>
  </cols>
  <sheetData>
    <row r="1" spans="1:17" x14ac:dyDescent="0.25">
      <c r="A1" s="254" t="s">
        <v>1390</v>
      </c>
    </row>
    <row r="2" spans="1:17" x14ac:dyDescent="0.25">
      <c r="B2" s="477"/>
      <c r="C2" s="477"/>
      <c r="E2" s="477"/>
      <c r="F2" s="477"/>
      <c r="G2" s="477"/>
      <c r="H2" s="477"/>
      <c r="I2" s="477"/>
      <c r="J2" s="477"/>
      <c r="K2" s="477"/>
      <c r="L2" s="477"/>
    </row>
    <row r="3" spans="1:17" ht="23.25" customHeight="1" x14ac:dyDescent="0.25">
      <c r="A3" s="478"/>
      <c r="B3" s="479"/>
      <c r="C3" s="577"/>
      <c r="D3" s="2359"/>
      <c r="E3" s="2747" t="s">
        <v>1386</v>
      </c>
      <c r="F3" s="2748"/>
      <c r="G3" s="2748"/>
      <c r="H3" s="2748"/>
      <c r="I3" s="2749"/>
      <c r="J3" s="2747" t="s">
        <v>860</v>
      </c>
      <c r="K3" s="2748"/>
      <c r="L3" s="2749"/>
      <c r="M3" s="2748" t="s">
        <v>767</v>
      </c>
      <c r="N3" s="2748"/>
      <c r="O3" s="2748"/>
      <c r="P3" s="2748"/>
      <c r="Q3" s="2752" t="s">
        <v>623</v>
      </c>
    </row>
    <row r="4" spans="1:17" ht="35.25" customHeight="1" x14ac:dyDescent="0.25">
      <c r="A4" s="480" t="s">
        <v>4</v>
      </c>
      <c r="B4" s="479" t="s">
        <v>5</v>
      </c>
      <c r="C4" s="577" t="s">
        <v>251</v>
      </c>
      <c r="D4" s="2359" t="s">
        <v>281</v>
      </c>
      <c r="E4" s="2378" t="s">
        <v>1387</v>
      </c>
      <c r="F4" s="2359" t="s">
        <v>1388</v>
      </c>
      <c r="G4" s="2359" t="s">
        <v>1389</v>
      </c>
      <c r="H4" s="2390" t="s">
        <v>1379</v>
      </c>
      <c r="I4" s="2391" t="s">
        <v>1405</v>
      </c>
      <c r="J4" s="2378" t="s">
        <v>549</v>
      </c>
      <c r="K4" s="2359" t="s">
        <v>548</v>
      </c>
      <c r="L4" s="2379" t="s">
        <v>1381</v>
      </c>
      <c r="M4" s="577" t="s">
        <v>2</v>
      </c>
      <c r="N4" s="577" t="s">
        <v>445</v>
      </c>
      <c r="O4" s="577" t="s">
        <v>827</v>
      </c>
      <c r="P4" s="577" t="s">
        <v>1381</v>
      </c>
      <c r="Q4" s="2753"/>
    </row>
    <row r="5" spans="1:17" x14ac:dyDescent="0.25">
      <c r="A5" s="1046" t="s">
        <v>8</v>
      </c>
      <c r="B5" s="1047" t="s">
        <v>281</v>
      </c>
      <c r="C5" s="1048"/>
      <c r="D5" s="1049">
        <f>SUM(D6:D125)</f>
        <v>38575</v>
      </c>
      <c r="E5" s="2385">
        <f>SUM(E6:E125)</f>
        <v>4480</v>
      </c>
      <c r="F5" s="2377">
        <f t="shared" ref="F5:Q5" si="0">SUM(F6:F125)</f>
        <v>9415</v>
      </c>
      <c r="G5" s="2377">
        <f t="shared" si="0"/>
        <v>8758</v>
      </c>
      <c r="H5" s="2377">
        <f t="shared" si="0"/>
        <v>15898</v>
      </c>
      <c r="I5" s="2392">
        <f t="shared" si="0"/>
        <v>24</v>
      </c>
      <c r="J5" s="2385">
        <f t="shared" si="0"/>
        <v>19037</v>
      </c>
      <c r="K5" s="2377">
        <f t="shared" si="0"/>
        <v>19533</v>
      </c>
      <c r="L5" s="2392">
        <f t="shared" si="0"/>
        <v>5</v>
      </c>
      <c r="M5" s="1049">
        <f t="shared" si="0"/>
        <v>12712</v>
      </c>
      <c r="N5" s="1049">
        <f t="shared" si="0"/>
        <v>24616</v>
      </c>
      <c r="O5" s="1049">
        <f t="shared" si="0"/>
        <v>1214</v>
      </c>
      <c r="P5" s="1049">
        <f t="shared" si="0"/>
        <v>33</v>
      </c>
      <c r="Q5" s="2407">
        <f t="shared" si="0"/>
        <v>2012</v>
      </c>
    </row>
    <row r="6" spans="1:17" s="576" customFormat="1" x14ac:dyDescent="0.25">
      <c r="A6" s="578" t="s">
        <v>10</v>
      </c>
      <c r="B6" s="574" t="s">
        <v>11</v>
      </c>
      <c r="C6" s="573" t="s">
        <v>264</v>
      </c>
      <c r="D6" s="575">
        <v>49</v>
      </c>
      <c r="E6" s="2386">
        <v>8</v>
      </c>
      <c r="F6" s="891">
        <v>16</v>
      </c>
      <c r="G6" s="891">
        <v>18</v>
      </c>
      <c r="H6" s="891">
        <v>7</v>
      </c>
      <c r="I6" s="2387">
        <v>0</v>
      </c>
      <c r="J6" s="2386">
        <v>23</v>
      </c>
      <c r="K6" s="891">
        <v>26</v>
      </c>
      <c r="L6" s="2387"/>
      <c r="M6" s="575">
        <v>7</v>
      </c>
      <c r="N6" s="575">
        <v>41</v>
      </c>
      <c r="O6" s="575">
        <v>1</v>
      </c>
      <c r="P6" s="575">
        <v>0</v>
      </c>
      <c r="Q6" s="2408">
        <v>0</v>
      </c>
    </row>
    <row r="7" spans="1:17" s="576" customFormat="1" x14ac:dyDescent="0.25">
      <c r="A7" s="578" t="s">
        <v>12</v>
      </c>
      <c r="B7" s="574" t="s">
        <v>13</v>
      </c>
      <c r="C7" s="573" t="s">
        <v>265</v>
      </c>
      <c r="D7" s="575">
        <v>282</v>
      </c>
      <c r="E7" s="2386">
        <v>39</v>
      </c>
      <c r="F7" s="891">
        <v>92</v>
      </c>
      <c r="G7" s="891">
        <v>60</v>
      </c>
      <c r="H7" s="891">
        <v>91</v>
      </c>
      <c r="I7" s="2387">
        <v>0</v>
      </c>
      <c r="J7" s="2386">
        <v>142</v>
      </c>
      <c r="K7" s="891">
        <v>140</v>
      </c>
      <c r="L7" s="2387"/>
      <c r="M7" s="575">
        <v>101</v>
      </c>
      <c r="N7" s="575">
        <v>172</v>
      </c>
      <c r="O7" s="575">
        <v>9</v>
      </c>
      <c r="P7" s="575">
        <v>0</v>
      </c>
      <c r="Q7" s="2408">
        <v>17</v>
      </c>
    </row>
    <row r="8" spans="1:17" s="576" customFormat="1" x14ac:dyDescent="0.25">
      <c r="A8" s="578" t="s">
        <v>16</v>
      </c>
      <c r="B8" s="574" t="s">
        <v>297</v>
      </c>
      <c r="C8" s="573" t="s">
        <v>265</v>
      </c>
      <c r="D8" s="575">
        <v>71</v>
      </c>
      <c r="E8" s="2386">
        <v>10</v>
      </c>
      <c r="F8" s="891">
        <v>14</v>
      </c>
      <c r="G8" s="891">
        <v>19</v>
      </c>
      <c r="H8" s="891">
        <v>28</v>
      </c>
      <c r="I8" s="2387">
        <v>0</v>
      </c>
      <c r="J8" s="2386">
        <v>38</v>
      </c>
      <c r="K8" s="891">
        <v>33</v>
      </c>
      <c r="L8" s="2387"/>
      <c r="M8" s="575">
        <v>51</v>
      </c>
      <c r="N8" s="575">
        <v>20</v>
      </c>
      <c r="O8" s="575">
        <v>0</v>
      </c>
      <c r="P8" s="575">
        <v>0</v>
      </c>
      <c r="Q8" s="2408">
        <v>0</v>
      </c>
    </row>
    <row r="9" spans="1:17" s="576" customFormat="1" x14ac:dyDescent="0.25">
      <c r="A9" s="578" t="s">
        <v>18</v>
      </c>
      <c r="B9" s="574" t="s">
        <v>19</v>
      </c>
      <c r="C9" s="573" t="s">
        <v>266</v>
      </c>
      <c r="D9" s="575">
        <v>34</v>
      </c>
      <c r="E9" s="2386">
        <v>3</v>
      </c>
      <c r="F9" s="891">
        <v>9</v>
      </c>
      <c r="G9" s="891">
        <v>11</v>
      </c>
      <c r="H9" s="891">
        <v>11</v>
      </c>
      <c r="I9" s="2387">
        <v>0</v>
      </c>
      <c r="J9" s="2386">
        <v>16</v>
      </c>
      <c r="K9" s="891">
        <v>18</v>
      </c>
      <c r="L9" s="2387"/>
      <c r="M9" s="575">
        <v>19</v>
      </c>
      <c r="N9" s="575">
        <v>15</v>
      </c>
      <c r="O9" s="575">
        <v>0</v>
      </c>
      <c r="P9" s="575">
        <v>0</v>
      </c>
      <c r="Q9" s="2408">
        <v>0</v>
      </c>
    </row>
    <row r="10" spans="1:17" s="576" customFormat="1" x14ac:dyDescent="0.25">
      <c r="A10" s="578" t="s">
        <v>20</v>
      </c>
      <c r="B10" s="574" t="s">
        <v>21</v>
      </c>
      <c r="C10" s="573" t="s">
        <v>265</v>
      </c>
      <c r="D10" s="575">
        <v>129</v>
      </c>
      <c r="E10" s="2386">
        <v>18</v>
      </c>
      <c r="F10" s="891">
        <v>21</v>
      </c>
      <c r="G10" s="891">
        <v>24</v>
      </c>
      <c r="H10" s="891">
        <v>66</v>
      </c>
      <c r="I10" s="2387">
        <v>0</v>
      </c>
      <c r="J10" s="2386">
        <v>70</v>
      </c>
      <c r="K10" s="891">
        <v>59</v>
      </c>
      <c r="L10" s="2387"/>
      <c r="M10" s="575">
        <v>73</v>
      </c>
      <c r="N10" s="575">
        <v>56</v>
      </c>
      <c r="O10" s="575">
        <v>0</v>
      </c>
      <c r="P10" s="575">
        <v>0</v>
      </c>
      <c r="Q10" s="2408">
        <v>8</v>
      </c>
    </row>
    <row r="11" spans="1:17" s="576" customFormat="1" x14ac:dyDescent="0.25">
      <c r="A11" s="578" t="s">
        <v>22</v>
      </c>
      <c r="B11" s="574" t="s">
        <v>23</v>
      </c>
      <c r="C11" s="573" t="s">
        <v>265</v>
      </c>
      <c r="D11" s="575">
        <v>32</v>
      </c>
      <c r="E11" s="2386">
        <v>6</v>
      </c>
      <c r="F11" s="891">
        <v>11</v>
      </c>
      <c r="G11" s="891">
        <v>10</v>
      </c>
      <c r="H11" s="891">
        <v>5</v>
      </c>
      <c r="I11" s="2387">
        <v>0</v>
      </c>
      <c r="J11" s="2386">
        <v>15</v>
      </c>
      <c r="K11" s="891">
        <v>17</v>
      </c>
      <c r="L11" s="2387"/>
      <c r="M11" s="575">
        <v>13</v>
      </c>
      <c r="N11" s="575">
        <v>19</v>
      </c>
      <c r="O11" s="575">
        <v>0</v>
      </c>
      <c r="P11" s="575">
        <v>0</v>
      </c>
      <c r="Q11" s="2408">
        <v>1</v>
      </c>
    </row>
    <row r="12" spans="1:17" s="576" customFormat="1" x14ac:dyDescent="0.25">
      <c r="A12" s="578" t="s">
        <v>24</v>
      </c>
      <c r="B12" s="574" t="s">
        <v>25</v>
      </c>
      <c r="C12" s="573" t="s">
        <v>267</v>
      </c>
      <c r="D12" s="575">
        <v>405</v>
      </c>
      <c r="E12" s="2386">
        <v>63</v>
      </c>
      <c r="F12" s="891">
        <v>119</v>
      </c>
      <c r="G12" s="891">
        <v>121</v>
      </c>
      <c r="H12" s="891">
        <v>102</v>
      </c>
      <c r="I12" s="2387">
        <v>0</v>
      </c>
      <c r="J12" s="2386">
        <v>198</v>
      </c>
      <c r="K12" s="891">
        <v>207</v>
      </c>
      <c r="L12" s="2387"/>
      <c r="M12" s="575">
        <v>198</v>
      </c>
      <c r="N12" s="575">
        <v>189</v>
      </c>
      <c r="O12" s="575">
        <v>18</v>
      </c>
      <c r="P12" s="575">
        <v>0</v>
      </c>
      <c r="Q12" s="2408">
        <v>46</v>
      </c>
    </row>
    <row r="13" spans="1:17" s="576" customFormat="1" x14ac:dyDescent="0.25">
      <c r="A13" s="578" t="s">
        <v>26</v>
      </c>
      <c r="B13" s="574" t="s">
        <v>685</v>
      </c>
      <c r="C13" s="573" t="s">
        <v>265</v>
      </c>
      <c r="D13" s="575">
        <v>491</v>
      </c>
      <c r="E13" s="2386">
        <v>69</v>
      </c>
      <c r="F13" s="891">
        <v>121</v>
      </c>
      <c r="G13" s="891">
        <v>91</v>
      </c>
      <c r="H13" s="891">
        <v>210</v>
      </c>
      <c r="I13" s="2387">
        <v>0</v>
      </c>
      <c r="J13" s="2386">
        <v>249</v>
      </c>
      <c r="K13" s="891">
        <v>242</v>
      </c>
      <c r="L13" s="2387"/>
      <c r="M13" s="575">
        <v>342</v>
      </c>
      <c r="N13" s="575">
        <v>144</v>
      </c>
      <c r="O13" s="575">
        <v>5</v>
      </c>
      <c r="P13" s="575">
        <v>0</v>
      </c>
      <c r="Q13" s="2408">
        <v>9</v>
      </c>
    </row>
    <row r="14" spans="1:17" s="576" customFormat="1" x14ac:dyDescent="0.25">
      <c r="A14" s="578" t="s">
        <v>27</v>
      </c>
      <c r="B14" s="574" t="s">
        <v>28</v>
      </c>
      <c r="C14" s="573" t="s">
        <v>265</v>
      </c>
      <c r="D14" s="575"/>
      <c r="E14" s="2386">
        <v>0</v>
      </c>
      <c r="F14" s="891">
        <v>0</v>
      </c>
      <c r="G14" s="891">
        <v>0</v>
      </c>
      <c r="H14" s="891">
        <v>0</v>
      </c>
      <c r="I14" s="2387">
        <v>0</v>
      </c>
      <c r="J14" s="2386">
        <v>0</v>
      </c>
      <c r="K14" s="891">
        <v>0</v>
      </c>
      <c r="L14" s="2387"/>
      <c r="M14" s="575">
        <v>0</v>
      </c>
      <c r="N14" s="575">
        <v>0</v>
      </c>
      <c r="O14" s="575">
        <v>0</v>
      </c>
      <c r="P14" s="575">
        <v>0</v>
      </c>
      <c r="Q14" s="2408">
        <v>0</v>
      </c>
    </row>
    <row r="15" spans="1:17" s="576" customFormat="1" x14ac:dyDescent="0.25">
      <c r="A15" s="578" t="s">
        <v>29</v>
      </c>
      <c r="B15" s="574" t="s">
        <v>901</v>
      </c>
      <c r="C15" s="573" t="s">
        <v>265</v>
      </c>
      <c r="D15" s="575">
        <v>206</v>
      </c>
      <c r="E15" s="2386">
        <v>19</v>
      </c>
      <c r="F15" s="891">
        <v>55</v>
      </c>
      <c r="G15" s="891">
        <v>43</v>
      </c>
      <c r="H15" s="891">
        <v>89</v>
      </c>
      <c r="I15" s="2387">
        <v>0</v>
      </c>
      <c r="J15" s="2386">
        <v>87</v>
      </c>
      <c r="K15" s="891">
        <v>119</v>
      </c>
      <c r="L15" s="2387"/>
      <c r="M15" s="575">
        <v>119</v>
      </c>
      <c r="N15" s="575">
        <v>84</v>
      </c>
      <c r="O15" s="575">
        <v>2</v>
      </c>
      <c r="P15" s="575">
        <v>1</v>
      </c>
      <c r="Q15" s="2408">
        <v>4</v>
      </c>
    </row>
    <row r="16" spans="1:17" s="576" customFormat="1" x14ac:dyDescent="0.25">
      <c r="A16" s="578" t="s">
        <v>30</v>
      </c>
      <c r="B16" s="574" t="s">
        <v>31</v>
      </c>
      <c r="C16" s="573" t="s">
        <v>268</v>
      </c>
      <c r="D16" s="575">
        <v>17</v>
      </c>
      <c r="E16" s="2386">
        <v>3</v>
      </c>
      <c r="F16" s="891">
        <v>7</v>
      </c>
      <c r="G16" s="891">
        <v>4</v>
      </c>
      <c r="H16" s="891">
        <v>3</v>
      </c>
      <c r="I16" s="2387">
        <v>0</v>
      </c>
      <c r="J16" s="2386">
        <v>12</v>
      </c>
      <c r="K16" s="891">
        <v>5</v>
      </c>
      <c r="L16" s="2387"/>
      <c r="M16" s="575">
        <v>17</v>
      </c>
      <c r="N16" s="575">
        <v>0</v>
      </c>
      <c r="O16" s="575">
        <v>0</v>
      </c>
      <c r="P16" s="575">
        <v>0</v>
      </c>
      <c r="Q16" s="2408">
        <v>2</v>
      </c>
    </row>
    <row r="17" spans="1:17" s="576" customFormat="1" x14ac:dyDescent="0.25">
      <c r="A17" s="578" t="s">
        <v>32</v>
      </c>
      <c r="B17" s="574" t="s">
        <v>33</v>
      </c>
      <c r="C17" s="573" t="s">
        <v>265</v>
      </c>
      <c r="D17" s="575">
        <v>87</v>
      </c>
      <c r="E17" s="2386">
        <v>11</v>
      </c>
      <c r="F17" s="891">
        <v>15</v>
      </c>
      <c r="G17" s="891">
        <v>22</v>
      </c>
      <c r="H17" s="891">
        <v>39</v>
      </c>
      <c r="I17" s="2387">
        <v>0</v>
      </c>
      <c r="J17" s="2386">
        <v>44</v>
      </c>
      <c r="K17" s="891">
        <v>43</v>
      </c>
      <c r="L17" s="2387"/>
      <c r="M17" s="575">
        <v>79</v>
      </c>
      <c r="N17" s="575">
        <v>8</v>
      </c>
      <c r="O17" s="575">
        <v>0</v>
      </c>
      <c r="P17" s="575">
        <v>0</v>
      </c>
      <c r="Q17" s="2408">
        <v>6</v>
      </c>
    </row>
    <row r="18" spans="1:17" s="576" customFormat="1" x14ac:dyDescent="0.25">
      <c r="A18" s="578" t="s">
        <v>36</v>
      </c>
      <c r="B18" s="574" t="s">
        <v>37</v>
      </c>
      <c r="C18" s="573" t="s">
        <v>264</v>
      </c>
      <c r="D18" s="575">
        <v>37</v>
      </c>
      <c r="E18" s="2386">
        <v>2</v>
      </c>
      <c r="F18" s="891">
        <v>15</v>
      </c>
      <c r="G18" s="891">
        <v>8</v>
      </c>
      <c r="H18" s="891">
        <v>12</v>
      </c>
      <c r="I18" s="2387">
        <v>0</v>
      </c>
      <c r="J18" s="2386">
        <v>17</v>
      </c>
      <c r="K18" s="891">
        <v>20</v>
      </c>
      <c r="L18" s="2387"/>
      <c r="M18" s="575">
        <v>0</v>
      </c>
      <c r="N18" s="575">
        <v>37</v>
      </c>
      <c r="O18" s="575">
        <v>0</v>
      </c>
      <c r="P18" s="575">
        <v>0</v>
      </c>
      <c r="Q18" s="2408">
        <v>0</v>
      </c>
    </row>
    <row r="19" spans="1:17" s="576" customFormat="1" x14ac:dyDescent="0.25">
      <c r="A19" s="578" t="s">
        <v>38</v>
      </c>
      <c r="B19" s="574" t="s">
        <v>39</v>
      </c>
      <c r="C19" s="573" t="s">
        <v>268</v>
      </c>
      <c r="D19" s="575">
        <v>9</v>
      </c>
      <c r="E19" s="2386">
        <v>0</v>
      </c>
      <c r="F19" s="891">
        <v>3</v>
      </c>
      <c r="G19" s="891">
        <v>0</v>
      </c>
      <c r="H19" s="891">
        <v>6</v>
      </c>
      <c r="I19" s="2387">
        <v>0</v>
      </c>
      <c r="J19" s="2386">
        <v>5</v>
      </c>
      <c r="K19" s="891">
        <v>4</v>
      </c>
      <c r="L19" s="2387"/>
      <c r="M19" s="575">
        <v>9</v>
      </c>
      <c r="N19" s="575">
        <v>0</v>
      </c>
      <c r="O19" s="575">
        <v>0</v>
      </c>
      <c r="P19" s="575">
        <v>0</v>
      </c>
      <c r="Q19" s="2408">
        <v>0</v>
      </c>
    </row>
    <row r="20" spans="1:17" s="576" customFormat="1" x14ac:dyDescent="0.25">
      <c r="A20" s="578" t="s">
        <v>40</v>
      </c>
      <c r="B20" s="574" t="s">
        <v>41</v>
      </c>
      <c r="C20" s="573" t="s">
        <v>266</v>
      </c>
      <c r="D20" s="575">
        <v>18</v>
      </c>
      <c r="E20" s="2386">
        <v>5</v>
      </c>
      <c r="F20" s="891">
        <v>4</v>
      </c>
      <c r="G20" s="891">
        <v>3</v>
      </c>
      <c r="H20" s="891">
        <v>6</v>
      </c>
      <c r="I20" s="2387">
        <v>0</v>
      </c>
      <c r="J20" s="2386">
        <v>9</v>
      </c>
      <c r="K20" s="891">
        <v>9</v>
      </c>
      <c r="L20" s="2387"/>
      <c r="M20" s="575">
        <v>5</v>
      </c>
      <c r="N20" s="575">
        <v>13</v>
      </c>
      <c r="O20" s="575">
        <v>0</v>
      </c>
      <c r="P20" s="575">
        <v>0</v>
      </c>
      <c r="Q20" s="2408">
        <v>0</v>
      </c>
    </row>
    <row r="21" spans="1:17" s="576" customFormat="1" x14ac:dyDescent="0.25">
      <c r="A21" s="578" t="s">
        <v>42</v>
      </c>
      <c r="B21" s="574" t="s">
        <v>43</v>
      </c>
      <c r="C21" s="573" t="s">
        <v>265</v>
      </c>
      <c r="D21" s="575">
        <v>271</v>
      </c>
      <c r="E21" s="2386">
        <v>30</v>
      </c>
      <c r="F21" s="891">
        <v>65</v>
      </c>
      <c r="G21" s="891">
        <v>52</v>
      </c>
      <c r="H21" s="891">
        <v>124</v>
      </c>
      <c r="I21" s="2387">
        <v>0</v>
      </c>
      <c r="J21" s="2386">
        <v>134</v>
      </c>
      <c r="K21" s="891">
        <v>137</v>
      </c>
      <c r="L21" s="2387"/>
      <c r="M21" s="575">
        <v>185</v>
      </c>
      <c r="N21" s="575">
        <v>83</v>
      </c>
      <c r="O21" s="575">
        <v>3</v>
      </c>
      <c r="P21" s="575">
        <v>0</v>
      </c>
      <c r="Q21" s="2408">
        <v>9</v>
      </c>
    </row>
    <row r="22" spans="1:17" s="576" customFormat="1" x14ac:dyDescent="0.25">
      <c r="A22" s="578" t="s">
        <v>44</v>
      </c>
      <c r="B22" s="574" t="s">
        <v>45</v>
      </c>
      <c r="C22" s="573" t="s">
        <v>266</v>
      </c>
      <c r="D22" s="575">
        <v>184</v>
      </c>
      <c r="E22" s="2386">
        <v>16</v>
      </c>
      <c r="F22" s="891">
        <v>52</v>
      </c>
      <c r="G22" s="891">
        <v>43</v>
      </c>
      <c r="H22" s="891">
        <v>73</v>
      </c>
      <c r="I22" s="2387">
        <v>0</v>
      </c>
      <c r="J22" s="2386">
        <v>98</v>
      </c>
      <c r="K22" s="891">
        <v>85</v>
      </c>
      <c r="L22" s="2387">
        <v>1</v>
      </c>
      <c r="M22" s="575">
        <v>74</v>
      </c>
      <c r="N22" s="575">
        <v>109</v>
      </c>
      <c r="O22" s="575">
        <v>0</v>
      </c>
      <c r="P22" s="575">
        <v>1</v>
      </c>
      <c r="Q22" s="2408">
        <v>3</v>
      </c>
    </row>
    <row r="23" spans="1:17" s="576" customFormat="1" x14ac:dyDescent="0.25">
      <c r="A23" s="578" t="s">
        <v>46</v>
      </c>
      <c r="B23" s="574" t="s">
        <v>47</v>
      </c>
      <c r="C23" s="573" t="s">
        <v>268</v>
      </c>
      <c r="D23" s="575">
        <v>182</v>
      </c>
      <c r="E23" s="2386">
        <v>18</v>
      </c>
      <c r="F23" s="891">
        <v>43</v>
      </c>
      <c r="G23" s="891">
        <v>48</v>
      </c>
      <c r="H23" s="891">
        <v>73</v>
      </c>
      <c r="I23" s="2387">
        <v>0</v>
      </c>
      <c r="J23" s="2386">
        <v>88</v>
      </c>
      <c r="K23" s="891">
        <v>94</v>
      </c>
      <c r="L23" s="2387"/>
      <c r="M23" s="575">
        <v>176</v>
      </c>
      <c r="N23" s="575">
        <v>6</v>
      </c>
      <c r="O23" s="575">
        <v>0</v>
      </c>
      <c r="P23" s="575">
        <v>0</v>
      </c>
      <c r="Q23" s="2408">
        <v>8</v>
      </c>
    </row>
    <row r="24" spans="1:17" s="576" customFormat="1" x14ac:dyDescent="0.25">
      <c r="A24" s="578" t="s">
        <v>48</v>
      </c>
      <c r="B24" s="574" t="s">
        <v>269</v>
      </c>
      <c r="C24" s="573" t="s">
        <v>266</v>
      </c>
      <c r="D24" s="575">
        <v>29</v>
      </c>
      <c r="E24" s="2386">
        <v>0</v>
      </c>
      <c r="F24" s="891">
        <v>9</v>
      </c>
      <c r="G24" s="891">
        <v>11</v>
      </c>
      <c r="H24" s="891">
        <v>9</v>
      </c>
      <c r="I24" s="2387">
        <v>0</v>
      </c>
      <c r="J24" s="2386">
        <v>16</v>
      </c>
      <c r="K24" s="891">
        <v>13</v>
      </c>
      <c r="L24" s="2387"/>
      <c r="M24" s="575">
        <v>1</v>
      </c>
      <c r="N24" s="575">
        <v>27</v>
      </c>
      <c r="O24" s="575">
        <v>1</v>
      </c>
      <c r="P24" s="575">
        <v>0</v>
      </c>
      <c r="Q24" s="2408">
        <v>0</v>
      </c>
    </row>
    <row r="25" spans="1:17" s="576" customFormat="1" x14ac:dyDescent="0.25">
      <c r="A25" s="578" t="s">
        <v>50</v>
      </c>
      <c r="B25" s="574" t="s">
        <v>51</v>
      </c>
      <c r="C25" s="573" t="s">
        <v>265</v>
      </c>
      <c r="D25" s="575">
        <v>13</v>
      </c>
      <c r="E25" s="2386">
        <v>1</v>
      </c>
      <c r="F25" s="891">
        <v>2</v>
      </c>
      <c r="G25" s="891">
        <v>3</v>
      </c>
      <c r="H25" s="891">
        <v>7</v>
      </c>
      <c r="I25" s="2387">
        <v>0</v>
      </c>
      <c r="J25" s="2386">
        <v>7</v>
      </c>
      <c r="K25" s="891">
        <v>6</v>
      </c>
      <c r="L25" s="2387"/>
      <c r="M25" s="575">
        <v>4</v>
      </c>
      <c r="N25" s="575">
        <v>9</v>
      </c>
      <c r="O25" s="575">
        <v>0</v>
      </c>
      <c r="P25" s="575">
        <v>0</v>
      </c>
      <c r="Q25" s="2408">
        <v>0</v>
      </c>
    </row>
    <row r="26" spans="1:17" s="576" customFormat="1" x14ac:dyDescent="0.25">
      <c r="A26" s="578" t="s">
        <v>56</v>
      </c>
      <c r="B26" s="574" t="s">
        <v>295</v>
      </c>
      <c r="C26" s="573" t="s">
        <v>266</v>
      </c>
      <c r="D26" s="575">
        <v>952</v>
      </c>
      <c r="E26" s="2386">
        <v>79</v>
      </c>
      <c r="F26" s="891">
        <v>198</v>
      </c>
      <c r="G26" s="891">
        <v>226</v>
      </c>
      <c r="H26" s="891">
        <v>449</v>
      </c>
      <c r="I26" s="2387">
        <v>0</v>
      </c>
      <c r="J26" s="2386">
        <v>460</v>
      </c>
      <c r="K26" s="891">
        <v>492</v>
      </c>
      <c r="L26" s="2387"/>
      <c r="M26" s="575">
        <v>234</v>
      </c>
      <c r="N26" s="575">
        <v>699</v>
      </c>
      <c r="O26" s="575">
        <v>18</v>
      </c>
      <c r="P26" s="575">
        <v>1</v>
      </c>
      <c r="Q26" s="2408">
        <v>48</v>
      </c>
    </row>
    <row r="27" spans="1:17" s="576" customFormat="1" x14ac:dyDescent="0.25">
      <c r="A27" s="578" t="s">
        <v>58</v>
      </c>
      <c r="B27" s="574" t="s">
        <v>59</v>
      </c>
      <c r="C27" s="573" t="s">
        <v>267</v>
      </c>
      <c r="D27" s="575">
        <v>18</v>
      </c>
      <c r="E27" s="2386">
        <v>1</v>
      </c>
      <c r="F27" s="891">
        <v>3</v>
      </c>
      <c r="G27" s="891">
        <v>4</v>
      </c>
      <c r="H27" s="891">
        <v>10</v>
      </c>
      <c r="I27" s="2387">
        <v>0</v>
      </c>
      <c r="J27" s="2386">
        <v>13</v>
      </c>
      <c r="K27" s="891">
        <v>5</v>
      </c>
      <c r="L27" s="2387"/>
      <c r="M27" s="575">
        <v>14</v>
      </c>
      <c r="N27" s="575">
        <v>4</v>
      </c>
      <c r="O27" s="575">
        <v>0</v>
      </c>
      <c r="P27" s="575">
        <v>0</v>
      </c>
      <c r="Q27" s="2408">
        <v>1</v>
      </c>
    </row>
    <row r="28" spans="1:17" s="576" customFormat="1" x14ac:dyDescent="0.25">
      <c r="A28" s="578" t="s">
        <v>60</v>
      </c>
      <c r="B28" s="574" t="s">
        <v>61</v>
      </c>
      <c r="C28" s="573" t="s">
        <v>265</v>
      </c>
      <c r="D28" s="575">
        <v>55</v>
      </c>
      <c r="E28" s="2386">
        <v>10</v>
      </c>
      <c r="F28" s="891">
        <v>18</v>
      </c>
      <c r="G28" s="891">
        <v>13</v>
      </c>
      <c r="H28" s="891">
        <v>13</v>
      </c>
      <c r="I28" s="2387">
        <v>1</v>
      </c>
      <c r="J28" s="2386">
        <v>31</v>
      </c>
      <c r="K28" s="891">
        <v>24</v>
      </c>
      <c r="L28" s="2387"/>
      <c r="M28" s="575">
        <v>55</v>
      </c>
      <c r="N28" s="575">
        <v>0</v>
      </c>
      <c r="O28" s="575">
        <v>0</v>
      </c>
      <c r="P28" s="575">
        <v>0</v>
      </c>
      <c r="Q28" s="2408">
        <v>0</v>
      </c>
    </row>
    <row r="29" spans="1:17" s="576" customFormat="1" x14ac:dyDescent="0.25">
      <c r="A29" s="578" t="s">
        <v>62</v>
      </c>
      <c r="B29" s="574" t="s">
        <v>63</v>
      </c>
      <c r="C29" s="573" t="s">
        <v>267</v>
      </c>
      <c r="D29" s="575">
        <v>619</v>
      </c>
      <c r="E29" s="2386">
        <v>58</v>
      </c>
      <c r="F29" s="891">
        <v>135</v>
      </c>
      <c r="G29" s="891">
        <v>147</v>
      </c>
      <c r="H29" s="891">
        <v>278</v>
      </c>
      <c r="I29" s="2387">
        <v>1</v>
      </c>
      <c r="J29" s="2386">
        <v>320</v>
      </c>
      <c r="K29" s="891">
        <v>299</v>
      </c>
      <c r="L29" s="2387"/>
      <c r="M29" s="575">
        <v>299</v>
      </c>
      <c r="N29" s="575">
        <v>307</v>
      </c>
      <c r="O29" s="575">
        <v>13</v>
      </c>
      <c r="P29" s="575">
        <v>0</v>
      </c>
      <c r="Q29" s="2408">
        <v>34</v>
      </c>
    </row>
    <row r="30" spans="1:17" s="576" customFormat="1" x14ac:dyDescent="0.25">
      <c r="A30" s="578" t="s">
        <v>64</v>
      </c>
      <c r="B30" s="574" t="s">
        <v>65</v>
      </c>
      <c r="C30" s="573" t="s">
        <v>266</v>
      </c>
      <c r="D30" s="575">
        <v>42</v>
      </c>
      <c r="E30" s="2386">
        <v>7</v>
      </c>
      <c r="F30" s="891">
        <v>9</v>
      </c>
      <c r="G30" s="891">
        <v>13</v>
      </c>
      <c r="H30" s="891">
        <v>13</v>
      </c>
      <c r="I30" s="2387">
        <v>0</v>
      </c>
      <c r="J30" s="2386">
        <v>19</v>
      </c>
      <c r="K30" s="891">
        <v>23</v>
      </c>
      <c r="L30" s="2387"/>
      <c r="M30" s="575">
        <v>12</v>
      </c>
      <c r="N30" s="575">
        <v>30</v>
      </c>
      <c r="O30" s="575">
        <v>0</v>
      </c>
      <c r="P30" s="575">
        <v>0</v>
      </c>
      <c r="Q30" s="2408">
        <v>2</v>
      </c>
    </row>
    <row r="31" spans="1:17" s="576" customFormat="1" x14ac:dyDescent="0.25">
      <c r="A31" s="578" t="s">
        <v>68</v>
      </c>
      <c r="B31" s="574" t="s">
        <v>69</v>
      </c>
      <c r="C31" s="573" t="s">
        <v>268</v>
      </c>
      <c r="D31" s="575">
        <v>23</v>
      </c>
      <c r="E31" s="2386">
        <v>2</v>
      </c>
      <c r="F31" s="891">
        <v>5</v>
      </c>
      <c r="G31" s="891">
        <v>6</v>
      </c>
      <c r="H31" s="891">
        <v>10</v>
      </c>
      <c r="I31" s="2387">
        <v>0</v>
      </c>
      <c r="J31" s="2386">
        <v>7</v>
      </c>
      <c r="K31" s="891">
        <v>16</v>
      </c>
      <c r="L31" s="2387"/>
      <c r="M31" s="575">
        <v>23</v>
      </c>
      <c r="N31" s="575">
        <v>0</v>
      </c>
      <c r="O31" s="575">
        <v>0</v>
      </c>
      <c r="P31" s="575">
        <v>0</v>
      </c>
      <c r="Q31" s="2408">
        <v>0</v>
      </c>
    </row>
    <row r="32" spans="1:17" s="576" customFormat="1" x14ac:dyDescent="0.25">
      <c r="A32" s="578" t="s">
        <v>70</v>
      </c>
      <c r="B32" s="574" t="s">
        <v>71</v>
      </c>
      <c r="C32" s="573" t="s">
        <v>264</v>
      </c>
      <c r="D32" s="575">
        <v>78</v>
      </c>
      <c r="E32" s="2386">
        <v>3</v>
      </c>
      <c r="F32" s="891">
        <v>21</v>
      </c>
      <c r="G32" s="891">
        <v>18</v>
      </c>
      <c r="H32" s="891">
        <v>36</v>
      </c>
      <c r="I32" s="2387">
        <v>0</v>
      </c>
      <c r="J32" s="2386">
        <v>43</v>
      </c>
      <c r="K32" s="891">
        <v>35</v>
      </c>
      <c r="L32" s="2387"/>
      <c r="M32" s="575">
        <v>31</v>
      </c>
      <c r="N32" s="575">
        <v>47</v>
      </c>
      <c r="O32" s="575">
        <v>0</v>
      </c>
      <c r="P32" s="575">
        <v>0</v>
      </c>
      <c r="Q32" s="2408">
        <v>3</v>
      </c>
    </row>
    <row r="33" spans="1:17" s="576" customFormat="1" x14ac:dyDescent="0.25">
      <c r="A33" s="578" t="s">
        <v>72</v>
      </c>
      <c r="B33" s="574" t="s">
        <v>73</v>
      </c>
      <c r="C33" s="573" t="s">
        <v>266</v>
      </c>
      <c r="D33" s="575">
        <v>101</v>
      </c>
      <c r="E33" s="2386">
        <v>8</v>
      </c>
      <c r="F33" s="891">
        <v>25</v>
      </c>
      <c r="G33" s="891">
        <v>20</v>
      </c>
      <c r="H33" s="891">
        <v>47</v>
      </c>
      <c r="I33" s="2387">
        <v>1</v>
      </c>
      <c r="J33" s="2386">
        <v>60</v>
      </c>
      <c r="K33" s="891">
        <v>41</v>
      </c>
      <c r="L33" s="2387"/>
      <c r="M33" s="575">
        <v>8</v>
      </c>
      <c r="N33" s="575">
        <v>93</v>
      </c>
      <c r="O33" s="575">
        <v>0</v>
      </c>
      <c r="P33" s="575">
        <v>0</v>
      </c>
      <c r="Q33" s="2408">
        <v>0</v>
      </c>
    </row>
    <row r="34" spans="1:17" s="576" customFormat="1" x14ac:dyDescent="0.25">
      <c r="A34" s="578" t="s">
        <v>74</v>
      </c>
      <c r="B34" s="574" t="s">
        <v>296</v>
      </c>
      <c r="C34" s="573" t="s">
        <v>267</v>
      </c>
      <c r="D34" s="575">
        <v>4272</v>
      </c>
      <c r="E34" s="2386">
        <v>539</v>
      </c>
      <c r="F34" s="891">
        <v>1057</v>
      </c>
      <c r="G34" s="891">
        <v>922</v>
      </c>
      <c r="H34" s="891">
        <v>1753</v>
      </c>
      <c r="I34" s="2387">
        <v>1</v>
      </c>
      <c r="J34" s="2386">
        <v>2098</v>
      </c>
      <c r="K34" s="891">
        <v>2174</v>
      </c>
      <c r="L34" s="2387"/>
      <c r="M34" s="575">
        <v>2303</v>
      </c>
      <c r="N34" s="575">
        <v>1637</v>
      </c>
      <c r="O34" s="575">
        <v>324</v>
      </c>
      <c r="P34" s="575">
        <v>8</v>
      </c>
      <c r="Q34" s="2408">
        <v>520</v>
      </c>
    </row>
    <row r="35" spans="1:17" s="576" customFormat="1" x14ac:dyDescent="0.25">
      <c r="A35" s="578" t="s">
        <v>76</v>
      </c>
      <c r="B35" s="574" t="s">
        <v>77</v>
      </c>
      <c r="C35" s="573" t="s">
        <v>267</v>
      </c>
      <c r="D35" s="575">
        <v>200</v>
      </c>
      <c r="E35" s="2386">
        <v>23</v>
      </c>
      <c r="F35" s="891">
        <v>41</v>
      </c>
      <c r="G35" s="891">
        <v>51</v>
      </c>
      <c r="H35" s="891">
        <v>85</v>
      </c>
      <c r="I35" s="2387">
        <v>0</v>
      </c>
      <c r="J35" s="2386">
        <v>91</v>
      </c>
      <c r="K35" s="891">
        <v>109</v>
      </c>
      <c r="L35" s="2387"/>
      <c r="M35" s="575">
        <v>123</v>
      </c>
      <c r="N35" s="575">
        <v>70</v>
      </c>
      <c r="O35" s="575">
        <v>4</v>
      </c>
      <c r="P35" s="575">
        <v>3</v>
      </c>
      <c r="Q35" s="2408">
        <v>4</v>
      </c>
    </row>
    <row r="36" spans="1:17" s="576" customFormat="1" x14ac:dyDescent="0.25">
      <c r="A36" s="578" t="s">
        <v>78</v>
      </c>
      <c r="B36" s="574" t="s">
        <v>79</v>
      </c>
      <c r="C36" s="573" t="s">
        <v>268</v>
      </c>
      <c r="D36" s="575">
        <v>11</v>
      </c>
      <c r="E36" s="2386">
        <v>0</v>
      </c>
      <c r="F36" s="891">
        <v>8</v>
      </c>
      <c r="G36" s="891">
        <v>2</v>
      </c>
      <c r="H36" s="891">
        <v>1</v>
      </c>
      <c r="I36" s="2387">
        <v>0</v>
      </c>
      <c r="J36" s="2386">
        <v>4</v>
      </c>
      <c r="K36" s="891">
        <v>7</v>
      </c>
      <c r="L36" s="2387"/>
      <c r="M36" s="575">
        <v>11</v>
      </c>
      <c r="N36" s="575">
        <v>0</v>
      </c>
      <c r="O36" s="575">
        <v>0</v>
      </c>
      <c r="P36" s="575">
        <v>0</v>
      </c>
      <c r="Q36" s="2408">
        <v>0</v>
      </c>
    </row>
    <row r="37" spans="1:17" s="576" customFormat="1" x14ac:dyDescent="0.25">
      <c r="A37" s="578" t="s">
        <v>80</v>
      </c>
      <c r="B37" s="574" t="s">
        <v>81</v>
      </c>
      <c r="C37" s="573" t="s">
        <v>266</v>
      </c>
      <c r="D37" s="575">
        <v>58</v>
      </c>
      <c r="E37" s="2386">
        <v>6</v>
      </c>
      <c r="F37" s="891">
        <v>11</v>
      </c>
      <c r="G37" s="891">
        <v>14</v>
      </c>
      <c r="H37" s="891">
        <v>27</v>
      </c>
      <c r="I37" s="2387">
        <v>0</v>
      </c>
      <c r="J37" s="2386">
        <v>22</v>
      </c>
      <c r="K37" s="891">
        <v>36</v>
      </c>
      <c r="L37" s="2387"/>
      <c r="M37" s="575">
        <v>34</v>
      </c>
      <c r="N37" s="575">
        <v>20</v>
      </c>
      <c r="O37" s="575">
        <v>4</v>
      </c>
      <c r="P37" s="575">
        <v>0</v>
      </c>
      <c r="Q37" s="2408">
        <v>0</v>
      </c>
    </row>
    <row r="38" spans="1:17" s="576" customFormat="1" x14ac:dyDescent="0.25">
      <c r="A38" s="578" t="s">
        <v>84</v>
      </c>
      <c r="B38" s="574" t="s">
        <v>85</v>
      </c>
      <c r="C38" s="573" t="s">
        <v>265</v>
      </c>
      <c r="D38" s="575">
        <v>208</v>
      </c>
      <c r="E38" s="2386">
        <v>22</v>
      </c>
      <c r="F38" s="891">
        <v>38</v>
      </c>
      <c r="G38" s="891">
        <v>53</v>
      </c>
      <c r="H38" s="891">
        <v>95</v>
      </c>
      <c r="I38" s="2387">
        <v>0</v>
      </c>
      <c r="J38" s="2386">
        <v>99</v>
      </c>
      <c r="K38" s="891">
        <v>109</v>
      </c>
      <c r="L38" s="2387"/>
      <c r="M38" s="575">
        <v>153</v>
      </c>
      <c r="N38" s="575">
        <v>55</v>
      </c>
      <c r="O38" s="575">
        <v>0</v>
      </c>
      <c r="P38" s="575">
        <v>0</v>
      </c>
      <c r="Q38" s="2408">
        <v>2</v>
      </c>
    </row>
    <row r="39" spans="1:17" s="576" customFormat="1" x14ac:dyDescent="0.25">
      <c r="A39" s="578" t="s">
        <v>86</v>
      </c>
      <c r="B39" s="574" t="s">
        <v>87</v>
      </c>
      <c r="C39" s="573" t="s">
        <v>267</v>
      </c>
      <c r="D39" s="575">
        <v>277</v>
      </c>
      <c r="E39" s="2386">
        <v>40</v>
      </c>
      <c r="F39" s="891">
        <v>62</v>
      </c>
      <c r="G39" s="891">
        <v>56</v>
      </c>
      <c r="H39" s="891">
        <v>119</v>
      </c>
      <c r="I39" s="2387">
        <v>0</v>
      </c>
      <c r="J39" s="2386">
        <v>131</v>
      </c>
      <c r="K39" s="891">
        <v>146</v>
      </c>
      <c r="L39" s="2387"/>
      <c r="M39" s="575">
        <v>206</v>
      </c>
      <c r="N39" s="575">
        <v>66</v>
      </c>
      <c r="O39" s="575">
        <v>5</v>
      </c>
      <c r="P39" s="575">
        <v>0</v>
      </c>
      <c r="Q39" s="2408">
        <v>16</v>
      </c>
    </row>
    <row r="40" spans="1:17" s="576" customFormat="1" x14ac:dyDescent="0.25">
      <c r="A40" s="578" t="s">
        <v>92</v>
      </c>
      <c r="B40" s="574" t="s">
        <v>93</v>
      </c>
      <c r="C40" s="573" t="s">
        <v>268</v>
      </c>
      <c r="D40" s="575">
        <v>42</v>
      </c>
      <c r="E40" s="2386">
        <v>6</v>
      </c>
      <c r="F40" s="891">
        <v>13</v>
      </c>
      <c r="G40" s="891">
        <v>10</v>
      </c>
      <c r="H40" s="891">
        <v>13</v>
      </c>
      <c r="I40" s="2387">
        <v>0</v>
      </c>
      <c r="J40" s="2386">
        <v>22</v>
      </c>
      <c r="K40" s="891">
        <v>20</v>
      </c>
      <c r="L40" s="2387"/>
      <c r="M40" s="575">
        <v>41</v>
      </c>
      <c r="N40" s="575">
        <v>1</v>
      </c>
      <c r="O40" s="575">
        <v>0</v>
      </c>
      <c r="P40" s="575">
        <v>0</v>
      </c>
      <c r="Q40" s="2408">
        <v>2</v>
      </c>
    </row>
    <row r="41" spans="1:17" s="576" customFormat="1" x14ac:dyDescent="0.25">
      <c r="A41" s="578" t="s">
        <v>94</v>
      </c>
      <c r="B41" s="574" t="s">
        <v>95</v>
      </c>
      <c r="C41" s="573" t="s">
        <v>264</v>
      </c>
      <c r="D41" s="575">
        <v>135</v>
      </c>
      <c r="E41" s="2386">
        <v>6</v>
      </c>
      <c r="F41" s="891">
        <v>36</v>
      </c>
      <c r="G41" s="891">
        <v>36</v>
      </c>
      <c r="H41" s="891">
        <v>57</v>
      </c>
      <c r="I41" s="2387">
        <v>0</v>
      </c>
      <c r="J41" s="2386">
        <v>61</v>
      </c>
      <c r="K41" s="891">
        <v>74</v>
      </c>
      <c r="L41" s="2387"/>
      <c r="M41" s="575">
        <v>90</v>
      </c>
      <c r="N41" s="575">
        <v>42</v>
      </c>
      <c r="O41" s="575">
        <v>3</v>
      </c>
      <c r="P41" s="575">
        <v>0</v>
      </c>
      <c r="Q41" s="2408">
        <v>0</v>
      </c>
    </row>
    <row r="42" spans="1:17" s="576" customFormat="1" x14ac:dyDescent="0.25">
      <c r="A42" s="578" t="s">
        <v>96</v>
      </c>
      <c r="B42" s="574" t="s">
        <v>97</v>
      </c>
      <c r="C42" s="573" t="s">
        <v>266</v>
      </c>
      <c r="D42" s="575">
        <v>47</v>
      </c>
      <c r="E42" s="2386">
        <v>10</v>
      </c>
      <c r="F42" s="891">
        <v>10</v>
      </c>
      <c r="G42" s="891">
        <v>12</v>
      </c>
      <c r="H42" s="891">
        <v>15</v>
      </c>
      <c r="I42" s="2387">
        <v>0</v>
      </c>
      <c r="J42" s="2386">
        <v>18</v>
      </c>
      <c r="K42" s="891">
        <v>29</v>
      </c>
      <c r="L42" s="2387"/>
      <c r="M42" s="575">
        <v>23</v>
      </c>
      <c r="N42" s="575">
        <v>22</v>
      </c>
      <c r="O42" s="575">
        <v>2</v>
      </c>
      <c r="P42" s="575">
        <v>0</v>
      </c>
      <c r="Q42" s="2408">
        <v>1</v>
      </c>
    </row>
    <row r="43" spans="1:17" s="576" customFormat="1" x14ac:dyDescent="0.25">
      <c r="A43" s="578" t="s">
        <v>98</v>
      </c>
      <c r="B43" s="574" t="s">
        <v>99</v>
      </c>
      <c r="C43" s="573" t="s">
        <v>268</v>
      </c>
      <c r="D43" s="575">
        <v>27</v>
      </c>
      <c r="E43" s="2386">
        <v>4</v>
      </c>
      <c r="F43" s="891">
        <v>5</v>
      </c>
      <c r="G43" s="891">
        <v>6</v>
      </c>
      <c r="H43" s="891">
        <v>12</v>
      </c>
      <c r="I43" s="2387">
        <v>0</v>
      </c>
      <c r="J43" s="2386">
        <v>11</v>
      </c>
      <c r="K43" s="891">
        <v>16</v>
      </c>
      <c r="L43" s="2387"/>
      <c r="M43" s="575">
        <v>23</v>
      </c>
      <c r="N43" s="575">
        <v>4</v>
      </c>
      <c r="O43" s="575">
        <v>0</v>
      </c>
      <c r="P43" s="575">
        <v>0</v>
      </c>
      <c r="Q43" s="2408">
        <v>1</v>
      </c>
    </row>
    <row r="44" spans="1:17" s="576" customFormat="1" x14ac:dyDescent="0.25">
      <c r="A44" s="578" t="s">
        <v>100</v>
      </c>
      <c r="B44" s="574" t="s">
        <v>101</v>
      </c>
      <c r="C44" s="573" t="s">
        <v>267</v>
      </c>
      <c r="D44" s="575">
        <v>55</v>
      </c>
      <c r="E44" s="2386">
        <v>5</v>
      </c>
      <c r="F44" s="891">
        <v>17</v>
      </c>
      <c r="G44" s="891">
        <v>8</v>
      </c>
      <c r="H44" s="891">
        <v>25</v>
      </c>
      <c r="I44" s="2387">
        <v>0</v>
      </c>
      <c r="J44" s="2386">
        <v>24</v>
      </c>
      <c r="K44" s="891">
        <v>31</v>
      </c>
      <c r="L44" s="2387"/>
      <c r="M44" s="575">
        <v>27</v>
      </c>
      <c r="N44" s="575">
        <v>28</v>
      </c>
      <c r="O44" s="575">
        <v>0</v>
      </c>
      <c r="P44" s="575">
        <v>0</v>
      </c>
      <c r="Q44" s="2408">
        <v>4</v>
      </c>
    </row>
    <row r="45" spans="1:17" s="576" customFormat="1" x14ac:dyDescent="0.25">
      <c r="A45" s="578" t="s">
        <v>102</v>
      </c>
      <c r="B45" s="574" t="s">
        <v>282</v>
      </c>
      <c r="C45" s="573" t="s">
        <v>264</v>
      </c>
      <c r="D45" s="575">
        <v>155</v>
      </c>
      <c r="E45" s="2386">
        <v>23</v>
      </c>
      <c r="F45" s="891">
        <v>38</v>
      </c>
      <c r="G45" s="891">
        <v>28</v>
      </c>
      <c r="H45" s="891">
        <v>66</v>
      </c>
      <c r="I45" s="2387">
        <v>0</v>
      </c>
      <c r="J45" s="2386">
        <v>68</v>
      </c>
      <c r="K45" s="891">
        <v>87</v>
      </c>
      <c r="L45" s="2387"/>
      <c r="M45" s="575">
        <v>7</v>
      </c>
      <c r="N45" s="575">
        <v>148</v>
      </c>
      <c r="O45" s="575">
        <v>0</v>
      </c>
      <c r="P45" s="575">
        <v>0</v>
      </c>
      <c r="Q45" s="2408">
        <v>1</v>
      </c>
    </row>
    <row r="46" spans="1:17" s="576" customFormat="1" x14ac:dyDescent="0.25">
      <c r="A46" s="578" t="s">
        <v>104</v>
      </c>
      <c r="B46" s="574" t="s">
        <v>105</v>
      </c>
      <c r="C46" s="573" t="s">
        <v>265</v>
      </c>
      <c r="D46" s="575">
        <v>81</v>
      </c>
      <c r="E46" s="2386">
        <v>14</v>
      </c>
      <c r="F46" s="891">
        <v>21</v>
      </c>
      <c r="G46" s="891">
        <v>21</v>
      </c>
      <c r="H46" s="891">
        <v>25</v>
      </c>
      <c r="I46" s="2387">
        <v>0</v>
      </c>
      <c r="J46" s="2386">
        <v>46</v>
      </c>
      <c r="K46" s="891">
        <v>35</v>
      </c>
      <c r="L46" s="2387"/>
      <c r="M46" s="575">
        <v>2</v>
      </c>
      <c r="N46" s="575">
        <v>77</v>
      </c>
      <c r="O46" s="575">
        <v>2</v>
      </c>
      <c r="P46" s="575">
        <v>0</v>
      </c>
      <c r="Q46" s="2408">
        <v>4</v>
      </c>
    </row>
    <row r="47" spans="1:17" s="576" customFormat="1" x14ac:dyDescent="0.25">
      <c r="A47" s="578" t="s">
        <v>108</v>
      </c>
      <c r="B47" s="574" t="s">
        <v>109</v>
      </c>
      <c r="C47" s="573" t="s">
        <v>266</v>
      </c>
      <c r="D47" s="575">
        <v>280</v>
      </c>
      <c r="E47" s="2386">
        <v>27</v>
      </c>
      <c r="F47" s="891">
        <v>56</v>
      </c>
      <c r="G47" s="891">
        <v>67</v>
      </c>
      <c r="H47" s="891">
        <v>129</v>
      </c>
      <c r="I47" s="2387">
        <v>1</v>
      </c>
      <c r="J47" s="2386">
        <v>131</v>
      </c>
      <c r="K47" s="891">
        <v>149</v>
      </c>
      <c r="L47" s="2387"/>
      <c r="M47" s="575">
        <v>142</v>
      </c>
      <c r="N47" s="575">
        <v>135</v>
      </c>
      <c r="O47" s="575">
        <v>3</v>
      </c>
      <c r="P47" s="575">
        <v>0</v>
      </c>
      <c r="Q47" s="2408">
        <v>12</v>
      </c>
    </row>
    <row r="48" spans="1:17" s="576" customFormat="1" x14ac:dyDescent="0.25">
      <c r="A48" s="578" t="s">
        <v>110</v>
      </c>
      <c r="B48" s="574" t="s">
        <v>111</v>
      </c>
      <c r="C48" s="573" t="s">
        <v>266</v>
      </c>
      <c r="D48" s="575">
        <v>1913</v>
      </c>
      <c r="E48" s="2386">
        <v>197</v>
      </c>
      <c r="F48" s="891">
        <v>425</v>
      </c>
      <c r="G48" s="891">
        <v>402</v>
      </c>
      <c r="H48" s="891">
        <v>888</v>
      </c>
      <c r="I48" s="2387">
        <v>1</v>
      </c>
      <c r="J48" s="2386">
        <v>953</v>
      </c>
      <c r="K48" s="891">
        <v>960</v>
      </c>
      <c r="L48" s="2387"/>
      <c r="M48" s="575">
        <v>298</v>
      </c>
      <c r="N48" s="575">
        <v>1453</v>
      </c>
      <c r="O48" s="575">
        <v>162</v>
      </c>
      <c r="P48" s="575">
        <v>0</v>
      </c>
      <c r="Q48" s="2408">
        <v>57</v>
      </c>
    </row>
    <row r="49" spans="1:17" s="576" customFormat="1" x14ac:dyDescent="0.25">
      <c r="A49" s="578" t="s">
        <v>112</v>
      </c>
      <c r="B49" s="574" t="s">
        <v>300</v>
      </c>
      <c r="C49" s="573" t="s">
        <v>265</v>
      </c>
      <c r="D49" s="575">
        <v>338</v>
      </c>
      <c r="E49" s="2386">
        <v>27</v>
      </c>
      <c r="F49" s="891">
        <v>80</v>
      </c>
      <c r="G49" s="891">
        <v>65</v>
      </c>
      <c r="H49" s="891">
        <v>166</v>
      </c>
      <c r="I49" s="2387">
        <v>0</v>
      </c>
      <c r="J49" s="2386">
        <v>158</v>
      </c>
      <c r="K49" s="891">
        <v>180</v>
      </c>
      <c r="L49" s="2387"/>
      <c r="M49" s="575">
        <v>121</v>
      </c>
      <c r="N49" s="575">
        <v>211</v>
      </c>
      <c r="O49" s="575">
        <v>5</v>
      </c>
      <c r="P49" s="575">
        <v>1</v>
      </c>
      <c r="Q49" s="2408">
        <v>21</v>
      </c>
    </row>
    <row r="50" spans="1:17" s="576" customFormat="1" x14ac:dyDescent="0.25">
      <c r="A50" s="578" t="s">
        <v>114</v>
      </c>
      <c r="B50" s="574" t="s">
        <v>115</v>
      </c>
      <c r="C50" s="573" t="s">
        <v>265</v>
      </c>
      <c r="D50" s="575"/>
      <c r="E50" s="2386">
        <v>0</v>
      </c>
      <c r="F50" s="891">
        <v>0</v>
      </c>
      <c r="G50" s="891">
        <v>0</v>
      </c>
      <c r="H50" s="891">
        <v>0</v>
      </c>
      <c r="I50" s="2387">
        <v>0</v>
      </c>
      <c r="J50" s="2386">
        <v>0</v>
      </c>
      <c r="K50" s="891">
        <v>0</v>
      </c>
      <c r="L50" s="2387"/>
      <c r="M50" s="575">
        <v>0</v>
      </c>
      <c r="N50" s="575">
        <v>0</v>
      </c>
      <c r="O50" s="575">
        <v>0</v>
      </c>
      <c r="P50" s="575">
        <v>0</v>
      </c>
      <c r="Q50" s="2408">
        <v>0</v>
      </c>
    </row>
    <row r="51" spans="1:17" s="576" customFormat="1" x14ac:dyDescent="0.25">
      <c r="A51" s="578" t="s">
        <v>118</v>
      </c>
      <c r="B51" s="574" t="s">
        <v>270</v>
      </c>
      <c r="C51" s="573" t="s">
        <v>264</v>
      </c>
      <c r="D51" s="575">
        <v>56</v>
      </c>
      <c r="E51" s="2386">
        <v>4</v>
      </c>
      <c r="F51" s="891">
        <v>14</v>
      </c>
      <c r="G51" s="891">
        <v>16</v>
      </c>
      <c r="H51" s="891">
        <v>22</v>
      </c>
      <c r="I51" s="2387">
        <v>0</v>
      </c>
      <c r="J51" s="2386">
        <v>24</v>
      </c>
      <c r="K51" s="891">
        <v>32</v>
      </c>
      <c r="L51" s="2387"/>
      <c r="M51" s="575">
        <v>14</v>
      </c>
      <c r="N51" s="575">
        <v>42</v>
      </c>
      <c r="O51" s="575">
        <v>0</v>
      </c>
      <c r="P51" s="575">
        <v>0</v>
      </c>
      <c r="Q51" s="2408">
        <v>0</v>
      </c>
    </row>
    <row r="52" spans="1:17" s="576" customFormat="1" x14ac:dyDescent="0.25">
      <c r="A52" s="578" t="s">
        <v>120</v>
      </c>
      <c r="B52" s="574" t="s">
        <v>121</v>
      </c>
      <c r="C52" s="573" t="s">
        <v>264</v>
      </c>
      <c r="D52" s="575">
        <v>187</v>
      </c>
      <c r="E52" s="2386">
        <v>22</v>
      </c>
      <c r="F52" s="891">
        <v>54</v>
      </c>
      <c r="G52" s="891">
        <v>45</v>
      </c>
      <c r="H52" s="891">
        <v>66</v>
      </c>
      <c r="I52" s="2387">
        <v>0</v>
      </c>
      <c r="J52" s="2386">
        <v>89</v>
      </c>
      <c r="K52" s="891">
        <v>98</v>
      </c>
      <c r="L52" s="2387"/>
      <c r="M52" s="575">
        <v>52</v>
      </c>
      <c r="N52" s="575">
        <v>134</v>
      </c>
      <c r="O52" s="575">
        <v>1</v>
      </c>
      <c r="P52" s="575">
        <v>0</v>
      </c>
      <c r="Q52" s="2408">
        <v>7</v>
      </c>
    </row>
    <row r="53" spans="1:17" s="576" customFormat="1" x14ac:dyDescent="0.25">
      <c r="A53" s="578" t="s">
        <v>122</v>
      </c>
      <c r="B53" s="574" t="s">
        <v>287</v>
      </c>
      <c r="C53" s="573" t="s">
        <v>266</v>
      </c>
      <c r="D53" s="575">
        <v>33</v>
      </c>
      <c r="E53" s="2386">
        <v>7</v>
      </c>
      <c r="F53" s="891">
        <v>11</v>
      </c>
      <c r="G53" s="891">
        <v>6</v>
      </c>
      <c r="H53" s="891">
        <v>9</v>
      </c>
      <c r="I53" s="2387">
        <v>0</v>
      </c>
      <c r="J53" s="2386">
        <v>15</v>
      </c>
      <c r="K53" s="891">
        <v>18</v>
      </c>
      <c r="L53" s="2387"/>
      <c r="M53" s="575">
        <v>15</v>
      </c>
      <c r="N53" s="575">
        <v>18</v>
      </c>
      <c r="O53" s="575">
        <v>0</v>
      </c>
      <c r="P53" s="575">
        <v>0</v>
      </c>
      <c r="Q53" s="2408">
        <v>0</v>
      </c>
    </row>
    <row r="54" spans="1:17" s="576" customFormat="1" x14ac:dyDescent="0.25">
      <c r="A54" s="578" t="s">
        <v>124</v>
      </c>
      <c r="B54" s="574" t="s">
        <v>125</v>
      </c>
      <c r="C54" s="573" t="s">
        <v>267</v>
      </c>
      <c r="D54" s="575">
        <v>153</v>
      </c>
      <c r="E54" s="2386">
        <v>14</v>
      </c>
      <c r="F54" s="891">
        <v>30</v>
      </c>
      <c r="G54" s="891">
        <v>36</v>
      </c>
      <c r="H54" s="891">
        <v>73</v>
      </c>
      <c r="I54" s="2387">
        <v>0</v>
      </c>
      <c r="J54" s="2386">
        <v>88</v>
      </c>
      <c r="K54" s="891">
        <v>65</v>
      </c>
      <c r="L54" s="2387"/>
      <c r="M54" s="575">
        <v>69</v>
      </c>
      <c r="N54" s="575">
        <v>84</v>
      </c>
      <c r="O54" s="575">
        <v>0</v>
      </c>
      <c r="P54" s="575">
        <v>0</v>
      </c>
      <c r="Q54" s="2408">
        <v>1</v>
      </c>
    </row>
    <row r="55" spans="1:17" s="576" customFormat="1" x14ac:dyDescent="0.25">
      <c r="A55" s="578" t="s">
        <v>126</v>
      </c>
      <c r="B55" s="574" t="s">
        <v>127</v>
      </c>
      <c r="C55" s="573" t="s">
        <v>266</v>
      </c>
      <c r="D55" s="575">
        <v>68</v>
      </c>
      <c r="E55" s="2386">
        <v>11</v>
      </c>
      <c r="F55" s="891">
        <v>15</v>
      </c>
      <c r="G55" s="891">
        <v>14</v>
      </c>
      <c r="H55" s="891">
        <v>28</v>
      </c>
      <c r="I55" s="2387">
        <v>0</v>
      </c>
      <c r="J55" s="2386">
        <v>36</v>
      </c>
      <c r="K55" s="891">
        <v>32</v>
      </c>
      <c r="L55" s="2387"/>
      <c r="M55" s="575">
        <v>24</v>
      </c>
      <c r="N55" s="575">
        <v>43</v>
      </c>
      <c r="O55" s="575">
        <v>1</v>
      </c>
      <c r="P55" s="575">
        <v>0</v>
      </c>
      <c r="Q55" s="2408">
        <v>2</v>
      </c>
    </row>
    <row r="56" spans="1:17" s="576" customFormat="1" x14ac:dyDescent="0.25">
      <c r="A56" s="578" t="s">
        <v>128</v>
      </c>
      <c r="B56" s="574" t="s">
        <v>129</v>
      </c>
      <c r="C56" s="573" t="s">
        <v>266</v>
      </c>
      <c r="D56" s="575">
        <v>20</v>
      </c>
      <c r="E56" s="2386">
        <v>2</v>
      </c>
      <c r="F56" s="891">
        <v>9</v>
      </c>
      <c r="G56" s="891">
        <v>3</v>
      </c>
      <c r="H56" s="891">
        <v>6</v>
      </c>
      <c r="I56" s="2387">
        <v>0</v>
      </c>
      <c r="J56" s="2386">
        <v>14</v>
      </c>
      <c r="K56" s="891">
        <v>6</v>
      </c>
      <c r="L56" s="2387"/>
      <c r="M56" s="575">
        <v>3</v>
      </c>
      <c r="N56" s="575">
        <v>17</v>
      </c>
      <c r="O56" s="575">
        <v>0</v>
      </c>
      <c r="P56" s="575">
        <v>0</v>
      </c>
      <c r="Q56" s="2408">
        <v>0</v>
      </c>
    </row>
    <row r="57" spans="1:17" s="576" customFormat="1" x14ac:dyDescent="0.25">
      <c r="A57" s="578" t="s">
        <v>130</v>
      </c>
      <c r="B57" s="574" t="s">
        <v>131</v>
      </c>
      <c r="C57" s="573" t="s">
        <v>268</v>
      </c>
      <c r="D57" s="575">
        <v>37</v>
      </c>
      <c r="E57" s="2386">
        <v>6</v>
      </c>
      <c r="F57" s="891">
        <v>12</v>
      </c>
      <c r="G57" s="891">
        <v>8</v>
      </c>
      <c r="H57" s="891">
        <v>11</v>
      </c>
      <c r="I57" s="2387">
        <v>0</v>
      </c>
      <c r="J57" s="2386">
        <v>21</v>
      </c>
      <c r="K57" s="891">
        <v>16</v>
      </c>
      <c r="L57" s="2387"/>
      <c r="M57" s="575">
        <v>36</v>
      </c>
      <c r="N57" s="575">
        <v>1</v>
      </c>
      <c r="O57" s="575">
        <v>0</v>
      </c>
      <c r="P57" s="575">
        <v>0</v>
      </c>
      <c r="Q57" s="2408">
        <v>0</v>
      </c>
    </row>
    <row r="58" spans="1:17" s="576" customFormat="1" x14ac:dyDescent="0.25">
      <c r="A58" s="578" t="s">
        <v>132</v>
      </c>
      <c r="B58" s="574" t="s">
        <v>133</v>
      </c>
      <c r="C58" s="573" t="s">
        <v>267</v>
      </c>
      <c r="D58" s="575">
        <v>640</v>
      </c>
      <c r="E58" s="2386">
        <v>68</v>
      </c>
      <c r="F58" s="891">
        <v>140</v>
      </c>
      <c r="G58" s="891">
        <v>148</v>
      </c>
      <c r="H58" s="891">
        <v>284</v>
      </c>
      <c r="I58" s="2387">
        <v>0</v>
      </c>
      <c r="J58" s="2386">
        <v>312</v>
      </c>
      <c r="K58" s="891">
        <v>328</v>
      </c>
      <c r="L58" s="2387"/>
      <c r="M58" s="575">
        <v>335</v>
      </c>
      <c r="N58" s="575">
        <v>256</v>
      </c>
      <c r="O58" s="575">
        <v>49</v>
      </c>
      <c r="P58" s="575">
        <v>0</v>
      </c>
      <c r="Q58" s="2408">
        <v>64</v>
      </c>
    </row>
    <row r="59" spans="1:17" s="576" customFormat="1" x14ac:dyDescent="0.25">
      <c r="A59" s="578" t="s">
        <v>134</v>
      </c>
      <c r="B59" s="574" t="s">
        <v>135</v>
      </c>
      <c r="C59" s="573" t="s">
        <v>267</v>
      </c>
      <c r="D59" s="575">
        <v>75</v>
      </c>
      <c r="E59" s="2386">
        <v>3</v>
      </c>
      <c r="F59" s="891">
        <v>16</v>
      </c>
      <c r="G59" s="891">
        <v>16</v>
      </c>
      <c r="H59" s="891">
        <v>40</v>
      </c>
      <c r="I59" s="2387">
        <v>0</v>
      </c>
      <c r="J59" s="2386">
        <v>38</v>
      </c>
      <c r="K59" s="891">
        <v>37</v>
      </c>
      <c r="L59" s="2387"/>
      <c r="M59" s="575">
        <v>46</v>
      </c>
      <c r="N59" s="575">
        <v>29</v>
      </c>
      <c r="O59" s="575">
        <v>0</v>
      </c>
      <c r="P59" s="575">
        <v>0</v>
      </c>
      <c r="Q59" s="2408">
        <v>4</v>
      </c>
    </row>
    <row r="60" spans="1:17" s="576" customFormat="1" x14ac:dyDescent="0.25">
      <c r="A60" s="578" t="s">
        <v>136</v>
      </c>
      <c r="B60" s="574" t="s">
        <v>137</v>
      </c>
      <c r="C60" s="573" t="s">
        <v>266</v>
      </c>
      <c r="D60" s="575">
        <v>7</v>
      </c>
      <c r="E60" s="2386">
        <v>0</v>
      </c>
      <c r="F60" s="891">
        <v>1</v>
      </c>
      <c r="G60" s="891">
        <v>2</v>
      </c>
      <c r="H60" s="891">
        <v>4</v>
      </c>
      <c r="I60" s="2387">
        <v>0</v>
      </c>
      <c r="J60" s="2386">
        <v>6</v>
      </c>
      <c r="K60" s="891">
        <v>1</v>
      </c>
      <c r="L60" s="2387"/>
      <c r="M60" s="575">
        <v>5</v>
      </c>
      <c r="N60" s="575">
        <v>2</v>
      </c>
      <c r="O60" s="575">
        <v>0</v>
      </c>
      <c r="P60" s="575">
        <v>0</v>
      </c>
      <c r="Q60" s="2408">
        <v>0</v>
      </c>
    </row>
    <row r="61" spans="1:17" s="576" customFormat="1" x14ac:dyDescent="0.25">
      <c r="A61" s="578" t="s">
        <v>140</v>
      </c>
      <c r="B61" s="574" t="s">
        <v>141</v>
      </c>
      <c r="C61" s="573" t="s">
        <v>267</v>
      </c>
      <c r="D61" s="575">
        <v>24</v>
      </c>
      <c r="E61" s="2386">
        <v>4</v>
      </c>
      <c r="F61" s="891">
        <v>9</v>
      </c>
      <c r="G61" s="891">
        <v>4</v>
      </c>
      <c r="H61" s="891">
        <v>7</v>
      </c>
      <c r="I61" s="2387">
        <v>0</v>
      </c>
      <c r="J61" s="2386">
        <v>12</v>
      </c>
      <c r="K61" s="891">
        <v>12</v>
      </c>
      <c r="L61" s="2387"/>
      <c r="M61" s="575">
        <v>14</v>
      </c>
      <c r="N61" s="575">
        <v>10</v>
      </c>
      <c r="O61" s="575">
        <v>0</v>
      </c>
      <c r="P61" s="575">
        <v>0</v>
      </c>
      <c r="Q61" s="2408">
        <v>0</v>
      </c>
    </row>
    <row r="62" spans="1:17" s="576" customFormat="1" x14ac:dyDescent="0.25">
      <c r="A62" s="578" t="s">
        <v>146</v>
      </c>
      <c r="B62" s="574" t="s">
        <v>147</v>
      </c>
      <c r="C62" s="573" t="s">
        <v>264</v>
      </c>
      <c r="D62" s="575">
        <v>23</v>
      </c>
      <c r="E62" s="2386">
        <v>3</v>
      </c>
      <c r="F62" s="891">
        <v>2</v>
      </c>
      <c r="G62" s="891">
        <v>7</v>
      </c>
      <c r="H62" s="891">
        <v>11</v>
      </c>
      <c r="I62" s="2387">
        <v>0</v>
      </c>
      <c r="J62" s="2386">
        <v>11</v>
      </c>
      <c r="K62" s="891">
        <v>12</v>
      </c>
      <c r="L62" s="2387"/>
      <c r="M62" s="575">
        <v>13</v>
      </c>
      <c r="N62" s="575">
        <v>10</v>
      </c>
      <c r="O62" s="575">
        <v>0</v>
      </c>
      <c r="P62" s="575">
        <v>0</v>
      </c>
      <c r="Q62" s="2408">
        <v>0</v>
      </c>
    </row>
    <row r="63" spans="1:17" s="576" customFormat="1" x14ac:dyDescent="0.25">
      <c r="A63" s="578" t="s">
        <v>148</v>
      </c>
      <c r="B63" s="574" t="s">
        <v>149</v>
      </c>
      <c r="C63" s="573" t="s">
        <v>265</v>
      </c>
      <c r="D63" s="575">
        <v>73</v>
      </c>
      <c r="E63" s="2386">
        <v>8</v>
      </c>
      <c r="F63" s="891">
        <v>16</v>
      </c>
      <c r="G63" s="891">
        <v>16</v>
      </c>
      <c r="H63" s="891">
        <v>33</v>
      </c>
      <c r="I63" s="2387">
        <v>0</v>
      </c>
      <c r="J63" s="2386">
        <v>36</v>
      </c>
      <c r="K63" s="891">
        <v>37</v>
      </c>
      <c r="L63" s="2387"/>
      <c r="M63" s="575">
        <v>13</v>
      </c>
      <c r="N63" s="575">
        <v>60</v>
      </c>
      <c r="O63" s="575">
        <v>0</v>
      </c>
      <c r="P63" s="575">
        <v>0</v>
      </c>
      <c r="Q63" s="2408">
        <v>4</v>
      </c>
    </row>
    <row r="64" spans="1:17" s="576" customFormat="1" x14ac:dyDescent="0.25">
      <c r="A64" s="578" t="s">
        <v>150</v>
      </c>
      <c r="B64" s="574" t="s">
        <v>151</v>
      </c>
      <c r="C64" s="573" t="s">
        <v>266</v>
      </c>
      <c r="D64" s="575">
        <v>75</v>
      </c>
      <c r="E64" s="2386">
        <v>7</v>
      </c>
      <c r="F64" s="891">
        <v>19</v>
      </c>
      <c r="G64" s="891">
        <v>16</v>
      </c>
      <c r="H64" s="891">
        <v>33</v>
      </c>
      <c r="I64" s="2387">
        <v>0</v>
      </c>
      <c r="J64" s="2386">
        <v>37</v>
      </c>
      <c r="K64" s="891">
        <v>38</v>
      </c>
      <c r="L64" s="2387"/>
      <c r="M64" s="575">
        <v>50</v>
      </c>
      <c r="N64" s="575">
        <v>25</v>
      </c>
      <c r="O64" s="575">
        <v>0</v>
      </c>
      <c r="P64" s="575">
        <v>0</v>
      </c>
      <c r="Q64" s="2408">
        <v>0</v>
      </c>
    </row>
    <row r="65" spans="1:17" s="576" customFormat="1" x14ac:dyDescent="0.25">
      <c r="A65" s="578" t="s">
        <v>152</v>
      </c>
      <c r="B65" s="574" t="s">
        <v>153</v>
      </c>
      <c r="C65" s="573" t="s">
        <v>268</v>
      </c>
      <c r="D65" s="575">
        <v>305</v>
      </c>
      <c r="E65" s="2386">
        <v>44</v>
      </c>
      <c r="F65" s="891">
        <v>73</v>
      </c>
      <c r="G65" s="891">
        <v>72</v>
      </c>
      <c r="H65" s="891">
        <v>115</v>
      </c>
      <c r="I65" s="2387">
        <v>1</v>
      </c>
      <c r="J65" s="2386">
        <v>145</v>
      </c>
      <c r="K65" s="891">
        <v>159</v>
      </c>
      <c r="L65" s="2387">
        <v>1</v>
      </c>
      <c r="M65" s="575">
        <v>244</v>
      </c>
      <c r="N65" s="575">
        <v>54</v>
      </c>
      <c r="O65" s="575">
        <v>7</v>
      </c>
      <c r="P65" s="575">
        <v>0</v>
      </c>
      <c r="Q65" s="2408">
        <v>18</v>
      </c>
    </row>
    <row r="66" spans="1:17" s="576" customFormat="1" x14ac:dyDescent="0.25">
      <c r="A66" s="578" t="s">
        <v>154</v>
      </c>
      <c r="B66" s="574" t="s">
        <v>155</v>
      </c>
      <c r="C66" s="573" t="s">
        <v>265</v>
      </c>
      <c r="D66" s="575">
        <v>21</v>
      </c>
      <c r="E66" s="2386">
        <v>1</v>
      </c>
      <c r="F66" s="891">
        <v>8</v>
      </c>
      <c r="G66" s="891">
        <v>3</v>
      </c>
      <c r="H66" s="891">
        <v>9</v>
      </c>
      <c r="I66" s="2387">
        <v>0</v>
      </c>
      <c r="J66" s="2386">
        <v>9</v>
      </c>
      <c r="K66" s="891">
        <v>12</v>
      </c>
      <c r="L66" s="2387"/>
      <c r="M66" s="575">
        <v>15</v>
      </c>
      <c r="N66" s="575">
        <v>6</v>
      </c>
      <c r="O66" s="575">
        <v>0</v>
      </c>
      <c r="P66" s="575">
        <v>0</v>
      </c>
      <c r="Q66" s="2408">
        <v>3</v>
      </c>
    </row>
    <row r="67" spans="1:17" s="576" customFormat="1" x14ac:dyDescent="0.25">
      <c r="A67" s="578" t="s">
        <v>156</v>
      </c>
      <c r="B67" s="574" t="s">
        <v>157</v>
      </c>
      <c r="C67" s="573" t="s">
        <v>266</v>
      </c>
      <c r="D67" s="575">
        <v>57</v>
      </c>
      <c r="E67" s="2386">
        <v>5</v>
      </c>
      <c r="F67" s="891">
        <v>15</v>
      </c>
      <c r="G67" s="891">
        <v>13</v>
      </c>
      <c r="H67" s="891">
        <v>24</v>
      </c>
      <c r="I67" s="2387">
        <v>0</v>
      </c>
      <c r="J67" s="2386">
        <v>30</v>
      </c>
      <c r="K67" s="891">
        <v>27</v>
      </c>
      <c r="L67" s="2387"/>
      <c r="M67" s="575">
        <v>37</v>
      </c>
      <c r="N67" s="575">
        <v>20</v>
      </c>
      <c r="O67" s="575">
        <v>0</v>
      </c>
      <c r="P67" s="575">
        <v>0</v>
      </c>
      <c r="Q67" s="2408">
        <v>0</v>
      </c>
    </row>
    <row r="68" spans="1:17" s="576" customFormat="1" x14ac:dyDescent="0.25">
      <c r="A68" s="578" t="s">
        <v>162</v>
      </c>
      <c r="B68" s="574" t="s">
        <v>163</v>
      </c>
      <c r="C68" s="573" t="s">
        <v>264</v>
      </c>
      <c r="D68" s="575">
        <v>115</v>
      </c>
      <c r="E68" s="2386">
        <v>9</v>
      </c>
      <c r="F68" s="891">
        <v>27</v>
      </c>
      <c r="G68" s="891">
        <v>30</v>
      </c>
      <c r="H68" s="891">
        <v>49</v>
      </c>
      <c r="I68" s="2387">
        <v>0</v>
      </c>
      <c r="J68" s="2386">
        <v>60</v>
      </c>
      <c r="K68" s="891">
        <v>55</v>
      </c>
      <c r="L68" s="2387"/>
      <c r="M68" s="575">
        <v>14</v>
      </c>
      <c r="N68" s="575">
        <v>101</v>
      </c>
      <c r="O68" s="575">
        <v>0</v>
      </c>
      <c r="P68" s="575">
        <v>0</v>
      </c>
      <c r="Q68" s="2408">
        <v>0</v>
      </c>
    </row>
    <row r="69" spans="1:17" s="576" customFormat="1" x14ac:dyDescent="0.25">
      <c r="A69" s="578" t="s">
        <v>164</v>
      </c>
      <c r="B69" s="574" t="s">
        <v>165</v>
      </c>
      <c r="C69" s="573" t="s">
        <v>266</v>
      </c>
      <c r="D69" s="575">
        <v>11</v>
      </c>
      <c r="E69" s="2386">
        <v>2</v>
      </c>
      <c r="F69" s="891">
        <v>4</v>
      </c>
      <c r="G69" s="891">
        <v>0</v>
      </c>
      <c r="H69" s="891">
        <v>5</v>
      </c>
      <c r="I69" s="2387">
        <v>0</v>
      </c>
      <c r="J69" s="2386">
        <v>8</v>
      </c>
      <c r="K69" s="891">
        <v>3</v>
      </c>
      <c r="L69" s="2387"/>
      <c r="M69" s="575">
        <v>2</v>
      </c>
      <c r="N69" s="575">
        <v>9</v>
      </c>
      <c r="O69" s="575">
        <v>0</v>
      </c>
      <c r="P69" s="575">
        <v>0</v>
      </c>
      <c r="Q69" s="2408">
        <v>0</v>
      </c>
    </row>
    <row r="70" spans="1:17" s="576" customFormat="1" x14ac:dyDescent="0.25">
      <c r="A70" s="578" t="s">
        <v>168</v>
      </c>
      <c r="B70" s="574" t="s">
        <v>169</v>
      </c>
      <c r="C70" s="573" t="s">
        <v>266</v>
      </c>
      <c r="D70" s="575">
        <v>64</v>
      </c>
      <c r="E70" s="2386">
        <v>11</v>
      </c>
      <c r="F70" s="891">
        <v>16</v>
      </c>
      <c r="G70" s="891">
        <v>14</v>
      </c>
      <c r="H70" s="891">
        <v>23</v>
      </c>
      <c r="I70" s="2387">
        <v>0</v>
      </c>
      <c r="J70" s="2386">
        <v>34</v>
      </c>
      <c r="K70" s="891">
        <v>30</v>
      </c>
      <c r="L70" s="2387"/>
      <c r="M70" s="575">
        <v>5</v>
      </c>
      <c r="N70" s="575">
        <v>56</v>
      </c>
      <c r="O70" s="575">
        <v>3</v>
      </c>
      <c r="P70" s="575">
        <v>0</v>
      </c>
      <c r="Q70" s="2408">
        <v>0</v>
      </c>
    </row>
    <row r="71" spans="1:17" s="576" customFormat="1" x14ac:dyDescent="0.25">
      <c r="A71" s="578" t="s">
        <v>170</v>
      </c>
      <c r="B71" s="574" t="s">
        <v>171</v>
      </c>
      <c r="C71" s="573" t="s">
        <v>267</v>
      </c>
      <c r="D71" s="575">
        <v>162</v>
      </c>
      <c r="E71" s="2386">
        <v>15</v>
      </c>
      <c r="F71" s="891">
        <v>31</v>
      </c>
      <c r="G71" s="891">
        <v>41</v>
      </c>
      <c r="H71" s="891">
        <v>75</v>
      </c>
      <c r="I71" s="2387">
        <v>0</v>
      </c>
      <c r="J71" s="2386">
        <v>88</v>
      </c>
      <c r="K71" s="891">
        <v>74</v>
      </c>
      <c r="L71" s="2387"/>
      <c r="M71" s="575">
        <v>110</v>
      </c>
      <c r="N71" s="575">
        <v>52</v>
      </c>
      <c r="O71" s="575">
        <v>0</v>
      </c>
      <c r="P71" s="575">
        <v>0</v>
      </c>
      <c r="Q71" s="2408">
        <v>4</v>
      </c>
    </row>
    <row r="72" spans="1:17" s="576" customFormat="1" x14ac:dyDescent="0.25">
      <c r="A72" s="578" t="s">
        <v>172</v>
      </c>
      <c r="B72" s="574" t="s">
        <v>173</v>
      </c>
      <c r="C72" s="573" t="s">
        <v>267</v>
      </c>
      <c r="D72" s="575">
        <v>40</v>
      </c>
      <c r="E72" s="2386">
        <v>4</v>
      </c>
      <c r="F72" s="891">
        <v>7</v>
      </c>
      <c r="G72" s="891">
        <v>6</v>
      </c>
      <c r="H72" s="891">
        <v>23</v>
      </c>
      <c r="I72" s="2387">
        <v>0</v>
      </c>
      <c r="J72" s="2386">
        <v>21</v>
      </c>
      <c r="K72" s="891">
        <v>19</v>
      </c>
      <c r="L72" s="2387"/>
      <c r="M72" s="575">
        <v>34</v>
      </c>
      <c r="N72" s="575">
        <v>6</v>
      </c>
      <c r="O72" s="575">
        <v>0</v>
      </c>
      <c r="P72" s="575">
        <v>0</v>
      </c>
      <c r="Q72" s="2408">
        <v>1</v>
      </c>
    </row>
    <row r="73" spans="1:17" s="576" customFormat="1" x14ac:dyDescent="0.25">
      <c r="A73" s="578" t="s">
        <v>174</v>
      </c>
      <c r="B73" s="574" t="s">
        <v>175</v>
      </c>
      <c r="C73" s="573" t="s">
        <v>268</v>
      </c>
      <c r="D73" s="575">
        <v>14</v>
      </c>
      <c r="E73" s="2386">
        <v>5</v>
      </c>
      <c r="F73" s="891">
        <v>2</v>
      </c>
      <c r="G73" s="891">
        <v>6</v>
      </c>
      <c r="H73" s="891">
        <v>1</v>
      </c>
      <c r="I73" s="2387">
        <v>0</v>
      </c>
      <c r="J73" s="2386">
        <v>7</v>
      </c>
      <c r="K73" s="891">
        <v>7</v>
      </c>
      <c r="L73" s="2387"/>
      <c r="M73" s="575">
        <v>14</v>
      </c>
      <c r="N73" s="575">
        <v>0</v>
      </c>
      <c r="O73" s="575">
        <v>0</v>
      </c>
      <c r="P73" s="575">
        <v>0</v>
      </c>
      <c r="Q73" s="2408">
        <v>1</v>
      </c>
    </row>
    <row r="74" spans="1:17" s="576" customFormat="1" x14ac:dyDescent="0.25">
      <c r="A74" s="578" t="s">
        <v>178</v>
      </c>
      <c r="B74" s="574" t="s">
        <v>179</v>
      </c>
      <c r="C74" s="573" t="s">
        <v>265</v>
      </c>
      <c r="D74" s="575">
        <v>155</v>
      </c>
      <c r="E74" s="2386">
        <v>15</v>
      </c>
      <c r="F74" s="891">
        <v>43</v>
      </c>
      <c r="G74" s="891">
        <v>35</v>
      </c>
      <c r="H74" s="891">
        <v>62</v>
      </c>
      <c r="I74" s="2387">
        <v>0</v>
      </c>
      <c r="J74" s="2386">
        <v>71</v>
      </c>
      <c r="K74" s="891">
        <v>84</v>
      </c>
      <c r="L74" s="2387"/>
      <c r="M74" s="575">
        <v>89</v>
      </c>
      <c r="N74" s="575">
        <v>64</v>
      </c>
      <c r="O74" s="575">
        <v>2</v>
      </c>
      <c r="P74" s="575">
        <v>0</v>
      </c>
      <c r="Q74" s="2408">
        <v>3</v>
      </c>
    </row>
    <row r="75" spans="1:17" s="576" customFormat="1" x14ac:dyDescent="0.25">
      <c r="A75" s="578" t="s">
        <v>182</v>
      </c>
      <c r="B75" s="574" t="s">
        <v>183</v>
      </c>
      <c r="C75" s="573" t="s">
        <v>266</v>
      </c>
      <c r="D75" s="575">
        <v>65</v>
      </c>
      <c r="E75" s="2386">
        <v>9</v>
      </c>
      <c r="F75" s="891">
        <v>12</v>
      </c>
      <c r="G75" s="891">
        <v>13</v>
      </c>
      <c r="H75" s="891">
        <v>31</v>
      </c>
      <c r="I75" s="2387">
        <v>0</v>
      </c>
      <c r="J75" s="2386">
        <v>38</v>
      </c>
      <c r="K75" s="891">
        <v>27</v>
      </c>
      <c r="L75" s="2387"/>
      <c r="M75" s="575">
        <v>41</v>
      </c>
      <c r="N75" s="575">
        <v>24</v>
      </c>
      <c r="O75" s="575">
        <v>0</v>
      </c>
      <c r="P75" s="575">
        <v>0</v>
      </c>
      <c r="Q75" s="2408">
        <v>2</v>
      </c>
    </row>
    <row r="76" spans="1:17" s="576" customFormat="1" x14ac:dyDescent="0.25">
      <c r="A76" s="578" t="s">
        <v>184</v>
      </c>
      <c r="B76" s="574" t="s">
        <v>185</v>
      </c>
      <c r="C76" s="573" t="s">
        <v>266</v>
      </c>
      <c r="D76" s="575">
        <v>42</v>
      </c>
      <c r="E76" s="2386">
        <v>7</v>
      </c>
      <c r="F76" s="891">
        <v>14</v>
      </c>
      <c r="G76" s="891">
        <v>10</v>
      </c>
      <c r="H76" s="891">
        <v>11</v>
      </c>
      <c r="I76" s="2387">
        <v>0</v>
      </c>
      <c r="J76" s="2386">
        <v>16</v>
      </c>
      <c r="K76" s="891">
        <v>26</v>
      </c>
      <c r="L76" s="2387"/>
      <c r="M76" s="575">
        <v>9</v>
      </c>
      <c r="N76" s="575">
        <v>33</v>
      </c>
      <c r="O76" s="575">
        <v>0</v>
      </c>
      <c r="P76" s="575">
        <v>0</v>
      </c>
      <c r="Q76" s="2408">
        <v>0</v>
      </c>
    </row>
    <row r="77" spans="1:17" s="576" customFormat="1" x14ac:dyDescent="0.25">
      <c r="A77" s="578" t="s">
        <v>186</v>
      </c>
      <c r="B77" s="574" t="s">
        <v>187</v>
      </c>
      <c r="C77" s="573" t="s">
        <v>264</v>
      </c>
      <c r="D77" s="575">
        <v>52</v>
      </c>
      <c r="E77" s="2386">
        <v>2</v>
      </c>
      <c r="F77" s="891">
        <v>18</v>
      </c>
      <c r="G77" s="891">
        <v>11</v>
      </c>
      <c r="H77" s="891">
        <v>21</v>
      </c>
      <c r="I77" s="2387">
        <v>0</v>
      </c>
      <c r="J77" s="2386">
        <v>26</v>
      </c>
      <c r="K77" s="891">
        <v>26</v>
      </c>
      <c r="L77" s="2387"/>
      <c r="M77" s="575">
        <v>14</v>
      </c>
      <c r="N77" s="575">
        <v>38</v>
      </c>
      <c r="O77" s="575">
        <v>0</v>
      </c>
      <c r="P77" s="575">
        <v>0</v>
      </c>
      <c r="Q77" s="2408">
        <v>1</v>
      </c>
    </row>
    <row r="78" spans="1:17" s="576" customFormat="1" x14ac:dyDescent="0.25">
      <c r="A78" s="578" t="s">
        <v>188</v>
      </c>
      <c r="B78" s="574" t="s">
        <v>189</v>
      </c>
      <c r="C78" s="573" t="s">
        <v>267</v>
      </c>
      <c r="D78" s="575">
        <v>1349</v>
      </c>
      <c r="E78" s="2386">
        <v>160</v>
      </c>
      <c r="F78" s="891">
        <v>336</v>
      </c>
      <c r="G78" s="891">
        <v>301</v>
      </c>
      <c r="H78" s="891">
        <v>551</v>
      </c>
      <c r="I78" s="2387">
        <v>1</v>
      </c>
      <c r="J78" s="2386">
        <v>694</v>
      </c>
      <c r="K78" s="891">
        <v>655</v>
      </c>
      <c r="L78" s="2387"/>
      <c r="M78" s="575">
        <v>432</v>
      </c>
      <c r="N78" s="575">
        <v>841</v>
      </c>
      <c r="O78" s="575">
        <v>75</v>
      </c>
      <c r="P78" s="575">
        <v>1</v>
      </c>
      <c r="Q78" s="2408">
        <v>115</v>
      </c>
    </row>
    <row r="79" spans="1:17" s="576" customFormat="1" x14ac:dyDescent="0.25">
      <c r="A79" s="578" t="s">
        <v>190</v>
      </c>
      <c r="B79" s="574" t="s">
        <v>191</v>
      </c>
      <c r="C79" s="573" t="s">
        <v>268</v>
      </c>
      <c r="D79" s="575">
        <v>95</v>
      </c>
      <c r="E79" s="2386">
        <v>11</v>
      </c>
      <c r="F79" s="891">
        <v>22</v>
      </c>
      <c r="G79" s="891">
        <v>24</v>
      </c>
      <c r="H79" s="891">
        <v>38</v>
      </c>
      <c r="I79" s="2387">
        <v>0</v>
      </c>
      <c r="J79" s="2386">
        <v>45</v>
      </c>
      <c r="K79" s="891">
        <v>50</v>
      </c>
      <c r="L79" s="2387"/>
      <c r="M79" s="575">
        <v>87</v>
      </c>
      <c r="N79" s="575">
        <v>6</v>
      </c>
      <c r="O79" s="575">
        <v>2</v>
      </c>
      <c r="P79" s="575">
        <v>0</v>
      </c>
      <c r="Q79" s="2408">
        <v>3</v>
      </c>
    </row>
    <row r="80" spans="1:17" s="576" customFormat="1" x14ac:dyDescent="0.25">
      <c r="A80" s="578" t="s">
        <v>194</v>
      </c>
      <c r="B80" s="574" t="s">
        <v>195</v>
      </c>
      <c r="C80" s="573" t="s">
        <v>267</v>
      </c>
      <c r="D80" s="575">
        <v>19</v>
      </c>
      <c r="E80" s="2386">
        <v>1</v>
      </c>
      <c r="F80" s="891">
        <v>4</v>
      </c>
      <c r="G80" s="891">
        <v>5</v>
      </c>
      <c r="H80" s="891">
        <v>8</v>
      </c>
      <c r="I80" s="2387">
        <v>1</v>
      </c>
      <c r="J80" s="2386">
        <v>10</v>
      </c>
      <c r="K80" s="891">
        <v>9</v>
      </c>
      <c r="L80" s="2387"/>
      <c r="M80" s="575">
        <v>17</v>
      </c>
      <c r="N80" s="575">
        <v>2</v>
      </c>
      <c r="O80" s="575">
        <v>0</v>
      </c>
      <c r="P80" s="575">
        <v>0</v>
      </c>
      <c r="Q80" s="2408">
        <v>0</v>
      </c>
    </row>
    <row r="81" spans="1:17" s="576" customFormat="1" x14ac:dyDescent="0.25">
      <c r="A81" s="578" t="s">
        <v>198</v>
      </c>
      <c r="B81" s="574" t="s">
        <v>272</v>
      </c>
      <c r="C81" s="573" t="s">
        <v>266</v>
      </c>
      <c r="D81" s="575">
        <v>16</v>
      </c>
      <c r="E81" s="2386">
        <v>0</v>
      </c>
      <c r="F81" s="891">
        <v>5</v>
      </c>
      <c r="G81" s="891">
        <v>4</v>
      </c>
      <c r="H81" s="891">
        <v>7</v>
      </c>
      <c r="I81" s="2387">
        <v>0</v>
      </c>
      <c r="J81" s="2386">
        <v>10</v>
      </c>
      <c r="K81" s="891">
        <v>6</v>
      </c>
      <c r="L81" s="2387"/>
      <c r="M81" s="575">
        <v>2</v>
      </c>
      <c r="N81" s="575">
        <v>13</v>
      </c>
      <c r="O81" s="575">
        <v>1</v>
      </c>
      <c r="P81" s="575">
        <v>0</v>
      </c>
      <c r="Q81" s="2408">
        <v>0</v>
      </c>
    </row>
    <row r="82" spans="1:17" s="576" customFormat="1" x14ac:dyDescent="0.25">
      <c r="A82" s="578" t="s">
        <v>202</v>
      </c>
      <c r="B82" s="574" t="s">
        <v>301</v>
      </c>
      <c r="C82" s="573" t="s">
        <v>265</v>
      </c>
      <c r="D82" s="575">
        <v>617</v>
      </c>
      <c r="E82" s="2386">
        <v>70</v>
      </c>
      <c r="F82" s="891">
        <v>110</v>
      </c>
      <c r="G82" s="891">
        <v>135</v>
      </c>
      <c r="H82" s="891">
        <v>302</v>
      </c>
      <c r="I82" s="2387">
        <v>0</v>
      </c>
      <c r="J82" s="2386">
        <v>307</v>
      </c>
      <c r="K82" s="891">
        <v>310</v>
      </c>
      <c r="L82" s="2387"/>
      <c r="M82" s="575">
        <v>404</v>
      </c>
      <c r="N82" s="575">
        <v>193</v>
      </c>
      <c r="O82" s="575">
        <v>19</v>
      </c>
      <c r="P82" s="575">
        <v>1</v>
      </c>
      <c r="Q82" s="2408">
        <v>27</v>
      </c>
    </row>
    <row r="83" spans="1:17" s="576" customFormat="1" x14ac:dyDescent="0.25">
      <c r="A83" s="578" t="s">
        <v>204</v>
      </c>
      <c r="B83" s="574" t="s">
        <v>293</v>
      </c>
      <c r="C83" s="573" t="s">
        <v>265</v>
      </c>
      <c r="D83" s="575">
        <v>26</v>
      </c>
      <c r="E83" s="2386">
        <v>3</v>
      </c>
      <c r="F83" s="891">
        <v>7</v>
      </c>
      <c r="G83" s="891">
        <v>11</v>
      </c>
      <c r="H83" s="891">
        <v>5</v>
      </c>
      <c r="I83" s="2387">
        <v>0</v>
      </c>
      <c r="J83" s="2386">
        <v>9</v>
      </c>
      <c r="K83" s="891">
        <v>17</v>
      </c>
      <c r="L83" s="2387"/>
      <c r="M83" s="575">
        <v>16</v>
      </c>
      <c r="N83" s="575">
        <v>10</v>
      </c>
      <c r="O83" s="575">
        <v>0</v>
      </c>
      <c r="P83" s="575">
        <v>0</v>
      </c>
      <c r="Q83" s="2408">
        <v>1</v>
      </c>
    </row>
    <row r="84" spans="1:17" s="576" customFormat="1" x14ac:dyDescent="0.25">
      <c r="A84" s="578" t="s">
        <v>206</v>
      </c>
      <c r="B84" s="574" t="s">
        <v>294</v>
      </c>
      <c r="C84" s="573" t="s">
        <v>267</v>
      </c>
      <c r="D84" s="575">
        <v>478</v>
      </c>
      <c r="E84" s="2386">
        <v>83</v>
      </c>
      <c r="F84" s="891">
        <v>119</v>
      </c>
      <c r="G84" s="891">
        <v>104</v>
      </c>
      <c r="H84" s="891">
        <v>170</v>
      </c>
      <c r="I84" s="2387">
        <v>2</v>
      </c>
      <c r="J84" s="2386">
        <v>214</v>
      </c>
      <c r="K84" s="891">
        <v>264</v>
      </c>
      <c r="L84" s="2387"/>
      <c r="M84" s="575">
        <v>331</v>
      </c>
      <c r="N84" s="575">
        <v>141</v>
      </c>
      <c r="O84" s="575">
        <v>6</v>
      </c>
      <c r="P84" s="575">
        <v>0</v>
      </c>
      <c r="Q84" s="2408">
        <v>51</v>
      </c>
    </row>
    <row r="85" spans="1:17" s="576" customFormat="1" x14ac:dyDescent="0.25">
      <c r="A85" s="578" t="s">
        <v>208</v>
      </c>
      <c r="B85" s="574" t="s">
        <v>209</v>
      </c>
      <c r="C85" s="573" t="s">
        <v>268</v>
      </c>
      <c r="D85" s="575">
        <v>41</v>
      </c>
      <c r="E85" s="2386">
        <v>7</v>
      </c>
      <c r="F85" s="891">
        <v>13</v>
      </c>
      <c r="G85" s="891">
        <v>7</v>
      </c>
      <c r="H85" s="891">
        <v>14</v>
      </c>
      <c r="I85" s="2387">
        <v>0</v>
      </c>
      <c r="J85" s="2386">
        <v>23</v>
      </c>
      <c r="K85" s="891">
        <v>18</v>
      </c>
      <c r="L85" s="2387"/>
      <c r="M85" s="575">
        <v>41</v>
      </c>
      <c r="N85" s="575">
        <v>0</v>
      </c>
      <c r="O85" s="575">
        <v>0</v>
      </c>
      <c r="P85" s="575">
        <v>0</v>
      </c>
      <c r="Q85" s="2408">
        <v>0</v>
      </c>
    </row>
    <row r="86" spans="1:17" s="576" customFormat="1" x14ac:dyDescent="0.25">
      <c r="A86" s="578" t="s">
        <v>210</v>
      </c>
      <c r="B86" s="574" t="s">
        <v>211</v>
      </c>
      <c r="C86" s="573" t="s">
        <v>268</v>
      </c>
      <c r="D86" s="575">
        <v>21</v>
      </c>
      <c r="E86" s="2386">
        <v>0</v>
      </c>
      <c r="F86" s="891">
        <v>1</v>
      </c>
      <c r="G86" s="891">
        <v>2</v>
      </c>
      <c r="H86" s="891">
        <v>18</v>
      </c>
      <c r="I86" s="2387">
        <v>0</v>
      </c>
      <c r="J86" s="2386">
        <v>10</v>
      </c>
      <c r="K86" s="891">
        <v>11</v>
      </c>
      <c r="L86" s="2387"/>
      <c r="M86" s="575">
        <v>21</v>
      </c>
      <c r="N86" s="575">
        <v>0</v>
      </c>
      <c r="O86" s="575">
        <v>0</v>
      </c>
      <c r="P86" s="575">
        <v>0</v>
      </c>
      <c r="Q86" s="2408">
        <v>0</v>
      </c>
    </row>
    <row r="87" spans="1:17" s="576" customFormat="1" x14ac:dyDescent="0.25">
      <c r="A87" s="578" t="s">
        <v>212</v>
      </c>
      <c r="B87" s="574" t="s">
        <v>213</v>
      </c>
      <c r="C87" s="573" t="s">
        <v>267</v>
      </c>
      <c r="D87" s="575">
        <v>116</v>
      </c>
      <c r="E87" s="2386">
        <v>8</v>
      </c>
      <c r="F87" s="891">
        <v>25</v>
      </c>
      <c r="G87" s="891">
        <v>24</v>
      </c>
      <c r="H87" s="891">
        <v>59</v>
      </c>
      <c r="I87" s="2387">
        <v>0</v>
      </c>
      <c r="J87" s="2386">
        <v>62</v>
      </c>
      <c r="K87" s="891">
        <v>54</v>
      </c>
      <c r="L87" s="2387"/>
      <c r="M87" s="575">
        <v>98</v>
      </c>
      <c r="N87" s="575">
        <v>16</v>
      </c>
      <c r="O87" s="575">
        <v>2</v>
      </c>
      <c r="P87" s="575">
        <v>0</v>
      </c>
      <c r="Q87" s="2408">
        <v>4</v>
      </c>
    </row>
    <row r="88" spans="1:17" s="576" customFormat="1" x14ac:dyDescent="0.25">
      <c r="A88" s="578" t="s">
        <v>214</v>
      </c>
      <c r="B88" s="574" t="s">
        <v>215</v>
      </c>
      <c r="C88" s="573" t="s">
        <v>268</v>
      </c>
      <c r="D88" s="575">
        <v>104</v>
      </c>
      <c r="E88" s="2386">
        <v>14</v>
      </c>
      <c r="F88" s="891">
        <v>21</v>
      </c>
      <c r="G88" s="891">
        <v>32</v>
      </c>
      <c r="H88" s="891">
        <v>37</v>
      </c>
      <c r="I88" s="2387">
        <v>0</v>
      </c>
      <c r="J88" s="2386">
        <v>51</v>
      </c>
      <c r="K88" s="891">
        <v>53</v>
      </c>
      <c r="L88" s="2387"/>
      <c r="M88" s="575">
        <v>95</v>
      </c>
      <c r="N88" s="575">
        <v>8</v>
      </c>
      <c r="O88" s="575">
        <v>1</v>
      </c>
      <c r="P88" s="575">
        <v>0</v>
      </c>
      <c r="Q88" s="2408">
        <v>3</v>
      </c>
    </row>
    <row r="89" spans="1:17" s="576" customFormat="1" x14ac:dyDescent="0.25">
      <c r="A89" s="578" t="s">
        <v>216</v>
      </c>
      <c r="B89" s="574" t="s">
        <v>217</v>
      </c>
      <c r="C89" s="573" t="s">
        <v>264</v>
      </c>
      <c r="D89" s="575">
        <v>34</v>
      </c>
      <c r="E89" s="2386">
        <v>4</v>
      </c>
      <c r="F89" s="891">
        <v>10</v>
      </c>
      <c r="G89" s="891">
        <v>9</v>
      </c>
      <c r="H89" s="891">
        <v>11</v>
      </c>
      <c r="I89" s="2387">
        <v>0</v>
      </c>
      <c r="J89" s="2386">
        <v>19</v>
      </c>
      <c r="K89" s="891">
        <v>15</v>
      </c>
      <c r="L89" s="2387"/>
      <c r="M89" s="575">
        <v>11</v>
      </c>
      <c r="N89" s="575">
        <v>22</v>
      </c>
      <c r="O89" s="575">
        <v>1</v>
      </c>
      <c r="P89" s="575">
        <v>0</v>
      </c>
      <c r="Q89" s="2408">
        <v>0</v>
      </c>
    </row>
    <row r="90" spans="1:17" s="576" customFormat="1" x14ac:dyDescent="0.25">
      <c r="A90" s="578" t="s">
        <v>218</v>
      </c>
      <c r="B90" s="574" t="s">
        <v>219</v>
      </c>
      <c r="C90" s="573" t="s">
        <v>267</v>
      </c>
      <c r="D90" s="575">
        <v>432</v>
      </c>
      <c r="E90" s="2386">
        <v>46</v>
      </c>
      <c r="F90" s="891">
        <v>111</v>
      </c>
      <c r="G90" s="891">
        <v>93</v>
      </c>
      <c r="H90" s="891">
        <v>182</v>
      </c>
      <c r="I90" s="2387">
        <v>0</v>
      </c>
      <c r="J90" s="2386">
        <v>212</v>
      </c>
      <c r="K90" s="891">
        <v>218</v>
      </c>
      <c r="L90" s="2387">
        <v>2</v>
      </c>
      <c r="M90" s="575">
        <v>168</v>
      </c>
      <c r="N90" s="575">
        <v>256</v>
      </c>
      <c r="O90" s="575">
        <v>6</v>
      </c>
      <c r="P90" s="575">
        <v>2</v>
      </c>
      <c r="Q90" s="2408">
        <v>9</v>
      </c>
    </row>
    <row r="91" spans="1:17" s="576" customFormat="1" x14ac:dyDescent="0.25">
      <c r="A91" s="578" t="s">
        <v>220</v>
      </c>
      <c r="B91" s="574" t="s">
        <v>221</v>
      </c>
      <c r="C91" s="573" t="s">
        <v>267</v>
      </c>
      <c r="D91" s="575">
        <v>451</v>
      </c>
      <c r="E91" s="2386">
        <v>57</v>
      </c>
      <c r="F91" s="891">
        <v>107</v>
      </c>
      <c r="G91" s="891">
        <v>114</v>
      </c>
      <c r="H91" s="891">
        <v>173</v>
      </c>
      <c r="I91" s="2387">
        <v>0</v>
      </c>
      <c r="J91" s="2386">
        <v>214</v>
      </c>
      <c r="K91" s="891">
        <v>237</v>
      </c>
      <c r="L91" s="2387"/>
      <c r="M91" s="575">
        <v>163</v>
      </c>
      <c r="N91" s="575">
        <v>275</v>
      </c>
      <c r="O91" s="575">
        <v>12</v>
      </c>
      <c r="P91" s="575">
        <v>1</v>
      </c>
      <c r="Q91" s="2408">
        <v>27</v>
      </c>
    </row>
    <row r="92" spans="1:17" s="576" customFormat="1" x14ac:dyDescent="0.25">
      <c r="A92" s="578" t="s">
        <v>224</v>
      </c>
      <c r="B92" s="574" t="s">
        <v>225</v>
      </c>
      <c r="C92" s="573" t="s">
        <v>264</v>
      </c>
      <c r="D92" s="575">
        <v>44</v>
      </c>
      <c r="E92" s="2386">
        <v>4</v>
      </c>
      <c r="F92" s="891">
        <v>10</v>
      </c>
      <c r="G92" s="891">
        <v>8</v>
      </c>
      <c r="H92" s="891">
        <v>22</v>
      </c>
      <c r="I92" s="2387">
        <v>0</v>
      </c>
      <c r="J92" s="2386">
        <v>20</v>
      </c>
      <c r="K92" s="891">
        <v>24</v>
      </c>
      <c r="L92" s="2387"/>
      <c r="M92" s="575">
        <v>11</v>
      </c>
      <c r="N92" s="575">
        <v>32</v>
      </c>
      <c r="O92" s="575">
        <v>1</v>
      </c>
      <c r="P92" s="575">
        <v>0</v>
      </c>
      <c r="Q92" s="2408">
        <v>0</v>
      </c>
    </row>
    <row r="93" spans="1:17" s="576" customFormat="1" x14ac:dyDescent="0.25">
      <c r="A93" s="578" t="s">
        <v>226</v>
      </c>
      <c r="B93" s="574" t="s">
        <v>227</v>
      </c>
      <c r="C93" s="573" t="s">
        <v>264</v>
      </c>
      <c r="D93" s="575">
        <v>42</v>
      </c>
      <c r="E93" s="2386">
        <v>5</v>
      </c>
      <c r="F93" s="891">
        <v>10</v>
      </c>
      <c r="G93" s="891">
        <v>7</v>
      </c>
      <c r="H93" s="891">
        <v>20</v>
      </c>
      <c r="I93" s="2387">
        <v>0</v>
      </c>
      <c r="J93" s="2386">
        <v>20</v>
      </c>
      <c r="K93" s="891">
        <v>22</v>
      </c>
      <c r="L93" s="2387"/>
      <c r="M93" s="575">
        <v>4</v>
      </c>
      <c r="N93" s="575">
        <v>38</v>
      </c>
      <c r="O93" s="575">
        <v>0</v>
      </c>
      <c r="P93" s="575">
        <v>0</v>
      </c>
      <c r="Q93" s="2408">
        <v>1</v>
      </c>
    </row>
    <row r="94" spans="1:17" s="576" customFormat="1" x14ac:dyDescent="0.25">
      <c r="A94" s="578" t="s">
        <v>228</v>
      </c>
      <c r="B94" s="574" t="s">
        <v>229</v>
      </c>
      <c r="C94" s="573" t="s">
        <v>268</v>
      </c>
      <c r="D94" s="575">
        <v>136</v>
      </c>
      <c r="E94" s="2386">
        <v>17</v>
      </c>
      <c r="F94" s="891">
        <v>32</v>
      </c>
      <c r="G94" s="891">
        <v>31</v>
      </c>
      <c r="H94" s="891">
        <v>56</v>
      </c>
      <c r="I94" s="2387">
        <v>0</v>
      </c>
      <c r="J94" s="2386">
        <v>63</v>
      </c>
      <c r="K94" s="891">
        <v>73</v>
      </c>
      <c r="L94" s="2387"/>
      <c r="M94" s="575">
        <v>107</v>
      </c>
      <c r="N94" s="575">
        <v>27</v>
      </c>
      <c r="O94" s="575">
        <v>2</v>
      </c>
      <c r="P94" s="575">
        <v>0</v>
      </c>
      <c r="Q94" s="2408">
        <v>4</v>
      </c>
    </row>
    <row r="95" spans="1:17" s="576" customFormat="1" x14ac:dyDescent="0.25">
      <c r="A95" s="578" t="s">
        <v>232</v>
      </c>
      <c r="B95" s="574" t="s">
        <v>233</v>
      </c>
      <c r="C95" s="573" t="s">
        <v>267</v>
      </c>
      <c r="D95" s="575">
        <v>235</v>
      </c>
      <c r="E95" s="2386">
        <v>31</v>
      </c>
      <c r="F95" s="891">
        <v>54</v>
      </c>
      <c r="G95" s="891">
        <v>58</v>
      </c>
      <c r="H95" s="891">
        <v>92</v>
      </c>
      <c r="I95" s="2387">
        <v>0</v>
      </c>
      <c r="J95" s="2386">
        <v>105</v>
      </c>
      <c r="K95" s="891">
        <v>130</v>
      </c>
      <c r="L95" s="2387"/>
      <c r="M95" s="575">
        <v>174</v>
      </c>
      <c r="N95" s="575">
        <v>56</v>
      </c>
      <c r="O95" s="575">
        <v>5</v>
      </c>
      <c r="P95" s="575">
        <v>0</v>
      </c>
      <c r="Q95" s="2408">
        <v>5</v>
      </c>
    </row>
    <row r="96" spans="1:17" s="576" customFormat="1" x14ac:dyDescent="0.25">
      <c r="A96" s="578" t="s">
        <v>234</v>
      </c>
      <c r="B96" s="574" t="s">
        <v>235</v>
      </c>
      <c r="C96" s="573" t="s">
        <v>268</v>
      </c>
      <c r="D96" s="575">
        <v>119</v>
      </c>
      <c r="E96" s="2386">
        <v>16</v>
      </c>
      <c r="F96" s="891">
        <v>26</v>
      </c>
      <c r="G96" s="891">
        <v>30</v>
      </c>
      <c r="H96" s="891">
        <v>47</v>
      </c>
      <c r="I96" s="2387">
        <v>0</v>
      </c>
      <c r="J96" s="2386">
        <v>55</v>
      </c>
      <c r="K96" s="891">
        <v>64</v>
      </c>
      <c r="L96" s="2387"/>
      <c r="M96" s="575">
        <v>105</v>
      </c>
      <c r="N96" s="575">
        <v>10</v>
      </c>
      <c r="O96" s="575">
        <v>4</v>
      </c>
      <c r="P96" s="575">
        <v>0</v>
      </c>
      <c r="Q96" s="2408">
        <v>6</v>
      </c>
    </row>
    <row r="97" spans="1:17" s="576" customFormat="1" x14ac:dyDescent="0.25">
      <c r="A97" s="578" t="s">
        <v>236</v>
      </c>
      <c r="B97" s="574" t="s">
        <v>237</v>
      </c>
      <c r="C97" s="573" t="s">
        <v>266</v>
      </c>
      <c r="D97" s="575">
        <v>81</v>
      </c>
      <c r="E97" s="2386">
        <v>12</v>
      </c>
      <c r="F97" s="891">
        <v>22</v>
      </c>
      <c r="G97" s="891">
        <v>18</v>
      </c>
      <c r="H97" s="891">
        <v>29</v>
      </c>
      <c r="I97" s="2387">
        <v>0</v>
      </c>
      <c r="J97" s="2386">
        <v>38</v>
      </c>
      <c r="K97" s="891">
        <v>43</v>
      </c>
      <c r="L97" s="2387"/>
      <c r="M97" s="575">
        <v>13</v>
      </c>
      <c r="N97" s="575">
        <v>67</v>
      </c>
      <c r="O97" s="575">
        <v>1</v>
      </c>
      <c r="P97" s="575">
        <v>0</v>
      </c>
      <c r="Q97" s="2408">
        <v>2</v>
      </c>
    </row>
    <row r="98" spans="1:17" s="576" customFormat="1" x14ac:dyDescent="0.25">
      <c r="A98" s="578" t="s">
        <v>242</v>
      </c>
      <c r="B98" s="574" t="s">
        <v>243</v>
      </c>
      <c r="C98" s="573" t="s">
        <v>268</v>
      </c>
      <c r="D98" s="575">
        <v>95</v>
      </c>
      <c r="E98" s="2386">
        <v>15</v>
      </c>
      <c r="F98" s="891">
        <v>28</v>
      </c>
      <c r="G98" s="891">
        <v>28</v>
      </c>
      <c r="H98" s="891">
        <v>24</v>
      </c>
      <c r="I98" s="2387">
        <v>0</v>
      </c>
      <c r="J98" s="2386">
        <v>45</v>
      </c>
      <c r="K98" s="891">
        <v>50</v>
      </c>
      <c r="L98" s="2387"/>
      <c r="M98" s="575">
        <v>91</v>
      </c>
      <c r="N98" s="575">
        <v>1</v>
      </c>
      <c r="O98" s="575">
        <v>2</v>
      </c>
      <c r="P98" s="575">
        <v>1</v>
      </c>
      <c r="Q98" s="2408">
        <v>1</v>
      </c>
    </row>
    <row r="99" spans="1:17" s="576" customFormat="1" x14ac:dyDescent="0.25">
      <c r="A99" s="578" t="s">
        <v>244</v>
      </c>
      <c r="B99" s="574" t="s">
        <v>245</v>
      </c>
      <c r="C99" s="573" t="s">
        <v>268</v>
      </c>
      <c r="D99" s="575">
        <v>122</v>
      </c>
      <c r="E99" s="2386">
        <v>15</v>
      </c>
      <c r="F99" s="891">
        <v>34</v>
      </c>
      <c r="G99" s="891">
        <v>28</v>
      </c>
      <c r="H99" s="891">
        <v>44</v>
      </c>
      <c r="I99" s="2387">
        <v>1</v>
      </c>
      <c r="J99" s="2386">
        <v>62</v>
      </c>
      <c r="K99" s="891">
        <v>60</v>
      </c>
      <c r="L99" s="2387"/>
      <c r="M99" s="575">
        <v>108</v>
      </c>
      <c r="N99" s="575">
        <v>14</v>
      </c>
      <c r="O99" s="575">
        <v>0</v>
      </c>
      <c r="P99" s="575">
        <v>0</v>
      </c>
      <c r="Q99" s="2408">
        <v>2</v>
      </c>
    </row>
    <row r="100" spans="1:17" s="576" customFormat="1" x14ac:dyDescent="0.25">
      <c r="A100" s="578" t="s">
        <v>246</v>
      </c>
      <c r="B100" s="574" t="s">
        <v>247</v>
      </c>
      <c r="C100" s="573" t="s">
        <v>264</v>
      </c>
      <c r="D100" s="575">
        <v>227</v>
      </c>
      <c r="E100" s="2386">
        <v>33</v>
      </c>
      <c r="F100" s="891">
        <v>68</v>
      </c>
      <c r="G100" s="891">
        <v>53</v>
      </c>
      <c r="H100" s="891">
        <v>73</v>
      </c>
      <c r="I100" s="2387">
        <v>0</v>
      </c>
      <c r="J100" s="2386">
        <v>110</v>
      </c>
      <c r="K100" s="891">
        <v>117</v>
      </c>
      <c r="L100" s="2387"/>
      <c r="M100" s="575">
        <v>93</v>
      </c>
      <c r="N100" s="575">
        <v>130</v>
      </c>
      <c r="O100" s="575">
        <v>4</v>
      </c>
      <c r="P100" s="575">
        <v>0</v>
      </c>
      <c r="Q100" s="2408">
        <v>5</v>
      </c>
    </row>
    <row r="101" spans="1:17" s="576" customFormat="1" x14ac:dyDescent="0.25">
      <c r="A101" s="578" t="s">
        <v>14</v>
      </c>
      <c r="B101" s="574" t="s">
        <v>15</v>
      </c>
      <c r="C101" s="573" t="s">
        <v>267</v>
      </c>
      <c r="D101" s="575">
        <v>893</v>
      </c>
      <c r="E101" s="2386">
        <v>124</v>
      </c>
      <c r="F101" s="891">
        <v>263</v>
      </c>
      <c r="G101" s="891">
        <v>210</v>
      </c>
      <c r="H101" s="891">
        <v>295</v>
      </c>
      <c r="I101" s="2387">
        <v>1</v>
      </c>
      <c r="J101" s="2386">
        <v>445</v>
      </c>
      <c r="K101" s="891">
        <v>448</v>
      </c>
      <c r="L101" s="2387"/>
      <c r="M101" s="575">
        <v>277</v>
      </c>
      <c r="N101" s="575">
        <v>517</v>
      </c>
      <c r="O101" s="575">
        <v>99</v>
      </c>
      <c r="P101" s="575">
        <v>0</v>
      </c>
      <c r="Q101" s="2408">
        <v>57</v>
      </c>
    </row>
    <row r="102" spans="1:17" s="576" customFormat="1" x14ac:dyDescent="0.25">
      <c r="A102" s="578" t="s">
        <v>34</v>
      </c>
      <c r="B102" s="574" t="s">
        <v>35</v>
      </c>
      <c r="C102" s="573" t="s">
        <v>268</v>
      </c>
      <c r="D102" s="575">
        <v>258</v>
      </c>
      <c r="E102" s="2386">
        <v>31</v>
      </c>
      <c r="F102" s="891">
        <v>64</v>
      </c>
      <c r="G102" s="891">
        <v>59</v>
      </c>
      <c r="H102" s="891">
        <v>104</v>
      </c>
      <c r="I102" s="2387">
        <v>0</v>
      </c>
      <c r="J102" s="2386">
        <v>136</v>
      </c>
      <c r="K102" s="891">
        <v>122</v>
      </c>
      <c r="L102" s="2387"/>
      <c r="M102" s="575">
        <v>175</v>
      </c>
      <c r="N102" s="575">
        <v>81</v>
      </c>
      <c r="O102" s="575">
        <v>2</v>
      </c>
      <c r="P102" s="575">
        <v>0</v>
      </c>
      <c r="Q102" s="2408">
        <v>5</v>
      </c>
    </row>
    <row r="103" spans="1:17" s="576" customFormat="1" x14ac:dyDescent="0.25">
      <c r="A103" s="578" t="s">
        <v>52</v>
      </c>
      <c r="B103" s="574" t="s">
        <v>53</v>
      </c>
      <c r="C103" s="573" t="s">
        <v>265</v>
      </c>
      <c r="D103" s="575">
        <v>335</v>
      </c>
      <c r="E103" s="2386">
        <v>49</v>
      </c>
      <c r="F103" s="891">
        <v>86</v>
      </c>
      <c r="G103" s="891">
        <v>76</v>
      </c>
      <c r="H103" s="891">
        <v>124</v>
      </c>
      <c r="I103" s="2387">
        <v>0</v>
      </c>
      <c r="J103" s="2386">
        <v>161</v>
      </c>
      <c r="K103" s="891">
        <v>174</v>
      </c>
      <c r="L103" s="2387"/>
      <c r="M103" s="575">
        <v>45</v>
      </c>
      <c r="N103" s="575">
        <v>276</v>
      </c>
      <c r="O103" s="575">
        <v>14</v>
      </c>
      <c r="P103" s="575">
        <v>0</v>
      </c>
      <c r="Q103" s="2408">
        <v>5</v>
      </c>
    </row>
    <row r="104" spans="1:17" s="576" customFormat="1" x14ac:dyDescent="0.25">
      <c r="A104" s="578" t="s">
        <v>54</v>
      </c>
      <c r="B104" s="574" t="s">
        <v>55</v>
      </c>
      <c r="C104" s="573" t="s">
        <v>264</v>
      </c>
      <c r="D104" s="575">
        <v>1439</v>
      </c>
      <c r="E104" s="2386">
        <v>163</v>
      </c>
      <c r="F104" s="891">
        <v>335</v>
      </c>
      <c r="G104" s="891">
        <v>331</v>
      </c>
      <c r="H104" s="891">
        <v>609</v>
      </c>
      <c r="I104" s="2387">
        <v>1</v>
      </c>
      <c r="J104" s="2386">
        <v>707</v>
      </c>
      <c r="K104" s="891">
        <v>732</v>
      </c>
      <c r="L104" s="2387"/>
      <c r="M104" s="575">
        <v>211</v>
      </c>
      <c r="N104" s="575">
        <v>1198</v>
      </c>
      <c r="O104" s="575">
        <v>28</v>
      </c>
      <c r="P104" s="575">
        <v>2</v>
      </c>
      <c r="Q104" s="2408">
        <v>51</v>
      </c>
    </row>
    <row r="105" spans="1:17" s="576" customFormat="1" x14ac:dyDescent="0.25">
      <c r="A105" s="578" t="s">
        <v>66</v>
      </c>
      <c r="B105" s="574" t="s">
        <v>67</v>
      </c>
      <c r="C105" s="573" t="s">
        <v>265</v>
      </c>
      <c r="D105" s="575">
        <v>480</v>
      </c>
      <c r="E105" s="2386">
        <v>60</v>
      </c>
      <c r="F105" s="891">
        <v>120</v>
      </c>
      <c r="G105" s="891">
        <v>105</v>
      </c>
      <c r="H105" s="891">
        <v>195</v>
      </c>
      <c r="I105" s="2387">
        <v>0</v>
      </c>
      <c r="J105" s="2386">
        <v>255</v>
      </c>
      <c r="K105" s="891">
        <v>225</v>
      </c>
      <c r="L105" s="2387"/>
      <c r="M105" s="575">
        <v>68</v>
      </c>
      <c r="N105" s="575">
        <v>409</v>
      </c>
      <c r="O105" s="575">
        <v>3</v>
      </c>
      <c r="P105" s="575">
        <v>0</v>
      </c>
      <c r="Q105" s="2408">
        <v>18</v>
      </c>
    </row>
    <row r="106" spans="1:17" s="576" customFormat="1" x14ac:dyDescent="0.25">
      <c r="A106" s="578" t="s">
        <v>82</v>
      </c>
      <c r="B106" s="574" t="s">
        <v>83</v>
      </c>
      <c r="C106" s="573" t="s">
        <v>264</v>
      </c>
      <c r="D106" s="575">
        <v>94</v>
      </c>
      <c r="E106" s="2386">
        <v>6</v>
      </c>
      <c r="F106" s="891">
        <v>24</v>
      </c>
      <c r="G106" s="891">
        <v>20</v>
      </c>
      <c r="H106" s="891">
        <v>44</v>
      </c>
      <c r="I106" s="2387">
        <v>0</v>
      </c>
      <c r="J106" s="2386">
        <v>48</v>
      </c>
      <c r="K106" s="891">
        <v>46</v>
      </c>
      <c r="L106" s="2387"/>
      <c r="M106" s="575">
        <v>8</v>
      </c>
      <c r="N106" s="575">
        <v>86</v>
      </c>
      <c r="O106" s="575">
        <v>0</v>
      </c>
      <c r="P106" s="575">
        <v>0</v>
      </c>
      <c r="Q106" s="2408">
        <v>7</v>
      </c>
    </row>
    <row r="107" spans="1:17" s="576" customFormat="1" x14ac:dyDescent="0.25">
      <c r="A107" s="578" t="s">
        <v>88</v>
      </c>
      <c r="B107" s="574" t="s">
        <v>89</v>
      </c>
      <c r="C107" s="573" t="s">
        <v>267</v>
      </c>
      <c r="D107" s="575">
        <v>307</v>
      </c>
      <c r="E107" s="2386">
        <v>35</v>
      </c>
      <c r="F107" s="891">
        <v>92</v>
      </c>
      <c r="G107" s="891">
        <v>78</v>
      </c>
      <c r="H107" s="891">
        <v>102</v>
      </c>
      <c r="I107" s="2387">
        <v>0</v>
      </c>
      <c r="J107" s="2386">
        <v>148</v>
      </c>
      <c r="K107" s="891">
        <v>159</v>
      </c>
      <c r="L107" s="2387"/>
      <c r="M107" s="575">
        <v>77</v>
      </c>
      <c r="N107" s="575">
        <v>224</v>
      </c>
      <c r="O107" s="575">
        <v>6</v>
      </c>
      <c r="P107" s="575">
        <v>0</v>
      </c>
      <c r="Q107" s="2408">
        <v>13</v>
      </c>
    </row>
    <row r="108" spans="1:17" s="576" customFormat="1" x14ac:dyDescent="0.25">
      <c r="A108" s="578" t="s">
        <v>90</v>
      </c>
      <c r="B108" s="574" t="s">
        <v>91</v>
      </c>
      <c r="C108" s="573" t="s">
        <v>268</v>
      </c>
      <c r="D108" s="575">
        <v>51</v>
      </c>
      <c r="E108" s="2386">
        <v>3</v>
      </c>
      <c r="F108" s="891">
        <v>12</v>
      </c>
      <c r="G108" s="891">
        <v>8</v>
      </c>
      <c r="H108" s="891">
        <v>28</v>
      </c>
      <c r="I108" s="2387">
        <v>0</v>
      </c>
      <c r="J108" s="2386">
        <v>29</v>
      </c>
      <c r="K108" s="891">
        <v>22</v>
      </c>
      <c r="L108" s="2387"/>
      <c r="M108" s="575">
        <v>43</v>
      </c>
      <c r="N108" s="575">
        <v>8</v>
      </c>
      <c r="O108" s="575">
        <v>0</v>
      </c>
      <c r="P108" s="575">
        <v>0</v>
      </c>
      <c r="Q108" s="2408">
        <v>11</v>
      </c>
    </row>
    <row r="109" spans="1:17" s="576" customFormat="1" x14ac:dyDescent="0.25">
      <c r="A109" s="578" t="s">
        <v>106</v>
      </c>
      <c r="B109" s="574" t="s">
        <v>107</v>
      </c>
      <c r="C109" s="573" t="s">
        <v>264</v>
      </c>
      <c r="D109" s="575">
        <v>1179</v>
      </c>
      <c r="E109" s="2386">
        <v>133</v>
      </c>
      <c r="F109" s="891">
        <v>288</v>
      </c>
      <c r="G109" s="891">
        <v>252</v>
      </c>
      <c r="H109" s="891">
        <v>506</v>
      </c>
      <c r="I109" s="2387">
        <v>0</v>
      </c>
      <c r="J109" s="2386">
        <v>592</v>
      </c>
      <c r="K109" s="891">
        <v>587</v>
      </c>
      <c r="L109" s="2387"/>
      <c r="M109" s="575">
        <v>146</v>
      </c>
      <c r="N109" s="575">
        <v>1015</v>
      </c>
      <c r="O109" s="575">
        <v>16</v>
      </c>
      <c r="P109" s="575">
        <v>2</v>
      </c>
      <c r="Q109" s="2408">
        <v>47</v>
      </c>
    </row>
    <row r="110" spans="1:17" s="576" customFormat="1" x14ac:dyDescent="0.25">
      <c r="A110" s="578" t="s">
        <v>116</v>
      </c>
      <c r="B110" s="574" t="s">
        <v>117</v>
      </c>
      <c r="C110" s="573" t="s">
        <v>266</v>
      </c>
      <c r="D110" s="575">
        <v>278</v>
      </c>
      <c r="E110" s="2386">
        <v>24</v>
      </c>
      <c r="F110" s="891">
        <v>67</v>
      </c>
      <c r="G110" s="891">
        <v>57</v>
      </c>
      <c r="H110" s="891">
        <v>130</v>
      </c>
      <c r="I110" s="2387">
        <v>0</v>
      </c>
      <c r="J110" s="2386">
        <v>141</v>
      </c>
      <c r="K110" s="891">
        <v>137</v>
      </c>
      <c r="L110" s="2387"/>
      <c r="M110" s="575">
        <v>45</v>
      </c>
      <c r="N110" s="575">
        <v>225</v>
      </c>
      <c r="O110" s="575">
        <v>8</v>
      </c>
      <c r="P110" s="575">
        <v>0</v>
      </c>
      <c r="Q110" s="2408">
        <v>14</v>
      </c>
    </row>
    <row r="111" spans="1:17" s="576" customFormat="1" x14ac:dyDescent="0.25">
      <c r="A111" s="578" t="s">
        <v>138</v>
      </c>
      <c r="B111" s="574" t="s">
        <v>139</v>
      </c>
      <c r="C111" s="573" t="s">
        <v>265</v>
      </c>
      <c r="D111" s="575">
        <v>632</v>
      </c>
      <c r="E111" s="2386">
        <v>81</v>
      </c>
      <c r="F111" s="891">
        <v>172</v>
      </c>
      <c r="G111" s="891">
        <v>123</v>
      </c>
      <c r="H111" s="891">
        <v>256</v>
      </c>
      <c r="I111" s="2387">
        <v>0</v>
      </c>
      <c r="J111" s="2386">
        <v>323</v>
      </c>
      <c r="K111" s="891">
        <v>309</v>
      </c>
      <c r="L111" s="2387"/>
      <c r="M111" s="575">
        <v>135</v>
      </c>
      <c r="N111" s="575">
        <v>494</v>
      </c>
      <c r="O111" s="575">
        <v>3</v>
      </c>
      <c r="P111" s="575">
        <v>0</v>
      </c>
      <c r="Q111" s="2408">
        <v>17</v>
      </c>
    </row>
    <row r="112" spans="1:17" s="576" customFormat="1" x14ac:dyDescent="0.25">
      <c r="A112" s="578" t="s">
        <v>142</v>
      </c>
      <c r="B112" s="574" t="s">
        <v>143</v>
      </c>
      <c r="C112" s="573" t="s">
        <v>267</v>
      </c>
      <c r="D112" s="575">
        <v>287</v>
      </c>
      <c r="E112" s="2386">
        <v>37</v>
      </c>
      <c r="F112" s="891">
        <v>60</v>
      </c>
      <c r="G112" s="891">
        <v>70</v>
      </c>
      <c r="H112" s="891">
        <v>119</v>
      </c>
      <c r="I112" s="2387">
        <v>1</v>
      </c>
      <c r="J112" s="2386">
        <v>141</v>
      </c>
      <c r="K112" s="891">
        <v>146</v>
      </c>
      <c r="L112" s="2387"/>
      <c r="M112" s="575">
        <v>144</v>
      </c>
      <c r="N112" s="575">
        <v>134</v>
      </c>
      <c r="O112" s="575">
        <v>9</v>
      </c>
      <c r="P112" s="575">
        <v>0</v>
      </c>
      <c r="Q112" s="2408">
        <v>39</v>
      </c>
    </row>
    <row r="113" spans="1:17" s="576" customFormat="1" x14ac:dyDescent="0.25">
      <c r="A113" s="578" t="s">
        <v>144</v>
      </c>
      <c r="B113" s="574" t="s">
        <v>145</v>
      </c>
      <c r="C113" s="573" t="s">
        <v>267</v>
      </c>
      <c r="D113" s="575">
        <v>61</v>
      </c>
      <c r="E113" s="2386">
        <v>4</v>
      </c>
      <c r="F113" s="891">
        <v>19</v>
      </c>
      <c r="G113" s="891">
        <v>12</v>
      </c>
      <c r="H113" s="891">
        <v>26</v>
      </c>
      <c r="I113" s="2387">
        <v>0</v>
      </c>
      <c r="J113" s="2386">
        <v>31</v>
      </c>
      <c r="K113" s="891">
        <v>30</v>
      </c>
      <c r="L113" s="2387"/>
      <c r="M113" s="575">
        <v>31</v>
      </c>
      <c r="N113" s="575">
        <v>28</v>
      </c>
      <c r="O113" s="575">
        <v>2</v>
      </c>
      <c r="P113" s="575">
        <v>0</v>
      </c>
      <c r="Q113" s="2408">
        <v>13</v>
      </c>
    </row>
    <row r="114" spans="1:17" s="576" customFormat="1" x14ac:dyDescent="0.25">
      <c r="A114" s="578" t="s">
        <v>158</v>
      </c>
      <c r="B114" s="574" t="s">
        <v>159</v>
      </c>
      <c r="C114" s="573" t="s">
        <v>264</v>
      </c>
      <c r="D114" s="575">
        <v>2357</v>
      </c>
      <c r="E114" s="2386">
        <v>276</v>
      </c>
      <c r="F114" s="891">
        <v>607</v>
      </c>
      <c r="G114" s="891">
        <v>548</v>
      </c>
      <c r="H114" s="891">
        <v>925</v>
      </c>
      <c r="I114" s="2387">
        <v>1</v>
      </c>
      <c r="J114" s="2386">
        <v>1153</v>
      </c>
      <c r="K114" s="891">
        <v>1204</v>
      </c>
      <c r="L114" s="2387"/>
      <c r="M114" s="575">
        <v>223</v>
      </c>
      <c r="N114" s="575">
        <v>2089</v>
      </c>
      <c r="O114" s="575">
        <v>45</v>
      </c>
      <c r="P114" s="575">
        <v>0</v>
      </c>
      <c r="Q114" s="2408">
        <v>115</v>
      </c>
    </row>
    <row r="115" spans="1:17" s="576" customFormat="1" x14ac:dyDescent="0.25">
      <c r="A115" s="578" t="s">
        <v>160</v>
      </c>
      <c r="B115" s="574" t="s">
        <v>161</v>
      </c>
      <c r="C115" s="573" t="s">
        <v>264</v>
      </c>
      <c r="D115" s="575">
        <v>2378</v>
      </c>
      <c r="E115" s="2386">
        <v>264</v>
      </c>
      <c r="F115" s="891">
        <v>556</v>
      </c>
      <c r="G115" s="891">
        <v>532</v>
      </c>
      <c r="H115" s="891">
        <v>1024</v>
      </c>
      <c r="I115" s="2387">
        <v>2</v>
      </c>
      <c r="J115" s="2386">
        <v>1162</v>
      </c>
      <c r="K115" s="891">
        <v>1216</v>
      </c>
      <c r="L115" s="2387"/>
      <c r="M115" s="575">
        <v>163</v>
      </c>
      <c r="N115" s="575">
        <v>2176</v>
      </c>
      <c r="O115" s="575">
        <v>37</v>
      </c>
      <c r="P115" s="575">
        <v>2</v>
      </c>
      <c r="Q115" s="2408">
        <v>83</v>
      </c>
    </row>
    <row r="116" spans="1:17" s="576" customFormat="1" x14ac:dyDescent="0.25">
      <c r="A116" s="578" t="s">
        <v>166</v>
      </c>
      <c r="B116" s="574" t="s">
        <v>167</v>
      </c>
      <c r="C116" s="573" t="s">
        <v>268</v>
      </c>
      <c r="D116" s="575">
        <v>11</v>
      </c>
      <c r="E116" s="2386">
        <v>2</v>
      </c>
      <c r="F116" s="891">
        <v>2</v>
      </c>
      <c r="G116" s="891">
        <v>3</v>
      </c>
      <c r="H116" s="891">
        <v>4</v>
      </c>
      <c r="I116" s="2387">
        <v>0</v>
      </c>
      <c r="J116" s="2386">
        <v>4</v>
      </c>
      <c r="K116" s="891">
        <v>7</v>
      </c>
      <c r="L116" s="2387"/>
      <c r="M116" s="575">
        <v>11</v>
      </c>
      <c r="N116" s="575">
        <v>0</v>
      </c>
      <c r="O116" s="575">
        <v>0</v>
      </c>
      <c r="P116" s="575">
        <v>0</v>
      </c>
      <c r="Q116" s="2408">
        <v>0</v>
      </c>
    </row>
    <row r="117" spans="1:17" s="576" customFormat="1" x14ac:dyDescent="0.25">
      <c r="A117" s="578" t="s">
        <v>176</v>
      </c>
      <c r="B117" s="574" t="s">
        <v>177</v>
      </c>
      <c r="C117" s="573" t="s">
        <v>266</v>
      </c>
      <c r="D117" s="575">
        <v>404</v>
      </c>
      <c r="E117" s="2386">
        <v>43</v>
      </c>
      <c r="F117" s="891">
        <v>99</v>
      </c>
      <c r="G117" s="891">
        <v>95</v>
      </c>
      <c r="H117" s="891">
        <v>166</v>
      </c>
      <c r="I117" s="2387">
        <v>1</v>
      </c>
      <c r="J117" s="2386">
        <v>201</v>
      </c>
      <c r="K117" s="891">
        <v>203</v>
      </c>
      <c r="L117" s="2387"/>
      <c r="M117" s="575">
        <v>15</v>
      </c>
      <c r="N117" s="575">
        <v>383</v>
      </c>
      <c r="O117" s="575">
        <v>4</v>
      </c>
      <c r="P117" s="575">
        <v>2</v>
      </c>
      <c r="Q117" s="2408">
        <v>10</v>
      </c>
    </row>
    <row r="118" spans="1:17" s="576" customFormat="1" x14ac:dyDescent="0.25">
      <c r="A118" s="578" t="s">
        <v>180</v>
      </c>
      <c r="B118" s="574" t="s">
        <v>181</v>
      </c>
      <c r="C118" s="573" t="s">
        <v>264</v>
      </c>
      <c r="D118" s="575">
        <v>1010</v>
      </c>
      <c r="E118" s="2386">
        <v>117</v>
      </c>
      <c r="F118" s="891">
        <v>266</v>
      </c>
      <c r="G118" s="891">
        <v>238</v>
      </c>
      <c r="H118" s="891">
        <v>389</v>
      </c>
      <c r="I118" s="2387">
        <v>0</v>
      </c>
      <c r="J118" s="2386">
        <v>505</v>
      </c>
      <c r="K118" s="891">
        <v>504</v>
      </c>
      <c r="L118" s="2387">
        <v>1</v>
      </c>
      <c r="M118" s="575">
        <v>70</v>
      </c>
      <c r="N118" s="575">
        <v>924</v>
      </c>
      <c r="O118" s="575">
        <v>15</v>
      </c>
      <c r="P118" s="575">
        <v>1</v>
      </c>
      <c r="Q118" s="2408">
        <v>14</v>
      </c>
    </row>
    <row r="119" spans="1:17" s="576" customFormat="1" x14ac:dyDescent="0.25">
      <c r="A119" s="578" t="s">
        <v>192</v>
      </c>
      <c r="B119" s="574" t="s">
        <v>193</v>
      </c>
      <c r="C119" s="573" t="s">
        <v>268</v>
      </c>
      <c r="D119" s="575">
        <v>63</v>
      </c>
      <c r="E119" s="2386">
        <v>9</v>
      </c>
      <c r="F119" s="891">
        <v>10</v>
      </c>
      <c r="G119" s="891">
        <v>19</v>
      </c>
      <c r="H119" s="891">
        <v>24</v>
      </c>
      <c r="I119" s="2387">
        <v>1</v>
      </c>
      <c r="J119" s="2386">
        <v>35</v>
      </c>
      <c r="K119" s="891">
        <v>28</v>
      </c>
      <c r="L119" s="2387"/>
      <c r="M119" s="575">
        <v>39</v>
      </c>
      <c r="N119" s="575">
        <v>24</v>
      </c>
      <c r="O119" s="575">
        <v>0</v>
      </c>
      <c r="P119" s="575">
        <v>0</v>
      </c>
      <c r="Q119" s="2408">
        <v>1</v>
      </c>
    </row>
    <row r="120" spans="1:17" s="576" customFormat="1" x14ac:dyDescent="0.25">
      <c r="A120" s="578" t="s">
        <v>196</v>
      </c>
      <c r="B120" s="574" t="s">
        <v>197</v>
      </c>
      <c r="C120" s="573" t="s">
        <v>266</v>
      </c>
      <c r="D120" s="575">
        <v>1951</v>
      </c>
      <c r="E120" s="2386">
        <v>196</v>
      </c>
      <c r="F120" s="891">
        <v>480</v>
      </c>
      <c r="G120" s="891">
        <v>470</v>
      </c>
      <c r="H120" s="891">
        <v>802</v>
      </c>
      <c r="I120" s="2387">
        <v>3</v>
      </c>
      <c r="J120" s="2386">
        <v>959</v>
      </c>
      <c r="K120" s="891">
        <v>992</v>
      </c>
      <c r="L120" s="2387"/>
      <c r="M120" s="575">
        <v>43</v>
      </c>
      <c r="N120" s="575">
        <v>1900</v>
      </c>
      <c r="O120" s="575">
        <v>7</v>
      </c>
      <c r="P120" s="575">
        <v>1</v>
      </c>
      <c r="Q120" s="2408">
        <v>55</v>
      </c>
    </row>
    <row r="121" spans="1:17" s="576" customFormat="1" x14ac:dyDescent="0.25">
      <c r="A121" s="578" t="s">
        <v>200</v>
      </c>
      <c r="B121" s="574" t="s">
        <v>201</v>
      </c>
      <c r="C121" s="573" t="s">
        <v>265</v>
      </c>
      <c r="D121" s="575">
        <v>1417</v>
      </c>
      <c r="E121" s="2386">
        <v>147</v>
      </c>
      <c r="F121" s="891">
        <v>343</v>
      </c>
      <c r="G121" s="891">
        <v>316</v>
      </c>
      <c r="H121" s="891">
        <v>611</v>
      </c>
      <c r="I121" s="2387">
        <v>0</v>
      </c>
      <c r="J121" s="2386">
        <v>712</v>
      </c>
      <c r="K121" s="891">
        <v>705</v>
      </c>
      <c r="L121" s="2387"/>
      <c r="M121" s="575">
        <v>404</v>
      </c>
      <c r="N121" s="575">
        <v>969</v>
      </c>
      <c r="O121" s="575">
        <v>43</v>
      </c>
      <c r="P121" s="575">
        <v>1</v>
      </c>
      <c r="Q121" s="2408">
        <v>42</v>
      </c>
    </row>
    <row r="122" spans="1:17" s="576" customFormat="1" x14ac:dyDescent="0.25">
      <c r="A122" s="578" t="s">
        <v>222</v>
      </c>
      <c r="B122" s="574" t="s">
        <v>223</v>
      </c>
      <c r="C122" s="573" t="s">
        <v>264</v>
      </c>
      <c r="D122" s="575">
        <v>363</v>
      </c>
      <c r="E122" s="2386">
        <v>48</v>
      </c>
      <c r="F122" s="891">
        <v>109</v>
      </c>
      <c r="G122" s="891">
        <v>77</v>
      </c>
      <c r="H122" s="891">
        <v>129</v>
      </c>
      <c r="I122" s="2387">
        <v>0</v>
      </c>
      <c r="J122" s="2386">
        <v>190</v>
      </c>
      <c r="K122" s="891">
        <v>173</v>
      </c>
      <c r="L122" s="2387"/>
      <c r="M122" s="575">
        <v>52</v>
      </c>
      <c r="N122" s="575">
        <v>307</v>
      </c>
      <c r="O122" s="575">
        <v>4</v>
      </c>
      <c r="P122" s="575">
        <v>0</v>
      </c>
      <c r="Q122" s="2408">
        <v>11</v>
      </c>
    </row>
    <row r="123" spans="1:17" s="576" customFormat="1" x14ac:dyDescent="0.25">
      <c r="A123" s="578" t="s">
        <v>230</v>
      </c>
      <c r="B123" s="574" t="s">
        <v>231</v>
      </c>
      <c r="C123" s="573" t="s">
        <v>264</v>
      </c>
      <c r="D123" s="575">
        <v>2089</v>
      </c>
      <c r="E123" s="2386">
        <v>252</v>
      </c>
      <c r="F123" s="891">
        <v>488</v>
      </c>
      <c r="G123" s="891">
        <v>491</v>
      </c>
      <c r="H123" s="891">
        <v>857</v>
      </c>
      <c r="I123" s="2387">
        <v>1</v>
      </c>
      <c r="J123" s="2386">
        <v>1005</v>
      </c>
      <c r="K123" s="891">
        <v>1084</v>
      </c>
      <c r="L123" s="2387"/>
      <c r="M123" s="575">
        <v>522</v>
      </c>
      <c r="N123" s="575">
        <v>1494</v>
      </c>
      <c r="O123" s="575">
        <v>72</v>
      </c>
      <c r="P123" s="575">
        <v>1</v>
      </c>
      <c r="Q123" s="2408">
        <v>134</v>
      </c>
    </row>
    <row r="124" spans="1:17" s="576" customFormat="1" x14ac:dyDescent="0.25">
      <c r="A124" s="578" t="s">
        <v>238</v>
      </c>
      <c r="B124" s="574" t="s">
        <v>239</v>
      </c>
      <c r="C124" s="573" t="s">
        <v>264</v>
      </c>
      <c r="D124" s="575">
        <v>84</v>
      </c>
      <c r="E124" s="2386">
        <v>13</v>
      </c>
      <c r="F124" s="891">
        <v>19</v>
      </c>
      <c r="G124" s="891">
        <v>19</v>
      </c>
      <c r="H124" s="891">
        <v>33</v>
      </c>
      <c r="I124" s="2387">
        <v>0</v>
      </c>
      <c r="J124" s="2386">
        <v>37</v>
      </c>
      <c r="K124" s="891">
        <v>47</v>
      </c>
      <c r="L124" s="2387"/>
      <c r="M124" s="575">
        <v>26</v>
      </c>
      <c r="N124" s="575">
        <v>58</v>
      </c>
      <c r="O124" s="575">
        <v>0</v>
      </c>
      <c r="P124" s="575">
        <v>0</v>
      </c>
      <c r="Q124" s="2408">
        <v>7</v>
      </c>
    </row>
    <row r="125" spans="1:17" s="576" customFormat="1" x14ac:dyDescent="0.25">
      <c r="A125" s="578" t="s">
        <v>240</v>
      </c>
      <c r="B125" s="574" t="s">
        <v>241</v>
      </c>
      <c r="C125" s="573" t="s">
        <v>267</v>
      </c>
      <c r="D125" s="575">
        <v>147</v>
      </c>
      <c r="E125" s="2386">
        <v>25</v>
      </c>
      <c r="F125" s="891">
        <v>36</v>
      </c>
      <c r="G125" s="891">
        <v>41</v>
      </c>
      <c r="H125" s="891">
        <v>45</v>
      </c>
      <c r="I125" s="2387">
        <v>0</v>
      </c>
      <c r="J125" s="2386">
        <v>69</v>
      </c>
      <c r="K125" s="891">
        <v>78</v>
      </c>
      <c r="L125" s="2387"/>
      <c r="M125" s="575">
        <v>77</v>
      </c>
      <c r="N125" s="575">
        <v>64</v>
      </c>
      <c r="O125" s="575">
        <v>6</v>
      </c>
      <c r="P125" s="575">
        <v>0</v>
      </c>
      <c r="Q125" s="2408">
        <v>16</v>
      </c>
    </row>
    <row r="126" spans="1:17" x14ac:dyDescent="0.25">
      <c r="B126" s="481"/>
      <c r="C126" s="481"/>
      <c r="E126" s="481"/>
      <c r="F126" s="481"/>
      <c r="G126" s="481"/>
      <c r="H126" s="481"/>
      <c r="I126" s="481"/>
      <c r="J126" s="481"/>
      <c r="K126" s="481"/>
      <c r="L126" s="481"/>
    </row>
    <row r="128" spans="1:17" ht="49.5" customHeight="1" x14ac:dyDescent="0.25">
      <c r="A128" s="2746" t="s">
        <v>1404</v>
      </c>
      <c r="B128" s="2746"/>
      <c r="C128" s="2746"/>
      <c r="D128" s="2746"/>
      <c r="E128" s="2746"/>
      <c r="F128" s="2746"/>
      <c r="G128" s="2746"/>
      <c r="H128" s="2746"/>
      <c r="I128" s="2388"/>
      <c r="J128" s="2360"/>
      <c r="K128" s="2360"/>
      <c r="L128" s="2360"/>
    </row>
    <row r="130" spans="1:12" s="389" customFormat="1" x14ac:dyDescent="0.25">
      <c r="A130" s="389" t="s">
        <v>248</v>
      </c>
    </row>
    <row r="131" spans="1:12" s="389" customFormat="1" x14ac:dyDescent="0.25">
      <c r="A131" s="390" t="s">
        <v>249</v>
      </c>
      <c r="B131" s="391" t="s">
        <v>250</v>
      </c>
      <c r="C131" s="391"/>
      <c r="E131" s="391"/>
      <c r="F131" s="391"/>
      <c r="G131" s="391"/>
      <c r="H131" s="391"/>
      <c r="I131" s="391"/>
      <c r="J131" s="391"/>
      <c r="K131" s="391"/>
      <c r="L131" s="391"/>
    </row>
  </sheetData>
  <sortState ref="A6:Q125">
    <sortCondition ref="A6:A125"/>
  </sortState>
  <mergeCells count="5">
    <mergeCell ref="J3:L3"/>
    <mergeCell ref="M3:P3"/>
    <mergeCell ref="Q3:Q4"/>
    <mergeCell ref="A128:H128"/>
    <mergeCell ref="E3:I3"/>
  </mergeCells>
  <hyperlinks>
    <hyperlink ref="B131" r:id="rId1"/>
  </hyperlinks>
  <pageMargins left="0.7" right="0.7" top="0.75" bottom="0.75" header="0.3" footer="0.3"/>
  <pageSetup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B112" sqref="B112"/>
    </sheetView>
  </sheetViews>
  <sheetFormatPr defaultColWidth="14.375" defaultRowHeight="15.75" x14ac:dyDescent="0.25"/>
  <cols>
    <col min="1" max="1" width="14.375" style="476"/>
    <col min="2" max="2" width="32.25" style="476" customWidth="1"/>
    <col min="3" max="4" width="14.5" style="476" customWidth="1"/>
    <col min="5" max="6" width="11.875" style="476" customWidth="1"/>
    <col min="7" max="7" width="11.125" style="476" customWidth="1"/>
    <col min="8" max="9" width="14.5" style="476" customWidth="1"/>
    <col min="10" max="12" width="9.75" style="476" customWidth="1"/>
    <col min="13" max="16" width="11.125" style="476" customWidth="1"/>
    <col min="17" max="16384" width="14.375" style="476"/>
  </cols>
  <sheetData>
    <row r="1" spans="1:17" x14ac:dyDescent="0.25">
      <c r="A1" s="254" t="s">
        <v>1406</v>
      </c>
    </row>
    <row r="2" spans="1:17" x14ac:dyDescent="0.25">
      <c r="B2" s="477"/>
      <c r="C2" s="477"/>
      <c r="D2" s="477"/>
      <c r="E2" s="477"/>
      <c r="F2" s="477"/>
      <c r="G2" s="477"/>
      <c r="H2" s="477"/>
      <c r="I2" s="477"/>
      <c r="J2" s="477"/>
      <c r="K2" s="477"/>
      <c r="L2" s="477"/>
    </row>
    <row r="3" spans="1:17" x14ac:dyDescent="0.25">
      <c r="A3" s="478"/>
      <c r="B3" s="479"/>
      <c r="C3" s="577"/>
      <c r="D3" s="577"/>
      <c r="E3" s="2747" t="s">
        <v>865</v>
      </c>
      <c r="F3" s="2748"/>
      <c r="G3" s="2748"/>
      <c r="H3" s="2748"/>
      <c r="I3" s="2749"/>
      <c r="J3" s="2747" t="s">
        <v>860</v>
      </c>
      <c r="K3" s="2748"/>
      <c r="L3" s="2749"/>
      <c r="M3" s="2747" t="s">
        <v>767</v>
      </c>
      <c r="N3" s="2748"/>
      <c r="O3" s="2748"/>
      <c r="P3" s="2749"/>
    </row>
    <row r="4" spans="1:17" ht="47.25" x14ac:dyDescent="0.25">
      <c r="A4" s="480" t="s">
        <v>4</v>
      </c>
      <c r="B4" s="479" t="s">
        <v>5</v>
      </c>
      <c r="C4" s="577" t="s">
        <v>251</v>
      </c>
      <c r="D4" s="577" t="s">
        <v>281</v>
      </c>
      <c r="E4" s="2420" t="s">
        <v>618</v>
      </c>
      <c r="F4" s="2421" t="s">
        <v>1393</v>
      </c>
      <c r="G4" s="2421" t="s">
        <v>1394</v>
      </c>
      <c r="H4" s="2421" t="s">
        <v>778</v>
      </c>
      <c r="I4" s="2422" t="s">
        <v>1381</v>
      </c>
      <c r="J4" s="2420" t="s">
        <v>549</v>
      </c>
      <c r="K4" s="2421" t="s">
        <v>548</v>
      </c>
      <c r="L4" s="2422" t="s">
        <v>1381</v>
      </c>
      <c r="M4" s="2424" t="s">
        <v>2</v>
      </c>
      <c r="N4" s="577" t="s">
        <v>445</v>
      </c>
      <c r="O4" s="577" t="s">
        <v>827</v>
      </c>
      <c r="P4" s="2422" t="s">
        <v>1381</v>
      </c>
      <c r="Q4" s="2425" t="s">
        <v>1383</v>
      </c>
    </row>
    <row r="5" spans="1:17" x14ac:dyDescent="0.25">
      <c r="A5" s="1046" t="s">
        <v>8</v>
      </c>
      <c r="B5" s="1047" t="s">
        <v>281</v>
      </c>
      <c r="C5" s="1048"/>
      <c r="D5" s="2411">
        <f>SUM(D6:D125)</f>
        <v>1746335</v>
      </c>
      <c r="E5" s="2385">
        <f>SUM(E6:E125)</f>
        <v>813967</v>
      </c>
      <c r="F5" s="2377">
        <f t="shared" ref="F5:Q5" si="0">SUM(F6:F125)</f>
        <v>379599</v>
      </c>
      <c r="G5" s="2377">
        <f t="shared" si="0"/>
        <v>408945</v>
      </c>
      <c r="H5" s="2377">
        <f t="shared" si="0"/>
        <v>143801</v>
      </c>
      <c r="I5" s="2392">
        <f t="shared" si="0"/>
        <v>23</v>
      </c>
      <c r="J5" s="2385">
        <f t="shared" si="0"/>
        <v>995117</v>
      </c>
      <c r="K5" s="2377">
        <f t="shared" si="0"/>
        <v>751213</v>
      </c>
      <c r="L5" s="2392">
        <f t="shared" si="0"/>
        <v>5</v>
      </c>
      <c r="M5" s="2380">
        <f t="shared" si="0"/>
        <v>968123</v>
      </c>
      <c r="N5" s="2381">
        <f t="shared" si="0"/>
        <v>683003</v>
      </c>
      <c r="O5" s="2381">
        <f t="shared" si="0"/>
        <v>86928</v>
      </c>
      <c r="P5" s="2382">
        <f t="shared" si="0"/>
        <v>8281</v>
      </c>
      <c r="Q5" s="2382">
        <f t="shared" si="0"/>
        <v>84659</v>
      </c>
    </row>
    <row r="6" spans="1:17" s="576" customFormat="1" x14ac:dyDescent="0.25">
      <c r="A6" s="578" t="s">
        <v>10</v>
      </c>
      <c r="B6" s="574" t="s">
        <v>11</v>
      </c>
      <c r="C6" s="573" t="s">
        <v>264</v>
      </c>
      <c r="D6" s="2410">
        <v>11181</v>
      </c>
      <c r="E6" s="2386">
        <v>5236</v>
      </c>
      <c r="F6" s="891">
        <v>2199</v>
      </c>
      <c r="G6" s="891">
        <v>2623</v>
      </c>
      <c r="H6" s="891">
        <v>1123</v>
      </c>
      <c r="I6" s="2387">
        <v>0</v>
      </c>
      <c r="J6" s="2386">
        <v>6304</v>
      </c>
      <c r="K6" s="891">
        <v>4877</v>
      </c>
      <c r="L6" s="2387"/>
      <c r="M6" s="2383">
        <v>5773</v>
      </c>
      <c r="N6" s="575">
        <v>5240</v>
      </c>
      <c r="O6" s="575">
        <v>118</v>
      </c>
      <c r="P6" s="2384">
        <v>50</v>
      </c>
      <c r="Q6" s="576">
        <v>624</v>
      </c>
    </row>
    <row r="7" spans="1:17" s="576" customFormat="1" x14ac:dyDescent="0.25">
      <c r="A7" s="578" t="s">
        <v>12</v>
      </c>
      <c r="B7" s="574" t="s">
        <v>13</v>
      </c>
      <c r="C7" s="573" t="s">
        <v>265</v>
      </c>
      <c r="D7" s="2410">
        <v>13168</v>
      </c>
      <c r="E7" s="2386">
        <v>6539</v>
      </c>
      <c r="F7" s="891">
        <v>2744</v>
      </c>
      <c r="G7" s="891">
        <v>2826</v>
      </c>
      <c r="H7" s="891">
        <v>1059</v>
      </c>
      <c r="I7" s="2387">
        <v>0</v>
      </c>
      <c r="J7" s="2386">
        <v>7439</v>
      </c>
      <c r="K7" s="891">
        <v>5729</v>
      </c>
      <c r="L7" s="2387"/>
      <c r="M7" s="2383">
        <v>8809</v>
      </c>
      <c r="N7" s="575">
        <v>3567</v>
      </c>
      <c r="O7" s="575">
        <v>734</v>
      </c>
      <c r="P7" s="2384">
        <v>58</v>
      </c>
      <c r="Q7" s="576">
        <v>641</v>
      </c>
    </row>
    <row r="8" spans="1:17" s="576" customFormat="1" x14ac:dyDescent="0.25">
      <c r="A8" s="578" t="s">
        <v>16</v>
      </c>
      <c r="B8" s="574" t="s">
        <v>297</v>
      </c>
      <c r="C8" s="573" t="s">
        <v>265</v>
      </c>
      <c r="D8" s="2410">
        <v>7138</v>
      </c>
      <c r="E8" s="2386">
        <v>2828</v>
      </c>
      <c r="F8" s="891">
        <v>1613</v>
      </c>
      <c r="G8" s="891">
        <v>1940</v>
      </c>
      <c r="H8" s="891">
        <v>757</v>
      </c>
      <c r="I8" s="2387">
        <v>0</v>
      </c>
      <c r="J8" s="2386">
        <v>4048</v>
      </c>
      <c r="K8" s="891">
        <v>3090</v>
      </c>
      <c r="L8" s="2387"/>
      <c r="M8" s="2383">
        <v>6257</v>
      </c>
      <c r="N8" s="575">
        <v>798</v>
      </c>
      <c r="O8" s="575">
        <v>69</v>
      </c>
      <c r="P8" s="2384">
        <v>14</v>
      </c>
      <c r="Q8" s="576">
        <v>71</v>
      </c>
    </row>
    <row r="9" spans="1:17" s="576" customFormat="1" x14ac:dyDescent="0.25">
      <c r="A9" s="578" t="s">
        <v>18</v>
      </c>
      <c r="B9" s="574" t="s">
        <v>19</v>
      </c>
      <c r="C9" s="573" t="s">
        <v>266</v>
      </c>
      <c r="D9" s="2410">
        <v>3309</v>
      </c>
      <c r="E9" s="2386">
        <v>1369</v>
      </c>
      <c r="F9" s="891">
        <v>716</v>
      </c>
      <c r="G9" s="891">
        <v>869</v>
      </c>
      <c r="H9" s="891">
        <v>355</v>
      </c>
      <c r="I9" s="2387">
        <v>0</v>
      </c>
      <c r="J9" s="2386">
        <v>1860</v>
      </c>
      <c r="K9" s="891">
        <v>1449</v>
      </c>
      <c r="L9" s="2387"/>
      <c r="M9" s="2383">
        <v>2133</v>
      </c>
      <c r="N9" s="575">
        <v>1110</v>
      </c>
      <c r="O9" s="575">
        <v>62</v>
      </c>
      <c r="P9" s="2384">
        <v>4</v>
      </c>
      <c r="Q9" s="576">
        <v>82</v>
      </c>
    </row>
    <row r="10" spans="1:17" s="576" customFormat="1" x14ac:dyDescent="0.25">
      <c r="A10" s="578" t="s">
        <v>20</v>
      </c>
      <c r="B10" s="574" t="s">
        <v>21</v>
      </c>
      <c r="C10" s="573" t="s">
        <v>265</v>
      </c>
      <c r="D10" s="2410">
        <v>8070</v>
      </c>
      <c r="E10" s="2386">
        <v>3409</v>
      </c>
      <c r="F10" s="891">
        <v>1739</v>
      </c>
      <c r="G10" s="891">
        <v>2098</v>
      </c>
      <c r="H10" s="891">
        <v>824</v>
      </c>
      <c r="I10" s="2387">
        <v>0</v>
      </c>
      <c r="J10" s="2386">
        <v>4515</v>
      </c>
      <c r="K10" s="891">
        <v>3555</v>
      </c>
      <c r="L10" s="2387"/>
      <c r="M10" s="2383">
        <v>5718</v>
      </c>
      <c r="N10" s="575">
        <v>2189</v>
      </c>
      <c r="O10" s="575">
        <v>151</v>
      </c>
      <c r="P10" s="2384">
        <v>12</v>
      </c>
      <c r="Q10" s="576">
        <v>129</v>
      </c>
    </row>
    <row r="11" spans="1:17" s="576" customFormat="1" x14ac:dyDescent="0.25">
      <c r="A11" s="578" t="s">
        <v>22</v>
      </c>
      <c r="B11" s="574" t="s">
        <v>23</v>
      </c>
      <c r="C11" s="573" t="s">
        <v>265</v>
      </c>
      <c r="D11" s="2410">
        <v>4608</v>
      </c>
      <c r="E11" s="2386">
        <v>1871</v>
      </c>
      <c r="F11" s="891">
        <v>1066</v>
      </c>
      <c r="G11" s="891">
        <v>1210</v>
      </c>
      <c r="H11" s="891">
        <v>461</v>
      </c>
      <c r="I11" s="2387">
        <v>0</v>
      </c>
      <c r="J11" s="2386">
        <v>2625</v>
      </c>
      <c r="K11" s="891">
        <v>1983</v>
      </c>
      <c r="L11" s="2387"/>
      <c r="M11" s="2383">
        <v>2941</v>
      </c>
      <c r="N11" s="575">
        <v>1619</v>
      </c>
      <c r="O11" s="575">
        <v>41</v>
      </c>
      <c r="P11" s="2384">
        <v>7</v>
      </c>
      <c r="Q11" s="576">
        <v>33</v>
      </c>
    </row>
    <row r="12" spans="1:17" s="576" customFormat="1" x14ac:dyDescent="0.25">
      <c r="A12" s="578" t="s">
        <v>24</v>
      </c>
      <c r="B12" s="574" t="s">
        <v>25</v>
      </c>
      <c r="C12" s="573" t="s">
        <v>267</v>
      </c>
      <c r="D12" s="2410">
        <v>19596</v>
      </c>
      <c r="E12" s="2386">
        <v>10538</v>
      </c>
      <c r="F12" s="891">
        <v>2832</v>
      </c>
      <c r="G12" s="891">
        <v>3643</v>
      </c>
      <c r="H12" s="891">
        <v>2583</v>
      </c>
      <c r="I12" s="2387">
        <v>0</v>
      </c>
      <c r="J12" s="2386">
        <v>10817</v>
      </c>
      <c r="K12" s="891">
        <v>8779</v>
      </c>
      <c r="L12" s="2387"/>
      <c r="M12" s="2383">
        <v>11735</v>
      </c>
      <c r="N12" s="575">
        <v>5402</v>
      </c>
      <c r="O12" s="575">
        <v>2388</v>
      </c>
      <c r="P12" s="2384">
        <v>71</v>
      </c>
      <c r="Q12" s="576">
        <v>2176</v>
      </c>
    </row>
    <row r="13" spans="1:17" s="576" customFormat="1" x14ac:dyDescent="0.25">
      <c r="A13" s="578" t="s">
        <v>26</v>
      </c>
      <c r="B13" s="574" t="s">
        <v>685</v>
      </c>
      <c r="C13" s="573" t="s">
        <v>265</v>
      </c>
      <c r="D13" s="2410">
        <v>31054</v>
      </c>
      <c r="E13" s="2386">
        <v>13742</v>
      </c>
      <c r="F13" s="891">
        <v>6954</v>
      </c>
      <c r="G13" s="891">
        <v>7841</v>
      </c>
      <c r="H13" s="891">
        <v>2517</v>
      </c>
      <c r="I13" s="2387">
        <v>0</v>
      </c>
      <c r="J13" s="2386">
        <v>17843</v>
      </c>
      <c r="K13" s="891">
        <v>13211</v>
      </c>
      <c r="L13" s="2387"/>
      <c r="M13" s="2383">
        <v>26339</v>
      </c>
      <c r="N13" s="575">
        <v>4199</v>
      </c>
      <c r="O13" s="575">
        <v>456</v>
      </c>
      <c r="P13" s="2384">
        <v>60</v>
      </c>
      <c r="Q13" s="576">
        <v>657</v>
      </c>
    </row>
    <row r="14" spans="1:17" s="576" customFormat="1" x14ac:dyDescent="0.25">
      <c r="A14" s="578" t="s">
        <v>27</v>
      </c>
      <c r="B14" s="574" t="s">
        <v>28</v>
      </c>
      <c r="C14" s="573" t="s">
        <v>265</v>
      </c>
      <c r="D14" s="2410">
        <v>909</v>
      </c>
      <c r="E14" s="2386">
        <v>388</v>
      </c>
      <c r="F14" s="891">
        <v>187</v>
      </c>
      <c r="G14" s="891">
        <v>225</v>
      </c>
      <c r="H14" s="891">
        <v>109</v>
      </c>
      <c r="I14" s="2387">
        <v>0</v>
      </c>
      <c r="J14" s="2386">
        <v>523</v>
      </c>
      <c r="K14" s="891">
        <v>386</v>
      </c>
      <c r="L14" s="2387"/>
      <c r="M14" s="2383">
        <v>849</v>
      </c>
      <c r="N14" s="575">
        <v>53</v>
      </c>
      <c r="O14" s="575">
        <v>7</v>
      </c>
      <c r="P14" s="2384">
        <v>0</v>
      </c>
      <c r="Q14" s="576">
        <v>13</v>
      </c>
    </row>
    <row r="15" spans="1:17" s="576" customFormat="1" x14ac:dyDescent="0.25">
      <c r="A15" s="578" t="s">
        <v>29</v>
      </c>
      <c r="B15" s="574" t="s">
        <v>901</v>
      </c>
      <c r="C15" s="573" t="s">
        <v>265</v>
      </c>
      <c r="D15" s="2410">
        <v>13497</v>
      </c>
      <c r="E15" s="2386">
        <v>5998</v>
      </c>
      <c r="F15" s="891">
        <v>2956</v>
      </c>
      <c r="G15" s="891">
        <v>3434</v>
      </c>
      <c r="H15" s="891">
        <v>1109</v>
      </c>
      <c r="I15" s="2387">
        <v>0</v>
      </c>
      <c r="J15" s="2386">
        <v>7537</v>
      </c>
      <c r="K15" s="891">
        <v>5960</v>
      </c>
      <c r="L15" s="2387"/>
      <c r="M15" s="2383">
        <v>11204</v>
      </c>
      <c r="N15" s="575">
        <v>2031</v>
      </c>
      <c r="O15" s="575">
        <v>236</v>
      </c>
      <c r="P15" s="2384">
        <v>26</v>
      </c>
      <c r="Q15" s="576">
        <v>290</v>
      </c>
    </row>
    <row r="16" spans="1:17" s="576" customFormat="1" x14ac:dyDescent="0.25">
      <c r="A16" s="578" t="s">
        <v>30</v>
      </c>
      <c r="B16" s="574" t="s">
        <v>31</v>
      </c>
      <c r="C16" s="573" t="s">
        <v>268</v>
      </c>
      <c r="D16" s="2410">
        <v>1291</v>
      </c>
      <c r="E16" s="2386">
        <v>507</v>
      </c>
      <c r="F16" s="891">
        <v>280</v>
      </c>
      <c r="G16" s="891">
        <v>363</v>
      </c>
      <c r="H16" s="891">
        <v>141</v>
      </c>
      <c r="I16" s="2387">
        <v>0</v>
      </c>
      <c r="J16" s="2386">
        <v>724</v>
      </c>
      <c r="K16" s="891">
        <v>567</v>
      </c>
      <c r="L16" s="2387"/>
      <c r="M16" s="2383">
        <v>1246</v>
      </c>
      <c r="N16" s="575">
        <v>32</v>
      </c>
      <c r="O16" s="575">
        <v>11</v>
      </c>
      <c r="P16" s="2384">
        <v>2</v>
      </c>
      <c r="Q16" s="576">
        <v>6</v>
      </c>
    </row>
    <row r="17" spans="1:17" s="576" customFormat="1" x14ac:dyDescent="0.25">
      <c r="A17" s="578" t="s">
        <v>32</v>
      </c>
      <c r="B17" s="574" t="s">
        <v>33</v>
      </c>
      <c r="C17" s="573" t="s">
        <v>265</v>
      </c>
      <c r="D17" s="2410">
        <v>4587</v>
      </c>
      <c r="E17" s="2386">
        <v>2030</v>
      </c>
      <c r="F17" s="891">
        <v>953</v>
      </c>
      <c r="G17" s="891">
        <v>1164</v>
      </c>
      <c r="H17" s="891">
        <v>439</v>
      </c>
      <c r="I17" s="2387">
        <v>1</v>
      </c>
      <c r="J17" s="2386">
        <v>2567</v>
      </c>
      <c r="K17" s="891">
        <v>2020</v>
      </c>
      <c r="L17" s="2387"/>
      <c r="M17" s="2383">
        <v>4229</v>
      </c>
      <c r="N17" s="575">
        <v>251</v>
      </c>
      <c r="O17" s="575">
        <v>98</v>
      </c>
      <c r="P17" s="2384">
        <v>9</v>
      </c>
      <c r="Q17" s="576">
        <v>139</v>
      </c>
    </row>
    <row r="18" spans="1:17" s="576" customFormat="1" x14ac:dyDescent="0.25">
      <c r="A18" s="578" t="s">
        <v>36</v>
      </c>
      <c r="B18" s="574" t="s">
        <v>37</v>
      </c>
      <c r="C18" s="573" t="s">
        <v>264</v>
      </c>
      <c r="D18" s="2410">
        <v>6015</v>
      </c>
      <c r="E18" s="2386">
        <v>2209</v>
      </c>
      <c r="F18" s="891">
        <v>1341</v>
      </c>
      <c r="G18" s="891">
        <v>1584</v>
      </c>
      <c r="H18" s="891">
        <v>881</v>
      </c>
      <c r="I18" s="2387">
        <v>0</v>
      </c>
      <c r="J18" s="2386">
        <v>3361</v>
      </c>
      <c r="K18" s="891">
        <v>2654</v>
      </c>
      <c r="L18" s="2387"/>
      <c r="M18" s="2383">
        <v>1662</v>
      </c>
      <c r="N18" s="575">
        <v>4275</v>
      </c>
      <c r="O18" s="575">
        <v>70</v>
      </c>
      <c r="P18" s="2384">
        <v>8</v>
      </c>
      <c r="Q18" s="576">
        <v>83</v>
      </c>
    </row>
    <row r="19" spans="1:17" s="576" customFormat="1" x14ac:dyDescent="0.25">
      <c r="A19" s="578" t="s">
        <v>38</v>
      </c>
      <c r="B19" s="574" t="s">
        <v>39</v>
      </c>
      <c r="C19" s="573" t="s">
        <v>268</v>
      </c>
      <c r="D19" s="2410">
        <v>8523</v>
      </c>
      <c r="E19" s="2386">
        <v>2829</v>
      </c>
      <c r="F19" s="891">
        <v>1869</v>
      </c>
      <c r="G19" s="891">
        <v>3047</v>
      </c>
      <c r="H19" s="891">
        <v>778</v>
      </c>
      <c r="I19" s="2387">
        <v>0</v>
      </c>
      <c r="J19" s="2386">
        <v>4604</v>
      </c>
      <c r="K19" s="891">
        <v>3919</v>
      </c>
      <c r="L19" s="2387"/>
      <c r="M19" s="2383">
        <v>8424</v>
      </c>
      <c r="N19" s="575">
        <v>56</v>
      </c>
      <c r="O19" s="575">
        <v>31</v>
      </c>
      <c r="P19" s="2384">
        <v>12</v>
      </c>
      <c r="Q19" s="576">
        <v>25</v>
      </c>
    </row>
    <row r="20" spans="1:17" s="576" customFormat="1" x14ac:dyDescent="0.25">
      <c r="A20" s="578" t="s">
        <v>40</v>
      </c>
      <c r="B20" s="574" t="s">
        <v>41</v>
      </c>
      <c r="C20" s="573" t="s">
        <v>266</v>
      </c>
      <c r="D20" s="2410">
        <v>5187</v>
      </c>
      <c r="E20" s="2386">
        <v>2093</v>
      </c>
      <c r="F20" s="891">
        <v>1089</v>
      </c>
      <c r="G20" s="891">
        <v>1430</v>
      </c>
      <c r="H20" s="891">
        <v>575</v>
      </c>
      <c r="I20" s="2387">
        <v>0</v>
      </c>
      <c r="J20" s="2386">
        <v>2894</v>
      </c>
      <c r="K20" s="891">
        <v>2293</v>
      </c>
      <c r="L20" s="2387"/>
      <c r="M20" s="2383">
        <v>2840</v>
      </c>
      <c r="N20" s="575">
        <v>2268</v>
      </c>
      <c r="O20" s="575">
        <v>62</v>
      </c>
      <c r="P20" s="2384">
        <v>17</v>
      </c>
      <c r="Q20" s="576">
        <v>64</v>
      </c>
    </row>
    <row r="21" spans="1:17" s="576" customFormat="1" x14ac:dyDescent="0.25">
      <c r="A21" s="578" t="s">
        <v>42</v>
      </c>
      <c r="B21" s="574" t="s">
        <v>43</v>
      </c>
      <c r="C21" s="573" t="s">
        <v>265</v>
      </c>
      <c r="D21" s="2410">
        <v>14292</v>
      </c>
      <c r="E21" s="2386">
        <v>6115</v>
      </c>
      <c r="F21" s="891">
        <v>3281</v>
      </c>
      <c r="G21" s="891">
        <v>3564</v>
      </c>
      <c r="H21" s="891">
        <v>1332</v>
      </c>
      <c r="I21" s="2387">
        <v>0</v>
      </c>
      <c r="J21" s="2386">
        <v>8207</v>
      </c>
      <c r="K21" s="891">
        <v>6085</v>
      </c>
      <c r="L21" s="2387"/>
      <c r="M21" s="2383">
        <v>10476</v>
      </c>
      <c r="N21" s="575">
        <v>3458</v>
      </c>
      <c r="O21" s="575">
        <v>301</v>
      </c>
      <c r="P21" s="2384">
        <v>57</v>
      </c>
      <c r="Q21" s="576">
        <v>280</v>
      </c>
    </row>
    <row r="22" spans="1:17" s="576" customFormat="1" x14ac:dyDescent="0.25">
      <c r="A22" s="578" t="s">
        <v>44</v>
      </c>
      <c r="B22" s="574" t="s">
        <v>45</v>
      </c>
      <c r="C22" s="573" t="s">
        <v>266</v>
      </c>
      <c r="D22" s="2410">
        <v>8160</v>
      </c>
      <c r="E22" s="2386">
        <v>3688</v>
      </c>
      <c r="F22" s="891">
        <v>1853</v>
      </c>
      <c r="G22" s="891">
        <v>1989</v>
      </c>
      <c r="H22" s="891">
        <v>630</v>
      </c>
      <c r="I22" s="2387">
        <v>0</v>
      </c>
      <c r="J22" s="2386">
        <v>4699</v>
      </c>
      <c r="K22" s="891">
        <v>3461</v>
      </c>
      <c r="L22" s="2387"/>
      <c r="M22" s="2383">
        <v>4848</v>
      </c>
      <c r="N22" s="575">
        <v>3047</v>
      </c>
      <c r="O22" s="575">
        <v>221</v>
      </c>
      <c r="P22" s="2384">
        <v>44</v>
      </c>
      <c r="Q22" s="576">
        <v>223</v>
      </c>
    </row>
    <row r="23" spans="1:17" s="576" customFormat="1" x14ac:dyDescent="0.25">
      <c r="A23" s="578" t="s">
        <v>46</v>
      </c>
      <c r="B23" s="574" t="s">
        <v>47</v>
      </c>
      <c r="C23" s="573" t="s">
        <v>268</v>
      </c>
      <c r="D23" s="2410">
        <v>9205</v>
      </c>
      <c r="E23" s="2386">
        <v>3494</v>
      </c>
      <c r="F23" s="891">
        <v>1917</v>
      </c>
      <c r="G23" s="891">
        <v>2599</v>
      </c>
      <c r="H23" s="891">
        <v>1194</v>
      </c>
      <c r="I23" s="2387">
        <v>1</v>
      </c>
      <c r="J23" s="2386">
        <v>5046</v>
      </c>
      <c r="K23" s="891">
        <v>4159</v>
      </c>
      <c r="L23" s="2387"/>
      <c r="M23" s="2383">
        <v>8955</v>
      </c>
      <c r="N23" s="575">
        <v>149</v>
      </c>
      <c r="O23" s="575">
        <v>87</v>
      </c>
      <c r="P23" s="2384">
        <v>14</v>
      </c>
      <c r="Q23" s="576">
        <v>235</v>
      </c>
    </row>
    <row r="24" spans="1:17" s="576" customFormat="1" x14ac:dyDescent="0.25">
      <c r="A24" s="578" t="s">
        <v>48</v>
      </c>
      <c r="B24" s="574" t="s">
        <v>269</v>
      </c>
      <c r="C24" s="573" t="s">
        <v>266</v>
      </c>
      <c r="D24" s="2410">
        <v>1849</v>
      </c>
      <c r="E24" s="2386">
        <v>696</v>
      </c>
      <c r="F24" s="891">
        <v>376</v>
      </c>
      <c r="G24" s="891">
        <v>549</v>
      </c>
      <c r="H24" s="891">
        <v>228</v>
      </c>
      <c r="I24" s="2387">
        <v>0</v>
      </c>
      <c r="J24" s="2386">
        <v>1039</v>
      </c>
      <c r="K24" s="891">
        <v>810</v>
      </c>
      <c r="L24" s="2387"/>
      <c r="M24" s="2383">
        <v>666</v>
      </c>
      <c r="N24" s="575">
        <v>1117</v>
      </c>
      <c r="O24" s="575">
        <v>59</v>
      </c>
      <c r="P24" s="2384">
        <v>7</v>
      </c>
      <c r="Q24" s="576">
        <v>8</v>
      </c>
    </row>
    <row r="25" spans="1:17" s="576" customFormat="1" x14ac:dyDescent="0.25">
      <c r="A25" s="578" t="s">
        <v>50</v>
      </c>
      <c r="B25" s="574" t="s">
        <v>51</v>
      </c>
      <c r="C25" s="573" t="s">
        <v>265</v>
      </c>
      <c r="D25" s="2410">
        <v>4032</v>
      </c>
      <c r="E25" s="2386">
        <v>1564</v>
      </c>
      <c r="F25" s="891">
        <v>884</v>
      </c>
      <c r="G25" s="891">
        <v>1034</v>
      </c>
      <c r="H25" s="891">
        <v>550</v>
      </c>
      <c r="I25" s="2387">
        <v>0</v>
      </c>
      <c r="J25" s="2386">
        <v>2259</v>
      </c>
      <c r="K25" s="891">
        <v>1773</v>
      </c>
      <c r="L25" s="2387"/>
      <c r="M25" s="2383">
        <v>2083</v>
      </c>
      <c r="N25" s="575">
        <v>1915</v>
      </c>
      <c r="O25" s="575">
        <v>30</v>
      </c>
      <c r="P25" s="2384">
        <v>4</v>
      </c>
      <c r="Q25" s="576">
        <v>53</v>
      </c>
    </row>
    <row r="26" spans="1:17" s="576" customFormat="1" x14ac:dyDescent="0.25">
      <c r="A26" s="578" t="s">
        <v>56</v>
      </c>
      <c r="B26" s="574" t="s">
        <v>295</v>
      </c>
      <c r="C26" s="573" t="s">
        <v>266</v>
      </c>
      <c r="D26" s="2410">
        <v>71800</v>
      </c>
      <c r="E26" s="2386">
        <v>36472</v>
      </c>
      <c r="F26" s="891">
        <v>16647</v>
      </c>
      <c r="G26" s="891">
        <v>15008</v>
      </c>
      <c r="H26" s="891">
        <v>3673</v>
      </c>
      <c r="I26" s="2387">
        <v>0</v>
      </c>
      <c r="J26" s="2386">
        <v>41311</v>
      </c>
      <c r="K26" s="891">
        <v>30489</v>
      </c>
      <c r="L26" s="2387"/>
      <c r="M26" s="2383">
        <v>40034</v>
      </c>
      <c r="N26" s="575">
        <v>27839</v>
      </c>
      <c r="O26" s="575">
        <v>3426</v>
      </c>
      <c r="P26" s="2384">
        <v>501</v>
      </c>
      <c r="Q26" s="576">
        <v>5033</v>
      </c>
    </row>
    <row r="27" spans="1:17" s="576" customFormat="1" x14ac:dyDescent="0.25">
      <c r="A27" s="578" t="s">
        <v>58</v>
      </c>
      <c r="B27" s="574" t="s">
        <v>59</v>
      </c>
      <c r="C27" s="573" t="s">
        <v>267</v>
      </c>
      <c r="D27" s="2410">
        <v>1530</v>
      </c>
      <c r="E27" s="2386">
        <v>702</v>
      </c>
      <c r="F27" s="891">
        <v>275</v>
      </c>
      <c r="G27" s="891">
        <v>376</v>
      </c>
      <c r="H27" s="891">
        <v>177</v>
      </c>
      <c r="I27" s="2387">
        <v>0</v>
      </c>
      <c r="J27" s="2386">
        <v>857</v>
      </c>
      <c r="K27" s="891">
        <v>673</v>
      </c>
      <c r="L27" s="2387"/>
      <c r="M27" s="2383">
        <v>1295</v>
      </c>
      <c r="N27" s="575">
        <v>197</v>
      </c>
      <c r="O27" s="575">
        <v>29</v>
      </c>
      <c r="P27" s="2384">
        <v>9</v>
      </c>
      <c r="Q27" s="576">
        <v>86</v>
      </c>
    </row>
    <row r="28" spans="1:17" s="576" customFormat="1" x14ac:dyDescent="0.25">
      <c r="A28" s="578" t="s">
        <v>60</v>
      </c>
      <c r="B28" s="574" t="s">
        <v>61</v>
      </c>
      <c r="C28" s="573" t="s">
        <v>265</v>
      </c>
      <c r="D28" s="2410">
        <v>1304</v>
      </c>
      <c r="E28" s="2386">
        <v>519</v>
      </c>
      <c r="F28" s="891">
        <v>299</v>
      </c>
      <c r="G28" s="891">
        <v>335</v>
      </c>
      <c r="H28" s="891">
        <v>151</v>
      </c>
      <c r="I28" s="2387">
        <v>0</v>
      </c>
      <c r="J28" s="2386">
        <v>735</v>
      </c>
      <c r="K28" s="891">
        <v>569</v>
      </c>
      <c r="L28" s="2387"/>
      <c r="M28" s="2383">
        <v>1290</v>
      </c>
      <c r="N28" s="575">
        <v>12</v>
      </c>
      <c r="O28" s="575">
        <v>2</v>
      </c>
      <c r="P28" s="2384">
        <v>0</v>
      </c>
      <c r="Q28" s="576">
        <v>1</v>
      </c>
    </row>
    <row r="29" spans="1:17" s="576" customFormat="1" x14ac:dyDescent="0.25">
      <c r="A29" s="578" t="s">
        <v>62</v>
      </c>
      <c r="B29" s="574" t="s">
        <v>63</v>
      </c>
      <c r="C29" s="573" t="s">
        <v>267</v>
      </c>
      <c r="D29" s="2410">
        <v>11093</v>
      </c>
      <c r="E29" s="2386">
        <v>5698</v>
      </c>
      <c r="F29" s="891">
        <v>2218</v>
      </c>
      <c r="G29" s="891">
        <v>2355</v>
      </c>
      <c r="H29" s="891">
        <v>822</v>
      </c>
      <c r="I29" s="2387">
        <v>0</v>
      </c>
      <c r="J29" s="2386">
        <v>6250</v>
      </c>
      <c r="K29" s="891">
        <v>4843</v>
      </c>
      <c r="L29" s="2387"/>
      <c r="M29" s="2383">
        <v>7593</v>
      </c>
      <c r="N29" s="575">
        <v>3041</v>
      </c>
      <c r="O29" s="575">
        <v>413</v>
      </c>
      <c r="P29" s="2384">
        <v>46</v>
      </c>
      <c r="Q29" s="576">
        <v>721</v>
      </c>
    </row>
    <row r="30" spans="1:17" s="576" customFormat="1" x14ac:dyDescent="0.25">
      <c r="A30" s="578" t="s">
        <v>64</v>
      </c>
      <c r="B30" s="574" t="s">
        <v>65</v>
      </c>
      <c r="C30" s="573" t="s">
        <v>266</v>
      </c>
      <c r="D30" s="2410">
        <v>3563</v>
      </c>
      <c r="E30" s="2386">
        <v>1471</v>
      </c>
      <c r="F30" s="891">
        <v>760</v>
      </c>
      <c r="G30" s="891">
        <v>953</v>
      </c>
      <c r="H30" s="891">
        <v>379</v>
      </c>
      <c r="I30" s="2387">
        <v>0</v>
      </c>
      <c r="J30" s="2386">
        <v>2049</v>
      </c>
      <c r="K30" s="891">
        <v>1514</v>
      </c>
      <c r="L30" s="2387"/>
      <c r="M30" s="2383">
        <v>1922</v>
      </c>
      <c r="N30" s="575">
        <v>1602</v>
      </c>
      <c r="O30" s="575">
        <v>32</v>
      </c>
      <c r="P30" s="2384">
        <v>7</v>
      </c>
      <c r="Q30" s="576">
        <v>72</v>
      </c>
    </row>
    <row r="31" spans="1:17" s="576" customFormat="1" x14ac:dyDescent="0.25">
      <c r="A31" s="578" t="s">
        <v>68</v>
      </c>
      <c r="B31" s="574" t="s">
        <v>69</v>
      </c>
      <c r="C31" s="573" t="s">
        <v>268</v>
      </c>
      <c r="D31" s="2410">
        <v>6251</v>
      </c>
      <c r="E31" s="2386">
        <v>2186</v>
      </c>
      <c r="F31" s="891">
        <v>1384</v>
      </c>
      <c r="G31" s="891">
        <v>2086</v>
      </c>
      <c r="H31" s="891">
        <v>595</v>
      </c>
      <c r="I31" s="2387">
        <v>0</v>
      </c>
      <c r="J31" s="2386">
        <v>3380</v>
      </c>
      <c r="K31" s="891">
        <v>2871</v>
      </c>
      <c r="L31" s="2387"/>
      <c r="M31" s="2383">
        <v>6178</v>
      </c>
      <c r="N31" s="575">
        <v>47</v>
      </c>
      <c r="O31" s="575">
        <v>17</v>
      </c>
      <c r="P31" s="2384">
        <v>9</v>
      </c>
      <c r="Q31" s="576">
        <v>10</v>
      </c>
    </row>
    <row r="32" spans="1:17" s="576" customFormat="1" x14ac:dyDescent="0.25">
      <c r="A32" s="578" t="s">
        <v>70</v>
      </c>
      <c r="B32" s="574" t="s">
        <v>71</v>
      </c>
      <c r="C32" s="573" t="s">
        <v>264</v>
      </c>
      <c r="D32" s="2410">
        <v>7990</v>
      </c>
      <c r="E32" s="2386">
        <v>3479</v>
      </c>
      <c r="F32" s="891">
        <v>1844</v>
      </c>
      <c r="G32" s="891">
        <v>2046</v>
      </c>
      <c r="H32" s="891">
        <v>621</v>
      </c>
      <c r="I32" s="2387">
        <v>0</v>
      </c>
      <c r="J32" s="2386">
        <v>4602</v>
      </c>
      <c r="K32" s="891">
        <v>3388</v>
      </c>
      <c r="L32" s="2387"/>
      <c r="M32" s="2383">
        <v>4490</v>
      </c>
      <c r="N32" s="575">
        <v>3330</v>
      </c>
      <c r="O32" s="575">
        <v>116</v>
      </c>
      <c r="P32" s="2384">
        <v>54</v>
      </c>
      <c r="Q32" s="576">
        <v>297</v>
      </c>
    </row>
    <row r="33" spans="1:17" s="576" customFormat="1" x14ac:dyDescent="0.25">
      <c r="A33" s="578" t="s">
        <v>72</v>
      </c>
      <c r="B33" s="574" t="s">
        <v>73</v>
      </c>
      <c r="C33" s="573" t="s">
        <v>266</v>
      </c>
      <c r="D33" s="2410">
        <v>3852</v>
      </c>
      <c r="E33" s="2386">
        <v>1673</v>
      </c>
      <c r="F33" s="891">
        <v>902</v>
      </c>
      <c r="G33" s="891">
        <v>987</v>
      </c>
      <c r="H33" s="891">
        <v>290</v>
      </c>
      <c r="I33" s="2387">
        <v>0</v>
      </c>
      <c r="J33" s="2386">
        <v>2263</v>
      </c>
      <c r="K33" s="891">
        <v>1589</v>
      </c>
      <c r="L33" s="2387"/>
      <c r="M33" s="2383">
        <v>1384</v>
      </c>
      <c r="N33" s="575">
        <v>2356</v>
      </c>
      <c r="O33" s="575">
        <v>91</v>
      </c>
      <c r="P33" s="2384">
        <v>21</v>
      </c>
      <c r="Q33" s="576">
        <v>72</v>
      </c>
    </row>
    <row r="34" spans="1:17" s="576" customFormat="1" x14ac:dyDescent="0.25">
      <c r="A34" s="578" t="s">
        <v>74</v>
      </c>
      <c r="B34" s="574" t="s">
        <v>296</v>
      </c>
      <c r="C34" s="573" t="s">
        <v>267</v>
      </c>
      <c r="D34" s="2410">
        <v>131587</v>
      </c>
      <c r="E34" s="2386">
        <v>74842</v>
      </c>
      <c r="F34" s="891">
        <v>20756</v>
      </c>
      <c r="G34" s="891">
        <v>21438</v>
      </c>
      <c r="H34" s="891">
        <v>14550</v>
      </c>
      <c r="I34" s="2387">
        <v>1</v>
      </c>
      <c r="J34" s="2386">
        <v>72566</v>
      </c>
      <c r="K34" s="891">
        <v>59021</v>
      </c>
      <c r="L34" s="2387"/>
      <c r="M34" s="2383">
        <v>81730</v>
      </c>
      <c r="N34" s="575">
        <v>25235</v>
      </c>
      <c r="O34" s="575">
        <v>23939</v>
      </c>
      <c r="P34" s="2384">
        <v>683</v>
      </c>
      <c r="Q34" s="576">
        <v>10368</v>
      </c>
    </row>
    <row r="35" spans="1:17" s="576" customFormat="1" x14ac:dyDescent="0.25">
      <c r="A35" s="578" t="s">
        <v>76</v>
      </c>
      <c r="B35" s="574" t="s">
        <v>77</v>
      </c>
      <c r="C35" s="573" t="s">
        <v>267</v>
      </c>
      <c r="D35" s="2410">
        <v>8863</v>
      </c>
      <c r="E35" s="2386">
        <v>4517</v>
      </c>
      <c r="F35" s="891">
        <v>1738</v>
      </c>
      <c r="G35" s="891">
        <v>1870</v>
      </c>
      <c r="H35" s="891">
        <v>738</v>
      </c>
      <c r="I35" s="2387">
        <v>0</v>
      </c>
      <c r="J35" s="2386">
        <v>4996</v>
      </c>
      <c r="K35" s="891">
        <v>3867</v>
      </c>
      <c r="L35" s="2387"/>
      <c r="M35" s="2383">
        <v>6741</v>
      </c>
      <c r="N35" s="575">
        <v>1856</v>
      </c>
      <c r="O35" s="575">
        <v>224</v>
      </c>
      <c r="P35" s="2384">
        <v>42</v>
      </c>
      <c r="Q35" s="576">
        <v>571</v>
      </c>
    </row>
    <row r="36" spans="1:17" s="576" customFormat="1" x14ac:dyDescent="0.25">
      <c r="A36" s="578" t="s">
        <v>78</v>
      </c>
      <c r="B36" s="574" t="s">
        <v>79</v>
      </c>
      <c r="C36" s="573" t="s">
        <v>268</v>
      </c>
      <c r="D36" s="2410">
        <v>3927</v>
      </c>
      <c r="E36" s="2386">
        <v>1700</v>
      </c>
      <c r="F36" s="891">
        <v>808</v>
      </c>
      <c r="G36" s="891">
        <v>1045</v>
      </c>
      <c r="H36" s="891">
        <v>374</v>
      </c>
      <c r="I36" s="2387">
        <v>0</v>
      </c>
      <c r="J36" s="2386">
        <v>2114</v>
      </c>
      <c r="K36" s="891">
        <v>1813</v>
      </c>
      <c r="L36" s="2387"/>
      <c r="M36" s="2383">
        <v>3713</v>
      </c>
      <c r="N36" s="575">
        <v>148</v>
      </c>
      <c r="O36" s="575">
        <v>63</v>
      </c>
      <c r="P36" s="2384">
        <v>3</v>
      </c>
      <c r="Q36" s="576">
        <v>124</v>
      </c>
    </row>
    <row r="37" spans="1:17" s="576" customFormat="1" x14ac:dyDescent="0.25">
      <c r="A37" s="578" t="s">
        <v>80</v>
      </c>
      <c r="B37" s="574" t="s">
        <v>81</v>
      </c>
      <c r="C37" s="573" t="s">
        <v>266</v>
      </c>
      <c r="D37" s="2410">
        <v>4319</v>
      </c>
      <c r="E37" s="2386">
        <v>2017</v>
      </c>
      <c r="F37" s="891">
        <v>920</v>
      </c>
      <c r="G37" s="891">
        <v>992</v>
      </c>
      <c r="H37" s="891">
        <v>390</v>
      </c>
      <c r="I37" s="2387">
        <v>0</v>
      </c>
      <c r="J37" s="2386">
        <v>2469</v>
      </c>
      <c r="K37" s="891">
        <v>1850</v>
      </c>
      <c r="L37" s="2387"/>
      <c r="M37" s="2383">
        <v>2999</v>
      </c>
      <c r="N37" s="575">
        <v>1231</v>
      </c>
      <c r="O37" s="575">
        <v>69</v>
      </c>
      <c r="P37" s="2384">
        <v>20</v>
      </c>
      <c r="Q37" s="576">
        <v>105</v>
      </c>
    </row>
    <row r="38" spans="1:17" s="576" customFormat="1" x14ac:dyDescent="0.25">
      <c r="A38" s="578" t="s">
        <v>84</v>
      </c>
      <c r="B38" s="574" t="s">
        <v>85</v>
      </c>
      <c r="C38" s="573" t="s">
        <v>265</v>
      </c>
      <c r="D38" s="2410">
        <v>13455</v>
      </c>
      <c r="E38" s="2386">
        <v>5897</v>
      </c>
      <c r="F38" s="891">
        <v>2819</v>
      </c>
      <c r="G38" s="891">
        <v>3535</v>
      </c>
      <c r="H38" s="891">
        <v>1201</v>
      </c>
      <c r="I38" s="2387">
        <v>3</v>
      </c>
      <c r="J38" s="2386">
        <v>7567</v>
      </c>
      <c r="K38" s="891">
        <v>5888</v>
      </c>
      <c r="L38" s="2387"/>
      <c r="M38" s="2383">
        <v>11443</v>
      </c>
      <c r="N38" s="575">
        <v>1751</v>
      </c>
      <c r="O38" s="575">
        <v>217</v>
      </c>
      <c r="P38" s="2384">
        <v>44</v>
      </c>
      <c r="Q38" s="576">
        <v>438</v>
      </c>
    </row>
    <row r="39" spans="1:17" s="576" customFormat="1" x14ac:dyDescent="0.25">
      <c r="A39" s="578" t="s">
        <v>86</v>
      </c>
      <c r="B39" s="574" t="s">
        <v>87</v>
      </c>
      <c r="C39" s="573" t="s">
        <v>267</v>
      </c>
      <c r="D39" s="2410">
        <v>13928</v>
      </c>
      <c r="E39" s="2386">
        <v>7248</v>
      </c>
      <c r="F39" s="891">
        <v>2893</v>
      </c>
      <c r="G39" s="891">
        <v>2795</v>
      </c>
      <c r="H39" s="891">
        <v>991</v>
      </c>
      <c r="I39" s="2387">
        <v>1</v>
      </c>
      <c r="J39" s="2386">
        <v>7840</v>
      </c>
      <c r="K39" s="891">
        <v>6088</v>
      </c>
      <c r="L39" s="2387"/>
      <c r="M39" s="2383">
        <v>12296</v>
      </c>
      <c r="N39" s="575">
        <v>1286</v>
      </c>
      <c r="O39" s="575">
        <v>312</v>
      </c>
      <c r="P39" s="2384">
        <v>34</v>
      </c>
      <c r="Q39" s="576">
        <v>1155</v>
      </c>
    </row>
    <row r="40" spans="1:17" s="576" customFormat="1" x14ac:dyDescent="0.25">
      <c r="A40" s="578" t="s">
        <v>92</v>
      </c>
      <c r="B40" s="574" t="s">
        <v>93</v>
      </c>
      <c r="C40" s="573" t="s">
        <v>268</v>
      </c>
      <c r="D40" s="2410">
        <v>4645</v>
      </c>
      <c r="E40" s="2386">
        <v>1828</v>
      </c>
      <c r="F40" s="891">
        <v>974</v>
      </c>
      <c r="G40" s="891">
        <v>1331</v>
      </c>
      <c r="H40" s="891">
        <v>512</v>
      </c>
      <c r="I40" s="2387">
        <v>0</v>
      </c>
      <c r="J40" s="2386">
        <v>2573</v>
      </c>
      <c r="K40" s="891">
        <v>2072</v>
      </c>
      <c r="L40" s="2387"/>
      <c r="M40" s="2383">
        <v>4493</v>
      </c>
      <c r="N40" s="575">
        <v>128</v>
      </c>
      <c r="O40" s="575">
        <v>18</v>
      </c>
      <c r="P40" s="2384">
        <v>6</v>
      </c>
      <c r="Q40" s="576">
        <v>53</v>
      </c>
    </row>
    <row r="41" spans="1:17" s="576" customFormat="1" x14ac:dyDescent="0.25">
      <c r="A41" s="578" t="s">
        <v>94</v>
      </c>
      <c r="B41" s="574" t="s">
        <v>95</v>
      </c>
      <c r="C41" s="573" t="s">
        <v>264</v>
      </c>
      <c r="D41" s="2410">
        <v>7662</v>
      </c>
      <c r="E41" s="2386">
        <v>3249</v>
      </c>
      <c r="F41" s="891">
        <v>1761</v>
      </c>
      <c r="G41" s="891">
        <v>2056</v>
      </c>
      <c r="H41" s="891">
        <v>596</v>
      </c>
      <c r="I41" s="2387">
        <v>0</v>
      </c>
      <c r="J41" s="2386">
        <v>4331</v>
      </c>
      <c r="K41" s="891">
        <v>3331</v>
      </c>
      <c r="L41" s="2387"/>
      <c r="M41" s="2383">
        <v>6270</v>
      </c>
      <c r="N41" s="575">
        <v>1253</v>
      </c>
      <c r="O41" s="575">
        <v>112</v>
      </c>
      <c r="P41" s="2384">
        <v>27</v>
      </c>
      <c r="Q41" s="576">
        <v>171</v>
      </c>
    </row>
    <row r="42" spans="1:17" s="576" customFormat="1" x14ac:dyDescent="0.25">
      <c r="A42" s="578" t="s">
        <v>96</v>
      </c>
      <c r="B42" s="574" t="s">
        <v>97</v>
      </c>
      <c r="C42" s="573" t="s">
        <v>266</v>
      </c>
      <c r="D42" s="2410">
        <v>2633</v>
      </c>
      <c r="E42" s="2386">
        <v>1161</v>
      </c>
      <c r="F42" s="891">
        <v>508</v>
      </c>
      <c r="G42" s="891">
        <v>716</v>
      </c>
      <c r="H42" s="891">
        <v>248</v>
      </c>
      <c r="I42" s="2387">
        <v>0</v>
      </c>
      <c r="J42" s="2386">
        <v>1492</v>
      </c>
      <c r="K42" s="891">
        <v>1141</v>
      </c>
      <c r="L42" s="2387"/>
      <c r="M42" s="2383">
        <v>1570</v>
      </c>
      <c r="N42" s="575">
        <v>996</v>
      </c>
      <c r="O42" s="575">
        <v>56</v>
      </c>
      <c r="P42" s="2384">
        <v>11</v>
      </c>
      <c r="Q42" s="576">
        <v>135</v>
      </c>
    </row>
    <row r="43" spans="1:17" s="576" customFormat="1" x14ac:dyDescent="0.25">
      <c r="A43" s="578" t="s">
        <v>98</v>
      </c>
      <c r="B43" s="574" t="s">
        <v>99</v>
      </c>
      <c r="C43" s="573" t="s">
        <v>268</v>
      </c>
      <c r="D43" s="2410">
        <v>4895</v>
      </c>
      <c r="E43" s="2386">
        <v>1842</v>
      </c>
      <c r="F43" s="891">
        <v>1031</v>
      </c>
      <c r="G43" s="891">
        <v>1293</v>
      </c>
      <c r="H43" s="891">
        <v>729</v>
      </c>
      <c r="I43" s="2387">
        <v>0</v>
      </c>
      <c r="J43" s="2386">
        <v>2756</v>
      </c>
      <c r="K43" s="891">
        <v>2139</v>
      </c>
      <c r="L43" s="2387"/>
      <c r="M43" s="2383">
        <v>4661</v>
      </c>
      <c r="N43" s="575">
        <v>204</v>
      </c>
      <c r="O43" s="575">
        <v>24</v>
      </c>
      <c r="P43" s="2384">
        <v>6</v>
      </c>
      <c r="Q43" s="576">
        <v>95</v>
      </c>
    </row>
    <row r="44" spans="1:17" s="576" customFormat="1" x14ac:dyDescent="0.25">
      <c r="A44" s="578" t="s">
        <v>100</v>
      </c>
      <c r="B44" s="574" t="s">
        <v>101</v>
      </c>
      <c r="C44" s="573" t="s">
        <v>267</v>
      </c>
      <c r="D44" s="2410">
        <v>4237</v>
      </c>
      <c r="E44" s="2386">
        <v>2118</v>
      </c>
      <c r="F44" s="891">
        <v>876</v>
      </c>
      <c r="G44" s="891">
        <v>962</v>
      </c>
      <c r="H44" s="891">
        <v>281</v>
      </c>
      <c r="I44" s="2387">
        <v>0</v>
      </c>
      <c r="J44" s="2386">
        <v>2352</v>
      </c>
      <c r="K44" s="891">
        <v>1885</v>
      </c>
      <c r="L44" s="2387"/>
      <c r="M44" s="2383">
        <v>3418</v>
      </c>
      <c r="N44" s="575">
        <v>705</v>
      </c>
      <c r="O44" s="575">
        <v>109</v>
      </c>
      <c r="P44" s="2384">
        <v>5</v>
      </c>
      <c r="Q44" s="576">
        <v>113</v>
      </c>
    </row>
    <row r="45" spans="1:17" s="576" customFormat="1" x14ac:dyDescent="0.25">
      <c r="A45" s="578" t="s">
        <v>102</v>
      </c>
      <c r="B45" s="574" t="s">
        <v>282</v>
      </c>
      <c r="C45" s="573" t="s">
        <v>264</v>
      </c>
      <c r="D45" s="2410">
        <v>7638</v>
      </c>
      <c r="E45" s="2386">
        <v>3174</v>
      </c>
      <c r="F45" s="891">
        <v>1814</v>
      </c>
      <c r="G45" s="891">
        <v>1888</v>
      </c>
      <c r="H45" s="891">
        <v>762</v>
      </c>
      <c r="I45" s="2387">
        <v>0</v>
      </c>
      <c r="J45" s="2386">
        <v>4359</v>
      </c>
      <c r="K45" s="891">
        <v>3279</v>
      </c>
      <c r="L45" s="2387"/>
      <c r="M45" s="2383">
        <v>1298</v>
      </c>
      <c r="N45" s="575">
        <v>6182</v>
      </c>
      <c r="O45" s="575">
        <v>141</v>
      </c>
      <c r="P45" s="2384">
        <v>17</v>
      </c>
      <c r="Q45" s="576">
        <v>162</v>
      </c>
    </row>
    <row r="46" spans="1:17" s="576" customFormat="1" x14ac:dyDescent="0.25">
      <c r="A46" s="578" t="s">
        <v>104</v>
      </c>
      <c r="B46" s="574" t="s">
        <v>105</v>
      </c>
      <c r="C46" s="573" t="s">
        <v>265</v>
      </c>
      <c r="D46" s="2410">
        <v>11907</v>
      </c>
      <c r="E46" s="2386">
        <v>4558</v>
      </c>
      <c r="F46" s="891">
        <v>2678</v>
      </c>
      <c r="G46" s="891">
        <v>3114</v>
      </c>
      <c r="H46" s="891">
        <v>1557</v>
      </c>
      <c r="I46" s="2387">
        <v>0</v>
      </c>
      <c r="J46" s="2386">
        <v>6789</v>
      </c>
      <c r="K46" s="891">
        <v>5118</v>
      </c>
      <c r="L46" s="2387"/>
      <c r="M46" s="2383">
        <v>5231</v>
      </c>
      <c r="N46" s="575">
        <v>6501</v>
      </c>
      <c r="O46" s="575">
        <v>138</v>
      </c>
      <c r="P46" s="2384">
        <v>37</v>
      </c>
      <c r="Q46" s="576">
        <v>177</v>
      </c>
    </row>
    <row r="47" spans="1:17" s="576" customFormat="1" x14ac:dyDescent="0.25">
      <c r="A47" s="578" t="s">
        <v>108</v>
      </c>
      <c r="B47" s="574" t="s">
        <v>109</v>
      </c>
      <c r="C47" s="573" t="s">
        <v>266</v>
      </c>
      <c r="D47" s="2410">
        <v>12121</v>
      </c>
      <c r="E47" s="2386">
        <v>5642</v>
      </c>
      <c r="F47" s="891">
        <v>2713</v>
      </c>
      <c r="G47" s="891">
        <v>2838</v>
      </c>
      <c r="H47" s="891">
        <v>928</v>
      </c>
      <c r="I47" s="2387">
        <v>0</v>
      </c>
      <c r="J47" s="2386">
        <v>6946</v>
      </c>
      <c r="K47" s="891">
        <v>5175</v>
      </c>
      <c r="L47" s="2387"/>
      <c r="M47" s="2383">
        <v>8731</v>
      </c>
      <c r="N47" s="575">
        <v>2948</v>
      </c>
      <c r="O47" s="575">
        <v>377</v>
      </c>
      <c r="P47" s="2384">
        <v>65</v>
      </c>
      <c r="Q47" s="576">
        <v>472</v>
      </c>
    </row>
    <row r="48" spans="1:17" s="576" customFormat="1" x14ac:dyDescent="0.25">
      <c r="A48" s="578" t="s">
        <v>110</v>
      </c>
      <c r="B48" s="574" t="s">
        <v>111</v>
      </c>
      <c r="C48" s="573" t="s">
        <v>266</v>
      </c>
      <c r="D48" s="2410">
        <v>68693</v>
      </c>
      <c r="E48" s="2386">
        <v>32750</v>
      </c>
      <c r="F48" s="891">
        <v>16187</v>
      </c>
      <c r="G48" s="891">
        <v>15272</v>
      </c>
      <c r="H48" s="891">
        <v>4484</v>
      </c>
      <c r="I48" s="2387">
        <v>0</v>
      </c>
      <c r="J48" s="2386">
        <v>39859</v>
      </c>
      <c r="K48" s="891">
        <v>28834</v>
      </c>
      <c r="L48" s="2387"/>
      <c r="M48" s="2383">
        <v>25532</v>
      </c>
      <c r="N48" s="575">
        <v>37553</v>
      </c>
      <c r="O48" s="575">
        <v>5190</v>
      </c>
      <c r="P48" s="2384">
        <v>418</v>
      </c>
      <c r="Q48" s="576">
        <v>2792</v>
      </c>
    </row>
    <row r="49" spans="1:17" s="576" customFormat="1" x14ac:dyDescent="0.25">
      <c r="A49" s="578" t="s">
        <v>112</v>
      </c>
      <c r="B49" s="574" t="s">
        <v>300</v>
      </c>
      <c r="C49" s="573" t="s">
        <v>265</v>
      </c>
      <c r="D49" s="2410">
        <v>26713</v>
      </c>
      <c r="E49" s="2386">
        <v>10500</v>
      </c>
      <c r="F49" s="891">
        <v>5970</v>
      </c>
      <c r="G49" s="891">
        <v>7615</v>
      </c>
      <c r="H49" s="891">
        <v>2628</v>
      </c>
      <c r="I49" s="2387">
        <v>0</v>
      </c>
      <c r="J49" s="2386">
        <v>15074</v>
      </c>
      <c r="K49" s="891">
        <v>11639</v>
      </c>
      <c r="L49" s="2387"/>
      <c r="M49" s="2383">
        <v>16600</v>
      </c>
      <c r="N49" s="575">
        <v>9807</v>
      </c>
      <c r="O49" s="575">
        <v>246</v>
      </c>
      <c r="P49" s="2384">
        <v>60</v>
      </c>
      <c r="Q49" s="576">
        <v>1527</v>
      </c>
    </row>
    <row r="50" spans="1:17" s="576" customFormat="1" x14ac:dyDescent="0.25">
      <c r="A50" s="578" t="s">
        <v>114</v>
      </c>
      <c r="B50" s="574" t="s">
        <v>115</v>
      </c>
      <c r="C50" s="573" t="s">
        <v>265</v>
      </c>
      <c r="D50" s="2410">
        <v>441</v>
      </c>
      <c r="E50" s="2386">
        <v>176</v>
      </c>
      <c r="F50" s="891">
        <v>75</v>
      </c>
      <c r="G50" s="891">
        <v>135</v>
      </c>
      <c r="H50" s="891">
        <v>55</v>
      </c>
      <c r="I50" s="2387">
        <v>0</v>
      </c>
      <c r="J50" s="2386">
        <v>253</v>
      </c>
      <c r="K50" s="891">
        <v>188</v>
      </c>
      <c r="L50" s="2387"/>
      <c r="M50" s="2383">
        <v>402</v>
      </c>
      <c r="N50" s="575">
        <v>30</v>
      </c>
      <c r="O50" s="575">
        <v>6</v>
      </c>
      <c r="P50" s="2384">
        <v>3</v>
      </c>
      <c r="Q50" s="576">
        <v>7</v>
      </c>
    </row>
    <row r="51" spans="1:17" s="576" customFormat="1" x14ac:dyDescent="0.25">
      <c r="A51" s="578" t="s">
        <v>118</v>
      </c>
      <c r="B51" s="574" t="s">
        <v>270</v>
      </c>
      <c r="C51" s="573" t="s">
        <v>264</v>
      </c>
      <c r="D51" s="2410">
        <v>7147</v>
      </c>
      <c r="E51" s="2386">
        <v>3003</v>
      </c>
      <c r="F51" s="891">
        <v>1544</v>
      </c>
      <c r="G51" s="891">
        <v>1858</v>
      </c>
      <c r="H51" s="891">
        <v>742</v>
      </c>
      <c r="I51" s="2387">
        <v>0</v>
      </c>
      <c r="J51" s="2386">
        <v>4162</v>
      </c>
      <c r="K51" s="891">
        <v>2985</v>
      </c>
      <c r="L51" s="2387"/>
      <c r="M51" s="2383">
        <v>3527</v>
      </c>
      <c r="N51" s="575">
        <v>3475</v>
      </c>
      <c r="O51" s="575">
        <v>131</v>
      </c>
      <c r="P51" s="2384">
        <v>14</v>
      </c>
      <c r="Q51" s="576">
        <v>123</v>
      </c>
    </row>
    <row r="52" spans="1:17" s="576" customFormat="1" x14ac:dyDescent="0.25">
      <c r="A52" s="578" t="s">
        <v>120</v>
      </c>
      <c r="B52" s="574" t="s">
        <v>121</v>
      </c>
      <c r="C52" s="573" t="s">
        <v>264</v>
      </c>
      <c r="D52" s="2410">
        <v>9689</v>
      </c>
      <c r="E52" s="2386">
        <v>4830</v>
      </c>
      <c r="F52" s="891">
        <v>2090</v>
      </c>
      <c r="G52" s="891">
        <v>2214</v>
      </c>
      <c r="H52" s="891">
        <v>555</v>
      </c>
      <c r="I52" s="2387">
        <v>0</v>
      </c>
      <c r="J52" s="2386">
        <v>5641</v>
      </c>
      <c r="K52" s="891">
        <v>4048</v>
      </c>
      <c r="L52" s="2387"/>
      <c r="M52" s="2383">
        <v>5501</v>
      </c>
      <c r="N52" s="575">
        <v>3766</v>
      </c>
      <c r="O52" s="575">
        <v>367</v>
      </c>
      <c r="P52" s="2384">
        <v>55</v>
      </c>
      <c r="Q52" s="576">
        <v>568</v>
      </c>
    </row>
    <row r="53" spans="1:17" s="576" customFormat="1" x14ac:dyDescent="0.25">
      <c r="A53" s="578" t="s">
        <v>122</v>
      </c>
      <c r="B53" s="574" t="s">
        <v>287</v>
      </c>
      <c r="C53" s="573" t="s">
        <v>266</v>
      </c>
      <c r="D53" s="2410">
        <v>2142</v>
      </c>
      <c r="E53" s="2386">
        <v>869</v>
      </c>
      <c r="F53" s="891">
        <v>469</v>
      </c>
      <c r="G53" s="891">
        <v>580</v>
      </c>
      <c r="H53" s="891">
        <v>224</v>
      </c>
      <c r="I53" s="2387">
        <v>0</v>
      </c>
      <c r="J53" s="2386">
        <v>1241</v>
      </c>
      <c r="K53" s="891">
        <v>901</v>
      </c>
      <c r="L53" s="2387"/>
      <c r="M53" s="2383">
        <v>1231</v>
      </c>
      <c r="N53" s="575">
        <v>855</v>
      </c>
      <c r="O53" s="575">
        <v>45</v>
      </c>
      <c r="P53" s="2384">
        <v>11</v>
      </c>
      <c r="Q53" s="576">
        <v>35</v>
      </c>
    </row>
    <row r="54" spans="1:17" s="576" customFormat="1" x14ac:dyDescent="0.25">
      <c r="A54" s="578" t="s">
        <v>124</v>
      </c>
      <c r="B54" s="574" t="s">
        <v>125</v>
      </c>
      <c r="C54" s="573" t="s">
        <v>267</v>
      </c>
      <c r="D54" s="2410">
        <v>4955</v>
      </c>
      <c r="E54" s="2386">
        <v>2369</v>
      </c>
      <c r="F54" s="891">
        <v>1141</v>
      </c>
      <c r="G54" s="891">
        <v>1110</v>
      </c>
      <c r="H54" s="891">
        <v>335</v>
      </c>
      <c r="I54" s="2387">
        <v>0</v>
      </c>
      <c r="J54" s="2386">
        <v>2861</v>
      </c>
      <c r="K54" s="891">
        <v>2094</v>
      </c>
      <c r="L54" s="2387"/>
      <c r="M54" s="2383">
        <v>3075</v>
      </c>
      <c r="N54" s="575">
        <v>1773</v>
      </c>
      <c r="O54" s="575">
        <v>91</v>
      </c>
      <c r="P54" s="2384">
        <v>16</v>
      </c>
      <c r="Q54" s="576">
        <v>143</v>
      </c>
    </row>
    <row r="55" spans="1:17" s="576" customFormat="1" x14ac:dyDescent="0.25">
      <c r="A55" s="578" t="s">
        <v>126</v>
      </c>
      <c r="B55" s="574" t="s">
        <v>127</v>
      </c>
      <c r="C55" s="573" t="s">
        <v>266</v>
      </c>
      <c r="D55" s="2410">
        <v>3270</v>
      </c>
      <c r="E55" s="2386">
        <v>1504</v>
      </c>
      <c r="F55" s="891">
        <v>677</v>
      </c>
      <c r="G55" s="891">
        <v>807</v>
      </c>
      <c r="H55" s="891">
        <v>282</v>
      </c>
      <c r="I55" s="2387">
        <v>0</v>
      </c>
      <c r="J55" s="2386">
        <v>1930</v>
      </c>
      <c r="K55" s="891">
        <v>1340</v>
      </c>
      <c r="L55" s="2387"/>
      <c r="M55" s="2383">
        <v>1951</v>
      </c>
      <c r="N55" s="575">
        <v>1159</v>
      </c>
      <c r="O55" s="575">
        <v>143</v>
      </c>
      <c r="P55" s="2384">
        <v>17</v>
      </c>
      <c r="Q55" s="576">
        <v>64</v>
      </c>
    </row>
    <row r="56" spans="1:17" s="576" customFormat="1" x14ac:dyDescent="0.25">
      <c r="A56" s="578" t="s">
        <v>128</v>
      </c>
      <c r="B56" s="574" t="s">
        <v>129</v>
      </c>
      <c r="C56" s="573" t="s">
        <v>266</v>
      </c>
      <c r="D56" s="2410">
        <v>2883</v>
      </c>
      <c r="E56" s="2386">
        <v>1182</v>
      </c>
      <c r="F56" s="891">
        <v>624</v>
      </c>
      <c r="G56" s="891">
        <v>702</v>
      </c>
      <c r="H56" s="891">
        <v>375</v>
      </c>
      <c r="I56" s="2387">
        <v>0</v>
      </c>
      <c r="J56" s="2386">
        <v>1712</v>
      </c>
      <c r="K56" s="891">
        <v>1171</v>
      </c>
      <c r="L56" s="2387"/>
      <c r="M56" s="2383">
        <v>1087</v>
      </c>
      <c r="N56" s="575">
        <v>1756</v>
      </c>
      <c r="O56" s="575">
        <v>34</v>
      </c>
      <c r="P56" s="2384">
        <v>6</v>
      </c>
      <c r="Q56" s="576">
        <v>20</v>
      </c>
    </row>
    <row r="57" spans="1:17" s="576" customFormat="1" x14ac:dyDescent="0.25">
      <c r="A57" s="578" t="s">
        <v>130</v>
      </c>
      <c r="B57" s="574" t="s">
        <v>131</v>
      </c>
      <c r="C57" s="573" t="s">
        <v>268</v>
      </c>
      <c r="D57" s="2410">
        <v>10043</v>
      </c>
      <c r="E57" s="2386">
        <v>3348</v>
      </c>
      <c r="F57" s="891">
        <v>2107</v>
      </c>
      <c r="G57" s="891">
        <v>3382</v>
      </c>
      <c r="H57" s="891">
        <v>1206</v>
      </c>
      <c r="I57" s="2387">
        <v>0</v>
      </c>
      <c r="J57" s="2386">
        <v>5368</v>
      </c>
      <c r="K57" s="891">
        <v>4675</v>
      </c>
      <c r="L57" s="2387"/>
      <c r="M57" s="2383">
        <v>9898</v>
      </c>
      <c r="N57" s="575">
        <v>63</v>
      </c>
      <c r="O57" s="575">
        <v>47</v>
      </c>
      <c r="P57" s="2384">
        <v>35</v>
      </c>
      <c r="Q57" s="576">
        <v>51</v>
      </c>
    </row>
    <row r="58" spans="1:17" s="576" customFormat="1" x14ac:dyDescent="0.25">
      <c r="A58" s="578" t="s">
        <v>132</v>
      </c>
      <c r="B58" s="574" t="s">
        <v>133</v>
      </c>
      <c r="C58" s="573" t="s">
        <v>267</v>
      </c>
      <c r="D58" s="2410">
        <v>31672</v>
      </c>
      <c r="E58" s="2386">
        <v>18490</v>
      </c>
      <c r="F58" s="891">
        <v>5158</v>
      </c>
      <c r="G58" s="891">
        <v>4793</v>
      </c>
      <c r="H58" s="891">
        <v>3229</v>
      </c>
      <c r="I58" s="2387">
        <v>2</v>
      </c>
      <c r="J58" s="2386">
        <v>17622</v>
      </c>
      <c r="K58" s="891">
        <v>14050</v>
      </c>
      <c r="L58" s="2387"/>
      <c r="M58" s="2383">
        <v>22036</v>
      </c>
      <c r="N58" s="575">
        <v>4424</v>
      </c>
      <c r="O58" s="575">
        <v>4983</v>
      </c>
      <c r="P58" s="2384">
        <v>229</v>
      </c>
      <c r="Q58" s="576">
        <v>2497</v>
      </c>
    </row>
    <row r="59" spans="1:17" s="576" customFormat="1" x14ac:dyDescent="0.25">
      <c r="A59" s="578" t="s">
        <v>134</v>
      </c>
      <c r="B59" s="574" t="s">
        <v>135</v>
      </c>
      <c r="C59" s="573" t="s">
        <v>267</v>
      </c>
      <c r="D59" s="2410">
        <v>8113</v>
      </c>
      <c r="E59" s="2386">
        <v>3555</v>
      </c>
      <c r="F59" s="891">
        <v>1694</v>
      </c>
      <c r="G59" s="891">
        <v>2089</v>
      </c>
      <c r="H59" s="891">
        <v>775</v>
      </c>
      <c r="I59" s="2387">
        <v>0</v>
      </c>
      <c r="J59" s="2386">
        <v>4569</v>
      </c>
      <c r="K59" s="891">
        <v>3544</v>
      </c>
      <c r="L59" s="2387"/>
      <c r="M59" s="2383">
        <v>5749</v>
      </c>
      <c r="N59" s="575">
        <v>2245</v>
      </c>
      <c r="O59" s="575">
        <v>98</v>
      </c>
      <c r="P59" s="2384">
        <v>21</v>
      </c>
      <c r="Q59" s="576">
        <v>171</v>
      </c>
    </row>
    <row r="60" spans="1:17" s="576" customFormat="1" x14ac:dyDescent="0.25">
      <c r="A60" s="578" t="s">
        <v>136</v>
      </c>
      <c r="B60" s="574" t="s">
        <v>137</v>
      </c>
      <c r="C60" s="573" t="s">
        <v>266</v>
      </c>
      <c r="D60" s="2410">
        <v>4013</v>
      </c>
      <c r="E60" s="2386">
        <v>1563</v>
      </c>
      <c r="F60" s="891">
        <v>838</v>
      </c>
      <c r="G60" s="891">
        <v>1051</v>
      </c>
      <c r="H60" s="891">
        <v>561</v>
      </c>
      <c r="I60" s="2387">
        <v>0</v>
      </c>
      <c r="J60" s="2386">
        <v>2243</v>
      </c>
      <c r="K60" s="891">
        <v>1770</v>
      </c>
      <c r="L60" s="2387"/>
      <c r="M60" s="2383">
        <v>1908</v>
      </c>
      <c r="N60" s="575">
        <v>1953</v>
      </c>
      <c r="O60" s="575">
        <v>145</v>
      </c>
      <c r="P60" s="2384">
        <v>7</v>
      </c>
      <c r="Q60" s="576">
        <v>118</v>
      </c>
    </row>
    <row r="61" spans="1:17" s="576" customFormat="1" x14ac:dyDescent="0.25">
      <c r="A61" s="578" t="s">
        <v>140</v>
      </c>
      <c r="B61" s="574" t="s">
        <v>141</v>
      </c>
      <c r="C61" s="573" t="s">
        <v>267</v>
      </c>
      <c r="D61" s="2410">
        <v>2909</v>
      </c>
      <c r="E61" s="2386">
        <v>1314</v>
      </c>
      <c r="F61" s="891">
        <v>594</v>
      </c>
      <c r="G61" s="891">
        <v>677</v>
      </c>
      <c r="H61" s="891">
        <v>324</v>
      </c>
      <c r="I61" s="2387">
        <v>0</v>
      </c>
      <c r="J61" s="2386">
        <v>1627</v>
      </c>
      <c r="K61" s="891">
        <v>1282</v>
      </c>
      <c r="L61" s="2387"/>
      <c r="M61" s="2383">
        <v>2386</v>
      </c>
      <c r="N61" s="575">
        <v>479</v>
      </c>
      <c r="O61" s="575">
        <v>36</v>
      </c>
      <c r="P61" s="2384">
        <v>8</v>
      </c>
      <c r="Q61" s="576">
        <v>44</v>
      </c>
    </row>
    <row r="62" spans="1:17" s="576" customFormat="1" x14ac:dyDescent="0.25">
      <c r="A62" s="578" t="s">
        <v>146</v>
      </c>
      <c r="B62" s="574" t="s">
        <v>147</v>
      </c>
      <c r="C62" s="573" t="s">
        <v>264</v>
      </c>
      <c r="D62" s="2410">
        <v>1735</v>
      </c>
      <c r="E62" s="2386">
        <v>674</v>
      </c>
      <c r="F62" s="891">
        <v>385</v>
      </c>
      <c r="G62" s="891">
        <v>483</v>
      </c>
      <c r="H62" s="891">
        <v>193</v>
      </c>
      <c r="I62" s="2387">
        <v>0</v>
      </c>
      <c r="J62" s="2386">
        <v>1001</v>
      </c>
      <c r="K62" s="891">
        <v>734</v>
      </c>
      <c r="L62" s="2387"/>
      <c r="M62" s="2383">
        <v>1382</v>
      </c>
      <c r="N62" s="575">
        <v>327</v>
      </c>
      <c r="O62" s="575">
        <v>25</v>
      </c>
      <c r="P62" s="2384">
        <v>1</v>
      </c>
      <c r="Q62" s="576">
        <v>24</v>
      </c>
    </row>
    <row r="63" spans="1:17" s="576" customFormat="1" x14ac:dyDescent="0.25">
      <c r="A63" s="578" t="s">
        <v>148</v>
      </c>
      <c r="B63" s="574" t="s">
        <v>149</v>
      </c>
      <c r="C63" s="573" t="s">
        <v>265</v>
      </c>
      <c r="D63" s="2410">
        <v>9418</v>
      </c>
      <c r="E63" s="2386">
        <v>3794</v>
      </c>
      <c r="F63" s="891">
        <v>1953</v>
      </c>
      <c r="G63" s="891">
        <v>2461</v>
      </c>
      <c r="H63" s="891">
        <v>1210</v>
      </c>
      <c r="I63" s="2387">
        <v>0</v>
      </c>
      <c r="J63" s="2386">
        <v>5394</v>
      </c>
      <c r="K63" s="891">
        <v>4024</v>
      </c>
      <c r="L63" s="2387"/>
      <c r="M63" s="2383">
        <v>3991</v>
      </c>
      <c r="N63" s="575">
        <v>5315</v>
      </c>
      <c r="O63" s="575">
        <v>102</v>
      </c>
      <c r="P63" s="2384">
        <v>10</v>
      </c>
      <c r="Q63" s="576">
        <v>168</v>
      </c>
    </row>
    <row r="64" spans="1:17" s="576" customFormat="1" x14ac:dyDescent="0.25">
      <c r="A64" s="578" t="s">
        <v>150</v>
      </c>
      <c r="B64" s="574" t="s">
        <v>151</v>
      </c>
      <c r="C64" s="573" t="s">
        <v>266</v>
      </c>
      <c r="D64" s="2410">
        <v>2977</v>
      </c>
      <c r="E64" s="2386">
        <v>1186</v>
      </c>
      <c r="F64" s="891">
        <v>633</v>
      </c>
      <c r="G64" s="891">
        <v>820</v>
      </c>
      <c r="H64" s="891">
        <v>338</v>
      </c>
      <c r="I64" s="2387">
        <v>0</v>
      </c>
      <c r="J64" s="2386">
        <v>1672</v>
      </c>
      <c r="K64" s="891">
        <v>1305</v>
      </c>
      <c r="L64" s="2387"/>
      <c r="M64" s="2383">
        <v>2053</v>
      </c>
      <c r="N64" s="575">
        <v>882</v>
      </c>
      <c r="O64" s="575">
        <v>35</v>
      </c>
      <c r="P64" s="2384">
        <v>7</v>
      </c>
      <c r="Q64" s="576">
        <v>52</v>
      </c>
    </row>
    <row r="65" spans="1:17" s="576" customFormat="1" x14ac:dyDescent="0.25">
      <c r="A65" s="578" t="s">
        <v>152</v>
      </c>
      <c r="B65" s="574" t="s">
        <v>153</v>
      </c>
      <c r="C65" s="573" t="s">
        <v>268</v>
      </c>
      <c r="D65" s="2410">
        <v>13347</v>
      </c>
      <c r="E65" s="2386">
        <v>5784</v>
      </c>
      <c r="F65" s="891">
        <v>3133</v>
      </c>
      <c r="G65" s="891">
        <v>3386</v>
      </c>
      <c r="H65" s="891">
        <v>1044</v>
      </c>
      <c r="I65" s="2387">
        <v>0</v>
      </c>
      <c r="J65" s="2386">
        <v>7581</v>
      </c>
      <c r="K65" s="891">
        <v>5766</v>
      </c>
      <c r="L65" s="2387"/>
      <c r="M65" s="2383">
        <v>11764</v>
      </c>
      <c r="N65" s="575">
        <v>1211</v>
      </c>
      <c r="O65" s="575">
        <v>344</v>
      </c>
      <c r="P65" s="2384">
        <v>28</v>
      </c>
      <c r="Q65" s="576">
        <v>420</v>
      </c>
    </row>
    <row r="66" spans="1:17" s="576" customFormat="1" x14ac:dyDescent="0.25">
      <c r="A66" s="578" t="s">
        <v>154</v>
      </c>
      <c r="B66" s="574" t="s">
        <v>155</v>
      </c>
      <c r="C66" s="573" t="s">
        <v>265</v>
      </c>
      <c r="D66" s="2410">
        <v>3814</v>
      </c>
      <c r="E66" s="2386">
        <v>1564</v>
      </c>
      <c r="F66" s="891">
        <v>733</v>
      </c>
      <c r="G66" s="891">
        <v>1029</v>
      </c>
      <c r="H66" s="891">
        <v>488</v>
      </c>
      <c r="I66" s="2387">
        <v>0</v>
      </c>
      <c r="J66" s="2386">
        <v>2108</v>
      </c>
      <c r="K66" s="891">
        <v>1706</v>
      </c>
      <c r="L66" s="2387"/>
      <c r="M66" s="2383">
        <v>2958</v>
      </c>
      <c r="N66" s="575">
        <v>760</v>
      </c>
      <c r="O66" s="575">
        <v>87</v>
      </c>
      <c r="P66" s="2384">
        <v>9</v>
      </c>
      <c r="Q66" s="576">
        <v>128</v>
      </c>
    </row>
    <row r="67" spans="1:17" s="576" customFormat="1" x14ac:dyDescent="0.25">
      <c r="A67" s="578" t="s">
        <v>156</v>
      </c>
      <c r="B67" s="574" t="s">
        <v>157</v>
      </c>
      <c r="C67" s="573" t="s">
        <v>266</v>
      </c>
      <c r="D67" s="2410">
        <v>2720</v>
      </c>
      <c r="E67" s="2386">
        <v>1302</v>
      </c>
      <c r="F67" s="891">
        <v>634</v>
      </c>
      <c r="G67" s="891">
        <v>598</v>
      </c>
      <c r="H67" s="891">
        <v>186</v>
      </c>
      <c r="I67" s="2387">
        <v>0</v>
      </c>
      <c r="J67" s="2386">
        <v>1538</v>
      </c>
      <c r="K67" s="891">
        <v>1182</v>
      </c>
      <c r="L67" s="2387"/>
      <c r="M67" s="2383">
        <v>2065</v>
      </c>
      <c r="N67" s="575">
        <v>560</v>
      </c>
      <c r="O67" s="575">
        <v>84</v>
      </c>
      <c r="P67" s="2384">
        <v>11</v>
      </c>
      <c r="Q67" s="576">
        <v>89</v>
      </c>
    </row>
    <row r="68" spans="1:17" s="576" customFormat="1" x14ac:dyDescent="0.25">
      <c r="A68" s="578" t="s">
        <v>162</v>
      </c>
      <c r="B68" s="574" t="s">
        <v>163</v>
      </c>
      <c r="C68" s="573" t="s">
        <v>264</v>
      </c>
      <c r="D68" s="2410">
        <v>4590</v>
      </c>
      <c r="E68" s="2386">
        <v>1849</v>
      </c>
      <c r="F68" s="891">
        <v>864</v>
      </c>
      <c r="G68" s="891">
        <v>1177</v>
      </c>
      <c r="H68" s="891">
        <v>700</v>
      </c>
      <c r="I68" s="2387">
        <v>0</v>
      </c>
      <c r="J68" s="2386">
        <v>2592</v>
      </c>
      <c r="K68" s="891">
        <v>1998</v>
      </c>
      <c r="L68" s="2387"/>
      <c r="M68" s="2383">
        <v>1830</v>
      </c>
      <c r="N68" s="575">
        <v>2730</v>
      </c>
      <c r="O68" s="575">
        <v>26</v>
      </c>
      <c r="P68" s="2384">
        <v>4</v>
      </c>
      <c r="Q68" s="576">
        <v>244</v>
      </c>
    </row>
    <row r="69" spans="1:17" s="576" customFormat="1" x14ac:dyDescent="0.25">
      <c r="A69" s="578" t="s">
        <v>164</v>
      </c>
      <c r="B69" s="574" t="s">
        <v>165</v>
      </c>
      <c r="C69" s="573" t="s">
        <v>266</v>
      </c>
      <c r="D69" s="2410">
        <v>3088</v>
      </c>
      <c r="E69" s="2386">
        <v>1234</v>
      </c>
      <c r="F69" s="891">
        <v>647</v>
      </c>
      <c r="G69" s="891">
        <v>841</v>
      </c>
      <c r="H69" s="891">
        <v>366</v>
      </c>
      <c r="I69" s="2387">
        <v>0</v>
      </c>
      <c r="J69" s="2386">
        <v>1727</v>
      </c>
      <c r="K69" s="891">
        <v>1361</v>
      </c>
      <c r="L69" s="2387"/>
      <c r="M69" s="2383">
        <v>1365</v>
      </c>
      <c r="N69" s="575">
        <v>1659</v>
      </c>
      <c r="O69" s="575">
        <v>56</v>
      </c>
      <c r="P69" s="2384">
        <v>8</v>
      </c>
      <c r="Q69" s="576">
        <v>56</v>
      </c>
    </row>
    <row r="70" spans="1:17" s="576" customFormat="1" x14ac:dyDescent="0.25">
      <c r="A70" s="578" t="s">
        <v>168</v>
      </c>
      <c r="B70" s="574" t="s">
        <v>169</v>
      </c>
      <c r="C70" s="573" t="s">
        <v>266</v>
      </c>
      <c r="D70" s="2410">
        <v>5481</v>
      </c>
      <c r="E70" s="2386">
        <v>2250</v>
      </c>
      <c r="F70" s="891">
        <v>1165</v>
      </c>
      <c r="G70" s="891">
        <v>1359</v>
      </c>
      <c r="H70" s="891">
        <v>707</v>
      </c>
      <c r="I70" s="2387">
        <v>0</v>
      </c>
      <c r="J70" s="2386">
        <v>3104</v>
      </c>
      <c r="K70" s="891">
        <v>2377</v>
      </c>
      <c r="L70" s="2387"/>
      <c r="M70" s="2383">
        <v>2497</v>
      </c>
      <c r="N70" s="575">
        <v>2902</v>
      </c>
      <c r="O70" s="575">
        <v>70</v>
      </c>
      <c r="P70" s="2384">
        <v>12</v>
      </c>
      <c r="Q70" s="576">
        <v>165</v>
      </c>
    </row>
    <row r="71" spans="1:17" s="576" customFormat="1" x14ac:dyDescent="0.25">
      <c r="A71" s="578" t="s">
        <v>170</v>
      </c>
      <c r="B71" s="574" t="s">
        <v>171</v>
      </c>
      <c r="C71" s="573" t="s">
        <v>267</v>
      </c>
      <c r="D71" s="2410">
        <v>7410</v>
      </c>
      <c r="E71" s="2386">
        <v>3367</v>
      </c>
      <c r="F71" s="891">
        <v>1570</v>
      </c>
      <c r="G71" s="891">
        <v>1734</v>
      </c>
      <c r="H71" s="891">
        <v>739</v>
      </c>
      <c r="I71" s="2387">
        <v>0</v>
      </c>
      <c r="J71" s="2386">
        <v>4296</v>
      </c>
      <c r="K71" s="891">
        <v>3113</v>
      </c>
      <c r="L71" s="2387">
        <v>1</v>
      </c>
      <c r="M71" s="2383">
        <v>5424</v>
      </c>
      <c r="N71" s="575">
        <v>1806</v>
      </c>
      <c r="O71" s="575">
        <v>145</v>
      </c>
      <c r="P71" s="2384">
        <v>35</v>
      </c>
      <c r="Q71" s="576">
        <v>273</v>
      </c>
    </row>
    <row r="72" spans="1:17" s="576" customFormat="1" x14ac:dyDescent="0.25">
      <c r="A72" s="578" t="s">
        <v>172</v>
      </c>
      <c r="B72" s="574" t="s">
        <v>173</v>
      </c>
      <c r="C72" s="573" t="s">
        <v>267</v>
      </c>
      <c r="D72" s="2410">
        <v>6579</v>
      </c>
      <c r="E72" s="2386">
        <v>2647</v>
      </c>
      <c r="F72" s="891">
        <v>1391</v>
      </c>
      <c r="G72" s="891">
        <v>1817</v>
      </c>
      <c r="H72" s="891">
        <v>724</v>
      </c>
      <c r="I72" s="2387">
        <v>0</v>
      </c>
      <c r="J72" s="2386">
        <v>3634</v>
      </c>
      <c r="K72" s="891">
        <v>2945</v>
      </c>
      <c r="L72" s="2387"/>
      <c r="M72" s="2383">
        <v>6297</v>
      </c>
      <c r="N72" s="575">
        <v>217</v>
      </c>
      <c r="O72" s="575">
        <v>53</v>
      </c>
      <c r="P72" s="2384">
        <v>12</v>
      </c>
      <c r="Q72" s="576">
        <v>73</v>
      </c>
    </row>
    <row r="73" spans="1:17" s="576" customFormat="1" x14ac:dyDescent="0.25">
      <c r="A73" s="578" t="s">
        <v>174</v>
      </c>
      <c r="B73" s="574" t="s">
        <v>175</v>
      </c>
      <c r="C73" s="573" t="s">
        <v>268</v>
      </c>
      <c r="D73" s="2410">
        <v>5690</v>
      </c>
      <c r="E73" s="2386">
        <v>2087</v>
      </c>
      <c r="F73" s="891">
        <v>1210</v>
      </c>
      <c r="G73" s="891">
        <v>1668</v>
      </c>
      <c r="H73" s="891">
        <v>725</v>
      </c>
      <c r="I73" s="2387">
        <v>0</v>
      </c>
      <c r="J73" s="2386">
        <v>3115</v>
      </c>
      <c r="K73" s="891">
        <v>2575</v>
      </c>
      <c r="L73" s="2387"/>
      <c r="M73" s="2383">
        <v>5177</v>
      </c>
      <c r="N73" s="575">
        <v>455</v>
      </c>
      <c r="O73" s="575">
        <v>49</v>
      </c>
      <c r="P73" s="2384">
        <v>9</v>
      </c>
      <c r="Q73" s="576">
        <v>123</v>
      </c>
    </row>
    <row r="74" spans="1:17" s="576" customFormat="1" x14ac:dyDescent="0.25">
      <c r="A74" s="578" t="s">
        <v>178</v>
      </c>
      <c r="B74" s="574" t="s">
        <v>179</v>
      </c>
      <c r="C74" s="573" t="s">
        <v>265</v>
      </c>
      <c r="D74" s="2410">
        <v>18492</v>
      </c>
      <c r="E74" s="2386">
        <v>7351</v>
      </c>
      <c r="F74" s="891">
        <v>3904</v>
      </c>
      <c r="G74" s="891">
        <v>5027</v>
      </c>
      <c r="H74" s="891">
        <v>2210</v>
      </c>
      <c r="I74" s="2387">
        <v>0</v>
      </c>
      <c r="J74" s="2386">
        <v>10564</v>
      </c>
      <c r="K74" s="891">
        <v>7928</v>
      </c>
      <c r="L74" s="2387"/>
      <c r="M74" s="2383">
        <v>12012</v>
      </c>
      <c r="N74" s="575">
        <v>6082</v>
      </c>
      <c r="O74" s="575">
        <v>318</v>
      </c>
      <c r="P74" s="2384">
        <v>80</v>
      </c>
      <c r="Q74" s="576">
        <v>538</v>
      </c>
    </row>
    <row r="75" spans="1:17" s="576" customFormat="1" x14ac:dyDescent="0.25">
      <c r="A75" s="578" t="s">
        <v>182</v>
      </c>
      <c r="B75" s="574" t="s">
        <v>183</v>
      </c>
      <c r="C75" s="573" t="s">
        <v>266</v>
      </c>
      <c r="D75" s="2410">
        <v>3091</v>
      </c>
      <c r="E75" s="2386">
        <v>1410</v>
      </c>
      <c r="F75" s="891">
        <v>652</v>
      </c>
      <c r="G75" s="891">
        <v>783</v>
      </c>
      <c r="H75" s="891">
        <v>246</v>
      </c>
      <c r="I75" s="2387">
        <v>0</v>
      </c>
      <c r="J75" s="2386">
        <v>1719</v>
      </c>
      <c r="K75" s="891">
        <v>1372</v>
      </c>
      <c r="L75" s="2387"/>
      <c r="M75" s="2383">
        <v>2490</v>
      </c>
      <c r="N75" s="575">
        <v>524</v>
      </c>
      <c r="O75" s="575">
        <v>72</v>
      </c>
      <c r="P75" s="2384">
        <v>5</v>
      </c>
      <c r="Q75" s="576">
        <v>55</v>
      </c>
    </row>
    <row r="76" spans="1:17" s="576" customFormat="1" x14ac:dyDescent="0.25">
      <c r="A76" s="578" t="s">
        <v>184</v>
      </c>
      <c r="B76" s="574" t="s">
        <v>185</v>
      </c>
      <c r="C76" s="573" t="s">
        <v>266</v>
      </c>
      <c r="D76" s="2410">
        <v>6181</v>
      </c>
      <c r="E76" s="2386">
        <v>2546</v>
      </c>
      <c r="F76" s="891">
        <v>1393</v>
      </c>
      <c r="G76" s="891">
        <v>1602</v>
      </c>
      <c r="H76" s="891">
        <v>640</v>
      </c>
      <c r="I76" s="2387">
        <v>0</v>
      </c>
      <c r="J76" s="2386">
        <v>3529</v>
      </c>
      <c r="K76" s="891">
        <v>2652</v>
      </c>
      <c r="L76" s="2387"/>
      <c r="M76" s="2383">
        <v>2440</v>
      </c>
      <c r="N76" s="575">
        <v>3654</v>
      </c>
      <c r="O76" s="575">
        <v>74</v>
      </c>
      <c r="P76" s="2384">
        <v>13</v>
      </c>
      <c r="Q76" s="576">
        <v>93</v>
      </c>
    </row>
    <row r="77" spans="1:17" s="576" customFormat="1" x14ac:dyDescent="0.25">
      <c r="A77" s="578" t="s">
        <v>186</v>
      </c>
      <c r="B77" s="574" t="s">
        <v>187</v>
      </c>
      <c r="C77" s="573" t="s">
        <v>264</v>
      </c>
      <c r="D77" s="2410">
        <v>6812</v>
      </c>
      <c r="E77" s="2386">
        <v>3228</v>
      </c>
      <c r="F77" s="891">
        <v>1721</v>
      </c>
      <c r="G77" s="891">
        <v>1500</v>
      </c>
      <c r="H77" s="891">
        <v>363</v>
      </c>
      <c r="I77" s="2387">
        <v>0</v>
      </c>
      <c r="J77" s="2386">
        <v>3982</v>
      </c>
      <c r="K77" s="891">
        <v>2830</v>
      </c>
      <c r="L77" s="2387"/>
      <c r="M77" s="2383">
        <v>3463</v>
      </c>
      <c r="N77" s="575">
        <v>3105</v>
      </c>
      <c r="O77" s="575">
        <v>198</v>
      </c>
      <c r="P77" s="2384">
        <v>46</v>
      </c>
      <c r="Q77" s="576">
        <v>273</v>
      </c>
    </row>
    <row r="78" spans="1:17" s="576" customFormat="1" x14ac:dyDescent="0.25">
      <c r="A78" s="578" t="s">
        <v>188</v>
      </c>
      <c r="B78" s="574" t="s">
        <v>189</v>
      </c>
      <c r="C78" s="573" t="s">
        <v>267</v>
      </c>
      <c r="D78" s="2410">
        <v>76526</v>
      </c>
      <c r="E78" s="2386">
        <v>45156</v>
      </c>
      <c r="F78" s="891">
        <v>14731</v>
      </c>
      <c r="G78" s="891">
        <v>12097</v>
      </c>
      <c r="H78" s="891">
        <v>4542</v>
      </c>
      <c r="I78" s="2387">
        <v>0</v>
      </c>
      <c r="J78" s="2386">
        <v>42886</v>
      </c>
      <c r="K78" s="891">
        <v>33639</v>
      </c>
      <c r="L78" s="2387">
        <v>1</v>
      </c>
      <c r="M78" s="2383">
        <v>44344</v>
      </c>
      <c r="N78" s="575">
        <v>23045</v>
      </c>
      <c r="O78" s="575">
        <v>8551</v>
      </c>
      <c r="P78" s="2384">
        <v>586</v>
      </c>
      <c r="Q78" s="576">
        <v>8310</v>
      </c>
    </row>
    <row r="79" spans="1:17" s="576" customFormat="1" x14ac:dyDescent="0.25">
      <c r="A79" s="578" t="s">
        <v>190</v>
      </c>
      <c r="B79" s="574" t="s">
        <v>191</v>
      </c>
      <c r="C79" s="573" t="s">
        <v>268</v>
      </c>
      <c r="D79" s="2410">
        <v>10225</v>
      </c>
      <c r="E79" s="2386">
        <v>3848</v>
      </c>
      <c r="F79" s="891">
        <v>2315</v>
      </c>
      <c r="G79" s="891">
        <v>3007</v>
      </c>
      <c r="H79" s="891">
        <v>1055</v>
      </c>
      <c r="I79" s="2387">
        <v>0</v>
      </c>
      <c r="J79" s="2386">
        <v>5685</v>
      </c>
      <c r="K79" s="891">
        <v>4540</v>
      </c>
      <c r="L79" s="2387"/>
      <c r="M79" s="2383">
        <v>9151</v>
      </c>
      <c r="N79" s="575">
        <v>965</v>
      </c>
      <c r="O79" s="575">
        <v>96</v>
      </c>
      <c r="P79" s="2384">
        <v>13</v>
      </c>
      <c r="Q79" s="576">
        <v>122</v>
      </c>
    </row>
    <row r="80" spans="1:17" s="576" customFormat="1" x14ac:dyDescent="0.25">
      <c r="A80" s="578" t="s">
        <v>194</v>
      </c>
      <c r="B80" s="574" t="s">
        <v>195</v>
      </c>
      <c r="C80" s="573" t="s">
        <v>267</v>
      </c>
      <c r="D80" s="2410">
        <v>1126</v>
      </c>
      <c r="E80" s="2386">
        <v>499</v>
      </c>
      <c r="F80" s="891">
        <v>260</v>
      </c>
      <c r="G80" s="891">
        <v>238</v>
      </c>
      <c r="H80" s="891">
        <v>129</v>
      </c>
      <c r="I80" s="2387">
        <v>0</v>
      </c>
      <c r="J80" s="2386">
        <v>636</v>
      </c>
      <c r="K80" s="891">
        <v>490</v>
      </c>
      <c r="L80" s="2387"/>
      <c r="M80" s="2383">
        <v>988</v>
      </c>
      <c r="N80" s="575">
        <v>121</v>
      </c>
      <c r="O80" s="575">
        <v>17</v>
      </c>
      <c r="P80" s="2384">
        <v>0</v>
      </c>
      <c r="Q80" s="576">
        <v>19</v>
      </c>
    </row>
    <row r="81" spans="1:17" s="576" customFormat="1" x14ac:dyDescent="0.25">
      <c r="A81" s="578" t="s">
        <v>198</v>
      </c>
      <c r="B81" s="574" t="s">
        <v>272</v>
      </c>
      <c r="C81" s="573" t="s">
        <v>266</v>
      </c>
      <c r="D81" s="2410">
        <v>2640</v>
      </c>
      <c r="E81" s="2386">
        <v>1127</v>
      </c>
      <c r="F81" s="891">
        <v>616</v>
      </c>
      <c r="G81" s="891">
        <v>638</v>
      </c>
      <c r="H81" s="891">
        <v>259</v>
      </c>
      <c r="I81" s="2387">
        <v>0</v>
      </c>
      <c r="J81" s="2386">
        <v>1530</v>
      </c>
      <c r="K81" s="891">
        <v>1110</v>
      </c>
      <c r="L81" s="2387"/>
      <c r="M81" s="2383">
        <v>1439</v>
      </c>
      <c r="N81" s="575">
        <v>1164</v>
      </c>
      <c r="O81" s="575">
        <v>21</v>
      </c>
      <c r="P81" s="2384">
        <v>16</v>
      </c>
      <c r="Q81" s="576">
        <v>127</v>
      </c>
    </row>
    <row r="82" spans="1:17" s="576" customFormat="1" x14ac:dyDescent="0.25">
      <c r="A82" s="578" t="s">
        <v>202</v>
      </c>
      <c r="B82" s="574" t="s">
        <v>301</v>
      </c>
      <c r="C82" s="573" t="s">
        <v>265</v>
      </c>
      <c r="D82" s="2410">
        <v>18386</v>
      </c>
      <c r="E82" s="2386">
        <v>8551</v>
      </c>
      <c r="F82" s="891">
        <v>3736</v>
      </c>
      <c r="G82" s="891">
        <v>4369</v>
      </c>
      <c r="H82" s="891">
        <v>1730</v>
      </c>
      <c r="I82" s="2387">
        <v>0</v>
      </c>
      <c r="J82" s="2386">
        <v>10396</v>
      </c>
      <c r="K82" s="891">
        <v>7990</v>
      </c>
      <c r="L82" s="2387"/>
      <c r="M82" s="2383">
        <v>14639</v>
      </c>
      <c r="N82" s="575">
        <v>2937</v>
      </c>
      <c r="O82" s="575">
        <v>752</v>
      </c>
      <c r="P82" s="2384">
        <v>58</v>
      </c>
      <c r="Q82" s="576">
        <v>511</v>
      </c>
    </row>
    <row r="83" spans="1:17" s="576" customFormat="1" x14ac:dyDescent="0.25">
      <c r="A83" s="578" t="s">
        <v>204</v>
      </c>
      <c r="B83" s="574" t="s">
        <v>293</v>
      </c>
      <c r="C83" s="573" t="s">
        <v>265</v>
      </c>
      <c r="D83" s="2410">
        <v>8558</v>
      </c>
      <c r="E83" s="2386">
        <v>3547</v>
      </c>
      <c r="F83" s="891">
        <v>1841</v>
      </c>
      <c r="G83" s="891">
        <v>2182</v>
      </c>
      <c r="H83" s="891">
        <v>988</v>
      </c>
      <c r="I83" s="2387">
        <v>0</v>
      </c>
      <c r="J83" s="2386">
        <v>4905</v>
      </c>
      <c r="K83" s="891">
        <v>3653</v>
      </c>
      <c r="L83" s="2387"/>
      <c r="M83" s="2383">
        <v>7714</v>
      </c>
      <c r="N83" s="575">
        <v>696</v>
      </c>
      <c r="O83" s="575">
        <v>121</v>
      </c>
      <c r="P83" s="2384">
        <v>27</v>
      </c>
      <c r="Q83" s="576">
        <v>144</v>
      </c>
    </row>
    <row r="84" spans="1:17" s="576" customFormat="1" x14ac:dyDescent="0.25">
      <c r="A84" s="578" t="s">
        <v>206</v>
      </c>
      <c r="B84" s="574" t="s">
        <v>294</v>
      </c>
      <c r="C84" s="573" t="s">
        <v>267</v>
      </c>
      <c r="D84" s="2410">
        <v>26086</v>
      </c>
      <c r="E84" s="2386">
        <v>13551</v>
      </c>
      <c r="F84" s="891">
        <v>5195</v>
      </c>
      <c r="G84" s="891">
        <v>5357</v>
      </c>
      <c r="H84" s="891">
        <v>1983</v>
      </c>
      <c r="I84" s="2387">
        <v>0</v>
      </c>
      <c r="J84" s="2386">
        <v>14797</v>
      </c>
      <c r="K84" s="891">
        <v>11289</v>
      </c>
      <c r="L84" s="2387"/>
      <c r="M84" s="2383">
        <v>22904</v>
      </c>
      <c r="N84" s="575">
        <v>2502</v>
      </c>
      <c r="O84" s="575">
        <v>636</v>
      </c>
      <c r="P84" s="2384">
        <v>44</v>
      </c>
      <c r="Q84" s="576">
        <v>2645</v>
      </c>
    </row>
    <row r="85" spans="1:17" s="576" customFormat="1" x14ac:dyDescent="0.25">
      <c r="A85" s="578" t="s">
        <v>208</v>
      </c>
      <c r="B85" s="574" t="s">
        <v>209</v>
      </c>
      <c r="C85" s="573" t="s">
        <v>268</v>
      </c>
      <c r="D85" s="2410">
        <v>9972</v>
      </c>
      <c r="E85" s="2386">
        <v>3549</v>
      </c>
      <c r="F85" s="891">
        <v>2196</v>
      </c>
      <c r="G85" s="891">
        <v>3262</v>
      </c>
      <c r="H85" s="891">
        <v>965</v>
      </c>
      <c r="I85" s="2387">
        <v>0</v>
      </c>
      <c r="J85" s="2386">
        <v>5511</v>
      </c>
      <c r="K85" s="891">
        <v>4461</v>
      </c>
      <c r="L85" s="2387"/>
      <c r="M85" s="2383">
        <v>9821</v>
      </c>
      <c r="N85" s="575">
        <v>93</v>
      </c>
      <c r="O85" s="575">
        <v>30</v>
      </c>
      <c r="P85" s="2384">
        <v>28</v>
      </c>
      <c r="Q85" s="576">
        <v>51</v>
      </c>
    </row>
    <row r="86" spans="1:17" s="576" customFormat="1" x14ac:dyDescent="0.25">
      <c r="A86" s="578" t="s">
        <v>210</v>
      </c>
      <c r="B86" s="574" t="s">
        <v>211</v>
      </c>
      <c r="C86" s="573" t="s">
        <v>268</v>
      </c>
      <c r="D86" s="2410">
        <v>7183</v>
      </c>
      <c r="E86" s="2386">
        <v>2502</v>
      </c>
      <c r="F86" s="891">
        <v>1464</v>
      </c>
      <c r="G86" s="891">
        <v>2267</v>
      </c>
      <c r="H86" s="891">
        <v>950</v>
      </c>
      <c r="I86" s="2387">
        <v>0</v>
      </c>
      <c r="J86" s="2386">
        <v>3885</v>
      </c>
      <c r="K86" s="891">
        <v>3298</v>
      </c>
      <c r="L86" s="2387"/>
      <c r="M86" s="2383">
        <v>7034</v>
      </c>
      <c r="N86" s="575">
        <v>98</v>
      </c>
      <c r="O86" s="575">
        <v>44</v>
      </c>
      <c r="P86" s="2384">
        <v>7</v>
      </c>
      <c r="Q86" s="576">
        <v>55</v>
      </c>
    </row>
    <row r="87" spans="1:17" s="576" customFormat="1" x14ac:dyDescent="0.25">
      <c r="A87" s="578" t="s">
        <v>212</v>
      </c>
      <c r="B87" s="574" t="s">
        <v>213</v>
      </c>
      <c r="C87" s="573" t="s">
        <v>267</v>
      </c>
      <c r="D87" s="2410">
        <v>10219</v>
      </c>
      <c r="E87" s="2386">
        <v>4752</v>
      </c>
      <c r="F87" s="891">
        <v>2232</v>
      </c>
      <c r="G87" s="891">
        <v>2349</v>
      </c>
      <c r="H87" s="891">
        <v>886</v>
      </c>
      <c r="I87" s="2387">
        <v>0</v>
      </c>
      <c r="J87" s="2386">
        <v>5790</v>
      </c>
      <c r="K87" s="891">
        <v>4429</v>
      </c>
      <c r="L87" s="2387"/>
      <c r="M87" s="2383">
        <v>9304</v>
      </c>
      <c r="N87" s="575">
        <v>526</v>
      </c>
      <c r="O87" s="575">
        <v>371</v>
      </c>
      <c r="P87" s="2384">
        <v>18</v>
      </c>
      <c r="Q87" s="576">
        <v>913</v>
      </c>
    </row>
    <row r="88" spans="1:17" s="576" customFormat="1" x14ac:dyDescent="0.25">
      <c r="A88" s="578" t="s">
        <v>214</v>
      </c>
      <c r="B88" s="574" t="s">
        <v>215</v>
      </c>
      <c r="C88" s="573" t="s">
        <v>268</v>
      </c>
      <c r="D88" s="2410">
        <v>10833</v>
      </c>
      <c r="E88" s="2386">
        <v>3921</v>
      </c>
      <c r="F88" s="891">
        <v>2429</v>
      </c>
      <c r="G88" s="891">
        <v>3316</v>
      </c>
      <c r="H88" s="891">
        <v>1167</v>
      </c>
      <c r="I88" s="2387">
        <v>0</v>
      </c>
      <c r="J88" s="2386">
        <v>5985</v>
      </c>
      <c r="K88" s="891">
        <v>4848</v>
      </c>
      <c r="L88" s="2387"/>
      <c r="M88" s="2383">
        <v>10526</v>
      </c>
      <c r="N88" s="575">
        <v>219</v>
      </c>
      <c r="O88" s="575">
        <v>76</v>
      </c>
      <c r="P88" s="2384">
        <v>12</v>
      </c>
      <c r="Q88" s="576">
        <v>103</v>
      </c>
    </row>
    <row r="89" spans="1:17" s="576" customFormat="1" x14ac:dyDescent="0.25">
      <c r="A89" s="578" t="s">
        <v>216</v>
      </c>
      <c r="B89" s="574" t="s">
        <v>217</v>
      </c>
      <c r="C89" s="573" t="s">
        <v>264</v>
      </c>
      <c r="D89" s="2410">
        <v>5149</v>
      </c>
      <c r="E89" s="2386">
        <v>2110</v>
      </c>
      <c r="F89" s="891">
        <v>1147</v>
      </c>
      <c r="G89" s="891">
        <v>1331</v>
      </c>
      <c r="H89" s="891">
        <v>561</v>
      </c>
      <c r="I89" s="2387">
        <v>0</v>
      </c>
      <c r="J89" s="2386">
        <v>2999</v>
      </c>
      <c r="K89" s="891">
        <v>2150</v>
      </c>
      <c r="L89" s="2387"/>
      <c r="M89" s="2383">
        <v>2119</v>
      </c>
      <c r="N89" s="575">
        <v>2954</v>
      </c>
      <c r="O89" s="575">
        <v>57</v>
      </c>
      <c r="P89" s="2384">
        <v>19</v>
      </c>
      <c r="Q89" s="576">
        <v>62</v>
      </c>
    </row>
    <row r="90" spans="1:17" s="576" customFormat="1" x14ac:dyDescent="0.25">
      <c r="A90" s="578" t="s">
        <v>218</v>
      </c>
      <c r="B90" s="574" t="s">
        <v>219</v>
      </c>
      <c r="C90" s="573" t="s">
        <v>267</v>
      </c>
      <c r="D90" s="2410">
        <v>26266</v>
      </c>
      <c r="E90" s="2386">
        <v>13597</v>
      </c>
      <c r="F90" s="891">
        <v>5765</v>
      </c>
      <c r="G90" s="891">
        <v>5473</v>
      </c>
      <c r="H90" s="891">
        <v>1431</v>
      </c>
      <c r="I90" s="2387">
        <v>0</v>
      </c>
      <c r="J90" s="2386">
        <v>15035</v>
      </c>
      <c r="K90" s="891">
        <v>11231</v>
      </c>
      <c r="L90" s="2387"/>
      <c r="M90" s="2383">
        <v>17245</v>
      </c>
      <c r="N90" s="575">
        <v>7599</v>
      </c>
      <c r="O90" s="575">
        <v>1275</v>
      </c>
      <c r="P90" s="2384">
        <v>147</v>
      </c>
      <c r="Q90" s="576">
        <v>1217</v>
      </c>
    </row>
    <row r="91" spans="1:17" s="576" customFormat="1" x14ac:dyDescent="0.25">
      <c r="A91" s="578" t="s">
        <v>220</v>
      </c>
      <c r="B91" s="574" t="s">
        <v>221</v>
      </c>
      <c r="C91" s="573" t="s">
        <v>267</v>
      </c>
      <c r="D91" s="2410">
        <v>22209</v>
      </c>
      <c r="E91" s="2386">
        <v>11757</v>
      </c>
      <c r="F91" s="891">
        <v>5260</v>
      </c>
      <c r="G91" s="891">
        <v>4109</v>
      </c>
      <c r="H91" s="891">
        <v>1083</v>
      </c>
      <c r="I91" s="2387">
        <v>0</v>
      </c>
      <c r="J91" s="2386">
        <v>12886</v>
      </c>
      <c r="K91" s="891">
        <v>9323</v>
      </c>
      <c r="L91" s="2387"/>
      <c r="M91" s="2383">
        <v>13449</v>
      </c>
      <c r="N91" s="575">
        <v>7194</v>
      </c>
      <c r="O91" s="575">
        <v>1395</v>
      </c>
      <c r="P91" s="2384">
        <v>171</v>
      </c>
      <c r="Q91" s="576">
        <v>1799</v>
      </c>
    </row>
    <row r="92" spans="1:17" s="576" customFormat="1" x14ac:dyDescent="0.25">
      <c r="A92" s="578" t="s">
        <v>224</v>
      </c>
      <c r="B92" s="574" t="s">
        <v>225</v>
      </c>
      <c r="C92" s="573" t="s">
        <v>264</v>
      </c>
      <c r="D92" s="2410">
        <v>1741</v>
      </c>
      <c r="E92" s="2386">
        <v>667</v>
      </c>
      <c r="F92" s="891">
        <v>391</v>
      </c>
      <c r="G92" s="891">
        <v>514</v>
      </c>
      <c r="H92" s="891">
        <v>169</v>
      </c>
      <c r="I92" s="2387">
        <v>0</v>
      </c>
      <c r="J92" s="2386">
        <v>984</v>
      </c>
      <c r="K92" s="891">
        <v>757</v>
      </c>
      <c r="L92" s="2387"/>
      <c r="M92" s="2383">
        <v>629</v>
      </c>
      <c r="N92" s="575">
        <v>1083</v>
      </c>
      <c r="O92" s="575">
        <v>27</v>
      </c>
      <c r="P92" s="2384">
        <v>2</v>
      </c>
      <c r="Q92" s="576">
        <v>16</v>
      </c>
    </row>
    <row r="93" spans="1:17" s="576" customFormat="1" x14ac:dyDescent="0.25">
      <c r="A93" s="578" t="s">
        <v>226</v>
      </c>
      <c r="B93" s="574" t="s">
        <v>227</v>
      </c>
      <c r="C93" s="573" t="s">
        <v>264</v>
      </c>
      <c r="D93" s="2410">
        <v>3296</v>
      </c>
      <c r="E93" s="2386">
        <v>1358</v>
      </c>
      <c r="F93" s="891">
        <v>738</v>
      </c>
      <c r="G93" s="891">
        <v>857</v>
      </c>
      <c r="H93" s="891">
        <v>343</v>
      </c>
      <c r="I93" s="2387">
        <v>0</v>
      </c>
      <c r="J93" s="2386">
        <v>1861</v>
      </c>
      <c r="K93" s="891">
        <v>1435</v>
      </c>
      <c r="L93" s="2387"/>
      <c r="M93" s="2383">
        <v>918</v>
      </c>
      <c r="N93" s="575">
        <v>2344</v>
      </c>
      <c r="O93" s="575">
        <v>28</v>
      </c>
      <c r="P93" s="2384">
        <v>6</v>
      </c>
      <c r="Q93" s="576">
        <v>55</v>
      </c>
    </row>
    <row r="94" spans="1:17" s="576" customFormat="1" x14ac:dyDescent="0.25">
      <c r="A94" s="578" t="s">
        <v>228</v>
      </c>
      <c r="B94" s="574" t="s">
        <v>229</v>
      </c>
      <c r="C94" s="573" t="s">
        <v>268</v>
      </c>
      <c r="D94" s="2410">
        <v>14783</v>
      </c>
      <c r="E94" s="2386">
        <v>5530</v>
      </c>
      <c r="F94" s="891">
        <v>3349</v>
      </c>
      <c r="G94" s="891">
        <v>4591</v>
      </c>
      <c r="H94" s="891">
        <v>1313</v>
      </c>
      <c r="I94" s="2387">
        <v>0</v>
      </c>
      <c r="J94" s="2386">
        <v>8296</v>
      </c>
      <c r="K94" s="891">
        <v>6487</v>
      </c>
      <c r="L94" s="2387"/>
      <c r="M94" s="2383">
        <v>14089</v>
      </c>
      <c r="N94" s="575">
        <v>549</v>
      </c>
      <c r="O94" s="575">
        <v>82</v>
      </c>
      <c r="P94" s="2384">
        <v>63</v>
      </c>
      <c r="Q94" s="576">
        <v>104</v>
      </c>
    </row>
    <row r="95" spans="1:17" s="576" customFormat="1" x14ac:dyDescent="0.25">
      <c r="A95" s="578" t="s">
        <v>232</v>
      </c>
      <c r="B95" s="574" t="s">
        <v>233</v>
      </c>
      <c r="C95" s="573" t="s">
        <v>267</v>
      </c>
      <c r="D95" s="2410">
        <v>9073</v>
      </c>
      <c r="E95" s="2386">
        <v>4153</v>
      </c>
      <c r="F95" s="891">
        <v>2056</v>
      </c>
      <c r="G95" s="891">
        <v>2207</v>
      </c>
      <c r="H95" s="891">
        <v>657</v>
      </c>
      <c r="I95" s="2387">
        <v>0</v>
      </c>
      <c r="J95" s="2386">
        <v>5109</v>
      </c>
      <c r="K95" s="891">
        <v>3964</v>
      </c>
      <c r="L95" s="2387"/>
      <c r="M95" s="2383">
        <v>7876</v>
      </c>
      <c r="N95" s="575">
        <v>975</v>
      </c>
      <c r="O95" s="575">
        <v>189</v>
      </c>
      <c r="P95" s="2384">
        <v>33</v>
      </c>
      <c r="Q95" s="576">
        <v>255</v>
      </c>
    </row>
    <row r="96" spans="1:17" s="576" customFormat="1" x14ac:dyDescent="0.25">
      <c r="A96" s="578" t="s">
        <v>234</v>
      </c>
      <c r="B96" s="574" t="s">
        <v>235</v>
      </c>
      <c r="C96" s="573" t="s">
        <v>268</v>
      </c>
      <c r="D96" s="2410">
        <v>14323</v>
      </c>
      <c r="E96" s="2386">
        <v>5501</v>
      </c>
      <c r="F96" s="891">
        <v>3003</v>
      </c>
      <c r="G96" s="891">
        <v>4320</v>
      </c>
      <c r="H96" s="891">
        <v>1499</v>
      </c>
      <c r="I96" s="2387">
        <v>0</v>
      </c>
      <c r="J96" s="2386">
        <v>8005</v>
      </c>
      <c r="K96" s="891">
        <v>6318</v>
      </c>
      <c r="L96" s="2387"/>
      <c r="M96" s="2383">
        <v>13863</v>
      </c>
      <c r="N96" s="575">
        <v>303</v>
      </c>
      <c r="O96" s="575">
        <v>134</v>
      </c>
      <c r="P96" s="2384">
        <v>23</v>
      </c>
      <c r="Q96" s="576">
        <v>167</v>
      </c>
    </row>
    <row r="97" spans="1:17" s="576" customFormat="1" x14ac:dyDescent="0.25">
      <c r="A97" s="578" t="s">
        <v>236</v>
      </c>
      <c r="B97" s="574" t="s">
        <v>237</v>
      </c>
      <c r="C97" s="573" t="s">
        <v>266</v>
      </c>
      <c r="D97" s="2410">
        <v>5897</v>
      </c>
      <c r="E97" s="2386">
        <v>2534</v>
      </c>
      <c r="F97" s="891">
        <v>1291</v>
      </c>
      <c r="G97" s="891">
        <v>1468</v>
      </c>
      <c r="H97" s="891">
        <v>604</v>
      </c>
      <c r="I97" s="2387">
        <v>0</v>
      </c>
      <c r="J97" s="2386">
        <v>3318</v>
      </c>
      <c r="K97" s="891">
        <v>2579</v>
      </c>
      <c r="L97" s="2387"/>
      <c r="M97" s="2383">
        <v>3217</v>
      </c>
      <c r="N97" s="575">
        <v>2517</v>
      </c>
      <c r="O97" s="575">
        <v>139</v>
      </c>
      <c r="P97" s="2384">
        <v>24</v>
      </c>
      <c r="Q97" s="576">
        <v>275</v>
      </c>
    </row>
    <row r="98" spans="1:17" s="576" customFormat="1" x14ac:dyDescent="0.25">
      <c r="A98" s="578" t="s">
        <v>242</v>
      </c>
      <c r="B98" s="574" t="s">
        <v>243</v>
      </c>
      <c r="C98" s="573" t="s">
        <v>268</v>
      </c>
      <c r="D98" s="2410">
        <v>14775</v>
      </c>
      <c r="E98" s="2386">
        <v>5502</v>
      </c>
      <c r="F98" s="891">
        <v>3363</v>
      </c>
      <c r="G98" s="891">
        <v>4712</v>
      </c>
      <c r="H98" s="891">
        <v>1197</v>
      </c>
      <c r="I98" s="2387">
        <v>1</v>
      </c>
      <c r="J98" s="2386">
        <v>8221</v>
      </c>
      <c r="K98" s="891">
        <v>6554</v>
      </c>
      <c r="L98" s="2387"/>
      <c r="M98" s="2383">
        <v>14319</v>
      </c>
      <c r="N98" s="575">
        <v>375</v>
      </c>
      <c r="O98" s="575">
        <v>50</v>
      </c>
      <c r="P98" s="2384">
        <v>31</v>
      </c>
      <c r="Q98" s="576">
        <v>59</v>
      </c>
    </row>
    <row r="99" spans="1:17" s="576" customFormat="1" x14ac:dyDescent="0.25">
      <c r="A99" s="578" t="s">
        <v>244</v>
      </c>
      <c r="B99" s="574" t="s">
        <v>245</v>
      </c>
      <c r="C99" s="573" t="s">
        <v>268</v>
      </c>
      <c r="D99" s="2410">
        <v>8260</v>
      </c>
      <c r="E99" s="2386">
        <v>3236</v>
      </c>
      <c r="F99" s="891">
        <v>1811</v>
      </c>
      <c r="G99" s="891">
        <v>2353</v>
      </c>
      <c r="H99" s="891">
        <v>860</v>
      </c>
      <c r="I99" s="2387">
        <v>0</v>
      </c>
      <c r="J99" s="2386">
        <v>4676</v>
      </c>
      <c r="K99" s="891">
        <v>3584</v>
      </c>
      <c r="L99" s="2387"/>
      <c r="M99" s="2383">
        <v>7775</v>
      </c>
      <c r="N99" s="575">
        <v>409</v>
      </c>
      <c r="O99" s="575">
        <v>55</v>
      </c>
      <c r="P99" s="2384">
        <v>21</v>
      </c>
      <c r="Q99" s="576">
        <v>80</v>
      </c>
    </row>
    <row r="100" spans="1:17" s="576" customFormat="1" x14ac:dyDescent="0.25">
      <c r="A100" s="578" t="s">
        <v>246</v>
      </c>
      <c r="B100" s="574" t="s">
        <v>247</v>
      </c>
      <c r="C100" s="573" t="s">
        <v>264</v>
      </c>
      <c r="D100" s="2410">
        <v>7795</v>
      </c>
      <c r="E100" s="2386">
        <v>3888</v>
      </c>
      <c r="F100" s="891">
        <v>1718</v>
      </c>
      <c r="G100" s="891">
        <v>1678</v>
      </c>
      <c r="H100" s="891">
        <v>511</v>
      </c>
      <c r="I100" s="2387">
        <v>0</v>
      </c>
      <c r="J100" s="2386">
        <v>4594</v>
      </c>
      <c r="K100" s="891">
        <v>3201</v>
      </c>
      <c r="L100" s="2387"/>
      <c r="M100" s="2383">
        <v>4933</v>
      </c>
      <c r="N100" s="575">
        <v>2357</v>
      </c>
      <c r="O100" s="575">
        <v>466</v>
      </c>
      <c r="P100" s="2384">
        <v>39</v>
      </c>
      <c r="Q100" s="576">
        <v>327</v>
      </c>
    </row>
    <row r="101" spans="1:17" s="576" customFormat="1" x14ac:dyDescent="0.25">
      <c r="A101" s="578" t="s">
        <v>14</v>
      </c>
      <c r="B101" s="574" t="s">
        <v>15</v>
      </c>
      <c r="C101" s="573" t="s">
        <v>267</v>
      </c>
      <c r="D101" s="2410">
        <v>23937</v>
      </c>
      <c r="E101" s="2386">
        <v>13350</v>
      </c>
      <c r="F101" s="891">
        <v>4233</v>
      </c>
      <c r="G101" s="891">
        <v>4334</v>
      </c>
      <c r="H101" s="891">
        <v>2020</v>
      </c>
      <c r="I101" s="2387">
        <v>0</v>
      </c>
      <c r="J101" s="2386">
        <v>13352</v>
      </c>
      <c r="K101" s="891">
        <v>10585</v>
      </c>
      <c r="L101" s="2387"/>
      <c r="M101" s="2383">
        <v>11427</v>
      </c>
      <c r="N101" s="575">
        <v>10099</v>
      </c>
      <c r="O101" s="575">
        <v>2150</v>
      </c>
      <c r="P101" s="2384">
        <v>261</v>
      </c>
      <c r="Q101" s="576">
        <v>2040</v>
      </c>
    </row>
    <row r="102" spans="1:17" s="576" customFormat="1" x14ac:dyDescent="0.25">
      <c r="A102" s="578" t="s">
        <v>34</v>
      </c>
      <c r="B102" s="574" t="s">
        <v>35</v>
      </c>
      <c r="C102" s="573" t="s">
        <v>268</v>
      </c>
      <c r="D102" s="2410">
        <v>7411</v>
      </c>
      <c r="E102" s="2386">
        <v>2807</v>
      </c>
      <c r="F102" s="891">
        <v>1725</v>
      </c>
      <c r="G102" s="891">
        <v>2238</v>
      </c>
      <c r="H102" s="891">
        <v>641</v>
      </c>
      <c r="I102" s="2387">
        <v>0</v>
      </c>
      <c r="J102" s="2386">
        <v>4160</v>
      </c>
      <c r="K102" s="891">
        <v>3251</v>
      </c>
      <c r="L102" s="2387"/>
      <c r="M102" s="2383">
        <v>6396</v>
      </c>
      <c r="N102" s="575">
        <v>888</v>
      </c>
      <c r="O102" s="575">
        <v>99</v>
      </c>
      <c r="P102" s="2384">
        <v>28</v>
      </c>
      <c r="Q102" s="576">
        <v>103</v>
      </c>
    </row>
    <row r="103" spans="1:17" s="576" customFormat="1" x14ac:dyDescent="0.25">
      <c r="A103" s="578" t="s">
        <v>52</v>
      </c>
      <c r="B103" s="574" t="s">
        <v>53</v>
      </c>
      <c r="C103" s="573" t="s">
        <v>265</v>
      </c>
      <c r="D103" s="2410">
        <v>9088</v>
      </c>
      <c r="E103" s="2386">
        <v>3866</v>
      </c>
      <c r="F103" s="891">
        <v>2009</v>
      </c>
      <c r="G103" s="891">
        <v>2446</v>
      </c>
      <c r="H103" s="891">
        <v>767</v>
      </c>
      <c r="I103" s="2387">
        <v>0</v>
      </c>
      <c r="J103" s="2386">
        <v>4865</v>
      </c>
      <c r="K103" s="891">
        <v>4223</v>
      </c>
      <c r="L103" s="2387"/>
      <c r="M103" s="2383">
        <v>3729</v>
      </c>
      <c r="N103" s="575">
        <v>4769</v>
      </c>
      <c r="O103" s="575">
        <v>570</v>
      </c>
      <c r="P103" s="2384">
        <v>20</v>
      </c>
      <c r="Q103" s="576">
        <v>451</v>
      </c>
    </row>
    <row r="104" spans="1:17" s="576" customFormat="1" x14ac:dyDescent="0.25">
      <c r="A104" s="578" t="s">
        <v>54</v>
      </c>
      <c r="B104" s="574" t="s">
        <v>55</v>
      </c>
      <c r="C104" s="573" t="s">
        <v>264</v>
      </c>
      <c r="D104" s="2410">
        <v>47008</v>
      </c>
      <c r="E104" s="2386">
        <v>22336</v>
      </c>
      <c r="F104" s="891">
        <v>11190</v>
      </c>
      <c r="G104" s="891">
        <v>10492</v>
      </c>
      <c r="H104" s="891">
        <v>2990</v>
      </c>
      <c r="I104" s="2387">
        <v>0</v>
      </c>
      <c r="J104" s="2386">
        <v>27863</v>
      </c>
      <c r="K104" s="891">
        <v>19145</v>
      </c>
      <c r="L104" s="2387"/>
      <c r="M104" s="2383">
        <v>18225</v>
      </c>
      <c r="N104" s="575">
        <v>26702</v>
      </c>
      <c r="O104" s="575">
        <v>1844</v>
      </c>
      <c r="P104" s="2384">
        <v>237</v>
      </c>
      <c r="Q104" s="576">
        <v>1856</v>
      </c>
    </row>
    <row r="105" spans="1:17" s="576" customFormat="1" x14ac:dyDescent="0.25">
      <c r="A105" s="578" t="s">
        <v>66</v>
      </c>
      <c r="B105" s="574" t="s">
        <v>67</v>
      </c>
      <c r="C105" s="573" t="s">
        <v>265</v>
      </c>
      <c r="D105" s="2410">
        <v>21033</v>
      </c>
      <c r="E105" s="2386">
        <v>7899</v>
      </c>
      <c r="F105" s="891">
        <v>5046</v>
      </c>
      <c r="G105" s="891">
        <v>5897</v>
      </c>
      <c r="H105" s="891">
        <v>2191</v>
      </c>
      <c r="I105" s="2387">
        <v>0</v>
      </c>
      <c r="J105" s="2386">
        <v>12117</v>
      </c>
      <c r="K105" s="891">
        <v>8916</v>
      </c>
      <c r="L105" s="2387"/>
      <c r="M105" s="2383">
        <v>6443</v>
      </c>
      <c r="N105" s="575">
        <v>14144</v>
      </c>
      <c r="O105" s="575">
        <v>381</v>
      </c>
      <c r="P105" s="2384">
        <v>65</v>
      </c>
      <c r="Q105" s="576">
        <v>480</v>
      </c>
    </row>
    <row r="106" spans="1:17" s="576" customFormat="1" x14ac:dyDescent="0.25">
      <c r="A106" s="578" t="s">
        <v>82</v>
      </c>
      <c r="B106" s="574" t="s">
        <v>83</v>
      </c>
      <c r="C106" s="573" t="s">
        <v>264</v>
      </c>
      <c r="D106" s="2410">
        <v>4261</v>
      </c>
      <c r="E106" s="2386">
        <v>1740</v>
      </c>
      <c r="F106" s="891">
        <v>1055</v>
      </c>
      <c r="G106" s="891">
        <v>1086</v>
      </c>
      <c r="H106" s="891">
        <v>380</v>
      </c>
      <c r="I106" s="2387">
        <v>0</v>
      </c>
      <c r="J106" s="2386">
        <v>2527</v>
      </c>
      <c r="K106" s="891">
        <v>1734</v>
      </c>
      <c r="L106" s="2387"/>
      <c r="M106" s="2383">
        <v>589</v>
      </c>
      <c r="N106" s="575">
        <v>3600</v>
      </c>
      <c r="O106" s="575">
        <v>56</v>
      </c>
      <c r="P106" s="2384">
        <v>16</v>
      </c>
      <c r="Q106" s="576">
        <v>64</v>
      </c>
    </row>
    <row r="107" spans="1:17" s="576" customFormat="1" x14ac:dyDescent="0.25">
      <c r="A107" s="578" t="s">
        <v>88</v>
      </c>
      <c r="B107" s="574" t="s">
        <v>89</v>
      </c>
      <c r="C107" s="573" t="s">
        <v>267</v>
      </c>
      <c r="D107" s="2410">
        <v>8475</v>
      </c>
      <c r="E107" s="2386">
        <v>4057</v>
      </c>
      <c r="F107" s="891">
        <v>2016</v>
      </c>
      <c r="G107" s="891">
        <v>1897</v>
      </c>
      <c r="H107" s="891">
        <v>504</v>
      </c>
      <c r="I107" s="2387">
        <v>1</v>
      </c>
      <c r="J107" s="2386">
        <v>4855</v>
      </c>
      <c r="K107" s="891">
        <v>3620</v>
      </c>
      <c r="L107" s="2387"/>
      <c r="M107" s="2383">
        <v>3910</v>
      </c>
      <c r="N107" s="575">
        <v>3837</v>
      </c>
      <c r="O107" s="575">
        <v>689</v>
      </c>
      <c r="P107" s="2384">
        <v>39</v>
      </c>
      <c r="Q107" s="576">
        <v>410</v>
      </c>
    </row>
    <row r="108" spans="1:17" s="576" customFormat="1" x14ac:dyDescent="0.25">
      <c r="A108" s="578" t="s">
        <v>90</v>
      </c>
      <c r="B108" s="574" t="s">
        <v>91</v>
      </c>
      <c r="C108" s="573" t="s">
        <v>268</v>
      </c>
      <c r="D108" s="2410">
        <v>3261</v>
      </c>
      <c r="E108" s="2386">
        <v>1300</v>
      </c>
      <c r="F108" s="891">
        <v>699</v>
      </c>
      <c r="G108" s="891">
        <v>865</v>
      </c>
      <c r="H108" s="891">
        <v>397</v>
      </c>
      <c r="I108" s="2387">
        <v>0</v>
      </c>
      <c r="J108" s="2386">
        <v>1807</v>
      </c>
      <c r="K108" s="891">
        <v>1454</v>
      </c>
      <c r="L108" s="2387"/>
      <c r="M108" s="2383">
        <v>2939</v>
      </c>
      <c r="N108" s="575">
        <v>301</v>
      </c>
      <c r="O108" s="575">
        <v>19</v>
      </c>
      <c r="P108" s="2384">
        <v>2</v>
      </c>
      <c r="Q108" s="576">
        <v>471</v>
      </c>
    </row>
    <row r="109" spans="1:17" s="576" customFormat="1" x14ac:dyDescent="0.25">
      <c r="A109" s="578" t="s">
        <v>106</v>
      </c>
      <c r="B109" s="574" t="s">
        <v>107</v>
      </c>
      <c r="C109" s="573" t="s">
        <v>264</v>
      </c>
      <c r="D109" s="2410">
        <v>39906</v>
      </c>
      <c r="E109" s="2386">
        <v>17817</v>
      </c>
      <c r="F109" s="891">
        <v>9780</v>
      </c>
      <c r="G109" s="891">
        <v>10035</v>
      </c>
      <c r="H109" s="891">
        <v>2273</v>
      </c>
      <c r="I109" s="2387">
        <v>1</v>
      </c>
      <c r="J109" s="2386">
        <v>23419</v>
      </c>
      <c r="K109" s="891">
        <v>16486</v>
      </c>
      <c r="L109" s="2387">
        <v>1</v>
      </c>
      <c r="M109" s="2383">
        <v>10281</v>
      </c>
      <c r="N109" s="575">
        <v>28138</v>
      </c>
      <c r="O109" s="575">
        <v>1235</v>
      </c>
      <c r="P109" s="2384">
        <v>252</v>
      </c>
      <c r="Q109" s="576">
        <v>1447</v>
      </c>
    </row>
    <row r="110" spans="1:17" s="576" customFormat="1" x14ac:dyDescent="0.25">
      <c r="A110" s="578" t="s">
        <v>116</v>
      </c>
      <c r="B110" s="574" t="s">
        <v>117</v>
      </c>
      <c r="C110" s="573" t="s">
        <v>266</v>
      </c>
      <c r="D110" s="2410">
        <v>11888</v>
      </c>
      <c r="E110" s="2386">
        <v>5356</v>
      </c>
      <c r="F110" s="891">
        <v>3073</v>
      </c>
      <c r="G110" s="891">
        <v>2887</v>
      </c>
      <c r="H110" s="891">
        <v>572</v>
      </c>
      <c r="I110" s="2387">
        <v>0</v>
      </c>
      <c r="J110" s="2386">
        <v>6940</v>
      </c>
      <c r="K110" s="891">
        <v>4948</v>
      </c>
      <c r="L110" s="2387"/>
      <c r="M110" s="2383">
        <v>4791</v>
      </c>
      <c r="N110" s="575">
        <v>6798</v>
      </c>
      <c r="O110" s="575">
        <v>239</v>
      </c>
      <c r="P110" s="2384">
        <v>60</v>
      </c>
      <c r="Q110" s="576">
        <v>554</v>
      </c>
    </row>
    <row r="111" spans="1:17" s="576" customFormat="1" x14ac:dyDescent="0.25">
      <c r="A111" s="578" t="s">
        <v>138</v>
      </c>
      <c r="B111" s="574" t="s">
        <v>139</v>
      </c>
      <c r="C111" s="573" t="s">
        <v>265</v>
      </c>
      <c r="D111" s="2410">
        <v>22011</v>
      </c>
      <c r="E111" s="2386">
        <v>9654</v>
      </c>
      <c r="F111" s="891">
        <v>5202</v>
      </c>
      <c r="G111" s="891">
        <v>5346</v>
      </c>
      <c r="H111" s="891">
        <v>1809</v>
      </c>
      <c r="I111" s="2387">
        <v>0</v>
      </c>
      <c r="J111" s="2386">
        <v>12772</v>
      </c>
      <c r="K111" s="891">
        <v>9239</v>
      </c>
      <c r="L111" s="2387"/>
      <c r="M111" s="2383">
        <v>8519</v>
      </c>
      <c r="N111" s="575">
        <v>12936</v>
      </c>
      <c r="O111" s="575">
        <v>481</v>
      </c>
      <c r="P111" s="2384">
        <v>75</v>
      </c>
      <c r="Q111" s="576">
        <v>430</v>
      </c>
    </row>
    <row r="112" spans="1:17" s="576" customFormat="1" x14ac:dyDescent="0.25">
      <c r="A112" s="578" t="s">
        <v>142</v>
      </c>
      <c r="B112" s="574" t="s">
        <v>143</v>
      </c>
      <c r="C112" s="573" t="s">
        <v>267</v>
      </c>
      <c r="D112" s="2410">
        <v>10258</v>
      </c>
      <c r="E112" s="2386">
        <v>6719</v>
      </c>
      <c r="F112" s="891">
        <v>1812</v>
      </c>
      <c r="G112" s="891">
        <v>1337</v>
      </c>
      <c r="H112" s="891">
        <v>389</v>
      </c>
      <c r="I112" s="2387">
        <v>1</v>
      </c>
      <c r="J112" s="2386">
        <v>5599</v>
      </c>
      <c r="K112" s="891">
        <v>4659</v>
      </c>
      <c r="L112" s="2387"/>
      <c r="M112" s="2383">
        <v>7415</v>
      </c>
      <c r="N112" s="575">
        <v>2108</v>
      </c>
      <c r="O112" s="575">
        <v>683</v>
      </c>
      <c r="P112" s="2384">
        <v>52</v>
      </c>
      <c r="Q112" s="576">
        <v>2214</v>
      </c>
    </row>
    <row r="113" spans="1:17" s="576" customFormat="1" x14ac:dyDescent="0.25">
      <c r="A113" s="578" t="s">
        <v>144</v>
      </c>
      <c r="B113" s="574" t="s">
        <v>145</v>
      </c>
      <c r="C113" s="573" t="s">
        <v>267</v>
      </c>
      <c r="D113" s="2410">
        <v>3899</v>
      </c>
      <c r="E113" s="2386">
        <v>2573</v>
      </c>
      <c r="F113" s="891">
        <v>604</v>
      </c>
      <c r="G113" s="891">
        <v>511</v>
      </c>
      <c r="H113" s="891">
        <v>211</v>
      </c>
      <c r="I113" s="2387">
        <v>0</v>
      </c>
      <c r="J113" s="2386">
        <v>2143</v>
      </c>
      <c r="K113" s="891">
        <v>1756</v>
      </c>
      <c r="L113" s="2387"/>
      <c r="M113" s="2383">
        <v>3012</v>
      </c>
      <c r="N113" s="575">
        <v>543</v>
      </c>
      <c r="O113" s="575">
        <v>324</v>
      </c>
      <c r="P113" s="2384">
        <v>20</v>
      </c>
      <c r="Q113" s="576">
        <v>1043</v>
      </c>
    </row>
    <row r="114" spans="1:17" s="576" customFormat="1" x14ac:dyDescent="0.25">
      <c r="A114" s="578" t="s">
        <v>158</v>
      </c>
      <c r="B114" s="574" t="s">
        <v>159</v>
      </c>
      <c r="C114" s="573" t="s">
        <v>264</v>
      </c>
      <c r="D114" s="2410">
        <v>60647</v>
      </c>
      <c r="E114" s="2386">
        <v>28067</v>
      </c>
      <c r="F114" s="891">
        <v>15037</v>
      </c>
      <c r="G114" s="891">
        <v>14084</v>
      </c>
      <c r="H114" s="891">
        <v>3458</v>
      </c>
      <c r="I114" s="2387">
        <v>1</v>
      </c>
      <c r="J114" s="2386">
        <v>35995</v>
      </c>
      <c r="K114" s="891">
        <v>24652</v>
      </c>
      <c r="L114" s="2387"/>
      <c r="M114" s="2383">
        <v>16020</v>
      </c>
      <c r="N114" s="575">
        <v>41844</v>
      </c>
      <c r="O114" s="575">
        <v>2451</v>
      </c>
      <c r="P114" s="2384">
        <v>332</v>
      </c>
      <c r="Q114" s="576">
        <v>3648</v>
      </c>
    </row>
    <row r="115" spans="1:17" s="576" customFormat="1" x14ac:dyDescent="0.25">
      <c r="A115" s="578" t="s">
        <v>160</v>
      </c>
      <c r="B115" s="574" t="s">
        <v>161</v>
      </c>
      <c r="C115" s="573" t="s">
        <v>264</v>
      </c>
      <c r="D115" s="2410">
        <v>74664</v>
      </c>
      <c r="E115" s="2386">
        <v>33203</v>
      </c>
      <c r="F115" s="891">
        <v>17323</v>
      </c>
      <c r="G115" s="891">
        <v>18971</v>
      </c>
      <c r="H115" s="891">
        <v>5165</v>
      </c>
      <c r="I115" s="2387">
        <v>2</v>
      </c>
      <c r="J115" s="2386">
        <v>43897</v>
      </c>
      <c r="K115" s="891">
        <v>30765</v>
      </c>
      <c r="L115" s="2387">
        <v>2</v>
      </c>
      <c r="M115" s="2383">
        <v>16626</v>
      </c>
      <c r="N115" s="575">
        <v>55151</v>
      </c>
      <c r="O115" s="575">
        <v>2368</v>
      </c>
      <c r="P115" s="2384">
        <v>519</v>
      </c>
      <c r="Q115" s="576">
        <v>2983</v>
      </c>
    </row>
    <row r="116" spans="1:17" s="576" customFormat="1" x14ac:dyDescent="0.25">
      <c r="A116" s="578" t="s">
        <v>166</v>
      </c>
      <c r="B116" s="574" t="s">
        <v>167</v>
      </c>
      <c r="C116" s="573" t="s">
        <v>268</v>
      </c>
      <c r="D116" s="2410">
        <v>1770</v>
      </c>
      <c r="E116" s="2386">
        <v>608</v>
      </c>
      <c r="F116" s="891">
        <v>416</v>
      </c>
      <c r="G116" s="891">
        <v>572</v>
      </c>
      <c r="H116" s="891">
        <v>174</v>
      </c>
      <c r="I116" s="2387">
        <v>0</v>
      </c>
      <c r="J116" s="2386">
        <v>1040</v>
      </c>
      <c r="K116" s="891">
        <v>730</v>
      </c>
      <c r="L116" s="2387"/>
      <c r="M116" s="2383">
        <v>1597</v>
      </c>
      <c r="N116" s="575">
        <v>152</v>
      </c>
      <c r="O116" s="575">
        <v>17</v>
      </c>
      <c r="P116" s="2384">
        <v>4</v>
      </c>
      <c r="Q116" s="576">
        <v>26</v>
      </c>
    </row>
    <row r="117" spans="1:17" s="576" customFormat="1" x14ac:dyDescent="0.25">
      <c r="A117" s="578" t="s">
        <v>176</v>
      </c>
      <c r="B117" s="574" t="s">
        <v>177</v>
      </c>
      <c r="C117" s="573" t="s">
        <v>266</v>
      </c>
      <c r="D117" s="2410">
        <v>18248</v>
      </c>
      <c r="E117" s="2386">
        <v>6819</v>
      </c>
      <c r="F117" s="891">
        <v>4867</v>
      </c>
      <c r="G117" s="891">
        <v>5135</v>
      </c>
      <c r="H117" s="891">
        <v>1427</v>
      </c>
      <c r="I117" s="2387">
        <v>0</v>
      </c>
      <c r="J117" s="2386">
        <v>10313</v>
      </c>
      <c r="K117" s="891">
        <v>7935</v>
      </c>
      <c r="L117" s="2387"/>
      <c r="M117" s="2383">
        <v>2146</v>
      </c>
      <c r="N117" s="575">
        <v>15682</v>
      </c>
      <c r="O117" s="575">
        <v>319</v>
      </c>
      <c r="P117" s="2384">
        <v>101</v>
      </c>
      <c r="Q117" s="576">
        <v>569</v>
      </c>
    </row>
    <row r="118" spans="1:17" s="576" customFormat="1" x14ac:dyDescent="0.25">
      <c r="A118" s="578" t="s">
        <v>180</v>
      </c>
      <c r="B118" s="574" t="s">
        <v>181</v>
      </c>
      <c r="C118" s="573" t="s">
        <v>264</v>
      </c>
      <c r="D118" s="2410">
        <v>38832</v>
      </c>
      <c r="E118" s="2386">
        <v>17104</v>
      </c>
      <c r="F118" s="891">
        <v>9583</v>
      </c>
      <c r="G118" s="891">
        <v>9673</v>
      </c>
      <c r="H118" s="891">
        <v>2472</v>
      </c>
      <c r="I118" s="2387">
        <v>0</v>
      </c>
      <c r="J118" s="2386">
        <v>22694</v>
      </c>
      <c r="K118" s="891">
        <v>16138</v>
      </c>
      <c r="L118" s="2387"/>
      <c r="M118" s="2383">
        <v>7894</v>
      </c>
      <c r="N118" s="575">
        <v>30093</v>
      </c>
      <c r="O118" s="575">
        <v>630</v>
      </c>
      <c r="P118" s="2384">
        <v>215</v>
      </c>
      <c r="Q118" s="576">
        <v>751</v>
      </c>
    </row>
    <row r="119" spans="1:17" s="576" customFormat="1" x14ac:dyDescent="0.25">
      <c r="A119" s="578" t="s">
        <v>192</v>
      </c>
      <c r="B119" s="574" t="s">
        <v>193</v>
      </c>
      <c r="C119" s="573" t="s">
        <v>268</v>
      </c>
      <c r="D119" s="2410">
        <v>2995</v>
      </c>
      <c r="E119" s="2386">
        <v>1258</v>
      </c>
      <c r="F119" s="891">
        <v>803</v>
      </c>
      <c r="G119" s="891">
        <v>772</v>
      </c>
      <c r="H119" s="891">
        <v>161</v>
      </c>
      <c r="I119" s="2387">
        <v>1</v>
      </c>
      <c r="J119" s="2386">
        <v>1726</v>
      </c>
      <c r="K119" s="891">
        <v>1269</v>
      </c>
      <c r="L119" s="2387"/>
      <c r="M119" s="2383">
        <v>2325</v>
      </c>
      <c r="N119" s="575">
        <v>633</v>
      </c>
      <c r="O119" s="575">
        <v>28</v>
      </c>
      <c r="P119" s="2384">
        <v>9</v>
      </c>
      <c r="Q119" s="576">
        <v>62</v>
      </c>
    </row>
    <row r="120" spans="1:17" s="576" customFormat="1" x14ac:dyDescent="0.25">
      <c r="A120" s="578" t="s">
        <v>196</v>
      </c>
      <c r="B120" s="574" t="s">
        <v>197</v>
      </c>
      <c r="C120" s="573" t="s">
        <v>266</v>
      </c>
      <c r="D120" s="2410">
        <v>78164</v>
      </c>
      <c r="E120" s="2386">
        <v>32885</v>
      </c>
      <c r="F120" s="891">
        <v>18329</v>
      </c>
      <c r="G120" s="891">
        <v>20751</v>
      </c>
      <c r="H120" s="891">
        <v>6199</v>
      </c>
      <c r="I120" s="2387">
        <v>0</v>
      </c>
      <c r="J120" s="2386">
        <v>44312</v>
      </c>
      <c r="K120" s="891">
        <v>33852</v>
      </c>
      <c r="L120" s="2387"/>
      <c r="M120" s="2383">
        <v>13931</v>
      </c>
      <c r="N120" s="575">
        <v>62044</v>
      </c>
      <c r="O120" s="575">
        <v>1769</v>
      </c>
      <c r="P120" s="2384">
        <v>420</v>
      </c>
      <c r="Q120" s="576">
        <v>3282</v>
      </c>
    </row>
    <row r="121" spans="1:17" s="576" customFormat="1" x14ac:dyDescent="0.25">
      <c r="A121" s="578" t="s">
        <v>200</v>
      </c>
      <c r="B121" s="574" t="s">
        <v>201</v>
      </c>
      <c r="C121" s="573" t="s">
        <v>265</v>
      </c>
      <c r="D121" s="2410">
        <v>39449</v>
      </c>
      <c r="E121" s="2386">
        <v>17049</v>
      </c>
      <c r="F121" s="891">
        <v>8756</v>
      </c>
      <c r="G121" s="891">
        <v>10656</v>
      </c>
      <c r="H121" s="891">
        <v>2986</v>
      </c>
      <c r="I121" s="2387">
        <v>2</v>
      </c>
      <c r="J121" s="2386">
        <v>22398</v>
      </c>
      <c r="K121" s="891">
        <v>17051</v>
      </c>
      <c r="L121" s="2387"/>
      <c r="M121" s="2383">
        <v>20061</v>
      </c>
      <c r="N121" s="575">
        <v>17596</v>
      </c>
      <c r="O121" s="575">
        <v>1647</v>
      </c>
      <c r="P121" s="2384">
        <v>145</v>
      </c>
      <c r="Q121" s="576">
        <v>1527</v>
      </c>
    </row>
    <row r="122" spans="1:17" s="576" customFormat="1" x14ac:dyDescent="0.25">
      <c r="A122" s="578" t="s">
        <v>222</v>
      </c>
      <c r="B122" s="574" t="s">
        <v>223</v>
      </c>
      <c r="C122" s="573" t="s">
        <v>264</v>
      </c>
      <c r="D122" s="2410">
        <v>21740</v>
      </c>
      <c r="E122" s="2386">
        <v>9626</v>
      </c>
      <c r="F122" s="891">
        <v>5061</v>
      </c>
      <c r="G122" s="891">
        <v>5394</v>
      </c>
      <c r="H122" s="891">
        <v>1659</v>
      </c>
      <c r="I122" s="2387">
        <v>0</v>
      </c>
      <c r="J122" s="2386">
        <v>12677</v>
      </c>
      <c r="K122" s="891">
        <v>9063</v>
      </c>
      <c r="L122" s="2387"/>
      <c r="M122" s="2383">
        <v>5493</v>
      </c>
      <c r="N122" s="575">
        <v>15644</v>
      </c>
      <c r="O122" s="575">
        <v>472</v>
      </c>
      <c r="P122" s="2384">
        <v>131</v>
      </c>
      <c r="Q122" s="576">
        <v>486</v>
      </c>
    </row>
    <row r="123" spans="1:17" s="576" customFormat="1" x14ac:dyDescent="0.25">
      <c r="A123" s="578" t="s">
        <v>230</v>
      </c>
      <c r="B123" s="574" t="s">
        <v>231</v>
      </c>
      <c r="C123" s="573" t="s">
        <v>264</v>
      </c>
      <c r="D123" s="2410">
        <v>72252</v>
      </c>
      <c r="E123" s="2386">
        <v>34721</v>
      </c>
      <c r="F123" s="891">
        <v>17214</v>
      </c>
      <c r="G123" s="891">
        <v>15829</v>
      </c>
      <c r="H123" s="891">
        <v>4486</v>
      </c>
      <c r="I123" s="2387">
        <v>2</v>
      </c>
      <c r="J123" s="2386">
        <v>42518</v>
      </c>
      <c r="K123" s="891">
        <v>29734</v>
      </c>
      <c r="L123" s="2387"/>
      <c r="M123" s="2383">
        <v>34463</v>
      </c>
      <c r="N123" s="575">
        <v>32172</v>
      </c>
      <c r="O123" s="575">
        <v>5087</v>
      </c>
      <c r="P123" s="2384">
        <v>530</v>
      </c>
      <c r="Q123" s="576">
        <v>3978</v>
      </c>
    </row>
    <row r="124" spans="1:17" s="576" customFormat="1" x14ac:dyDescent="0.25">
      <c r="A124" s="578" t="s">
        <v>238</v>
      </c>
      <c r="B124" s="574" t="s">
        <v>239</v>
      </c>
      <c r="C124" s="573" t="s">
        <v>264</v>
      </c>
      <c r="D124" s="2410">
        <v>2505</v>
      </c>
      <c r="E124" s="2386">
        <v>1150</v>
      </c>
      <c r="F124" s="891">
        <v>548</v>
      </c>
      <c r="G124" s="891">
        <v>651</v>
      </c>
      <c r="H124" s="891">
        <v>156</v>
      </c>
      <c r="I124" s="2387">
        <v>0</v>
      </c>
      <c r="J124" s="2386">
        <v>1378</v>
      </c>
      <c r="K124" s="891">
        <v>1127</v>
      </c>
      <c r="L124" s="2387"/>
      <c r="M124" s="2383">
        <v>1140</v>
      </c>
      <c r="N124" s="575">
        <v>1207</v>
      </c>
      <c r="O124" s="575">
        <v>147</v>
      </c>
      <c r="P124" s="2384">
        <v>11</v>
      </c>
      <c r="Q124" s="576">
        <v>98</v>
      </c>
    </row>
    <row r="125" spans="1:17" s="576" customFormat="1" x14ac:dyDescent="0.25">
      <c r="A125" s="578" t="s">
        <v>240</v>
      </c>
      <c r="B125" s="574" t="s">
        <v>241</v>
      </c>
      <c r="C125" s="573" t="s">
        <v>267</v>
      </c>
      <c r="D125" s="2410">
        <v>8333</v>
      </c>
      <c r="E125" s="2386">
        <v>4305</v>
      </c>
      <c r="F125" s="891">
        <v>1688</v>
      </c>
      <c r="G125" s="891">
        <v>1770</v>
      </c>
      <c r="H125" s="891">
        <v>568</v>
      </c>
      <c r="I125" s="2387">
        <v>2</v>
      </c>
      <c r="J125" s="2386">
        <v>4534</v>
      </c>
      <c r="K125" s="891">
        <v>3799</v>
      </c>
      <c r="L125" s="2387"/>
      <c r="M125" s="2383">
        <v>6397</v>
      </c>
      <c r="N125" s="575">
        <v>1746</v>
      </c>
      <c r="O125" s="575">
        <v>154</v>
      </c>
      <c r="P125" s="2384">
        <v>36</v>
      </c>
      <c r="Q125" s="576">
        <v>1073</v>
      </c>
    </row>
    <row r="126" spans="1:17" x14ac:dyDescent="0.25">
      <c r="B126" s="481"/>
      <c r="C126" s="481"/>
      <c r="D126" s="481"/>
      <c r="E126" s="481"/>
      <c r="F126" s="481"/>
      <c r="G126" s="481"/>
      <c r="H126" s="481"/>
      <c r="I126" s="481"/>
      <c r="J126" s="481"/>
      <c r="K126" s="481"/>
      <c r="L126" s="481"/>
    </row>
    <row r="128" spans="1:17" ht="67.5" customHeight="1" x14ac:dyDescent="0.25">
      <c r="A128" s="2746" t="s">
        <v>1407</v>
      </c>
      <c r="B128" s="2746"/>
      <c r="C128" s="2746"/>
      <c r="D128" s="2746"/>
      <c r="E128" s="2746"/>
      <c r="F128" s="2746"/>
      <c r="G128" s="2746"/>
      <c r="H128" s="2746"/>
      <c r="I128" s="2746"/>
      <c r="J128" s="1029"/>
      <c r="K128" s="1029"/>
      <c r="L128" s="2419"/>
    </row>
    <row r="129" spans="1:12" ht="39" customHeight="1" x14ac:dyDescent="0.25"/>
    <row r="130" spans="1:12" s="389" customFormat="1" ht="39" customHeight="1" x14ac:dyDescent="0.25">
      <c r="A130" s="389" t="s">
        <v>248</v>
      </c>
    </row>
    <row r="131" spans="1:12" s="389" customFormat="1" x14ac:dyDescent="0.25">
      <c r="A131" s="390" t="s">
        <v>249</v>
      </c>
      <c r="B131" s="391" t="s">
        <v>250</v>
      </c>
      <c r="C131" s="391"/>
      <c r="D131" s="391"/>
      <c r="E131" s="391"/>
      <c r="F131" s="391"/>
      <c r="G131" s="391"/>
      <c r="H131" s="391"/>
      <c r="I131" s="391"/>
      <c r="J131" s="391"/>
      <c r="K131" s="391"/>
      <c r="L131" s="391"/>
    </row>
  </sheetData>
  <sortState ref="A6:Q125">
    <sortCondition ref="A6:A125"/>
  </sortState>
  <mergeCells count="4">
    <mergeCell ref="A128:I128"/>
    <mergeCell ref="M3:P3"/>
    <mergeCell ref="E3:I3"/>
    <mergeCell ref="J3:L3"/>
  </mergeCells>
  <hyperlinks>
    <hyperlink ref="B131" r:id="rId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X130"/>
  <sheetViews>
    <sheetView workbookViewId="0">
      <pane xSplit="3" ySplit="5" topLeftCell="I108" activePane="bottomRight" state="frozen"/>
      <selection pane="topRight" activeCell="D1" sqref="D1"/>
      <selection pane="bottomLeft" activeCell="A6" sqref="A6"/>
      <selection pane="bottomRight" activeCell="M126" sqref="M126"/>
    </sheetView>
  </sheetViews>
  <sheetFormatPr defaultRowHeight="15.75" x14ac:dyDescent="0.25"/>
  <cols>
    <col min="1" max="1" width="6.875" style="537" bestFit="1" customWidth="1"/>
    <col min="2" max="2" width="30.875" style="541" customWidth="1"/>
    <col min="3" max="3" width="12.875" style="541" customWidth="1"/>
    <col min="4" max="6" width="13.375" style="537" customWidth="1"/>
    <col min="7" max="44" width="9" style="537"/>
    <col min="45" max="46" width="9.625" style="537" customWidth="1"/>
    <col min="47" max="16384" width="9" style="537"/>
  </cols>
  <sheetData>
    <row r="1" spans="1:50" ht="15.75" customHeight="1" x14ac:dyDescent="0.25">
      <c r="A1" s="991" t="s">
        <v>1451</v>
      </c>
      <c r="B1" s="536"/>
      <c r="C1" s="536"/>
    </row>
    <row r="2" spans="1:50" x14ac:dyDescent="0.25">
      <c r="A2" s="538"/>
      <c r="B2" s="538"/>
      <c r="C2" s="538"/>
    </row>
    <row r="3" spans="1:50" ht="67.5" customHeight="1" x14ac:dyDescent="0.25">
      <c r="G3" s="2756" t="s">
        <v>1229</v>
      </c>
      <c r="H3" s="2757"/>
      <c r="I3" s="2756" t="s">
        <v>1230</v>
      </c>
      <c r="J3" s="2757"/>
      <c r="K3" s="2756" t="s">
        <v>1231</v>
      </c>
      <c r="L3" s="2757"/>
      <c r="M3" s="2756" t="s">
        <v>1232</v>
      </c>
      <c r="N3" s="2757"/>
      <c r="O3" s="2756" t="s">
        <v>1233</v>
      </c>
      <c r="P3" s="2757"/>
      <c r="Q3" s="2756" t="s">
        <v>1234</v>
      </c>
      <c r="R3" s="2757"/>
      <c r="S3" s="2756" t="s">
        <v>1235</v>
      </c>
      <c r="T3" s="2757"/>
      <c r="U3" s="2756" t="s">
        <v>1236</v>
      </c>
      <c r="V3" s="2757"/>
      <c r="W3" s="2756" t="s">
        <v>1237</v>
      </c>
      <c r="X3" s="2757"/>
      <c r="Y3" s="2756" t="s">
        <v>1238</v>
      </c>
      <c r="Z3" s="2757"/>
      <c r="AA3" s="2756" t="s">
        <v>1239</v>
      </c>
      <c r="AB3" s="2757"/>
      <c r="AC3" s="2756" t="s">
        <v>1240</v>
      </c>
      <c r="AD3" s="2757"/>
      <c r="AE3" s="2756" t="s">
        <v>1241</v>
      </c>
      <c r="AF3" s="2757"/>
      <c r="AG3" s="2756" t="s">
        <v>1242</v>
      </c>
      <c r="AH3" s="2757"/>
      <c r="AI3" s="2756" t="s">
        <v>1243</v>
      </c>
      <c r="AJ3" s="2757"/>
      <c r="AK3" s="2756" t="s">
        <v>1244</v>
      </c>
      <c r="AL3" s="2757"/>
      <c r="AM3" s="2756" t="s">
        <v>1245</v>
      </c>
      <c r="AN3" s="2757"/>
      <c r="AO3" s="2756" t="s">
        <v>1246</v>
      </c>
      <c r="AP3" s="2757"/>
      <c r="AQ3" s="2756" t="s">
        <v>1247</v>
      </c>
      <c r="AR3" s="2757"/>
      <c r="AS3" s="2756" t="s">
        <v>1248</v>
      </c>
      <c r="AT3" s="2757"/>
      <c r="AU3" s="2756" t="s">
        <v>1249</v>
      </c>
      <c r="AV3" s="2757"/>
      <c r="AW3" s="2756" t="s">
        <v>1250</v>
      </c>
      <c r="AX3" s="2757"/>
    </row>
    <row r="4" spans="1:50" ht="31.5" x14ac:dyDescent="0.25">
      <c r="A4" s="1727" t="s">
        <v>4</v>
      </c>
      <c r="B4" s="538" t="s">
        <v>5</v>
      </c>
      <c r="C4" s="538" t="s">
        <v>251</v>
      </c>
      <c r="D4" s="1681" t="s">
        <v>1251</v>
      </c>
      <c r="E4" s="1681" t="s">
        <v>1252</v>
      </c>
      <c r="F4" s="1681" t="s">
        <v>1217</v>
      </c>
      <c r="G4" s="1734" t="s">
        <v>1251</v>
      </c>
      <c r="H4" s="1735" t="s">
        <v>1252</v>
      </c>
      <c r="I4" s="1734" t="s">
        <v>1251</v>
      </c>
      <c r="J4" s="1735" t="s">
        <v>1252</v>
      </c>
      <c r="K4" s="1734" t="s">
        <v>1251</v>
      </c>
      <c r="L4" s="1735" t="s">
        <v>1252</v>
      </c>
      <c r="M4" s="1734" t="s">
        <v>1251</v>
      </c>
      <c r="N4" s="1735" t="s">
        <v>1252</v>
      </c>
      <c r="O4" s="1734" t="s">
        <v>1251</v>
      </c>
      <c r="P4" s="1735" t="s">
        <v>1252</v>
      </c>
      <c r="Q4" s="1734" t="s">
        <v>1251</v>
      </c>
      <c r="R4" s="1735" t="s">
        <v>1252</v>
      </c>
      <c r="S4" s="1734" t="s">
        <v>1251</v>
      </c>
      <c r="T4" s="1735" t="s">
        <v>1252</v>
      </c>
      <c r="U4" s="1734" t="s">
        <v>1251</v>
      </c>
      <c r="V4" s="1735" t="s">
        <v>1252</v>
      </c>
      <c r="W4" s="1734" t="s">
        <v>1251</v>
      </c>
      <c r="X4" s="1735" t="s">
        <v>1252</v>
      </c>
      <c r="Y4" s="1734" t="s">
        <v>1251</v>
      </c>
      <c r="Z4" s="1735" t="s">
        <v>1252</v>
      </c>
      <c r="AA4" s="1734" t="s">
        <v>1251</v>
      </c>
      <c r="AB4" s="1735" t="s">
        <v>1252</v>
      </c>
      <c r="AC4" s="1734" t="s">
        <v>1251</v>
      </c>
      <c r="AD4" s="1735" t="s">
        <v>1252</v>
      </c>
      <c r="AE4" s="1734" t="s">
        <v>1251</v>
      </c>
      <c r="AF4" s="1735" t="s">
        <v>1252</v>
      </c>
      <c r="AG4" s="1734" t="s">
        <v>1251</v>
      </c>
      <c r="AH4" s="1735" t="s">
        <v>1252</v>
      </c>
      <c r="AI4" s="1734" t="s">
        <v>1251</v>
      </c>
      <c r="AJ4" s="1735" t="s">
        <v>1252</v>
      </c>
      <c r="AK4" s="1734" t="s">
        <v>1251</v>
      </c>
      <c r="AL4" s="1735" t="s">
        <v>1252</v>
      </c>
      <c r="AM4" s="1734" t="s">
        <v>1251</v>
      </c>
      <c r="AN4" s="1735" t="s">
        <v>1252</v>
      </c>
      <c r="AO4" s="1734" t="s">
        <v>1251</v>
      </c>
      <c r="AP4" s="1735" t="s">
        <v>1252</v>
      </c>
      <c r="AQ4" s="1734" t="s">
        <v>1251</v>
      </c>
      <c r="AR4" s="1735" t="s">
        <v>1252</v>
      </c>
      <c r="AS4" s="1734" t="s">
        <v>1251</v>
      </c>
      <c r="AT4" s="1735" t="s">
        <v>1252</v>
      </c>
      <c r="AU4" s="1734" t="s">
        <v>1251</v>
      </c>
      <c r="AV4" s="1735" t="s">
        <v>1252</v>
      </c>
      <c r="AW4" s="1734" t="s">
        <v>1251</v>
      </c>
      <c r="AX4" s="1735" t="s">
        <v>1252</v>
      </c>
    </row>
    <row r="5" spans="1:50" x14ac:dyDescent="0.25">
      <c r="A5" s="1728" t="s">
        <v>8</v>
      </c>
      <c r="B5" s="1729" t="s">
        <v>9</v>
      </c>
      <c r="C5" s="1729"/>
      <c r="D5" s="1730">
        <v>30062</v>
      </c>
      <c r="E5" s="1730">
        <v>4410</v>
      </c>
      <c r="F5" s="1731">
        <f>D5/E5</f>
        <v>6.8167800453514742</v>
      </c>
      <c r="G5" s="1732">
        <v>6365</v>
      </c>
      <c r="H5" s="1733">
        <v>315</v>
      </c>
      <c r="I5" s="1732">
        <v>38</v>
      </c>
      <c r="J5" s="1733">
        <v>16</v>
      </c>
      <c r="K5" s="1732">
        <v>1</v>
      </c>
      <c r="L5" s="1733">
        <v>1</v>
      </c>
      <c r="M5" s="1732">
        <v>5547</v>
      </c>
      <c r="N5" s="1733">
        <v>865</v>
      </c>
      <c r="O5" s="1732">
        <v>222</v>
      </c>
      <c r="P5" s="1733">
        <v>164</v>
      </c>
      <c r="Q5" s="1732">
        <v>587</v>
      </c>
      <c r="R5" s="1733">
        <v>251</v>
      </c>
      <c r="S5" s="1732">
        <v>2960</v>
      </c>
      <c r="T5" s="1733">
        <v>529</v>
      </c>
      <c r="U5" s="1732">
        <v>1880</v>
      </c>
      <c r="V5" s="1733">
        <v>447</v>
      </c>
      <c r="W5" s="1732">
        <v>180</v>
      </c>
      <c r="X5" s="1733">
        <v>112</v>
      </c>
      <c r="Y5" s="1732">
        <v>9</v>
      </c>
      <c r="Z5" s="1733">
        <v>9</v>
      </c>
      <c r="AA5" s="1732">
        <v>5191</v>
      </c>
      <c r="AB5" s="1733">
        <v>827</v>
      </c>
      <c r="AC5" s="1732">
        <v>546</v>
      </c>
      <c r="AD5" s="1733">
        <v>132</v>
      </c>
      <c r="AE5" s="1732">
        <v>208</v>
      </c>
      <c r="AF5" s="1733">
        <v>117</v>
      </c>
      <c r="AG5" s="1732">
        <v>32</v>
      </c>
      <c r="AH5" s="1733">
        <v>22</v>
      </c>
      <c r="AI5" s="1732">
        <v>5953</v>
      </c>
      <c r="AJ5" s="1733">
        <v>391</v>
      </c>
      <c r="AK5" s="1732">
        <v>1</v>
      </c>
      <c r="AL5" s="1733">
        <v>1</v>
      </c>
      <c r="AM5" s="1732">
        <v>6</v>
      </c>
      <c r="AN5" s="1733">
        <v>4</v>
      </c>
      <c r="AO5" s="1732">
        <v>4</v>
      </c>
      <c r="AP5" s="1733">
        <v>4</v>
      </c>
      <c r="AQ5" s="1732">
        <v>3</v>
      </c>
      <c r="AR5" s="1733">
        <v>3</v>
      </c>
      <c r="AS5" s="1732">
        <v>17</v>
      </c>
      <c r="AT5" s="1733">
        <v>11</v>
      </c>
      <c r="AU5" s="1732">
        <v>297</v>
      </c>
      <c r="AV5" s="1733">
        <v>189</v>
      </c>
      <c r="AW5" s="1732">
        <v>15</v>
      </c>
      <c r="AX5" s="1733">
        <v>0</v>
      </c>
    </row>
    <row r="6" spans="1:50" x14ac:dyDescent="0.25">
      <c r="A6" s="551" t="s">
        <v>10</v>
      </c>
      <c r="B6" s="552" t="s">
        <v>11</v>
      </c>
      <c r="C6" s="553" t="s">
        <v>264</v>
      </c>
      <c r="D6" s="1723">
        <v>104</v>
      </c>
      <c r="E6" s="1723">
        <v>31</v>
      </c>
      <c r="F6" s="1682">
        <f>D6/E6</f>
        <v>3.3548387096774195</v>
      </c>
      <c r="G6" s="1725">
        <v>16</v>
      </c>
      <c r="H6" s="1726">
        <v>4</v>
      </c>
      <c r="I6" s="1725">
        <v>1</v>
      </c>
      <c r="J6" s="1726">
        <v>1</v>
      </c>
      <c r="K6" s="1725"/>
      <c r="L6" s="1726"/>
      <c r="M6" s="1725">
        <v>42</v>
      </c>
      <c r="N6" s="1726">
        <v>7</v>
      </c>
      <c r="O6" s="1725"/>
      <c r="P6" s="1726"/>
      <c r="Q6" s="1725">
        <v>7</v>
      </c>
      <c r="R6" s="1726">
        <v>3</v>
      </c>
      <c r="S6" s="1725">
        <v>6</v>
      </c>
      <c r="T6" s="1726">
        <v>4</v>
      </c>
      <c r="U6" s="1725">
        <v>11</v>
      </c>
      <c r="V6" s="1726">
        <v>4</v>
      </c>
      <c r="W6" s="1725"/>
      <c r="X6" s="1726"/>
      <c r="Y6" s="1725"/>
      <c r="Z6" s="1726"/>
      <c r="AA6" s="1725">
        <v>15</v>
      </c>
      <c r="AB6" s="1726">
        <v>3</v>
      </c>
      <c r="AC6" s="1725">
        <v>3</v>
      </c>
      <c r="AD6" s="1726">
        <v>2</v>
      </c>
      <c r="AE6" s="1725"/>
      <c r="AF6" s="1726"/>
      <c r="AG6" s="1725"/>
      <c r="AH6" s="1726"/>
      <c r="AI6" s="1725"/>
      <c r="AJ6" s="1726"/>
      <c r="AK6" s="1725"/>
      <c r="AL6" s="1726"/>
      <c r="AM6" s="1725"/>
      <c r="AN6" s="1726"/>
      <c r="AO6" s="1725"/>
      <c r="AP6" s="1726"/>
      <c r="AQ6" s="1725"/>
      <c r="AR6" s="1726"/>
      <c r="AS6" s="1725"/>
      <c r="AT6" s="1726"/>
      <c r="AU6" s="1725">
        <v>3</v>
      </c>
      <c r="AV6" s="1726">
        <v>3</v>
      </c>
      <c r="AW6" s="1725"/>
      <c r="AX6" s="1726"/>
    </row>
    <row r="7" spans="1:50" x14ac:dyDescent="0.25">
      <c r="A7" s="551" t="s">
        <v>12</v>
      </c>
      <c r="B7" s="552" t="s">
        <v>13</v>
      </c>
      <c r="C7" s="553" t="s">
        <v>265</v>
      </c>
      <c r="D7" s="1723">
        <v>627</v>
      </c>
      <c r="E7" s="1723">
        <v>86</v>
      </c>
      <c r="F7" s="1682">
        <f t="shared" ref="F7:F70" si="0">D7/E7</f>
        <v>7.2906976744186043</v>
      </c>
      <c r="G7" s="1725">
        <v>72</v>
      </c>
      <c r="H7" s="1726">
        <v>3</v>
      </c>
      <c r="I7" s="1725">
        <v>1</v>
      </c>
      <c r="J7" s="1726">
        <v>1</v>
      </c>
      <c r="K7" s="1725"/>
      <c r="L7" s="1726"/>
      <c r="M7" s="1725">
        <v>91</v>
      </c>
      <c r="N7" s="1726">
        <v>18</v>
      </c>
      <c r="O7" s="1725">
        <v>8</v>
      </c>
      <c r="P7" s="1726">
        <v>6</v>
      </c>
      <c r="Q7" s="1725">
        <v>5</v>
      </c>
      <c r="R7" s="1726">
        <v>4</v>
      </c>
      <c r="S7" s="1725">
        <v>13</v>
      </c>
      <c r="T7" s="1726">
        <v>5</v>
      </c>
      <c r="U7" s="1725">
        <v>337</v>
      </c>
      <c r="V7" s="1726">
        <v>21</v>
      </c>
      <c r="W7" s="1725">
        <v>1</v>
      </c>
      <c r="X7" s="1726">
        <v>1</v>
      </c>
      <c r="Y7" s="1725"/>
      <c r="Z7" s="1726"/>
      <c r="AA7" s="1725">
        <v>83</v>
      </c>
      <c r="AB7" s="1726">
        <v>14</v>
      </c>
      <c r="AC7" s="1725"/>
      <c r="AD7" s="1726"/>
      <c r="AE7" s="1725">
        <v>1</v>
      </c>
      <c r="AF7" s="1726">
        <v>1</v>
      </c>
      <c r="AG7" s="1725">
        <v>2</v>
      </c>
      <c r="AH7" s="1726">
        <v>2</v>
      </c>
      <c r="AI7" s="1725">
        <v>12</v>
      </c>
      <c r="AJ7" s="1726">
        <v>9</v>
      </c>
      <c r="AK7" s="1725"/>
      <c r="AL7" s="1726"/>
      <c r="AM7" s="1725"/>
      <c r="AN7" s="1726"/>
      <c r="AO7" s="1725"/>
      <c r="AP7" s="1726"/>
      <c r="AQ7" s="1725"/>
      <c r="AR7" s="1726"/>
      <c r="AS7" s="1725"/>
      <c r="AT7" s="1726"/>
      <c r="AU7" s="1725">
        <v>1</v>
      </c>
      <c r="AV7" s="1726">
        <v>1</v>
      </c>
      <c r="AW7" s="1725"/>
      <c r="AX7" s="1726"/>
    </row>
    <row r="8" spans="1:50" x14ac:dyDescent="0.25">
      <c r="A8" s="551" t="s">
        <v>14</v>
      </c>
      <c r="B8" s="552" t="s">
        <v>15</v>
      </c>
      <c r="C8" s="558" t="s">
        <v>267</v>
      </c>
      <c r="D8" s="1723">
        <v>380</v>
      </c>
      <c r="E8" s="1723">
        <v>50</v>
      </c>
      <c r="F8" s="1682">
        <f t="shared" si="0"/>
        <v>7.6</v>
      </c>
      <c r="G8" s="1725">
        <v>149</v>
      </c>
      <c r="H8" s="1726">
        <v>4</v>
      </c>
      <c r="I8" s="1725"/>
      <c r="J8" s="1726"/>
      <c r="K8" s="1725"/>
      <c r="L8" s="1726"/>
      <c r="M8" s="1725">
        <v>79</v>
      </c>
      <c r="N8" s="1726">
        <v>9</v>
      </c>
      <c r="O8" s="1725">
        <v>2</v>
      </c>
      <c r="P8" s="1726">
        <v>2</v>
      </c>
      <c r="Q8" s="1725">
        <v>7</v>
      </c>
      <c r="R8" s="1726">
        <v>4</v>
      </c>
      <c r="S8" s="1725">
        <v>2</v>
      </c>
      <c r="T8" s="1726">
        <v>2</v>
      </c>
      <c r="U8" s="1725">
        <v>16</v>
      </c>
      <c r="V8" s="1726">
        <v>7</v>
      </c>
      <c r="W8" s="1725"/>
      <c r="X8" s="1726"/>
      <c r="Y8" s="1725"/>
      <c r="Z8" s="1726"/>
      <c r="AA8" s="1725">
        <v>120</v>
      </c>
      <c r="AB8" s="1726">
        <v>18</v>
      </c>
      <c r="AC8" s="1725"/>
      <c r="AD8" s="1726"/>
      <c r="AE8" s="1725">
        <v>1</v>
      </c>
      <c r="AF8" s="1726">
        <v>1</v>
      </c>
      <c r="AG8" s="1725">
        <v>2</v>
      </c>
      <c r="AH8" s="1726">
        <v>1</v>
      </c>
      <c r="AI8" s="1725">
        <v>1</v>
      </c>
      <c r="AJ8" s="1726">
        <v>1</v>
      </c>
      <c r="AK8" s="1725"/>
      <c r="AL8" s="1726"/>
      <c r="AM8" s="1725"/>
      <c r="AN8" s="1726"/>
      <c r="AO8" s="1725"/>
      <c r="AP8" s="1726"/>
      <c r="AQ8" s="1725"/>
      <c r="AR8" s="1726"/>
      <c r="AS8" s="1725"/>
      <c r="AT8" s="1726"/>
      <c r="AU8" s="1725">
        <v>1</v>
      </c>
      <c r="AV8" s="1726">
        <v>1</v>
      </c>
      <c r="AW8" s="1725"/>
      <c r="AX8" s="1726"/>
    </row>
    <row r="9" spans="1:50" x14ac:dyDescent="0.25">
      <c r="A9" s="551" t="s">
        <v>16</v>
      </c>
      <c r="B9" s="552" t="s">
        <v>17</v>
      </c>
      <c r="C9" s="553" t="s">
        <v>265</v>
      </c>
      <c r="D9" s="1723">
        <v>102</v>
      </c>
      <c r="E9" s="1723">
        <v>20</v>
      </c>
      <c r="F9" s="1682">
        <f t="shared" si="0"/>
        <v>5.0999999999999996</v>
      </c>
      <c r="G9" s="1725">
        <v>8</v>
      </c>
      <c r="H9" s="1726">
        <v>2</v>
      </c>
      <c r="I9" s="1725"/>
      <c r="J9" s="1726"/>
      <c r="K9" s="1725"/>
      <c r="L9" s="1726"/>
      <c r="M9" s="1725">
        <v>59</v>
      </c>
      <c r="N9" s="1726">
        <v>7</v>
      </c>
      <c r="O9" s="1725">
        <v>2</v>
      </c>
      <c r="P9" s="1726">
        <v>1</v>
      </c>
      <c r="Q9" s="1725"/>
      <c r="R9" s="1726"/>
      <c r="S9" s="1725">
        <v>8</v>
      </c>
      <c r="T9" s="1726">
        <v>1</v>
      </c>
      <c r="U9" s="1725">
        <v>3</v>
      </c>
      <c r="V9" s="1726">
        <v>3</v>
      </c>
      <c r="W9" s="1725"/>
      <c r="X9" s="1726"/>
      <c r="Y9" s="1725"/>
      <c r="Z9" s="1726"/>
      <c r="AA9" s="1725">
        <v>14</v>
      </c>
      <c r="AB9" s="1726">
        <v>2</v>
      </c>
      <c r="AC9" s="1725">
        <v>2</v>
      </c>
      <c r="AD9" s="1726">
        <v>1</v>
      </c>
      <c r="AE9" s="1725">
        <v>4</v>
      </c>
      <c r="AF9" s="1726">
        <v>1</v>
      </c>
      <c r="AG9" s="1725"/>
      <c r="AH9" s="1726"/>
      <c r="AI9" s="1725">
        <v>2</v>
      </c>
      <c r="AJ9" s="1726">
        <v>2</v>
      </c>
      <c r="AK9" s="1725"/>
      <c r="AL9" s="1726"/>
      <c r="AM9" s="1725"/>
      <c r="AN9" s="1726"/>
      <c r="AO9" s="1725"/>
      <c r="AP9" s="1726"/>
      <c r="AQ9" s="1725"/>
      <c r="AR9" s="1726"/>
      <c r="AS9" s="1725"/>
      <c r="AT9" s="1726"/>
      <c r="AU9" s="1725"/>
      <c r="AV9" s="1726"/>
      <c r="AW9" s="1725"/>
      <c r="AX9" s="1726"/>
    </row>
    <row r="10" spans="1:50" x14ac:dyDescent="0.25">
      <c r="A10" s="551" t="s">
        <v>18</v>
      </c>
      <c r="B10" s="552" t="s">
        <v>19</v>
      </c>
      <c r="C10" s="553" t="s">
        <v>266</v>
      </c>
      <c r="D10" s="1723">
        <v>27</v>
      </c>
      <c r="E10" s="1723">
        <v>12</v>
      </c>
      <c r="F10" s="1682">
        <f t="shared" si="0"/>
        <v>2.25</v>
      </c>
      <c r="G10" s="1725">
        <v>4</v>
      </c>
      <c r="H10" s="1726">
        <v>3</v>
      </c>
      <c r="I10" s="1725"/>
      <c r="J10" s="1726"/>
      <c r="K10" s="1725"/>
      <c r="L10" s="1726"/>
      <c r="M10" s="1725">
        <v>17</v>
      </c>
      <c r="N10" s="1726">
        <v>3</v>
      </c>
      <c r="O10" s="1725"/>
      <c r="P10" s="1726"/>
      <c r="Q10" s="1725"/>
      <c r="R10" s="1726"/>
      <c r="S10" s="1725">
        <v>2</v>
      </c>
      <c r="T10" s="1726">
        <v>2</v>
      </c>
      <c r="U10" s="1725">
        <v>2</v>
      </c>
      <c r="V10" s="1726">
        <v>2</v>
      </c>
      <c r="W10" s="1725"/>
      <c r="X10" s="1726"/>
      <c r="Y10" s="1725"/>
      <c r="Z10" s="1726"/>
      <c r="AA10" s="1725">
        <v>1</v>
      </c>
      <c r="AB10" s="1726">
        <v>1</v>
      </c>
      <c r="AC10" s="1725">
        <v>1</v>
      </c>
      <c r="AD10" s="1726">
        <v>1</v>
      </c>
      <c r="AE10" s="1725"/>
      <c r="AF10" s="1726"/>
      <c r="AG10" s="1725"/>
      <c r="AH10" s="1726"/>
      <c r="AI10" s="1725"/>
      <c r="AJ10" s="1726"/>
      <c r="AK10" s="1725"/>
      <c r="AL10" s="1726"/>
      <c r="AM10" s="1725"/>
      <c r="AN10" s="1726"/>
      <c r="AO10" s="1725"/>
      <c r="AP10" s="1726"/>
      <c r="AQ10" s="1725"/>
      <c r="AR10" s="1726"/>
      <c r="AS10" s="1725"/>
      <c r="AT10" s="1726"/>
      <c r="AU10" s="1725"/>
      <c r="AV10" s="1726"/>
      <c r="AW10" s="1725"/>
      <c r="AX10" s="1726"/>
    </row>
    <row r="11" spans="1:50" x14ac:dyDescent="0.25">
      <c r="A11" s="551" t="s">
        <v>20</v>
      </c>
      <c r="B11" s="552" t="s">
        <v>21</v>
      </c>
      <c r="C11" s="553" t="s">
        <v>265</v>
      </c>
      <c r="D11" s="1723">
        <v>78</v>
      </c>
      <c r="E11" s="1723">
        <v>19</v>
      </c>
      <c r="F11" s="1682">
        <f t="shared" si="0"/>
        <v>4.1052631578947372</v>
      </c>
      <c r="G11" s="1725">
        <v>6</v>
      </c>
      <c r="H11" s="1726">
        <v>1</v>
      </c>
      <c r="I11" s="1725"/>
      <c r="J11" s="1726"/>
      <c r="K11" s="1725"/>
      <c r="L11" s="1726"/>
      <c r="M11" s="1725">
        <v>35</v>
      </c>
      <c r="N11" s="1726">
        <v>7</v>
      </c>
      <c r="O11" s="1725">
        <v>2</v>
      </c>
      <c r="P11" s="1726">
        <v>1</v>
      </c>
      <c r="Q11" s="1725">
        <v>2</v>
      </c>
      <c r="R11" s="1726">
        <v>1</v>
      </c>
      <c r="S11" s="1725">
        <v>1</v>
      </c>
      <c r="T11" s="1726">
        <v>1</v>
      </c>
      <c r="U11" s="1725">
        <v>3</v>
      </c>
      <c r="V11" s="1726">
        <v>1</v>
      </c>
      <c r="W11" s="1725"/>
      <c r="X11" s="1726"/>
      <c r="Y11" s="1725"/>
      <c r="Z11" s="1726"/>
      <c r="AA11" s="1725">
        <v>24</v>
      </c>
      <c r="AB11" s="1726">
        <v>3</v>
      </c>
      <c r="AC11" s="1725"/>
      <c r="AD11" s="1726"/>
      <c r="AE11" s="1725"/>
      <c r="AF11" s="1726"/>
      <c r="AG11" s="1725"/>
      <c r="AH11" s="1726"/>
      <c r="AI11" s="1725">
        <v>4</v>
      </c>
      <c r="AJ11" s="1726">
        <v>3</v>
      </c>
      <c r="AK11" s="1725"/>
      <c r="AL11" s="1726"/>
      <c r="AM11" s="1725"/>
      <c r="AN11" s="1726"/>
      <c r="AO11" s="1725"/>
      <c r="AP11" s="1726"/>
      <c r="AQ11" s="1725"/>
      <c r="AR11" s="1726"/>
      <c r="AS11" s="1725"/>
      <c r="AT11" s="1726"/>
      <c r="AU11" s="1725">
        <v>1</v>
      </c>
      <c r="AV11" s="1726">
        <v>1</v>
      </c>
      <c r="AW11" s="1725"/>
      <c r="AX11" s="1726"/>
    </row>
    <row r="12" spans="1:50" x14ac:dyDescent="0.25">
      <c r="A12" s="551" t="s">
        <v>22</v>
      </c>
      <c r="B12" s="552" t="s">
        <v>23</v>
      </c>
      <c r="C12" s="553" t="s">
        <v>265</v>
      </c>
      <c r="D12" s="1723">
        <v>78</v>
      </c>
      <c r="E12" s="1723">
        <v>27</v>
      </c>
      <c r="F12" s="1682">
        <f t="shared" si="0"/>
        <v>2.8888888888888888</v>
      </c>
      <c r="G12" s="1725">
        <v>8</v>
      </c>
      <c r="H12" s="1726">
        <v>2</v>
      </c>
      <c r="I12" s="1725"/>
      <c r="J12" s="1726"/>
      <c r="K12" s="1725"/>
      <c r="L12" s="1726"/>
      <c r="M12" s="1725">
        <v>11</v>
      </c>
      <c r="N12" s="1726">
        <v>4</v>
      </c>
      <c r="O12" s="1725">
        <v>1</v>
      </c>
      <c r="P12" s="1726">
        <v>1</v>
      </c>
      <c r="Q12" s="1725">
        <v>2</v>
      </c>
      <c r="R12" s="1726">
        <v>2</v>
      </c>
      <c r="S12" s="1725">
        <v>16</v>
      </c>
      <c r="T12" s="1726">
        <v>5</v>
      </c>
      <c r="U12" s="1725">
        <v>3</v>
      </c>
      <c r="V12" s="1726">
        <v>1</v>
      </c>
      <c r="W12" s="1725">
        <v>3</v>
      </c>
      <c r="X12" s="1726">
        <v>2</v>
      </c>
      <c r="Y12" s="1725"/>
      <c r="Z12" s="1726"/>
      <c r="AA12" s="1725">
        <v>25</v>
      </c>
      <c r="AB12" s="1726">
        <v>3</v>
      </c>
      <c r="AC12" s="1725">
        <v>2</v>
      </c>
      <c r="AD12" s="1726">
        <v>2</v>
      </c>
      <c r="AE12" s="1725"/>
      <c r="AF12" s="1726"/>
      <c r="AG12" s="1725"/>
      <c r="AH12" s="1726"/>
      <c r="AI12" s="1725">
        <v>4</v>
      </c>
      <c r="AJ12" s="1726">
        <v>2</v>
      </c>
      <c r="AK12" s="1725"/>
      <c r="AL12" s="1726"/>
      <c r="AM12" s="1725"/>
      <c r="AN12" s="1726"/>
      <c r="AO12" s="1725"/>
      <c r="AP12" s="1726"/>
      <c r="AQ12" s="1725"/>
      <c r="AR12" s="1726"/>
      <c r="AS12" s="1725"/>
      <c r="AT12" s="1726"/>
      <c r="AU12" s="1725">
        <v>3</v>
      </c>
      <c r="AV12" s="1726">
        <v>3</v>
      </c>
      <c r="AW12" s="1725"/>
      <c r="AX12" s="1726"/>
    </row>
    <row r="13" spans="1:50" x14ac:dyDescent="0.25">
      <c r="A13" s="551" t="s">
        <v>24</v>
      </c>
      <c r="B13" s="552" t="s">
        <v>25</v>
      </c>
      <c r="C13" s="553" t="s">
        <v>267</v>
      </c>
      <c r="D13" s="1723">
        <v>296</v>
      </c>
      <c r="E13" s="1723">
        <v>43</v>
      </c>
      <c r="F13" s="1682">
        <f t="shared" si="0"/>
        <v>6.8837209302325579</v>
      </c>
      <c r="G13" s="1725">
        <v>115</v>
      </c>
      <c r="H13" s="1726">
        <v>4</v>
      </c>
      <c r="I13" s="1725"/>
      <c r="J13" s="1726"/>
      <c r="K13" s="1725"/>
      <c r="L13" s="1726"/>
      <c r="M13" s="1725">
        <v>68</v>
      </c>
      <c r="N13" s="1726">
        <v>7</v>
      </c>
      <c r="O13" s="1725"/>
      <c r="P13" s="1726"/>
      <c r="Q13" s="1725">
        <v>2</v>
      </c>
      <c r="R13" s="1726">
        <v>2</v>
      </c>
      <c r="S13" s="1725">
        <v>1</v>
      </c>
      <c r="T13" s="1726">
        <v>1</v>
      </c>
      <c r="U13" s="1725">
        <v>3</v>
      </c>
      <c r="V13" s="1726">
        <v>3</v>
      </c>
      <c r="W13" s="1725"/>
      <c r="X13" s="1726"/>
      <c r="Y13" s="1725"/>
      <c r="Z13" s="1726"/>
      <c r="AA13" s="1725">
        <v>83</v>
      </c>
      <c r="AB13" s="1726">
        <v>13</v>
      </c>
      <c r="AC13" s="1725">
        <v>1</v>
      </c>
      <c r="AD13" s="1726">
        <v>1</v>
      </c>
      <c r="AE13" s="1725">
        <v>12</v>
      </c>
      <c r="AF13" s="1726">
        <v>6</v>
      </c>
      <c r="AG13" s="1725"/>
      <c r="AH13" s="1726"/>
      <c r="AI13" s="1725"/>
      <c r="AJ13" s="1726"/>
      <c r="AK13" s="1725"/>
      <c r="AL13" s="1726"/>
      <c r="AM13" s="1725"/>
      <c r="AN13" s="1726"/>
      <c r="AO13" s="1725"/>
      <c r="AP13" s="1726"/>
      <c r="AQ13" s="1725"/>
      <c r="AR13" s="1726"/>
      <c r="AS13" s="1725"/>
      <c r="AT13" s="1726"/>
      <c r="AU13" s="1725">
        <v>11</v>
      </c>
      <c r="AV13" s="1726">
        <v>6</v>
      </c>
      <c r="AW13" s="1725"/>
      <c r="AX13" s="1726"/>
    </row>
    <row r="14" spans="1:50" x14ac:dyDescent="0.25">
      <c r="A14" s="551" t="s">
        <v>26</v>
      </c>
      <c r="B14" s="552" t="s">
        <v>685</v>
      </c>
      <c r="C14" s="553" t="s">
        <v>265</v>
      </c>
      <c r="D14" s="1724">
        <v>580</v>
      </c>
      <c r="E14" s="1724">
        <v>115</v>
      </c>
      <c r="F14" s="1682">
        <f t="shared" si="0"/>
        <v>5.0434782608695654</v>
      </c>
      <c r="G14" s="1725">
        <v>227</v>
      </c>
      <c r="H14" s="1726">
        <v>12</v>
      </c>
      <c r="I14" s="1725">
        <v>1</v>
      </c>
      <c r="J14" s="1726">
        <v>1</v>
      </c>
      <c r="K14" s="1725"/>
      <c r="L14" s="1726"/>
      <c r="M14" s="1725">
        <v>128</v>
      </c>
      <c r="N14" s="1726">
        <v>14</v>
      </c>
      <c r="O14" s="1725">
        <v>2</v>
      </c>
      <c r="P14" s="1726">
        <v>2</v>
      </c>
      <c r="Q14" s="1725">
        <v>3</v>
      </c>
      <c r="R14" s="1726">
        <v>1</v>
      </c>
      <c r="S14" s="1725">
        <v>55</v>
      </c>
      <c r="T14" s="1726">
        <v>13</v>
      </c>
      <c r="U14" s="1725">
        <v>15</v>
      </c>
      <c r="V14" s="1726">
        <v>9</v>
      </c>
      <c r="W14" s="1725">
        <v>1</v>
      </c>
      <c r="X14" s="1726">
        <v>1</v>
      </c>
      <c r="Y14" s="1725"/>
      <c r="Z14" s="1726"/>
      <c r="AA14" s="1725">
        <v>131</v>
      </c>
      <c r="AB14" s="1726">
        <v>50</v>
      </c>
      <c r="AC14" s="1725">
        <v>2</v>
      </c>
      <c r="AD14" s="1726">
        <v>1</v>
      </c>
      <c r="AE14" s="1725">
        <v>2</v>
      </c>
      <c r="AF14" s="1726">
        <v>2</v>
      </c>
      <c r="AG14" s="1725"/>
      <c r="AH14" s="1726"/>
      <c r="AI14" s="1725"/>
      <c r="AJ14" s="1726"/>
      <c r="AK14" s="1725"/>
      <c r="AL14" s="1726"/>
      <c r="AM14" s="1725"/>
      <c r="AN14" s="1726"/>
      <c r="AO14" s="1725"/>
      <c r="AP14" s="1726"/>
      <c r="AQ14" s="1725"/>
      <c r="AR14" s="1726"/>
      <c r="AS14" s="1725"/>
      <c r="AT14" s="1726"/>
      <c r="AU14" s="1725">
        <v>13</v>
      </c>
      <c r="AV14" s="1726">
        <v>9</v>
      </c>
      <c r="AW14" s="1725"/>
      <c r="AX14" s="1726"/>
    </row>
    <row r="15" spans="1:50" x14ac:dyDescent="0.25">
      <c r="A15" s="557" t="s">
        <v>27</v>
      </c>
      <c r="B15" s="552" t="s">
        <v>28</v>
      </c>
      <c r="C15" s="558" t="s">
        <v>265</v>
      </c>
      <c r="D15" s="1723">
        <v>19</v>
      </c>
      <c r="E15" s="1723">
        <v>4</v>
      </c>
      <c r="F15" s="1682">
        <f t="shared" si="0"/>
        <v>4.75</v>
      </c>
      <c r="G15" s="1725">
        <v>4</v>
      </c>
      <c r="H15" s="1726">
        <v>1</v>
      </c>
      <c r="I15" s="1725"/>
      <c r="J15" s="1726"/>
      <c r="K15" s="1725"/>
      <c r="L15" s="1726"/>
      <c r="M15" s="1725">
        <v>12</v>
      </c>
      <c r="N15" s="1726">
        <v>1</v>
      </c>
      <c r="O15" s="1725"/>
      <c r="P15" s="1726"/>
      <c r="Q15" s="1725"/>
      <c r="R15" s="1726"/>
      <c r="S15" s="1725"/>
      <c r="T15" s="1726"/>
      <c r="U15" s="1725">
        <v>1</v>
      </c>
      <c r="V15" s="1726">
        <v>1</v>
      </c>
      <c r="W15" s="1725"/>
      <c r="X15" s="1726"/>
      <c r="Y15" s="1725"/>
      <c r="Z15" s="1726"/>
      <c r="AA15" s="1725">
        <v>2</v>
      </c>
      <c r="AB15" s="1726">
        <v>1</v>
      </c>
      <c r="AC15" s="1725"/>
      <c r="AD15" s="1726"/>
      <c r="AE15" s="1725"/>
      <c r="AF15" s="1726"/>
      <c r="AG15" s="1725"/>
      <c r="AH15" s="1726"/>
      <c r="AI15" s="1725"/>
      <c r="AJ15" s="1726"/>
      <c r="AK15" s="1725"/>
      <c r="AL15" s="1726"/>
      <c r="AM15" s="1725"/>
      <c r="AN15" s="1726"/>
      <c r="AO15" s="1725"/>
      <c r="AP15" s="1726"/>
      <c r="AQ15" s="1725"/>
      <c r="AR15" s="1726"/>
      <c r="AS15" s="1725"/>
      <c r="AT15" s="1726"/>
      <c r="AU15" s="1725"/>
      <c r="AV15" s="1726"/>
      <c r="AW15" s="1725"/>
      <c r="AX15" s="1726"/>
    </row>
    <row r="16" spans="1:50" x14ac:dyDescent="0.25">
      <c r="A16" s="551" t="s">
        <v>29</v>
      </c>
      <c r="B16" s="552" t="s">
        <v>901</v>
      </c>
      <c r="C16" s="558" t="s">
        <v>265</v>
      </c>
      <c r="D16" s="1723">
        <v>271</v>
      </c>
      <c r="E16" s="1723">
        <v>47</v>
      </c>
      <c r="F16" s="1682">
        <f t="shared" si="0"/>
        <v>5.7659574468085104</v>
      </c>
      <c r="G16" s="1725">
        <v>57</v>
      </c>
      <c r="H16" s="1726">
        <v>3</v>
      </c>
      <c r="I16" s="1725"/>
      <c r="J16" s="1726"/>
      <c r="K16" s="1725"/>
      <c r="L16" s="1726"/>
      <c r="M16" s="1725">
        <v>114</v>
      </c>
      <c r="N16" s="1726">
        <v>16</v>
      </c>
      <c r="O16" s="1725">
        <v>1</v>
      </c>
      <c r="P16" s="1726">
        <v>1</v>
      </c>
      <c r="Q16" s="1725"/>
      <c r="R16" s="1726"/>
      <c r="S16" s="1725">
        <v>36</v>
      </c>
      <c r="T16" s="1726">
        <v>10</v>
      </c>
      <c r="U16" s="1725">
        <v>4</v>
      </c>
      <c r="V16" s="1726">
        <v>2</v>
      </c>
      <c r="W16" s="1725"/>
      <c r="X16" s="1726"/>
      <c r="Y16" s="1725"/>
      <c r="Z16" s="1726"/>
      <c r="AA16" s="1725">
        <v>52</v>
      </c>
      <c r="AB16" s="1726">
        <v>11</v>
      </c>
      <c r="AC16" s="1725">
        <v>3</v>
      </c>
      <c r="AD16" s="1726">
        <v>2</v>
      </c>
      <c r="AE16" s="1725"/>
      <c r="AF16" s="1726"/>
      <c r="AG16" s="1725"/>
      <c r="AH16" s="1726"/>
      <c r="AI16" s="1725">
        <v>1</v>
      </c>
      <c r="AJ16" s="1726">
        <v>1</v>
      </c>
      <c r="AK16" s="1725"/>
      <c r="AL16" s="1726"/>
      <c r="AM16" s="1725"/>
      <c r="AN16" s="1726"/>
      <c r="AO16" s="1725"/>
      <c r="AP16" s="1726"/>
      <c r="AQ16" s="1725"/>
      <c r="AR16" s="1726"/>
      <c r="AS16" s="1725"/>
      <c r="AT16" s="1726"/>
      <c r="AU16" s="1725">
        <v>2</v>
      </c>
      <c r="AV16" s="1726">
        <v>1</v>
      </c>
      <c r="AW16" s="1725">
        <v>1</v>
      </c>
      <c r="AX16" s="1726">
        <v>0</v>
      </c>
    </row>
    <row r="17" spans="1:50" x14ac:dyDescent="0.25">
      <c r="A17" s="551" t="s">
        <v>30</v>
      </c>
      <c r="B17" s="552" t="s">
        <v>31</v>
      </c>
      <c r="C17" s="558" t="s">
        <v>268</v>
      </c>
      <c r="D17" s="1723">
        <v>47</v>
      </c>
      <c r="E17" s="1723">
        <v>14</v>
      </c>
      <c r="F17" s="1682">
        <f t="shared" si="0"/>
        <v>3.3571428571428572</v>
      </c>
      <c r="G17" s="1725">
        <v>11</v>
      </c>
      <c r="H17" s="1726">
        <v>1</v>
      </c>
      <c r="I17" s="1725"/>
      <c r="J17" s="1726"/>
      <c r="K17" s="1725"/>
      <c r="L17" s="1726"/>
      <c r="M17" s="1725">
        <v>9</v>
      </c>
      <c r="N17" s="1726">
        <v>3</v>
      </c>
      <c r="O17" s="1725"/>
      <c r="P17" s="1726"/>
      <c r="Q17" s="1725">
        <v>2</v>
      </c>
      <c r="R17" s="1726">
        <v>1</v>
      </c>
      <c r="S17" s="1725">
        <v>4</v>
      </c>
      <c r="T17" s="1726">
        <v>3</v>
      </c>
      <c r="U17" s="1725">
        <v>3</v>
      </c>
      <c r="V17" s="1726">
        <v>2</v>
      </c>
      <c r="W17" s="1725">
        <v>2</v>
      </c>
      <c r="X17" s="1726">
        <v>1</v>
      </c>
      <c r="Y17" s="1725"/>
      <c r="Z17" s="1726"/>
      <c r="AA17" s="1725">
        <v>9</v>
      </c>
      <c r="AB17" s="1726">
        <v>1</v>
      </c>
      <c r="AC17" s="1725"/>
      <c r="AD17" s="1726"/>
      <c r="AE17" s="1725"/>
      <c r="AF17" s="1726"/>
      <c r="AG17" s="1725"/>
      <c r="AH17" s="1726"/>
      <c r="AI17" s="1725">
        <v>6</v>
      </c>
      <c r="AJ17" s="1726">
        <v>1</v>
      </c>
      <c r="AK17" s="1725"/>
      <c r="AL17" s="1726"/>
      <c r="AM17" s="1725"/>
      <c r="AN17" s="1726"/>
      <c r="AO17" s="1725"/>
      <c r="AP17" s="1726"/>
      <c r="AQ17" s="1725"/>
      <c r="AR17" s="1726"/>
      <c r="AS17" s="1725"/>
      <c r="AT17" s="1726"/>
      <c r="AU17" s="1725">
        <v>1</v>
      </c>
      <c r="AV17" s="1726">
        <v>1</v>
      </c>
      <c r="AW17" s="1725"/>
      <c r="AX17" s="1726"/>
    </row>
    <row r="18" spans="1:50" x14ac:dyDescent="0.25">
      <c r="A18" s="551" t="s">
        <v>32</v>
      </c>
      <c r="B18" s="552" t="s">
        <v>33</v>
      </c>
      <c r="C18" s="558" t="s">
        <v>265</v>
      </c>
      <c r="D18" s="1723">
        <v>24</v>
      </c>
      <c r="E18" s="1723">
        <v>10</v>
      </c>
      <c r="F18" s="1682">
        <f t="shared" si="0"/>
        <v>2.4</v>
      </c>
      <c r="G18" s="1725">
        <v>7</v>
      </c>
      <c r="H18" s="1726">
        <v>2</v>
      </c>
      <c r="I18" s="1725"/>
      <c r="J18" s="1726"/>
      <c r="K18" s="1725"/>
      <c r="L18" s="1726"/>
      <c r="M18" s="1725">
        <v>7</v>
      </c>
      <c r="N18" s="1726">
        <v>3</v>
      </c>
      <c r="O18" s="1725"/>
      <c r="P18" s="1726"/>
      <c r="Q18" s="1725"/>
      <c r="R18" s="1726"/>
      <c r="S18" s="1725">
        <v>2</v>
      </c>
      <c r="T18" s="1726">
        <v>2</v>
      </c>
      <c r="U18" s="1725">
        <v>2</v>
      </c>
      <c r="V18" s="1726">
        <v>1</v>
      </c>
      <c r="W18" s="1725"/>
      <c r="X18" s="1726"/>
      <c r="Y18" s="1725"/>
      <c r="Z18" s="1726"/>
      <c r="AA18" s="1725">
        <v>5</v>
      </c>
      <c r="AB18" s="1726">
        <v>1</v>
      </c>
      <c r="AC18" s="1725"/>
      <c r="AD18" s="1726"/>
      <c r="AE18" s="1725"/>
      <c r="AF18" s="1726"/>
      <c r="AG18" s="1725"/>
      <c r="AH18" s="1726"/>
      <c r="AI18" s="1725"/>
      <c r="AJ18" s="1726"/>
      <c r="AK18" s="1725"/>
      <c r="AL18" s="1726"/>
      <c r="AM18" s="1725"/>
      <c r="AN18" s="1726"/>
      <c r="AO18" s="1725"/>
      <c r="AP18" s="1726"/>
      <c r="AQ18" s="1725"/>
      <c r="AR18" s="1726"/>
      <c r="AS18" s="1725"/>
      <c r="AT18" s="1726"/>
      <c r="AU18" s="1725">
        <v>1</v>
      </c>
      <c r="AV18" s="1726">
        <v>1</v>
      </c>
      <c r="AW18" s="1725"/>
      <c r="AX18" s="1726"/>
    </row>
    <row r="19" spans="1:50" x14ac:dyDescent="0.25">
      <c r="A19" s="551" t="s">
        <v>34</v>
      </c>
      <c r="B19" s="552" t="s">
        <v>35</v>
      </c>
      <c r="C19" s="558" t="s">
        <v>268</v>
      </c>
      <c r="D19" s="1723">
        <v>257</v>
      </c>
      <c r="E19" s="1723">
        <v>29</v>
      </c>
      <c r="F19" s="1682">
        <f t="shared" si="0"/>
        <v>8.862068965517242</v>
      </c>
      <c r="G19" s="1725">
        <v>39</v>
      </c>
      <c r="H19" s="1726">
        <v>1</v>
      </c>
      <c r="I19" s="1725"/>
      <c r="J19" s="1726"/>
      <c r="K19" s="1725"/>
      <c r="L19" s="1726"/>
      <c r="M19" s="1725">
        <v>46</v>
      </c>
      <c r="N19" s="1726">
        <v>4</v>
      </c>
      <c r="O19" s="1725">
        <v>1</v>
      </c>
      <c r="P19" s="1726">
        <v>1</v>
      </c>
      <c r="Q19" s="1725">
        <v>1</v>
      </c>
      <c r="R19" s="1726">
        <v>1</v>
      </c>
      <c r="S19" s="1725">
        <v>52</v>
      </c>
      <c r="T19" s="1726">
        <v>7</v>
      </c>
      <c r="U19" s="1725">
        <v>14</v>
      </c>
      <c r="V19" s="1726">
        <v>3</v>
      </c>
      <c r="W19" s="1725">
        <v>4</v>
      </c>
      <c r="X19" s="1726">
        <v>1</v>
      </c>
      <c r="Y19" s="1725"/>
      <c r="Z19" s="1726"/>
      <c r="AA19" s="1725">
        <v>55</v>
      </c>
      <c r="AB19" s="1726">
        <v>6</v>
      </c>
      <c r="AC19" s="1725">
        <v>2</v>
      </c>
      <c r="AD19" s="1726">
        <v>1</v>
      </c>
      <c r="AE19" s="1725"/>
      <c r="AF19" s="1726"/>
      <c r="AG19" s="1725"/>
      <c r="AH19" s="1726"/>
      <c r="AI19" s="1725">
        <v>40</v>
      </c>
      <c r="AJ19" s="1726">
        <v>3</v>
      </c>
      <c r="AK19" s="1725"/>
      <c r="AL19" s="1726"/>
      <c r="AM19" s="1725"/>
      <c r="AN19" s="1726"/>
      <c r="AO19" s="1725"/>
      <c r="AP19" s="1726"/>
      <c r="AQ19" s="1725"/>
      <c r="AR19" s="1726"/>
      <c r="AS19" s="1725"/>
      <c r="AT19" s="1726"/>
      <c r="AU19" s="1725">
        <v>3</v>
      </c>
      <c r="AV19" s="1726">
        <v>1</v>
      </c>
      <c r="AW19" s="1725"/>
      <c r="AX19" s="1726"/>
    </row>
    <row r="20" spans="1:50" x14ac:dyDescent="0.25">
      <c r="A20" s="551" t="s">
        <v>36</v>
      </c>
      <c r="B20" s="552" t="s">
        <v>37</v>
      </c>
      <c r="C20" s="558" t="s">
        <v>264</v>
      </c>
      <c r="D20" s="1723">
        <v>33</v>
      </c>
      <c r="E20" s="1723">
        <v>17</v>
      </c>
      <c r="F20" s="1682">
        <f t="shared" si="0"/>
        <v>1.9411764705882353</v>
      </c>
      <c r="G20" s="1725">
        <v>4</v>
      </c>
      <c r="H20" s="1726">
        <v>2</v>
      </c>
      <c r="I20" s="1725"/>
      <c r="J20" s="1726"/>
      <c r="K20" s="1725"/>
      <c r="L20" s="1726"/>
      <c r="M20" s="1725">
        <v>5</v>
      </c>
      <c r="N20" s="1726">
        <v>3</v>
      </c>
      <c r="O20" s="1725">
        <v>1</v>
      </c>
      <c r="P20" s="1726">
        <v>1</v>
      </c>
      <c r="Q20" s="1725">
        <v>11</v>
      </c>
      <c r="R20" s="1726">
        <v>4</v>
      </c>
      <c r="S20" s="1725">
        <v>1</v>
      </c>
      <c r="T20" s="1726">
        <v>1</v>
      </c>
      <c r="U20" s="1725">
        <v>2</v>
      </c>
      <c r="V20" s="1726">
        <v>1</v>
      </c>
      <c r="W20" s="1725">
        <v>1</v>
      </c>
      <c r="X20" s="1726">
        <v>1</v>
      </c>
      <c r="Y20" s="1725"/>
      <c r="Z20" s="1726"/>
      <c r="AA20" s="1725">
        <v>3</v>
      </c>
      <c r="AB20" s="1726">
        <v>1</v>
      </c>
      <c r="AC20" s="1725">
        <v>1</v>
      </c>
      <c r="AD20" s="1726">
        <v>1</v>
      </c>
      <c r="AE20" s="1725"/>
      <c r="AF20" s="1726"/>
      <c r="AG20" s="1725"/>
      <c r="AH20" s="1726"/>
      <c r="AI20" s="1725">
        <v>2</v>
      </c>
      <c r="AJ20" s="1726">
        <v>1</v>
      </c>
      <c r="AK20" s="1725"/>
      <c r="AL20" s="1726"/>
      <c r="AM20" s="1725"/>
      <c r="AN20" s="1726"/>
      <c r="AO20" s="1725"/>
      <c r="AP20" s="1726"/>
      <c r="AQ20" s="1725"/>
      <c r="AR20" s="1726"/>
      <c r="AS20" s="1725"/>
      <c r="AT20" s="1726"/>
      <c r="AU20" s="1725">
        <v>2</v>
      </c>
      <c r="AV20" s="1726">
        <v>1</v>
      </c>
      <c r="AW20" s="1725"/>
      <c r="AX20" s="1726"/>
    </row>
    <row r="21" spans="1:50" x14ac:dyDescent="0.25">
      <c r="A21" s="551" t="s">
        <v>38</v>
      </c>
      <c r="B21" s="552" t="s">
        <v>39</v>
      </c>
      <c r="C21" s="558" t="s">
        <v>268</v>
      </c>
      <c r="D21" s="1723">
        <v>258</v>
      </c>
      <c r="E21" s="1723">
        <v>32</v>
      </c>
      <c r="F21" s="1682">
        <f t="shared" si="0"/>
        <v>8.0625</v>
      </c>
      <c r="G21" s="1725">
        <v>81</v>
      </c>
      <c r="H21" s="1726">
        <v>2</v>
      </c>
      <c r="I21" s="1725"/>
      <c r="J21" s="1726"/>
      <c r="K21" s="1725"/>
      <c r="L21" s="1726"/>
      <c r="M21" s="1725">
        <v>22</v>
      </c>
      <c r="N21" s="1726">
        <v>6</v>
      </c>
      <c r="O21" s="1725"/>
      <c r="P21" s="1726"/>
      <c r="Q21" s="1725"/>
      <c r="R21" s="1726"/>
      <c r="S21" s="1725">
        <v>78</v>
      </c>
      <c r="T21" s="1726">
        <v>13</v>
      </c>
      <c r="U21" s="1725">
        <v>5</v>
      </c>
      <c r="V21" s="1726">
        <v>3</v>
      </c>
      <c r="W21" s="1725"/>
      <c r="X21" s="1726"/>
      <c r="Y21" s="1725"/>
      <c r="Z21" s="1726"/>
      <c r="AA21" s="1725">
        <v>68</v>
      </c>
      <c r="AB21" s="1726">
        <v>6</v>
      </c>
      <c r="AC21" s="1725"/>
      <c r="AD21" s="1726"/>
      <c r="AE21" s="1725">
        <v>3</v>
      </c>
      <c r="AF21" s="1726">
        <v>1</v>
      </c>
      <c r="AG21" s="1725"/>
      <c r="AH21" s="1726"/>
      <c r="AI21" s="1725"/>
      <c r="AJ21" s="1726"/>
      <c r="AK21" s="1725"/>
      <c r="AL21" s="1726"/>
      <c r="AM21" s="1725"/>
      <c r="AN21" s="1726"/>
      <c r="AO21" s="1725"/>
      <c r="AP21" s="1726"/>
      <c r="AQ21" s="1725"/>
      <c r="AR21" s="1726"/>
      <c r="AS21" s="1725"/>
      <c r="AT21" s="1726"/>
      <c r="AU21" s="1725">
        <v>1</v>
      </c>
      <c r="AV21" s="1726">
        <v>1</v>
      </c>
      <c r="AW21" s="1725"/>
      <c r="AX21" s="1726"/>
    </row>
    <row r="22" spans="1:50" x14ac:dyDescent="0.25">
      <c r="A22" s="551" t="s">
        <v>40</v>
      </c>
      <c r="B22" s="552" t="s">
        <v>41</v>
      </c>
      <c r="C22" s="558" t="s">
        <v>266</v>
      </c>
      <c r="D22" s="1723">
        <v>71</v>
      </c>
      <c r="E22" s="1723">
        <v>17</v>
      </c>
      <c r="F22" s="1682">
        <f t="shared" si="0"/>
        <v>4.1764705882352944</v>
      </c>
      <c r="G22" s="1725">
        <v>14</v>
      </c>
      <c r="H22" s="1726">
        <v>2</v>
      </c>
      <c r="I22" s="1725"/>
      <c r="J22" s="1726"/>
      <c r="K22" s="1725"/>
      <c r="L22" s="1726"/>
      <c r="M22" s="1725">
        <v>20</v>
      </c>
      <c r="N22" s="1726">
        <v>3</v>
      </c>
      <c r="O22" s="1725"/>
      <c r="P22" s="1726"/>
      <c r="Q22" s="1725">
        <v>5</v>
      </c>
      <c r="R22" s="1726">
        <v>3</v>
      </c>
      <c r="S22" s="1725">
        <v>9</v>
      </c>
      <c r="T22" s="1726">
        <v>3</v>
      </c>
      <c r="U22" s="1725">
        <v>1</v>
      </c>
      <c r="V22" s="1726">
        <v>1</v>
      </c>
      <c r="W22" s="1725">
        <v>4</v>
      </c>
      <c r="X22" s="1726">
        <v>1</v>
      </c>
      <c r="Y22" s="1725"/>
      <c r="Z22" s="1726"/>
      <c r="AA22" s="1725">
        <v>15</v>
      </c>
      <c r="AB22" s="1726">
        <v>2</v>
      </c>
      <c r="AC22" s="1725"/>
      <c r="AD22" s="1726"/>
      <c r="AE22" s="1725"/>
      <c r="AF22" s="1726"/>
      <c r="AG22" s="1725"/>
      <c r="AH22" s="1726"/>
      <c r="AI22" s="1725">
        <v>1</v>
      </c>
      <c r="AJ22" s="1726">
        <v>1</v>
      </c>
      <c r="AK22" s="1725"/>
      <c r="AL22" s="1726"/>
      <c r="AM22" s="1725"/>
      <c r="AN22" s="1726"/>
      <c r="AO22" s="1725">
        <v>1</v>
      </c>
      <c r="AP22" s="1726">
        <v>1</v>
      </c>
      <c r="AQ22" s="1725"/>
      <c r="AR22" s="1726"/>
      <c r="AS22" s="1725"/>
      <c r="AT22" s="1726"/>
      <c r="AU22" s="1725"/>
      <c r="AV22" s="1726"/>
      <c r="AW22" s="1725">
        <v>1</v>
      </c>
      <c r="AX22" s="1726">
        <v>0</v>
      </c>
    </row>
    <row r="23" spans="1:50" x14ac:dyDescent="0.25">
      <c r="A23" s="551" t="s">
        <v>42</v>
      </c>
      <c r="B23" s="552" t="s">
        <v>43</v>
      </c>
      <c r="C23" s="558" t="s">
        <v>265</v>
      </c>
      <c r="D23" s="1723">
        <v>479</v>
      </c>
      <c r="E23" s="1723">
        <v>42</v>
      </c>
      <c r="F23" s="1682">
        <f t="shared" si="0"/>
        <v>11.404761904761905</v>
      </c>
      <c r="G23" s="1725">
        <v>80</v>
      </c>
      <c r="H23" s="1726">
        <v>3</v>
      </c>
      <c r="I23" s="1725"/>
      <c r="J23" s="1726"/>
      <c r="K23" s="1725"/>
      <c r="L23" s="1726"/>
      <c r="M23" s="1725">
        <v>32</v>
      </c>
      <c r="N23" s="1726">
        <v>8</v>
      </c>
      <c r="O23" s="1725"/>
      <c r="P23" s="1726"/>
      <c r="Q23" s="1725">
        <v>2</v>
      </c>
      <c r="R23" s="1726">
        <v>1</v>
      </c>
      <c r="S23" s="1725">
        <v>47</v>
      </c>
      <c r="T23" s="1726">
        <v>11</v>
      </c>
      <c r="U23" s="1725">
        <v>9</v>
      </c>
      <c r="V23" s="1726">
        <v>4</v>
      </c>
      <c r="W23" s="1725">
        <v>1</v>
      </c>
      <c r="X23" s="1726">
        <v>1</v>
      </c>
      <c r="Y23" s="1725"/>
      <c r="Z23" s="1726"/>
      <c r="AA23" s="1725">
        <v>39</v>
      </c>
      <c r="AB23" s="1726">
        <v>5</v>
      </c>
      <c r="AC23" s="1725"/>
      <c r="AD23" s="1726"/>
      <c r="AE23" s="1725">
        <v>4</v>
      </c>
      <c r="AF23" s="1726">
        <v>3</v>
      </c>
      <c r="AG23" s="1725"/>
      <c r="AH23" s="1726"/>
      <c r="AI23" s="1725">
        <v>264</v>
      </c>
      <c r="AJ23" s="1726">
        <v>5</v>
      </c>
      <c r="AK23" s="1725"/>
      <c r="AL23" s="1726"/>
      <c r="AM23" s="1725"/>
      <c r="AN23" s="1726"/>
      <c r="AO23" s="1725"/>
      <c r="AP23" s="1726"/>
      <c r="AQ23" s="1725"/>
      <c r="AR23" s="1726"/>
      <c r="AS23" s="1725"/>
      <c r="AT23" s="1726"/>
      <c r="AU23" s="1725">
        <v>1</v>
      </c>
      <c r="AV23" s="1726">
        <v>1</v>
      </c>
      <c r="AW23" s="1725"/>
      <c r="AX23" s="1726"/>
    </row>
    <row r="24" spans="1:50" x14ac:dyDescent="0.25">
      <c r="A24" s="551" t="s">
        <v>44</v>
      </c>
      <c r="B24" s="552" t="s">
        <v>45</v>
      </c>
      <c r="C24" s="558" t="s">
        <v>266</v>
      </c>
      <c r="D24" s="1723">
        <v>73</v>
      </c>
      <c r="E24" s="1723">
        <v>27</v>
      </c>
      <c r="F24" s="1682">
        <f t="shared" si="0"/>
        <v>2.7037037037037037</v>
      </c>
      <c r="G24" s="1725">
        <v>10</v>
      </c>
      <c r="H24" s="1726">
        <v>1</v>
      </c>
      <c r="I24" s="1725"/>
      <c r="J24" s="1726"/>
      <c r="K24" s="1725"/>
      <c r="L24" s="1726"/>
      <c r="M24" s="1725">
        <v>20</v>
      </c>
      <c r="N24" s="1726">
        <v>6</v>
      </c>
      <c r="O24" s="1725"/>
      <c r="P24" s="1726"/>
      <c r="Q24" s="1725">
        <v>2</v>
      </c>
      <c r="R24" s="1726">
        <v>2</v>
      </c>
      <c r="S24" s="1725">
        <v>13</v>
      </c>
      <c r="T24" s="1726">
        <v>5</v>
      </c>
      <c r="U24" s="1725">
        <v>3</v>
      </c>
      <c r="V24" s="1726">
        <v>3</v>
      </c>
      <c r="W24" s="1725">
        <v>1</v>
      </c>
      <c r="X24" s="1726">
        <v>1</v>
      </c>
      <c r="Y24" s="1725"/>
      <c r="Z24" s="1726"/>
      <c r="AA24" s="1725">
        <v>16</v>
      </c>
      <c r="AB24" s="1726">
        <v>3</v>
      </c>
      <c r="AC24" s="1725">
        <v>3</v>
      </c>
      <c r="AD24" s="1726">
        <v>2</v>
      </c>
      <c r="AE24" s="1725"/>
      <c r="AF24" s="1726"/>
      <c r="AG24" s="1725">
        <v>2</v>
      </c>
      <c r="AH24" s="1726">
        <v>1</v>
      </c>
      <c r="AI24" s="1725">
        <v>1</v>
      </c>
      <c r="AJ24" s="1726">
        <v>1</v>
      </c>
      <c r="AK24" s="1725"/>
      <c r="AL24" s="1726"/>
      <c r="AM24" s="1725"/>
      <c r="AN24" s="1726"/>
      <c r="AO24" s="1725"/>
      <c r="AP24" s="1726"/>
      <c r="AQ24" s="1725"/>
      <c r="AR24" s="1726"/>
      <c r="AS24" s="1725"/>
      <c r="AT24" s="1726"/>
      <c r="AU24" s="1725">
        <v>2</v>
      </c>
      <c r="AV24" s="1726">
        <v>2</v>
      </c>
      <c r="AW24" s="1725"/>
      <c r="AX24" s="1726"/>
    </row>
    <row r="25" spans="1:50" x14ac:dyDescent="0.25">
      <c r="A25" s="551" t="s">
        <v>46</v>
      </c>
      <c r="B25" s="552" t="s">
        <v>47</v>
      </c>
      <c r="C25" s="558" t="s">
        <v>268</v>
      </c>
      <c r="D25" s="1723">
        <v>129</v>
      </c>
      <c r="E25" s="1723">
        <v>28</v>
      </c>
      <c r="F25" s="1682">
        <f t="shared" si="0"/>
        <v>4.6071428571428568</v>
      </c>
      <c r="G25" s="1725">
        <v>29</v>
      </c>
      <c r="H25" s="1726">
        <v>2</v>
      </c>
      <c r="I25" s="1725"/>
      <c r="J25" s="1726"/>
      <c r="K25" s="1725"/>
      <c r="L25" s="1726"/>
      <c r="M25" s="1725">
        <v>38</v>
      </c>
      <c r="N25" s="1726">
        <v>9</v>
      </c>
      <c r="O25" s="1725">
        <v>3</v>
      </c>
      <c r="P25" s="1726">
        <v>2</v>
      </c>
      <c r="Q25" s="1725">
        <v>1</v>
      </c>
      <c r="R25" s="1726">
        <v>1</v>
      </c>
      <c r="S25" s="1725">
        <v>5</v>
      </c>
      <c r="T25" s="1726">
        <v>5</v>
      </c>
      <c r="U25" s="1725">
        <v>1</v>
      </c>
      <c r="V25" s="1726">
        <v>1</v>
      </c>
      <c r="W25" s="1725">
        <v>7</v>
      </c>
      <c r="X25" s="1726">
        <v>4</v>
      </c>
      <c r="Y25" s="1725"/>
      <c r="Z25" s="1726"/>
      <c r="AA25" s="1725">
        <v>43</v>
      </c>
      <c r="AB25" s="1726">
        <v>2</v>
      </c>
      <c r="AC25" s="1725"/>
      <c r="AD25" s="1726"/>
      <c r="AE25" s="1725"/>
      <c r="AF25" s="1726"/>
      <c r="AG25" s="1725"/>
      <c r="AH25" s="1726"/>
      <c r="AI25" s="1725">
        <v>2</v>
      </c>
      <c r="AJ25" s="1726">
        <v>2</v>
      </c>
      <c r="AK25" s="1725"/>
      <c r="AL25" s="1726"/>
      <c r="AM25" s="1725"/>
      <c r="AN25" s="1726"/>
      <c r="AO25" s="1725"/>
      <c r="AP25" s="1726"/>
      <c r="AQ25" s="1725"/>
      <c r="AR25" s="1726"/>
      <c r="AS25" s="1725"/>
      <c r="AT25" s="1726"/>
      <c r="AU25" s="1725"/>
      <c r="AV25" s="1726"/>
      <c r="AW25" s="1725"/>
      <c r="AX25" s="1726"/>
    </row>
    <row r="26" spans="1:50" x14ac:dyDescent="0.25">
      <c r="A26" s="557" t="s">
        <v>48</v>
      </c>
      <c r="B26" s="552" t="s">
        <v>49</v>
      </c>
      <c r="C26" s="558" t="s">
        <v>266</v>
      </c>
      <c r="D26" s="1723">
        <v>10</v>
      </c>
      <c r="E26" s="1723">
        <v>3</v>
      </c>
      <c r="F26" s="1682">
        <f t="shared" si="0"/>
        <v>3.3333333333333335</v>
      </c>
      <c r="G26" s="1725">
        <v>3</v>
      </c>
      <c r="H26" s="1726">
        <v>1</v>
      </c>
      <c r="I26" s="1725"/>
      <c r="J26" s="1726"/>
      <c r="K26" s="1725"/>
      <c r="L26" s="1726"/>
      <c r="M26" s="1725">
        <v>6</v>
      </c>
      <c r="N26" s="1726">
        <v>1</v>
      </c>
      <c r="O26" s="1725"/>
      <c r="P26" s="1726"/>
      <c r="Q26" s="1725"/>
      <c r="R26" s="1726"/>
      <c r="S26" s="1725">
        <v>1</v>
      </c>
      <c r="T26" s="1726">
        <v>1</v>
      </c>
      <c r="U26" s="1725"/>
      <c r="V26" s="1726"/>
      <c r="W26" s="1725"/>
      <c r="X26" s="1726"/>
      <c r="Y26" s="1725"/>
      <c r="Z26" s="1726"/>
      <c r="AA26" s="1725"/>
      <c r="AB26" s="1726"/>
      <c r="AC26" s="1725"/>
      <c r="AD26" s="1726"/>
      <c r="AE26" s="1725"/>
      <c r="AF26" s="1726"/>
      <c r="AG26" s="1725"/>
      <c r="AH26" s="1726"/>
      <c r="AI26" s="1725"/>
      <c r="AJ26" s="1726"/>
      <c r="AK26" s="1725"/>
      <c r="AL26" s="1726"/>
      <c r="AM26" s="1725"/>
      <c r="AN26" s="1726"/>
      <c r="AO26" s="1725"/>
      <c r="AP26" s="1726"/>
      <c r="AQ26" s="1725"/>
      <c r="AR26" s="1726"/>
      <c r="AS26" s="1725"/>
      <c r="AT26" s="1726"/>
      <c r="AU26" s="1725"/>
      <c r="AV26" s="1726"/>
      <c r="AW26" s="1725"/>
      <c r="AX26" s="1726"/>
    </row>
    <row r="27" spans="1:50" x14ac:dyDescent="0.25">
      <c r="A27" s="551" t="s">
        <v>50</v>
      </c>
      <c r="B27" s="552" t="s">
        <v>51</v>
      </c>
      <c r="C27" s="558" t="s">
        <v>265</v>
      </c>
      <c r="D27" s="1723">
        <v>78</v>
      </c>
      <c r="E27" s="1723">
        <v>29</v>
      </c>
      <c r="F27" s="1682">
        <f t="shared" si="0"/>
        <v>2.6896551724137931</v>
      </c>
      <c r="G27" s="1725">
        <v>13</v>
      </c>
      <c r="H27" s="1726">
        <v>2</v>
      </c>
      <c r="I27" s="1725"/>
      <c r="J27" s="1726"/>
      <c r="K27" s="1725"/>
      <c r="L27" s="1726"/>
      <c r="M27" s="1725">
        <v>13</v>
      </c>
      <c r="N27" s="1726">
        <v>7</v>
      </c>
      <c r="O27" s="1725"/>
      <c r="P27" s="1726"/>
      <c r="Q27" s="1725">
        <v>1</v>
      </c>
      <c r="R27" s="1726">
        <v>1</v>
      </c>
      <c r="S27" s="1725">
        <v>13</v>
      </c>
      <c r="T27" s="1726">
        <v>4</v>
      </c>
      <c r="U27" s="1725">
        <v>11</v>
      </c>
      <c r="V27" s="1726">
        <v>6</v>
      </c>
      <c r="W27" s="1725"/>
      <c r="X27" s="1726"/>
      <c r="Y27" s="1725"/>
      <c r="Z27" s="1726"/>
      <c r="AA27" s="1725">
        <v>19</v>
      </c>
      <c r="AB27" s="1726">
        <v>3</v>
      </c>
      <c r="AC27" s="1725"/>
      <c r="AD27" s="1726"/>
      <c r="AE27" s="1725"/>
      <c r="AF27" s="1726"/>
      <c r="AG27" s="1725"/>
      <c r="AH27" s="1726"/>
      <c r="AI27" s="1725">
        <v>1</v>
      </c>
      <c r="AJ27" s="1726">
        <v>1</v>
      </c>
      <c r="AK27" s="1725"/>
      <c r="AL27" s="1726"/>
      <c r="AM27" s="1725"/>
      <c r="AN27" s="1726"/>
      <c r="AO27" s="1725">
        <v>1</v>
      </c>
      <c r="AP27" s="1726">
        <v>1</v>
      </c>
      <c r="AQ27" s="1725">
        <v>1</v>
      </c>
      <c r="AR27" s="1726">
        <v>1</v>
      </c>
      <c r="AS27" s="1725">
        <v>3</v>
      </c>
      <c r="AT27" s="1726">
        <v>1</v>
      </c>
      <c r="AU27" s="1725">
        <v>2</v>
      </c>
      <c r="AV27" s="1726">
        <v>2</v>
      </c>
      <c r="AW27" s="1725"/>
      <c r="AX27" s="1726"/>
    </row>
    <row r="28" spans="1:50" x14ac:dyDescent="0.25">
      <c r="A28" s="551" t="s">
        <v>52</v>
      </c>
      <c r="B28" s="552" t="s">
        <v>53</v>
      </c>
      <c r="C28" s="558" t="s">
        <v>265</v>
      </c>
      <c r="D28" s="1723">
        <v>395</v>
      </c>
      <c r="E28" s="1723">
        <v>84</v>
      </c>
      <c r="F28" s="1682">
        <f t="shared" si="0"/>
        <v>4.7023809523809526</v>
      </c>
      <c r="G28" s="1725">
        <v>86</v>
      </c>
      <c r="H28" s="1726">
        <v>4</v>
      </c>
      <c r="I28" s="1725"/>
      <c r="J28" s="1726"/>
      <c r="K28" s="1725"/>
      <c r="L28" s="1726"/>
      <c r="M28" s="1725">
        <v>122</v>
      </c>
      <c r="N28" s="1726">
        <v>17</v>
      </c>
      <c r="O28" s="1725">
        <v>14</v>
      </c>
      <c r="P28" s="1726">
        <v>8</v>
      </c>
      <c r="Q28" s="1725">
        <v>2</v>
      </c>
      <c r="R28" s="1726">
        <v>2</v>
      </c>
      <c r="S28" s="1725">
        <v>20</v>
      </c>
      <c r="T28" s="1726">
        <v>12</v>
      </c>
      <c r="U28" s="1725">
        <v>48</v>
      </c>
      <c r="V28" s="1726">
        <v>10</v>
      </c>
      <c r="W28" s="1725"/>
      <c r="X28" s="1726"/>
      <c r="Y28" s="1725"/>
      <c r="Z28" s="1726"/>
      <c r="AA28" s="1725">
        <v>90</v>
      </c>
      <c r="AB28" s="1726">
        <v>21</v>
      </c>
      <c r="AC28" s="1725"/>
      <c r="AD28" s="1726"/>
      <c r="AE28" s="1725">
        <v>1</v>
      </c>
      <c r="AF28" s="1726">
        <v>1</v>
      </c>
      <c r="AG28" s="1725"/>
      <c r="AH28" s="1726"/>
      <c r="AI28" s="1725">
        <v>4</v>
      </c>
      <c r="AJ28" s="1726">
        <v>2</v>
      </c>
      <c r="AK28" s="1725"/>
      <c r="AL28" s="1726"/>
      <c r="AM28" s="1725"/>
      <c r="AN28" s="1726"/>
      <c r="AO28" s="1725"/>
      <c r="AP28" s="1726"/>
      <c r="AQ28" s="1725"/>
      <c r="AR28" s="1726"/>
      <c r="AS28" s="1725">
        <v>1</v>
      </c>
      <c r="AT28" s="1726">
        <v>1</v>
      </c>
      <c r="AU28" s="1725">
        <v>7</v>
      </c>
      <c r="AV28" s="1726">
        <v>6</v>
      </c>
      <c r="AW28" s="1725"/>
      <c r="AX28" s="1726"/>
    </row>
    <row r="29" spans="1:50" x14ac:dyDescent="0.25">
      <c r="A29" s="551" t="s">
        <v>54</v>
      </c>
      <c r="B29" s="552" t="s">
        <v>55</v>
      </c>
      <c r="C29" s="558" t="s">
        <v>264</v>
      </c>
      <c r="D29" s="1723">
        <v>301</v>
      </c>
      <c r="E29" s="1723">
        <v>70</v>
      </c>
      <c r="F29" s="1682">
        <f t="shared" si="0"/>
        <v>4.3</v>
      </c>
      <c r="G29" s="1725">
        <v>100</v>
      </c>
      <c r="H29" s="1726">
        <v>4</v>
      </c>
      <c r="I29" s="1725"/>
      <c r="J29" s="1726"/>
      <c r="K29" s="1725"/>
      <c r="L29" s="1726"/>
      <c r="M29" s="1725">
        <v>52</v>
      </c>
      <c r="N29" s="1726">
        <v>12</v>
      </c>
      <c r="O29" s="1725">
        <v>1</v>
      </c>
      <c r="P29" s="1726">
        <v>1</v>
      </c>
      <c r="Q29" s="1725">
        <v>3</v>
      </c>
      <c r="R29" s="1726">
        <v>3</v>
      </c>
      <c r="S29" s="1725">
        <v>7</v>
      </c>
      <c r="T29" s="1726">
        <v>6</v>
      </c>
      <c r="U29" s="1725">
        <v>10</v>
      </c>
      <c r="V29" s="1726">
        <v>5</v>
      </c>
      <c r="W29" s="1725">
        <v>6</v>
      </c>
      <c r="X29" s="1726">
        <v>4</v>
      </c>
      <c r="Y29" s="1725">
        <v>1</v>
      </c>
      <c r="Z29" s="1726">
        <v>1</v>
      </c>
      <c r="AA29" s="1725">
        <v>57</v>
      </c>
      <c r="AB29" s="1726">
        <v>12</v>
      </c>
      <c r="AC29" s="1725">
        <v>29</v>
      </c>
      <c r="AD29" s="1726">
        <v>6</v>
      </c>
      <c r="AE29" s="1725">
        <v>1</v>
      </c>
      <c r="AF29" s="1726">
        <v>1</v>
      </c>
      <c r="AG29" s="1725"/>
      <c r="AH29" s="1726"/>
      <c r="AI29" s="1725">
        <v>33</v>
      </c>
      <c r="AJ29" s="1726">
        <v>14</v>
      </c>
      <c r="AK29" s="1725"/>
      <c r="AL29" s="1726"/>
      <c r="AM29" s="1725"/>
      <c r="AN29" s="1726"/>
      <c r="AO29" s="1725"/>
      <c r="AP29" s="1726"/>
      <c r="AQ29" s="1725"/>
      <c r="AR29" s="1726"/>
      <c r="AS29" s="1725"/>
      <c r="AT29" s="1726"/>
      <c r="AU29" s="1725">
        <v>1</v>
      </c>
      <c r="AV29" s="1726">
        <v>1</v>
      </c>
      <c r="AW29" s="1725"/>
      <c r="AX29" s="1726"/>
    </row>
    <row r="30" spans="1:50" x14ac:dyDescent="0.25">
      <c r="A30" s="551" t="s">
        <v>56</v>
      </c>
      <c r="B30" s="552" t="s">
        <v>57</v>
      </c>
      <c r="C30" s="558" t="s">
        <v>266</v>
      </c>
      <c r="D30" s="1723">
        <v>572</v>
      </c>
      <c r="E30" s="1723">
        <v>96</v>
      </c>
      <c r="F30" s="1682">
        <f t="shared" si="0"/>
        <v>5.958333333333333</v>
      </c>
      <c r="G30" s="1725">
        <v>156</v>
      </c>
      <c r="H30" s="1726">
        <v>5</v>
      </c>
      <c r="I30" s="1725"/>
      <c r="J30" s="1726"/>
      <c r="K30" s="1725"/>
      <c r="L30" s="1726"/>
      <c r="M30" s="1725">
        <v>88</v>
      </c>
      <c r="N30" s="1726">
        <v>17</v>
      </c>
      <c r="O30" s="1725">
        <v>4</v>
      </c>
      <c r="P30" s="1726">
        <v>4</v>
      </c>
      <c r="Q30" s="1725">
        <v>2</v>
      </c>
      <c r="R30" s="1726">
        <v>2</v>
      </c>
      <c r="S30" s="1725">
        <v>79</v>
      </c>
      <c r="T30" s="1726">
        <v>11</v>
      </c>
      <c r="U30" s="1725">
        <v>37</v>
      </c>
      <c r="V30" s="1726">
        <v>11</v>
      </c>
      <c r="W30" s="1725">
        <v>1</v>
      </c>
      <c r="X30" s="1726">
        <v>1</v>
      </c>
      <c r="Y30" s="1725"/>
      <c r="Z30" s="1726"/>
      <c r="AA30" s="1725">
        <v>103</v>
      </c>
      <c r="AB30" s="1726">
        <v>17</v>
      </c>
      <c r="AC30" s="1725">
        <v>31</v>
      </c>
      <c r="AD30" s="1726">
        <v>5</v>
      </c>
      <c r="AE30" s="1725">
        <v>4</v>
      </c>
      <c r="AF30" s="1726">
        <v>3</v>
      </c>
      <c r="AG30" s="1725"/>
      <c r="AH30" s="1726"/>
      <c r="AI30" s="1725">
        <v>23</v>
      </c>
      <c r="AJ30" s="1726">
        <v>7</v>
      </c>
      <c r="AK30" s="1725"/>
      <c r="AL30" s="1726"/>
      <c r="AM30" s="1725"/>
      <c r="AN30" s="1726"/>
      <c r="AO30" s="1725"/>
      <c r="AP30" s="1726"/>
      <c r="AQ30" s="1725"/>
      <c r="AR30" s="1726"/>
      <c r="AS30" s="1725"/>
      <c r="AT30" s="1726"/>
      <c r="AU30" s="1725">
        <v>42</v>
      </c>
      <c r="AV30" s="1726">
        <v>13</v>
      </c>
      <c r="AW30" s="1725">
        <v>2</v>
      </c>
      <c r="AX30" s="1726">
        <v>0</v>
      </c>
    </row>
    <row r="31" spans="1:50" x14ac:dyDescent="0.25">
      <c r="A31" s="551" t="s">
        <v>58</v>
      </c>
      <c r="B31" s="552" t="s">
        <v>59</v>
      </c>
      <c r="C31" s="558" t="s">
        <v>267</v>
      </c>
      <c r="D31" s="1723">
        <v>61</v>
      </c>
      <c r="E31" s="1723">
        <v>14</v>
      </c>
      <c r="F31" s="1682">
        <f t="shared" si="0"/>
        <v>4.3571428571428568</v>
      </c>
      <c r="G31" s="1725">
        <v>11</v>
      </c>
      <c r="H31" s="1726">
        <v>2</v>
      </c>
      <c r="I31" s="1725"/>
      <c r="J31" s="1726"/>
      <c r="K31" s="1725"/>
      <c r="L31" s="1726"/>
      <c r="M31" s="1725">
        <v>28</v>
      </c>
      <c r="N31" s="1726">
        <v>4</v>
      </c>
      <c r="O31" s="1725"/>
      <c r="P31" s="1726"/>
      <c r="Q31" s="1725">
        <v>3</v>
      </c>
      <c r="R31" s="1726">
        <v>2</v>
      </c>
      <c r="S31" s="1725"/>
      <c r="T31" s="1726"/>
      <c r="U31" s="1725">
        <v>4</v>
      </c>
      <c r="V31" s="1726">
        <v>2</v>
      </c>
      <c r="W31" s="1725"/>
      <c r="X31" s="1726"/>
      <c r="Y31" s="1725"/>
      <c r="Z31" s="1726"/>
      <c r="AA31" s="1725">
        <v>12</v>
      </c>
      <c r="AB31" s="1726">
        <v>2</v>
      </c>
      <c r="AC31" s="1725"/>
      <c r="AD31" s="1726"/>
      <c r="AE31" s="1725"/>
      <c r="AF31" s="1726"/>
      <c r="AG31" s="1725"/>
      <c r="AH31" s="1726"/>
      <c r="AI31" s="1725"/>
      <c r="AJ31" s="1726"/>
      <c r="AK31" s="1725"/>
      <c r="AL31" s="1726"/>
      <c r="AM31" s="1725"/>
      <c r="AN31" s="1726"/>
      <c r="AO31" s="1725"/>
      <c r="AP31" s="1726"/>
      <c r="AQ31" s="1725"/>
      <c r="AR31" s="1726"/>
      <c r="AS31" s="1725"/>
      <c r="AT31" s="1726"/>
      <c r="AU31" s="1725">
        <v>3</v>
      </c>
      <c r="AV31" s="1726">
        <v>2</v>
      </c>
      <c r="AW31" s="1725"/>
      <c r="AX31" s="1726"/>
    </row>
    <row r="32" spans="1:50" x14ac:dyDescent="0.25">
      <c r="A32" s="557" t="s">
        <v>60</v>
      </c>
      <c r="B32" s="552" t="s">
        <v>61</v>
      </c>
      <c r="C32" s="558" t="s">
        <v>265</v>
      </c>
      <c r="D32" s="1723">
        <v>31</v>
      </c>
      <c r="E32" s="1723">
        <v>17</v>
      </c>
      <c r="F32" s="1682">
        <f t="shared" si="0"/>
        <v>1.8235294117647058</v>
      </c>
      <c r="G32" s="1725">
        <v>7</v>
      </c>
      <c r="H32" s="1726">
        <v>1</v>
      </c>
      <c r="I32" s="1725"/>
      <c r="J32" s="1726"/>
      <c r="K32" s="1725"/>
      <c r="L32" s="1726"/>
      <c r="M32" s="1725">
        <v>7</v>
      </c>
      <c r="N32" s="1726">
        <v>5</v>
      </c>
      <c r="O32" s="1725">
        <v>1</v>
      </c>
      <c r="P32" s="1726">
        <v>1</v>
      </c>
      <c r="Q32" s="1725">
        <v>1</v>
      </c>
      <c r="R32" s="1726">
        <v>1</v>
      </c>
      <c r="S32" s="1725"/>
      <c r="T32" s="1726"/>
      <c r="U32" s="1725">
        <v>1</v>
      </c>
      <c r="V32" s="1726">
        <v>1</v>
      </c>
      <c r="W32" s="1725">
        <v>1</v>
      </c>
      <c r="X32" s="1726">
        <v>1</v>
      </c>
      <c r="Y32" s="1725"/>
      <c r="Z32" s="1726"/>
      <c r="AA32" s="1725">
        <v>10</v>
      </c>
      <c r="AB32" s="1726">
        <v>4</v>
      </c>
      <c r="AC32" s="1725"/>
      <c r="AD32" s="1726"/>
      <c r="AE32" s="1725"/>
      <c r="AF32" s="1726"/>
      <c r="AG32" s="1725"/>
      <c r="AH32" s="1726"/>
      <c r="AI32" s="1725">
        <v>2</v>
      </c>
      <c r="AJ32" s="1726">
        <v>2</v>
      </c>
      <c r="AK32" s="1725"/>
      <c r="AL32" s="1726"/>
      <c r="AM32" s="1725"/>
      <c r="AN32" s="1726"/>
      <c r="AO32" s="1725"/>
      <c r="AP32" s="1726"/>
      <c r="AQ32" s="1725"/>
      <c r="AR32" s="1726"/>
      <c r="AS32" s="1725"/>
      <c r="AT32" s="1726"/>
      <c r="AU32" s="1725">
        <v>1</v>
      </c>
      <c r="AV32" s="1726">
        <v>1</v>
      </c>
      <c r="AW32" s="1725"/>
      <c r="AX32" s="1726"/>
    </row>
    <row r="33" spans="1:50" x14ac:dyDescent="0.25">
      <c r="A33" s="551" t="s">
        <v>62</v>
      </c>
      <c r="B33" s="552" t="s">
        <v>63</v>
      </c>
      <c r="C33" s="558" t="s">
        <v>267</v>
      </c>
      <c r="D33" s="1723">
        <v>187</v>
      </c>
      <c r="E33" s="1723">
        <v>35</v>
      </c>
      <c r="F33" s="1682">
        <f t="shared" si="0"/>
        <v>5.3428571428571425</v>
      </c>
      <c r="G33" s="1725">
        <v>52</v>
      </c>
      <c r="H33" s="1726">
        <v>3</v>
      </c>
      <c r="I33" s="1725"/>
      <c r="J33" s="1726"/>
      <c r="K33" s="1725"/>
      <c r="L33" s="1726"/>
      <c r="M33" s="1725">
        <v>21</v>
      </c>
      <c r="N33" s="1726">
        <v>4</v>
      </c>
      <c r="O33" s="1725">
        <v>7</v>
      </c>
      <c r="P33" s="1726">
        <v>5</v>
      </c>
      <c r="Q33" s="1725">
        <v>1</v>
      </c>
      <c r="R33" s="1726">
        <v>1</v>
      </c>
      <c r="S33" s="1725">
        <v>22</v>
      </c>
      <c r="T33" s="1726">
        <v>3</v>
      </c>
      <c r="U33" s="1725">
        <v>21</v>
      </c>
      <c r="V33" s="1726">
        <v>3</v>
      </c>
      <c r="W33" s="1725">
        <v>3</v>
      </c>
      <c r="X33" s="1726">
        <v>2</v>
      </c>
      <c r="Y33" s="1725"/>
      <c r="Z33" s="1726"/>
      <c r="AA33" s="1725">
        <v>47</v>
      </c>
      <c r="AB33" s="1726">
        <v>6</v>
      </c>
      <c r="AC33" s="1725">
        <v>3</v>
      </c>
      <c r="AD33" s="1726">
        <v>2</v>
      </c>
      <c r="AE33" s="1725"/>
      <c r="AF33" s="1726"/>
      <c r="AG33" s="1725"/>
      <c r="AH33" s="1726"/>
      <c r="AI33" s="1725">
        <v>8</v>
      </c>
      <c r="AJ33" s="1726">
        <v>4</v>
      </c>
      <c r="AK33" s="1725"/>
      <c r="AL33" s="1726"/>
      <c r="AM33" s="1725"/>
      <c r="AN33" s="1726"/>
      <c r="AO33" s="1725"/>
      <c r="AP33" s="1726"/>
      <c r="AQ33" s="1725"/>
      <c r="AR33" s="1726"/>
      <c r="AS33" s="1725"/>
      <c r="AT33" s="1726"/>
      <c r="AU33" s="1725">
        <v>2</v>
      </c>
      <c r="AV33" s="1726">
        <v>2</v>
      </c>
      <c r="AW33" s="1725"/>
      <c r="AX33" s="1726"/>
    </row>
    <row r="34" spans="1:50" x14ac:dyDescent="0.25">
      <c r="A34" s="551" t="s">
        <v>64</v>
      </c>
      <c r="B34" s="552" t="s">
        <v>65</v>
      </c>
      <c r="C34" s="558" t="s">
        <v>266</v>
      </c>
      <c r="D34" s="1723">
        <v>40</v>
      </c>
      <c r="E34" s="1723">
        <v>11</v>
      </c>
      <c r="F34" s="1682">
        <f t="shared" si="0"/>
        <v>3.6363636363636362</v>
      </c>
      <c r="G34" s="1725">
        <v>10</v>
      </c>
      <c r="H34" s="1726">
        <v>2</v>
      </c>
      <c r="I34" s="1725"/>
      <c r="J34" s="1726"/>
      <c r="K34" s="1725"/>
      <c r="L34" s="1726"/>
      <c r="M34" s="1725">
        <v>10</v>
      </c>
      <c r="N34" s="1726">
        <v>2</v>
      </c>
      <c r="O34" s="1725"/>
      <c r="P34" s="1726"/>
      <c r="Q34" s="1725"/>
      <c r="R34" s="1726"/>
      <c r="S34" s="1725">
        <v>9</v>
      </c>
      <c r="T34" s="1726">
        <v>2</v>
      </c>
      <c r="U34" s="1725"/>
      <c r="V34" s="1726"/>
      <c r="W34" s="1725"/>
      <c r="X34" s="1726"/>
      <c r="Y34" s="1725"/>
      <c r="Z34" s="1726"/>
      <c r="AA34" s="1725">
        <v>8</v>
      </c>
      <c r="AB34" s="1726">
        <v>2</v>
      </c>
      <c r="AC34" s="1725">
        <v>1</v>
      </c>
      <c r="AD34" s="1726">
        <v>1</v>
      </c>
      <c r="AE34" s="1725"/>
      <c r="AF34" s="1726"/>
      <c r="AG34" s="1725"/>
      <c r="AH34" s="1726"/>
      <c r="AI34" s="1725">
        <v>1</v>
      </c>
      <c r="AJ34" s="1726">
        <v>1</v>
      </c>
      <c r="AK34" s="1725"/>
      <c r="AL34" s="1726"/>
      <c r="AM34" s="1725"/>
      <c r="AN34" s="1726"/>
      <c r="AO34" s="1725"/>
      <c r="AP34" s="1726"/>
      <c r="AQ34" s="1725"/>
      <c r="AR34" s="1726"/>
      <c r="AS34" s="1725"/>
      <c r="AT34" s="1726"/>
      <c r="AU34" s="1725">
        <v>1</v>
      </c>
      <c r="AV34" s="1726">
        <v>1</v>
      </c>
      <c r="AW34" s="1725"/>
      <c r="AX34" s="1726"/>
    </row>
    <row r="35" spans="1:50" x14ac:dyDescent="0.25">
      <c r="A35" s="551" t="s">
        <v>66</v>
      </c>
      <c r="B35" s="552" t="s">
        <v>67</v>
      </c>
      <c r="C35" s="558" t="s">
        <v>265</v>
      </c>
      <c r="D35" s="1723">
        <v>596</v>
      </c>
      <c r="E35" s="1723">
        <v>51</v>
      </c>
      <c r="F35" s="1682">
        <f t="shared" si="0"/>
        <v>11.686274509803921</v>
      </c>
      <c r="G35" s="1725">
        <v>38</v>
      </c>
      <c r="H35" s="1726">
        <v>2</v>
      </c>
      <c r="I35" s="1725"/>
      <c r="J35" s="1726"/>
      <c r="K35" s="1725"/>
      <c r="L35" s="1726"/>
      <c r="M35" s="1725">
        <v>16</v>
      </c>
      <c r="N35" s="1726">
        <v>7</v>
      </c>
      <c r="O35" s="1725">
        <v>1</v>
      </c>
      <c r="P35" s="1726">
        <v>1</v>
      </c>
      <c r="Q35" s="1725">
        <v>1</v>
      </c>
      <c r="R35" s="1726">
        <v>1</v>
      </c>
      <c r="S35" s="1725">
        <v>246</v>
      </c>
      <c r="T35" s="1726">
        <v>8</v>
      </c>
      <c r="U35" s="1725">
        <v>41</v>
      </c>
      <c r="V35" s="1726">
        <v>8</v>
      </c>
      <c r="W35" s="1725"/>
      <c r="X35" s="1726"/>
      <c r="Y35" s="1725"/>
      <c r="Z35" s="1726"/>
      <c r="AA35" s="1725">
        <v>59</v>
      </c>
      <c r="AB35" s="1726">
        <v>9</v>
      </c>
      <c r="AC35" s="1725">
        <v>1</v>
      </c>
      <c r="AD35" s="1726">
        <v>1</v>
      </c>
      <c r="AE35" s="1725">
        <v>3</v>
      </c>
      <c r="AF35" s="1726">
        <v>3</v>
      </c>
      <c r="AG35" s="1725">
        <v>1</v>
      </c>
      <c r="AH35" s="1726">
        <v>1</v>
      </c>
      <c r="AI35" s="1725">
        <v>185</v>
      </c>
      <c r="AJ35" s="1726">
        <v>8</v>
      </c>
      <c r="AK35" s="1725"/>
      <c r="AL35" s="1726"/>
      <c r="AM35" s="1725">
        <v>3</v>
      </c>
      <c r="AN35" s="1726">
        <v>1</v>
      </c>
      <c r="AO35" s="1725"/>
      <c r="AP35" s="1726"/>
      <c r="AQ35" s="1725"/>
      <c r="AR35" s="1726"/>
      <c r="AS35" s="1725"/>
      <c r="AT35" s="1726"/>
      <c r="AU35" s="1725">
        <v>1</v>
      </c>
      <c r="AV35" s="1726">
        <v>1</v>
      </c>
      <c r="AW35" s="1725"/>
      <c r="AX35" s="1726"/>
    </row>
    <row r="36" spans="1:50" x14ac:dyDescent="0.25">
      <c r="A36" s="551" t="s">
        <v>68</v>
      </c>
      <c r="B36" s="552" t="s">
        <v>69</v>
      </c>
      <c r="C36" s="558" t="s">
        <v>268</v>
      </c>
      <c r="D36" s="1723">
        <v>214</v>
      </c>
      <c r="E36" s="1723">
        <v>21</v>
      </c>
      <c r="F36" s="1682">
        <f t="shared" si="0"/>
        <v>10.19047619047619</v>
      </c>
      <c r="G36" s="1725">
        <v>116</v>
      </c>
      <c r="H36" s="1726">
        <v>1</v>
      </c>
      <c r="I36" s="1725"/>
      <c r="J36" s="1726"/>
      <c r="K36" s="1725"/>
      <c r="L36" s="1726"/>
      <c r="M36" s="1725">
        <v>34</v>
      </c>
      <c r="N36" s="1726">
        <v>6</v>
      </c>
      <c r="O36" s="1725"/>
      <c r="P36" s="1726"/>
      <c r="Q36" s="1725"/>
      <c r="R36" s="1726"/>
      <c r="S36" s="1725">
        <v>2</v>
      </c>
      <c r="T36" s="1726">
        <v>2</v>
      </c>
      <c r="U36" s="1725"/>
      <c r="V36" s="1726"/>
      <c r="W36" s="1725">
        <v>1</v>
      </c>
      <c r="X36" s="1726">
        <v>1</v>
      </c>
      <c r="Y36" s="1725"/>
      <c r="Z36" s="1726"/>
      <c r="AA36" s="1725">
        <v>55</v>
      </c>
      <c r="AB36" s="1726">
        <v>8</v>
      </c>
      <c r="AC36" s="1725"/>
      <c r="AD36" s="1726"/>
      <c r="AE36" s="1725">
        <v>6</v>
      </c>
      <c r="AF36" s="1726">
        <v>3</v>
      </c>
      <c r="AG36" s="1725"/>
      <c r="AH36" s="1726"/>
      <c r="AI36" s="1725"/>
      <c r="AJ36" s="1726"/>
      <c r="AK36" s="1725"/>
      <c r="AL36" s="1726"/>
      <c r="AM36" s="1725"/>
      <c r="AN36" s="1726"/>
      <c r="AO36" s="1725"/>
      <c r="AP36" s="1726"/>
      <c r="AQ36" s="1725"/>
      <c r="AR36" s="1726"/>
      <c r="AS36" s="1725"/>
      <c r="AT36" s="1726"/>
      <c r="AU36" s="1725"/>
      <c r="AV36" s="1726"/>
      <c r="AW36" s="1725"/>
      <c r="AX36" s="1726"/>
    </row>
    <row r="37" spans="1:50" x14ac:dyDescent="0.25">
      <c r="A37" s="551" t="s">
        <v>70</v>
      </c>
      <c r="B37" s="552" t="s">
        <v>71</v>
      </c>
      <c r="C37" s="558" t="s">
        <v>264</v>
      </c>
      <c r="D37" s="1723">
        <v>117</v>
      </c>
      <c r="E37" s="1723">
        <v>25</v>
      </c>
      <c r="F37" s="1682">
        <f t="shared" si="0"/>
        <v>4.68</v>
      </c>
      <c r="G37" s="1725">
        <v>22</v>
      </c>
      <c r="H37" s="1726">
        <v>3</v>
      </c>
      <c r="I37" s="1725"/>
      <c r="J37" s="1726"/>
      <c r="K37" s="1725"/>
      <c r="L37" s="1726"/>
      <c r="M37" s="1725">
        <v>15</v>
      </c>
      <c r="N37" s="1726">
        <v>3</v>
      </c>
      <c r="O37" s="1725">
        <v>4</v>
      </c>
      <c r="P37" s="1726">
        <v>2</v>
      </c>
      <c r="Q37" s="1725">
        <v>3</v>
      </c>
      <c r="R37" s="1726">
        <v>2</v>
      </c>
      <c r="S37" s="1725">
        <v>3</v>
      </c>
      <c r="T37" s="1726">
        <v>2</v>
      </c>
      <c r="U37" s="1725">
        <v>5</v>
      </c>
      <c r="V37" s="1726">
        <v>2</v>
      </c>
      <c r="W37" s="1725">
        <v>1</v>
      </c>
      <c r="X37" s="1726">
        <v>1</v>
      </c>
      <c r="Y37" s="1725"/>
      <c r="Z37" s="1726"/>
      <c r="AA37" s="1725">
        <v>14</v>
      </c>
      <c r="AB37" s="1726">
        <v>5</v>
      </c>
      <c r="AC37" s="1725"/>
      <c r="AD37" s="1726"/>
      <c r="AE37" s="1725"/>
      <c r="AF37" s="1726"/>
      <c r="AG37" s="1725"/>
      <c r="AH37" s="1726"/>
      <c r="AI37" s="1725">
        <v>50</v>
      </c>
      <c r="AJ37" s="1726">
        <v>5</v>
      </c>
      <c r="AK37" s="1725"/>
      <c r="AL37" s="1726"/>
      <c r="AM37" s="1725"/>
      <c r="AN37" s="1726"/>
      <c r="AO37" s="1725"/>
      <c r="AP37" s="1726"/>
      <c r="AQ37" s="1725"/>
      <c r="AR37" s="1726"/>
      <c r="AS37" s="1725"/>
      <c r="AT37" s="1726"/>
      <c r="AU37" s="1725"/>
      <c r="AV37" s="1726"/>
      <c r="AW37" s="1725"/>
      <c r="AX37" s="1726"/>
    </row>
    <row r="38" spans="1:50" x14ac:dyDescent="0.25">
      <c r="A38" s="551" t="s">
        <v>72</v>
      </c>
      <c r="B38" s="552" t="s">
        <v>73</v>
      </c>
      <c r="C38" s="558" t="s">
        <v>266</v>
      </c>
      <c r="D38" s="1723">
        <v>57</v>
      </c>
      <c r="E38" s="1723">
        <v>13</v>
      </c>
      <c r="F38" s="1682">
        <f t="shared" si="0"/>
        <v>4.384615384615385</v>
      </c>
      <c r="G38" s="1725">
        <v>4</v>
      </c>
      <c r="H38" s="1726">
        <v>1</v>
      </c>
      <c r="I38" s="1725"/>
      <c r="J38" s="1726"/>
      <c r="K38" s="1725"/>
      <c r="L38" s="1726"/>
      <c r="M38" s="1725">
        <v>29</v>
      </c>
      <c r="N38" s="1726">
        <v>2</v>
      </c>
      <c r="O38" s="1725"/>
      <c r="P38" s="1726"/>
      <c r="Q38" s="1725">
        <v>1</v>
      </c>
      <c r="R38" s="1726">
        <v>1</v>
      </c>
      <c r="S38" s="1725">
        <v>8</v>
      </c>
      <c r="T38" s="1726">
        <v>4</v>
      </c>
      <c r="U38" s="1725">
        <v>1</v>
      </c>
      <c r="V38" s="1726">
        <v>1</v>
      </c>
      <c r="W38" s="1725"/>
      <c r="X38" s="1726"/>
      <c r="Y38" s="1725"/>
      <c r="Z38" s="1726"/>
      <c r="AA38" s="1725">
        <v>14</v>
      </c>
      <c r="AB38" s="1726">
        <v>4</v>
      </c>
      <c r="AC38" s="1725"/>
      <c r="AD38" s="1726"/>
      <c r="AE38" s="1725"/>
      <c r="AF38" s="1726"/>
      <c r="AG38" s="1725"/>
      <c r="AH38" s="1726"/>
      <c r="AI38" s="1725"/>
      <c r="AJ38" s="1726"/>
      <c r="AK38" s="1725"/>
      <c r="AL38" s="1726"/>
      <c r="AM38" s="1725"/>
      <c r="AN38" s="1726"/>
      <c r="AO38" s="1725"/>
      <c r="AP38" s="1726"/>
      <c r="AQ38" s="1725"/>
      <c r="AR38" s="1726"/>
      <c r="AS38" s="1725"/>
      <c r="AT38" s="1726"/>
      <c r="AU38" s="1725"/>
      <c r="AV38" s="1726"/>
      <c r="AW38" s="1725"/>
      <c r="AX38" s="1726"/>
    </row>
    <row r="39" spans="1:50" x14ac:dyDescent="0.25">
      <c r="A39" s="551" t="s">
        <v>74</v>
      </c>
      <c r="B39" s="552" t="s">
        <v>75</v>
      </c>
      <c r="C39" s="558" t="s">
        <v>267</v>
      </c>
      <c r="D39" s="1723">
        <v>1493</v>
      </c>
      <c r="E39" s="1723">
        <v>262</v>
      </c>
      <c r="F39" s="1682">
        <f t="shared" si="0"/>
        <v>5.6984732824427482</v>
      </c>
      <c r="G39" s="1725">
        <v>375</v>
      </c>
      <c r="H39" s="1726">
        <v>13</v>
      </c>
      <c r="I39" s="1725"/>
      <c r="J39" s="1726"/>
      <c r="K39" s="1725"/>
      <c r="L39" s="1726"/>
      <c r="M39" s="1725">
        <v>365</v>
      </c>
      <c r="N39" s="1726">
        <v>57</v>
      </c>
      <c r="O39" s="1725">
        <v>23</v>
      </c>
      <c r="P39" s="1726">
        <v>17</v>
      </c>
      <c r="Q39" s="1725">
        <v>96</v>
      </c>
      <c r="R39" s="1726">
        <v>34</v>
      </c>
      <c r="S39" s="1725">
        <v>1</v>
      </c>
      <c r="T39" s="1726">
        <v>1</v>
      </c>
      <c r="U39" s="1725">
        <v>33</v>
      </c>
      <c r="V39" s="1726">
        <v>14</v>
      </c>
      <c r="W39" s="1725"/>
      <c r="X39" s="1726"/>
      <c r="Y39" s="1725"/>
      <c r="Z39" s="1726"/>
      <c r="AA39" s="1725">
        <v>190</v>
      </c>
      <c r="AB39" s="1726">
        <v>46</v>
      </c>
      <c r="AC39" s="1725">
        <v>81</v>
      </c>
      <c r="AD39" s="1726">
        <v>20</v>
      </c>
      <c r="AE39" s="1725">
        <v>28</v>
      </c>
      <c r="AF39" s="1726">
        <v>14</v>
      </c>
      <c r="AG39" s="1725"/>
      <c r="AH39" s="1726"/>
      <c r="AI39" s="1725">
        <v>294</v>
      </c>
      <c r="AJ39" s="1726">
        <v>39</v>
      </c>
      <c r="AK39" s="1725"/>
      <c r="AL39" s="1726"/>
      <c r="AM39" s="1725"/>
      <c r="AN39" s="1726"/>
      <c r="AO39" s="1725"/>
      <c r="AP39" s="1726"/>
      <c r="AQ39" s="1725"/>
      <c r="AR39" s="1726"/>
      <c r="AS39" s="1725"/>
      <c r="AT39" s="1726"/>
      <c r="AU39" s="1725">
        <v>7</v>
      </c>
      <c r="AV39" s="1726">
        <v>7</v>
      </c>
      <c r="AW39" s="1725">
        <v>0</v>
      </c>
      <c r="AX39" s="1726">
        <v>0</v>
      </c>
    </row>
    <row r="40" spans="1:50" x14ac:dyDescent="0.25">
      <c r="A40" s="551" t="s">
        <v>76</v>
      </c>
      <c r="B40" s="552" t="s">
        <v>77</v>
      </c>
      <c r="C40" s="558" t="s">
        <v>267</v>
      </c>
      <c r="D40" s="1723">
        <v>167</v>
      </c>
      <c r="E40" s="1723">
        <v>32</v>
      </c>
      <c r="F40" s="1682">
        <f t="shared" si="0"/>
        <v>5.21875</v>
      </c>
      <c r="G40" s="1725">
        <v>57</v>
      </c>
      <c r="H40" s="1726">
        <v>2</v>
      </c>
      <c r="I40" s="1725">
        <v>1</v>
      </c>
      <c r="J40" s="1726">
        <v>1</v>
      </c>
      <c r="K40" s="1725"/>
      <c r="L40" s="1726"/>
      <c r="M40" s="1725">
        <v>26</v>
      </c>
      <c r="N40" s="1726">
        <v>4</v>
      </c>
      <c r="O40" s="1725">
        <v>1</v>
      </c>
      <c r="P40" s="1726">
        <v>1</v>
      </c>
      <c r="Q40" s="1725">
        <v>2</v>
      </c>
      <c r="R40" s="1726">
        <v>1</v>
      </c>
      <c r="S40" s="1725">
        <v>19</v>
      </c>
      <c r="T40" s="1726">
        <v>7</v>
      </c>
      <c r="U40" s="1725">
        <v>5</v>
      </c>
      <c r="V40" s="1726">
        <v>4</v>
      </c>
      <c r="W40" s="1725">
        <v>2</v>
      </c>
      <c r="X40" s="1726">
        <v>1</v>
      </c>
      <c r="Y40" s="1725"/>
      <c r="Z40" s="1726"/>
      <c r="AA40" s="1725">
        <v>46</v>
      </c>
      <c r="AB40" s="1726">
        <v>6</v>
      </c>
      <c r="AC40" s="1725">
        <v>4</v>
      </c>
      <c r="AD40" s="1726">
        <v>2</v>
      </c>
      <c r="AE40" s="1725">
        <v>3</v>
      </c>
      <c r="AF40" s="1726">
        <v>2</v>
      </c>
      <c r="AG40" s="1725"/>
      <c r="AH40" s="1726"/>
      <c r="AI40" s="1725"/>
      <c r="AJ40" s="1726"/>
      <c r="AK40" s="1725"/>
      <c r="AL40" s="1726"/>
      <c r="AM40" s="1725"/>
      <c r="AN40" s="1726"/>
      <c r="AO40" s="1725"/>
      <c r="AP40" s="1726"/>
      <c r="AQ40" s="1725"/>
      <c r="AR40" s="1726"/>
      <c r="AS40" s="1725"/>
      <c r="AT40" s="1726"/>
      <c r="AU40" s="1725">
        <v>1</v>
      </c>
      <c r="AV40" s="1726">
        <v>1</v>
      </c>
      <c r="AW40" s="1725"/>
      <c r="AX40" s="1726"/>
    </row>
    <row r="41" spans="1:50" x14ac:dyDescent="0.25">
      <c r="A41" s="551" t="s">
        <v>78</v>
      </c>
      <c r="B41" s="552" t="s">
        <v>79</v>
      </c>
      <c r="C41" s="558" t="s">
        <v>268</v>
      </c>
      <c r="D41" s="1723">
        <v>52</v>
      </c>
      <c r="E41" s="1723">
        <v>10</v>
      </c>
      <c r="F41" s="1682">
        <f t="shared" si="0"/>
        <v>5.2</v>
      </c>
      <c r="G41" s="1725">
        <v>6</v>
      </c>
      <c r="H41" s="1726">
        <v>1</v>
      </c>
      <c r="I41" s="1725"/>
      <c r="J41" s="1726"/>
      <c r="K41" s="1725"/>
      <c r="L41" s="1726"/>
      <c r="M41" s="1725">
        <v>22</v>
      </c>
      <c r="N41" s="1726">
        <v>3</v>
      </c>
      <c r="O41" s="1725"/>
      <c r="P41" s="1726"/>
      <c r="Q41" s="1725">
        <v>2</v>
      </c>
      <c r="R41" s="1726">
        <v>1</v>
      </c>
      <c r="S41" s="1725">
        <v>1</v>
      </c>
      <c r="T41" s="1726">
        <v>1</v>
      </c>
      <c r="U41" s="1725">
        <v>3</v>
      </c>
      <c r="V41" s="1726">
        <v>1</v>
      </c>
      <c r="W41" s="1725"/>
      <c r="X41" s="1726"/>
      <c r="Y41" s="1725"/>
      <c r="Z41" s="1726"/>
      <c r="AA41" s="1725">
        <v>15</v>
      </c>
      <c r="AB41" s="1726">
        <v>2</v>
      </c>
      <c r="AC41" s="1725">
        <v>1</v>
      </c>
      <c r="AD41" s="1726">
        <v>1</v>
      </c>
      <c r="AE41" s="1725"/>
      <c r="AF41" s="1726"/>
      <c r="AG41" s="1725"/>
      <c r="AH41" s="1726"/>
      <c r="AI41" s="1725"/>
      <c r="AJ41" s="1726"/>
      <c r="AK41" s="1725"/>
      <c r="AL41" s="1726"/>
      <c r="AM41" s="1725"/>
      <c r="AN41" s="1726"/>
      <c r="AO41" s="1725"/>
      <c r="AP41" s="1726"/>
      <c r="AQ41" s="1725"/>
      <c r="AR41" s="1726"/>
      <c r="AS41" s="1725"/>
      <c r="AT41" s="1726"/>
      <c r="AU41" s="1725"/>
      <c r="AV41" s="1726"/>
      <c r="AW41" s="1725">
        <v>2</v>
      </c>
      <c r="AX41" s="1726">
        <v>0</v>
      </c>
    </row>
    <row r="42" spans="1:50" x14ac:dyDescent="0.25">
      <c r="A42" s="551" t="s">
        <v>80</v>
      </c>
      <c r="B42" s="552" t="s">
        <v>81</v>
      </c>
      <c r="C42" s="558" t="s">
        <v>266</v>
      </c>
      <c r="D42" s="1723">
        <v>112</v>
      </c>
      <c r="E42" s="1723">
        <v>31</v>
      </c>
      <c r="F42" s="1682">
        <f t="shared" si="0"/>
        <v>3.6129032258064515</v>
      </c>
      <c r="G42" s="1725">
        <v>14</v>
      </c>
      <c r="H42" s="1726">
        <v>1</v>
      </c>
      <c r="I42" s="1725"/>
      <c r="J42" s="1726"/>
      <c r="K42" s="1725"/>
      <c r="L42" s="1726"/>
      <c r="M42" s="1725">
        <v>34</v>
      </c>
      <c r="N42" s="1726">
        <v>9</v>
      </c>
      <c r="O42" s="1725"/>
      <c r="P42" s="1726"/>
      <c r="Q42" s="1725">
        <v>1</v>
      </c>
      <c r="R42" s="1726">
        <v>1</v>
      </c>
      <c r="S42" s="1725">
        <v>25</v>
      </c>
      <c r="T42" s="1726">
        <v>6</v>
      </c>
      <c r="U42" s="1725">
        <v>19</v>
      </c>
      <c r="V42" s="1726">
        <v>5</v>
      </c>
      <c r="W42" s="1725">
        <v>1</v>
      </c>
      <c r="X42" s="1726">
        <v>1</v>
      </c>
      <c r="Y42" s="1725"/>
      <c r="Z42" s="1726"/>
      <c r="AA42" s="1725">
        <v>14</v>
      </c>
      <c r="AB42" s="1726">
        <v>4</v>
      </c>
      <c r="AC42" s="1725"/>
      <c r="AD42" s="1726"/>
      <c r="AE42" s="1725"/>
      <c r="AF42" s="1726"/>
      <c r="AG42" s="1725"/>
      <c r="AH42" s="1726"/>
      <c r="AI42" s="1725"/>
      <c r="AJ42" s="1726"/>
      <c r="AK42" s="1725"/>
      <c r="AL42" s="1726"/>
      <c r="AM42" s="1725"/>
      <c r="AN42" s="1726"/>
      <c r="AO42" s="1725"/>
      <c r="AP42" s="1726"/>
      <c r="AQ42" s="1725"/>
      <c r="AR42" s="1726"/>
      <c r="AS42" s="1725"/>
      <c r="AT42" s="1726"/>
      <c r="AU42" s="1725">
        <v>4</v>
      </c>
      <c r="AV42" s="1726">
        <v>4</v>
      </c>
      <c r="AW42" s="1725"/>
      <c r="AX42" s="1726"/>
    </row>
    <row r="43" spans="1:50" x14ac:dyDescent="0.25">
      <c r="A43" s="551" t="s">
        <v>82</v>
      </c>
      <c r="B43" s="552" t="s">
        <v>83</v>
      </c>
      <c r="C43" s="558" t="s">
        <v>264</v>
      </c>
      <c r="D43" s="1723">
        <v>72</v>
      </c>
      <c r="E43" s="1723">
        <v>20</v>
      </c>
      <c r="F43" s="1682">
        <f t="shared" si="0"/>
        <v>3.6</v>
      </c>
      <c r="G43" s="1725">
        <v>2</v>
      </c>
      <c r="H43" s="1726">
        <v>1</v>
      </c>
      <c r="I43" s="1725"/>
      <c r="J43" s="1726"/>
      <c r="K43" s="1725"/>
      <c r="L43" s="1726"/>
      <c r="M43" s="1725">
        <v>16</v>
      </c>
      <c r="N43" s="1726">
        <v>3</v>
      </c>
      <c r="O43" s="1725"/>
      <c r="P43" s="1726"/>
      <c r="Q43" s="1725">
        <v>3</v>
      </c>
      <c r="R43" s="1726">
        <v>2</v>
      </c>
      <c r="S43" s="1725">
        <v>13</v>
      </c>
      <c r="T43" s="1726">
        <v>3</v>
      </c>
      <c r="U43" s="1725">
        <v>1</v>
      </c>
      <c r="V43" s="1726">
        <v>1</v>
      </c>
      <c r="W43" s="1725">
        <v>1</v>
      </c>
      <c r="X43" s="1726">
        <v>1</v>
      </c>
      <c r="Y43" s="1725"/>
      <c r="Z43" s="1726"/>
      <c r="AA43" s="1725">
        <v>6</v>
      </c>
      <c r="AB43" s="1726">
        <v>2</v>
      </c>
      <c r="AC43" s="1725">
        <v>1</v>
      </c>
      <c r="AD43" s="1726">
        <v>1</v>
      </c>
      <c r="AE43" s="1725"/>
      <c r="AF43" s="1726"/>
      <c r="AG43" s="1725"/>
      <c r="AH43" s="1726"/>
      <c r="AI43" s="1725">
        <v>28</v>
      </c>
      <c r="AJ43" s="1726">
        <v>5</v>
      </c>
      <c r="AK43" s="1725"/>
      <c r="AL43" s="1726"/>
      <c r="AM43" s="1725"/>
      <c r="AN43" s="1726"/>
      <c r="AO43" s="1725">
        <v>1</v>
      </c>
      <c r="AP43" s="1726">
        <v>1</v>
      </c>
      <c r="AQ43" s="1725"/>
      <c r="AR43" s="1726"/>
      <c r="AS43" s="1725"/>
      <c r="AT43" s="1726"/>
      <c r="AU43" s="1725"/>
      <c r="AV43" s="1726"/>
      <c r="AW43" s="1725"/>
      <c r="AX43" s="1726"/>
    </row>
    <row r="44" spans="1:50" x14ac:dyDescent="0.25">
      <c r="A44" s="551" t="s">
        <v>84</v>
      </c>
      <c r="B44" s="552" t="s">
        <v>85</v>
      </c>
      <c r="C44" s="558" t="s">
        <v>265</v>
      </c>
      <c r="D44" s="1723">
        <v>290</v>
      </c>
      <c r="E44" s="1723">
        <v>41</v>
      </c>
      <c r="F44" s="1682">
        <f t="shared" si="0"/>
        <v>7.0731707317073171</v>
      </c>
      <c r="G44" s="1725">
        <v>55</v>
      </c>
      <c r="H44" s="1726">
        <v>1</v>
      </c>
      <c r="I44" s="1725"/>
      <c r="J44" s="1726"/>
      <c r="K44" s="1725"/>
      <c r="L44" s="1726"/>
      <c r="M44" s="1725">
        <v>64</v>
      </c>
      <c r="N44" s="1726">
        <v>9</v>
      </c>
      <c r="O44" s="1725">
        <v>5</v>
      </c>
      <c r="P44" s="1726">
        <v>3</v>
      </c>
      <c r="Q44" s="1725"/>
      <c r="R44" s="1726"/>
      <c r="S44" s="1725">
        <v>79</v>
      </c>
      <c r="T44" s="1726">
        <v>9</v>
      </c>
      <c r="U44" s="1725">
        <v>20</v>
      </c>
      <c r="V44" s="1726">
        <v>9</v>
      </c>
      <c r="W44" s="1725"/>
      <c r="X44" s="1726"/>
      <c r="Y44" s="1725"/>
      <c r="Z44" s="1726"/>
      <c r="AA44" s="1725">
        <v>58</v>
      </c>
      <c r="AB44" s="1726">
        <v>4</v>
      </c>
      <c r="AC44" s="1725">
        <v>1</v>
      </c>
      <c r="AD44" s="1726">
        <v>1</v>
      </c>
      <c r="AE44" s="1725">
        <v>5</v>
      </c>
      <c r="AF44" s="1726">
        <v>2</v>
      </c>
      <c r="AG44" s="1725"/>
      <c r="AH44" s="1726"/>
      <c r="AI44" s="1725">
        <v>2</v>
      </c>
      <c r="AJ44" s="1726">
        <v>2</v>
      </c>
      <c r="AK44" s="1725"/>
      <c r="AL44" s="1726"/>
      <c r="AM44" s="1725"/>
      <c r="AN44" s="1726"/>
      <c r="AO44" s="1725"/>
      <c r="AP44" s="1726"/>
      <c r="AQ44" s="1725"/>
      <c r="AR44" s="1726"/>
      <c r="AS44" s="1725"/>
      <c r="AT44" s="1726"/>
      <c r="AU44" s="1725">
        <v>1</v>
      </c>
      <c r="AV44" s="1726">
        <v>1</v>
      </c>
      <c r="AW44" s="1725"/>
      <c r="AX44" s="1726"/>
    </row>
    <row r="45" spans="1:50" x14ac:dyDescent="0.25">
      <c r="A45" s="551" t="s">
        <v>86</v>
      </c>
      <c r="B45" s="552" t="s">
        <v>87</v>
      </c>
      <c r="C45" s="558" t="s">
        <v>267</v>
      </c>
      <c r="D45" s="1723">
        <v>183</v>
      </c>
      <c r="E45" s="1723">
        <v>40</v>
      </c>
      <c r="F45" s="1682">
        <f t="shared" si="0"/>
        <v>4.5750000000000002</v>
      </c>
      <c r="G45" s="1725">
        <v>40</v>
      </c>
      <c r="H45" s="1726">
        <v>2</v>
      </c>
      <c r="I45" s="1725"/>
      <c r="J45" s="1726"/>
      <c r="K45" s="1725"/>
      <c r="L45" s="1726"/>
      <c r="M45" s="1725">
        <v>47</v>
      </c>
      <c r="N45" s="1726">
        <v>10</v>
      </c>
      <c r="O45" s="1725">
        <v>1</v>
      </c>
      <c r="P45" s="1726">
        <v>1</v>
      </c>
      <c r="Q45" s="1725">
        <v>2</v>
      </c>
      <c r="R45" s="1726">
        <v>2</v>
      </c>
      <c r="S45" s="1725">
        <v>8</v>
      </c>
      <c r="T45" s="1726">
        <v>3</v>
      </c>
      <c r="U45" s="1725">
        <v>3</v>
      </c>
      <c r="V45" s="1726">
        <v>3</v>
      </c>
      <c r="W45" s="1725">
        <v>11</v>
      </c>
      <c r="X45" s="1726">
        <v>5</v>
      </c>
      <c r="Y45" s="1725"/>
      <c r="Z45" s="1726"/>
      <c r="AA45" s="1725">
        <v>38</v>
      </c>
      <c r="AB45" s="1726">
        <v>7</v>
      </c>
      <c r="AC45" s="1725"/>
      <c r="AD45" s="1726"/>
      <c r="AE45" s="1725">
        <v>1</v>
      </c>
      <c r="AF45" s="1726">
        <v>1</v>
      </c>
      <c r="AG45" s="1725"/>
      <c r="AH45" s="1726"/>
      <c r="AI45" s="1725">
        <v>26</v>
      </c>
      <c r="AJ45" s="1726">
        <v>4</v>
      </c>
      <c r="AK45" s="1725"/>
      <c r="AL45" s="1726"/>
      <c r="AM45" s="1725"/>
      <c r="AN45" s="1726"/>
      <c r="AO45" s="1725"/>
      <c r="AP45" s="1726"/>
      <c r="AQ45" s="1725"/>
      <c r="AR45" s="1726"/>
      <c r="AS45" s="1725"/>
      <c r="AT45" s="1726"/>
      <c r="AU45" s="1725">
        <v>6</v>
      </c>
      <c r="AV45" s="1726">
        <v>2</v>
      </c>
      <c r="AW45" s="1725"/>
      <c r="AX45" s="1726"/>
    </row>
    <row r="46" spans="1:50" x14ac:dyDescent="0.25">
      <c r="A46" s="551" t="s">
        <v>88</v>
      </c>
      <c r="B46" s="552" t="s">
        <v>89</v>
      </c>
      <c r="C46" s="558" t="s">
        <v>267</v>
      </c>
      <c r="D46" s="1723">
        <v>141</v>
      </c>
      <c r="E46" s="1723">
        <v>25</v>
      </c>
      <c r="F46" s="1682">
        <f t="shared" si="0"/>
        <v>5.64</v>
      </c>
      <c r="G46" s="1725">
        <v>76</v>
      </c>
      <c r="H46" s="1726">
        <v>1</v>
      </c>
      <c r="I46" s="1725"/>
      <c r="J46" s="1726"/>
      <c r="K46" s="1725"/>
      <c r="L46" s="1726"/>
      <c r="M46" s="1725">
        <v>16</v>
      </c>
      <c r="N46" s="1726">
        <v>5</v>
      </c>
      <c r="O46" s="1725"/>
      <c r="P46" s="1726"/>
      <c r="Q46" s="1725"/>
      <c r="R46" s="1726"/>
      <c r="S46" s="1725">
        <v>4</v>
      </c>
      <c r="T46" s="1726">
        <v>4</v>
      </c>
      <c r="U46" s="1725">
        <v>2</v>
      </c>
      <c r="V46" s="1726">
        <v>1</v>
      </c>
      <c r="W46" s="1725"/>
      <c r="X46" s="1726"/>
      <c r="Y46" s="1725"/>
      <c r="Z46" s="1726"/>
      <c r="AA46" s="1725">
        <v>34</v>
      </c>
      <c r="AB46" s="1726">
        <v>7</v>
      </c>
      <c r="AC46" s="1725">
        <v>2</v>
      </c>
      <c r="AD46" s="1726">
        <v>2</v>
      </c>
      <c r="AE46" s="1725">
        <v>3</v>
      </c>
      <c r="AF46" s="1726">
        <v>2</v>
      </c>
      <c r="AG46" s="1725"/>
      <c r="AH46" s="1726"/>
      <c r="AI46" s="1725">
        <v>2</v>
      </c>
      <c r="AJ46" s="1726">
        <v>2</v>
      </c>
      <c r="AK46" s="1725"/>
      <c r="AL46" s="1726"/>
      <c r="AM46" s="1725"/>
      <c r="AN46" s="1726"/>
      <c r="AO46" s="1725"/>
      <c r="AP46" s="1726"/>
      <c r="AQ46" s="1725"/>
      <c r="AR46" s="1726"/>
      <c r="AS46" s="1725"/>
      <c r="AT46" s="1726"/>
      <c r="AU46" s="1725">
        <v>2</v>
      </c>
      <c r="AV46" s="1726">
        <v>1</v>
      </c>
      <c r="AW46" s="1725"/>
      <c r="AX46" s="1726"/>
    </row>
    <row r="47" spans="1:50" x14ac:dyDescent="0.25">
      <c r="A47" s="557" t="s">
        <v>90</v>
      </c>
      <c r="B47" s="552" t="s">
        <v>91</v>
      </c>
      <c r="C47" s="558" t="s">
        <v>268</v>
      </c>
      <c r="D47" s="1723">
        <v>33</v>
      </c>
      <c r="E47" s="1723">
        <v>7</v>
      </c>
      <c r="F47" s="1682">
        <f t="shared" si="0"/>
        <v>4.7142857142857144</v>
      </c>
      <c r="G47" s="1725">
        <v>11</v>
      </c>
      <c r="H47" s="1726">
        <v>1</v>
      </c>
      <c r="I47" s="1725"/>
      <c r="J47" s="1726"/>
      <c r="K47" s="1725"/>
      <c r="L47" s="1726"/>
      <c r="M47" s="1725">
        <v>11</v>
      </c>
      <c r="N47" s="1726">
        <v>4</v>
      </c>
      <c r="O47" s="1725"/>
      <c r="P47" s="1726"/>
      <c r="Q47" s="1725"/>
      <c r="R47" s="1726"/>
      <c r="S47" s="1725"/>
      <c r="T47" s="1726"/>
      <c r="U47" s="1725"/>
      <c r="V47" s="1726"/>
      <c r="W47" s="1725"/>
      <c r="X47" s="1726"/>
      <c r="Y47" s="1725"/>
      <c r="Z47" s="1726"/>
      <c r="AA47" s="1725">
        <v>10</v>
      </c>
      <c r="AB47" s="1726">
        <v>1</v>
      </c>
      <c r="AC47" s="1725"/>
      <c r="AD47" s="1726"/>
      <c r="AE47" s="1725"/>
      <c r="AF47" s="1726"/>
      <c r="AG47" s="1725"/>
      <c r="AH47" s="1726"/>
      <c r="AI47" s="1725">
        <v>1</v>
      </c>
      <c r="AJ47" s="1726">
        <v>1</v>
      </c>
      <c r="AK47" s="1725"/>
      <c r="AL47" s="1726"/>
      <c r="AM47" s="1725"/>
      <c r="AN47" s="1726"/>
      <c r="AO47" s="1725"/>
      <c r="AP47" s="1726"/>
      <c r="AQ47" s="1725"/>
      <c r="AR47" s="1726"/>
      <c r="AS47" s="1725"/>
      <c r="AT47" s="1726"/>
      <c r="AU47" s="1725"/>
      <c r="AV47" s="1726"/>
      <c r="AW47" s="1725"/>
      <c r="AX47" s="1726"/>
    </row>
    <row r="48" spans="1:50" x14ac:dyDescent="0.25">
      <c r="A48" s="557" t="s">
        <v>92</v>
      </c>
      <c r="B48" s="552" t="s">
        <v>93</v>
      </c>
      <c r="C48" s="558" t="s">
        <v>268</v>
      </c>
      <c r="D48" s="1723">
        <v>221</v>
      </c>
      <c r="E48" s="1723">
        <v>28</v>
      </c>
      <c r="F48" s="1682">
        <f t="shared" si="0"/>
        <v>7.8928571428571432</v>
      </c>
      <c r="G48" s="1725">
        <v>40</v>
      </c>
      <c r="H48" s="1726">
        <v>3</v>
      </c>
      <c r="I48" s="1725"/>
      <c r="J48" s="1726"/>
      <c r="K48" s="1725"/>
      <c r="L48" s="1726"/>
      <c r="M48" s="1725">
        <v>20</v>
      </c>
      <c r="N48" s="1726">
        <v>2</v>
      </c>
      <c r="O48" s="1725">
        <v>4</v>
      </c>
      <c r="P48" s="1726">
        <v>3</v>
      </c>
      <c r="Q48" s="1725">
        <v>2</v>
      </c>
      <c r="R48" s="1726">
        <v>2</v>
      </c>
      <c r="S48" s="1725">
        <v>4</v>
      </c>
      <c r="T48" s="1726">
        <v>1</v>
      </c>
      <c r="U48" s="1725"/>
      <c r="V48" s="1726"/>
      <c r="W48" s="1725">
        <v>1</v>
      </c>
      <c r="X48" s="1726">
        <v>1</v>
      </c>
      <c r="Y48" s="1725"/>
      <c r="Z48" s="1726"/>
      <c r="AA48" s="1725">
        <v>41</v>
      </c>
      <c r="AB48" s="1726">
        <v>4</v>
      </c>
      <c r="AC48" s="1725">
        <v>2</v>
      </c>
      <c r="AD48" s="1726">
        <v>2</v>
      </c>
      <c r="AE48" s="1725">
        <v>4</v>
      </c>
      <c r="AF48" s="1726">
        <v>1</v>
      </c>
      <c r="AG48" s="1725"/>
      <c r="AH48" s="1726"/>
      <c r="AI48" s="1725">
        <v>88</v>
      </c>
      <c r="AJ48" s="1726">
        <v>6</v>
      </c>
      <c r="AK48" s="1725"/>
      <c r="AL48" s="1726"/>
      <c r="AM48" s="1725"/>
      <c r="AN48" s="1726"/>
      <c r="AO48" s="1725"/>
      <c r="AP48" s="1726"/>
      <c r="AQ48" s="1725"/>
      <c r="AR48" s="1726"/>
      <c r="AS48" s="1725"/>
      <c r="AT48" s="1726"/>
      <c r="AU48" s="1725">
        <v>14</v>
      </c>
      <c r="AV48" s="1726">
        <v>3</v>
      </c>
      <c r="AW48" s="1725">
        <v>1</v>
      </c>
      <c r="AX48" s="1726">
        <v>0</v>
      </c>
    </row>
    <row r="49" spans="1:50" x14ac:dyDescent="0.25">
      <c r="A49" s="551" t="s">
        <v>94</v>
      </c>
      <c r="B49" s="552" t="s">
        <v>95</v>
      </c>
      <c r="C49" s="558" t="s">
        <v>264</v>
      </c>
      <c r="D49" s="1723">
        <v>190</v>
      </c>
      <c r="E49" s="1723">
        <v>26</v>
      </c>
      <c r="F49" s="1682">
        <f t="shared" si="0"/>
        <v>7.3076923076923075</v>
      </c>
      <c r="G49" s="1725">
        <v>33</v>
      </c>
      <c r="H49" s="1726">
        <v>2</v>
      </c>
      <c r="I49" s="1725">
        <v>1</v>
      </c>
      <c r="J49" s="1726">
        <v>1</v>
      </c>
      <c r="K49" s="1725"/>
      <c r="L49" s="1726"/>
      <c r="M49" s="1725">
        <v>27</v>
      </c>
      <c r="N49" s="1726">
        <v>5</v>
      </c>
      <c r="O49" s="1725">
        <v>2</v>
      </c>
      <c r="P49" s="1726">
        <v>2</v>
      </c>
      <c r="Q49" s="1725"/>
      <c r="R49" s="1726"/>
      <c r="S49" s="1725">
        <v>103</v>
      </c>
      <c r="T49" s="1726">
        <v>8</v>
      </c>
      <c r="U49" s="1725"/>
      <c r="V49" s="1726"/>
      <c r="W49" s="1725"/>
      <c r="X49" s="1726"/>
      <c r="Y49" s="1725"/>
      <c r="Z49" s="1726"/>
      <c r="AA49" s="1725">
        <v>18</v>
      </c>
      <c r="AB49" s="1726">
        <v>4</v>
      </c>
      <c r="AC49" s="1725">
        <v>3</v>
      </c>
      <c r="AD49" s="1726">
        <v>2</v>
      </c>
      <c r="AE49" s="1725">
        <v>2</v>
      </c>
      <c r="AF49" s="1726">
        <v>1</v>
      </c>
      <c r="AG49" s="1725"/>
      <c r="AH49" s="1726"/>
      <c r="AI49" s="1725"/>
      <c r="AJ49" s="1726"/>
      <c r="AK49" s="1725"/>
      <c r="AL49" s="1726"/>
      <c r="AM49" s="1725"/>
      <c r="AN49" s="1726"/>
      <c r="AO49" s="1725"/>
      <c r="AP49" s="1726"/>
      <c r="AQ49" s="1725"/>
      <c r="AR49" s="1726"/>
      <c r="AS49" s="1725"/>
      <c r="AT49" s="1726"/>
      <c r="AU49" s="1725">
        <v>1</v>
      </c>
      <c r="AV49" s="1726">
        <v>1</v>
      </c>
      <c r="AW49" s="1725"/>
      <c r="AX49" s="1726"/>
    </row>
    <row r="50" spans="1:50" x14ac:dyDescent="0.25">
      <c r="A50" s="551" t="s">
        <v>96</v>
      </c>
      <c r="B50" s="552" t="s">
        <v>97</v>
      </c>
      <c r="C50" s="558" t="s">
        <v>266</v>
      </c>
      <c r="D50" s="1723">
        <v>74</v>
      </c>
      <c r="E50" s="1723">
        <v>28</v>
      </c>
      <c r="F50" s="1682">
        <f t="shared" si="0"/>
        <v>2.6428571428571428</v>
      </c>
      <c r="G50" s="1725">
        <v>18</v>
      </c>
      <c r="H50" s="1726">
        <v>1</v>
      </c>
      <c r="I50" s="1725"/>
      <c r="J50" s="1726"/>
      <c r="K50" s="1725"/>
      <c r="L50" s="1726"/>
      <c r="M50" s="1725">
        <v>7</v>
      </c>
      <c r="N50" s="1726">
        <v>4</v>
      </c>
      <c r="O50" s="1725"/>
      <c r="P50" s="1726"/>
      <c r="Q50" s="1725">
        <v>2</v>
      </c>
      <c r="R50" s="1726">
        <v>2</v>
      </c>
      <c r="S50" s="1725">
        <v>12</v>
      </c>
      <c r="T50" s="1726">
        <v>6</v>
      </c>
      <c r="U50" s="1725">
        <v>12</v>
      </c>
      <c r="V50" s="1726">
        <v>6</v>
      </c>
      <c r="W50" s="1725">
        <v>1</v>
      </c>
      <c r="X50" s="1726">
        <v>1</v>
      </c>
      <c r="Y50" s="1725"/>
      <c r="Z50" s="1726"/>
      <c r="AA50" s="1725">
        <v>17</v>
      </c>
      <c r="AB50" s="1726">
        <v>5</v>
      </c>
      <c r="AC50" s="1725">
        <v>1</v>
      </c>
      <c r="AD50" s="1726">
        <v>1</v>
      </c>
      <c r="AE50" s="1725"/>
      <c r="AF50" s="1726"/>
      <c r="AG50" s="1725"/>
      <c r="AH50" s="1726"/>
      <c r="AI50" s="1725"/>
      <c r="AJ50" s="1726"/>
      <c r="AK50" s="1725"/>
      <c r="AL50" s="1726"/>
      <c r="AM50" s="1725"/>
      <c r="AN50" s="1726"/>
      <c r="AO50" s="1725"/>
      <c r="AP50" s="1726"/>
      <c r="AQ50" s="1725"/>
      <c r="AR50" s="1726"/>
      <c r="AS50" s="1725"/>
      <c r="AT50" s="1726"/>
      <c r="AU50" s="1725">
        <v>4</v>
      </c>
      <c r="AV50" s="1726">
        <v>2</v>
      </c>
      <c r="AW50" s="1725"/>
      <c r="AX50" s="1726"/>
    </row>
    <row r="51" spans="1:50" x14ac:dyDescent="0.25">
      <c r="A51" s="551" t="s">
        <v>98</v>
      </c>
      <c r="B51" s="552" t="s">
        <v>99</v>
      </c>
      <c r="C51" s="558" t="s">
        <v>268</v>
      </c>
      <c r="D51" s="1723">
        <v>91</v>
      </c>
      <c r="E51" s="1723">
        <v>16</v>
      </c>
      <c r="F51" s="1682">
        <f t="shared" si="0"/>
        <v>5.6875</v>
      </c>
      <c r="G51" s="1725">
        <v>22</v>
      </c>
      <c r="H51" s="1726">
        <v>2</v>
      </c>
      <c r="I51" s="1725"/>
      <c r="J51" s="1726"/>
      <c r="K51" s="1725"/>
      <c r="L51" s="1726"/>
      <c r="M51" s="1725">
        <v>15</v>
      </c>
      <c r="N51" s="1726">
        <v>2</v>
      </c>
      <c r="O51" s="1725"/>
      <c r="P51" s="1726"/>
      <c r="Q51" s="1725">
        <v>2</v>
      </c>
      <c r="R51" s="1726">
        <v>1</v>
      </c>
      <c r="S51" s="1725">
        <v>20</v>
      </c>
      <c r="T51" s="1726">
        <v>4</v>
      </c>
      <c r="U51" s="1725">
        <v>2</v>
      </c>
      <c r="V51" s="1726">
        <v>1</v>
      </c>
      <c r="W51" s="1725"/>
      <c r="X51" s="1726"/>
      <c r="Y51" s="1725"/>
      <c r="Z51" s="1726"/>
      <c r="AA51" s="1725">
        <v>25</v>
      </c>
      <c r="AB51" s="1726">
        <v>3</v>
      </c>
      <c r="AC51" s="1725">
        <v>1</v>
      </c>
      <c r="AD51" s="1726">
        <v>1</v>
      </c>
      <c r="AE51" s="1725"/>
      <c r="AF51" s="1726"/>
      <c r="AG51" s="1725"/>
      <c r="AH51" s="1726"/>
      <c r="AI51" s="1725">
        <v>3</v>
      </c>
      <c r="AJ51" s="1726">
        <v>1</v>
      </c>
      <c r="AK51" s="1725"/>
      <c r="AL51" s="1726"/>
      <c r="AM51" s="1725"/>
      <c r="AN51" s="1726"/>
      <c r="AO51" s="1725"/>
      <c r="AP51" s="1726"/>
      <c r="AQ51" s="1725"/>
      <c r="AR51" s="1726"/>
      <c r="AS51" s="1725"/>
      <c r="AT51" s="1726"/>
      <c r="AU51" s="1725">
        <v>1</v>
      </c>
      <c r="AV51" s="1726">
        <v>1</v>
      </c>
      <c r="AW51" s="1725"/>
      <c r="AX51" s="1726"/>
    </row>
    <row r="52" spans="1:50" x14ac:dyDescent="0.25">
      <c r="A52" s="551" t="s">
        <v>100</v>
      </c>
      <c r="B52" s="552" t="s">
        <v>101</v>
      </c>
      <c r="C52" s="558" t="s">
        <v>267</v>
      </c>
      <c r="D52" s="1723">
        <v>44</v>
      </c>
      <c r="E52" s="1723">
        <v>18</v>
      </c>
      <c r="F52" s="1682">
        <f t="shared" si="0"/>
        <v>2.4444444444444446</v>
      </c>
      <c r="G52" s="1725">
        <v>9</v>
      </c>
      <c r="H52" s="1726">
        <v>1</v>
      </c>
      <c r="I52" s="1725"/>
      <c r="J52" s="1726"/>
      <c r="K52" s="1725"/>
      <c r="L52" s="1726"/>
      <c r="M52" s="1725">
        <v>10</v>
      </c>
      <c r="N52" s="1726">
        <v>7</v>
      </c>
      <c r="O52" s="1725"/>
      <c r="P52" s="1726"/>
      <c r="Q52" s="1725">
        <v>1</v>
      </c>
      <c r="R52" s="1726">
        <v>1</v>
      </c>
      <c r="S52" s="1725">
        <v>9</v>
      </c>
      <c r="T52" s="1726">
        <v>2</v>
      </c>
      <c r="U52" s="1725">
        <v>1</v>
      </c>
      <c r="V52" s="1726">
        <v>1</v>
      </c>
      <c r="W52" s="1725"/>
      <c r="X52" s="1726"/>
      <c r="Y52" s="1725">
        <v>1</v>
      </c>
      <c r="Z52" s="1726">
        <v>1</v>
      </c>
      <c r="AA52" s="1725">
        <v>9</v>
      </c>
      <c r="AB52" s="1726">
        <v>1</v>
      </c>
      <c r="AC52" s="1725">
        <v>1</v>
      </c>
      <c r="AD52" s="1726">
        <v>1</v>
      </c>
      <c r="AE52" s="1725">
        <v>1</v>
      </c>
      <c r="AF52" s="1726">
        <v>1</v>
      </c>
      <c r="AG52" s="1725">
        <v>1</v>
      </c>
      <c r="AH52" s="1726">
        <v>1</v>
      </c>
      <c r="AI52" s="1725">
        <v>1</v>
      </c>
      <c r="AJ52" s="1726">
        <v>1</v>
      </c>
      <c r="AK52" s="1725"/>
      <c r="AL52" s="1726"/>
      <c r="AM52" s="1725"/>
      <c r="AN52" s="1726"/>
      <c r="AO52" s="1725"/>
      <c r="AP52" s="1726"/>
      <c r="AQ52" s="1725"/>
      <c r="AR52" s="1726"/>
      <c r="AS52" s="1725"/>
      <c r="AT52" s="1726"/>
      <c r="AU52" s="1725"/>
      <c r="AV52" s="1726"/>
      <c r="AW52" s="1725"/>
      <c r="AX52" s="1726"/>
    </row>
    <row r="53" spans="1:50" x14ac:dyDescent="0.25">
      <c r="A53" s="551" t="s">
        <v>102</v>
      </c>
      <c r="B53" s="552" t="s">
        <v>282</v>
      </c>
      <c r="C53" s="558" t="s">
        <v>264</v>
      </c>
      <c r="D53" s="1723">
        <v>53</v>
      </c>
      <c r="E53" s="1723">
        <v>16</v>
      </c>
      <c r="F53" s="1682">
        <f t="shared" si="0"/>
        <v>3.3125</v>
      </c>
      <c r="G53" s="1725">
        <v>6</v>
      </c>
      <c r="H53" s="1726">
        <v>1</v>
      </c>
      <c r="I53" s="1725"/>
      <c r="J53" s="1726"/>
      <c r="K53" s="1725"/>
      <c r="L53" s="1726"/>
      <c r="M53" s="1725">
        <v>23</v>
      </c>
      <c r="N53" s="1726">
        <v>5</v>
      </c>
      <c r="O53" s="1725">
        <v>4</v>
      </c>
      <c r="P53" s="1726">
        <v>2</v>
      </c>
      <c r="Q53" s="1725"/>
      <c r="R53" s="1726"/>
      <c r="S53" s="1725">
        <v>5</v>
      </c>
      <c r="T53" s="1726">
        <v>3</v>
      </c>
      <c r="U53" s="1725">
        <v>1</v>
      </c>
      <c r="V53" s="1726">
        <v>1</v>
      </c>
      <c r="W53" s="1725"/>
      <c r="X53" s="1726"/>
      <c r="Y53" s="1725"/>
      <c r="Z53" s="1726"/>
      <c r="AA53" s="1725">
        <v>9</v>
      </c>
      <c r="AB53" s="1726">
        <v>1</v>
      </c>
      <c r="AC53" s="1725">
        <v>1</v>
      </c>
      <c r="AD53" s="1726">
        <v>1</v>
      </c>
      <c r="AE53" s="1725"/>
      <c r="AF53" s="1726"/>
      <c r="AG53" s="1725"/>
      <c r="AH53" s="1726"/>
      <c r="AI53" s="1725">
        <v>4</v>
      </c>
      <c r="AJ53" s="1726">
        <v>2</v>
      </c>
      <c r="AK53" s="1725"/>
      <c r="AL53" s="1726"/>
      <c r="AM53" s="1725"/>
      <c r="AN53" s="1726"/>
      <c r="AO53" s="1725"/>
      <c r="AP53" s="1726"/>
      <c r="AQ53" s="1725"/>
      <c r="AR53" s="1726"/>
      <c r="AS53" s="1725"/>
      <c r="AT53" s="1726"/>
      <c r="AU53" s="1725"/>
      <c r="AV53" s="1726"/>
      <c r="AW53" s="1725"/>
      <c r="AX53" s="1726"/>
    </row>
    <row r="54" spans="1:50" x14ac:dyDescent="0.25">
      <c r="A54" s="551" t="s">
        <v>104</v>
      </c>
      <c r="B54" s="552" t="s">
        <v>105</v>
      </c>
      <c r="C54" s="558" t="s">
        <v>265</v>
      </c>
      <c r="D54" s="1723">
        <v>163</v>
      </c>
      <c r="E54" s="1723">
        <v>32</v>
      </c>
      <c r="F54" s="1682">
        <f t="shared" si="0"/>
        <v>5.09375</v>
      </c>
      <c r="G54" s="1725">
        <v>25</v>
      </c>
      <c r="H54" s="1726">
        <v>2</v>
      </c>
      <c r="I54" s="1725"/>
      <c r="J54" s="1726"/>
      <c r="K54" s="1725"/>
      <c r="L54" s="1726"/>
      <c r="M54" s="1725">
        <v>45</v>
      </c>
      <c r="N54" s="1726">
        <v>5</v>
      </c>
      <c r="O54" s="1725">
        <v>6</v>
      </c>
      <c r="P54" s="1726">
        <v>3</v>
      </c>
      <c r="Q54" s="1725">
        <v>1</v>
      </c>
      <c r="R54" s="1726">
        <v>1</v>
      </c>
      <c r="S54" s="1725">
        <v>24</v>
      </c>
      <c r="T54" s="1726">
        <v>5</v>
      </c>
      <c r="U54" s="1725">
        <v>25</v>
      </c>
      <c r="V54" s="1726">
        <v>5</v>
      </c>
      <c r="W54" s="1725"/>
      <c r="X54" s="1726"/>
      <c r="Y54" s="1725"/>
      <c r="Z54" s="1726"/>
      <c r="AA54" s="1725">
        <v>19</v>
      </c>
      <c r="AB54" s="1726">
        <v>3</v>
      </c>
      <c r="AC54" s="1725"/>
      <c r="AD54" s="1726"/>
      <c r="AE54" s="1725"/>
      <c r="AF54" s="1726"/>
      <c r="AG54" s="1725"/>
      <c r="AH54" s="1726"/>
      <c r="AI54" s="1725">
        <v>5</v>
      </c>
      <c r="AJ54" s="1726">
        <v>3</v>
      </c>
      <c r="AK54" s="1725"/>
      <c r="AL54" s="1726"/>
      <c r="AM54" s="1725"/>
      <c r="AN54" s="1726"/>
      <c r="AO54" s="1725"/>
      <c r="AP54" s="1726"/>
      <c r="AQ54" s="1725"/>
      <c r="AR54" s="1726"/>
      <c r="AS54" s="1725"/>
      <c r="AT54" s="1726"/>
      <c r="AU54" s="1725">
        <v>12</v>
      </c>
      <c r="AV54" s="1726">
        <v>5</v>
      </c>
      <c r="AW54" s="1725">
        <v>1</v>
      </c>
      <c r="AX54" s="1726">
        <v>0</v>
      </c>
    </row>
    <row r="55" spans="1:50" x14ac:dyDescent="0.25">
      <c r="A55" s="551" t="s">
        <v>106</v>
      </c>
      <c r="B55" s="552" t="s">
        <v>107</v>
      </c>
      <c r="C55" s="558" t="s">
        <v>264</v>
      </c>
      <c r="D55" s="1723">
        <v>438</v>
      </c>
      <c r="E55" s="1723">
        <v>80</v>
      </c>
      <c r="F55" s="1682">
        <f t="shared" si="0"/>
        <v>5.4749999999999996</v>
      </c>
      <c r="G55" s="1725">
        <v>115</v>
      </c>
      <c r="H55" s="1726">
        <v>4</v>
      </c>
      <c r="I55" s="1725"/>
      <c r="J55" s="1726"/>
      <c r="K55" s="1725"/>
      <c r="L55" s="1726"/>
      <c r="M55" s="1725">
        <v>94</v>
      </c>
      <c r="N55" s="1726">
        <v>16</v>
      </c>
      <c r="O55" s="1725">
        <v>3</v>
      </c>
      <c r="P55" s="1726">
        <v>3</v>
      </c>
      <c r="Q55" s="1725">
        <v>15</v>
      </c>
      <c r="R55" s="1726">
        <v>9</v>
      </c>
      <c r="S55" s="1725">
        <v>48</v>
      </c>
      <c r="T55" s="1726">
        <v>12</v>
      </c>
      <c r="U55" s="1725">
        <v>34</v>
      </c>
      <c r="V55" s="1726">
        <v>11</v>
      </c>
      <c r="W55" s="1725">
        <v>4</v>
      </c>
      <c r="X55" s="1726">
        <v>4</v>
      </c>
      <c r="Y55" s="1725"/>
      <c r="Z55" s="1726"/>
      <c r="AA55" s="1725">
        <v>71</v>
      </c>
      <c r="AB55" s="1726">
        <v>8</v>
      </c>
      <c r="AC55" s="1725">
        <v>39</v>
      </c>
      <c r="AD55" s="1726">
        <v>3</v>
      </c>
      <c r="AE55" s="1725"/>
      <c r="AF55" s="1726"/>
      <c r="AG55" s="1725"/>
      <c r="AH55" s="1726"/>
      <c r="AI55" s="1725">
        <v>2</v>
      </c>
      <c r="AJ55" s="1726">
        <v>2</v>
      </c>
      <c r="AK55" s="1725"/>
      <c r="AL55" s="1726"/>
      <c r="AM55" s="1725"/>
      <c r="AN55" s="1726"/>
      <c r="AO55" s="1725"/>
      <c r="AP55" s="1726"/>
      <c r="AQ55" s="1725"/>
      <c r="AR55" s="1726"/>
      <c r="AS55" s="1725"/>
      <c r="AT55" s="1726"/>
      <c r="AU55" s="1725">
        <v>13</v>
      </c>
      <c r="AV55" s="1726">
        <v>8</v>
      </c>
      <c r="AW55" s="1725"/>
      <c r="AX55" s="1726"/>
    </row>
    <row r="56" spans="1:50" x14ac:dyDescent="0.25">
      <c r="A56" s="551" t="s">
        <v>108</v>
      </c>
      <c r="B56" s="552" t="s">
        <v>109</v>
      </c>
      <c r="C56" s="558" t="s">
        <v>266</v>
      </c>
      <c r="D56" s="1723">
        <v>110</v>
      </c>
      <c r="E56" s="1723">
        <v>25</v>
      </c>
      <c r="F56" s="1682">
        <f t="shared" si="0"/>
        <v>4.4000000000000004</v>
      </c>
      <c r="G56" s="1725">
        <v>37</v>
      </c>
      <c r="H56" s="1726">
        <v>3</v>
      </c>
      <c r="I56" s="1725"/>
      <c r="J56" s="1726"/>
      <c r="K56" s="1725"/>
      <c r="L56" s="1726"/>
      <c r="M56" s="1725">
        <v>28</v>
      </c>
      <c r="N56" s="1726">
        <v>7</v>
      </c>
      <c r="O56" s="1725">
        <v>2</v>
      </c>
      <c r="P56" s="1726">
        <v>2</v>
      </c>
      <c r="Q56" s="1725"/>
      <c r="R56" s="1726"/>
      <c r="S56" s="1725">
        <v>8</v>
      </c>
      <c r="T56" s="1726">
        <v>3</v>
      </c>
      <c r="U56" s="1725">
        <v>1</v>
      </c>
      <c r="V56" s="1726">
        <v>1</v>
      </c>
      <c r="W56" s="1725"/>
      <c r="X56" s="1726"/>
      <c r="Y56" s="1725"/>
      <c r="Z56" s="1726"/>
      <c r="AA56" s="1725">
        <v>22</v>
      </c>
      <c r="AB56" s="1726">
        <v>4</v>
      </c>
      <c r="AC56" s="1725">
        <v>9</v>
      </c>
      <c r="AD56" s="1726">
        <v>2</v>
      </c>
      <c r="AE56" s="1725"/>
      <c r="AF56" s="1726"/>
      <c r="AG56" s="1725"/>
      <c r="AH56" s="1726"/>
      <c r="AI56" s="1725">
        <v>3</v>
      </c>
      <c r="AJ56" s="1726">
        <v>3</v>
      </c>
      <c r="AK56" s="1725"/>
      <c r="AL56" s="1726"/>
      <c r="AM56" s="1725"/>
      <c r="AN56" s="1726"/>
      <c r="AO56" s="1725"/>
      <c r="AP56" s="1726"/>
      <c r="AQ56" s="1725"/>
      <c r="AR56" s="1726"/>
      <c r="AS56" s="1725"/>
      <c r="AT56" s="1726"/>
      <c r="AU56" s="1725"/>
      <c r="AV56" s="1726"/>
      <c r="AW56" s="1725"/>
      <c r="AX56" s="1726"/>
    </row>
    <row r="57" spans="1:50" x14ac:dyDescent="0.25">
      <c r="A57" s="551" t="s">
        <v>110</v>
      </c>
      <c r="B57" s="552" t="s">
        <v>111</v>
      </c>
      <c r="C57" s="558" t="s">
        <v>266</v>
      </c>
      <c r="D57" s="1723">
        <v>575</v>
      </c>
      <c r="E57" s="1723">
        <v>64</v>
      </c>
      <c r="F57" s="1682">
        <f t="shared" si="0"/>
        <v>8.984375</v>
      </c>
      <c r="G57" s="1725">
        <v>113</v>
      </c>
      <c r="H57" s="1726">
        <v>5</v>
      </c>
      <c r="I57" s="1725">
        <v>1</v>
      </c>
      <c r="J57" s="1726">
        <v>1</v>
      </c>
      <c r="K57" s="1725"/>
      <c r="L57" s="1726"/>
      <c r="M57" s="1725">
        <v>165</v>
      </c>
      <c r="N57" s="1726">
        <v>13</v>
      </c>
      <c r="O57" s="1725">
        <v>2</v>
      </c>
      <c r="P57" s="1726">
        <v>2</v>
      </c>
      <c r="Q57" s="1725">
        <v>1</v>
      </c>
      <c r="R57" s="1726">
        <v>1</v>
      </c>
      <c r="S57" s="1725">
        <v>169</v>
      </c>
      <c r="T57" s="1726">
        <v>13</v>
      </c>
      <c r="U57" s="1725">
        <v>4</v>
      </c>
      <c r="V57" s="1726">
        <v>4</v>
      </c>
      <c r="W57" s="1725">
        <v>3</v>
      </c>
      <c r="X57" s="1726">
        <v>3</v>
      </c>
      <c r="Y57" s="1725">
        <v>2</v>
      </c>
      <c r="Z57" s="1726">
        <v>2</v>
      </c>
      <c r="AA57" s="1725">
        <v>93</v>
      </c>
      <c r="AB57" s="1726">
        <v>9</v>
      </c>
      <c r="AC57" s="1725">
        <v>8</v>
      </c>
      <c r="AD57" s="1726">
        <v>3</v>
      </c>
      <c r="AE57" s="1725">
        <v>2</v>
      </c>
      <c r="AF57" s="1726">
        <v>1</v>
      </c>
      <c r="AG57" s="1725">
        <v>6</v>
      </c>
      <c r="AH57" s="1726">
        <v>2</v>
      </c>
      <c r="AI57" s="1725">
        <v>2</v>
      </c>
      <c r="AJ57" s="1726">
        <v>1</v>
      </c>
      <c r="AK57" s="1725"/>
      <c r="AL57" s="1726"/>
      <c r="AM57" s="1725"/>
      <c r="AN57" s="1726"/>
      <c r="AO57" s="1725"/>
      <c r="AP57" s="1726"/>
      <c r="AQ57" s="1725"/>
      <c r="AR57" s="1726"/>
      <c r="AS57" s="1725"/>
      <c r="AT57" s="1726"/>
      <c r="AU57" s="1725">
        <v>4</v>
      </c>
      <c r="AV57" s="1726">
        <v>4</v>
      </c>
      <c r="AW57" s="1725"/>
      <c r="AX57" s="1726"/>
    </row>
    <row r="58" spans="1:50" x14ac:dyDescent="0.25">
      <c r="A58" s="551" t="s">
        <v>112</v>
      </c>
      <c r="B58" s="552" t="s">
        <v>113</v>
      </c>
      <c r="C58" s="558" t="s">
        <v>265</v>
      </c>
      <c r="D58" s="1723">
        <v>909</v>
      </c>
      <c r="E58" s="1723">
        <v>94</v>
      </c>
      <c r="F58" s="1682">
        <f t="shared" si="0"/>
        <v>9.6702127659574462</v>
      </c>
      <c r="G58" s="1725">
        <v>45</v>
      </c>
      <c r="H58" s="1726">
        <v>6</v>
      </c>
      <c r="I58" s="1725"/>
      <c r="J58" s="1726"/>
      <c r="K58" s="1725"/>
      <c r="L58" s="1726"/>
      <c r="M58" s="1725">
        <v>108</v>
      </c>
      <c r="N58" s="1726">
        <v>19</v>
      </c>
      <c r="O58" s="1725">
        <v>4</v>
      </c>
      <c r="P58" s="1726">
        <v>3</v>
      </c>
      <c r="Q58" s="1725">
        <v>2</v>
      </c>
      <c r="R58" s="1726">
        <v>2</v>
      </c>
      <c r="S58" s="1725">
        <v>81</v>
      </c>
      <c r="T58" s="1726">
        <v>17</v>
      </c>
      <c r="U58" s="1725">
        <v>26</v>
      </c>
      <c r="V58" s="1726">
        <v>10</v>
      </c>
      <c r="W58" s="1725">
        <v>6</v>
      </c>
      <c r="X58" s="1726">
        <v>5</v>
      </c>
      <c r="Y58" s="1725"/>
      <c r="Z58" s="1726"/>
      <c r="AA58" s="1725">
        <v>47</v>
      </c>
      <c r="AB58" s="1726">
        <v>13</v>
      </c>
      <c r="AC58" s="1725">
        <v>5</v>
      </c>
      <c r="AD58" s="1726">
        <v>3</v>
      </c>
      <c r="AE58" s="1725">
        <v>4</v>
      </c>
      <c r="AF58" s="1726">
        <v>3</v>
      </c>
      <c r="AG58" s="1725"/>
      <c r="AH58" s="1726"/>
      <c r="AI58" s="1725">
        <v>581</v>
      </c>
      <c r="AJ58" s="1726">
        <v>13</v>
      </c>
      <c r="AK58" s="1725"/>
      <c r="AL58" s="1726"/>
      <c r="AM58" s="1725"/>
      <c r="AN58" s="1726"/>
      <c r="AO58" s="1725"/>
      <c r="AP58" s="1726"/>
      <c r="AQ58" s="1725"/>
      <c r="AR58" s="1726"/>
      <c r="AS58" s="1725"/>
      <c r="AT58" s="1726"/>
      <c r="AU58" s="1725"/>
      <c r="AV58" s="1726"/>
      <c r="AW58" s="1725"/>
      <c r="AX58" s="1726"/>
    </row>
    <row r="59" spans="1:50" x14ac:dyDescent="0.25">
      <c r="A59" s="557" t="s">
        <v>114</v>
      </c>
      <c r="B59" s="552" t="s">
        <v>115</v>
      </c>
      <c r="C59" s="558" t="s">
        <v>265</v>
      </c>
      <c r="D59" s="1723">
        <v>19</v>
      </c>
      <c r="E59" s="1723">
        <v>5</v>
      </c>
      <c r="F59" s="1682">
        <f t="shared" si="0"/>
        <v>3.8</v>
      </c>
      <c r="G59" s="1725">
        <v>5</v>
      </c>
      <c r="H59" s="1726">
        <v>1</v>
      </c>
      <c r="I59" s="1725"/>
      <c r="J59" s="1726"/>
      <c r="K59" s="1725"/>
      <c r="L59" s="1726"/>
      <c r="M59" s="1725">
        <v>6</v>
      </c>
      <c r="N59" s="1726">
        <v>1</v>
      </c>
      <c r="O59" s="1725"/>
      <c r="P59" s="1726"/>
      <c r="Q59" s="1725">
        <v>2</v>
      </c>
      <c r="R59" s="1726">
        <v>1</v>
      </c>
      <c r="S59" s="1725"/>
      <c r="T59" s="1726"/>
      <c r="U59" s="1725"/>
      <c r="V59" s="1726"/>
      <c r="W59" s="1725"/>
      <c r="X59" s="1726"/>
      <c r="Y59" s="1725"/>
      <c r="Z59" s="1726"/>
      <c r="AA59" s="1725">
        <v>3</v>
      </c>
      <c r="AB59" s="1726">
        <v>1</v>
      </c>
      <c r="AC59" s="1725"/>
      <c r="AD59" s="1726"/>
      <c r="AE59" s="1725"/>
      <c r="AF59" s="1726"/>
      <c r="AG59" s="1725"/>
      <c r="AH59" s="1726"/>
      <c r="AI59" s="1725">
        <v>3</v>
      </c>
      <c r="AJ59" s="1726">
        <v>1</v>
      </c>
      <c r="AK59" s="1725"/>
      <c r="AL59" s="1726"/>
      <c r="AM59" s="1725"/>
      <c r="AN59" s="1726"/>
      <c r="AO59" s="1725"/>
      <c r="AP59" s="1726"/>
      <c r="AQ59" s="1725"/>
      <c r="AR59" s="1726"/>
      <c r="AS59" s="1725"/>
      <c r="AT59" s="1726"/>
      <c r="AU59" s="1725"/>
      <c r="AV59" s="1726"/>
      <c r="AW59" s="1725"/>
      <c r="AX59" s="1726"/>
    </row>
    <row r="60" spans="1:50" x14ac:dyDescent="0.25">
      <c r="A60" s="551" t="s">
        <v>116</v>
      </c>
      <c r="B60" s="552" t="s">
        <v>117</v>
      </c>
      <c r="C60" s="558" t="s">
        <v>266</v>
      </c>
      <c r="D60" s="1723">
        <v>119</v>
      </c>
      <c r="E60" s="1723">
        <v>34</v>
      </c>
      <c r="F60" s="1682">
        <f t="shared" si="0"/>
        <v>3.5</v>
      </c>
      <c r="G60" s="1725">
        <v>33</v>
      </c>
      <c r="H60" s="1726">
        <v>3</v>
      </c>
      <c r="I60" s="1725"/>
      <c r="J60" s="1726"/>
      <c r="K60" s="1725"/>
      <c r="L60" s="1726"/>
      <c r="M60" s="1725">
        <v>29</v>
      </c>
      <c r="N60" s="1726">
        <v>3</v>
      </c>
      <c r="O60" s="1725"/>
      <c r="P60" s="1726"/>
      <c r="Q60" s="1725">
        <v>5</v>
      </c>
      <c r="R60" s="1726">
        <v>5</v>
      </c>
      <c r="S60" s="1725">
        <v>5</v>
      </c>
      <c r="T60" s="1726">
        <v>3</v>
      </c>
      <c r="U60" s="1725">
        <v>15</v>
      </c>
      <c r="V60" s="1726">
        <v>6</v>
      </c>
      <c r="W60" s="1725">
        <v>2</v>
      </c>
      <c r="X60" s="1726">
        <v>2</v>
      </c>
      <c r="Y60" s="1725"/>
      <c r="Z60" s="1726"/>
      <c r="AA60" s="1725">
        <v>14</v>
      </c>
      <c r="AB60" s="1726">
        <v>3</v>
      </c>
      <c r="AC60" s="1725">
        <v>4</v>
      </c>
      <c r="AD60" s="1726">
        <v>2</v>
      </c>
      <c r="AE60" s="1725">
        <v>5</v>
      </c>
      <c r="AF60" s="1726">
        <v>3</v>
      </c>
      <c r="AG60" s="1725">
        <v>3</v>
      </c>
      <c r="AH60" s="1726">
        <v>2</v>
      </c>
      <c r="AI60" s="1725">
        <v>3</v>
      </c>
      <c r="AJ60" s="1726">
        <v>1</v>
      </c>
      <c r="AK60" s="1725"/>
      <c r="AL60" s="1726"/>
      <c r="AM60" s="1725"/>
      <c r="AN60" s="1726"/>
      <c r="AO60" s="1725"/>
      <c r="AP60" s="1726"/>
      <c r="AQ60" s="1725"/>
      <c r="AR60" s="1726"/>
      <c r="AS60" s="1725"/>
      <c r="AT60" s="1726"/>
      <c r="AU60" s="1725">
        <v>1</v>
      </c>
      <c r="AV60" s="1726">
        <v>1</v>
      </c>
      <c r="AW60" s="1725"/>
      <c r="AX60" s="1726"/>
    </row>
    <row r="61" spans="1:50" x14ac:dyDescent="0.25">
      <c r="A61" s="551" t="s">
        <v>118</v>
      </c>
      <c r="B61" s="552" t="s">
        <v>119</v>
      </c>
      <c r="C61" s="558" t="s">
        <v>264</v>
      </c>
      <c r="D61" s="1723">
        <v>325</v>
      </c>
      <c r="E61" s="1723">
        <v>26</v>
      </c>
      <c r="F61" s="1682">
        <f t="shared" si="0"/>
        <v>12.5</v>
      </c>
      <c r="G61" s="1725">
        <v>12</v>
      </c>
      <c r="H61" s="1726">
        <v>3</v>
      </c>
      <c r="I61" s="1725"/>
      <c r="J61" s="1726"/>
      <c r="K61" s="1725"/>
      <c r="L61" s="1726"/>
      <c r="M61" s="1725">
        <v>42</v>
      </c>
      <c r="N61" s="1726">
        <v>4</v>
      </c>
      <c r="O61" s="1725"/>
      <c r="P61" s="1726"/>
      <c r="Q61" s="1725">
        <v>3</v>
      </c>
      <c r="R61" s="1726">
        <v>3</v>
      </c>
      <c r="S61" s="1725">
        <v>24</v>
      </c>
      <c r="T61" s="1726">
        <v>4</v>
      </c>
      <c r="U61" s="1725">
        <v>9</v>
      </c>
      <c r="V61" s="1726">
        <v>2</v>
      </c>
      <c r="W61" s="1725">
        <v>1</v>
      </c>
      <c r="X61" s="1726">
        <v>1</v>
      </c>
      <c r="Y61" s="1725"/>
      <c r="Z61" s="1726"/>
      <c r="AA61" s="1725">
        <v>6</v>
      </c>
      <c r="AB61" s="1726">
        <v>3</v>
      </c>
      <c r="AC61" s="1725">
        <v>6</v>
      </c>
      <c r="AD61" s="1726">
        <v>2</v>
      </c>
      <c r="AE61" s="1725"/>
      <c r="AF61" s="1726"/>
      <c r="AG61" s="1725"/>
      <c r="AH61" s="1726"/>
      <c r="AI61" s="1725">
        <v>217</v>
      </c>
      <c r="AJ61" s="1726">
        <v>2</v>
      </c>
      <c r="AK61" s="1725"/>
      <c r="AL61" s="1726"/>
      <c r="AM61" s="1725"/>
      <c r="AN61" s="1726"/>
      <c r="AO61" s="1725"/>
      <c r="AP61" s="1726"/>
      <c r="AQ61" s="1725"/>
      <c r="AR61" s="1726"/>
      <c r="AS61" s="1725"/>
      <c r="AT61" s="1726"/>
      <c r="AU61" s="1725">
        <v>5</v>
      </c>
      <c r="AV61" s="1726">
        <v>2</v>
      </c>
      <c r="AW61" s="1725"/>
      <c r="AX61" s="1726"/>
    </row>
    <row r="62" spans="1:50" x14ac:dyDescent="0.25">
      <c r="A62" s="551" t="s">
        <v>120</v>
      </c>
      <c r="B62" s="552" t="s">
        <v>121</v>
      </c>
      <c r="C62" s="558" t="s">
        <v>264</v>
      </c>
      <c r="D62" s="1723">
        <v>139</v>
      </c>
      <c r="E62" s="1723">
        <v>33</v>
      </c>
      <c r="F62" s="1682">
        <f t="shared" si="0"/>
        <v>4.2121212121212119</v>
      </c>
      <c r="G62" s="1725">
        <v>37</v>
      </c>
      <c r="H62" s="1726">
        <v>3</v>
      </c>
      <c r="I62" s="1725"/>
      <c r="J62" s="1726"/>
      <c r="K62" s="1725"/>
      <c r="L62" s="1726"/>
      <c r="M62" s="1725">
        <v>38</v>
      </c>
      <c r="N62" s="1726">
        <v>9</v>
      </c>
      <c r="O62" s="1725"/>
      <c r="P62" s="1726"/>
      <c r="Q62" s="1725">
        <v>8</v>
      </c>
      <c r="R62" s="1726">
        <v>4</v>
      </c>
      <c r="S62" s="1725">
        <v>3</v>
      </c>
      <c r="T62" s="1726">
        <v>2</v>
      </c>
      <c r="U62" s="1725">
        <v>28</v>
      </c>
      <c r="V62" s="1726">
        <v>3</v>
      </c>
      <c r="W62" s="1725">
        <v>6</v>
      </c>
      <c r="X62" s="1726">
        <v>3</v>
      </c>
      <c r="Y62" s="1725"/>
      <c r="Z62" s="1726"/>
      <c r="AA62" s="1725">
        <v>13</v>
      </c>
      <c r="AB62" s="1726">
        <v>5</v>
      </c>
      <c r="AC62" s="1725">
        <v>5</v>
      </c>
      <c r="AD62" s="1726">
        <v>3</v>
      </c>
      <c r="AE62" s="1725"/>
      <c r="AF62" s="1726"/>
      <c r="AG62" s="1725"/>
      <c r="AH62" s="1726"/>
      <c r="AI62" s="1725"/>
      <c r="AJ62" s="1726"/>
      <c r="AK62" s="1725"/>
      <c r="AL62" s="1726"/>
      <c r="AM62" s="1725"/>
      <c r="AN62" s="1726"/>
      <c r="AO62" s="1725"/>
      <c r="AP62" s="1726"/>
      <c r="AQ62" s="1725"/>
      <c r="AR62" s="1726"/>
      <c r="AS62" s="1725"/>
      <c r="AT62" s="1726"/>
      <c r="AU62" s="1725">
        <v>1</v>
      </c>
      <c r="AV62" s="1726">
        <v>1</v>
      </c>
      <c r="AW62" s="1725"/>
      <c r="AX62" s="1726"/>
    </row>
    <row r="63" spans="1:50" x14ac:dyDescent="0.25">
      <c r="A63" s="551" t="s">
        <v>122</v>
      </c>
      <c r="B63" s="552" t="s">
        <v>123</v>
      </c>
      <c r="C63" s="558" t="s">
        <v>266</v>
      </c>
      <c r="D63" s="1723">
        <v>42</v>
      </c>
      <c r="E63" s="1723">
        <v>14</v>
      </c>
      <c r="F63" s="1682">
        <f t="shared" si="0"/>
        <v>3</v>
      </c>
      <c r="G63" s="1725">
        <v>10</v>
      </c>
      <c r="H63" s="1726">
        <v>2</v>
      </c>
      <c r="I63" s="1725"/>
      <c r="J63" s="1726"/>
      <c r="K63" s="1725"/>
      <c r="L63" s="1726"/>
      <c r="M63" s="1725">
        <v>18</v>
      </c>
      <c r="N63" s="1726">
        <v>5</v>
      </c>
      <c r="O63" s="1725"/>
      <c r="P63" s="1726"/>
      <c r="Q63" s="1725"/>
      <c r="R63" s="1726"/>
      <c r="S63" s="1725">
        <v>6</v>
      </c>
      <c r="T63" s="1726">
        <v>2</v>
      </c>
      <c r="U63" s="1725">
        <v>6</v>
      </c>
      <c r="V63" s="1726">
        <v>4</v>
      </c>
      <c r="W63" s="1725"/>
      <c r="X63" s="1726"/>
      <c r="Y63" s="1725"/>
      <c r="Z63" s="1726"/>
      <c r="AA63" s="1725">
        <v>2</v>
      </c>
      <c r="AB63" s="1726">
        <v>1</v>
      </c>
      <c r="AC63" s="1725"/>
      <c r="AD63" s="1726"/>
      <c r="AE63" s="1725"/>
      <c r="AF63" s="1726"/>
      <c r="AG63" s="1725"/>
      <c r="AH63" s="1726"/>
      <c r="AI63" s="1725"/>
      <c r="AJ63" s="1726"/>
      <c r="AK63" s="1725"/>
      <c r="AL63" s="1726"/>
      <c r="AM63" s="1725"/>
      <c r="AN63" s="1726"/>
      <c r="AO63" s="1725"/>
      <c r="AP63" s="1726"/>
      <c r="AQ63" s="1725"/>
      <c r="AR63" s="1726"/>
      <c r="AS63" s="1725"/>
      <c r="AT63" s="1726"/>
      <c r="AU63" s="1725"/>
      <c r="AV63" s="1726"/>
      <c r="AW63" s="1725"/>
      <c r="AX63" s="1726"/>
    </row>
    <row r="64" spans="1:50" x14ac:dyDescent="0.25">
      <c r="A64" s="551" t="s">
        <v>124</v>
      </c>
      <c r="B64" s="552" t="s">
        <v>125</v>
      </c>
      <c r="C64" s="558" t="s">
        <v>267</v>
      </c>
      <c r="D64" s="1723">
        <v>81</v>
      </c>
      <c r="E64" s="1723">
        <v>13</v>
      </c>
      <c r="F64" s="1682">
        <f t="shared" si="0"/>
        <v>6.2307692307692308</v>
      </c>
      <c r="G64" s="1725">
        <v>10</v>
      </c>
      <c r="H64" s="1726">
        <v>1</v>
      </c>
      <c r="I64" s="1725"/>
      <c r="J64" s="1726"/>
      <c r="K64" s="1725"/>
      <c r="L64" s="1726"/>
      <c r="M64" s="1725">
        <v>41</v>
      </c>
      <c r="N64" s="1726">
        <v>3</v>
      </c>
      <c r="O64" s="1725"/>
      <c r="P64" s="1726"/>
      <c r="Q64" s="1725">
        <v>4</v>
      </c>
      <c r="R64" s="1726">
        <v>1</v>
      </c>
      <c r="S64" s="1725">
        <v>4</v>
      </c>
      <c r="T64" s="1726">
        <v>2</v>
      </c>
      <c r="U64" s="1725">
        <v>5</v>
      </c>
      <c r="V64" s="1726">
        <v>1</v>
      </c>
      <c r="W64" s="1725"/>
      <c r="X64" s="1726"/>
      <c r="Y64" s="1725"/>
      <c r="Z64" s="1726"/>
      <c r="AA64" s="1725">
        <v>13</v>
      </c>
      <c r="AB64" s="1726">
        <v>2</v>
      </c>
      <c r="AC64" s="1725"/>
      <c r="AD64" s="1726"/>
      <c r="AE64" s="1725">
        <v>2</v>
      </c>
      <c r="AF64" s="1726">
        <v>1</v>
      </c>
      <c r="AG64" s="1725"/>
      <c r="AH64" s="1726"/>
      <c r="AI64" s="1725"/>
      <c r="AJ64" s="1726"/>
      <c r="AK64" s="1725"/>
      <c r="AL64" s="1726"/>
      <c r="AM64" s="1725"/>
      <c r="AN64" s="1726"/>
      <c r="AO64" s="1725"/>
      <c r="AP64" s="1726"/>
      <c r="AQ64" s="1725"/>
      <c r="AR64" s="1726"/>
      <c r="AS64" s="1725">
        <v>1</v>
      </c>
      <c r="AT64" s="1726">
        <v>1</v>
      </c>
      <c r="AU64" s="1725">
        <v>1</v>
      </c>
      <c r="AV64" s="1726">
        <v>1</v>
      </c>
      <c r="AW64" s="1725"/>
      <c r="AX64" s="1726"/>
    </row>
    <row r="65" spans="1:50" x14ac:dyDescent="0.25">
      <c r="A65" s="551" t="s">
        <v>126</v>
      </c>
      <c r="B65" s="552" t="s">
        <v>127</v>
      </c>
      <c r="C65" s="558" t="s">
        <v>266</v>
      </c>
      <c r="D65" s="1723">
        <v>28</v>
      </c>
      <c r="E65" s="1723">
        <v>15</v>
      </c>
      <c r="F65" s="1682">
        <f t="shared" si="0"/>
        <v>1.8666666666666667</v>
      </c>
      <c r="G65" s="1725">
        <v>7</v>
      </c>
      <c r="H65" s="1726">
        <v>2</v>
      </c>
      <c r="I65" s="1725"/>
      <c r="J65" s="1726"/>
      <c r="K65" s="1725"/>
      <c r="L65" s="1726"/>
      <c r="M65" s="1725">
        <v>6</v>
      </c>
      <c r="N65" s="1726">
        <v>3</v>
      </c>
      <c r="O65" s="1725"/>
      <c r="P65" s="1726"/>
      <c r="Q65" s="1725"/>
      <c r="R65" s="1726"/>
      <c r="S65" s="1725">
        <v>1</v>
      </c>
      <c r="T65" s="1726">
        <v>1</v>
      </c>
      <c r="U65" s="1725">
        <v>3</v>
      </c>
      <c r="V65" s="1726">
        <v>3</v>
      </c>
      <c r="W65" s="1725"/>
      <c r="X65" s="1726"/>
      <c r="Y65" s="1725"/>
      <c r="Z65" s="1726"/>
      <c r="AA65" s="1725">
        <v>7</v>
      </c>
      <c r="AB65" s="1726">
        <v>4</v>
      </c>
      <c r="AC65" s="1725">
        <v>3</v>
      </c>
      <c r="AD65" s="1726">
        <v>1</v>
      </c>
      <c r="AE65" s="1725"/>
      <c r="AF65" s="1726"/>
      <c r="AG65" s="1725"/>
      <c r="AH65" s="1726"/>
      <c r="AI65" s="1725"/>
      <c r="AJ65" s="1726"/>
      <c r="AK65" s="1725"/>
      <c r="AL65" s="1726"/>
      <c r="AM65" s="1725"/>
      <c r="AN65" s="1726"/>
      <c r="AO65" s="1725"/>
      <c r="AP65" s="1726"/>
      <c r="AQ65" s="1725"/>
      <c r="AR65" s="1726"/>
      <c r="AS65" s="1725"/>
      <c r="AT65" s="1726"/>
      <c r="AU65" s="1725">
        <v>1</v>
      </c>
      <c r="AV65" s="1726">
        <v>1</v>
      </c>
      <c r="AW65" s="1725"/>
      <c r="AX65" s="1726"/>
    </row>
    <row r="66" spans="1:50" x14ac:dyDescent="0.25">
      <c r="A66" s="551" t="s">
        <v>128</v>
      </c>
      <c r="B66" s="552" t="s">
        <v>129</v>
      </c>
      <c r="C66" s="558" t="s">
        <v>266</v>
      </c>
      <c r="D66" s="1723">
        <v>43</v>
      </c>
      <c r="E66" s="1723">
        <v>19</v>
      </c>
      <c r="F66" s="1682">
        <f t="shared" si="0"/>
        <v>2.263157894736842</v>
      </c>
      <c r="G66" s="1725">
        <v>5</v>
      </c>
      <c r="H66" s="1726">
        <v>2</v>
      </c>
      <c r="I66" s="1725">
        <v>1</v>
      </c>
      <c r="J66" s="1726">
        <v>1</v>
      </c>
      <c r="K66" s="1725"/>
      <c r="L66" s="1726"/>
      <c r="M66" s="1725">
        <v>3</v>
      </c>
      <c r="N66" s="1726">
        <v>1</v>
      </c>
      <c r="O66" s="1725"/>
      <c r="P66" s="1726"/>
      <c r="Q66" s="1725">
        <v>3</v>
      </c>
      <c r="R66" s="1726">
        <v>1</v>
      </c>
      <c r="S66" s="1725">
        <v>11</v>
      </c>
      <c r="T66" s="1726">
        <v>5</v>
      </c>
      <c r="U66" s="1725">
        <v>7</v>
      </c>
      <c r="V66" s="1726">
        <v>2</v>
      </c>
      <c r="W66" s="1725">
        <v>3</v>
      </c>
      <c r="X66" s="1726">
        <v>2</v>
      </c>
      <c r="Y66" s="1725"/>
      <c r="Z66" s="1726"/>
      <c r="AA66" s="1725">
        <v>9</v>
      </c>
      <c r="AB66" s="1726">
        <v>4</v>
      </c>
      <c r="AC66" s="1725"/>
      <c r="AD66" s="1726"/>
      <c r="AE66" s="1725">
        <v>1</v>
      </c>
      <c r="AF66" s="1726">
        <v>1</v>
      </c>
      <c r="AG66" s="1725"/>
      <c r="AH66" s="1726"/>
      <c r="AI66" s="1725"/>
      <c r="AJ66" s="1726"/>
      <c r="AK66" s="1725"/>
      <c r="AL66" s="1726"/>
      <c r="AM66" s="1725"/>
      <c r="AN66" s="1726"/>
      <c r="AO66" s="1725"/>
      <c r="AP66" s="1726"/>
      <c r="AQ66" s="1725"/>
      <c r="AR66" s="1726"/>
      <c r="AS66" s="1725"/>
      <c r="AT66" s="1726"/>
      <c r="AU66" s="1725"/>
      <c r="AV66" s="1726"/>
      <c r="AW66" s="1725"/>
      <c r="AX66" s="1726"/>
    </row>
    <row r="67" spans="1:50" x14ac:dyDescent="0.25">
      <c r="A67" s="557" t="s">
        <v>130</v>
      </c>
      <c r="B67" s="552" t="s">
        <v>131</v>
      </c>
      <c r="C67" s="558" t="s">
        <v>268</v>
      </c>
      <c r="D67" s="1723">
        <v>299</v>
      </c>
      <c r="E67" s="1723">
        <v>37</v>
      </c>
      <c r="F67" s="1682">
        <f t="shared" si="0"/>
        <v>8.0810810810810807</v>
      </c>
      <c r="G67" s="1725">
        <v>76</v>
      </c>
      <c r="H67" s="1726">
        <v>1</v>
      </c>
      <c r="I67" s="1725"/>
      <c r="J67" s="1726"/>
      <c r="K67" s="1725"/>
      <c r="L67" s="1726"/>
      <c r="M67" s="1725">
        <v>54</v>
      </c>
      <c r="N67" s="1726">
        <v>2</v>
      </c>
      <c r="O67" s="1725">
        <v>1</v>
      </c>
      <c r="P67" s="1726">
        <v>1</v>
      </c>
      <c r="Q67" s="1725">
        <v>5</v>
      </c>
      <c r="R67" s="1726">
        <v>2</v>
      </c>
      <c r="S67" s="1725">
        <v>23</v>
      </c>
      <c r="T67" s="1726">
        <v>6</v>
      </c>
      <c r="U67" s="1725">
        <v>3</v>
      </c>
      <c r="V67" s="1726">
        <v>3</v>
      </c>
      <c r="W67" s="1725">
        <v>3</v>
      </c>
      <c r="X67" s="1726">
        <v>2</v>
      </c>
      <c r="Y67" s="1725"/>
      <c r="Z67" s="1726"/>
      <c r="AA67" s="1725">
        <v>60</v>
      </c>
      <c r="AB67" s="1726">
        <v>7</v>
      </c>
      <c r="AC67" s="1725">
        <v>22</v>
      </c>
      <c r="AD67" s="1726">
        <v>2</v>
      </c>
      <c r="AE67" s="1725"/>
      <c r="AF67" s="1726"/>
      <c r="AG67" s="1725"/>
      <c r="AH67" s="1726"/>
      <c r="AI67" s="1725">
        <v>52</v>
      </c>
      <c r="AJ67" s="1726">
        <v>11</v>
      </c>
      <c r="AK67" s="1725"/>
      <c r="AL67" s="1726"/>
      <c r="AM67" s="1725"/>
      <c r="AN67" s="1726"/>
      <c r="AO67" s="1725"/>
      <c r="AP67" s="1726"/>
      <c r="AQ67" s="1725"/>
      <c r="AR67" s="1726"/>
      <c r="AS67" s="1725"/>
      <c r="AT67" s="1726"/>
      <c r="AU67" s="1725"/>
      <c r="AV67" s="1726"/>
      <c r="AW67" s="1725"/>
      <c r="AX67" s="1726"/>
    </row>
    <row r="68" spans="1:50" x14ac:dyDescent="0.25">
      <c r="A68" s="551" t="s">
        <v>132</v>
      </c>
      <c r="B68" s="552" t="s">
        <v>133</v>
      </c>
      <c r="C68" s="558" t="s">
        <v>267</v>
      </c>
      <c r="D68" s="1723">
        <v>241</v>
      </c>
      <c r="E68" s="1723">
        <v>27</v>
      </c>
      <c r="F68" s="1682">
        <f t="shared" si="0"/>
        <v>8.9259259259259256</v>
      </c>
      <c r="G68" s="1725">
        <v>51</v>
      </c>
      <c r="H68" s="1726">
        <v>1</v>
      </c>
      <c r="I68" s="1725">
        <v>12</v>
      </c>
      <c r="J68" s="1726">
        <v>1</v>
      </c>
      <c r="K68" s="1725"/>
      <c r="L68" s="1726"/>
      <c r="M68" s="1725">
        <v>112</v>
      </c>
      <c r="N68" s="1726">
        <v>12</v>
      </c>
      <c r="O68" s="1725"/>
      <c r="P68" s="1726"/>
      <c r="Q68" s="1725"/>
      <c r="R68" s="1726"/>
      <c r="S68" s="1725"/>
      <c r="T68" s="1726"/>
      <c r="U68" s="1725"/>
      <c r="V68" s="1726"/>
      <c r="W68" s="1725"/>
      <c r="X68" s="1726"/>
      <c r="Y68" s="1725">
        <v>1</v>
      </c>
      <c r="Z68" s="1726">
        <v>1</v>
      </c>
      <c r="AA68" s="1725">
        <v>57</v>
      </c>
      <c r="AB68" s="1726">
        <v>10</v>
      </c>
      <c r="AC68" s="1725"/>
      <c r="AD68" s="1726"/>
      <c r="AE68" s="1725">
        <v>7</v>
      </c>
      <c r="AF68" s="1726">
        <v>1</v>
      </c>
      <c r="AG68" s="1725">
        <v>1</v>
      </c>
      <c r="AH68" s="1726">
        <v>1</v>
      </c>
      <c r="AI68" s="1725"/>
      <c r="AJ68" s="1726"/>
      <c r="AK68" s="1725"/>
      <c r="AL68" s="1726"/>
      <c r="AM68" s="1725"/>
      <c r="AN68" s="1726"/>
      <c r="AO68" s="1725"/>
      <c r="AP68" s="1726"/>
      <c r="AQ68" s="1725"/>
      <c r="AR68" s="1726"/>
      <c r="AS68" s="1725"/>
      <c r="AT68" s="1726"/>
      <c r="AU68" s="1725"/>
      <c r="AV68" s="1726"/>
      <c r="AW68" s="1725"/>
      <c r="AX68" s="1726"/>
    </row>
    <row r="69" spans="1:50" x14ac:dyDescent="0.25">
      <c r="A69" s="551" t="s">
        <v>134</v>
      </c>
      <c r="B69" s="552" t="s">
        <v>135</v>
      </c>
      <c r="C69" s="558" t="s">
        <v>267</v>
      </c>
      <c r="D69" s="1723">
        <v>176</v>
      </c>
      <c r="E69" s="1723">
        <v>38</v>
      </c>
      <c r="F69" s="1682">
        <f t="shared" si="0"/>
        <v>4.6315789473684212</v>
      </c>
      <c r="G69" s="1725">
        <v>45</v>
      </c>
      <c r="H69" s="1726">
        <v>1</v>
      </c>
      <c r="I69" s="1725"/>
      <c r="J69" s="1726"/>
      <c r="K69" s="1725"/>
      <c r="L69" s="1726"/>
      <c r="M69" s="1725">
        <v>54</v>
      </c>
      <c r="N69" s="1726">
        <v>10</v>
      </c>
      <c r="O69" s="1725">
        <v>5</v>
      </c>
      <c r="P69" s="1726">
        <v>4</v>
      </c>
      <c r="Q69" s="1725">
        <v>3</v>
      </c>
      <c r="R69" s="1726">
        <v>2</v>
      </c>
      <c r="S69" s="1725">
        <v>12</v>
      </c>
      <c r="T69" s="1726">
        <v>5</v>
      </c>
      <c r="U69" s="1725">
        <v>10</v>
      </c>
      <c r="V69" s="1726">
        <v>5</v>
      </c>
      <c r="W69" s="1725">
        <v>2</v>
      </c>
      <c r="X69" s="1726">
        <v>1</v>
      </c>
      <c r="Y69" s="1725"/>
      <c r="Z69" s="1726"/>
      <c r="AA69" s="1725">
        <v>37</v>
      </c>
      <c r="AB69" s="1726">
        <v>4</v>
      </c>
      <c r="AC69" s="1725"/>
      <c r="AD69" s="1726"/>
      <c r="AE69" s="1725">
        <v>5</v>
      </c>
      <c r="AF69" s="1726">
        <v>3</v>
      </c>
      <c r="AG69" s="1725"/>
      <c r="AH69" s="1726"/>
      <c r="AI69" s="1725">
        <v>1</v>
      </c>
      <c r="AJ69" s="1726">
        <v>1</v>
      </c>
      <c r="AK69" s="1725"/>
      <c r="AL69" s="1726"/>
      <c r="AM69" s="1725"/>
      <c r="AN69" s="1726"/>
      <c r="AO69" s="1725"/>
      <c r="AP69" s="1726"/>
      <c r="AQ69" s="1725"/>
      <c r="AR69" s="1726"/>
      <c r="AS69" s="1725"/>
      <c r="AT69" s="1726"/>
      <c r="AU69" s="1725">
        <v>2</v>
      </c>
      <c r="AV69" s="1726">
        <v>2</v>
      </c>
      <c r="AW69" s="1725"/>
      <c r="AX69" s="1726"/>
    </row>
    <row r="70" spans="1:50" x14ac:dyDescent="0.25">
      <c r="A70" s="551" t="s">
        <v>136</v>
      </c>
      <c r="B70" s="552" t="s">
        <v>137</v>
      </c>
      <c r="C70" s="558" t="s">
        <v>266</v>
      </c>
      <c r="D70" s="1723">
        <v>42</v>
      </c>
      <c r="E70" s="1723">
        <v>11</v>
      </c>
      <c r="F70" s="1682">
        <f t="shared" si="0"/>
        <v>3.8181818181818183</v>
      </c>
      <c r="G70" s="1725">
        <v>11</v>
      </c>
      <c r="H70" s="1726">
        <v>1</v>
      </c>
      <c r="I70" s="1725"/>
      <c r="J70" s="1726"/>
      <c r="K70" s="1725"/>
      <c r="L70" s="1726"/>
      <c r="M70" s="1725">
        <v>4</v>
      </c>
      <c r="N70" s="1726">
        <v>2</v>
      </c>
      <c r="O70" s="1725">
        <v>5</v>
      </c>
      <c r="P70" s="1726">
        <v>1</v>
      </c>
      <c r="Q70" s="1725"/>
      <c r="R70" s="1726"/>
      <c r="S70" s="1725">
        <v>2</v>
      </c>
      <c r="T70" s="1726">
        <v>1</v>
      </c>
      <c r="U70" s="1725">
        <v>12</v>
      </c>
      <c r="V70" s="1726">
        <v>3</v>
      </c>
      <c r="W70" s="1725"/>
      <c r="X70" s="1726"/>
      <c r="Y70" s="1725"/>
      <c r="Z70" s="1726"/>
      <c r="AA70" s="1725">
        <v>6</v>
      </c>
      <c r="AB70" s="1726">
        <v>1</v>
      </c>
      <c r="AC70" s="1725"/>
      <c r="AD70" s="1726"/>
      <c r="AE70" s="1725"/>
      <c r="AF70" s="1726"/>
      <c r="AG70" s="1725"/>
      <c r="AH70" s="1726"/>
      <c r="AI70" s="1725">
        <v>1</v>
      </c>
      <c r="AJ70" s="1726">
        <v>1</v>
      </c>
      <c r="AK70" s="1725"/>
      <c r="AL70" s="1726"/>
      <c r="AM70" s="1725"/>
      <c r="AN70" s="1726"/>
      <c r="AO70" s="1725"/>
      <c r="AP70" s="1726"/>
      <c r="AQ70" s="1725"/>
      <c r="AR70" s="1726"/>
      <c r="AS70" s="1725"/>
      <c r="AT70" s="1726"/>
      <c r="AU70" s="1725">
        <v>1</v>
      </c>
      <c r="AV70" s="1726">
        <v>1</v>
      </c>
      <c r="AW70" s="1725"/>
      <c r="AX70" s="1726"/>
    </row>
    <row r="71" spans="1:50" x14ac:dyDescent="0.25">
      <c r="A71" s="551" t="s">
        <v>138</v>
      </c>
      <c r="B71" s="552" t="s">
        <v>139</v>
      </c>
      <c r="C71" s="558" t="s">
        <v>265</v>
      </c>
      <c r="D71" s="1723">
        <v>452</v>
      </c>
      <c r="E71" s="1723">
        <v>50</v>
      </c>
      <c r="F71" s="1682">
        <f t="shared" ref="F71:F125" si="1">D71/E71</f>
        <v>9.0399999999999991</v>
      </c>
      <c r="G71" s="1725">
        <v>166</v>
      </c>
      <c r="H71" s="1726">
        <v>2</v>
      </c>
      <c r="I71" s="1725"/>
      <c r="J71" s="1726"/>
      <c r="K71" s="1725"/>
      <c r="L71" s="1726"/>
      <c r="M71" s="1725">
        <v>82</v>
      </c>
      <c r="N71" s="1726">
        <v>10</v>
      </c>
      <c r="O71" s="1725">
        <v>10</v>
      </c>
      <c r="P71" s="1726">
        <v>7</v>
      </c>
      <c r="Q71" s="1725">
        <v>2</v>
      </c>
      <c r="R71" s="1726">
        <v>2</v>
      </c>
      <c r="S71" s="1725">
        <v>6</v>
      </c>
      <c r="T71" s="1726">
        <v>3</v>
      </c>
      <c r="U71" s="1725">
        <v>44</v>
      </c>
      <c r="V71" s="1726">
        <v>6</v>
      </c>
      <c r="W71" s="1725"/>
      <c r="X71" s="1726"/>
      <c r="Y71" s="1725">
        <v>1</v>
      </c>
      <c r="Z71" s="1726">
        <v>1</v>
      </c>
      <c r="AA71" s="1725">
        <v>135</v>
      </c>
      <c r="AB71" s="1726">
        <v>14</v>
      </c>
      <c r="AC71" s="1725">
        <v>1</v>
      </c>
      <c r="AD71" s="1726">
        <v>1</v>
      </c>
      <c r="AE71" s="1725">
        <v>2</v>
      </c>
      <c r="AF71" s="1726">
        <v>1</v>
      </c>
      <c r="AG71" s="1725">
        <v>1</v>
      </c>
      <c r="AH71" s="1726">
        <v>1</v>
      </c>
      <c r="AI71" s="1725">
        <v>2</v>
      </c>
      <c r="AJ71" s="1726">
        <v>2</v>
      </c>
      <c r="AK71" s="1725"/>
      <c r="AL71" s="1726"/>
      <c r="AM71" s="1725"/>
      <c r="AN71" s="1726"/>
      <c r="AO71" s="1725"/>
      <c r="AP71" s="1726"/>
      <c r="AQ71" s="1725"/>
      <c r="AR71" s="1726"/>
      <c r="AS71" s="1725"/>
      <c r="AT71" s="1726"/>
      <c r="AU71" s="1725"/>
      <c r="AV71" s="1726"/>
      <c r="AW71" s="1725"/>
      <c r="AX71" s="1726"/>
    </row>
    <row r="72" spans="1:50" x14ac:dyDescent="0.25">
      <c r="A72" s="551" t="s">
        <v>140</v>
      </c>
      <c r="B72" s="552" t="s">
        <v>141</v>
      </c>
      <c r="C72" s="558" t="s">
        <v>267</v>
      </c>
      <c r="D72" s="1723">
        <v>106</v>
      </c>
      <c r="E72" s="1723">
        <v>24</v>
      </c>
      <c r="F72" s="1682">
        <f t="shared" si="1"/>
        <v>4.416666666666667</v>
      </c>
      <c r="G72" s="1725">
        <v>23</v>
      </c>
      <c r="H72" s="1726">
        <v>2</v>
      </c>
      <c r="I72" s="1725"/>
      <c r="J72" s="1726"/>
      <c r="K72" s="1725"/>
      <c r="L72" s="1726"/>
      <c r="M72" s="1725">
        <v>16</v>
      </c>
      <c r="N72" s="1726">
        <v>4</v>
      </c>
      <c r="O72" s="1725"/>
      <c r="P72" s="1726"/>
      <c r="Q72" s="1725">
        <v>2</v>
      </c>
      <c r="R72" s="1726">
        <v>2</v>
      </c>
      <c r="S72" s="1725">
        <v>13</v>
      </c>
      <c r="T72" s="1726">
        <v>6</v>
      </c>
      <c r="U72" s="1725">
        <v>2</v>
      </c>
      <c r="V72" s="1726">
        <v>2</v>
      </c>
      <c r="W72" s="1725"/>
      <c r="X72" s="1726"/>
      <c r="Y72" s="1725"/>
      <c r="Z72" s="1726"/>
      <c r="AA72" s="1725">
        <v>45</v>
      </c>
      <c r="AB72" s="1726">
        <v>6</v>
      </c>
      <c r="AC72" s="1725"/>
      <c r="AD72" s="1726"/>
      <c r="AE72" s="1725">
        <v>3</v>
      </c>
      <c r="AF72" s="1726">
        <v>1</v>
      </c>
      <c r="AG72" s="1725"/>
      <c r="AH72" s="1726"/>
      <c r="AI72" s="1725"/>
      <c r="AJ72" s="1726"/>
      <c r="AK72" s="1725"/>
      <c r="AL72" s="1726"/>
      <c r="AM72" s="1725"/>
      <c r="AN72" s="1726"/>
      <c r="AO72" s="1725"/>
      <c r="AP72" s="1726"/>
      <c r="AQ72" s="1725"/>
      <c r="AR72" s="1726"/>
      <c r="AS72" s="1725"/>
      <c r="AT72" s="1726"/>
      <c r="AU72" s="1725">
        <v>1</v>
      </c>
      <c r="AV72" s="1726">
        <v>1</v>
      </c>
      <c r="AW72" s="1725">
        <v>1</v>
      </c>
      <c r="AX72" s="1726">
        <v>0</v>
      </c>
    </row>
    <row r="73" spans="1:50" x14ac:dyDescent="0.25">
      <c r="A73" s="551" t="s">
        <v>142</v>
      </c>
      <c r="B73" s="552" t="s">
        <v>143</v>
      </c>
      <c r="C73" s="558" t="s">
        <v>267</v>
      </c>
      <c r="D73" s="1723">
        <v>75</v>
      </c>
      <c r="E73" s="1723">
        <v>14</v>
      </c>
      <c r="F73" s="1682">
        <f t="shared" si="1"/>
        <v>5.3571428571428568</v>
      </c>
      <c r="G73" s="1725">
        <v>15</v>
      </c>
      <c r="H73" s="1726">
        <v>1</v>
      </c>
      <c r="I73" s="1725"/>
      <c r="J73" s="1726"/>
      <c r="K73" s="1725"/>
      <c r="L73" s="1726"/>
      <c r="M73" s="1725">
        <v>8</v>
      </c>
      <c r="N73" s="1726">
        <v>1</v>
      </c>
      <c r="O73" s="1725"/>
      <c r="P73" s="1726"/>
      <c r="Q73" s="1725"/>
      <c r="R73" s="1726"/>
      <c r="S73" s="1725">
        <v>11</v>
      </c>
      <c r="T73" s="1726">
        <v>2</v>
      </c>
      <c r="U73" s="1725">
        <v>5</v>
      </c>
      <c r="V73" s="1726">
        <v>2</v>
      </c>
      <c r="W73" s="1725">
        <v>3</v>
      </c>
      <c r="X73" s="1726">
        <v>1</v>
      </c>
      <c r="Y73" s="1725"/>
      <c r="Z73" s="1726"/>
      <c r="AA73" s="1725">
        <v>18</v>
      </c>
      <c r="AB73" s="1726">
        <v>2</v>
      </c>
      <c r="AC73" s="1725"/>
      <c r="AD73" s="1726"/>
      <c r="AE73" s="1725"/>
      <c r="AF73" s="1726"/>
      <c r="AG73" s="1725"/>
      <c r="AH73" s="1726"/>
      <c r="AI73" s="1725">
        <v>15</v>
      </c>
      <c r="AJ73" s="1726">
        <v>5</v>
      </c>
      <c r="AK73" s="1725"/>
      <c r="AL73" s="1726"/>
      <c r="AM73" s="1725"/>
      <c r="AN73" s="1726"/>
      <c r="AO73" s="1725"/>
      <c r="AP73" s="1726"/>
      <c r="AQ73" s="1725"/>
      <c r="AR73" s="1726"/>
      <c r="AS73" s="1725"/>
      <c r="AT73" s="1726"/>
      <c r="AU73" s="1725"/>
      <c r="AV73" s="1726"/>
      <c r="AW73" s="1725"/>
      <c r="AX73" s="1726"/>
    </row>
    <row r="74" spans="1:50" x14ac:dyDescent="0.25">
      <c r="A74" s="557" t="s">
        <v>144</v>
      </c>
      <c r="B74" s="552" t="s">
        <v>145</v>
      </c>
      <c r="C74" s="558" t="s">
        <v>267</v>
      </c>
      <c r="D74" s="1723">
        <v>20</v>
      </c>
      <c r="E74" s="1723">
        <v>13</v>
      </c>
      <c r="F74" s="1682">
        <f t="shared" si="1"/>
        <v>1.5384615384615385</v>
      </c>
      <c r="G74" s="1725">
        <v>1</v>
      </c>
      <c r="H74" s="1726">
        <v>1</v>
      </c>
      <c r="I74" s="1725"/>
      <c r="J74" s="1726"/>
      <c r="K74" s="1725"/>
      <c r="L74" s="1726"/>
      <c r="M74" s="1725">
        <v>10</v>
      </c>
      <c r="N74" s="1726">
        <v>5</v>
      </c>
      <c r="O74" s="1725"/>
      <c r="P74" s="1726"/>
      <c r="Q74" s="1725"/>
      <c r="R74" s="1726"/>
      <c r="S74" s="1725">
        <v>1</v>
      </c>
      <c r="T74" s="1726">
        <v>1</v>
      </c>
      <c r="U74" s="1725">
        <v>1</v>
      </c>
      <c r="V74" s="1726">
        <v>1</v>
      </c>
      <c r="W74" s="1725"/>
      <c r="X74" s="1726"/>
      <c r="Y74" s="1725"/>
      <c r="Z74" s="1726"/>
      <c r="AA74" s="1725">
        <v>3</v>
      </c>
      <c r="AB74" s="1726">
        <v>1</v>
      </c>
      <c r="AC74" s="1725">
        <v>2</v>
      </c>
      <c r="AD74" s="1726">
        <v>2</v>
      </c>
      <c r="AE74" s="1725"/>
      <c r="AF74" s="1726"/>
      <c r="AG74" s="1725"/>
      <c r="AH74" s="1726"/>
      <c r="AI74" s="1725">
        <v>2</v>
      </c>
      <c r="AJ74" s="1726">
        <v>2</v>
      </c>
      <c r="AK74" s="1725"/>
      <c r="AL74" s="1726"/>
      <c r="AM74" s="1725"/>
      <c r="AN74" s="1726"/>
      <c r="AO74" s="1725"/>
      <c r="AP74" s="1726"/>
      <c r="AQ74" s="1725"/>
      <c r="AR74" s="1726"/>
      <c r="AS74" s="1725"/>
      <c r="AT74" s="1726"/>
      <c r="AU74" s="1725"/>
      <c r="AV74" s="1726"/>
      <c r="AW74" s="1725"/>
      <c r="AX74" s="1726"/>
    </row>
    <row r="75" spans="1:50" x14ac:dyDescent="0.25">
      <c r="A75" s="551" t="s">
        <v>146</v>
      </c>
      <c r="B75" s="552" t="s">
        <v>147</v>
      </c>
      <c r="C75" s="558" t="s">
        <v>264</v>
      </c>
      <c r="D75" s="1723">
        <v>62</v>
      </c>
      <c r="E75" s="1723">
        <v>14</v>
      </c>
      <c r="F75" s="1682">
        <f t="shared" si="1"/>
        <v>4.4285714285714288</v>
      </c>
      <c r="G75" s="1725">
        <v>13</v>
      </c>
      <c r="H75" s="1726">
        <v>1</v>
      </c>
      <c r="I75" s="1725"/>
      <c r="J75" s="1726"/>
      <c r="K75" s="1725"/>
      <c r="L75" s="1726"/>
      <c r="M75" s="1725">
        <v>13</v>
      </c>
      <c r="N75" s="1726">
        <v>1</v>
      </c>
      <c r="O75" s="1725">
        <v>1</v>
      </c>
      <c r="P75" s="1726">
        <v>1</v>
      </c>
      <c r="Q75" s="1725">
        <v>1</v>
      </c>
      <c r="R75" s="1726">
        <v>1</v>
      </c>
      <c r="S75" s="1725">
        <v>23</v>
      </c>
      <c r="T75" s="1726">
        <v>3</v>
      </c>
      <c r="U75" s="1725">
        <v>3</v>
      </c>
      <c r="V75" s="1726">
        <v>2</v>
      </c>
      <c r="W75" s="1725">
        <v>2</v>
      </c>
      <c r="X75" s="1726">
        <v>1</v>
      </c>
      <c r="Y75" s="1725"/>
      <c r="Z75" s="1726"/>
      <c r="AA75" s="1725">
        <v>4</v>
      </c>
      <c r="AB75" s="1726">
        <v>2</v>
      </c>
      <c r="AC75" s="1725">
        <v>1</v>
      </c>
      <c r="AD75" s="1726">
        <v>1</v>
      </c>
      <c r="AE75" s="1725"/>
      <c r="AF75" s="1726"/>
      <c r="AG75" s="1725"/>
      <c r="AH75" s="1726"/>
      <c r="AI75" s="1725"/>
      <c r="AJ75" s="1726"/>
      <c r="AK75" s="1725"/>
      <c r="AL75" s="1726"/>
      <c r="AM75" s="1725">
        <v>1</v>
      </c>
      <c r="AN75" s="1726">
        <v>1</v>
      </c>
      <c r="AO75" s="1725"/>
      <c r="AP75" s="1726"/>
      <c r="AQ75" s="1725"/>
      <c r="AR75" s="1726"/>
      <c r="AS75" s="1725"/>
      <c r="AT75" s="1726"/>
      <c r="AU75" s="1725"/>
      <c r="AV75" s="1726"/>
      <c r="AW75" s="1725"/>
      <c r="AX75" s="1726"/>
    </row>
    <row r="76" spans="1:50" x14ac:dyDescent="0.25">
      <c r="A76" s="551" t="s">
        <v>148</v>
      </c>
      <c r="B76" s="552" t="s">
        <v>149</v>
      </c>
      <c r="C76" s="558" t="s">
        <v>265</v>
      </c>
      <c r="D76" s="1723">
        <v>180</v>
      </c>
      <c r="E76" s="1723">
        <v>41</v>
      </c>
      <c r="F76" s="1682">
        <f t="shared" si="1"/>
        <v>4.3902439024390247</v>
      </c>
      <c r="G76" s="1725">
        <v>18</v>
      </c>
      <c r="H76" s="1726">
        <v>1</v>
      </c>
      <c r="I76" s="1725"/>
      <c r="J76" s="1726"/>
      <c r="K76" s="1725"/>
      <c r="L76" s="1726"/>
      <c r="M76" s="1725">
        <v>5</v>
      </c>
      <c r="N76" s="1726">
        <v>3</v>
      </c>
      <c r="O76" s="1725">
        <v>1</v>
      </c>
      <c r="P76" s="1726">
        <v>1</v>
      </c>
      <c r="Q76" s="1725">
        <v>9</v>
      </c>
      <c r="R76" s="1726">
        <v>5</v>
      </c>
      <c r="S76" s="1725">
        <v>40</v>
      </c>
      <c r="T76" s="1726">
        <v>8</v>
      </c>
      <c r="U76" s="1725">
        <v>34</v>
      </c>
      <c r="V76" s="1726">
        <v>7</v>
      </c>
      <c r="W76" s="1725"/>
      <c r="X76" s="1726"/>
      <c r="Y76" s="1725"/>
      <c r="Z76" s="1726"/>
      <c r="AA76" s="1725">
        <v>28</v>
      </c>
      <c r="AB76" s="1726">
        <v>3</v>
      </c>
      <c r="AC76" s="1725">
        <v>3</v>
      </c>
      <c r="AD76" s="1726">
        <v>1</v>
      </c>
      <c r="AE76" s="1725"/>
      <c r="AF76" s="1726"/>
      <c r="AG76" s="1725"/>
      <c r="AH76" s="1726"/>
      <c r="AI76" s="1725">
        <v>27</v>
      </c>
      <c r="AJ76" s="1726">
        <v>4</v>
      </c>
      <c r="AK76" s="1725"/>
      <c r="AL76" s="1726"/>
      <c r="AM76" s="1725">
        <v>1</v>
      </c>
      <c r="AN76" s="1726">
        <v>1</v>
      </c>
      <c r="AO76" s="1725"/>
      <c r="AP76" s="1726"/>
      <c r="AQ76" s="1725"/>
      <c r="AR76" s="1726"/>
      <c r="AS76" s="1725">
        <v>4</v>
      </c>
      <c r="AT76" s="1726">
        <v>2</v>
      </c>
      <c r="AU76" s="1725">
        <v>10</v>
      </c>
      <c r="AV76" s="1726">
        <v>5</v>
      </c>
      <c r="AW76" s="1725"/>
      <c r="AX76" s="1726"/>
    </row>
    <row r="77" spans="1:50" x14ac:dyDescent="0.25">
      <c r="A77" s="551" t="s">
        <v>150</v>
      </c>
      <c r="B77" s="552" t="s">
        <v>151</v>
      </c>
      <c r="C77" s="558" t="s">
        <v>266</v>
      </c>
      <c r="D77" s="1723">
        <v>88</v>
      </c>
      <c r="E77" s="1723">
        <v>26</v>
      </c>
      <c r="F77" s="1682">
        <f t="shared" si="1"/>
        <v>3.3846153846153846</v>
      </c>
      <c r="G77" s="1725">
        <v>14</v>
      </c>
      <c r="H77" s="1726">
        <v>2</v>
      </c>
      <c r="I77" s="1725"/>
      <c r="J77" s="1726"/>
      <c r="K77" s="1725"/>
      <c r="L77" s="1726"/>
      <c r="M77" s="1725">
        <v>29</v>
      </c>
      <c r="N77" s="1726">
        <v>4</v>
      </c>
      <c r="O77" s="1725"/>
      <c r="P77" s="1726"/>
      <c r="Q77" s="1725">
        <v>5</v>
      </c>
      <c r="R77" s="1726">
        <v>3</v>
      </c>
      <c r="S77" s="1725">
        <v>17</v>
      </c>
      <c r="T77" s="1726">
        <v>7</v>
      </c>
      <c r="U77" s="1725">
        <v>11</v>
      </c>
      <c r="V77" s="1726">
        <v>4</v>
      </c>
      <c r="W77" s="1725">
        <v>2</v>
      </c>
      <c r="X77" s="1726">
        <v>1</v>
      </c>
      <c r="Y77" s="1725"/>
      <c r="Z77" s="1726"/>
      <c r="AA77" s="1725">
        <v>7</v>
      </c>
      <c r="AB77" s="1726">
        <v>2</v>
      </c>
      <c r="AC77" s="1725">
        <v>1</v>
      </c>
      <c r="AD77" s="1726">
        <v>1</v>
      </c>
      <c r="AE77" s="1725"/>
      <c r="AF77" s="1726"/>
      <c r="AG77" s="1725"/>
      <c r="AH77" s="1726"/>
      <c r="AI77" s="1725">
        <v>1</v>
      </c>
      <c r="AJ77" s="1726">
        <v>1</v>
      </c>
      <c r="AK77" s="1725"/>
      <c r="AL77" s="1726"/>
      <c r="AM77" s="1725">
        <v>1</v>
      </c>
      <c r="AN77" s="1726">
        <v>1</v>
      </c>
      <c r="AO77" s="1725"/>
      <c r="AP77" s="1726"/>
      <c r="AQ77" s="1725"/>
      <c r="AR77" s="1726"/>
      <c r="AS77" s="1725"/>
      <c r="AT77" s="1726"/>
      <c r="AU77" s="1725"/>
      <c r="AV77" s="1726"/>
      <c r="AW77" s="1725"/>
      <c r="AX77" s="1726"/>
    </row>
    <row r="78" spans="1:50" x14ac:dyDescent="0.25">
      <c r="A78" s="551" t="s">
        <v>152</v>
      </c>
      <c r="B78" s="552" t="s">
        <v>153</v>
      </c>
      <c r="C78" s="558" t="s">
        <v>268</v>
      </c>
      <c r="D78" s="1723">
        <v>181</v>
      </c>
      <c r="E78" s="1723">
        <v>33</v>
      </c>
      <c r="F78" s="1682">
        <f t="shared" si="1"/>
        <v>5.4848484848484844</v>
      </c>
      <c r="G78" s="1725">
        <v>59</v>
      </c>
      <c r="H78" s="1726">
        <v>2</v>
      </c>
      <c r="I78" s="1725"/>
      <c r="J78" s="1726"/>
      <c r="K78" s="1725"/>
      <c r="L78" s="1726"/>
      <c r="M78" s="1725">
        <v>61</v>
      </c>
      <c r="N78" s="1726">
        <v>14</v>
      </c>
      <c r="O78" s="1725"/>
      <c r="P78" s="1726"/>
      <c r="Q78" s="1725"/>
      <c r="R78" s="1726"/>
      <c r="S78" s="1725">
        <v>2</v>
      </c>
      <c r="T78" s="1726">
        <v>1</v>
      </c>
      <c r="U78" s="1725">
        <v>1</v>
      </c>
      <c r="V78" s="1726">
        <v>1</v>
      </c>
      <c r="W78" s="1725">
        <v>15</v>
      </c>
      <c r="X78" s="1726">
        <v>4</v>
      </c>
      <c r="Y78" s="1725"/>
      <c r="Z78" s="1726"/>
      <c r="AA78" s="1725">
        <v>32</v>
      </c>
      <c r="AB78" s="1726">
        <v>5</v>
      </c>
      <c r="AC78" s="1725"/>
      <c r="AD78" s="1726"/>
      <c r="AE78" s="1725"/>
      <c r="AF78" s="1726"/>
      <c r="AG78" s="1725"/>
      <c r="AH78" s="1726"/>
      <c r="AI78" s="1725">
        <v>9</v>
      </c>
      <c r="AJ78" s="1726">
        <v>5</v>
      </c>
      <c r="AK78" s="1725"/>
      <c r="AL78" s="1726"/>
      <c r="AM78" s="1725"/>
      <c r="AN78" s="1726"/>
      <c r="AO78" s="1725"/>
      <c r="AP78" s="1726"/>
      <c r="AQ78" s="1725"/>
      <c r="AR78" s="1726"/>
      <c r="AS78" s="1725"/>
      <c r="AT78" s="1726"/>
      <c r="AU78" s="1725">
        <v>1</v>
      </c>
      <c r="AV78" s="1726">
        <v>1</v>
      </c>
      <c r="AW78" s="1725">
        <v>1</v>
      </c>
      <c r="AX78" s="1726">
        <v>0</v>
      </c>
    </row>
    <row r="79" spans="1:50" x14ac:dyDescent="0.25">
      <c r="A79" s="551" t="s">
        <v>154</v>
      </c>
      <c r="B79" s="552" t="s">
        <v>155</v>
      </c>
      <c r="C79" s="558" t="s">
        <v>265</v>
      </c>
      <c r="D79" s="1723">
        <v>39</v>
      </c>
      <c r="E79" s="1723">
        <v>7</v>
      </c>
      <c r="F79" s="1682">
        <f t="shared" si="1"/>
        <v>5.5714285714285712</v>
      </c>
      <c r="G79" s="1725">
        <v>7</v>
      </c>
      <c r="H79" s="1726">
        <v>1</v>
      </c>
      <c r="I79" s="1725"/>
      <c r="J79" s="1726"/>
      <c r="K79" s="1725"/>
      <c r="L79" s="1726"/>
      <c r="M79" s="1725">
        <v>18</v>
      </c>
      <c r="N79" s="1726">
        <v>3</v>
      </c>
      <c r="O79" s="1725"/>
      <c r="P79" s="1726"/>
      <c r="Q79" s="1725"/>
      <c r="R79" s="1726"/>
      <c r="S79" s="1725"/>
      <c r="T79" s="1726"/>
      <c r="U79" s="1725"/>
      <c r="V79" s="1726"/>
      <c r="W79" s="1725">
        <v>1</v>
      </c>
      <c r="X79" s="1726">
        <v>1</v>
      </c>
      <c r="Y79" s="1725"/>
      <c r="Z79" s="1726"/>
      <c r="AA79" s="1725">
        <v>13</v>
      </c>
      <c r="AB79" s="1726">
        <v>2</v>
      </c>
      <c r="AC79" s="1725"/>
      <c r="AD79" s="1726"/>
      <c r="AE79" s="1725"/>
      <c r="AF79" s="1726"/>
      <c r="AG79" s="1725"/>
      <c r="AH79" s="1726"/>
      <c r="AI79" s="1725"/>
      <c r="AJ79" s="1726"/>
      <c r="AK79" s="1725"/>
      <c r="AL79" s="1726"/>
      <c r="AM79" s="1725"/>
      <c r="AN79" s="1726"/>
      <c r="AO79" s="1725"/>
      <c r="AP79" s="1726"/>
      <c r="AQ79" s="1725"/>
      <c r="AR79" s="1726"/>
      <c r="AS79" s="1725"/>
      <c r="AT79" s="1726"/>
      <c r="AU79" s="1725"/>
      <c r="AV79" s="1726"/>
      <c r="AW79" s="1725"/>
      <c r="AX79" s="1726"/>
    </row>
    <row r="80" spans="1:50" x14ac:dyDescent="0.25">
      <c r="A80" s="557" t="s">
        <v>156</v>
      </c>
      <c r="B80" s="552" t="s">
        <v>157</v>
      </c>
      <c r="C80" s="558" t="s">
        <v>266</v>
      </c>
      <c r="D80" s="1723">
        <v>35</v>
      </c>
      <c r="E80" s="1723">
        <v>7</v>
      </c>
      <c r="F80" s="1682">
        <f t="shared" si="1"/>
        <v>5</v>
      </c>
      <c r="G80" s="1725">
        <v>7</v>
      </c>
      <c r="H80" s="1726">
        <v>1</v>
      </c>
      <c r="I80" s="1725"/>
      <c r="J80" s="1726"/>
      <c r="K80" s="1725"/>
      <c r="L80" s="1726"/>
      <c r="M80" s="1725">
        <v>8</v>
      </c>
      <c r="N80" s="1726">
        <v>2</v>
      </c>
      <c r="O80" s="1725"/>
      <c r="P80" s="1726"/>
      <c r="Q80" s="1725"/>
      <c r="R80" s="1726"/>
      <c r="S80" s="1725">
        <v>2</v>
      </c>
      <c r="T80" s="1726">
        <v>1</v>
      </c>
      <c r="U80" s="1725">
        <v>9</v>
      </c>
      <c r="V80" s="1726">
        <v>1</v>
      </c>
      <c r="W80" s="1725"/>
      <c r="X80" s="1726"/>
      <c r="Y80" s="1725"/>
      <c r="Z80" s="1726"/>
      <c r="AA80" s="1725">
        <v>8</v>
      </c>
      <c r="AB80" s="1726">
        <v>1</v>
      </c>
      <c r="AC80" s="1725"/>
      <c r="AD80" s="1726"/>
      <c r="AE80" s="1725">
        <v>1</v>
      </c>
      <c r="AF80" s="1726">
        <v>1</v>
      </c>
      <c r="AG80" s="1725"/>
      <c r="AH80" s="1726"/>
      <c r="AI80" s="1725"/>
      <c r="AJ80" s="1726"/>
      <c r="AK80" s="1725"/>
      <c r="AL80" s="1726"/>
      <c r="AM80" s="1725"/>
      <c r="AN80" s="1726"/>
      <c r="AO80" s="1725"/>
      <c r="AP80" s="1726"/>
      <c r="AQ80" s="1725"/>
      <c r="AR80" s="1726"/>
      <c r="AS80" s="1725"/>
      <c r="AT80" s="1726"/>
      <c r="AU80" s="1725"/>
      <c r="AV80" s="1726"/>
      <c r="AW80" s="1725"/>
      <c r="AX80" s="1726"/>
    </row>
    <row r="81" spans="1:50" x14ac:dyDescent="0.25">
      <c r="A81" s="551" t="s">
        <v>158</v>
      </c>
      <c r="B81" s="552" t="s">
        <v>159</v>
      </c>
      <c r="C81" s="558" t="s">
        <v>264</v>
      </c>
      <c r="D81" s="1723">
        <v>1023</v>
      </c>
      <c r="E81" s="1723">
        <v>106</v>
      </c>
      <c r="F81" s="1682">
        <f t="shared" si="1"/>
        <v>9.6509433962264151</v>
      </c>
      <c r="G81" s="1725">
        <v>185</v>
      </c>
      <c r="H81" s="1726">
        <v>3</v>
      </c>
      <c r="I81" s="1725">
        <v>2</v>
      </c>
      <c r="J81" s="1726">
        <v>1</v>
      </c>
      <c r="K81" s="1725"/>
      <c r="L81" s="1726"/>
      <c r="M81" s="1725">
        <v>104</v>
      </c>
      <c r="N81" s="1726">
        <v>16</v>
      </c>
      <c r="O81" s="1725"/>
      <c r="P81" s="1726"/>
      <c r="Q81" s="1725">
        <v>3</v>
      </c>
      <c r="R81" s="1726">
        <v>3</v>
      </c>
      <c r="S81" s="1725">
        <v>253</v>
      </c>
      <c r="T81" s="1726">
        <v>19</v>
      </c>
      <c r="U81" s="1725">
        <v>144</v>
      </c>
      <c r="V81" s="1726">
        <v>17</v>
      </c>
      <c r="W81" s="1725">
        <v>13</v>
      </c>
      <c r="X81" s="1726">
        <v>4</v>
      </c>
      <c r="Y81" s="1725"/>
      <c r="Z81" s="1726"/>
      <c r="AA81" s="1725">
        <v>131</v>
      </c>
      <c r="AB81" s="1726">
        <v>19</v>
      </c>
      <c r="AC81" s="1725">
        <v>1</v>
      </c>
      <c r="AD81" s="1726">
        <v>1</v>
      </c>
      <c r="AE81" s="1725">
        <v>11</v>
      </c>
      <c r="AF81" s="1726">
        <v>4</v>
      </c>
      <c r="AG81" s="1725"/>
      <c r="AH81" s="1726"/>
      <c r="AI81" s="1725">
        <v>170</v>
      </c>
      <c r="AJ81" s="1726">
        <v>14</v>
      </c>
      <c r="AK81" s="1725"/>
      <c r="AL81" s="1726"/>
      <c r="AM81" s="1725"/>
      <c r="AN81" s="1726"/>
      <c r="AO81" s="1725"/>
      <c r="AP81" s="1726"/>
      <c r="AQ81" s="1725"/>
      <c r="AR81" s="1726"/>
      <c r="AS81" s="1725"/>
      <c r="AT81" s="1726"/>
      <c r="AU81" s="1725">
        <v>6</v>
      </c>
      <c r="AV81" s="1726">
        <v>5</v>
      </c>
      <c r="AW81" s="1725"/>
      <c r="AX81" s="1726"/>
    </row>
    <row r="82" spans="1:50" x14ac:dyDescent="0.25">
      <c r="A82" s="551" t="s">
        <v>160</v>
      </c>
      <c r="B82" s="552" t="s">
        <v>161</v>
      </c>
      <c r="C82" s="558" t="s">
        <v>264</v>
      </c>
      <c r="D82" s="1723">
        <v>940</v>
      </c>
      <c r="E82" s="1723">
        <v>113</v>
      </c>
      <c r="F82" s="1682">
        <f t="shared" si="1"/>
        <v>8.3185840707964598</v>
      </c>
      <c r="G82" s="1725">
        <v>222</v>
      </c>
      <c r="H82" s="1726">
        <v>10</v>
      </c>
      <c r="I82" s="1725">
        <v>1</v>
      </c>
      <c r="J82" s="1726">
        <v>1</v>
      </c>
      <c r="K82" s="1725"/>
      <c r="L82" s="1726"/>
      <c r="M82" s="1725">
        <v>281</v>
      </c>
      <c r="N82" s="1726">
        <v>27</v>
      </c>
      <c r="O82" s="1725"/>
      <c r="P82" s="1726"/>
      <c r="Q82" s="1725">
        <v>16</v>
      </c>
      <c r="R82" s="1726">
        <v>4</v>
      </c>
      <c r="S82" s="1725">
        <v>18</v>
      </c>
      <c r="T82" s="1726">
        <v>7</v>
      </c>
      <c r="U82" s="1725">
        <v>38</v>
      </c>
      <c r="V82" s="1726">
        <v>11</v>
      </c>
      <c r="W82" s="1725">
        <v>3</v>
      </c>
      <c r="X82" s="1726">
        <v>3</v>
      </c>
      <c r="Y82" s="1725"/>
      <c r="Z82" s="1726"/>
      <c r="AA82" s="1725">
        <v>166</v>
      </c>
      <c r="AB82" s="1726">
        <v>28</v>
      </c>
      <c r="AC82" s="1725">
        <v>3</v>
      </c>
      <c r="AD82" s="1726">
        <v>1</v>
      </c>
      <c r="AE82" s="1725"/>
      <c r="AF82" s="1726"/>
      <c r="AG82" s="1725"/>
      <c r="AH82" s="1726"/>
      <c r="AI82" s="1725">
        <v>181</v>
      </c>
      <c r="AJ82" s="1726">
        <v>14</v>
      </c>
      <c r="AK82" s="1725"/>
      <c r="AL82" s="1726"/>
      <c r="AM82" s="1725"/>
      <c r="AN82" s="1726"/>
      <c r="AO82" s="1725"/>
      <c r="AP82" s="1726"/>
      <c r="AQ82" s="1725"/>
      <c r="AR82" s="1726"/>
      <c r="AS82" s="1725"/>
      <c r="AT82" s="1726"/>
      <c r="AU82" s="1725">
        <v>11</v>
      </c>
      <c r="AV82" s="1726">
        <v>7</v>
      </c>
      <c r="AW82" s="1725"/>
      <c r="AX82" s="1726"/>
    </row>
    <row r="83" spans="1:50" x14ac:dyDescent="0.25">
      <c r="A83" s="551" t="s">
        <v>162</v>
      </c>
      <c r="B83" s="552" t="s">
        <v>163</v>
      </c>
      <c r="C83" s="558" t="s">
        <v>264</v>
      </c>
      <c r="D83" s="1723">
        <v>48</v>
      </c>
      <c r="E83" s="1723">
        <v>17</v>
      </c>
      <c r="F83" s="1682">
        <f t="shared" si="1"/>
        <v>2.8235294117647061</v>
      </c>
      <c r="G83" s="1725"/>
      <c r="H83" s="1726"/>
      <c r="I83" s="1725"/>
      <c r="J83" s="1726"/>
      <c r="K83" s="1725"/>
      <c r="L83" s="1726"/>
      <c r="M83" s="1725">
        <v>5</v>
      </c>
      <c r="N83" s="1726">
        <v>2</v>
      </c>
      <c r="O83" s="1725"/>
      <c r="P83" s="1726"/>
      <c r="Q83" s="1725">
        <v>7</v>
      </c>
      <c r="R83" s="1726">
        <v>2</v>
      </c>
      <c r="S83" s="1725">
        <v>1</v>
      </c>
      <c r="T83" s="1726">
        <v>1</v>
      </c>
      <c r="U83" s="1725">
        <v>8</v>
      </c>
      <c r="V83" s="1726">
        <v>2</v>
      </c>
      <c r="W83" s="1725">
        <v>2</v>
      </c>
      <c r="X83" s="1726">
        <v>1</v>
      </c>
      <c r="Y83" s="1725"/>
      <c r="Z83" s="1726"/>
      <c r="AA83" s="1725">
        <v>4</v>
      </c>
      <c r="AB83" s="1726">
        <v>2</v>
      </c>
      <c r="AC83" s="1725"/>
      <c r="AD83" s="1726"/>
      <c r="AE83" s="1725">
        <v>1</v>
      </c>
      <c r="AF83" s="1726">
        <v>1</v>
      </c>
      <c r="AG83" s="1725">
        <v>1</v>
      </c>
      <c r="AH83" s="1726">
        <v>1</v>
      </c>
      <c r="AI83" s="1725">
        <v>19</v>
      </c>
      <c r="AJ83" s="1726">
        <v>5</v>
      </c>
      <c r="AK83" s="1725"/>
      <c r="AL83" s="1726"/>
      <c r="AM83" s="1725"/>
      <c r="AN83" s="1726"/>
      <c r="AO83" s="1725"/>
      <c r="AP83" s="1726"/>
      <c r="AQ83" s="1725"/>
      <c r="AR83" s="1726"/>
      <c r="AS83" s="1725"/>
      <c r="AT83" s="1726"/>
      <c r="AU83" s="1725"/>
      <c r="AV83" s="1726"/>
      <c r="AW83" s="1725"/>
      <c r="AX83" s="1726"/>
    </row>
    <row r="84" spans="1:50" x14ac:dyDescent="0.25">
      <c r="A84" s="551" t="s">
        <v>164</v>
      </c>
      <c r="B84" s="552" t="s">
        <v>165</v>
      </c>
      <c r="C84" s="558" t="s">
        <v>266</v>
      </c>
      <c r="D84" s="1723">
        <v>53</v>
      </c>
      <c r="E84" s="1723">
        <v>12</v>
      </c>
      <c r="F84" s="1682">
        <f t="shared" si="1"/>
        <v>4.416666666666667</v>
      </c>
      <c r="G84" s="1725">
        <v>11</v>
      </c>
      <c r="H84" s="1726">
        <v>1</v>
      </c>
      <c r="I84" s="1725"/>
      <c r="J84" s="1726"/>
      <c r="K84" s="1725"/>
      <c r="L84" s="1726"/>
      <c r="M84" s="1725">
        <v>3</v>
      </c>
      <c r="N84" s="1726">
        <v>2</v>
      </c>
      <c r="O84" s="1725">
        <v>1</v>
      </c>
      <c r="P84" s="1726">
        <v>1</v>
      </c>
      <c r="Q84" s="1725"/>
      <c r="R84" s="1726"/>
      <c r="S84" s="1725">
        <v>12</v>
      </c>
      <c r="T84" s="1726">
        <v>3</v>
      </c>
      <c r="U84" s="1725">
        <v>21</v>
      </c>
      <c r="V84" s="1726">
        <v>3</v>
      </c>
      <c r="W84" s="1725"/>
      <c r="X84" s="1726"/>
      <c r="Y84" s="1725"/>
      <c r="Z84" s="1726"/>
      <c r="AA84" s="1725">
        <v>5</v>
      </c>
      <c r="AB84" s="1726">
        <v>2</v>
      </c>
      <c r="AC84" s="1725"/>
      <c r="AD84" s="1726"/>
      <c r="AE84" s="1725"/>
      <c r="AF84" s="1726"/>
      <c r="AG84" s="1725"/>
      <c r="AH84" s="1726"/>
      <c r="AI84" s="1725"/>
      <c r="AJ84" s="1726"/>
      <c r="AK84" s="1725"/>
      <c r="AL84" s="1726"/>
      <c r="AM84" s="1725"/>
      <c r="AN84" s="1726"/>
      <c r="AO84" s="1725"/>
      <c r="AP84" s="1726"/>
      <c r="AQ84" s="1725"/>
      <c r="AR84" s="1726"/>
      <c r="AS84" s="1725"/>
      <c r="AT84" s="1726"/>
      <c r="AU84" s="1725"/>
      <c r="AV84" s="1726"/>
      <c r="AW84" s="1725"/>
      <c r="AX84" s="1726"/>
    </row>
    <row r="85" spans="1:50" x14ac:dyDescent="0.25">
      <c r="A85" s="551" t="s">
        <v>166</v>
      </c>
      <c r="B85" s="552" t="s">
        <v>167</v>
      </c>
      <c r="C85" s="558" t="s">
        <v>268</v>
      </c>
      <c r="D85" s="1723">
        <v>34</v>
      </c>
      <c r="E85" s="1723">
        <v>7</v>
      </c>
      <c r="F85" s="1682">
        <f t="shared" si="1"/>
        <v>4.8571428571428568</v>
      </c>
      <c r="G85" s="1725">
        <v>15</v>
      </c>
      <c r="H85" s="1726">
        <v>2</v>
      </c>
      <c r="I85" s="1725"/>
      <c r="J85" s="1726"/>
      <c r="K85" s="1725"/>
      <c r="L85" s="1726"/>
      <c r="M85" s="1725">
        <v>13</v>
      </c>
      <c r="N85" s="1726">
        <v>4</v>
      </c>
      <c r="O85" s="1725"/>
      <c r="P85" s="1726"/>
      <c r="Q85" s="1725"/>
      <c r="R85" s="1726"/>
      <c r="S85" s="1725"/>
      <c r="T85" s="1726"/>
      <c r="U85" s="1725"/>
      <c r="V85" s="1726"/>
      <c r="W85" s="1725"/>
      <c r="X85" s="1726"/>
      <c r="Y85" s="1725"/>
      <c r="Z85" s="1726"/>
      <c r="AA85" s="1725">
        <v>6</v>
      </c>
      <c r="AB85" s="1726">
        <v>1</v>
      </c>
      <c r="AC85" s="1725"/>
      <c r="AD85" s="1726"/>
      <c r="AE85" s="1725"/>
      <c r="AF85" s="1726"/>
      <c r="AG85" s="1725"/>
      <c r="AH85" s="1726"/>
      <c r="AI85" s="1725"/>
      <c r="AJ85" s="1726"/>
      <c r="AK85" s="1725"/>
      <c r="AL85" s="1726"/>
      <c r="AM85" s="1725"/>
      <c r="AN85" s="1726"/>
      <c r="AO85" s="1725"/>
      <c r="AP85" s="1726"/>
      <c r="AQ85" s="1725"/>
      <c r="AR85" s="1726"/>
      <c r="AS85" s="1725"/>
      <c r="AT85" s="1726"/>
      <c r="AU85" s="1725"/>
      <c r="AV85" s="1726"/>
      <c r="AW85" s="1725"/>
      <c r="AX85" s="1726"/>
    </row>
    <row r="86" spans="1:50" x14ac:dyDescent="0.25">
      <c r="A86" s="551" t="s">
        <v>168</v>
      </c>
      <c r="B86" s="552" t="s">
        <v>169</v>
      </c>
      <c r="C86" s="558" t="s">
        <v>266</v>
      </c>
      <c r="D86" s="1723">
        <v>45</v>
      </c>
      <c r="E86" s="1723">
        <v>13</v>
      </c>
      <c r="F86" s="1682">
        <f t="shared" si="1"/>
        <v>3.4615384615384617</v>
      </c>
      <c r="G86" s="1725">
        <v>5</v>
      </c>
      <c r="H86" s="1726">
        <v>1</v>
      </c>
      <c r="I86" s="1725"/>
      <c r="J86" s="1726"/>
      <c r="K86" s="1725"/>
      <c r="L86" s="1726"/>
      <c r="M86" s="1725">
        <v>6</v>
      </c>
      <c r="N86" s="1726">
        <v>2</v>
      </c>
      <c r="O86" s="1725"/>
      <c r="P86" s="1726"/>
      <c r="Q86" s="1725">
        <v>13</v>
      </c>
      <c r="R86" s="1726">
        <v>3</v>
      </c>
      <c r="S86" s="1725">
        <v>2</v>
      </c>
      <c r="T86" s="1726">
        <v>2</v>
      </c>
      <c r="U86" s="1725">
        <v>4</v>
      </c>
      <c r="V86" s="1726">
        <v>2</v>
      </c>
      <c r="W86" s="1725"/>
      <c r="X86" s="1726"/>
      <c r="Y86" s="1725"/>
      <c r="Z86" s="1726"/>
      <c r="AA86" s="1725">
        <v>6</v>
      </c>
      <c r="AB86" s="1726">
        <v>1</v>
      </c>
      <c r="AC86" s="1725">
        <v>2</v>
      </c>
      <c r="AD86" s="1726">
        <v>1</v>
      </c>
      <c r="AE86" s="1725"/>
      <c r="AF86" s="1726"/>
      <c r="AG86" s="1725"/>
      <c r="AH86" s="1726"/>
      <c r="AI86" s="1725">
        <v>7</v>
      </c>
      <c r="AJ86" s="1726">
        <v>1</v>
      </c>
      <c r="AK86" s="1725"/>
      <c r="AL86" s="1726"/>
      <c r="AM86" s="1725"/>
      <c r="AN86" s="1726"/>
      <c r="AO86" s="1725"/>
      <c r="AP86" s="1726"/>
      <c r="AQ86" s="1725"/>
      <c r="AR86" s="1726"/>
      <c r="AS86" s="1725"/>
      <c r="AT86" s="1726"/>
      <c r="AU86" s="1725"/>
      <c r="AV86" s="1726"/>
      <c r="AW86" s="1725"/>
      <c r="AX86" s="1726"/>
    </row>
    <row r="87" spans="1:50" x14ac:dyDescent="0.25">
      <c r="A87" s="551" t="s">
        <v>170</v>
      </c>
      <c r="B87" s="552" t="s">
        <v>171</v>
      </c>
      <c r="C87" s="558" t="s">
        <v>267</v>
      </c>
      <c r="D87" s="1723">
        <v>97</v>
      </c>
      <c r="E87" s="1723">
        <v>26</v>
      </c>
      <c r="F87" s="1682">
        <f t="shared" si="1"/>
        <v>3.7307692307692308</v>
      </c>
      <c r="G87" s="1725">
        <v>21</v>
      </c>
      <c r="H87" s="1726">
        <v>1</v>
      </c>
      <c r="I87" s="1725"/>
      <c r="J87" s="1726"/>
      <c r="K87" s="1725"/>
      <c r="L87" s="1726"/>
      <c r="M87" s="1725">
        <v>4</v>
      </c>
      <c r="N87" s="1726">
        <v>2</v>
      </c>
      <c r="O87" s="1725">
        <v>1</v>
      </c>
      <c r="P87" s="1726">
        <v>1</v>
      </c>
      <c r="Q87" s="1725">
        <v>3</v>
      </c>
      <c r="R87" s="1726">
        <v>2</v>
      </c>
      <c r="S87" s="1725">
        <v>2</v>
      </c>
      <c r="T87" s="1726">
        <v>2</v>
      </c>
      <c r="U87" s="1725">
        <v>10</v>
      </c>
      <c r="V87" s="1726">
        <v>4</v>
      </c>
      <c r="W87" s="1725">
        <v>2</v>
      </c>
      <c r="X87" s="1726">
        <v>2</v>
      </c>
      <c r="Y87" s="1725"/>
      <c r="Z87" s="1726"/>
      <c r="AA87" s="1725">
        <v>46</v>
      </c>
      <c r="AB87" s="1726">
        <v>6</v>
      </c>
      <c r="AC87" s="1725"/>
      <c r="AD87" s="1726"/>
      <c r="AE87" s="1725">
        <v>4</v>
      </c>
      <c r="AF87" s="1726">
        <v>3</v>
      </c>
      <c r="AG87" s="1725"/>
      <c r="AH87" s="1726"/>
      <c r="AI87" s="1725"/>
      <c r="AJ87" s="1726"/>
      <c r="AK87" s="1725"/>
      <c r="AL87" s="1726"/>
      <c r="AM87" s="1725"/>
      <c r="AN87" s="1726"/>
      <c r="AO87" s="1725"/>
      <c r="AP87" s="1726"/>
      <c r="AQ87" s="1725"/>
      <c r="AR87" s="1726"/>
      <c r="AS87" s="1725"/>
      <c r="AT87" s="1726"/>
      <c r="AU87" s="1725">
        <v>4</v>
      </c>
      <c r="AV87" s="1726">
        <v>3</v>
      </c>
      <c r="AW87" s="1725"/>
      <c r="AX87" s="1726"/>
    </row>
    <row r="88" spans="1:50" x14ac:dyDescent="0.25">
      <c r="A88" s="557" t="s">
        <v>172</v>
      </c>
      <c r="B88" s="552" t="s">
        <v>173</v>
      </c>
      <c r="C88" s="558" t="s">
        <v>267</v>
      </c>
      <c r="D88" s="1723">
        <v>62</v>
      </c>
      <c r="E88" s="1723">
        <v>17</v>
      </c>
      <c r="F88" s="1682">
        <f t="shared" si="1"/>
        <v>3.6470588235294117</v>
      </c>
      <c r="G88" s="1725">
        <v>9</v>
      </c>
      <c r="H88" s="1726">
        <v>1</v>
      </c>
      <c r="I88" s="1725"/>
      <c r="J88" s="1726"/>
      <c r="K88" s="1725"/>
      <c r="L88" s="1726"/>
      <c r="M88" s="1725">
        <v>14</v>
      </c>
      <c r="N88" s="1726">
        <v>3</v>
      </c>
      <c r="O88" s="1725">
        <v>2</v>
      </c>
      <c r="P88" s="1726">
        <v>1</v>
      </c>
      <c r="Q88" s="1725"/>
      <c r="R88" s="1726"/>
      <c r="S88" s="1725">
        <v>2</v>
      </c>
      <c r="T88" s="1726">
        <v>2</v>
      </c>
      <c r="U88" s="1725"/>
      <c r="V88" s="1726"/>
      <c r="W88" s="1725"/>
      <c r="X88" s="1726"/>
      <c r="Y88" s="1725"/>
      <c r="Z88" s="1726"/>
      <c r="AA88" s="1725">
        <v>10</v>
      </c>
      <c r="AB88" s="1726">
        <v>3</v>
      </c>
      <c r="AC88" s="1725"/>
      <c r="AD88" s="1726"/>
      <c r="AE88" s="1725">
        <v>4</v>
      </c>
      <c r="AF88" s="1726">
        <v>2</v>
      </c>
      <c r="AG88" s="1725"/>
      <c r="AH88" s="1726"/>
      <c r="AI88" s="1725">
        <v>21</v>
      </c>
      <c r="AJ88" s="1726">
        <v>5</v>
      </c>
      <c r="AK88" s="1725"/>
      <c r="AL88" s="1726"/>
      <c r="AM88" s="1725"/>
      <c r="AN88" s="1726"/>
      <c r="AO88" s="1725"/>
      <c r="AP88" s="1726"/>
      <c r="AQ88" s="1725"/>
      <c r="AR88" s="1726"/>
      <c r="AS88" s="1725"/>
      <c r="AT88" s="1726"/>
      <c r="AU88" s="1725"/>
      <c r="AV88" s="1726"/>
      <c r="AW88" s="1725"/>
      <c r="AX88" s="1726"/>
    </row>
    <row r="89" spans="1:50" x14ac:dyDescent="0.25">
      <c r="A89" s="557" t="s">
        <v>174</v>
      </c>
      <c r="B89" s="552" t="s">
        <v>175</v>
      </c>
      <c r="C89" s="558" t="s">
        <v>268</v>
      </c>
      <c r="D89" s="1723">
        <v>51</v>
      </c>
      <c r="E89" s="1723">
        <v>17</v>
      </c>
      <c r="F89" s="1682">
        <f t="shared" si="1"/>
        <v>3</v>
      </c>
      <c r="G89" s="1725">
        <v>4</v>
      </c>
      <c r="H89" s="1726">
        <v>2</v>
      </c>
      <c r="I89" s="1725"/>
      <c r="J89" s="1726"/>
      <c r="K89" s="1725"/>
      <c r="L89" s="1726"/>
      <c r="M89" s="1725">
        <v>12</v>
      </c>
      <c r="N89" s="1726">
        <v>3</v>
      </c>
      <c r="O89" s="1725">
        <v>1</v>
      </c>
      <c r="P89" s="1726">
        <v>1</v>
      </c>
      <c r="Q89" s="1725"/>
      <c r="R89" s="1726"/>
      <c r="S89" s="1725">
        <v>11</v>
      </c>
      <c r="T89" s="1726">
        <v>4</v>
      </c>
      <c r="U89" s="1725">
        <v>2</v>
      </c>
      <c r="V89" s="1726">
        <v>1</v>
      </c>
      <c r="W89" s="1725"/>
      <c r="X89" s="1726"/>
      <c r="Y89" s="1725"/>
      <c r="Z89" s="1726"/>
      <c r="AA89" s="1725">
        <v>13</v>
      </c>
      <c r="AB89" s="1726">
        <v>2</v>
      </c>
      <c r="AC89" s="1725">
        <v>3</v>
      </c>
      <c r="AD89" s="1726">
        <v>1</v>
      </c>
      <c r="AE89" s="1725"/>
      <c r="AF89" s="1726"/>
      <c r="AG89" s="1725"/>
      <c r="AH89" s="1726"/>
      <c r="AI89" s="1725">
        <v>2</v>
      </c>
      <c r="AJ89" s="1726">
        <v>1</v>
      </c>
      <c r="AK89" s="1725"/>
      <c r="AL89" s="1726"/>
      <c r="AM89" s="1725"/>
      <c r="AN89" s="1726"/>
      <c r="AO89" s="1725"/>
      <c r="AP89" s="1726"/>
      <c r="AQ89" s="1725"/>
      <c r="AR89" s="1726"/>
      <c r="AS89" s="1725"/>
      <c r="AT89" s="1726"/>
      <c r="AU89" s="1725">
        <v>3</v>
      </c>
      <c r="AV89" s="1726">
        <v>2</v>
      </c>
      <c r="AW89" s="1725"/>
      <c r="AX89" s="1726"/>
    </row>
    <row r="90" spans="1:50" x14ac:dyDescent="0.25">
      <c r="A90" s="551" t="s">
        <v>176</v>
      </c>
      <c r="B90" s="552" t="s">
        <v>177</v>
      </c>
      <c r="C90" s="558" t="s">
        <v>266</v>
      </c>
      <c r="D90" s="1723">
        <v>261</v>
      </c>
      <c r="E90" s="1723">
        <v>47</v>
      </c>
      <c r="F90" s="1682">
        <f t="shared" si="1"/>
        <v>5.5531914893617023</v>
      </c>
      <c r="G90" s="1725">
        <v>117</v>
      </c>
      <c r="H90" s="1726">
        <v>4</v>
      </c>
      <c r="I90" s="1725"/>
      <c r="J90" s="1726"/>
      <c r="K90" s="1725"/>
      <c r="L90" s="1726"/>
      <c r="M90" s="1725">
        <v>14</v>
      </c>
      <c r="N90" s="1726">
        <v>6</v>
      </c>
      <c r="O90" s="1725">
        <v>1</v>
      </c>
      <c r="P90" s="1726">
        <v>1</v>
      </c>
      <c r="Q90" s="1725">
        <v>2</v>
      </c>
      <c r="R90" s="1726">
        <v>2</v>
      </c>
      <c r="S90" s="1725">
        <v>11</v>
      </c>
      <c r="T90" s="1726">
        <v>4</v>
      </c>
      <c r="U90" s="1725">
        <v>45</v>
      </c>
      <c r="V90" s="1726">
        <v>7</v>
      </c>
      <c r="W90" s="1725">
        <v>3</v>
      </c>
      <c r="X90" s="1726">
        <v>3</v>
      </c>
      <c r="Y90" s="1725"/>
      <c r="Z90" s="1726"/>
      <c r="AA90" s="1725">
        <v>38</v>
      </c>
      <c r="AB90" s="1726">
        <v>8</v>
      </c>
      <c r="AC90" s="1725">
        <v>10</v>
      </c>
      <c r="AD90" s="1726">
        <v>2</v>
      </c>
      <c r="AE90" s="1725"/>
      <c r="AF90" s="1726"/>
      <c r="AG90" s="1725"/>
      <c r="AH90" s="1726"/>
      <c r="AI90" s="1725">
        <v>16</v>
      </c>
      <c r="AJ90" s="1726">
        <v>7</v>
      </c>
      <c r="AK90" s="1725">
        <v>1</v>
      </c>
      <c r="AL90" s="1726">
        <v>1</v>
      </c>
      <c r="AM90" s="1725"/>
      <c r="AN90" s="1726"/>
      <c r="AO90" s="1725"/>
      <c r="AP90" s="1726"/>
      <c r="AQ90" s="1725"/>
      <c r="AR90" s="1726"/>
      <c r="AS90" s="1725"/>
      <c r="AT90" s="1726"/>
      <c r="AU90" s="1725">
        <v>3</v>
      </c>
      <c r="AV90" s="1726">
        <v>2</v>
      </c>
      <c r="AW90" s="1725"/>
      <c r="AX90" s="1726"/>
    </row>
    <row r="91" spans="1:50" x14ac:dyDescent="0.25">
      <c r="A91" s="551" t="s">
        <v>178</v>
      </c>
      <c r="B91" s="552" t="s">
        <v>179</v>
      </c>
      <c r="C91" s="558" t="s">
        <v>265</v>
      </c>
      <c r="D91" s="1723">
        <v>285</v>
      </c>
      <c r="E91" s="1723">
        <v>51</v>
      </c>
      <c r="F91" s="1682">
        <f t="shared" si="1"/>
        <v>5.5882352941176467</v>
      </c>
      <c r="G91" s="1725">
        <v>14</v>
      </c>
      <c r="H91" s="1726">
        <v>2</v>
      </c>
      <c r="I91" s="1725"/>
      <c r="J91" s="1726"/>
      <c r="K91" s="1725"/>
      <c r="L91" s="1726"/>
      <c r="M91" s="1725">
        <v>47</v>
      </c>
      <c r="N91" s="1726">
        <v>11</v>
      </c>
      <c r="O91" s="1725"/>
      <c r="P91" s="1726"/>
      <c r="Q91" s="1725">
        <v>4</v>
      </c>
      <c r="R91" s="1726">
        <v>1</v>
      </c>
      <c r="S91" s="1725">
        <v>108</v>
      </c>
      <c r="T91" s="1726">
        <v>9</v>
      </c>
      <c r="U91" s="1725">
        <v>54</v>
      </c>
      <c r="V91" s="1726">
        <v>12</v>
      </c>
      <c r="W91" s="1725">
        <v>2</v>
      </c>
      <c r="X91" s="1726">
        <v>2</v>
      </c>
      <c r="Y91" s="1725"/>
      <c r="Z91" s="1726"/>
      <c r="AA91" s="1725">
        <v>37</v>
      </c>
      <c r="AB91" s="1726">
        <v>6</v>
      </c>
      <c r="AC91" s="1725">
        <v>6</v>
      </c>
      <c r="AD91" s="1726">
        <v>1</v>
      </c>
      <c r="AE91" s="1725"/>
      <c r="AF91" s="1726"/>
      <c r="AG91" s="1725"/>
      <c r="AH91" s="1726"/>
      <c r="AI91" s="1725">
        <v>1</v>
      </c>
      <c r="AJ91" s="1726">
        <v>1</v>
      </c>
      <c r="AK91" s="1725"/>
      <c r="AL91" s="1726"/>
      <c r="AM91" s="1725"/>
      <c r="AN91" s="1726"/>
      <c r="AO91" s="1725"/>
      <c r="AP91" s="1726"/>
      <c r="AQ91" s="1725"/>
      <c r="AR91" s="1726"/>
      <c r="AS91" s="1725">
        <v>4</v>
      </c>
      <c r="AT91" s="1726">
        <v>2</v>
      </c>
      <c r="AU91" s="1725">
        <v>6</v>
      </c>
      <c r="AV91" s="1726">
        <v>4</v>
      </c>
      <c r="AW91" s="1725">
        <v>2</v>
      </c>
      <c r="AX91" s="1726">
        <v>0</v>
      </c>
    </row>
    <row r="92" spans="1:50" x14ac:dyDescent="0.25">
      <c r="A92" s="551" t="s">
        <v>180</v>
      </c>
      <c r="B92" s="552" t="s">
        <v>181</v>
      </c>
      <c r="C92" s="558" t="s">
        <v>264</v>
      </c>
      <c r="D92" s="1723">
        <v>323</v>
      </c>
      <c r="E92" s="1723">
        <v>63</v>
      </c>
      <c r="F92" s="1682">
        <f t="shared" si="1"/>
        <v>5.1269841269841274</v>
      </c>
      <c r="G92" s="1725">
        <v>93</v>
      </c>
      <c r="H92" s="1726">
        <v>6</v>
      </c>
      <c r="I92" s="1725"/>
      <c r="J92" s="1726"/>
      <c r="K92" s="1725"/>
      <c r="L92" s="1726"/>
      <c r="M92" s="1725">
        <v>56</v>
      </c>
      <c r="N92" s="1726">
        <v>8</v>
      </c>
      <c r="O92" s="1725">
        <v>2</v>
      </c>
      <c r="P92" s="1726">
        <v>2</v>
      </c>
      <c r="Q92" s="1725">
        <v>20</v>
      </c>
      <c r="R92" s="1726">
        <v>14</v>
      </c>
      <c r="S92" s="1725">
        <v>22</v>
      </c>
      <c r="T92" s="1726">
        <v>6</v>
      </c>
      <c r="U92" s="1725">
        <v>14</v>
      </c>
      <c r="V92" s="1726">
        <v>6</v>
      </c>
      <c r="W92" s="1725">
        <v>3</v>
      </c>
      <c r="X92" s="1726">
        <v>2</v>
      </c>
      <c r="Y92" s="1725"/>
      <c r="Z92" s="1726"/>
      <c r="AA92" s="1725">
        <v>88</v>
      </c>
      <c r="AB92" s="1726">
        <v>13</v>
      </c>
      <c r="AC92" s="1725">
        <v>21</v>
      </c>
      <c r="AD92" s="1726">
        <v>2</v>
      </c>
      <c r="AE92" s="1725">
        <v>1</v>
      </c>
      <c r="AF92" s="1726">
        <v>1</v>
      </c>
      <c r="AG92" s="1725"/>
      <c r="AH92" s="1726"/>
      <c r="AI92" s="1725">
        <v>1</v>
      </c>
      <c r="AJ92" s="1726">
        <v>1</v>
      </c>
      <c r="AK92" s="1725"/>
      <c r="AL92" s="1726"/>
      <c r="AM92" s="1725"/>
      <c r="AN92" s="1726"/>
      <c r="AO92" s="1725"/>
      <c r="AP92" s="1726"/>
      <c r="AQ92" s="1725"/>
      <c r="AR92" s="1726"/>
      <c r="AS92" s="1725"/>
      <c r="AT92" s="1726"/>
      <c r="AU92" s="1725">
        <v>2</v>
      </c>
      <c r="AV92" s="1726">
        <v>2</v>
      </c>
      <c r="AW92" s="1725"/>
      <c r="AX92" s="1726"/>
    </row>
    <row r="93" spans="1:50" x14ac:dyDescent="0.25">
      <c r="A93" s="551" t="s">
        <v>182</v>
      </c>
      <c r="B93" s="552" t="s">
        <v>183</v>
      </c>
      <c r="C93" s="558" t="s">
        <v>266</v>
      </c>
      <c r="D93" s="1723">
        <v>29</v>
      </c>
      <c r="E93" s="1723">
        <v>14</v>
      </c>
      <c r="F93" s="1682">
        <f t="shared" si="1"/>
        <v>2.0714285714285716</v>
      </c>
      <c r="G93" s="1725">
        <v>3</v>
      </c>
      <c r="H93" s="1726">
        <v>2</v>
      </c>
      <c r="I93" s="1725"/>
      <c r="J93" s="1726"/>
      <c r="K93" s="1725"/>
      <c r="L93" s="1726"/>
      <c r="M93" s="1725">
        <v>1</v>
      </c>
      <c r="N93" s="1726">
        <v>1</v>
      </c>
      <c r="O93" s="1725"/>
      <c r="P93" s="1726"/>
      <c r="Q93" s="1725">
        <v>1</v>
      </c>
      <c r="R93" s="1726">
        <v>1</v>
      </c>
      <c r="S93" s="1725">
        <v>2</v>
      </c>
      <c r="T93" s="1726">
        <v>2</v>
      </c>
      <c r="U93" s="1725">
        <v>9</v>
      </c>
      <c r="V93" s="1726">
        <v>3</v>
      </c>
      <c r="W93" s="1725"/>
      <c r="X93" s="1726"/>
      <c r="Y93" s="1725"/>
      <c r="Z93" s="1726"/>
      <c r="AA93" s="1725">
        <v>9</v>
      </c>
      <c r="AB93" s="1726">
        <v>2</v>
      </c>
      <c r="AC93" s="1725"/>
      <c r="AD93" s="1726"/>
      <c r="AE93" s="1725">
        <v>2</v>
      </c>
      <c r="AF93" s="1726">
        <v>1</v>
      </c>
      <c r="AG93" s="1725">
        <v>1</v>
      </c>
      <c r="AH93" s="1726">
        <v>1</v>
      </c>
      <c r="AI93" s="1725">
        <v>1</v>
      </c>
      <c r="AJ93" s="1726">
        <v>1</v>
      </c>
      <c r="AK93" s="1725"/>
      <c r="AL93" s="1726"/>
      <c r="AM93" s="1725"/>
      <c r="AN93" s="1726"/>
      <c r="AO93" s="1725"/>
      <c r="AP93" s="1726"/>
      <c r="AQ93" s="1725"/>
      <c r="AR93" s="1726"/>
      <c r="AS93" s="1725"/>
      <c r="AT93" s="1726"/>
      <c r="AU93" s="1725"/>
      <c r="AV93" s="1726"/>
      <c r="AW93" s="1725"/>
      <c r="AX93" s="1726"/>
    </row>
    <row r="94" spans="1:50" x14ac:dyDescent="0.25">
      <c r="A94" s="551" t="s">
        <v>184</v>
      </c>
      <c r="B94" s="552" t="s">
        <v>185</v>
      </c>
      <c r="C94" s="558" t="s">
        <v>266</v>
      </c>
      <c r="D94" s="1723">
        <v>59</v>
      </c>
      <c r="E94" s="1723">
        <v>10</v>
      </c>
      <c r="F94" s="1682">
        <f t="shared" si="1"/>
        <v>5.9</v>
      </c>
      <c r="G94" s="1725">
        <v>28</v>
      </c>
      <c r="H94" s="1726">
        <v>2</v>
      </c>
      <c r="I94" s="1725"/>
      <c r="J94" s="1726"/>
      <c r="K94" s="1725"/>
      <c r="L94" s="1726"/>
      <c r="M94" s="1725">
        <v>11</v>
      </c>
      <c r="N94" s="1726">
        <v>1</v>
      </c>
      <c r="O94" s="1725"/>
      <c r="P94" s="1726"/>
      <c r="Q94" s="1725">
        <v>3</v>
      </c>
      <c r="R94" s="1726">
        <v>2</v>
      </c>
      <c r="S94" s="1725">
        <v>5</v>
      </c>
      <c r="T94" s="1726">
        <v>1</v>
      </c>
      <c r="U94" s="1725">
        <v>2</v>
      </c>
      <c r="V94" s="1726">
        <v>1</v>
      </c>
      <c r="W94" s="1725"/>
      <c r="X94" s="1726"/>
      <c r="Y94" s="1725"/>
      <c r="Z94" s="1726"/>
      <c r="AA94" s="1725">
        <v>9</v>
      </c>
      <c r="AB94" s="1726">
        <v>2</v>
      </c>
      <c r="AC94" s="1725"/>
      <c r="AD94" s="1726"/>
      <c r="AE94" s="1725"/>
      <c r="AF94" s="1726"/>
      <c r="AG94" s="1725"/>
      <c r="AH94" s="1726"/>
      <c r="AI94" s="1725">
        <v>1</v>
      </c>
      <c r="AJ94" s="1726">
        <v>1</v>
      </c>
      <c r="AK94" s="1725"/>
      <c r="AL94" s="1726"/>
      <c r="AM94" s="1725"/>
      <c r="AN94" s="1726"/>
      <c r="AO94" s="1725"/>
      <c r="AP94" s="1726"/>
      <c r="AQ94" s="1725"/>
      <c r="AR94" s="1726"/>
      <c r="AS94" s="1725"/>
      <c r="AT94" s="1726"/>
      <c r="AU94" s="1725"/>
      <c r="AV94" s="1726"/>
      <c r="AW94" s="1725"/>
      <c r="AX94" s="1726"/>
    </row>
    <row r="95" spans="1:50" x14ac:dyDescent="0.25">
      <c r="A95" s="551" t="s">
        <v>186</v>
      </c>
      <c r="B95" s="552" t="s">
        <v>187</v>
      </c>
      <c r="C95" s="558" t="s">
        <v>264</v>
      </c>
      <c r="D95" s="1723">
        <v>110</v>
      </c>
      <c r="E95" s="1723">
        <v>34</v>
      </c>
      <c r="F95" s="1682">
        <f t="shared" si="1"/>
        <v>3.2352941176470589</v>
      </c>
      <c r="G95" s="1725">
        <v>23</v>
      </c>
      <c r="H95" s="1726">
        <v>3</v>
      </c>
      <c r="I95" s="1725"/>
      <c r="J95" s="1726"/>
      <c r="K95" s="1725"/>
      <c r="L95" s="1726"/>
      <c r="M95" s="1725">
        <v>20</v>
      </c>
      <c r="N95" s="1726">
        <v>7</v>
      </c>
      <c r="O95" s="1725">
        <v>1</v>
      </c>
      <c r="P95" s="1726">
        <v>1</v>
      </c>
      <c r="Q95" s="1725">
        <v>3</v>
      </c>
      <c r="R95" s="1726">
        <v>1</v>
      </c>
      <c r="S95" s="1725">
        <v>9</v>
      </c>
      <c r="T95" s="1726">
        <v>5</v>
      </c>
      <c r="U95" s="1725">
        <v>8</v>
      </c>
      <c r="V95" s="1726">
        <v>2</v>
      </c>
      <c r="W95" s="1725">
        <v>2</v>
      </c>
      <c r="X95" s="1726">
        <v>1</v>
      </c>
      <c r="Y95" s="1725"/>
      <c r="Z95" s="1726"/>
      <c r="AA95" s="1725">
        <v>24</v>
      </c>
      <c r="AB95" s="1726">
        <v>4</v>
      </c>
      <c r="AC95" s="1725">
        <v>3</v>
      </c>
      <c r="AD95" s="1726">
        <v>2</v>
      </c>
      <c r="AE95" s="1725"/>
      <c r="AF95" s="1726"/>
      <c r="AG95" s="1725"/>
      <c r="AH95" s="1726"/>
      <c r="AI95" s="1725">
        <v>12</v>
      </c>
      <c r="AJ95" s="1726">
        <v>4</v>
      </c>
      <c r="AK95" s="1725"/>
      <c r="AL95" s="1726"/>
      <c r="AM95" s="1725"/>
      <c r="AN95" s="1726"/>
      <c r="AO95" s="1725"/>
      <c r="AP95" s="1726"/>
      <c r="AQ95" s="1725">
        <v>1</v>
      </c>
      <c r="AR95" s="1726">
        <v>1</v>
      </c>
      <c r="AS95" s="1725">
        <v>1</v>
      </c>
      <c r="AT95" s="1726">
        <v>1</v>
      </c>
      <c r="AU95" s="1725">
        <v>2</v>
      </c>
      <c r="AV95" s="1726">
        <v>2</v>
      </c>
      <c r="AW95" s="1725">
        <v>1</v>
      </c>
      <c r="AX95" s="1726">
        <v>0</v>
      </c>
    </row>
    <row r="96" spans="1:50" x14ac:dyDescent="0.25">
      <c r="A96" s="551" t="s">
        <v>188</v>
      </c>
      <c r="B96" s="552" t="s">
        <v>189</v>
      </c>
      <c r="C96" s="558" t="s">
        <v>267</v>
      </c>
      <c r="D96" s="1723">
        <v>1060</v>
      </c>
      <c r="E96" s="1723">
        <v>82</v>
      </c>
      <c r="F96" s="1682">
        <f t="shared" si="1"/>
        <v>12.926829268292684</v>
      </c>
      <c r="G96" s="1725">
        <v>138</v>
      </c>
      <c r="H96" s="1726">
        <v>2</v>
      </c>
      <c r="I96" s="1725"/>
      <c r="J96" s="1726"/>
      <c r="K96" s="1725"/>
      <c r="L96" s="1726"/>
      <c r="M96" s="1725">
        <v>157</v>
      </c>
      <c r="N96" s="1726">
        <v>15</v>
      </c>
      <c r="O96" s="1725">
        <v>6</v>
      </c>
      <c r="P96" s="1726">
        <v>4</v>
      </c>
      <c r="Q96" s="1725">
        <v>45</v>
      </c>
      <c r="R96" s="1726">
        <v>5</v>
      </c>
      <c r="S96" s="1725">
        <v>109</v>
      </c>
      <c r="T96" s="1726">
        <v>10</v>
      </c>
      <c r="U96" s="1725">
        <v>40</v>
      </c>
      <c r="V96" s="1726">
        <v>6</v>
      </c>
      <c r="W96" s="1725"/>
      <c r="X96" s="1726"/>
      <c r="Y96" s="1725"/>
      <c r="Z96" s="1726"/>
      <c r="AA96" s="1725">
        <v>100</v>
      </c>
      <c r="AB96" s="1726">
        <v>14</v>
      </c>
      <c r="AC96" s="1725">
        <v>63</v>
      </c>
      <c r="AD96" s="1726">
        <v>1</v>
      </c>
      <c r="AE96" s="1725">
        <v>19</v>
      </c>
      <c r="AF96" s="1726">
        <v>7</v>
      </c>
      <c r="AG96" s="1725">
        <v>2</v>
      </c>
      <c r="AH96" s="1726">
        <v>2</v>
      </c>
      <c r="AI96" s="1725">
        <v>372</v>
      </c>
      <c r="AJ96" s="1726">
        <v>11</v>
      </c>
      <c r="AK96" s="1725"/>
      <c r="AL96" s="1726"/>
      <c r="AM96" s="1725"/>
      <c r="AN96" s="1726"/>
      <c r="AO96" s="1725"/>
      <c r="AP96" s="1726"/>
      <c r="AQ96" s="1725"/>
      <c r="AR96" s="1726"/>
      <c r="AS96" s="1725"/>
      <c r="AT96" s="1726"/>
      <c r="AU96" s="1725">
        <v>9</v>
      </c>
      <c r="AV96" s="1726">
        <v>5</v>
      </c>
      <c r="AW96" s="1725"/>
      <c r="AX96" s="1726"/>
    </row>
    <row r="97" spans="1:50" x14ac:dyDescent="0.25">
      <c r="A97" s="551" t="s">
        <v>190</v>
      </c>
      <c r="B97" s="552" t="s">
        <v>191</v>
      </c>
      <c r="C97" s="558" t="s">
        <v>268</v>
      </c>
      <c r="D97" s="1723">
        <v>332</v>
      </c>
      <c r="E97" s="1723">
        <v>36</v>
      </c>
      <c r="F97" s="1682">
        <f t="shared" si="1"/>
        <v>9.2222222222222214</v>
      </c>
      <c r="G97" s="1725">
        <v>59</v>
      </c>
      <c r="H97" s="1726">
        <v>2</v>
      </c>
      <c r="I97" s="1725"/>
      <c r="J97" s="1726"/>
      <c r="K97" s="1725"/>
      <c r="L97" s="1726"/>
      <c r="M97" s="1725">
        <v>160</v>
      </c>
      <c r="N97" s="1726">
        <v>7</v>
      </c>
      <c r="O97" s="1725">
        <v>3</v>
      </c>
      <c r="P97" s="1726">
        <v>3</v>
      </c>
      <c r="Q97" s="1725">
        <v>4</v>
      </c>
      <c r="R97" s="1726">
        <v>4</v>
      </c>
      <c r="S97" s="1725"/>
      <c r="T97" s="1726"/>
      <c r="U97" s="1725">
        <v>30</v>
      </c>
      <c r="V97" s="1726">
        <v>7</v>
      </c>
      <c r="W97" s="1725">
        <v>2</v>
      </c>
      <c r="X97" s="1726">
        <v>2</v>
      </c>
      <c r="Y97" s="1725"/>
      <c r="Z97" s="1726"/>
      <c r="AA97" s="1725">
        <v>71</v>
      </c>
      <c r="AB97" s="1726">
        <v>8</v>
      </c>
      <c r="AC97" s="1725"/>
      <c r="AD97" s="1726"/>
      <c r="AE97" s="1725">
        <v>2</v>
      </c>
      <c r="AF97" s="1726">
        <v>2</v>
      </c>
      <c r="AG97" s="1725"/>
      <c r="AH97" s="1726"/>
      <c r="AI97" s="1725"/>
      <c r="AJ97" s="1726"/>
      <c r="AK97" s="1725"/>
      <c r="AL97" s="1726"/>
      <c r="AM97" s="1725"/>
      <c r="AN97" s="1726"/>
      <c r="AO97" s="1725"/>
      <c r="AP97" s="1726"/>
      <c r="AQ97" s="1725"/>
      <c r="AR97" s="1726"/>
      <c r="AS97" s="1725"/>
      <c r="AT97" s="1726"/>
      <c r="AU97" s="1725">
        <v>1</v>
      </c>
      <c r="AV97" s="1726">
        <v>1</v>
      </c>
      <c r="AW97" s="1725"/>
      <c r="AX97" s="1726"/>
    </row>
    <row r="98" spans="1:50" x14ac:dyDescent="0.25">
      <c r="A98" s="551" t="s">
        <v>192</v>
      </c>
      <c r="B98" s="552" t="s">
        <v>193</v>
      </c>
      <c r="C98" s="558" t="s">
        <v>268</v>
      </c>
      <c r="D98" s="1723">
        <v>60</v>
      </c>
      <c r="E98" s="1723">
        <v>8</v>
      </c>
      <c r="F98" s="1682">
        <f t="shared" si="1"/>
        <v>7.5</v>
      </c>
      <c r="G98" s="1725">
        <v>24</v>
      </c>
      <c r="H98" s="1726">
        <v>1</v>
      </c>
      <c r="I98" s="1725"/>
      <c r="J98" s="1726"/>
      <c r="K98" s="1725"/>
      <c r="L98" s="1726"/>
      <c r="M98" s="1725">
        <v>17</v>
      </c>
      <c r="N98" s="1726">
        <v>2</v>
      </c>
      <c r="O98" s="1725"/>
      <c r="P98" s="1726"/>
      <c r="Q98" s="1725"/>
      <c r="R98" s="1726"/>
      <c r="S98" s="1725">
        <v>2</v>
      </c>
      <c r="T98" s="1726">
        <v>1</v>
      </c>
      <c r="U98" s="1725"/>
      <c r="V98" s="1726"/>
      <c r="W98" s="1725"/>
      <c r="X98" s="1726"/>
      <c r="Y98" s="1725"/>
      <c r="Z98" s="1726"/>
      <c r="AA98" s="1725">
        <v>15</v>
      </c>
      <c r="AB98" s="1726">
        <v>3</v>
      </c>
      <c r="AC98" s="1725"/>
      <c r="AD98" s="1726"/>
      <c r="AE98" s="1725">
        <v>2</v>
      </c>
      <c r="AF98" s="1726">
        <v>1</v>
      </c>
      <c r="AG98" s="1725"/>
      <c r="AH98" s="1726"/>
      <c r="AI98" s="1725"/>
      <c r="AJ98" s="1726"/>
      <c r="AK98" s="1725"/>
      <c r="AL98" s="1726"/>
      <c r="AM98" s="1725"/>
      <c r="AN98" s="1726"/>
      <c r="AO98" s="1725"/>
      <c r="AP98" s="1726"/>
      <c r="AQ98" s="1725"/>
      <c r="AR98" s="1726"/>
      <c r="AS98" s="1725"/>
      <c r="AT98" s="1726"/>
      <c r="AU98" s="1725"/>
      <c r="AV98" s="1726"/>
      <c r="AW98" s="1725"/>
      <c r="AX98" s="1726"/>
    </row>
    <row r="99" spans="1:50" x14ac:dyDescent="0.25">
      <c r="A99" s="551" t="s">
        <v>194</v>
      </c>
      <c r="B99" s="552" t="s">
        <v>195</v>
      </c>
      <c r="C99" s="558" t="s">
        <v>267</v>
      </c>
      <c r="D99" s="1723">
        <v>46</v>
      </c>
      <c r="E99" s="1723">
        <v>13</v>
      </c>
      <c r="F99" s="1682">
        <f t="shared" si="1"/>
        <v>3.5384615384615383</v>
      </c>
      <c r="G99" s="1725">
        <v>16</v>
      </c>
      <c r="H99" s="1726">
        <v>2</v>
      </c>
      <c r="I99" s="1725">
        <v>3</v>
      </c>
      <c r="J99" s="1726">
        <v>1</v>
      </c>
      <c r="K99" s="1725"/>
      <c r="L99" s="1726"/>
      <c r="M99" s="1725">
        <v>2</v>
      </c>
      <c r="N99" s="1726">
        <v>1</v>
      </c>
      <c r="O99" s="1725">
        <v>1</v>
      </c>
      <c r="P99" s="1726">
        <v>1</v>
      </c>
      <c r="Q99" s="1725"/>
      <c r="R99" s="1726"/>
      <c r="S99" s="1725">
        <v>1</v>
      </c>
      <c r="T99" s="1726">
        <v>1</v>
      </c>
      <c r="U99" s="1725"/>
      <c r="V99" s="1726"/>
      <c r="W99" s="1725">
        <v>1</v>
      </c>
      <c r="X99" s="1726">
        <v>1</v>
      </c>
      <c r="Y99" s="1725"/>
      <c r="Z99" s="1726"/>
      <c r="AA99" s="1725">
        <v>17</v>
      </c>
      <c r="AB99" s="1726">
        <v>3</v>
      </c>
      <c r="AC99" s="1725"/>
      <c r="AD99" s="1726"/>
      <c r="AE99" s="1725">
        <v>4</v>
      </c>
      <c r="AF99" s="1726">
        <v>2</v>
      </c>
      <c r="AG99" s="1725"/>
      <c r="AH99" s="1726"/>
      <c r="AI99" s="1725"/>
      <c r="AJ99" s="1726"/>
      <c r="AK99" s="1725"/>
      <c r="AL99" s="1726"/>
      <c r="AM99" s="1725"/>
      <c r="AN99" s="1726"/>
      <c r="AO99" s="1725"/>
      <c r="AP99" s="1726"/>
      <c r="AQ99" s="1725"/>
      <c r="AR99" s="1726"/>
      <c r="AS99" s="1725"/>
      <c r="AT99" s="1726"/>
      <c r="AU99" s="1725">
        <v>1</v>
      </c>
      <c r="AV99" s="1726">
        <v>1</v>
      </c>
      <c r="AW99" s="1725"/>
      <c r="AX99" s="1726"/>
    </row>
    <row r="100" spans="1:50" x14ac:dyDescent="0.25">
      <c r="A100" s="551" t="s">
        <v>196</v>
      </c>
      <c r="B100" s="552" t="s">
        <v>197</v>
      </c>
      <c r="C100" s="558" t="s">
        <v>266</v>
      </c>
      <c r="D100" s="1723">
        <v>1789</v>
      </c>
      <c r="E100" s="1723">
        <v>150</v>
      </c>
      <c r="F100" s="1682">
        <f t="shared" si="1"/>
        <v>11.926666666666666</v>
      </c>
      <c r="G100" s="1725">
        <v>336</v>
      </c>
      <c r="H100" s="1726">
        <v>4</v>
      </c>
      <c r="I100" s="1725">
        <v>3</v>
      </c>
      <c r="J100" s="1726">
        <v>1</v>
      </c>
      <c r="K100" s="1725">
        <v>1</v>
      </c>
      <c r="L100" s="1726">
        <v>1</v>
      </c>
      <c r="M100" s="1725">
        <v>166</v>
      </c>
      <c r="N100" s="1726">
        <v>22</v>
      </c>
      <c r="O100" s="1725">
        <v>7</v>
      </c>
      <c r="P100" s="1726">
        <v>6</v>
      </c>
      <c r="Q100" s="1725">
        <v>28</v>
      </c>
      <c r="R100" s="1726">
        <v>16</v>
      </c>
      <c r="S100" s="1725">
        <v>214</v>
      </c>
      <c r="T100" s="1726">
        <v>20</v>
      </c>
      <c r="U100" s="1725">
        <v>16</v>
      </c>
      <c r="V100" s="1726">
        <v>8</v>
      </c>
      <c r="W100" s="1725">
        <v>5</v>
      </c>
      <c r="X100" s="1726">
        <v>4</v>
      </c>
      <c r="Y100" s="1725">
        <v>1</v>
      </c>
      <c r="Z100" s="1726">
        <v>1</v>
      </c>
      <c r="AA100" s="1725">
        <v>334</v>
      </c>
      <c r="AB100" s="1726">
        <v>31</v>
      </c>
      <c r="AC100" s="1725">
        <v>16</v>
      </c>
      <c r="AD100" s="1726">
        <v>3</v>
      </c>
      <c r="AE100" s="1725">
        <v>3</v>
      </c>
      <c r="AF100" s="1726">
        <v>3</v>
      </c>
      <c r="AG100" s="1725">
        <v>4</v>
      </c>
      <c r="AH100" s="1726">
        <v>1</v>
      </c>
      <c r="AI100" s="1725">
        <v>641</v>
      </c>
      <c r="AJ100" s="1726">
        <v>19</v>
      </c>
      <c r="AK100" s="1725"/>
      <c r="AL100" s="1726"/>
      <c r="AM100" s="1725"/>
      <c r="AN100" s="1726"/>
      <c r="AO100" s="1725"/>
      <c r="AP100" s="1726"/>
      <c r="AQ100" s="1725"/>
      <c r="AR100" s="1726"/>
      <c r="AS100" s="1725">
        <v>2</v>
      </c>
      <c r="AT100" s="1726">
        <v>2</v>
      </c>
      <c r="AU100" s="1725">
        <v>12</v>
      </c>
      <c r="AV100" s="1726">
        <v>8</v>
      </c>
      <c r="AW100" s="1725"/>
      <c r="AX100" s="1726"/>
    </row>
    <row r="101" spans="1:50" x14ac:dyDescent="0.25">
      <c r="A101" s="551" t="s">
        <v>198</v>
      </c>
      <c r="B101" s="552" t="s">
        <v>272</v>
      </c>
      <c r="C101" s="558" t="s">
        <v>266</v>
      </c>
      <c r="D101" s="1723">
        <v>13</v>
      </c>
      <c r="E101" s="1723">
        <v>4</v>
      </c>
      <c r="F101" s="1682">
        <f t="shared" si="1"/>
        <v>3.25</v>
      </c>
      <c r="G101" s="1725">
        <v>6</v>
      </c>
      <c r="H101" s="1726">
        <v>1</v>
      </c>
      <c r="I101" s="1725"/>
      <c r="J101" s="1726"/>
      <c r="K101" s="1725"/>
      <c r="L101" s="1726"/>
      <c r="M101" s="1725">
        <v>3</v>
      </c>
      <c r="N101" s="1726">
        <v>1</v>
      </c>
      <c r="O101" s="1725"/>
      <c r="P101" s="1726"/>
      <c r="Q101" s="1725"/>
      <c r="R101" s="1726"/>
      <c r="S101" s="1725"/>
      <c r="T101" s="1726"/>
      <c r="U101" s="1725">
        <v>1</v>
      </c>
      <c r="V101" s="1726">
        <v>1</v>
      </c>
      <c r="W101" s="1725"/>
      <c r="X101" s="1726"/>
      <c r="Y101" s="1725"/>
      <c r="Z101" s="1726"/>
      <c r="AA101" s="1725">
        <v>3</v>
      </c>
      <c r="AB101" s="1726">
        <v>1</v>
      </c>
      <c r="AC101" s="1725"/>
      <c r="AD101" s="1726"/>
      <c r="AE101" s="1725"/>
      <c r="AF101" s="1726"/>
      <c r="AG101" s="1725"/>
      <c r="AH101" s="1726"/>
      <c r="AI101" s="1725"/>
      <c r="AJ101" s="1726"/>
      <c r="AK101" s="1725"/>
      <c r="AL101" s="1726"/>
      <c r="AM101" s="1725"/>
      <c r="AN101" s="1726"/>
      <c r="AO101" s="1725"/>
      <c r="AP101" s="1726"/>
      <c r="AQ101" s="1725"/>
      <c r="AR101" s="1726"/>
      <c r="AS101" s="1725"/>
      <c r="AT101" s="1726"/>
      <c r="AU101" s="1725"/>
      <c r="AV101" s="1726"/>
      <c r="AW101" s="1725"/>
      <c r="AX101" s="1726"/>
    </row>
    <row r="102" spans="1:50" x14ac:dyDescent="0.25">
      <c r="A102" s="551" t="s">
        <v>200</v>
      </c>
      <c r="B102" s="552" t="s">
        <v>201</v>
      </c>
      <c r="C102" s="558" t="s">
        <v>265</v>
      </c>
      <c r="D102" s="1723">
        <v>1202</v>
      </c>
      <c r="E102" s="1723">
        <v>111</v>
      </c>
      <c r="F102" s="1682">
        <f t="shared" si="1"/>
        <v>10.828828828828829</v>
      </c>
      <c r="G102" s="1725">
        <v>344</v>
      </c>
      <c r="H102" s="1726">
        <v>3</v>
      </c>
      <c r="I102" s="1725"/>
      <c r="J102" s="1726"/>
      <c r="K102" s="1725"/>
      <c r="L102" s="1726"/>
      <c r="M102" s="1725">
        <v>130</v>
      </c>
      <c r="N102" s="1726">
        <v>21</v>
      </c>
      <c r="O102" s="1725">
        <v>22</v>
      </c>
      <c r="P102" s="1726">
        <v>15</v>
      </c>
      <c r="Q102" s="1725">
        <v>5</v>
      </c>
      <c r="R102" s="1726">
        <v>3</v>
      </c>
      <c r="S102" s="1725">
        <v>109</v>
      </c>
      <c r="T102" s="1726">
        <v>12</v>
      </c>
      <c r="U102" s="1725">
        <v>107</v>
      </c>
      <c r="V102" s="1726">
        <v>13</v>
      </c>
      <c r="W102" s="1725">
        <v>3</v>
      </c>
      <c r="X102" s="1726">
        <v>3</v>
      </c>
      <c r="Y102" s="1725"/>
      <c r="Z102" s="1726"/>
      <c r="AA102" s="1725">
        <v>253</v>
      </c>
      <c r="AB102" s="1726">
        <v>27</v>
      </c>
      <c r="AC102" s="1725">
        <v>6</v>
      </c>
      <c r="AD102" s="1726">
        <v>2</v>
      </c>
      <c r="AE102" s="1725">
        <v>6</v>
      </c>
      <c r="AF102" s="1726">
        <v>3</v>
      </c>
      <c r="AG102" s="1725">
        <v>2</v>
      </c>
      <c r="AH102" s="1726">
        <v>2</v>
      </c>
      <c r="AI102" s="1725">
        <v>211</v>
      </c>
      <c r="AJ102" s="1726">
        <v>3</v>
      </c>
      <c r="AK102" s="1725"/>
      <c r="AL102" s="1726"/>
      <c r="AM102" s="1725"/>
      <c r="AN102" s="1726"/>
      <c r="AO102" s="1725"/>
      <c r="AP102" s="1726"/>
      <c r="AQ102" s="1725"/>
      <c r="AR102" s="1726"/>
      <c r="AS102" s="1725">
        <v>1</v>
      </c>
      <c r="AT102" s="1726">
        <v>1</v>
      </c>
      <c r="AU102" s="1725">
        <v>3</v>
      </c>
      <c r="AV102" s="1726">
        <v>3</v>
      </c>
      <c r="AW102" s="1725"/>
      <c r="AX102" s="1726"/>
    </row>
    <row r="103" spans="1:50" x14ac:dyDescent="0.25">
      <c r="A103" s="551" t="s">
        <v>202</v>
      </c>
      <c r="B103" s="552" t="s">
        <v>283</v>
      </c>
      <c r="C103" s="558" t="s">
        <v>265</v>
      </c>
      <c r="D103" s="1723">
        <v>390</v>
      </c>
      <c r="E103" s="1723">
        <v>71</v>
      </c>
      <c r="F103" s="1682">
        <f t="shared" si="1"/>
        <v>5.492957746478873</v>
      </c>
      <c r="G103" s="1725">
        <v>110</v>
      </c>
      <c r="H103" s="1726">
        <v>7</v>
      </c>
      <c r="I103" s="1725">
        <v>1</v>
      </c>
      <c r="J103" s="1726">
        <v>1</v>
      </c>
      <c r="K103" s="1725"/>
      <c r="L103" s="1726"/>
      <c r="M103" s="1725">
        <v>109</v>
      </c>
      <c r="N103" s="1726">
        <v>13</v>
      </c>
      <c r="O103" s="1725"/>
      <c r="P103" s="1726"/>
      <c r="Q103" s="1725"/>
      <c r="R103" s="1726"/>
      <c r="S103" s="1725">
        <v>39</v>
      </c>
      <c r="T103" s="1726">
        <v>12</v>
      </c>
      <c r="U103" s="1725">
        <v>10</v>
      </c>
      <c r="V103" s="1726">
        <v>6</v>
      </c>
      <c r="W103" s="1725">
        <v>2</v>
      </c>
      <c r="X103" s="1726">
        <v>1</v>
      </c>
      <c r="Y103" s="1725"/>
      <c r="Z103" s="1726"/>
      <c r="AA103" s="1725">
        <v>103</v>
      </c>
      <c r="AB103" s="1726">
        <v>20</v>
      </c>
      <c r="AC103" s="1725"/>
      <c r="AD103" s="1726"/>
      <c r="AE103" s="1725">
        <v>2</v>
      </c>
      <c r="AF103" s="1726">
        <v>1</v>
      </c>
      <c r="AG103" s="1725"/>
      <c r="AH103" s="1726"/>
      <c r="AI103" s="1725">
        <v>10</v>
      </c>
      <c r="AJ103" s="1726">
        <v>6</v>
      </c>
      <c r="AK103" s="1725"/>
      <c r="AL103" s="1726"/>
      <c r="AM103" s="1725"/>
      <c r="AN103" s="1726"/>
      <c r="AO103" s="1725"/>
      <c r="AP103" s="1726"/>
      <c r="AQ103" s="1725"/>
      <c r="AR103" s="1726"/>
      <c r="AS103" s="1725"/>
      <c r="AT103" s="1726"/>
      <c r="AU103" s="1725">
        <v>4</v>
      </c>
      <c r="AV103" s="1726">
        <v>4</v>
      </c>
      <c r="AW103" s="1725"/>
      <c r="AX103" s="1726"/>
    </row>
    <row r="104" spans="1:50" x14ac:dyDescent="0.25">
      <c r="A104" s="551" t="s">
        <v>204</v>
      </c>
      <c r="B104" s="552" t="s">
        <v>284</v>
      </c>
      <c r="C104" s="558" t="s">
        <v>265</v>
      </c>
      <c r="D104" s="1723">
        <v>53</v>
      </c>
      <c r="E104" s="1723">
        <v>17</v>
      </c>
      <c r="F104" s="1682">
        <f t="shared" si="1"/>
        <v>3.1176470588235294</v>
      </c>
      <c r="G104" s="1725">
        <v>16</v>
      </c>
      <c r="H104" s="1726">
        <v>4</v>
      </c>
      <c r="I104" s="1725"/>
      <c r="J104" s="1726"/>
      <c r="K104" s="1725"/>
      <c r="L104" s="1726"/>
      <c r="M104" s="1725">
        <v>10</v>
      </c>
      <c r="N104" s="1726">
        <v>6</v>
      </c>
      <c r="O104" s="1725">
        <v>5</v>
      </c>
      <c r="P104" s="1726">
        <v>3</v>
      </c>
      <c r="Q104" s="1725"/>
      <c r="R104" s="1726"/>
      <c r="S104" s="1725"/>
      <c r="T104" s="1726"/>
      <c r="U104" s="1725"/>
      <c r="V104" s="1726"/>
      <c r="W104" s="1725"/>
      <c r="X104" s="1726"/>
      <c r="Y104" s="1725"/>
      <c r="Z104" s="1726"/>
      <c r="AA104" s="1725">
        <v>22</v>
      </c>
      <c r="AB104" s="1726">
        <v>4</v>
      </c>
      <c r="AC104" s="1725"/>
      <c r="AD104" s="1726"/>
      <c r="AE104" s="1725"/>
      <c r="AF104" s="1726"/>
      <c r="AG104" s="1725"/>
      <c r="AH104" s="1726"/>
      <c r="AI104" s="1725"/>
      <c r="AJ104" s="1726"/>
      <c r="AK104" s="1725"/>
      <c r="AL104" s="1726"/>
      <c r="AM104" s="1725"/>
      <c r="AN104" s="1726"/>
      <c r="AO104" s="1725"/>
      <c r="AP104" s="1726"/>
      <c r="AQ104" s="1725"/>
      <c r="AR104" s="1726"/>
      <c r="AS104" s="1725"/>
      <c r="AT104" s="1726"/>
      <c r="AU104" s="1725"/>
      <c r="AV104" s="1726"/>
      <c r="AW104" s="1725"/>
      <c r="AX104" s="1726"/>
    </row>
    <row r="105" spans="1:50" x14ac:dyDescent="0.25">
      <c r="A105" s="551" t="s">
        <v>206</v>
      </c>
      <c r="B105" s="552" t="s">
        <v>207</v>
      </c>
      <c r="C105" s="558" t="s">
        <v>267</v>
      </c>
      <c r="D105" s="1724">
        <v>619</v>
      </c>
      <c r="E105" s="1724">
        <v>103</v>
      </c>
      <c r="F105" s="1682">
        <f t="shared" si="1"/>
        <v>6.0097087378640781</v>
      </c>
      <c r="G105" s="1725">
        <v>217</v>
      </c>
      <c r="H105" s="1726">
        <v>5</v>
      </c>
      <c r="I105" s="1725"/>
      <c r="J105" s="1726"/>
      <c r="K105" s="1725"/>
      <c r="L105" s="1726"/>
      <c r="M105" s="1725">
        <v>141</v>
      </c>
      <c r="N105" s="1726">
        <v>34</v>
      </c>
      <c r="O105" s="1725"/>
      <c r="P105" s="1726"/>
      <c r="Q105" s="1725">
        <v>2</v>
      </c>
      <c r="R105" s="1726">
        <v>1</v>
      </c>
      <c r="S105" s="1725">
        <v>1</v>
      </c>
      <c r="T105" s="1726">
        <v>1</v>
      </c>
      <c r="U105" s="1725">
        <v>12</v>
      </c>
      <c r="V105" s="1726">
        <v>8</v>
      </c>
      <c r="W105" s="1725">
        <v>3</v>
      </c>
      <c r="X105" s="1726">
        <v>3</v>
      </c>
      <c r="Y105" s="1725"/>
      <c r="Z105" s="1726"/>
      <c r="AA105" s="1725">
        <v>195</v>
      </c>
      <c r="AB105" s="1726">
        <v>38</v>
      </c>
      <c r="AC105" s="1725"/>
      <c r="AD105" s="1726"/>
      <c r="AE105" s="1725">
        <v>1</v>
      </c>
      <c r="AF105" s="1726">
        <v>1</v>
      </c>
      <c r="AG105" s="1725"/>
      <c r="AH105" s="1726"/>
      <c r="AI105" s="1725">
        <v>46</v>
      </c>
      <c r="AJ105" s="1726">
        <v>12</v>
      </c>
      <c r="AK105" s="1725"/>
      <c r="AL105" s="1726"/>
      <c r="AM105" s="1725"/>
      <c r="AN105" s="1726"/>
      <c r="AO105" s="1725"/>
      <c r="AP105" s="1726"/>
      <c r="AQ105" s="1725"/>
      <c r="AR105" s="1726"/>
      <c r="AS105" s="1725"/>
      <c r="AT105" s="1726"/>
      <c r="AU105" s="1725"/>
      <c r="AV105" s="1726"/>
      <c r="AW105" s="1725">
        <v>1</v>
      </c>
      <c r="AX105" s="1726">
        <v>0</v>
      </c>
    </row>
    <row r="106" spans="1:50" x14ac:dyDescent="0.25">
      <c r="A106" s="551" t="s">
        <v>208</v>
      </c>
      <c r="B106" s="552" t="s">
        <v>209</v>
      </c>
      <c r="C106" s="558" t="s">
        <v>268</v>
      </c>
      <c r="D106" s="1723">
        <v>186</v>
      </c>
      <c r="E106" s="1723">
        <v>14</v>
      </c>
      <c r="F106" s="1682">
        <f t="shared" si="1"/>
        <v>13.285714285714286</v>
      </c>
      <c r="G106" s="1725">
        <v>51</v>
      </c>
      <c r="H106" s="1726">
        <v>1</v>
      </c>
      <c r="I106" s="1725"/>
      <c r="J106" s="1726"/>
      <c r="K106" s="1725"/>
      <c r="L106" s="1726"/>
      <c r="M106" s="1725">
        <v>44</v>
      </c>
      <c r="N106" s="1726">
        <v>4</v>
      </c>
      <c r="O106" s="1725"/>
      <c r="P106" s="1726"/>
      <c r="Q106" s="1725"/>
      <c r="R106" s="1726"/>
      <c r="S106" s="1725">
        <v>9</v>
      </c>
      <c r="T106" s="1726">
        <v>2</v>
      </c>
      <c r="U106" s="1725"/>
      <c r="V106" s="1726"/>
      <c r="W106" s="1725"/>
      <c r="X106" s="1726"/>
      <c r="Y106" s="1725"/>
      <c r="Z106" s="1726"/>
      <c r="AA106" s="1725">
        <v>82</v>
      </c>
      <c r="AB106" s="1726">
        <v>7</v>
      </c>
      <c r="AC106" s="1725"/>
      <c r="AD106" s="1726"/>
      <c r="AE106" s="1725"/>
      <c r="AF106" s="1726"/>
      <c r="AG106" s="1725"/>
      <c r="AH106" s="1726"/>
      <c r="AI106" s="1725"/>
      <c r="AJ106" s="1726"/>
      <c r="AK106" s="1725"/>
      <c r="AL106" s="1726"/>
      <c r="AM106" s="1725"/>
      <c r="AN106" s="1726"/>
      <c r="AO106" s="1725"/>
      <c r="AP106" s="1726"/>
      <c r="AQ106" s="1725"/>
      <c r="AR106" s="1726"/>
      <c r="AS106" s="1725"/>
      <c r="AT106" s="1726"/>
      <c r="AU106" s="1725"/>
      <c r="AV106" s="1726"/>
      <c r="AW106" s="1725"/>
      <c r="AX106" s="1726"/>
    </row>
    <row r="107" spans="1:50" x14ac:dyDescent="0.25">
      <c r="A107" s="557" t="s">
        <v>210</v>
      </c>
      <c r="B107" s="552" t="s">
        <v>211</v>
      </c>
      <c r="C107" s="558" t="s">
        <v>268</v>
      </c>
      <c r="D107" s="1723">
        <v>121</v>
      </c>
      <c r="E107" s="1723">
        <v>14</v>
      </c>
      <c r="F107" s="1682">
        <f t="shared" si="1"/>
        <v>8.6428571428571423</v>
      </c>
      <c r="G107" s="1725">
        <v>35</v>
      </c>
      <c r="H107" s="1726">
        <v>2</v>
      </c>
      <c r="I107" s="1725"/>
      <c r="J107" s="1726"/>
      <c r="K107" s="1725"/>
      <c r="L107" s="1726"/>
      <c r="M107" s="1725">
        <v>34</v>
      </c>
      <c r="N107" s="1726">
        <v>2</v>
      </c>
      <c r="O107" s="1725">
        <v>1</v>
      </c>
      <c r="P107" s="1726">
        <v>1</v>
      </c>
      <c r="Q107" s="1725"/>
      <c r="R107" s="1726"/>
      <c r="S107" s="1725">
        <v>2</v>
      </c>
      <c r="T107" s="1726">
        <v>1</v>
      </c>
      <c r="U107" s="1725"/>
      <c r="V107" s="1726"/>
      <c r="W107" s="1725"/>
      <c r="X107" s="1726"/>
      <c r="Y107" s="1725"/>
      <c r="Z107" s="1726"/>
      <c r="AA107" s="1725">
        <v>48</v>
      </c>
      <c r="AB107" s="1726">
        <v>7</v>
      </c>
      <c r="AC107" s="1725"/>
      <c r="AD107" s="1726"/>
      <c r="AE107" s="1725"/>
      <c r="AF107" s="1726"/>
      <c r="AG107" s="1725"/>
      <c r="AH107" s="1726"/>
      <c r="AI107" s="1725"/>
      <c r="AJ107" s="1726"/>
      <c r="AK107" s="1725"/>
      <c r="AL107" s="1726"/>
      <c r="AM107" s="1725"/>
      <c r="AN107" s="1726"/>
      <c r="AO107" s="1725"/>
      <c r="AP107" s="1726"/>
      <c r="AQ107" s="1725"/>
      <c r="AR107" s="1726"/>
      <c r="AS107" s="1725"/>
      <c r="AT107" s="1726"/>
      <c r="AU107" s="1725">
        <v>1</v>
      </c>
      <c r="AV107" s="1726">
        <v>1</v>
      </c>
      <c r="AW107" s="1725"/>
      <c r="AX107" s="1726"/>
    </row>
    <row r="108" spans="1:50" x14ac:dyDescent="0.25">
      <c r="A108" s="551" t="s">
        <v>212</v>
      </c>
      <c r="B108" s="552" t="s">
        <v>213</v>
      </c>
      <c r="C108" s="558" t="s">
        <v>267</v>
      </c>
      <c r="D108" s="1723">
        <v>100</v>
      </c>
      <c r="E108" s="1723">
        <v>25</v>
      </c>
      <c r="F108" s="1682">
        <f t="shared" si="1"/>
        <v>4</v>
      </c>
      <c r="G108" s="1725">
        <v>32</v>
      </c>
      <c r="H108" s="1726">
        <v>2</v>
      </c>
      <c r="I108" s="1725"/>
      <c r="J108" s="1726"/>
      <c r="K108" s="1725"/>
      <c r="L108" s="1726"/>
      <c r="M108" s="1725">
        <v>42</v>
      </c>
      <c r="N108" s="1726">
        <v>7</v>
      </c>
      <c r="O108" s="1725">
        <v>1</v>
      </c>
      <c r="P108" s="1726">
        <v>1</v>
      </c>
      <c r="Q108" s="1725">
        <v>2</v>
      </c>
      <c r="R108" s="1726">
        <v>2</v>
      </c>
      <c r="S108" s="1725">
        <v>6</v>
      </c>
      <c r="T108" s="1726">
        <v>4</v>
      </c>
      <c r="U108" s="1725">
        <v>2</v>
      </c>
      <c r="V108" s="1726">
        <v>2</v>
      </c>
      <c r="W108" s="1725"/>
      <c r="X108" s="1726"/>
      <c r="Y108" s="1725"/>
      <c r="Z108" s="1726"/>
      <c r="AA108" s="1725">
        <v>9</v>
      </c>
      <c r="AB108" s="1726">
        <v>3</v>
      </c>
      <c r="AC108" s="1725">
        <v>3</v>
      </c>
      <c r="AD108" s="1726">
        <v>1</v>
      </c>
      <c r="AE108" s="1725"/>
      <c r="AF108" s="1726"/>
      <c r="AG108" s="1725"/>
      <c r="AH108" s="1726"/>
      <c r="AI108" s="1725">
        <v>2</v>
      </c>
      <c r="AJ108" s="1726">
        <v>2</v>
      </c>
      <c r="AK108" s="1725"/>
      <c r="AL108" s="1726"/>
      <c r="AM108" s="1725"/>
      <c r="AN108" s="1726"/>
      <c r="AO108" s="1725"/>
      <c r="AP108" s="1726"/>
      <c r="AQ108" s="1725"/>
      <c r="AR108" s="1726"/>
      <c r="AS108" s="1725"/>
      <c r="AT108" s="1726"/>
      <c r="AU108" s="1725">
        <v>1</v>
      </c>
      <c r="AV108" s="1726">
        <v>1</v>
      </c>
      <c r="AW108" s="1725"/>
      <c r="AX108" s="1726"/>
    </row>
    <row r="109" spans="1:50" x14ac:dyDescent="0.25">
      <c r="A109" s="551" t="s">
        <v>214</v>
      </c>
      <c r="B109" s="552" t="s">
        <v>215</v>
      </c>
      <c r="C109" s="558" t="s">
        <v>268</v>
      </c>
      <c r="D109" s="1723">
        <v>231</v>
      </c>
      <c r="E109" s="1723">
        <v>32</v>
      </c>
      <c r="F109" s="1682">
        <f t="shared" si="1"/>
        <v>7.21875</v>
      </c>
      <c r="G109" s="1725">
        <v>24</v>
      </c>
      <c r="H109" s="1726">
        <v>3</v>
      </c>
      <c r="I109" s="1725"/>
      <c r="J109" s="1726"/>
      <c r="K109" s="1725"/>
      <c r="L109" s="1726"/>
      <c r="M109" s="1725">
        <v>77</v>
      </c>
      <c r="N109" s="1726">
        <v>6</v>
      </c>
      <c r="O109" s="1725">
        <v>2</v>
      </c>
      <c r="P109" s="1726">
        <v>2</v>
      </c>
      <c r="Q109" s="1725">
        <v>2</v>
      </c>
      <c r="R109" s="1726">
        <v>2</v>
      </c>
      <c r="S109" s="1725">
        <v>85</v>
      </c>
      <c r="T109" s="1726">
        <v>9</v>
      </c>
      <c r="U109" s="1725">
        <v>8</v>
      </c>
      <c r="V109" s="1726">
        <v>5</v>
      </c>
      <c r="W109" s="1725"/>
      <c r="X109" s="1726"/>
      <c r="Y109" s="1725"/>
      <c r="Z109" s="1726"/>
      <c r="AA109" s="1725">
        <v>32</v>
      </c>
      <c r="AB109" s="1726">
        <v>4</v>
      </c>
      <c r="AC109" s="1725"/>
      <c r="AD109" s="1726"/>
      <c r="AE109" s="1725"/>
      <c r="AF109" s="1726"/>
      <c r="AG109" s="1725"/>
      <c r="AH109" s="1726"/>
      <c r="AI109" s="1725"/>
      <c r="AJ109" s="1726"/>
      <c r="AK109" s="1725"/>
      <c r="AL109" s="1726"/>
      <c r="AM109" s="1725"/>
      <c r="AN109" s="1726"/>
      <c r="AO109" s="1725"/>
      <c r="AP109" s="1726"/>
      <c r="AQ109" s="1725"/>
      <c r="AR109" s="1726"/>
      <c r="AS109" s="1725"/>
      <c r="AT109" s="1726"/>
      <c r="AU109" s="1725">
        <v>1</v>
      </c>
      <c r="AV109" s="1726">
        <v>1</v>
      </c>
      <c r="AW109" s="1725"/>
      <c r="AX109" s="1726"/>
    </row>
    <row r="110" spans="1:50" x14ac:dyDescent="0.25">
      <c r="A110" s="551" t="s">
        <v>216</v>
      </c>
      <c r="B110" s="552" t="s">
        <v>217</v>
      </c>
      <c r="C110" s="558" t="s">
        <v>264</v>
      </c>
      <c r="D110" s="1723">
        <v>151</v>
      </c>
      <c r="E110" s="1723">
        <v>16</v>
      </c>
      <c r="F110" s="1682">
        <f t="shared" si="1"/>
        <v>9.4375</v>
      </c>
      <c r="G110" s="1725">
        <v>4</v>
      </c>
      <c r="H110" s="1726">
        <v>1</v>
      </c>
      <c r="I110" s="1725"/>
      <c r="J110" s="1726"/>
      <c r="K110" s="1725"/>
      <c r="L110" s="1726"/>
      <c r="M110" s="1725">
        <v>6</v>
      </c>
      <c r="N110" s="1726">
        <v>1</v>
      </c>
      <c r="O110" s="1725"/>
      <c r="P110" s="1726"/>
      <c r="Q110" s="1725">
        <v>2</v>
      </c>
      <c r="R110" s="1726">
        <v>1</v>
      </c>
      <c r="S110" s="1725">
        <v>6</v>
      </c>
      <c r="T110" s="1726">
        <v>2</v>
      </c>
      <c r="U110" s="1725">
        <v>39</v>
      </c>
      <c r="V110" s="1726">
        <v>2</v>
      </c>
      <c r="W110" s="1725"/>
      <c r="X110" s="1726"/>
      <c r="Y110" s="1725">
        <v>1</v>
      </c>
      <c r="Z110" s="1726">
        <v>1</v>
      </c>
      <c r="AA110" s="1725">
        <v>5</v>
      </c>
      <c r="AB110" s="1726">
        <v>1</v>
      </c>
      <c r="AC110" s="1725"/>
      <c r="AD110" s="1726"/>
      <c r="AE110" s="1725">
        <v>2</v>
      </c>
      <c r="AF110" s="1726">
        <v>1</v>
      </c>
      <c r="AG110" s="1725"/>
      <c r="AH110" s="1726"/>
      <c r="AI110" s="1725">
        <v>85</v>
      </c>
      <c r="AJ110" s="1726">
        <v>5</v>
      </c>
      <c r="AK110" s="1725"/>
      <c r="AL110" s="1726"/>
      <c r="AM110" s="1725"/>
      <c r="AN110" s="1726"/>
      <c r="AO110" s="1725"/>
      <c r="AP110" s="1726"/>
      <c r="AQ110" s="1725"/>
      <c r="AR110" s="1726"/>
      <c r="AS110" s="1725"/>
      <c r="AT110" s="1726"/>
      <c r="AU110" s="1725">
        <v>1</v>
      </c>
      <c r="AV110" s="1726">
        <v>1</v>
      </c>
      <c r="AW110" s="1725"/>
      <c r="AX110" s="1726"/>
    </row>
    <row r="111" spans="1:50" x14ac:dyDescent="0.25">
      <c r="A111" s="551" t="s">
        <v>218</v>
      </c>
      <c r="B111" s="552" t="s">
        <v>219</v>
      </c>
      <c r="C111" s="558" t="s">
        <v>267</v>
      </c>
      <c r="D111" s="1723">
        <v>349</v>
      </c>
      <c r="E111" s="1723">
        <v>58</v>
      </c>
      <c r="F111" s="1682">
        <f t="shared" si="1"/>
        <v>6.0172413793103452</v>
      </c>
      <c r="G111" s="1725">
        <v>103</v>
      </c>
      <c r="H111" s="1726">
        <v>9</v>
      </c>
      <c r="I111" s="1725"/>
      <c r="J111" s="1726"/>
      <c r="K111" s="1725"/>
      <c r="L111" s="1726"/>
      <c r="M111" s="1725">
        <v>44</v>
      </c>
      <c r="N111" s="1726">
        <v>7</v>
      </c>
      <c r="O111" s="1725">
        <v>3</v>
      </c>
      <c r="P111" s="1726">
        <v>3</v>
      </c>
      <c r="Q111" s="1725">
        <v>2</v>
      </c>
      <c r="R111" s="1726">
        <v>2</v>
      </c>
      <c r="S111" s="1725">
        <v>20</v>
      </c>
      <c r="T111" s="1726">
        <v>6</v>
      </c>
      <c r="U111" s="1725">
        <v>13</v>
      </c>
      <c r="V111" s="1726">
        <v>4</v>
      </c>
      <c r="W111" s="1725">
        <v>1</v>
      </c>
      <c r="X111" s="1726">
        <v>1</v>
      </c>
      <c r="Y111" s="1725"/>
      <c r="Z111" s="1726"/>
      <c r="AA111" s="1725">
        <v>96</v>
      </c>
      <c r="AB111" s="1726">
        <v>12</v>
      </c>
      <c r="AC111" s="1725">
        <v>25</v>
      </c>
      <c r="AD111" s="1726">
        <v>3</v>
      </c>
      <c r="AE111" s="1725">
        <v>10</v>
      </c>
      <c r="AF111" s="1726">
        <v>8</v>
      </c>
      <c r="AG111" s="1725"/>
      <c r="AH111" s="1726"/>
      <c r="AI111" s="1725">
        <v>32</v>
      </c>
      <c r="AJ111" s="1726">
        <v>3</v>
      </c>
      <c r="AK111" s="1725"/>
      <c r="AL111" s="1726"/>
      <c r="AM111" s="1725"/>
      <c r="AN111" s="1726"/>
      <c r="AO111" s="1725"/>
      <c r="AP111" s="1726"/>
      <c r="AQ111" s="1725"/>
      <c r="AR111" s="1726"/>
      <c r="AS111" s="1725"/>
      <c r="AT111" s="1726"/>
      <c r="AU111" s="1725"/>
      <c r="AV111" s="1726"/>
      <c r="AW111" s="1725"/>
      <c r="AX111" s="1726"/>
    </row>
    <row r="112" spans="1:50" x14ac:dyDescent="0.25">
      <c r="A112" s="551" t="s">
        <v>220</v>
      </c>
      <c r="B112" s="552" t="s">
        <v>221</v>
      </c>
      <c r="C112" s="558" t="s">
        <v>267</v>
      </c>
      <c r="D112" s="1723">
        <v>217</v>
      </c>
      <c r="E112" s="1723">
        <v>31</v>
      </c>
      <c r="F112" s="1682">
        <f t="shared" si="1"/>
        <v>7</v>
      </c>
      <c r="G112" s="1725">
        <v>99</v>
      </c>
      <c r="H112" s="1726">
        <v>3</v>
      </c>
      <c r="I112" s="1725"/>
      <c r="J112" s="1726"/>
      <c r="K112" s="1725"/>
      <c r="L112" s="1726"/>
      <c r="M112" s="1725">
        <v>53</v>
      </c>
      <c r="N112" s="1726">
        <v>6</v>
      </c>
      <c r="O112" s="1725">
        <v>3</v>
      </c>
      <c r="P112" s="1726">
        <v>2</v>
      </c>
      <c r="Q112" s="1725">
        <v>3</v>
      </c>
      <c r="R112" s="1726">
        <v>2</v>
      </c>
      <c r="S112" s="1725">
        <v>6</v>
      </c>
      <c r="T112" s="1726">
        <v>3</v>
      </c>
      <c r="U112" s="1725">
        <v>1</v>
      </c>
      <c r="V112" s="1726">
        <v>1</v>
      </c>
      <c r="W112" s="1725">
        <v>3</v>
      </c>
      <c r="X112" s="1726">
        <v>3</v>
      </c>
      <c r="Y112" s="1725"/>
      <c r="Z112" s="1726"/>
      <c r="AA112" s="1725">
        <v>40</v>
      </c>
      <c r="AB112" s="1726">
        <v>6</v>
      </c>
      <c r="AC112" s="1725">
        <v>6</v>
      </c>
      <c r="AD112" s="1726">
        <v>2</v>
      </c>
      <c r="AE112" s="1725">
        <v>1</v>
      </c>
      <c r="AF112" s="1726">
        <v>1</v>
      </c>
      <c r="AG112" s="1725"/>
      <c r="AH112" s="1726"/>
      <c r="AI112" s="1725"/>
      <c r="AJ112" s="1726"/>
      <c r="AK112" s="1725"/>
      <c r="AL112" s="1726"/>
      <c r="AM112" s="1725"/>
      <c r="AN112" s="1726"/>
      <c r="AO112" s="1725"/>
      <c r="AP112" s="1726"/>
      <c r="AQ112" s="1725"/>
      <c r="AR112" s="1726"/>
      <c r="AS112" s="1725"/>
      <c r="AT112" s="1726"/>
      <c r="AU112" s="1725">
        <v>2</v>
      </c>
      <c r="AV112" s="1726">
        <v>2</v>
      </c>
      <c r="AW112" s="1725"/>
      <c r="AX112" s="1726"/>
    </row>
    <row r="113" spans="1:50" x14ac:dyDescent="0.25">
      <c r="A113" s="551" t="s">
        <v>222</v>
      </c>
      <c r="B113" s="552" t="s">
        <v>223</v>
      </c>
      <c r="C113" s="558" t="s">
        <v>264</v>
      </c>
      <c r="D113" s="1723">
        <v>1858</v>
      </c>
      <c r="E113" s="1723">
        <v>64</v>
      </c>
      <c r="F113" s="1682">
        <f t="shared" si="1"/>
        <v>29.03125</v>
      </c>
      <c r="G113" s="1725">
        <v>26</v>
      </c>
      <c r="H113" s="1726">
        <v>4</v>
      </c>
      <c r="I113" s="1725"/>
      <c r="J113" s="1726"/>
      <c r="K113" s="1725"/>
      <c r="L113" s="1726"/>
      <c r="M113" s="1725">
        <v>42</v>
      </c>
      <c r="N113" s="1726">
        <v>10</v>
      </c>
      <c r="O113" s="1725"/>
      <c r="P113" s="1726"/>
      <c r="Q113" s="1725">
        <v>16</v>
      </c>
      <c r="R113" s="1726">
        <v>6</v>
      </c>
      <c r="S113" s="1725">
        <v>54</v>
      </c>
      <c r="T113" s="1726">
        <v>5</v>
      </c>
      <c r="U113" s="1725">
        <v>65</v>
      </c>
      <c r="V113" s="1726">
        <v>12</v>
      </c>
      <c r="W113" s="1725"/>
      <c r="X113" s="1726"/>
      <c r="Y113" s="1725"/>
      <c r="Z113" s="1726"/>
      <c r="AA113" s="1725">
        <v>17</v>
      </c>
      <c r="AB113" s="1726">
        <v>5</v>
      </c>
      <c r="AC113" s="1725">
        <v>15</v>
      </c>
      <c r="AD113" s="1726">
        <v>3</v>
      </c>
      <c r="AE113" s="1725">
        <v>4</v>
      </c>
      <c r="AF113" s="1726">
        <v>3</v>
      </c>
      <c r="AG113" s="1725">
        <v>1</v>
      </c>
      <c r="AH113" s="1726">
        <v>1</v>
      </c>
      <c r="AI113" s="1725">
        <v>1616</v>
      </c>
      <c r="AJ113" s="1726">
        <v>13</v>
      </c>
      <c r="AK113" s="1725"/>
      <c r="AL113" s="1726"/>
      <c r="AM113" s="1725"/>
      <c r="AN113" s="1726"/>
      <c r="AO113" s="1725"/>
      <c r="AP113" s="1726"/>
      <c r="AQ113" s="1725"/>
      <c r="AR113" s="1726"/>
      <c r="AS113" s="1725"/>
      <c r="AT113" s="1726"/>
      <c r="AU113" s="1725">
        <v>2</v>
      </c>
      <c r="AV113" s="1726">
        <v>2</v>
      </c>
      <c r="AW113" s="1725"/>
      <c r="AX113" s="1726"/>
    </row>
    <row r="114" spans="1:50" x14ac:dyDescent="0.25">
      <c r="A114" s="557" t="s">
        <v>224</v>
      </c>
      <c r="B114" s="552" t="s">
        <v>225</v>
      </c>
      <c r="C114" s="558" t="s">
        <v>264</v>
      </c>
      <c r="D114" s="1723">
        <v>21</v>
      </c>
      <c r="E114" s="1723">
        <v>6</v>
      </c>
      <c r="F114" s="1682">
        <f t="shared" si="1"/>
        <v>3.5</v>
      </c>
      <c r="G114" s="1725">
        <v>1</v>
      </c>
      <c r="H114" s="1726">
        <v>1</v>
      </c>
      <c r="I114" s="1725"/>
      <c r="J114" s="1726"/>
      <c r="K114" s="1725"/>
      <c r="L114" s="1726"/>
      <c r="M114" s="1725">
        <v>7</v>
      </c>
      <c r="N114" s="1726">
        <v>1</v>
      </c>
      <c r="O114" s="1725"/>
      <c r="P114" s="1726"/>
      <c r="Q114" s="1725">
        <v>2</v>
      </c>
      <c r="R114" s="1726">
        <v>1</v>
      </c>
      <c r="S114" s="1725">
        <v>5</v>
      </c>
      <c r="T114" s="1726">
        <v>1</v>
      </c>
      <c r="U114" s="1725">
        <v>2</v>
      </c>
      <c r="V114" s="1726">
        <v>1</v>
      </c>
      <c r="W114" s="1725"/>
      <c r="X114" s="1726"/>
      <c r="Y114" s="1725"/>
      <c r="Z114" s="1726"/>
      <c r="AA114" s="1725"/>
      <c r="AB114" s="1726"/>
      <c r="AC114" s="1725"/>
      <c r="AD114" s="1726"/>
      <c r="AE114" s="1725"/>
      <c r="AF114" s="1726"/>
      <c r="AG114" s="1725"/>
      <c r="AH114" s="1726"/>
      <c r="AI114" s="1725"/>
      <c r="AJ114" s="1726"/>
      <c r="AK114" s="1725"/>
      <c r="AL114" s="1726"/>
      <c r="AM114" s="1725"/>
      <c r="AN114" s="1726"/>
      <c r="AO114" s="1725"/>
      <c r="AP114" s="1726"/>
      <c r="AQ114" s="1725"/>
      <c r="AR114" s="1726"/>
      <c r="AS114" s="1725"/>
      <c r="AT114" s="1726"/>
      <c r="AU114" s="1725">
        <v>4</v>
      </c>
      <c r="AV114" s="1726">
        <v>1</v>
      </c>
      <c r="AW114" s="1725"/>
      <c r="AX114" s="1726"/>
    </row>
    <row r="115" spans="1:50" x14ac:dyDescent="0.25">
      <c r="A115" s="551" t="s">
        <v>226</v>
      </c>
      <c r="B115" s="552" t="s">
        <v>227</v>
      </c>
      <c r="C115" s="558" t="s">
        <v>264</v>
      </c>
      <c r="D115" s="1723">
        <v>124</v>
      </c>
      <c r="E115" s="1723">
        <v>21</v>
      </c>
      <c r="F115" s="1682">
        <f t="shared" si="1"/>
        <v>5.9047619047619051</v>
      </c>
      <c r="G115" s="1725">
        <v>7</v>
      </c>
      <c r="H115" s="1726">
        <v>1</v>
      </c>
      <c r="I115" s="1725"/>
      <c r="J115" s="1726"/>
      <c r="K115" s="1725"/>
      <c r="L115" s="1726"/>
      <c r="M115" s="1725">
        <v>8</v>
      </c>
      <c r="N115" s="1726">
        <v>4</v>
      </c>
      <c r="O115" s="1725">
        <v>2</v>
      </c>
      <c r="P115" s="1726">
        <v>1</v>
      </c>
      <c r="Q115" s="1725">
        <v>1</v>
      </c>
      <c r="R115" s="1726">
        <v>1</v>
      </c>
      <c r="S115" s="1725">
        <v>8</v>
      </c>
      <c r="T115" s="1726">
        <v>4</v>
      </c>
      <c r="U115" s="1725">
        <v>2</v>
      </c>
      <c r="V115" s="1726">
        <v>2</v>
      </c>
      <c r="W115" s="1725"/>
      <c r="X115" s="1726"/>
      <c r="Y115" s="1725"/>
      <c r="Z115" s="1726"/>
      <c r="AA115" s="1725">
        <v>2</v>
      </c>
      <c r="AB115" s="1726">
        <v>2</v>
      </c>
      <c r="AC115" s="1725"/>
      <c r="AD115" s="1726"/>
      <c r="AE115" s="1725"/>
      <c r="AF115" s="1726"/>
      <c r="AG115" s="1725"/>
      <c r="AH115" s="1726"/>
      <c r="AI115" s="1725">
        <v>93</v>
      </c>
      <c r="AJ115" s="1726">
        <v>5</v>
      </c>
      <c r="AK115" s="1725"/>
      <c r="AL115" s="1726"/>
      <c r="AM115" s="1725"/>
      <c r="AN115" s="1726"/>
      <c r="AO115" s="1725"/>
      <c r="AP115" s="1726"/>
      <c r="AQ115" s="1725"/>
      <c r="AR115" s="1726"/>
      <c r="AS115" s="1725"/>
      <c r="AT115" s="1726"/>
      <c r="AU115" s="1725">
        <v>1</v>
      </c>
      <c r="AV115" s="1726">
        <v>1</v>
      </c>
      <c r="AW115" s="1725"/>
      <c r="AX115" s="1726"/>
    </row>
    <row r="116" spans="1:50" x14ac:dyDescent="0.25">
      <c r="A116" s="551" t="s">
        <v>228</v>
      </c>
      <c r="B116" s="552" t="s">
        <v>229</v>
      </c>
      <c r="C116" s="558" t="s">
        <v>268</v>
      </c>
      <c r="D116" s="1723">
        <v>185</v>
      </c>
      <c r="E116" s="1723">
        <v>32</v>
      </c>
      <c r="F116" s="1682">
        <f t="shared" si="1"/>
        <v>5.78125</v>
      </c>
      <c r="G116" s="1725">
        <v>102</v>
      </c>
      <c r="H116" s="1726">
        <v>8</v>
      </c>
      <c r="I116" s="1725"/>
      <c r="J116" s="1726"/>
      <c r="K116" s="1725"/>
      <c r="L116" s="1726"/>
      <c r="M116" s="1725">
        <v>9</v>
      </c>
      <c r="N116" s="1726">
        <v>1</v>
      </c>
      <c r="O116" s="1725">
        <v>1</v>
      </c>
      <c r="P116" s="1726">
        <v>1</v>
      </c>
      <c r="Q116" s="1725">
        <v>2</v>
      </c>
      <c r="R116" s="1726">
        <v>2</v>
      </c>
      <c r="S116" s="1725">
        <v>7</v>
      </c>
      <c r="T116" s="1726">
        <v>5</v>
      </c>
      <c r="U116" s="1725"/>
      <c r="V116" s="1726"/>
      <c r="W116" s="1725"/>
      <c r="X116" s="1726"/>
      <c r="Y116" s="1725"/>
      <c r="Z116" s="1726"/>
      <c r="AA116" s="1725">
        <v>50</v>
      </c>
      <c r="AB116" s="1726">
        <v>6</v>
      </c>
      <c r="AC116" s="1725">
        <v>5</v>
      </c>
      <c r="AD116" s="1726">
        <v>1</v>
      </c>
      <c r="AE116" s="1725">
        <v>5</v>
      </c>
      <c r="AF116" s="1726">
        <v>4</v>
      </c>
      <c r="AG116" s="1725"/>
      <c r="AH116" s="1726"/>
      <c r="AI116" s="1725">
        <v>3</v>
      </c>
      <c r="AJ116" s="1726">
        <v>3</v>
      </c>
      <c r="AK116" s="1725"/>
      <c r="AL116" s="1726"/>
      <c r="AM116" s="1725"/>
      <c r="AN116" s="1726"/>
      <c r="AO116" s="1725"/>
      <c r="AP116" s="1726"/>
      <c r="AQ116" s="1725"/>
      <c r="AR116" s="1726"/>
      <c r="AS116" s="1725"/>
      <c r="AT116" s="1726"/>
      <c r="AU116" s="1725">
        <v>1</v>
      </c>
      <c r="AV116" s="1726">
        <v>1</v>
      </c>
      <c r="AW116" s="1725"/>
      <c r="AX116" s="1726"/>
    </row>
    <row r="117" spans="1:50" x14ac:dyDescent="0.25">
      <c r="A117" s="551" t="s">
        <v>230</v>
      </c>
      <c r="B117" s="552" t="s">
        <v>231</v>
      </c>
      <c r="C117" s="558" t="s">
        <v>264</v>
      </c>
      <c r="D117" s="1723">
        <v>912</v>
      </c>
      <c r="E117" s="1723">
        <v>130</v>
      </c>
      <c r="F117" s="1682">
        <f t="shared" si="1"/>
        <v>7.0153846153846153</v>
      </c>
      <c r="G117" s="1725">
        <v>257</v>
      </c>
      <c r="H117" s="1726">
        <v>8</v>
      </c>
      <c r="I117" s="1725"/>
      <c r="J117" s="1726"/>
      <c r="K117" s="1725"/>
      <c r="L117" s="1726"/>
      <c r="M117" s="1725">
        <v>223</v>
      </c>
      <c r="N117" s="1726">
        <v>24</v>
      </c>
      <c r="O117" s="1725">
        <v>6</v>
      </c>
      <c r="P117" s="1726">
        <v>5</v>
      </c>
      <c r="Q117" s="1725">
        <v>10</v>
      </c>
      <c r="R117" s="1726">
        <v>8</v>
      </c>
      <c r="S117" s="1725">
        <v>14</v>
      </c>
      <c r="T117" s="1726">
        <v>6</v>
      </c>
      <c r="U117" s="1725">
        <v>13</v>
      </c>
      <c r="V117" s="1726">
        <v>7</v>
      </c>
      <c r="W117" s="1725">
        <v>10</v>
      </c>
      <c r="X117" s="1726">
        <v>4</v>
      </c>
      <c r="Y117" s="1725">
        <v>1</v>
      </c>
      <c r="Z117" s="1726">
        <v>1</v>
      </c>
      <c r="AA117" s="1725">
        <v>213</v>
      </c>
      <c r="AB117" s="1726">
        <v>29</v>
      </c>
      <c r="AC117" s="1725">
        <v>46</v>
      </c>
      <c r="AD117" s="1726">
        <v>3</v>
      </c>
      <c r="AE117" s="1725">
        <v>3</v>
      </c>
      <c r="AF117" s="1726">
        <v>2</v>
      </c>
      <c r="AG117" s="1725"/>
      <c r="AH117" s="1726"/>
      <c r="AI117" s="1725">
        <v>109</v>
      </c>
      <c r="AJ117" s="1726">
        <v>29</v>
      </c>
      <c r="AK117" s="1725"/>
      <c r="AL117" s="1726"/>
      <c r="AM117" s="1725"/>
      <c r="AN117" s="1726"/>
      <c r="AO117" s="1725">
        <v>1</v>
      </c>
      <c r="AP117" s="1726">
        <v>1</v>
      </c>
      <c r="AQ117" s="1725"/>
      <c r="AR117" s="1726"/>
      <c r="AS117" s="1725"/>
      <c r="AT117" s="1726"/>
      <c r="AU117" s="1725">
        <v>6</v>
      </c>
      <c r="AV117" s="1726">
        <v>3</v>
      </c>
      <c r="AW117" s="1725"/>
      <c r="AX117" s="1726"/>
    </row>
    <row r="118" spans="1:50" x14ac:dyDescent="0.25">
      <c r="A118" s="551" t="s">
        <v>232</v>
      </c>
      <c r="B118" s="552" t="s">
        <v>233</v>
      </c>
      <c r="C118" s="558" t="s">
        <v>267</v>
      </c>
      <c r="D118" s="1723">
        <v>121</v>
      </c>
      <c r="E118" s="1723">
        <v>42</v>
      </c>
      <c r="F118" s="1682">
        <f t="shared" si="1"/>
        <v>2.8809523809523809</v>
      </c>
      <c r="G118" s="1725">
        <v>45</v>
      </c>
      <c r="H118" s="1726">
        <v>4</v>
      </c>
      <c r="I118" s="1725"/>
      <c r="J118" s="1726"/>
      <c r="K118" s="1725"/>
      <c r="L118" s="1726"/>
      <c r="M118" s="1725">
        <v>21</v>
      </c>
      <c r="N118" s="1726">
        <v>5</v>
      </c>
      <c r="O118" s="1725"/>
      <c r="P118" s="1726"/>
      <c r="Q118" s="1725">
        <v>6</v>
      </c>
      <c r="R118" s="1726">
        <v>4</v>
      </c>
      <c r="S118" s="1725">
        <v>6</v>
      </c>
      <c r="T118" s="1726">
        <v>6</v>
      </c>
      <c r="U118" s="1725">
        <v>2</v>
      </c>
      <c r="V118" s="1726">
        <v>2</v>
      </c>
      <c r="W118" s="1725">
        <v>4</v>
      </c>
      <c r="X118" s="1726">
        <v>3</v>
      </c>
      <c r="Y118" s="1725"/>
      <c r="Z118" s="1726"/>
      <c r="AA118" s="1725">
        <v>19</v>
      </c>
      <c r="AB118" s="1726">
        <v>6</v>
      </c>
      <c r="AC118" s="1725"/>
      <c r="AD118" s="1726"/>
      <c r="AE118" s="1725"/>
      <c r="AF118" s="1726"/>
      <c r="AG118" s="1725">
        <v>2</v>
      </c>
      <c r="AH118" s="1726">
        <v>2</v>
      </c>
      <c r="AI118" s="1725">
        <v>15</v>
      </c>
      <c r="AJ118" s="1726">
        <v>9</v>
      </c>
      <c r="AK118" s="1725"/>
      <c r="AL118" s="1726"/>
      <c r="AM118" s="1725"/>
      <c r="AN118" s="1726"/>
      <c r="AO118" s="1725"/>
      <c r="AP118" s="1726"/>
      <c r="AQ118" s="1725"/>
      <c r="AR118" s="1726"/>
      <c r="AS118" s="1725"/>
      <c r="AT118" s="1726"/>
      <c r="AU118" s="1725">
        <v>1</v>
      </c>
      <c r="AV118" s="1726">
        <v>1</v>
      </c>
      <c r="AW118" s="1725"/>
      <c r="AX118" s="1726"/>
    </row>
    <row r="119" spans="1:50" x14ac:dyDescent="0.25">
      <c r="A119" s="551" t="s">
        <v>234</v>
      </c>
      <c r="B119" s="552" t="s">
        <v>235</v>
      </c>
      <c r="C119" s="558" t="s">
        <v>268</v>
      </c>
      <c r="D119" s="1723">
        <v>529</v>
      </c>
      <c r="E119" s="1723">
        <v>46</v>
      </c>
      <c r="F119" s="1682">
        <f t="shared" si="1"/>
        <v>11.5</v>
      </c>
      <c r="G119" s="1725">
        <v>58</v>
      </c>
      <c r="H119" s="1726">
        <v>4</v>
      </c>
      <c r="I119" s="1725"/>
      <c r="J119" s="1726"/>
      <c r="K119" s="1725"/>
      <c r="L119" s="1726"/>
      <c r="M119" s="1725">
        <v>45</v>
      </c>
      <c r="N119" s="1726">
        <v>11</v>
      </c>
      <c r="O119" s="1725">
        <v>3</v>
      </c>
      <c r="P119" s="1726">
        <v>3</v>
      </c>
      <c r="Q119" s="1725"/>
      <c r="R119" s="1726"/>
      <c r="S119" s="1725">
        <v>134</v>
      </c>
      <c r="T119" s="1726">
        <v>8</v>
      </c>
      <c r="U119" s="1725">
        <v>23</v>
      </c>
      <c r="V119" s="1726">
        <v>6</v>
      </c>
      <c r="W119" s="1725"/>
      <c r="X119" s="1726"/>
      <c r="Y119" s="1725"/>
      <c r="Z119" s="1726"/>
      <c r="AA119" s="1725">
        <v>43</v>
      </c>
      <c r="AB119" s="1726">
        <v>4</v>
      </c>
      <c r="AC119" s="1725">
        <v>1</v>
      </c>
      <c r="AD119" s="1726">
        <v>1</v>
      </c>
      <c r="AE119" s="1725"/>
      <c r="AF119" s="1726"/>
      <c r="AG119" s="1725"/>
      <c r="AH119" s="1726"/>
      <c r="AI119" s="1725">
        <v>217</v>
      </c>
      <c r="AJ119" s="1726">
        <v>4</v>
      </c>
      <c r="AK119" s="1725"/>
      <c r="AL119" s="1726"/>
      <c r="AM119" s="1725"/>
      <c r="AN119" s="1726"/>
      <c r="AO119" s="1725"/>
      <c r="AP119" s="1726"/>
      <c r="AQ119" s="1725"/>
      <c r="AR119" s="1726"/>
      <c r="AS119" s="1725"/>
      <c r="AT119" s="1726"/>
      <c r="AU119" s="1725">
        <v>5</v>
      </c>
      <c r="AV119" s="1726">
        <v>5</v>
      </c>
      <c r="AW119" s="1725"/>
      <c r="AX119" s="1726"/>
    </row>
    <row r="120" spans="1:50" x14ac:dyDescent="0.25">
      <c r="A120" s="551" t="s">
        <v>236</v>
      </c>
      <c r="B120" s="552" t="s">
        <v>237</v>
      </c>
      <c r="C120" s="558" t="s">
        <v>266</v>
      </c>
      <c r="D120" s="1723">
        <v>49</v>
      </c>
      <c r="E120" s="1723">
        <v>18</v>
      </c>
      <c r="F120" s="1682">
        <f t="shared" si="1"/>
        <v>2.7222222222222223</v>
      </c>
      <c r="G120" s="1725">
        <v>5</v>
      </c>
      <c r="H120" s="1726">
        <v>1</v>
      </c>
      <c r="I120" s="1725"/>
      <c r="J120" s="1726"/>
      <c r="K120" s="1725"/>
      <c r="L120" s="1726"/>
      <c r="M120" s="1725">
        <v>16</v>
      </c>
      <c r="N120" s="1726">
        <v>5</v>
      </c>
      <c r="O120" s="1725"/>
      <c r="P120" s="1726"/>
      <c r="Q120" s="1725">
        <v>1</v>
      </c>
      <c r="R120" s="1726">
        <v>1</v>
      </c>
      <c r="S120" s="1725">
        <v>5</v>
      </c>
      <c r="T120" s="1726">
        <v>3</v>
      </c>
      <c r="U120" s="1725">
        <v>5</v>
      </c>
      <c r="V120" s="1726">
        <v>3</v>
      </c>
      <c r="W120" s="1725">
        <v>2</v>
      </c>
      <c r="X120" s="1726">
        <v>1</v>
      </c>
      <c r="Y120" s="1725"/>
      <c r="Z120" s="1726"/>
      <c r="AA120" s="1725">
        <v>8</v>
      </c>
      <c r="AB120" s="1726">
        <v>2</v>
      </c>
      <c r="AC120" s="1725">
        <v>4</v>
      </c>
      <c r="AD120" s="1726">
        <v>1</v>
      </c>
      <c r="AE120" s="1725"/>
      <c r="AF120" s="1726"/>
      <c r="AG120" s="1725"/>
      <c r="AH120" s="1726"/>
      <c r="AI120" s="1725"/>
      <c r="AJ120" s="1726"/>
      <c r="AK120" s="1725"/>
      <c r="AL120" s="1726"/>
      <c r="AM120" s="1725"/>
      <c r="AN120" s="1726"/>
      <c r="AO120" s="1725"/>
      <c r="AP120" s="1726"/>
      <c r="AQ120" s="1725"/>
      <c r="AR120" s="1726"/>
      <c r="AS120" s="1725"/>
      <c r="AT120" s="1726"/>
      <c r="AU120" s="1725">
        <v>3</v>
      </c>
      <c r="AV120" s="1726">
        <v>1</v>
      </c>
      <c r="AW120" s="1725"/>
      <c r="AX120" s="1726"/>
    </row>
    <row r="121" spans="1:50" x14ac:dyDescent="0.25">
      <c r="A121" s="551" t="s">
        <v>238</v>
      </c>
      <c r="B121" s="552" t="s">
        <v>239</v>
      </c>
      <c r="C121" s="558" t="s">
        <v>264</v>
      </c>
      <c r="D121" s="1723">
        <v>22</v>
      </c>
      <c r="E121" s="1723">
        <v>5</v>
      </c>
      <c r="F121" s="1682">
        <f t="shared" si="1"/>
        <v>4.4000000000000004</v>
      </c>
      <c r="G121" s="1725">
        <v>10</v>
      </c>
      <c r="H121" s="1726">
        <v>1</v>
      </c>
      <c r="I121" s="1725"/>
      <c r="J121" s="1726"/>
      <c r="K121" s="1725"/>
      <c r="L121" s="1726"/>
      <c r="M121" s="1725">
        <v>8</v>
      </c>
      <c r="N121" s="1726">
        <v>3</v>
      </c>
      <c r="O121" s="1725"/>
      <c r="P121" s="1726"/>
      <c r="Q121" s="1725"/>
      <c r="R121" s="1726"/>
      <c r="S121" s="1725"/>
      <c r="T121" s="1726"/>
      <c r="U121" s="1725"/>
      <c r="V121" s="1726"/>
      <c r="W121" s="1725"/>
      <c r="X121" s="1726"/>
      <c r="Y121" s="1725"/>
      <c r="Z121" s="1726"/>
      <c r="AA121" s="1725">
        <v>4</v>
      </c>
      <c r="AB121" s="1726">
        <v>1</v>
      </c>
      <c r="AC121" s="1725"/>
      <c r="AD121" s="1726"/>
      <c r="AE121" s="1725"/>
      <c r="AF121" s="1726"/>
      <c r="AG121" s="1725"/>
      <c r="AH121" s="1726"/>
      <c r="AI121" s="1725"/>
      <c r="AJ121" s="1726"/>
      <c r="AK121" s="1725"/>
      <c r="AL121" s="1726"/>
      <c r="AM121" s="1725"/>
      <c r="AN121" s="1726"/>
      <c r="AO121" s="1725"/>
      <c r="AP121" s="1726"/>
      <c r="AQ121" s="1725"/>
      <c r="AR121" s="1726"/>
      <c r="AS121" s="1725"/>
      <c r="AT121" s="1726"/>
      <c r="AU121" s="1725"/>
      <c r="AV121" s="1726"/>
      <c r="AW121" s="1725"/>
      <c r="AX121" s="1726"/>
    </row>
    <row r="122" spans="1:50" x14ac:dyDescent="0.25">
      <c r="A122" s="985" t="s">
        <v>240</v>
      </c>
      <c r="B122" s="986" t="s">
        <v>241</v>
      </c>
      <c r="C122" s="558" t="s">
        <v>267</v>
      </c>
      <c r="D122" s="1723">
        <v>184</v>
      </c>
      <c r="E122" s="1723">
        <v>36</v>
      </c>
      <c r="F122" s="1682">
        <f t="shared" si="1"/>
        <v>5.1111111111111107</v>
      </c>
      <c r="G122" s="1725">
        <v>36</v>
      </c>
      <c r="H122" s="1726">
        <v>2</v>
      </c>
      <c r="I122" s="1725">
        <v>9</v>
      </c>
      <c r="J122" s="1726">
        <v>3</v>
      </c>
      <c r="K122" s="1725"/>
      <c r="L122" s="1726"/>
      <c r="M122" s="1725">
        <v>78</v>
      </c>
      <c r="N122" s="1726">
        <v>9</v>
      </c>
      <c r="O122" s="1725">
        <v>7</v>
      </c>
      <c r="P122" s="1726">
        <v>4</v>
      </c>
      <c r="Q122" s="1725">
        <v>2</v>
      </c>
      <c r="R122" s="1726">
        <v>2</v>
      </c>
      <c r="S122" s="1725">
        <v>2</v>
      </c>
      <c r="T122" s="1726">
        <v>1</v>
      </c>
      <c r="U122" s="1725"/>
      <c r="V122" s="1726"/>
      <c r="W122" s="1725">
        <v>3</v>
      </c>
      <c r="X122" s="1726">
        <v>2</v>
      </c>
      <c r="Y122" s="1725"/>
      <c r="Z122" s="1726"/>
      <c r="AA122" s="1725">
        <v>43</v>
      </c>
      <c r="AB122" s="1726">
        <v>9</v>
      </c>
      <c r="AC122" s="1725">
        <v>4</v>
      </c>
      <c r="AD122" s="1726">
        <v>4</v>
      </c>
      <c r="AE122" s="1725"/>
      <c r="AF122" s="1726"/>
      <c r="AG122" s="1725"/>
      <c r="AH122" s="1726"/>
      <c r="AI122" s="1725"/>
      <c r="AJ122" s="1726"/>
      <c r="AK122" s="1725"/>
      <c r="AL122" s="1726"/>
      <c r="AM122" s="1725"/>
      <c r="AN122" s="1726"/>
      <c r="AO122" s="1725"/>
      <c r="AP122" s="1726"/>
      <c r="AQ122" s="1725"/>
      <c r="AR122" s="1726"/>
      <c r="AS122" s="1725"/>
      <c r="AT122" s="1726"/>
      <c r="AU122" s="1725"/>
      <c r="AV122" s="1726"/>
      <c r="AW122" s="1725"/>
      <c r="AX122" s="1726"/>
    </row>
    <row r="123" spans="1:50" x14ac:dyDescent="0.25">
      <c r="A123" s="551" t="s">
        <v>242</v>
      </c>
      <c r="B123" s="552" t="s">
        <v>243</v>
      </c>
      <c r="C123" s="558" t="s">
        <v>268</v>
      </c>
      <c r="D123" s="1723">
        <v>371</v>
      </c>
      <c r="E123" s="1723">
        <v>23</v>
      </c>
      <c r="F123" s="1682">
        <f t="shared" si="1"/>
        <v>16.130434782608695</v>
      </c>
      <c r="G123" s="1725">
        <v>105</v>
      </c>
      <c r="H123" s="1726">
        <v>1</v>
      </c>
      <c r="I123" s="1725"/>
      <c r="J123" s="1726"/>
      <c r="K123" s="1725"/>
      <c r="L123" s="1726"/>
      <c r="M123" s="1725">
        <v>114</v>
      </c>
      <c r="N123" s="1726">
        <v>8</v>
      </c>
      <c r="O123" s="1725">
        <v>1</v>
      </c>
      <c r="P123" s="1726">
        <v>1</v>
      </c>
      <c r="Q123" s="1725"/>
      <c r="R123" s="1726"/>
      <c r="S123" s="1725">
        <v>9</v>
      </c>
      <c r="T123" s="1726">
        <v>4</v>
      </c>
      <c r="U123" s="1725">
        <v>5</v>
      </c>
      <c r="V123" s="1726">
        <v>3</v>
      </c>
      <c r="W123" s="1725"/>
      <c r="X123" s="1726"/>
      <c r="Y123" s="1725"/>
      <c r="Z123" s="1726"/>
      <c r="AA123" s="1725">
        <v>136</v>
      </c>
      <c r="AB123" s="1726">
        <v>6</v>
      </c>
      <c r="AC123" s="1725"/>
      <c r="AD123" s="1726"/>
      <c r="AE123" s="1725"/>
      <c r="AF123" s="1726"/>
      <c r="AG123" s="1725"/>
      <c r="AH123" s="1726"/>
      <c r="AI123" s="1725"/>
      <c r="AJ123" s="1726"/>
      <c r="AK123" s="1725"/>
      <c r="AL123" s="1726"/>
      <c r="AM123" s="1725"/>
      <c r="AN123" s="1726"/>
      <c r="AO123" s="1725"/>
      <c r="AP123" s="1726"/>
      <c r="AQ123" s="1725"/>
      <c r="AR123" s="1726"/>
      <c r="AS123" s="1725"/>
      <c r="AT123" s="1726"/>
      <c r="AU123" s="1725"/>
      <c r="AV123" s="1726"/>
      <c r="AW123" s="1725">
        <v>1</v>
      </c>
      <c r="AX123" s="1726">
        <v>0</v>
      </c>
    </row>
    <row r="124" spans="1:50" x14ac:dyDescent="0.25">
      <c r="A124" s="551" t="s">
        <v>244</v>
      </c>
      <c r="B124" s="552" t="s">
        <v>245</v>
      </c>
      <c r="C124" s="558" t="s">
        <v>268</v>
      </c>
      <c r="D124" s="1723">
        <v>276</v>
      </c>
      <c r="E124" s="1723">
        <v>33</v>
      </c>
      <c r="F124" s="1682">
        <f t="shared" si="1"/>
        <v>8.3636363636363633</v>
      </c>
      <c r="G124" s="1725">
        <v>43</v>
      </c>
      <c r="H124" s="1726">
        <v>2</v>
      </c>
      <c r="I124" s="1725"/>
      <c r="J124" s="1726"/>
      <c r="K124" s="1725"/>
      <c r="L124" s="1726"/>
      <c r="M124" s="1725">
        <v>62</v>
      </c>
      <c r="N124" s="1726">
        <v>4</v>
      </c>
      <c r="O124" s="1725">
        <v>4</v>
      </c>
      <c r="P124" s="1726">
        <v>3</v>
      </c>
      <c r="Q124" s="1725">
        <v>2</v>
      </c>
      <c r="R124" s="1726">
        <v>1</v>
      </c>
      <c r="S124" s="1725">
        <v>14</v>
      </c>
      <c r="T124" s="1726">
        <v>2</v>
      </c>
      <c r="U124" s="1725">
        <v>81</v>
      </c>
      <c r="V124" s="1726">
        <v>4</v>
      </c>
      <c r="W124" s="1725">
        <v>3</v>
      </c>
      <c r="X124" s="1726">
        <v>1</v>
      </c>
      <c r="Y124" s="1725"/>
      <c r="Z124" s="1726"/>
      <c r="AA124" s="1725">
        <v>37</v>
      </c>
      <c r="AB124" s="1726">
        <v>7</v>
      </c>
      <c r="AC124" s="1725">
        <v>3</v>
      </c>
      <c r="AD124" s="1726">
        <v>2</v>
      </c>
      <c r="AE124" s="1725"/>
      <c r="AF124" s="1726"/>
      <c r="AG124" s="1725"/>
      <c r="AH124" s="1726"/>
      <c r="AI124" s="1725">
        <v>26</v>
      </c>
      <c r="AJ124" s="1726">
        <v>6</v>
      </c>
      <c r="AK124" s="1725"/>
      <c r="AL124" s="1726"/>
      <c r="AM124" s="1725"/>
      <c r="AN124" s="1726"/>
      <c r="AO124" s="1725"/>
      <c r="AP124" s="1726"/>
      <c r="AQ124" s="1725"/>
      <c r="AR124" s="1726"/>
      <c r="AS124" s="1725"/>
      <c r="AT124" s="1726"/>
      <c r="AU124" s="1725">
        <v>1</v>
      </c>
      <c r="AV124" s="1726">
        <v>1</v>
      </c>
      <c r="AW124" s="1725"/>
      <c r="AX124" s="1726"/>
    </row>
    <row r="125" spans="1:50" x14ac:dyDescent="0.25">
      <c r="A125" s="559" t="s">
        <v>246</v>
      </c>
      <c r="B125" s="560" t="s">
        <v>247</v>
      </c>
      <c r="C125" s="566" t="s">
        <v>264</v>
      </c>
      <c r="D125" s="1723">
        <v>276</v>
      </c>
      <c r="E125" s="1723">
        <v>87</v>
      </c>
      <c r="F125" s="1682">
        <f t="shared" si="1"/>
        <v>3.1724137931034484</v>
      </c>
      <c r="G125" s="1725">
        <v>23</v>
      </c>
      <c r="H125" s="1726">
        <v>12</v>
      </c>
      <c r="I125" s="1725"/>
      <c r="J125" s="1726"/>
      <c r="K125" s="1725"/>
      <c r="L125" s="1726"/>
      <c r="M125" s="1725">
        <v>32</v>
      </c>
      <c r="N125" s="1726">
        <v>14</v>
      </c>
      <c r="O125" s="1725"/>
      <c r="P125" s="1726"/>
      <c r="Q125" s="1725">
        <v>121</v>
      </c>
      <c r="R125" s="1726">
        <v>14</v>
      </c>
      <c r="S125" s="1725">
        <v>35</v>
      </c>
      <c r="T125" s="1726">
        <v>13</v>
      </c>
      <c r="U125" s="1725">
        <v>27</v>
      </c>
      <c r="V125" s="1726">
        <v>15</v>
      </c>
      <c r="W125" s="1725"/>
      <c r="X125" s="1726"/>
      <c r="Y125" s="1725"/>
      <c r="Z125" s="1726"/>
      <c r="AA125" s="1725">
        <v>9</v>
      </c>
      <c r="AB125" s="1726">
        <v>6</v>
      </c>
      <c r="AC125" s="1725">
        <v>7</v>
      </c>
      <c r="AD125" s="1726">
        <v>3</v>
      </c>
      <c r="AE125" s="1725"/>
      <c r="AF125" s="1726"/>
      <c r="AG125" s="1725"/>
      <c r="AH125" s="1726"/>
      <c r="AI125" s="1725">
        <v>21</v>
      </c>
      <c r="AJ125" s="1726">
        <v>9</v>
      </c>
      <c r="AK125" s="1725"/>
      <c r="AL125" s="1726"/>
      <c r="AM125" s="1725"/>
      <c r="AN125" s="1726"/>
      <c r="AO125" s="1725"/>
      <c r="AP125" s="1726"/>
      <c r="AQ125" s="1725">
        <v>1</v>
      </c>
      <c r="AR125" s="1726">
        <v>1</v>
      </c>
      <c r="AS125" s="1725"/>
      <c r="AT125" s="1726"/>
      <c r="AU125" s="1725"/>
      <c r="AV125" s="1726"/>
      <c r="AW125" s="1725"/>
      <c r="AX125" s="1726"/>
    </row>
    <row r="127" spans="1:50" ht="31.5" customHeight="1" x14ac:dyDescent="0.25">
      <c r="A127" s="2758" t="s">
        <v>1452</v>
      </c>
      <c r="B127" s="2758"/>
      <c r="C127" s="2758"/>
      <c r="D127" s="2758"/>
      <c r="E127" s="2758"/>
      <c r="F127" s="2758"/>
    </row>
    <row r="128" spans="1:50" ht="15" customHeight="1" x14ac:dyDescent="0.25">
      <c r="A128" s="1650"/>
      <c r="B128" s="1650"/>
      <c r="C128" s="1650"/>
    </row>
    <row r="129" spans="1:6" ht="15" customHeight="1" x14ac:dyDescent="0.25">
      <c r="A129" s="2759" t="s">
        <v>248</v>
      </c>
      <c r="B129" s="2759"/>
      <c r="C129" s="2759"/>
      <c r="D129" s="2759"/>
      <c r="E129" s="2759"/>
      <c r="F129" s="2759"/>
    </row>
    <row r="130" spans="1:6" ht="15" customHeight="1" x14ac:dyDescent="0.25">
      <c r="A130" s="562" t="s">
        <v>249</v>
      </c>
      <c r="B130" s="563" t="s">
        <v>250</v>
      </c>
      <c r="C130" s="563"/>
    </row>
  </sheetData>
  <mergeCells count="24">
    <mergeCell ref="A129:F129"/>
    <mergeCell ref="O3:P3"/>
    <mergeCell ref="Q3:R3"/>
    <mergeCell ref="S3:T3"/>
    <mergeCell ref="U3:V3"/>
    <mergeCell ref="G3:H3"/>
    <mergeCell ref="I3:J3"/>
    <mergeCell ref="K3:L3"/>
    <mergeCell ref="AQ3:AR3"/>
    <mergeCell ref="AS3:AT3"/>
    <mergeCell ref="AU3:AV3"/>
    <mergeCell ref="AW3:AX3"/>
    <mergeCell ref="A127:F127"/>
    <mergeCell ref="AG3:AH3"/>
    <mergeCell ref="AI3:AJ3"/>
    <mergeCell ref="AK3:AL3"/>
    <mergeCell ref="AM3:AN3"/>
    <mergeCell ref="AO3:AP3"/>
    <mergeCell ref="W3:X3"/>
    <mergeCell ref="Y3:Z3"/>
    <mergeCell ref="AA3:AB3"/>
    <mergeCell ref="AC3:AD3"/>
    <mergeCell ref="AE3:AF3"/>
    <mergeCell ref="M3:N3"/>
  </mergeCells>
  <hyperlinks>
    <hyperlink ref="B130" r:id="rId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130"/>
  <sheetViews>
    <sheetView zoomScaleNormal="100" workbookViewId="0">
      <pane xSplit="2" ySplit="5" topLeftCell="X6" activePane="bottomRight" state="frozen"/>
      <selection pane="topRight" activeCell="C1" sqref="C1"/>
      <selection pane="bottomLeft" activeCell="A6" sqref="A6"/>
      <selection pane="bottomRight" activeCell="O5" sqref="O5"/>
    </sheetView>
  </sheetViews>
  <sheetFormatPr defaultRowHeight="15.75" x14ac:dyDescent="0.25"/>
  <cols>
    <col min="1" max="1" width="6.875" style="537" bestFit="1" customWidth="1"/>
    <col min="2" max="2" width="30.875" style="541" customWidth="1"/>
    <col min="3" max="3" width="12.875" style="541" customWidth="1"/>
    <col min="4" max="4" width="7.75" style="537" bestFit="1" customWidth="1"/>
    <col min="5" max="5" width="8.875" style="537" bestFit="1" customWidth="1"/>
    <col min="6" max="6" width="9" style="537" customWidth="1"/>
    <col min="7" max="7" width="9.5" style="537" customWidth="1"/>
    <col min="8" max="8" width="11.625" style="537" customWidth="1"/>
    <col min="9" max="10" width="9" style="537" customWidth="1"/>
    <col min="11" max="11" width="10.75" style="537" customWidth="1"/>
    <col min="12" max="12" width="11.75" style="537" customWidth="1"/>
    <col min="13" max="13" width="9" style="537" customWidth="1"/>
    <col min="14" max="14" width="1.5" style="537" customWidth="1"/>
    <col min="15" max="16" width="12" style="537" customWidth="1"/>
    <col min="17" max="17" width="2.75" style="537" customWidth="1"/>
    <col min="18" max="18" width="7.125" style="537" bestFit="1" customWidth="1"/>
    <col min="19" max="19" width="9" style="537"/>
    <col min="20" max="20" width="3.625" style="537" customWidth="1"/>
    <col min="21" max="25" width="10.875" style="537" customWidth="1"/>
    <col min="26" max="16384" width="9" style="537"/>
  </cols>
  <sheetData>
    <row r="1" spans="1:33" ht="15.75" customHeight="1" x14ac:dyDescent="0.25">
      <c r="A1" s="991" t="s">
        <v>1330</v>
      </c>
      <c r="B1" s="536"/>
      <c r="C1" s="536"/>
      <c r="D1" s="536"/>
      <c r="E1" s="536"/>
      <c r="F1" s="536"/>
      <c r="G1" s="536"/>
      <c r="H1" s="536"/>
      <c r="I1" s="536"/>
      <c r="J1" s="536"/>
      <c r="K1" s="536"/>
      <c r="L1" s="536"/>
      <c r="M1" s="536"/>
      <c r="N1" s="536"/>
      <c r="O1" s="536"/>
      <c r="P1" s="536"/>
      <c r="Q1" s="536"/>
      <c r="R1" s="536"/>
      <c r="S1" s="536"/>
    </row>
    <row r="2" spans="1:33" x14ac:dyDescent="0.25">
      <c r="A2" s="538"/>
      <c r="B2" s="538"/>
      <c r="C2" s="538"/>
      <c r="D2" s="538"/>
      <c r="E2" s="536"/>
      <c r="F2" s="536"/>
      <c r="G2" s="536"/>
      <c r="H2" s="536"/>
      <c r="I2" s="536"/>
      <c r="J2" s="536"/>
      <c r="K2" s="536"/>
      <c r="L2" s="536"/>
      <c r="M2" s="536"/>
      <c r="N2" s="536"/>
      <c r="O2" s="536"/>
      <c r="P2" s="536"/>
      <c r="Q2" s="536"/>
      <c r="R2" s="540"/>
      <c r="S2" s="540"/>
    </row>
    <row r="3" spans="1:33" ht="15.75" customHeight="1" x14ac:dyDescent="0.25">
      <c r="D3" s="2761" t="s">
        <v>758</v>
      </c>
      <c r="E3" s="2761"/>
      <c r="F3" s="2761"/>
      <c r="G3" s="2761"/>
      <c r="H3" s="2761"/>
      <c r="I3" s="2761"/>
      <c r="J3" s="2761"/>
      <c r="K3" s="2761"/>
      <c r="L3" s="2761"/>
      <c r="M3" s="2761"/>
      <c r="N3" s="542"/>
      <c r="O3" s="542"/>
      <c r="P3" s="542"/>
      <c r="Q3" s="542"/>
      <c r="R3" s="2760" t="s">
        <v>280</v>
      </c>
      <c r="S3" s="2760"/>
    </row>
    <row r="4" spans="1:33" ht="63" x14ac:dyDescent="0.25">
      <c r="A4" s="543" t="s">
        <v>4</v>
      </c>
      <c r="B4" s="544" t="s">
        <v>5</v>
      </c>
      <c r="C4" s="539" t="s">
        <v>251</v>
      </c>
      <c r="D4" s="1462" t="s">
        <v>281</v>
      </c>
      <c r="E4" s="1462" t="s">
        <v>2</v>
      </c>
      <c r="F4" s="1462" t="s">
        <v>445</v>
      </c>
      <c r="G4" s="1462" t="s">
        <v>542</v>
      </c>
      <c r="H4" s="1462" t="s">
        <v>1089</v>
      </c>
      <c r="I4" s="1462" t="s">
        <v>1086</v>
      </c>
      <c r="J4" s="1462" t="s">
        <v>551</v>
      </c>
      <c r="K4" s="1462" t="s">
        <v>848</v>
      </c>
      <c r="L4" s="1462" t="s">
        <v>1331</v>
      </c>
      <c r="M4" s="1462" t="s">
        <v>1042</v>
      </c>
      <c r="N4" s="545"/>
      <c r="O4" s="989" t="s">
        <v>1332</v>
      </c>
      <c r="P4" s="1462" t="s">
        <v>1333</v>
      </c>
      <c r="Q4" s="989"/>
      <c r="R4" s="545" t="s">
        <v>2</v>
      </c>
      <c r="S4" s="545" t="s">
        <v>3</v>
      </c>
      <c r="U4" s="1252" t="s">
        <v>1203</v>
      </c>
      <c r="V4" s="1252" t="s">
        <v>1204</v>
      </c>
      <c r="W4" s="1252" t="s">
        <v>1049</v>
      </c>
      <c r="X4" s="1252" t="s">
        <v>1050</v>
      </c>
      <c r="Y4" s="1252" t="s">
        <v>1051</v>
      </c>
      <c r="Z4" s="1252" t="s">
        <v>1052</v>
      </c>
      <c r="AA4" s="1252" t="s">
        <v>762</v>
      </c>
      <c r="AB4" s="1252" t="s">
        <v>281</v>
      </c>
      <c r="AC4" s="1252" t="s">
        <v>1048</v>
      </c>
      <c r="AD4" s="1252" t="s">
        <v>1049</v>
      </c>
      <c r="AE4" s="1646" t="s">
        <v>1050</v>
      </c>
      <c r="AF4" s="1252" t="s">
        <v>1051</v>
      </c>
      <c r="AG4" s="1252" t="s">
        <v>1052</v>
      </c>
    </row>
    <row r="5" spans="1:33" x14ac:dyDescent="0.25">
      <c r="A5" s="546" t="s">
        <v>8</v>
      </c>
      <c r="B5" s="547" t="s">
        <v>9</v>
      </c>
      <c r="C5" s="547"/>
      <c r="D5" s="548">
        <f t="shared" ref="D5:M5" si="0">SUM(D6:D125)</f>
        <v>4835</v>
      </c>
      <c r="E5" s="548">
        <f t="shared" si="0"/>
        <v>2376</v>
      </c>
      <c r="F5" s="548">
        <f t="shared" si="0"/>
        <v>1421</v>
      </c>
      <c r="G5" s="548">
        <f t="shared" si="0"/>
        <v>26</v>
      </c>
      <c r="H5" s="548">
        <f t="shared" si="0"/>
        <v>2</v>
      </c>
      <c r="I5" s="548">
        <f t="shared" si="0"/>
        <v>1</v>
      </c>
      <c r="J5" s="548">
        <f>SUM(J6:J125)</f>
        <v>464</v>
      </c>
      <c r="K5" s="548">
        <f>SUM(K6:K125)</f>
        <v>489</v>
      </c>
      <c r="L5" s="548">
        <f t="shared" si="0"/>
        <v>44</v>
      </c>
      <c r="M5" s="548">
        <f t="shared" si="0"/>
        <v>12</v>
      </c>
      <c r="N5" s="549"/>
      <c r="O5" s="549">
        <f>SUM(O6:O125)</f>
        <v>982</v>
      </c>
      <c r="P5" s="549">
        <f>SUM(P6:P125)</f>
        <v>56</v>
      </c>
      <c r="Q5" s="549"/>
      <c r="R5" s="550">
        <f>+E5/D5</f>
        <v>0.49141675284384695</v>
      </c>
      <c r="S5" s="550">
        <f>+F5/D5</f>
        <v>0.2938986556359876</v>
      </c>
      <c r="U5" s="549">
        <f t="shared" ref="U5:AG5" si="1">SUM(U6:U125)</f>
        <v>259</v>
      </c>
      <c r="V5" s="549">
        <f t="shared" si="1"/>
        <v>1280</v>
      </c>
      <c r="W5" s="549">
        <f t="shared" si="1"/>
        <v>962</v>
      </c>
      <c r="X5" s="549">
        <f t="shared" si="1"/>
        <v>1255</v>
      </c>
      <c r="Y5" s="549">
        <f t="shared" si="1"/>
        <v>1079</v>
      </c>
      <c r="Z5" s="549">
        <f t="shared" si="1"/>
        <v>0</v>
      </c>
      <c r="AA5" s="549">
        <f t="shared" si="1"/>
        <v>0</v>
      </c>
      <c r="AB5" s="549">
        <f t="shared" si="1"/>
        <v>4835</v>
      </c>
      <c r="AC5" s="549">
        <f t="shared" si="1"/>
        <v>1539</v>
      </c>
      <c r="AD5" s="549">
        <f t="shared" si="1"/>
        <v>962</v>
      </c>
      <c r="AE5" s="549">
        <f t="shared" si="1"/>
        <v>1255</v>
      </c>
      <c r="AF5" s="549">
        <f t="shared" si="1"/>
        <v>1079</v>
      </c>
      <c r="AG5" s="549">
        <f t="shared" si="1"/>
        <v>0</v>
      </c>
    </row>
    <row r="6" spans="1:33" x14ac:dyDescent="0.25">
      <c r="A6" s="551" t="s">
        <v>10</v>
      </c>
      <c r="B6" s="552" t="s">
        <v>11</v>
      </c>
      <c r="C6" s="553" t="s">
        <v>264</v>
      </c>
      <c r="D6" s="554">
        <v>15</v>
      </c>
      <c r="E6" s="554">
        <v>10</v>
      </c>
      <c r="F6" s="554">
        <v>4</v>
      </c>
      <c r="G6" s="554">
        <v>0</v>
      </c>
      <c r="H6" s="554">
        <v>0</v>
      </c>
      <c r="I6" s="554">
        <v>0</v>
      </c>
      <c r="J6" s="554">
        <v>0</v>
      </c>
      <c r="K6" s="554">
        <v>1</v>
      </c>
      <c r="L6" s="554">
        <v>0</v>
      </c>
      <c r="M6" s="554">
        <v>0</v>
      </c>
      <c r="N6" s="555"/>
      <c r="O6" s="555">
        <f t="shared" ref="O6:O37" si="2">SUM(G6:K6)</f>
        <v>1</v>
      </c>
      <c r="P6" s="555">
        <f>L6+M6</f>
        <v>0</v>
      </c>
      <c r="Q6" s="555"/>
      <c r="R6" s="556">
        <f t="shared" ref="R6:R37" si="3">IF(D6=0,"N/A",+E6/D6)</f>
        <v>0.66666666666666663</v>
      </c>
      <c r="S6" s="556">
        <f t="shared" ref="S6:S37" si="4">IF(D6=0,"N/A",+F6/D6)</f>
        <v>0.26666666666666666</v>
      </c>
      <c r="U6" s="537">
        <v>3</v>
      </c>
      <c r="V6" s="537">
        <v>6</v>
      </c>
      <c r="W6" s="537">
        <v>3</v>
      </c>
      <c r="X6" s="537">
        <v>2</v>
      </c>
      <c r="Y6" s="537">
        <v>1</v>
      </c>
      <c r="Z6" s="537">
        <v>0</v>
      </c>
      <c r="AA6" s="537">
        <v>0</v>
      </c>
      <c r="AB6" s="537">
        <v>15</v>
      </c>
      <c r="AC6" s="537">
        <f>U6+V6</f>
        <v>9</v>
      </c>
      <c r="AD6" s="537">
        <f>W6</f>
        <v>3</v>
      </c>
      <c r="AE6" s="537">
        <f>X6</f>
        <v>2</v>
      </c>
      <c r="AF6" s="537">
        <f>Y6</f>
        <v>1</v>
      </c>
      <c r="AG6" s="537">
        <f>Z6</f>
        <v>0</v>
      </c>
    </row>
    <row r="7" spans="1:33" x14ac:dyDescent="0.25">
      <c r="A7" s="551" t="s">
        <v>12</v>
      </c>
      <c r="B7" s="552" t="s">
        <v>13</v>
      </c>
      <c r="C7" s="553" t="s">
        <v>265</v>
      </c>
      <c r="D7" s="554">
        <v>73</v>
      </c>
      <c r="E7" s="554">
        <v>30</v>
      </c>
      <c r="F7" s="554">
        <v>21</v>
      </c>
      <c r="G7" s="554">
        <v>0</v>
      </c>
      <c r="H7" s="554">
        <v>0</v>
      </c>
      <c r="I7" s="554">
        <v>0</v>
      </c>
      <c r="J7" s="554">
        <v>10</v>
      </c>
      <c r="K7" s="554">
        <v>12</v>
      </c>
      <c r="L7" s="554">
        <v>0</v>
      </c>
      <c r="M7" s="554">
        <v>0</v>
      </c>
      <c r="N7" s="555"/>
      <c r="O7" s="555">
        <f t="shared" si="2"/>
        <v>22</v>
      </c>
      <c r="P7" s="555">
        <f t="shared" ref="P7:P70" si="5">L7+M7</f>
        <v>0</v>
      </c>
      <c r="Q7" s="555"/>
      <c r="R7" s="556">
        <f t="shared" si="3"/>
        <v>0.41095890410958902</v>
      </c>
      <c r="S7" s="556">
        <f t="shared" si="4"/>
        <v>0.28767123287671231</v>
      </c>
      <c r="U7" s="537">
        <v>2</v>
      </c>
      <c r="V7" s="537">
        <v>16</v>
      </c>
      <c r="W7" s="537">
        <v>18</v>
      </c>
      <c r="X7" s="537">
        <v>20</v>
      </c>
      <c r="Y7" s="537">
        <v>17</v>
      </c>
      <c r="Z7" s="537">
        <v>0</v>
      </c>
      <c r="AA7" s="537">
        <v>0</v>
      </c>
      <c r="AB7" s="537">
        <v>73</v>
      </c>
      <c r="AC7" s="537">
        <f t="shared" ref="AC7:AC70" si="6">U7+V7</f>
        <v>18</v>
      </c>
      <c r="AD7" s="537">
        <f t="shared" ref="AD7:AD70" si="7">W7</f>
        <v>18</v>
      </c>
      <c r="AE7" s="537">
        <f t="shared" ref="AE7:AE70" si="8">X7</f>
        <v>20</v>
      </c>
      <c r="AF7" s="537">
        <f t="shared" ref="AF7:AF70" si="9">Y7</f>
        <v>17</v>
      </c>
      <c r="AG7" s="537">
        <f t="shared" ref="AG7:AG70" si="10">Z7</f>
        <v>0</v>
      </c>
    </row>
    <row r="8" spans="1:33" x14ac:dyDescent="0.25">
      <c r="A8" s="551" t="s">
        <v>14</v>
      </c>
      <c r="B8" s="552" t="s">
        <v>15</v>
      </c>
      <c r="C8" s="558" t="s">
        <v>267</v>
      </c>
      <c r="D8" s="554">
        <v>84</v>
      </c>
      <c r="E8" s="554">
        <v>9</v>
      </c>
      <c r="F8" s="554">
        <v>45</v>
      </c>
      <c r="G8" s="554">
        <v>0</v>
      </c>
      <c r="H8" s="554">
        <v>0</v>
      </c>
      <c r="I8" s="554">
        <v>0</v>
      </c>
      <c r="J8" s="554">
        <v>23</v>
      </c>
      <c r="K8" s="554">
        <v>6</v>
      </c>
      <c r="L8" s="554">
        <v>1</v>
      </c>
      <c r="M8" s="554">
        <v>0</v>
      </c>
      <c r="N8" s="555"/>
      <c r="O8" s="555">
        <f t="shared" si="2"/>
        <v>29</v>
      </c>
      <c r="P8" s="555">
        <f t="shared" si="5"/>
        <v>1</v>
      </c>
      <c r="Q8" s="555"/>
      <c r="R8" s="556">
        <f t="shared" si="3"/>
        <v>0.10714285714285714</v>
      </c>
      <c r="S8" s="556">
        <f t="shared" si="4"/>
        <v>0.5357142857142857</v>
      </c>
      <c r="U8" s="537">
        <v>8</v>
      </c>
      <c r="V8" s="537">
        <v>24</v>
      </c>
      <c r="W8" s="537">
        <v>13</v>
      </c>
      <c r="X8" s="537">
        <v>20</v>
      </c>
      <c r="Y8" s="537">
        <v>19</v>
      </c>
      <c r="Z8" s="537">
        <v>0</v>
      </c>
      <c r="AA8" s="537">
        <v>0</v>
      </c>
      <c r="AB8" s="537">
        <v>84</v>
      </c>
      <c r="AC8" s="537">
        <f t="shared" si="6"/>
        <v>32</v>
      </c>
      <c r="AD8" s="537">
        <f t="shared" si="7"/>
        <v>13</v>
      </c>
      <c r="AE8" s="537">
        <f t="shared" si="8"/>
        <v>20</v>
      </c>
      <c r="AF8" s="537">
        <f t="shared" si="9"/>
        <v>19</v>
      </c>
      <c r="AG8" s="537">
        <f t="shared" si="10"/>
        <v>0</v>
      </c>
    </row>
    <row r="9" spans="1:33" x14ac:dyDescent="0.25">
      <c r="A9" s="551" t="s">
        <v>16</v>
      </c>
      <c r="B9" s="552" t="s">
        <v>17</v>
      </c>
      <c r="C9" s="553" t="s">
        <v>265</v>
      </c>
      <c r="D9" s="554">
        <v>10</v>
      </c>
      <c r="E9" s="554">
        <v>8</v>
      </c>
      <c r="F9" s="554">
        <v>1</v>
      </c>
      <c r="G9" s="554">
        <v>0</v>
      </c>
      <c r="H9" s="554">
        <v>0</v>
      </c>
      <c r="I9" s="554">
        <v>0</v>
      </c>
      <c r="J9" s="554">
        <v>0</v>
      </c>
      <c r="K9" s="554">
        <v>1</v>
      </c>
      <c r="L9" s="554">
        <v>0</v>
      </c>
      <c r="M9" s="554">
        <v>0</v>
      </c>
      <c r="N9" s="555"/>
      <c r="O9" s="555">
        <f t="shared" si="2"/>
        <v>1</v>
      </c>
      <c r="P9" s="555">
        <f t="shared" si="5"/>
        <v>0</v>
      </c>
      <c r="Q9" s="555"/>
      <c r="R9" s="556">
        <f t="shared" si="3"/>
        <v>0.8</v>
      </c>
      <c r="S9" s="556">
        <f t="shared" si="4"/>
        <v>0.1</v>
      </c>
      <c r="U9" s="537">
        <v>0</v>
      </c>
      <c r="V9" s="537">
        <v>4</v>
      </c>
      <c r="W9" s="537">
        <v>1</v>
      </c>
      <c r="X9" s="537">
        <v>4</v>
      </c>
      <c r="Y9" s="537">
        <v>1</v>
      </c>
      <c r="Z9" s="537">
        <v>0</v>
      </c>
      <c r="AA9" s="537">
        <v>0</v>
      </c>
      <c r="AB9" s="537">
        <v>10</v>
      </c>
      <c r="AC9" s="537">
        <f t="shared" si="6"/>
        <v>4</v>
      </c>
      <c r="AD9" s="537">
        <f t="shared" si="7"/>
        <v>1</v>
      </c>
      <c r="AE9" s="537">
        <f t="shared" si="8"/>
        <v>4</v>
      </c>
      <c r="AF9" s="537">
        <f t="shared" si="9"/>
        <v>1</v>
      </c>
      <c r="AG9" s="537">
        <f t="shared" si="10"/>
        <v>0</v>
      </c>
    </row>
    <row r="10" spans="1:33" x14ac:dyDescent="0.25">
      <c r="A10" s="551" t="s">
        <v>18</v>
      </c>
      <c r="B10" s="552" t="s">
        <v>19</v>
      </c>
      <c r="C10" s="553" t="s">
        <v>266</v>
      </c>
      <c r="D10" s="554">
        <v>1</v>
      </c>
      <c r="E10" s="554">
        <v>0</v>
      </c>
      <c r="F10" s="554">
        <v>0</v>
      </c>
      <c r="G10" s="554">
        <v>0</v>
      </c>
      <c r="H10" s="554">
        <v>0</v>
      </c>
      <c r="I10" s="554">
        <v>0</v>
      </c>
      <c r="J10" s="554">
        <v>1</v>
      </c>
      <c r="K10" s="554">
        <v>0</v>
      </c>
      <c r="L10" s="554">
        <v>0</v>
      </c>
      <c r="M10" s="554">
        <v>0</v>
      </c>
      <c r="N10" s="555"/>
      <c r="O10" s="555">
        <f t="shared" si="2"/>
        <v>1</v>
      </c>
      <c r="P10" s="555">
        <f t="shared" si="5"/>
        <v>0</v>
      </c>
      <c r="Q10" s="555"/>
      <c r="R10" s="556">
        <f t="shared" si="3"/>
        <v>0</v>
      </c>
      <c r="S10" s="556">
        <f t="shared" si="4"/>
        <v>0</v>
      </c>
      <c r="U10" s="537">
        <v>0</v>
      </c>
      <c r="V10" s="537">
        <v>0</v>
      </c>
      <c r="W10" s="537">
        <v>0</v>
      </c>
      <c r="X10" s="537">
        <v>1</v>
      </c>
      <c r="Y10" s="537">
        <v>0</v>
      </c>
      <c r="Z10" s="537">
        <v>0</v>
      </c>
      <c r="AA10" s="537">
        <v>0</v>
      </c>
      <c r="AB10" s="537">
        <v>1</v>
      </c>
      <c r="AC10" s="537">
        <f t="shared" si="6"/>
        <v>0</v>
      </c>
      <c r="AD10" s="537">
        <f t="shared" si="7"/>
        <v>0</v>
      </c>
      <c r="AE10" s="537">
        <f t="shared" si="8"/>
        <v>1</v>
      </c>
      <c r="AF10" s="537">
        <f t="shared" si="9"/>
        <v>0</v>
      </c>
      <c r="AG10" s="537">
        <f t="shared" si="10"/>
        <v>0</v>
      </c>
    </row>
    <row r="11" spans="1:33" x14ac:dyDescent="0.25">
      <c r="A11" s="551" t="s">
        <v>20</v>
      </c>
      <c r="B11" s="552" t="s">
        <v>21</v>
      </c>
      <c r="C11" s="553" t="s">
        <v>265</v>
      </c>
      <c r="D11" s="554">
        <v>20</v>
      </c>
      <c r="E11" s="554">
        <v>14</v>
      </c>
      <c r="F11" s="554">
        <v>5</v>
      </c>
      <c r="G11" s="554">
        <v>0</v>
      </c>
      <c r="H11" s="554">
        <v>0</v>
      </c>
      <c r="I11" s="554">
        <v>0</v>
      </c>
      <c r="J11" s="554">
        <v>0</v>
      </c>
      <c r="K11" s="554">
        <v>1</v>
      </c>
      <c r="L11" s="554">
        <v>0</v>
      </c>
      <c r="M11" s="554">
        <v>0</v>
      </c>
      <c r="N11" s="555"/>
      <c r="O11" s="555">
        <f t="shared" si="2"/>
        <v>1</v>
      </c>
      <c r="P11" s="555">
        <f t="shared" si="5"/>
        <v>0</v>
      </c>
      <c r="Q11" s="555"/>
      <c r="R11" s="556">
        <f t="shared" si="3"/>
        <v>0.7</v>
      </c>
      <c r="S11" s="556">
        <f t="shared" si="4"/>
        <v>0.25</v>
      </c>
      <c r="U11" s="537">
        <v>0</v>
      </c>
      <c r="V11" s="537">
        <v>6</v>
      </c>
      <c r="W11" s="537">
        <v>3</v>
      </c>
      <c r="X11" s="537">
        <v>6</v>
      </c>
      <c r="Y11" s="537">
        <v>5</v>
      </c>
      <c r="Z11" s="537">
        <v>0</v>
      </c>
      <c r="AA11" s="537">
        <v>0</v>
      </c>
      <c r="AB11" s="537">
        <v>20</v>
      </c>
      <c r="AC11" s="537">
        <f t="shared" si="6"/>
        <v>6</v>
      </c>
      <c r="AD11" s="537">
        <f t="shared" si="7"/>
        <v>3</v>
      </c>
      <c r="AE11" s="537">
        <f t="shared" si="8"/>
        <v>6</v>
      </c>
      <c r="AF11" s="537">
        <f t="shared" si="9"/>
        <v>5</v>
      </c>
      <c r="AG11" s="537">
        <f t="shared" si="10"/>
        <v>0</v>
      </c>
    </row>
    <row r="12" spans="1:33" x14ac:dyDescent="0.25">
      <c r="A12" s="551" t="s">
        <v>22</v>
      </c>
      <c r="B12" s="552" t="s">
        <v>23</v>
      </c>
      <c r="C12" s="553" t="s">
        <v>265</v>
      </c>
      <c r="D12" s="554">
        <v>21</v>
      </c>
      <c r="E12" s="554">
        <v>14</v>
      </c>
      <c r="F12" s="554">
        <v>2</v>
      </c>
      <c r="G12" s="554">
        <v>0</v>
      </c>
      <c r="H12" s="554">
        <v>0</v>
      </c>
      <c r="I12" s="554">
        <v>0</v>
      </c>
      <c r="J12" s="554">
        <v>1</v>
      </c>
      <c r="K12" s="554">
        <v>4</v>
      </c>
      <c r="L12" s="554">
        <v>0</v>
      </c>
      <c r="M12" s="554">
        <v>0</v>
      </c>
      <c r="N12" s="555"/>
      <c r="O12" s="555">
        <f t="shared" si="2"/>
        <v>5</v>
      </c>
      <c r="P12" s="555">
        <f t="shared" si="5"/>
        <v>0</v>
      </c>
      <c r="Q12" s="555"/>
      <c r="R12" s="556">
        <f t="shared" si="3"/>
        <v>0.66666666666666663</v>
      </c>
      <c r="S12" s="556">
        <f t="shared" si="4"/>
        <v>9.5238095238095233E-2</v>
      </c>
      <c r="U12" s="537">
        <v>2</v>
      </c>
      <c r="V12" s="537">
        <v>2</v>
      </c>
      <c r="W12" s="537">
        <v>3</v>
      </c>
      <c r="X12" s="537">
        <v>8</v>
      </c>
      <c r="Y12" s="537">
        <v>6</v>
      </c>
      <c r="Z12" s="537">
        <v>0</v>
      </c>
      <c r="AA12" s="537">
        <v>0</v>
      </c>
      <c r="AB12" s="537">
        <v>21</v>
      </c>
      <c r="AC12" s="537">
        <f t="shared" si="6"/>
        <v>4</v>
      </c>
      <c r="AD12" s="537">
        <f t="shared" si="7"/>
        <v>3</v>
      </c>
      <c r="AE12" s="537">
        <f t="shared" si="8"/>
        <v>8</v>
      </c>
      <c r="AF12" s="537">
        <f t="shared" si="9"/>
        <v>6</v>
      </c>
      <c r="AG12" s="537">
        <f t="shared" si="10"/>
        <v>0</v>
      </c>
    </row>
    <row r="13" spans="1:33" x14ac:dyDescent="0.25">
      <c r="A13" s="551" t="s">
        <v>24</v>
      </c>
      <c r="B13" s="552" t="s">
        <v>25</v>
      </c>
      <c r="C13" s="553" t="s">
        <v>267</v>
      </c>
      <c r="D13" s="554">
        <v>69</v>
      </c>
      <c r="E13" s="554">
        <v>4</v>
      </c>
      <c r="F13" s="554">
        <v>39</v>
      </c>
      <c r="G13" s="554">
        <v>3</v>
      </c>
      <c r="H13" s="554">
        <v>0</v>
      </c>
      <c r="I13" s="554">
        <v>0</v>
      </c>
      <c r="J13" s="554">
        <v>23</v>
      </c>
      <c r="K13" s="554">
        <v>0</v>
      </c>
      <c r="L13" s="554">
        <v>0</v>
      </c>
      <c r="M13" s="554">
        <v>0</v>
      </c>
      <c r="N13" s="555"/>
      <c r="O13" s="555">
        <f t="shared" si="2"/>
        <v>26</v>
      </c>
      <c r="P13" s="555">
        <f t="shared" si="5"/>
        <v>0</v>
      </c>
      <c r="Q13" s="555"/>
      <c r="R13" s="556">
        <f t="shared" si="3"/>
        <v>5.7971014492753624E-2</v>
      </c>
      <c r="S13" s="556">
        <f t="shared" si="4"/>
        <v>0.56521739130434778</v>
      </c>
      <c r="U13" s="537">
        <v>1</v>
      </c>
      <c r="V13" s="537">
        <v>22</v>
      </c>
      <c r="W13" s="537">
        <v>13</v>
      </c>
      <c r="X13" s="537">
        <v>12</v>
      </c>
      <c r="Y13" s="537">
        <v>21</v>
      </c>
      <c r="Z13" s="537">
        <v>0</v>
      </c>
      <c r="AA13" s="537">
        <v>0</v>
      </c>
      <c r="AB13" s="537">
        <v>69</v>
      </c>
      <c r="AC13" s="537">
        <f t="shared" si="6"/>
        <v>23</v>
      </c>
      <c r="AD13" s="537">
        <f t="shared" si="7"/>
        <v>13</v>
      </c>
      <c r="AE13" s="537">
        <f t="shared" si="8"/>
        <v>12</v>
      </c>
      <c r="AF13" s="537">
        <f t="shared" si="9"/>
        <v>21</v>
      </c>
      <c r="AG13" s="537">
        <f t="shared" si="10"/>
        <v>0</v>
      </c>
    </row>
    <row r="14" spans="1:33" x14ac:dyDescent="0.25">
      <c r="A14" s="551" t="s">
        <v>26</v>
      </c>
      <c r="B14" s="552" t="s">
        <v>685</v>
      </c>
      <c r="C14" s="553" t="s">
        <v>265</v>
      </c>
      <c r="D14" s="554">
        <v>132</v>
      </c>
      <c r="E14" s="554">
        <v>89</v>
      </c>
      <c r="F14" s="554">
        <v>13</v>
      </c>
      <c r="G14" s="554">
        <v>0</v>
      </c>
      <c r="H14" s="554">
        <v>0</v>
      </c>
      <c r="I14" s="554">
        <v>0</v>
      </c>
      <c r="J14" s="554">
        <v>11</v>
      </c>
      <c r="K14" s="554">
        <v>18</v>
      </c>
      <c r="L14" s="554">
        <v>1</v>
      </c>
      <c r="M14" s="554">
        <v>0</v>
      </c>
      <c r="N14" s="555"/>
      <c r="O14" s="555">
        <f t="shared" si="2"/>
        <v>29</v>
      </c>
      <c r="P14" s="555">
        <f t="shared" si="5"/>
        <v>1</v>
      </c>
      <c r="Q14" s="555"/>
      <c r="R14" s="556">
        <f t="shared" si="3"/>
        <v>0.6742424242424242</v>
      </c>
      <c r="S14" s="556">
        <f t="shared" si="4"/>
        <v>9.8484848484848481E-2</v>
      </c>
      <c r="U14" s="537">
        <v>3</v>
      </c>
      <c r="V14" s="537">
        <v>32</v>
      </c>
      <c r="W14" s="537">
        <v>43</v>
      </c>
      <c r="X14" s="537">
        <v>32</v>
      </c>
      <c r="Y14" s="537">
        <v>22</v>
      </c>
      <c r="Z14" s="537">
        <v>0</v>
      </c>
      <c r="AA14" s="537">
        <v>0</v>
      </c>
      <c r="AB14" s="537">
        <v>132</v>
      </c>
      <c r="AC14" s="537">
        <f t="shared" si="6"/>
        <v>35</v>
      </c>
      <c r="AD14" s="537">
        <f t="shared" si="7"/>
        <v>43</v>
      </c>
      <c r="AE14" s="537">
        <f t="shared" si="8"/>
        <v>32</v>
      </c>
      <c r="AF14" s="537">
        <f t="shared" si="9"/>
        <v>22</v>
      </c>
      <c r="AG14" s="537">
        <f t="shared" si="10"/>
        <v>0</v>
      </c>
    </row>
    <row r="15" spans="1:33" x14ac:dyDescent="0.25">
      <c r="A15" s="557" t="s">
        <v>27</v>
      </c>
      <c r="B15" s="552" t="s">
        <v>28</v>
      </c>
      <c r="C15" s="558" t="s">
        <v>265</v>
      </c>
      <c r="D15" s="554">
        <v>0</v>
      </c>
      <c r="E15" s="554">
        <v>0</v>
      </c>
      <c r="F15" s="554">
        <v>0</v>
      </c>
      <c r="G15" s="554">
        <v>0</v>
      </c>
      <c r="H15" s="554">
        <v>0</v>
      </c>
      <c r="I15" s="554">
        <v>0</v>
      </c>
      <c r="J15" s="554">
        <v>0</v>
      </c>
      <c r="K15" s="554">
        <v>0</v>
      </c>
      <c r="L15" s="554">
        <v>0</v>
      </c>
      <c r="M15" s="554">
        <v>0</v>
      </c>
      <c r="N15" s="555"/>
      <c r="O15" s="555">
        <f t="shared" si="2"/>
        <v>0</v>
      </c>
      <c r="P15" s="555">
        <f t="shared" si="5"/>
        <v>0</v>
      </c>
      <c r="Q15" s="555"/>
      <c r="R15" s="556" t="str">
        <f t="shared" si="3"/>
        <v>N/A</v>
      </c>
      <c r="S15" s="556" t="str">
        <f t="shared" si="4"/>
        <v>N/A</v>
      </c>
      <c r="U15" s="537">
        <v>0</v>
      </c>
      <c r="V15" s="537">
        <v>0</v>
      </c>
      <c r="W15" s="537">
        <v>0</v>
      </c>
      <c r="X15" s="537">
        <v>0</v>
      </c>
      <c r="Y15" s="537">
        <v>0</v>
      </c>
      <c r="Z15" s="537">
        <v>0</v>
      </c>
      <c r="AA15" s="537">
        <v>0</v>
      </c>
      <c r="AB15" s="537">
        <v>0</v>
      </c>
      <c r="AC15" s="537">
        <f t="shared" si="6"/>
        <v>0</v>
      </c>
      <c r="AD15" s="537">
        <f t="shared" si="7"/>
        <v>0</v>
      </c>
      <c r="AE15" s="537">
        <f t="shared" si="8"/>
        <v>0</v>
      </c>
      <c r="AF15" s="537">
        <f t="shared" si="9"/>
        <v>0</v>
      </c>
      <c r="AG15" s="537">
        <f t="shared" si="10"/>
        <v>0</v>
      </c>
    </row>
    <row r="16" spans="1:33" x14ac:dyDescent="0.25">
      <c r="A16" s="551" t="s">
        <v>29</v>
      </c>
      <c r="B16" s="552" t="s">
        <v>901</v>
      </c>
      <c r="C16" s="558" t="s">
        <v>265</v>
      </c>
      <c r="D16" s="554">
        <v>71</v>
      </c>
      <c r="E16" s="554">
        <v>44</v>
      </c>
      <c r="F16" s="554">
        <v>13</v>
      </c>
      <c r="G16" s="554">
        <v>0</v>
      </c>
      <c r="H16" s="554">
        <v>0</v>
      </c>
      <c r="I16" s="554">
        <v>0</v>
      </c>
      <c r="J16" s="554">
        <v>8</v>
      </c>
      <c r="K16" s="554">
        <v>5</v>
      </c>
      <c r="L16" s="554">
        <v>0</v>
      </c>
      <c r="M16" s="554">
        <v>1</v>
      </c>
      <c r="N16" s="555"/>
      <c r="O16" s="555">
        <f t="shared" si="2"/>
        <v>13</v>
      </c>
      <c r="P16" s="555">
        <f t="shared" si="5"/>
        <v>1</v>
      </c>
      <c r="Q16" s="555"/>
      <c r="R16" s="556">
        <f t="shared" si="3"/>
        <v>0.61971830985915488</v>
      </c>
      <c r="S16" s="556">
        <f t="shared" si="4"/>
        <v>0.18309859154929578</v>
      </c>
      <c r="U16" s="537">
        <v>5</v>
      </c>
      <c r="V16" s="537">
        <v>10</v>
      </c>
      <c r="W16" s="537">
        <v>11</v>
      </c>
      <c r="X16" s="537">
        <v>18</v>
      </c>
      <c r="Y16" s="537">
        <v>27</v>
      </c>
      <c r="Z16" s="537">
        <v>0</v>
      </c>
      <c r="AA16" s="537">
        <v>0</v>
      </c>
      <c r="AB16" s="537">
        <v>71</v>
      </c>
      <c r="AC16" s="537">
        <f t="shared" si="6"/>
        <v>15</v>
      </c>
      <c r="AD16" s="537">
        <f t="shared" si="7"/>
        <v>11</v>
      </c>
      <c r="AE16" s="537">
        <f t="shared" si="8"/>
        <v>18</v>
      </c>
      <c r="AF16" s="537">
        <f t="shared" si="9"/>
        <v>27</v>
      </c>
      <c r="AG16" s="537">
        <f t="shared" si="10"/>
        <v>0</v>
      </c>
    </row>
    <row r="17" spans="1:33" x14ac:dyDescent="0.25">
      <c r="A17" s="551" t="s">
        <v>30</v>
      </c>
      <c r="B17" s="552" t="s">
        <v>31</v>
      </c>
      <c r="C17" s="558" t="s">
        <v>268</v>
      </c>
      <c r="D17" s="554">
        <v>5</v>
      </c>
      <c r="E17" s="554">
        <v>5</v>
      </c>
      <c r="F17" s="554">
        <v>0</v>
      </c>
      <c r="G17" s="554">
        <v>0</v>
      </c>
      <c r="H17" s="554">
        <v>0</v>
      </c>
      <c r="I17" s="554">
        <v>0</v>
      </c>
      <c r="J17" s="554">
        <v>0</v>
      </c>
      <c r="K17" s="554">
        <v>0</v>
      </c>
      <c r="L17" s="554">
        <v>0</v>
      </c>
      <c r="M17" s="554">
        <v>0</v>
      </c>
      <c r="N17" s="555"/>
      <c r="O17" s="555">
        <f t="shared" si="2"/>
        <v>0</v>
      </c>
      <c r="P17" s="555">
        <f t="shared" si="5"/>
        <v>0</v>
      </c>
      <c r="Q17" s="555"/>
      <c r="R17" s="556">
        <f t="shared" si="3"/>
        <v>1</v>
      </c>
      <c r="S17" s="556">
        <f t="shared" si="4"/>
        <v>0</v>
      </c>
      <c r="U17" s="537">
        <v>1</v>
      </c>
      <c r="V17" s="537">
        <v>1</v>
      </c>
      <c r="W17" s="537">
        <v>1</v>
      </c>
      <c r="X17" s="537">
        <v>1</v>
      </c>
      <c r="Y17" s="537">
        <v>1</v>
      </c>
      <c r="Z17" s="537">
        <v>0</v>
      </c>
      <c r="AA17" s="537">
        <v>0</v>
      </c>
      <c r="AB17" s="537">
        <v>5</v>
      </c>
      <c r="AC17" s="537">
        <f t="shared" si="6"/>
        <v>2</v>
      </c>
      <c r="AD17" s="537">
        <f t="shared" si="7"/>
        <v>1</v>
      </c>
      <c r="AE17" s="537">
        <f t="shared" si="8"/>
        <v>1</v>
      </c>
      <c r="AF17" s="537">
        <f t="shared" si="9"/>
        <v>1</v>
      </c>
      <c r="AG17" s="537">
        <f t="shared" si="10"/>
        <v>0</v>
      </c>
    </row>
    <row r="18" spans="1:33" x14ac:dyDescent="0.25">
      <c r="A18" s="551" t="s">
        <v>32</v>
      </c>
      <c r="B18" s="552" t="s">
        <v>33</v>
      </c>
      <c r="C18" s="558" t="s">
        <v>265</v>
      </c>
      <c r="D18" s="554">
        <v>1</v>
      </c>
      <c r="E18" s="554">
        <v>0</v>
      </c>
      <c r="F18" s="554">
        <v>0</v>
      </c>
      <c r="G18" s="554">
        <v>0</v>
      </c>
      <c r="H18" s="554">
        <v>0</v>
      </c>
      <c r="I18" s="554">
        <v>0</v>
      </c>
      <c r="J18" s="554">
        <v>0</v>
      </c>
      <c r="K18" s="554">
        <v>1</v>
      </c>
      <c r="L18" s="554">
        <v>0</v>
      </c>
      <c r="M18" s="554">
        <v>0</v>
      </c>
      <c r="N18" s="555"/>
      <c r="O18" s="555">
        <f t="shared" si="2"/>
        <v>1</v>
      </c>
      <c r="P18" s="555">
        <f t="shared" si="5"/>
        <v>0</v>
      </c>
      <c r="Q18" s="555"/>
      <c r="R18" s="556">
        <f t="shared" si="3"/>
        <v>0</v>
      </c>
      <c r="S18" s="556">
        <f t="shared" si="4"/>
        <v>0</v>
      </c>
      <c r="U18" s="537">
        <v>0</v>
      </c>
      <c r="V18" s="537">
        <v>1</v>
      </c>
      <c r="W18" s="537">
        <v>0</v>
      </c>
      <c r="X18" s="537">
        <v>0</v>
      </c>
      <c r="Y18" s="537">
        <v>0</v>
      </c>
      <c r="Z18" s="537">
        <v>0</v>
      </c>
      <c r="AA18" s="537">
        <v>0</v>
      </c>
      <c r="AB18" s="537">
        <v>1</v>
      </c>
      <c r="AC18" s="537">
        <f t="shared" si="6"/>
        <v>1</v>
      </c>
      <c r="AD18" s="537">
        <f t="shared" si="7"/>
        <v>0</v>
      </c>
      <c r="AE18" s="537">
        <f t="shared" si="8"/>
        <v>0</v>
      </c>
      <c r="AF18" s="537">
        <f t="shared" si="9"/>
        <v>0</v>
      </c>
      <c r="AG18" s="537">
        <f t="shared" si="10"/>
        <v>0</v>
      </c>
    </row>
    <row r="19" spans="1:33" x14ac:dyDescent="0.25">
      <c r="A19" s="551" t="s">
        <v>34</v>
      </c>
      <c r="B19" s="552" t="s">
        <v>35</v>
      </c>
      <c r="C19" s="558" t="s">
        <v>268</v>
      </c>
      <c r="D19" s="554">
        <v>48</v>
      </c>
      <c r="E19" s="554">
        <v>40</v>
      </c>
      <c r="F19" s="554">
        <v>3</v>
      </c>
      <c r="G19" s="554">
        <v>0</v>
      </c>
      <c r="H19" s="554">
        <v>0</v>
      </c>
      <c r="I19" s="554">
        <v>0</v>
      </c>
      <c r="J19" s="554">
        <v>3</v>
      </c>
      <c r="K19" s="554">
        <v>2</v>
      </c>
      <c r="L19" s="554">
        <v>0</v>
      </c>
      <c r="M19" s="554">
        <v>0</v>
      </c>
      <c r="N19" s="555"/>
      <c r="O19" s="555">
        <f t="shared" si="2"/>
        <v>5</v>
      </c>
      <c r="P19" s="555">
        <f t="shared" si="5"/>
        <v>0</v>
      </c>
      <c r="Q19" s="555"/>
      <c r="R19" s="556">
        <f t="shared" si="3"/>
        <v>0.83333333333333337</v>
      </c>
      <c r="S19" s="556">
        <f t="shared" si="4"/>
        <v>6.25E-2</v>
      </c>
      <c r="U19" s="537">
        <v>2</v>
      </c>
      <c r="V19" s="537">
        <v>12</v>
      </c>
      <c r="W19" s="537">
        <v>8</v>
      </c>
      <c r="X19" s="537">
        <v>13</v>
      </c>
      <c r="Y19" s="537">
        <v>13</v>
      </c>
      <c r="Z19" s="537">
        <v>0</v>
      </c>
      <c r="AA19" s="537">
        <v>0</v>
      </c>
      <c r="AB19" s="537">
        <v>48</v>
      </c>
      <c r="AC19" s="537">
        <f t="shared" si="6"/>
        <v>14</v>
      </c>
      <c r="AD19" s="537">
        <f t="shared" si="7"/>
        <v>8</v>
      </c>
      <c r="AE19" s="537">
        <f t="shared" si="8"/>
        <v>13</v>
      </c>
      <c r="AF19" s="537">
        <f t="shared" si="9"/>
        <v>13</v>
      </c>
      <c r="AG19" s="537">
        <f t="shared" si="10"/>
        <v>0</v>
      </c>
    </row>
    <row r="20" spans="1:33" x14ac:dyDescent="0.25">
      <c r="A20" s="551" t="s">
        <v>36</v>
      </c>
      <c r="B20" s="552" t="s">
        <v>37</v>
      </c>
      <c r="C20" s="558" t="s">
        <v>264</v>
      </c>
      <c r="D20" s="554">
        <v>6</v>
      </c>
      <c r="E20" s="554">
        <v>4</v>
      </c>
      <c r="F20" s="554">
        <v>2</v>
      </c>
      <c r="G20" s="554">
        <v>0</v>
      </c>
      <c r="H20" s="554">
        <v>0</v>
      </c>
      <c r="I20" s="554">
        <v>0</v>
      </c>
      <c r="J20" s="554">
        <v>0</v>
      </c>
      <c r="K20" s="554">
        <v>0</v>
      </c>
      <c r="L20" s="554">
        <v>0</v>
      </c>
      <c r="M20" s="554">
        <v>0</v>
      </c>
      <c r="N20" s="555"/>
      <c r="O20" s="555">
        <f t="shared" si="2"/>
        <v>0</v>
      </c>
      <c r="P20" s="555">
        <f t="shared" si="5"/>
        <v>0</v>
      </c>
      <c r="Q20" s="555"/>
      <c r="R20" s="556">
        <f t="shared" si="3"/>
        <v>0.66666666666666663</v>
      </c>
      <c r="S20" s="556">
        <f t="shared" si="4"/>
        <v>0.33333333333333331</v>
      </c>
      <c r="U20" s="537">
        <v>1</v>
      </c>
      <c r="V20" s="537">
        <v>2</v>
      </c>
      <c r="W20" s="537">
        <v>0</v>
      </c>
      <c r="X20" s="537">
        <v>3</v>
      </c>
      <c r="Y20" s="537">
        <v>0</v>
      </c>
      <c r="Z20" s="537">
        <v>0</v>
      </c>
      <c r="AA20" s="537">
        <v>0</v>
      </c>
      <c r="AB20" s="537">
        <v>6</v>
      </c>
      <c r="AC20" s="537">
        <f t="shared" si="6"/>
        <v>3</v>
      </c>
      <c r="AD20" s="537">
        <f t="shared" si="7"/>
        <v>0</v>
      </c>
      <c r="AE20" s="537">
        <f t="shared" si="8"/>
        <v>3</v>
      </c>
      <c r="AF20" s="537">
        <f t="shared" si="9"/>
        <v>0</v>
      </c>
      <c r="AG20" s="537">
        <f t="shared" si="10"/>
        <v>0</v>
      </c>
    </row>
    <row r="21" spans="1:33" x14ac:dyDescent="0.25">
      <c r="A21" s="551" t="s">
        <v>38</v>
      </c>
      <c r="B21" s="552" t="s">
        <v>39</v>
      </c>
      <c r="C21" s="558" t="s">
        <v>268</v>
      </c>
      <c r="D21" s="554">
        <v>50</v>
      </c>
      <c r="E21" s="554">
        <v>46</v>
      </c>
      <c r="F21" s="554">
        <v>0</v>
      </c>
      <c r="G21" s="554">
        <v>0</v>
      </c>
      <c r="H21" s="554">
        <v>0</v>
      </c>
      <c r="I21" s="554">
        <v>0</v>
      </c>
      <c r="J21" s="554">
        <v>0</v>
      </c>
      <c r="K21" s="554">
        <v>4</v>
      </c>
      <c r="L21" s="554">
        <v>0</v>
      </c>
      <c r="M21" s="554">
        <v>0</v>
      </c>
      <c r="N21" s="555"/>
      <c r="O21" s="555">
        <f t="shared" si="2"/>
        <v>4</v>
      </c>
      <c r="P21" s="555">
        <f t="shared" si="5"/>
        <v>0</v>
      </c>
      <c r="Q21" s="555"/>
      <c r="R21" s="556">
        <f t="shared" si="3"/>
        <v>0.92</v>
      </c>
      <c r="S21" s="556">
        <f t="shared" si="4"/>
        <v>0</v>
      </c>
      <c r="U21" s="537">
        <v>4</v>
      </c>
      <c r="V21" s="537">
        <v>12</v>
      </c>
      <c r="W21" s="537">
        <v>9</v>
      </c>
      <c r="X21" s="537">
        <v>13</v>
      </c>
      <c r="Y21" s="537">
        <v>12</v>
      </c>
      <c r="Z21" s="537">
        <v>0</v>
      </c>
      <c r="AA21" s="537">
        <v>0</v>
      </c>
      <c r="AB21" s="537">
        <v>50</v>
      </c>
      <c r="AC21" s="537">
        <f t="shared" si="6"/>
        <v>16</v>
      </c>
      <c r="AD21" s="537">
        <f t="shared" si="7"/>
        <v>9</v>
      </c>
      <c r="AE21" s="537">
        <f t="shared" si="8"/>
        <v>13</v>
      </c>
      <c r="AF21" s="537">
        <f t="shared" si="9"/>
        <v>12</v>
      </c>
      <c r="AG21" s="537">
        <f t="shared" si="10"/>
        <v>0</v>
      </c>
    </row>
    <row r="22" spans="1:33" x14ac:dyDescent="0.25">
      <c r="A22" s="551" t="s">
        <v>40</v>
      </c>
      <c r="B22" s="552" t="s">
        <v>41</v>
      </c>
      <c r="C22" s="558" t="s">
        <v>266</v>
      </c>
      <c r="D22" s="554">
        <v>15</v>
      </c>
      <c r="E22" s="554">
        <v>4</v>
      </c>
      <c r="F22" s="554">
        <v>8</v>
      </c>
      <c r="G22" s="554">
        <v>0</v>
      </c>
      <c r="H22" s="554">
        <v>0</v>
      </c>
      <c r="I22" s="554">
        <v>0</v>
      </c>
      <c r="J22" s="554">
        <v>0</v>
      </c>
      <c r="K22" s="554">
        <v>2</v>
      </c>
      <c r="L22" s="554">
        <v>0</v>
      </c>
      <c r="M22" s="554">
        <v>1</v>
      </c>
      <c r="N22" s="555"/>
      <c r="O22" s="555">
        <f t="shared" si="2"/>
        <v>2</v>
      </c>
      <c r="P22" s="555">
        <f t="shared" si="5"/>
        <v>1</v>
      </c>
      <c r="Q22" s="555"/>
      <c r="R22" s="556">
        <f t="shared" si="3"/>
        <v>0.26666666666666666</v>
      </c>
      <c r="S22" s="556">
        <f t="shared" si="4"/>
        <v>0.53333333333333333</v>
      </c>
      <c r="U22" s="537">
        <v>1</v>
      </c>
      <c r="V22" s="537">
        <v>2</v>
      </c>
      <c r="W22" s="537">
        <v>4</v>
      </c>
      <c r="X22" s="537">
        <v>4</v>
      </c>
      <c r="Y22" s="537">
        <v>4</v>
      </c>
      <c r="Z22" s="537">
        <v>0</v>
      </c>
      <c r="AA22" s="537">
        <v>0</v>
      </c>
      <c r="AB22" s="537">
        <v>15</v>
      </c>
      <c r="AC22" s="537">
        <f t="shared" si="6"/>
        <v>3</v>
      </c>
      <c r="AD22" s="537">
        <f t="shared" si="7"/>
        <v>4</v>
      </c>
      <c r="AE22" s="537">
        <f t="shared" si="8"/>
        <v>4</v>
      </c>
      <c r="AF22" s="537">
        <f t="shared" si="9"/>
        <v>4</v>
      </c>
      <c r="AG22" s="537">
        <f t="shared" si="10"/>
        <v>0</v>
      </c>
    </row>
    <row r="23" spans="1:33" x14ac:dyDescent="0.25">
      <c r="A23" s="551" t="s">
        <v>42</v>
      </c>
      <c r="B23" s="552" t="s">
        <v>43</v>
      </c>
      <c r="C23" s="558" t="s">
        <v>265</v>
      </c>
      <c r="D23" s="554">
        <v>20</v>
      </c>
      <c r="E23" s="554">
        <v>14</v>
      </c>
      <c r="F23" s="554">
        <v>1</v>
      </c>
      <c r="G23" s="554">
        <v>0</v>
      </c>
      <c r="H23" s="554">
        <v>0</v>
      </c>
      <c r="I23" s="554">
        <v>0</v>
      </c>
      <c r="J23" s="554">
        <v>5</v>
      </c>
      <c r="K23" s="554">
        <v>0</v>
      </c>
      <c r="L23" s="554">
        <v>0</v>
      </c>
      <c r="M23" s="554">
        <v>0</v>
      </c>
      <c r="N23" s="555"/>
      <c r="O23" s="555">
        <f t="shared" si="2"/>
        <v>5</v>
      </c>
      <c r="P23" s="555">
        <f t="shared" si="5"/>
        <v>0</v>
      </c>
      <c r="Q23" s="555"/>
      <c r="R23" s="556">
        <f t="shared" si="3"/>
        <v>0.7</v>
      </c>
      <c r="S23" s="556">
        <f t="shared" si="4"/>
        <v>0.05</v>
      </c>
      <c r="U23" s="537">
        <v>1</v>
      </c>
      <c r="V23" s="537">
        <v>6</v>
      </c>
      <c r="W23" s="537">
        <v>2</v>
      </c>
      <c r="X23" s="537">
        <v>6</v>
      </c>
      <c r="Y23" s="537">
        <v>5</v>
      </c>
      <c r="Z23" s="537">
        <v>0</v>
      </c>
      <c r="AA23" s="537">
        <v>0</v>
      </c>
      <c r="AB23" s="537">
        <v>20</v>
      </c>
      <c r="AC23" s="537">
        <f t="shared" si="6"/>
        <v>7</v>
      </c>
      <c r="AD23" s="537">
        <f t="shared" si="7"/>
        <v>2</v>
      </c>
      <c r="AE23" s="537">
        <f t="shared" si="8"/>
        <v>6</v>
      </c>
      <c r="AF23" s="537">
        <f t="shared" si="9"/>
        <v>5</v>
      </c>
      <c r="AG23" s="537">
        <f t="shared" si="10"/>
        <v>0</v>
      </c>
    </row>
    <row r="24" spans="1:33" x14ac:dyDescent="0.25">
      <c r="A24" s="551" t="s">
        <v>44</v>
      </c>
      <c r="B24" s="552" t="s">
        <v>45</v>
      </c>
      <c r="C24" s="558" t="s">
        <v>266</v>
      </c>
      <c r="D24" s="554">
        <v>23</v>
      </c>
      <c r="E24" s="554">
        <v>14</v>
      </c>
      <c r="F24" s="554">
        <v>4</v>
      </c>
      <c r="G24" s="554">
        <v>0</v>
      </c>
      <c r="H24" s="554">
        <v>0</v>
      </c>
      <c r="I24" s="554">
        <v>0</v>
      </c>
      <c r="J24" s="554">
        <v>1</v>
      </c>
      <c r="K24" s="554">
        <v>4</v>
      </c>
      <c r="L24" s="554">
        <v>0</v>
      </c>
      <c r="M24" s="554">
        <v>0</v>
      </c>
      <c r="N24" s="555"/>
      <c r="O24" s="555">
        <f t="shared" si="2"/>
        <v>5</v>
      </c>
      <c r="P24" s="555">
        <f t="shared" si="5"/>
        <v>0</v>
      </c>
      <c r="Q24" s="555"/>
      <c r="R24" s="556">
        <f t="shared" si="3"/>
        <v>0.60869565217391308</v>
      </c>
      <c r="S24" s="556">
        <f t="shared" si="4"/>
        <v>0.17391304347826086</v>
      </c>
      <c r="U24" s="537">
        <v>0</v>
      </c>
      <c r="V24" s="537">
        <v>4</v>
      </c>
      <c r="W24" s="537">
        <v>6</v>
      </c>
      <c r="X24" s="537">
        <v>7</v>
      </c>
      <c r="Y24" s="537">
        <v>6</v>
      </c>
      <c r="Z24" s="537">
        <v>0</v>
      </c>
      <c r="AA24" s="537">
        <v>0</v>
      </c>
      <c r="AB24" s="537">
        <v>23</v>
      </c>
      <c r="AC24" s="537">
        <f t="shared" si="6"/>
        <v>4</v>
      </c>
      <c r="AD24" s="537">
        <f t="shared" si="7"/>
        <v>6</v>
      </c>
      <c r="AE24" s="537">
        <f t="shared" si="8"/>
        <v>7</v>
      </c>
      <c r="AF24" s="537">
        <f t="shared" si="9"/>
        <v>6</v>
      </c>
      <c r="AG24" s="537">
        <f t="shared" si="10"/>
        <v>0</v>
      </c>
    </row>
    <row r="25" spans="1:33" x14ac:dyDescent="0.25">
      <c r="A25" s="551" t="s">
        <v>46</v>
      </c>
      <c r="B25" s="552" t="s">
        <v>47</v>
      </c>
      <c r="C25" s="558" t="s">
        <v>268</v>
      </c>
      <c r="D25" s="554">
        <v>50</v>
      </c>
      <c r="E25" s="554">
        <v>41</v>
      </c>
      <c r="F25" s="554">
        <v>1</v>
      </c>
      <c r="G25" s="554">
        <v>0</v>
      </c>
      <c r="H25" s="554">
        <v>0</v>
      </c>
      <c r="I25" s="554">
        <v>0</v>
      </c>
      <c r="J25" s="554">
        <v>7</v>
      </c>
      <c r="K25" s="554">
        <v>1</v>
      </c>
      <c r="L25" s="554">
        <v>0</v>
      </c>
      <c r="M25" s="554">
        <v>0</v>
      </c>
      <c r="N25" s="555"/>
      <c r="O25" s="555">
        <f t="shared" si="2"/>
        <v>8</v>
      </c>
      <c r="P25" s="555">
        <f t="shared" si="5"/>
        <v>0</v>
      </c>
      <c r="Q25" s="555"/>
      <c r="R25" s="556">
        <f t="shared" si="3"/>
        <v>0.82</v>
      </c>
      <c r="S25" s="556">
        <f t="shared" si="4"/>
        <v>0.02</v>
      </c>
      <c r="U25" s="537">
        <v>2</v>
      </c>
      <c r="V25" s="537">
        <v>17</v>
      </c>
      <c r="W25" s="537">
        <v>12</v>
      </c>
      <c r="X25" s="537">
        <v>8</v>
      </c>
      <c r="Y25" s="537">
        <v>11</v>
      </c>
      <c r="Z25" s="537">
        <v>0</v>
      </c>
      <c r="AA25" s="537">
        <v>0</v>
      </c>
      <c r="AB25" s="537">
        <v>50</v>
      </c>
      <c r="AC25" s="537">
        <f t="shared" si="6"/>
        <v>19</v>
      </c>
      <c r="AD25" s="537">
        <f t="shared" si="7"/>
        <v>12</v>
      </c>
      <c r="AE25" s="537">
        <f t="shared" si="8"/>
        <v>8</v>
      </c>
      <c r="AF25" s="537">
        <f t="shared" si="9"/>
        <v>11</v>
      </c>
      <c r="AG25" s="537">
        <f t="shared" si="10"/>
        <v>0</v>
      </c>
    </row>
    <row r="26" spans="1:33" x14ac:dyDescent="0.25">
      <c r="A26" s="557" t="s">
        <v>48</v>
      </c>
      <c r="B26" s="552" t="s">
        <v>49</v>
      </c>
      <c r="C26" s="558" t="s">
        <v>266</v>
      </c>
      <c r="D26" s="554">
        <v>0</v>
      </c>
      <c r="E26" s="554">
        <v>0</v>
      </c>
      <c r="F26" s="554">
        <v>0</v>
      </c>
      <c r="G26" s="554">
        <v>0</v>
      </c>
      <c r="H26" s="554">
        <v>0</v>
      </c>
      <c r="I26" s="554">
        <v>0</v>
      </c>
      <c r="J26" s="554">
        <v>0</v>
      </c>
      <c r="K26" s="554">
        <v>0</v>
      </c>
      <c r="L26" s="554">
        <v>0</v>
      </c>
      <c r="M26" s="554">
        <v>0</v>
      </c>
      <c r="N26" s="555"/>
      <c r="O26" s="555">
        <f t="shared" si="2"/>
        <v>0</v>
      </c>
      <c r="P26" s="555">
        <f t="shared" si="5"/>
        <v>0</v>
      </c>
      <c r="Q26" s="555"/>
      <c r="R26" s="556" t="str">
        <f t="shared" si="3"/>
        <v>N/A</v>
      </c>
      <c r="S26" s="556" t="str">
        <f t="shared" si="4"/>
        <v>N/A</v>
      </c>
      <c r="U26" s="537">
        <v>0</v>
      </c>
      <c r="V26" s="537">
        <v>0</v>
      </c>
      <c r="W26" s="537">
        <v>0</v>
      </c>
      <c r="X26" s="537">
        <v>0</v>
      </c>
      <c r="Y26" s="537">
        <v>0</v>
      </c>
      <c r="Z26" s="537">
        <v>0</v>
      </c>
      <c r="AA26" s="537">
        <v>0</v>
      </c>
      <c r="AB26" s="537">
        <v>0</v>
      </c>
      <c r="AC26" s="537">
        <f t="shared" si="6"/>
        <v>0</v>
      </c>
      <c r="AD26" s="537">
        <f t="shared" si="7"/>
        <v>0</v>
      </c>
      <c r="AE26" s="537">
        <f t="shared" si="8"/>
        <v>0</v>
      </c>
      <c r="AF26" s="537">
        <f t="shared" si="9"/>
        <v>0</v>
      </c>
      <c r="AG26" s="537">
        <f t="shared" si="10"/>
        <v>0</v>
      </c>
    </row>
    <row r="27" spans="1:33" x14ac:dyDescent="0.25">
      <c r="A27" s="551" t="s">
        <v>50</v>
      </c>
      <c r="B27" s="552" t="s">
        <v>51</v>
      </c>
      <c r="C27" s="558" t="s">
        <v>265</v>
      </c>
      <c r="D27" s="554">
        <v>28</v>
      </c>
      <c r="E27" s="554">
        <v>13</v>
      </c>
      <c r="F27" s="554">
        <v>9</v>
      </c>
      <c r="G27" s="554">
        <v>0</v>
      </c>
      <c r="H27" s="554">
        <v>0</v>
      </c>
      <c r="I27" s="554">
        <v>0</v>
      </c>
      <c r="J27" s="554">
        <v>0</v>
      </c>
      <c r="K27" s="554">
        <v>5</v>
      </c>
      <c r="L27" s="554">
        <v>1</v>
      </c>
      <c r="M27" s="554">
        <v>0</v>
      </c>
      <c r="N27" s="555"/>
      <c r="O27" s="555">
        <f t="shared" si="2"/>
        <v>5</v>
      </c>
      <c r="P27" s="555">
        <f t="shared" si="5"/>
        <v>1</v>
      </c>
      <c r="Q27" s="555"/>
      <c r="R27" s="556">
        <f t="shared" si="3"/>
        <v>0.4642857142857143</v>
      </c>
      <c r="S27" s="556">
        <f t="shared" si="4"/>
        <v>0.32142857142857145</v>
      </c>
      <c r="U27" s="537">
        <v>2</v>
      </c>
      <c r="V27" s="537">
        <v>10</v>
      </c>
      <c r="W27" s="537">
        <v>9</v>
      </c>
      <c r="X27" s="537">
        <v>4</v>
      </c>
      <c r="Y27" s="537">
        <v>3</v>
      </c>
      <c r="Z27" s="537">
        <v>0</v>
      </c>
      <c r="AA27" s="537">
        <v>0</v>
      </c>
      <c r="AB27" s="537">
        <v>28</v>
      </c>
      <c r="AC27" s="537">
        <f t="shared" si="6"/>
        <v>12</v>
      </c>
      <c r="AD27" s="537">
        <f t="shared" si="7"/>
        <v>9</v>
      </c>
      <c r="AE27" s="537">
        <f t="shared" si="8"/>
        <v>4</v>
      </c>
      <c r="AF27" s="537">
        <f t="shared" si="9"/>
        <v>3</v>
      </c>
      <c r="AG27" s="537">
        <f t="shared" si="10"/>
        <v>0</v>
      </c>
    </row>
    <row r="28" spans="1:33" x14ac:dyDescent="0.25">
      <c r="A28" s="551" t="s">
        <v>52</v>
      </c>
      <c r="B28" s="552" t="s">
        <v>53</v>
      </c>
      <c r="C28" s="558" t="s">
        <v>265</v>
      </c>
      <c r="D28" s="554">
        <v>125</v>
      </c>
      <c r="E28" s="554">
        <v>20</v>
      </c>
      <c r="F28" s="554">
        <v>66</v>
      </c>
      <c r="G28" s="554">
        <v>3</v>
      </c>
      <c r="H28" s="554">
        <v>0</v>
      </c>
      <c r="I28" s="554">
        <v>0</v>
      </c>
      <c r="J28" s="554">
        <v>9</v>
      </c>
      <c r="K28" s="554">
        <v>26</v>
      </c>
      <c r="L28" s="554">
        <v>1</v>
      </c>
      <c r="M28" s="554">
        <v>0</v>
      </c>
      <c r="N28" s="555"/>
      <c r="O28" s="555">
        <f t="shared" si="2"/>
        <v>38</v>
      </c>
      <c r="P28" s="555">
        <f t="shared" si="5"/>
        <v>1</v>
      </c>
      <c r="Q28" s="555"/>
      <c r="R28" s="556">
        <f t="shared" si="3"/>
        <v>0.16</v>
      </c>
      <c r="S28" s="556">
        <f t="shared" si="4"/>
        <v>0.52800000000000002</v>
      </c>
      <c r="U28" s="537">
        <v>4</v>
      </c>
      <c r="V28" s="537">
        <v>39</v>
      </c>
      <c r="W28" s="537">
        <v>40</v>
      </c>
      <c r="X28" s="537">
        <v>25</v>
      </c>
      <c r="Y28" s="537">
        <v>17</v>
      </c>
      <c r="Z28" s="537">
        <v>0</v>
      </c>
      <c r="AA28" s="537">
        <v>0</v>
      </c>
      <c r="AB28" s="537">
        <v>125</v>
      </c>
      <c r="AC28" s="537">
        <f t="shared" si="6"/>
        <v>43</v>
      </c>
      <c r="AD28" s="537">
        <f t="shared" si="7"/>
        <v>40</v>
      </c>
      <c r="AE28" s="537">
        <f t="shared" si="8"/>
        <v>25</v>
      </c>
      <c r="AF28" s="537">
        <f t="shared" si="9"/>
        <v>17</v>
      </c>
      <c r="AG28" s="537">
        <f t="shared" si="10"/>
        <v>0</v>
      </c>
    </row>
    <row r="29" spans="1:33" x14ac:dyDescent="0.25">
      <c r="A29" s="551" t="s">
        <v>54</v>
      </c>
      <c r="B29" s="552" t="s">
        <v>55</v>
      </c>
      <c r="C29" s="558" t="s">
        <v>264</v>
      </c>
      <c r="D29" s="554">
        <v>60</v>
      </c>
      <c r="E29" s="554">
        <v>27</v>
      </c>
      <c r="F29" s="554">
        <v>24</v>
      </c>
      <c r="G29" s="554">
        <v>0</v>
      </c>
      <c r="H29" s="554">
        <v>0</v>
      </c>
      <c r="I29" s="554">
        <v>0</v>
      </c>
      <c r="J29" s="554">
        <v>3</v>
      </c>
      <c r="K29" s="554">
        <v>6</v>
      </c>
      <c r="L29" s="554">
        <v>0</v>
      </c>
      <c r="M29" s="554">
        <v>0</v>
      </c>
      <c r="N29" s="555"/>
      <c r="O29" s="555">
        <f t="shared" si="2"/>
        <v>9</v>
      </c>
      <c r="P29" s="555">
        <f t="shared" si="5"/>
        <v>0</v>
      </c>
      <c r="Q29" s="555"/>
      <c r="R29" s="556">
        <f t="shared" si="3"/>
        <v>0.45</v>
      </c>
      <c r="S29" s="556">
        <f t="shared" si="4"/>
        <v>0.4</v>
      </c>
      <c r="U29" s="537">
        <v>5</v>
      </c>
      <c r="V29" s="537">
        <v>12</v>
      </c>
      <c r="W29" s="537">
        <v>18</v>
      </c>
      <c r="X29" s="537">
        <v>11</v>
      </c>
      <c r="Y29" s="537">
        <v>14</v>
      </c>
      <c r="Z29" s="537">
        <v>0</v>
      </c>
      <c r="AA29" s="537">
        <v>0</v>
      </c>
      <c r="AB29" s="537">
        <v>60</v>
      </c>
      <c r="AC29" s="537">
        <f t="shared" si="6"/>
        <v>17</v>
      </c>
      <c r="AD29" s="537">
        <f t="shared" si="7"/>
        <v>18</v>
      </c>
      <c r="AE29" s="537">
        <f t="shared" si="8"/>
        <v>11</v>
      </c>
      <c r="AF29" s="537">
        <f t="shared" si="9"/>
        <v>14</v>
      </c>
      <c r="AG29" s="537">
        <f t="shared" si="10"/>
        <v>0</v>
      </c>
    </row>
    <row r="30" spans="1:33" x14ac:dyDescent="0.25">
      <c r="A30" s="551" t="s">
        <v>56</v>
      </c>
      <c r="B30" s="552" t="s">
        <v>57</v>
      </c>
      <c r="C30" s="558" t="s">
        <v>266</v>
      </c>
      <c r="D30" s="554">
        <v>92</v>
      </c>
      <c r="E30" s="554">
        <v>52</v>
      </c>
      <c r="F30" s="554">
        <v>19</v>
      </c>
      <c r="G30" s="554">
        <v>1</v>
      </c>
      <c r="H30" s="554">
        <v>0</v>
      </c>
      <c r="I30" s="554">
        <v>0</v>
      </c>
      <c r="J30" s="554">
        <v>7</v>
      </c>
      <c r="K30" s="554">
        <v>10</v>
      </c>
      <c r="L30" s="554">
        <v>3</v>
      </c>
      <c r="M30" s="554">
        <v>0</v>
      </c>
      <c r="N30" s="555"/>
      <c r="O30" s="555">
        <f t="shared" si="2"/>
        <v>18</v>
      </c>
      <c r="P30" s="555">
        <f t="shared" si="5"/>
        <v>3</v>
      </c>
      <c r="Q30" s="555"/>
      <c r="R30" s="556">
        <f t="shared" si="3"/>
        <v>0.56521739130434778</v>
      </c>
      <c r="S30" s="556">
        <f t="shared" si="4"/>
        <v>0.20652173913043478</v>
      </c>
      <c r="U30" s="537">
        <v>2</v>
      </c>
      <c r="V30" s="537">
        <v>17</v>
      </c>
      <c r="W30" s="537">
        <v>12</v>
      </c>
      <c r="X30" s="537">
        <v>32</v>
      </c>
      <c r="Y30" s="537">
        <v>29</v>
      </c>
      <c r="Z30" s="537">
        <v>0</v>
      </c>
      <c r="AA30" s="537">
        <v>0</v>
      </c>
      <c r="AB30" s="537">
        <v>92</v>
      </c>
      <c r="AC30" s="537">
        <f t="shared" si="6"/>
        <v>19</v>
      </c>
      <c r="AD30" s="537">
        <f t="shared" si="7"/>
        <v>12</v>
      </c>
      <c r="AE30" s="537">
        <f t="shared" si="8"/>
        <v>32</v>
      </c>
      <c r="AF30" s="537">
        <f t="shared" si="9"/>
        <v>29</v>
      </c>
      <c r="AG30" s="537">
        <f t="shared" si="10"/>
        <v>0</v>
      </c>
    </row>
    <row r="31" spans="1:33" x14ac:dyDescent="0.25">
      <c r="A31" s="551" t="s">
        <v>58</v>
      </c>
      <c r="B31" s="552" t="s">
        <v>59</v>
      </c>
      <c r="C31" s="558" t="s">
        <v>267</v>
      </c>
      <c r="D31" s="554">
        <v>9</v>
      </c>
      <c r="E31" s="554">
        <v>9</v>
      </c>
      <c r="F31" s="554">
        <v>0</v>
      </c>
      <c r="G31" s="554">
        <v>0</v>
      </c>
      <c r="H31" s="554">
        <v>0</v>
      </c>
      <c r="I31" s="554">
        <v>0</v>
      </c>
      <c r="J31" s="554">
        <v>0</v>
      </c>
      <c r="K31" s="554">
        <v>0</v>
      </c>
      <c r="L31" s="554">
        <v>0</v>
      </c>
      <c r="M31" s="554">
        <v>0</v>
      </c>
      <c r="N31" s="555"/>
      <c r="O31" s="555">
        <f t="shared" si="2"/>
        <v>0</v>
      </c>
      <c r="P31" s="555">
        <f t="shared" si="5"/>
        <v>0</v>
      </c>
      <c r="Q31" s="555"/>
      <c r="R31" s="556">
        <f t="shared" si="3"/>
        <v>1</v>
      </c>
      <c r="S31" s="556">
        <f t="shared" si="4"/>
        <v>0</v>
      </c>
      <c r="U31" s="537">
        <v>0</v>
      </c>
      <c r="V31" s="537">
        <v>2</v>
      </c>
      <c r="W31" s="537">
        <v>3</v>
      </c>
      <c r="X31" s="537">
        <v>1</v>
      </c>
      <c r="Y31" s="537">
        <v>3</v>
      </c>
      <c r="Z31" s="537">
        <v>0</v>
      </c>
      <c r="AA31" s="537">
        <v>0</v>
      </c>
      <c r="AB31" s="537">
        <v>9</v>
      </c>
      <c r="AC31" s="537">
        <f t="shared" si="6"/>
        <v>2</v>
      </c>
      <c r="AD31" s="537">
        <f t="shared" si="7"/>
        <v>3</v>
      </c>
      <c r="AE31" s="537">
        <f t="shared" si="8"/>
        <v>1</v>
      </c>
      <c r="AF31" s="537">
        <f t="shared" si="9"/>
        <v>3</v>
      </c>
      <c r="AG31" s="537">
        <f t="shared" si="10"/>
        <v>0</v>
      </c>
    </row>
    <row r="32" spans="1:33" x14ac:dyDescent="0.25">
      <c r="A32" s="557" t="s">
        <v>60</v>
      </c>
      <c r="B32" s="552" t="s">
        <v>61</v>
      </c>
      <c r="C32" s="558" t="s">
        <v>265</v>
      </c>
      <c r="D32" s="554">
        <v>11</v>
      </c>
      <c r="E32" s="554">
        <v>10</v>
      </c>
      <c r="F32" s="554">
        <v>0</v>
      </c>
      <c r="G32" s="554">
        <v>0</v>
      </c>
      <c r="H32" s="554">
        <v>0</v>
      </c>
      <c r="I32" s="554">
        <v>0</v>
      </c>
      <c r="J32" s="554">
        <v>0</v>
      </c>
      <c r="K32" s="554">
        <v>1</v>
      </c>
      <c r="L32" s="554">
        <v>0</v>
      </c>
      <c r="M32" s="554">
        <v>0</v>
      </c>
      <c r="N32" s="555"/>
      <c r="O32" s="555">
        <f t="shared" si="2"/>
        <v>1</v>
      </c>
      <c r="P32" s="555">
        <f t="shared" si="5"/>
        <v>0</v>
      </c>
      <c r="Q32" s="555"/>
      <c r="R32" s="556">
        <f t="shared" si="3"/>
        <v>0.90909090909090906</v>
      </c>
      <c r="S32" s="556">
        <f t="shared" si="4"/>
        <v>0</v>
      </c>
      <c r="U32" s="537">
        <v>1</v>
      </c>
      <c r="V32" s="537">
        <v>3</v>
      </c>
      <c r="W32" s="537">
        <v>3</v>
      </c>
      <c r="X32" s="537">
        <v>2</v>
      </c>
      <c r="Y32" s="537">
        <v>2</v>
      </c>
      <c r="Z32" s="537">
        <v>0</v>
      </c>
      <c r="AA32" s="537">
        <v>0</v>
      </c>
      <c r="AB32" s="537">
        <v>11</v>
      </c>
      <c r="AC32" s="537">
        <f t="shared" si="6"/>
        <v>4</v>
      </c>
      <c r="AD32" s="537">
        <f t="shared" si="7"/>
        <v>3</v>
      </c>
      <c r="AE32" s="537">
        <f t="shared" si="8"/>
        <v>2</v>
      </c>
      <c r="AF32" s="537">
        <f t="shared" si="9"/>
        <v>2</v>
      </c>
      <c r="AG32" s="537">
        <f t="shared" si="10"/>
        <v>0</v>
      </c>
    </row>
    <row r="33" spans="1:33" x14ac:dyDescent="0.25">
      <c r="A33" s="551" t="s">
        <v>62</v>
      </c>
      <c r="B33" s="552" t="s">
        <v>63</v>
      </c>
      <c r="C33" s="558" t="s">
        <v>267</v>
      </c>
      <c r="D33" s="554">
        <v>56</v>
      </c>
      <c r="E33" s="554">
        <v>30</v>
      </c>
      <c r="F33" s="554">
        <v>12</v>
      </c>
      <c r="G33" s="554">
        <v>0</v>
      </c>
      <c r="H33" s="554">
        <v>0</v>
      </c>
      <c r="I33" s="554">
        <v>0</v>
      </c>
      <c r="J33" s="554">
        <v>6</v>
      </c>
      <c r="K33" s="554">
        <v>7</v>
      </c>
      <c r="L33" s="554">
        <v>1</v>
      </c>
      <c r="M33" s="554">
        <v>0</v>
      </c>
      <c r="N33" s="555"/>
      <c r="O33" s="555">
        <f t="shared" si="2"/>
        <v>13</v>
      </c>
      <c r="P33" s="555">
        <f t="shared" si="5"/>
        <v>1</v>
      </c>
      <c r="Q33" s="555"/>
      <c r="R33" s="556">
        <f t="shared" si="3"/>
        <v>0.5357142857142857</v>
      </c>
      <c r="S33" s="556">
        <f t="shared" si="4"/>
        <v>0.21428571428571427</v>
      </c>
      <c r="U33" s="537">
        <v>2</v>
      </c>
      <c r="V33" s="537">
        <v>16</v>
      </c>
      <c r="W33" s="537">
        <v>7</v>
      </c>
      <c r="X33" s="537">
        <v>15</v>
      </c>
      <c r="Y33" s="537">
        <v>16</v>
      </c>
      <c r="Z33" s="537">
        <v>0</v>
      </c>
      <c r="AA33" s="537">
        <v>0</v>
      </c>
      <c r="AB33" s="537">
        <v>56</v>
      </c>
      <c r="AC33" s="537">
        <f t="shared" si="6"/>
        <v>18</v>
      </c>
      <c r="AD33" s="537">
        <f t="shared" si="7"/>
        <v>7</v>
      </c>
      <c r="AE33" s="537">
        <f t="shared" si="8"/>
        <v>15</v>
      </c>
      <c r="AF33" s="537">
        <f t="shared" si="9"/>
        <v>16</v>
      </c>
      <c r="AG33" s="537">
        <f t="shared" si="10"/>
        <v>0</v>
      </c>
    </row>
    <row r="34" spans="1:33" x14ac:dyDescent="0.25">
      <c r="A34" s="551" t="s">
        <v>64</v>
      </c>
      <c r="B34" s="552" t="s">
        <v>65</v>
      </c>
      <c r="C34" s="558" t="s">
        <v>266</v>
      </c>
      <c r="D34" s="554">
        <v>5</v>
      </c>
      <c r="E34" s="554">
        <v>5</v>
      </c>
      <c r="F34" s="554">
        <v>0</v>
      </c>
      <c r="G34" s="554">
        <v>0</v>
      </c>
      <c r="H34" s="554">
        <v>0</v>
      </c>
      <c r="I34" s="554">
        <v>0</v>
      </c>
      <c r="J34" s="554">
        <v>0</v>
      </c>
      <c r="K34" s="554">
        <v>0</v>
      </c>
      <c r="L34" s="554">
        <v>0</v>
      </c>
      <c r="M34" s="554">
        <v>0</v>
      </c>
      <c r="N34" s="555"/>
      <c r="O34" s="555">
        <f t="shared" si="2"/>
        <v>0</v>
      </c>
      <c r="P34" s="555">
        <f t="shared" si="5"/>
        <v>0</v>
      </c>
      <c r="Q34" s="555"/>
      <c r="R34" s="556">
        <f t="shared" si="3"/>
        <v>1</v>
      </c>
      <c r="S34" s="556">
        <f t="shared" si="4"/>
        <v>0</v>
      </c>
      <c r="U34" s="537">
        <v>0</v>
      </c>
      <c r="V34" s="537">
        <v>2</v>
      </c>
      <c r="W34" s="537">
        <v>1</v>
      </c>
      <c r="X34" s="537">
        <v>2</v>
      </c>
      <c r="Y34" s="537">
        <v>0</v>
      </c>
      <c r="Z34" s="537">
        <v>0</v>
      </c>
      <c r="AA34" s="537">
        <v>0</v>
      </c>
      <c r="AB34" s="537">
        <v>5</v>
      </c>
      <c r="AC34" s="537">
        <f t="shared" si="6"/>
        <v>2</v>
      </c>
      <c r="AD34" s="537">
        <f t="shared" si="7"/>
        <v>1</v>
      </c>
      <c r="AE34" s="537">
        <f t="shared" si="8"/>
        <v>2</v>
      </c>
      <c r="AF34" s="537">
        <f t="shared" si="9"/>
        <v>0</v>
      </c>
      <c r="AG34" s="537">
        <f t="shared" si="10"/>
        <v>0</v>
      </c>
    </row>
    <row r="35" spans="1:33" x14ac:dyDescent="0.25">
      <c r="A35" s="551" t="s">
        <v>66</v>
      </c>
      <c r="B35" s="552" t="s">
        <v>67</v>
      </c>
      <c r="C35" s="558" t="s">
        <v>265</v>
      </c>
      <c r="D35" s="554">
        <v>51</v>
      </c>
      <c r="E35" s="554">
        <v>9</v>
      </c>
      <c r="F35" s="554">
        <v>28</v>
      </c>
      <c r="G35" s="554">
        <v>0</v>
      </c>
      <c r="H35" s="554">
        <v>0</v>
      </c>
      <c r="I35" s="554">
        <v>0</v>
      </c>
      <c r="J35" s="554">
        <v>3</v>
      </c>
      <c r="K35" s="554">
        <v>9</v>
      </c>
      <c r="L35" s="554">
        <v>1</v>
      </c>
      <c r="M35" s="554">
        <v>1</v>
      </c>
      <c r="N35" s="555"/>
      <c r="O35" s="555">
        <f t="shared" si="2"/>
        <v>12</v>
      </c>
      <c r="P35" s="555">
        <f t="shared" si="5"/>
        <v>2</v>
      </c>
      <c r="Q35" s="555"/>
      <c r="R35" s="556">
        <f t="shared" si="3"/>
        <v>0.17647058823529413</v>
      </c>
      <c r="S35" s="556">
        <f t="shared" si="4"/>
        <v>0.5490196078431373</v>
      </c>
      <c r="U35" s="537">
        <v>1</v>
      </c>
      <c r="V35" s="537">
        <v>6</v>
      </c>
      <c r="W35" s="537">
        <v>7</v>
      </c>
      <c r="X35" s="537">
        <v>18</v>
      </c>
      <c r="Y35" s="537">
        <v>19</v>
      </c>
      <c r="Z35" s="537">
        <v>0</v>
      </c>
      <c r="AA35" s="537">
        <v>0</v>
      </c>
      <c r="AB35" s="537">
        <v>51</v>
      </c>
      <c r="AC35" s="537">
        <f t="shared" si="6"/>
        <v>7</v>
      </c>
      <c r="AD35" s="537">
        <f t="shared" si="7"/>
        <v>7</v>
      </c>
      <c r="AE35" s="537">
        <f t="shared" si="8"/>
        <v>18</v>
      </c>
      <c r="AF35" s="537">
        <f t="shared" si="9"/>
        <v>19</v>
      </c>
      <c r="AG35" s="537">
        <f t="shared" si="10"/>
        <v>0</v>
      </c>
    </row>
    <row r="36" spans="1:33" x14ac:dyDescent="0.25">
      <c r="A36" s="551" t="s">
        <v>68</v>
      </c>
      <c r="B36" s="552" t="s">
        <v>69</v>
      </c>
      <c r="C36" s="558" t="s">
        <v>268</v>
      </c>
      <c r="D36" s="554">
        <v>42</v>
      </c>
      <c r="E36" s="554">
        <v>40</v>
      </c>
      <c r="F36" s="554">
        <v>0</v>
      </c>
      <c r="G36" s="554">
        <v>0</v>
      </c>
      <c r="H36" s="554">
        <v>0</v>
      </c>
      <c r="I36" s="554">
        <v>0</v>
      </c>
      <c r="J36" s="554">
        <v>0</v>
      </c>
      <c r="K36" s="554">
        <v>1</v>
      </c>
      <c r="L36" s="554">
        <v>0</v>
      </c>
      <c r="M36" s="554">
        <v>1</v>
      </c>
      <c r="N36" s="555"/>
      <c r="O36" s="555">
        <f t="shared" si="2"/>
        <v>1</v>
      </c>
      <c r="P36" s="555">
        <f t="shared" si="5"/>
        <v>1</v>
      </c>
      <c r="Q36" s="555"/>
      <c r="R36" s="556">
        <f t="shared" si="3"/>
        <v>0.95238095238095233</v>
      </c>
      <c r="S36" s="556">
        <f t="shared" si="4"/>
        <v>0</v>
      </c>
      <c r="U36" s="537">
        <v>3</v>
      </c>
      <c r="V36" s="537">
        <v>4</v>
      </c>
      <c r="W36" s="537">
        <v>8</v>
      </c>
      <c r="X36" s="537">
        <v>20</v>
      </c>
      <c r="Y36" s="537">
        <v>7</v>
      </c>
      <c r="Z36" s="537">
        <v>0</v>
      </c>
      <c r="AA36" s="537">
        <v>0</v>
      </c>
      <c r="AB36" s="537">
        <v>42</v>
      </c>
      <c r="AC36" s="537">
        <f t="shared" si="6"/>
        <v>7</v>
      </c>
      <c r="AD36" s="537">
        <f t="shared" si="7"/>
        <v>8</v>
      </c>
      <c r="AE36" s="537">
        <f t="shared" si="8"/>
        <v>20</v>
      </c>
      <c r="AF36" s="537">
        <f t="shared" si="9"/>
        <v>7</v>
      </c>
      <c r="AG36" s="537">
        <f t="shared" si="10"/>
        <v>0</v>
      </c>
    </row>
    <row r="37" spans="1:33" x14ac:dyDescent="0.25">
      <c r="A37" s="551" t="s">
        <v>70</v>
      </c>
      <c r="B37" s="552" t="s">
        <v>71</v>
      </c>
      <c r="C37" s="558" t="s">
        <v>264</v>
      </c>
      <c r="D37" s="554">
        <v>19</v>
      </c>
      <c r="E37" s="554">
        <v>5</v>
      </c>
      <c r="F37" s="554">
        <v>11</v>
      </c>
      <c r="G37" s="554">
        <v>0</v>
      </c>
      <c r="H37" s="554">
        <v>0</v>
      </c>
      <c r="I37" s="554">
        <v>0</v>
      </c>
      <c r="J37" s="554">
        <v>0</v>
      </c>
      <c r="K37" s="554">
        <v>3</v>
      </c>
      <c r="L37" s="554">
        <v>0</v>
      </c>
      <c r="M37" s="554">
        <v>0</v>
      </c>
      <c r="N37" s="555"/>
      <c r="O37" s="555">
        <f t="shared" si="2"/>
        <v>3</v>
      </c>
      <c r="P37" s="555">
        <f t="shared" si="5"/>
        <v>0</v>
      </c>
      <c r="Q37" s="555"/>
      <c r="R37" s="556">
        <f t="shared" si="3"/>
        <v>0.26315789473684209</v>
      </c>
      <c r="S37" s="556">
        <f t="shared" si="4"/>
        <v>0.57894736842105265</v>
      </c>
      <c r="U37" s="537">
        <v>1</v>
      </c>
      <c r="V37" s="537">
        <v>5</v>
      </c>
      <c r="W37" s="537">
        <v>7</v>
      </c>
      <c r="X37" s="537">
        <v>1</v>
      </c>
      <c r="Y37" s="537">
        <v>5</v>
      </c>
      <c r="Z37" s="537">
        <v>0</v>
      </c>
      <c r="AA37" s="537">
        <v>0</v>
      </c>
      <c r="AB37" s="537">
        <v>19</v>
      </c>
      <c r="AC37" s="537">
        <f t="shared" si="6"/>
        <v>6</v>
      </c>
      <c r="AD37" s="537">
        <f t="shared" si="7"/>
        <v>7</v>
      </c>
      <c r="AE37" s="537">
        <f t="shared" si="8"/>
        <v>1</v>
      </c>
      <c r="AF37" s="537">
        <f t="shared" si="9"/>
        <v>5</v>
      </c>
      <c r="AG37" s="537">
        <f t="shared" si="10"/>
        <v>0</v>
      </c>
    </row>
    <row r="38" spans="1:33" x14ac:dyDescent="0.25">
      <c r="A38" s="551" t="s">
        <v>72</v>
      </c>
      <c r="B38" s="552" t="s">
        <v>73</v>
      </c>
      <c r="C38" s="558" t="s">
        <v>266</v>
      </c>
      <c r="D38" s="554">
        <v>14</v>
      </c>
      <c r="E38" s="554">
        <v>4</v>
      </c>
      <c r="F38" s="554">
        <v>7</v>
      </c>
      <c r="G38" s="554">
        <v>0</v>
      </c>
      <c r="H38" s="554">
        <v>0</v>
      </c>
      <c r="I38" s="554">
        <v>0</v>
      </c>
      <c r="J38" s="554">
        <v>0</v>
      </c>
      <c r="K38" s="554">
        <v>3</v>
      </c>
      <c r="L38" s="554">
        <v>0</v>
      </c>
      <c r="M38" s="554">
        <v>0</v>
      </c>
      <c r="N38" s="555"/>
      <c r="O38" s="555">
        <f t="shared" ref="O38:O69" si="11">SUM(G38:K38)</f>
        <v>3</v>
      </c>
      <c r="P38" s="555">
        <f t="shared" si="5"/>
        <v>0</v>
      </c>
      <c r="Q38" s="555"/>
      <c r="R38" s="556">
        <f t="shared" ref="R38:R69" si="12">IF(D38=0,"N/A",+E38/D38)</f>
        <v>0.2857142857142857</v>
      </c>
      <c r="S38" s="556">
        <f t="shared" ref="S38:S69" si="13">IF(D38=0,"N/A",+F38/D38)</f>
        <v>0.5</v>
      </c>
      <c r="U38" s="537">
        <v>0</v>
      </c>
      <c r="V38" s="537">
        <v>1</v>
      </c>
      <c r="W38" s="537">
        <v>3</v>
      </c>
      <c r="X38" s="537">
        <v>7</v>
      </c>
      <c r="Y38" s="537">
        <v>3</v>
      </c>
      <c r="Z38" s="537">
        <v>0</v>
      </c>
      <c r="AA38" s="537">
        <v>0</v>
      </c>
      <c r="AB38" s="537">
        <v>14</v>
      </c>
      <c r="AC38" s="537">
        <f t="shared" si="6"/>
        <v>1</v>
      </c>
      <c r="AD38" s="537">
        <f t="shared" si="7"/>
        <v>3</v>
      </c>
      <c r="AE38" s="537">
        <f t="shared" si="8"/>
        <v>7</v>
      </c>
      <c r="AF38" s="537">
        <f t="shared" si="9"/>
        <v>3</v>
      </c>
      <c r="AG38" s="537">
        <f t="shared" si="10"/>
        <v>0</v>
      </c>
    </row>
    <row r="39" spans="1:33" x14ac:dyDescent="0.25">
      <c r="A39" s="551" t="s">
        <v>74</v>
      </c>
      <c r="B39" s="552" t="s">
        <v>75</v>
      </c>
      <c r="C39" s="558" t="s">
        <v>267</v>
      </c>
      <c r="D39" s="554">
        <v>174</v>
      </c>
      <c r="E39" s="554">
        <v>30</v>
      </c>
      <c r="F39" s="554">
        <v>52</v>
      </c>
      <c r="G39" s="554">
        <v>6</v>
      </c>
      <c r="H39" s="554">
        <v>0</v>
      </c>
      <c r="I39" s="554">
        <v>0</v>
      </c>
      <c r="J39" s="554">
        <v>74</v>
      </c>
      <c r="K39" s="554">
        <v>12</v>
      </c>
      <c r="L39" s="554">
        <v>0</v>
      </c>
      <c r="M39" s="554">
        <v>0</v>
      </c>
      <c r="N39" s="555"/>
      <c r="O39" s="555">
        <f t="shared" si="11"/>
        <v>92</v>
      </c>
      <c r="P39" s="555">
        <f t="shared" si="5"/>
        <v>0</v>
      </c>
      <c r="Q39" s="555"/>
      <c r="R39" s="556">
        <f t="shared" si="12"/>
        <v>0.17241379310344829</v>
      </c>
      <c r="S39" s="556">
        <f t="shared" si="13"/>
        <v>0.2988505747126437</v>
      </c>
      <c r="U39" s="537">
        <v>5</v>
      </c>
      <c r="V39" s="537">
        <v>41</v>
      </c>
      <c r="W39" s="537">
        <v>41</v>
      </c>
      <c r="X39" s="537">
        <v>43</v>
      </c>
      <c r="Y39" s="537">
        <v>44</v>
      </c>
      <c r="Z39" s="537">
        <v>0</v>
      </c>
      <c r="AA39" s="537">
        <v>0</v>
      </c>
      <c r="AB39" s="537">
        <v>174</v>
      </c>
      <c r="AC39" s="537">
        <f t="shared" si="6"/>
        <v>46</v>
      </c>
      <c r="AD39" s="537">
        <f t="shared" si="7"/>
        <v>41</v>
      </c>
      <c r="AE39" s="537">
        <f t="shared" si="8"/>
        <v>43</v>
      </c>
      <c r="AF39" s="537">
        <f t="shared" si="9"/>
        <v>44</v>
      </c>
      <c r="AG39" s="537">
        <f t="shared" si="10"/>
        <v>0</v>
      </c>
    </row>
    <row r="40" spans="1:33" x14ac:dyDescent="0.25">
      <c r="A40" s="551" t="s">
        <v>76</v>
      </c>
      <c r="B40" s="552" t="s">
        <v>77</v>
      </c>
      <c r="C40" s="558" t="s">
        <v>267</v>
      </c>
      <c r="D40" s="554">
        <v>34</v>
      </c>
      <c r="E40" s="554">
        <v>20</v>
      </c>
      <c r="F40" s="554">
        <v>6</v>
      </c>
      <c r="G40" s="554">
        <v>0</v>
      </c>
      <c r="H40" s="554">
        <v>0</v>
      </c>
      <c r="I40" s="554">
        <v>0</v>
      </c>
      <c r="J40" s="554">
        <v>3</v>
      </c>
      <c r="K40" s="554">
        <v>5</v>
      </c>
      <c r="L40" s="554">
        <v>0</v>
      </c>
      <c r="M40" s="554">
        <v>0</v>
      </c>
      <c r="N40" s="555"/>
      <c r="O40" s="555">
        <f t="shared" si="11"/>
        <v>8</v>
      </c>
      <c r="P40" s="555">
        <f t="shared" si="5"/>
        <v>0</v>
      </c>
      <c r="Q40" s="555"/>
      <c r="R40" s="556">
        <f t="shared" si="12"/>
        <v>0.58823529411764708</v>
      </c>
      <c r="S40" s="556">
        <f t="shared" si="13"/>
        <v>0.17647058823529413</v>
      </c>
      <c r="U40" s="537">
        <v>5</v>
      </c>
      <c r="V40" s="537">
        <v>11</v>
      </c>
      <c r="W40" s="537">
        <v>8</v>
      </c>
      <c r="X40" s="537">
        <v>4</v>
      </c>
      <c r="Y40" s="537">
        <v>6</v>
      </c>
      <c r="Z40" s="537">
        <v>0</v>
      </c>
      <c r="AA40" s="537">
        <v>0</v>
      </c>
      <c r="AB40" s="537">
        <v>34</v>
      </c>
      <c r="AC40" s="537">
        <f t="shared" si="6"/>
        <v>16</v>
      </c>
      <c r="AD40" s="537">
        <f t="shared" si="7"/>
        <v>8</v>
      </c>
      <c r="AE40" s="537">
        <f t="shared" si="8"/>
        <v>4</v>
      </c>
      <c r="AF40" s="537">
        <f t="shared" si="9"/>
        <v>6</v>
      </c>
      <c r="AG40" s="537">
        <f t="shared" si="10"/>
        <v>0</v>
      </c>
    </row>
    <row r="41" spans="1:33" x14ac:dyDescent="0.25">
      <c r="A41" s="551" t="s">
        <v>78</v>
      </c>
      <c r="B41" s="552" t="s">
        <v>79</v>
      </c>
      <c r="C41" s="558" t="s">
        <v>268</v>
      </c>
      <c r="D41" s="554">
        <v>16</v>
      </c>
      <c r="E41" s="554">
        <v>12</v>
      </c>
      <c r="F41" s="554">
        <v>1</v>
      </c>
      <c r="G41" s="554">
        <v>0</v>
      </c>
      <c r="H41" s="554">
        <v>0</v>
      </c>
      <c r="I41" s="554">
        <v>0</v>
      </c>
      <c r="J41" s="554">
        <v>0</v>
      </c>
      <c r="K41" s="554">
        <v>3</v>
      </c>
      <c r="L41" s="554">
        <v>0</v>
      </c>
      <c r="M41" s="554">
        <v>0</v>
      </c>
      <c r="N41" s="555"/>
      <c r="O41" s="555">
        <f t="shared" si="11"/>
        <v>3</v>
      </c>
      <c r="P41" s="555">
        <f t="shared" si="5"/>
        <v>0</v>
      </c>
      <c r="Q41" s="555"/>
      <c r="R41" s="556">
        <f t="shared" si="12"/>
        <v>0.75</v>
      </c>
      <c r="S41" s="556">
        <f t="shared" si="13"/>
        <v>6.25E-2</v>
      </c>
      <c r="U41" s="537">
        <v>1</v>
      </c>
      <c r="V41" s="537">
        <v>7</v>
      </c>
      <c r="W41" s="537">
        <v>3</v>
      </c>
      <c r="X41" s="537">
        <v>3</v>
      </c>
      <c r="Y41" s="537">
        <v>2</v>
      </c>
      <c r="Z41" s="537">
        <v>0</v>
      </c>
      <c r="AA41" s="537">
        <v>0</v>
      </c>
      <c r="AB41" s="537">
        <v>16</v>
      </c>
      <c r="AC41" s="537">
        <f t="shared" si="6"/>
        <v>8</v>
      </c>
      <c r="AD41" s="537">
        <f t="shared" si="7"/>
        <v>3</v>
      </c>
      <c r="AE41" s="537">
        <f t="shared" si="8"/>
        <v>3</v>
      </c>
      <c r="AF41" s="537">
        <f t="shared" si="9"/>
        <v>2</v>
      </c>
      <c r="AG41" s="537">
        <f t="shared" si="10"/>
        <v>0</v>
      </c>
    </row>
    <row r="42" spans="1:33" x14ac:dyDescent="0.25">
      <c r="A42" s="551" t="s">
        <v>80</v>
      </c>
      <c r="B42" s="552" t="s">
        <v>81</v>
      </c>
      <c r="C42" s="558" t="s">
        <v>266</v>
      </c>
      <c r="D42" s="554">
        <v>12</v>
      </c>
      <c r="E42" s="554">
        <v>6</v>
      </c>
      <c r="F42" s="554">
        <v>3</v>
      </c>
      <c r="G42" s="554">
        <v>0</v>
      </c>
      <c r="H42" s="554">
        <v>0</v>
      </c>
      <c r="I42" s="554">
        <v>0</v>
      </c>
      <c r="J42" s="554">
        <v>3</v>
      </c>
      <c r="K42" s="554">
        <v>0</v>
      </c>
      <c r="L42" s="554">
        <v>0</v>
      </c>
      <c r="M42" s="554">
        <v>0</v>
      </c>
      <c r="N42" s="555"/>
      <c r="O42" s="555">
        <f t="shared" si="11"/>
        <v>3</v>
      </c>
      <c r="P42" s="555">
        <f t="shared" si="5"/>
        <v>0</v>
      </c>
      <c r="Q42" s="555"/>
      <c r="R42" s="556">
        <f t="shared" si="12"/>
        <v>0.5</v>
      </c>
      <c r="S42" s="556">
        <f t="shared" si="13"/>
        <v>0.25</v>
      </c>
      <c r="U42" s="537">
        <v>0</v>
      </c>
      <c r="V42" s="537">
        <v>0</v>
      </c>
      <c r="W42" s="537">
        <v>3</v>
      </c>
      <c r="X42" s="537">
        <v>6</v>
      </c>
      <c r="Y42" s="537">
        <v>3</v>
      </c>
      <c r="Z42" s="537">
        <v>0</v>
      </c>
      <c r="AA42" s="537">
        <v>0</v>
      </c>
      <c r="AB42" s="537">
        <v>12</v>
      </c>
      <c r="AC42" s="537">
        <f t="shared" si="6"/>
        <v>0</v>
      </c>
      <c r="AD42" s="537">
        <f t="shared" si="7"/>
        <v>3</v>
      </c>
      <c r="AE42" s="537">
        <f t="shared" si="8"/>
        <v>6</v>
      </c>
      <c r="AF42" s="537">
        <f t="shared" si="9"/>
        <v>3</v>
      </c>
      <c r="AG42" s="537">
        <f t="shared" si="10"/>
        <v>0</v>
      </c>
    </row>
    <row r="43" spans="1:33" x14ac:dyDescent="0.25">
      <c r="A43" s="551" t="s">
        <v>82</v>
      </c>
      <c r="B43" s="552" t="s">
        <v>83</v>
      </c>
      <c r="C43" s="558" t="s">
        <v>264</v>
      </c>
      <c r="D43" s="554">
        <v>4</v>
      </c>
      <c r="E43" s="554">
        <v>0</v>
      </c>
      <c r="F43" s="554">
        <v>2</v>
      </c>
      <c r="G43" s="554">
        <v>0</v>
      </c>
      <c r="H43" s="554">
        <v>0</v>
      </c>
      <c r="I43" s="554">
        <v>0</v>
      </c>
      <c r="J43" s="554">
        <v>0</v>
      </c>
      <c r="K43" s="554">
        <v>2</v>
      </c>
      <c r="L43" s="554">
        <v>0</v>
      </c>
      <c r="M43" s="554">
        <v>0</v>
      </c>
      <c r="N43" s="555"/>
      <c r="O43" s="555">
        <f t="shared" si="11"/>
        <v>2</v>
      </c>
      <c r="P43" s="555">
        <f t="shared" si="5"/>
        <v>0</v>
      </c>
      <c r="Q43" s="555"/>
      <c r="R43" s="556">
        <f t="shared" si="12"/>
        <v>0</v>
      </c>
      <c r="S43" s="556">
        <f t="shared" si="13"/>
        <v>0.5</v>
      </c>
      <c r="U43" s="537">
        <v>0</v>
      </c>
      <c r="V43" s="537">
        <v>0</v>
      </c>
      <c r="W43" s="537">
        <v>1</v>
      </c>
      <c r="X43" s="537">
        <v>1</v>
      </c>
      <c r="Y43" s="537">
        <v>2</v>
      </c>
      <c r="Z43" s="537">
        <v>0</v>
      </c>
      <c r="AA43" s="537">
        <v>0</v>
      </c>
      <c r="AB43" s="537">
        <v>4</v>
      </c>
      <c r="AC43" s="537">
        <f t="shared" si="6"/>
        <v>0</v>
      </c>
      <c r="AD43" s="537">
        <f t="shared" si="7"/>
        <v>1</v>
      </c>
      <c r="AE43" s="537">
        <f t="shared" si="8"/>
        <v>1</v>
      </c>
      <c r="AF43" s="537">
        <f t="shared" si="9"/>
        <v>2</v>
      </c>
      <c r="AG43" s="537">
        <f t="shared" si="10"/>
        <v>0</v>
      </c>
    </row>
    <row r="44" spans="1:33" x14ac:dyDescent="0.25">
      <c r="A44" s="551" t="s">
        <v>84</v>
      </c>
      <c r="B44" s="552" t="s">
        <v>85</v>
      </c>
      <c r="C44" s="558" t="s">
        <v>265</v>
      </c>
      <c r="D44" s="554">
        <v>61</v>
      </c>
      <c r="E44" s="554">
        <v>43</v>
      </c>
      <c r="F44" s="554">
        <v>3</v>
      </c>
      <c r="G44" s="554">
        <v>0</v>
      </c>
      <c r="H44" s="554">
        <v>0</v>
      </c>
      <c r="I44" s="554">
        <v>0</v>
      </c>
      <c r="J44" s="554">
        <v>3</v>
      </c>
      <c r="K44" s="554">
        <v>3</v>
      </c>
      <c r="L44" s="554">
        <v>9</v>
      </c>
      <c r="M44" s="554">
        <v>0</v>
      </c>
      <c r="N44" s="555"/>
      <c r="O44" s="555">
        <f t="shared" si="11"/>
        <v>6</v>
      </c>
      <c r="P44" s="555">
        <f t="shared" si="5"/>
        <v>9</v>
      </c>
      <c r="Q44" s="555"/>
      <c r="R44" s="556">
        <f t="shared" si="12"/>
        <v>0.70491803278688525</v>
      </c>
      <c r="S44" s="556">
        <f t="shared" si="13"/>
        <v>4.9180327868852458E-2</v>
      </c>
      <c r="U44" s="537">
        <v>2</v>
      </c>
      <c r="V44" s="537">
        <v>15</v>
      </c>
      <c r="W44" s="537">
        <v>19</v>
      </c>
      <c r="X44" s="537">
        <v>12</v>
      </c>
      <c r="Y44" s="537">
        <v>13</v>
      </c>
      <c r="Z44" s="537">
        <v>0</v>
      </c>
      <c r="AA44" s="537">
        <v>0</v>
      </c>
      <c r="AB44" s="537">
        <v>61</v>
      </c>
      <c r="AC44" s="537">
        <f t="shared" si="6"/>
        <v>17</v>
      </c>
      <c r="AD44" s="537">
        <f t="shared" si="7"/>
        <v>19</v>
      </c>
      <c r="AE44" s="537">
        <f t="shared" si="8"/>
        <v>12</v>
      </c>
      <c r="AF44" s="537">
        <f t="shared" si="9"/>
        <v>13</v>
      </c>
      <c r="AG44" s="537">
        <f t="shared" si="10"/>
        <v>0</v>
      </c>
    </row>
    <row r="45" spans="1:33" x14ac:dyDescent="0.25">
      <c r="A45" s="551" t="s">
        <v>86</v>
      </c>
      <c r="B45" s="552" t="s">
        <v>87</v>
      </c>
      <c r="C45" s="558" t="s">
        <v>267</v>
      </c>
      <c r="D45" s="554">
        <v>34</v>
      </c>
      <c r="E45" s="554">
        <v>20</v>
      </c>
      <c r="F45" s="554">
        <v>2</v>
      </c>
      <c r="G45" s="554">
        <v>0</v>
      </c>
      <c r="H45" s="554">
        <v>0</v>
      </c>
      <c r="I45" s="554">
        <v>0</v>
      </c>
      <c r="J45" s="554">
        <v>4</v>
      </c>
      <c r="K45" s="554">
        <v>7</v>
      </c>
      <c r="L45" s="554">
        <v>1</v>
      </c>
      <c r="M45" s="554">
        <v>0</v>
      </c>
      <c r="N45" s="555"/>
      <c r="O45" s="555">
        <f t="shared" si="11"/>
        <v>11</v>
      </c>
      <c r="P45" s="555">
        <f t="shared" si="5"/>
        <v>1</v>
      </c>
      <c r="Q45" s="555"/>
      <c r="R45" s="556">
        <f t="shared" si="12"/>
        <v>0.58823529411764708</v>
      </c>
      <c r="S45" s="556">
        <f t="shared" si="13"/>
        <v>5.8823529411764705E-2</v>
      </c>
      <c r="U45" s="537">
        <v>6</v>
      </c>
      <c r="V45" s="537">
        <v>6</v>
      </c>
      <c r="W45" s="537">
        <v>7</v>
      </c>
      <c r="X45" s="537">
        <v>7</v>
      </c>
      <c r="Y45" s="537">
        <v>8</v>
      </c>
      <c r="Z45" s="537">
        <v>0</v>
      </c>
      <c r="AA45" s="537">
        <v>0</v>
      </c>
      <c r="AB45" s="537">
        <v>34</v>
      </c>
      <c r="AC45" s="537">
        <f t="shared" si="6"/>
        <v>12</v>
      </c>
      <c r="AD45" s="537">
        <f t="shared" si="7"/>
        <v>7</v>
      </c>
      <c r="AE45" s="537">
        <f t="shared" si="8"/>
        <v>7</v>
      </c>
      <c r="AF45" s="537">
        <f t="shared" si="9"/>
        <v>8</v>
      </c>
      <c r="AG45" s="537">
        <f t="shared" si="10"/>
        <v>0</v>
      </c>
    </row>
    <row r="46" spans="1:33" x14ac:dyDescent="0.25">
      <c r="A46" s="551" t="s">
        <v>88</v>
      </c>
      <c r="B46" s="552" t="s">
        <v>89</v>
      </c>
      <c r="C46" s="558" t="s">
        <v>267</v>
      </c>
      <c r="D46" s="554">
        <v>37</v>
      </c>
      <c r="E46" s="554">
        <v>21</v>
      </c>
      <c r="F46" s="554">
        <v>12</v>
      </c>
      <c r="G46" s="554">
        <v>0</v>
      </c>
      <c r="H46" s="554">
        <v>0</v>
      </c>
      <c r="I46" s="554">
        <v>0</v>
      </c>
      <c r="J46" s="554">
        <v>1</v>
      </c>
      <c r="K46" s="554">
        <v>3</v>
      </c>
      <c r="L46" s="554">
        <v>0</v>
      </c>
      <c r="M46" s="554">
        <v>0</v>
      </c>
      <c r="N46" s="555"/>
      <c r="O46" s="555">
        <f t="shared" si="11"/>
        <v>4</v>
      </c>
      <c r="P46" s="555">
        <f t="shared" si="5"/>
        <v>0</v>
      </c>
      <c r="Q46" s="555"/>
      <c r="R46" s="556">
        <f t="shared" si="12"/>
        <v>0.56756756756756754</v>
      </c>
      <c r="S46" s="556">
        <f t="shared" si="13"/>
        <v>0.32432432432432434</v>
      </c>
      <c r="U46" s="537">
        <v>9</v>
      </c>
      <c r="V46" s="537">
        <v>12</v>
      </c>
      <c r="W46" s="537">
        <v>5</v>
      </c>
      <c r="X46" s="537">
        <v>7</v>
      </c>
      <c r="Y46" s="537">
        <v>4</v>
      </c>
      <c r="Z46" s="537">
        <v>0</v>
      </c>
      <c r="AA46" s="537">
        <v>0</v>
      </c>
      <c r="AB46" s="537">
        <v>37</v>
      </c>
      <c r="AC46" s="537">
        <f t="shared" si="6"/>
        <v>21</v>
      </c>
      <c r="AD46" s="537">
        <f t="shared" si="7"/>
        <v>5</v>
      </c>
      <c r="AE46" s="537">
        <f t="shared" si="8"/>
        <v>7</v>
      </c>
      <c r="AF46" s="537">
        <f t="shared" si="9"/>
        <v>4</v>
      </c>
      <c r="AG46" s="537">
        <f t="shared" si="10"/>
        <v>0</v>
      </c>
    </row>
    <row r="47" spans="1:33" x14ac:dyDescent="0.25">
      <c r="A47" s="557" t="s">
        <v>90</v>
      </c>
      <c r="B47" s="552" t="s">
        <v>91</v>
      </c>
      <c r="C47" s="558" t="s">
        <v>268</v>
      </c>
      <c r="D47" s="554">
        <v>22</v>
      </c>
      <c r="E47" s="554">
        <v>17</v>
      </c>
      <c r="F47" s="554">
        <v>1</v>
      </c>
      <c r="G47" s="554">
        <v>0</v>
      </c>
      <c r="H47" s="554">
        <v>0</v>
      </c>
      <c r="I47" s="554">
        <v>0</v>
      </c>
      <c r="J47" s="554">
        <v>3</v>
      </c>
      <c r="K47" s="554">
        <v>1</v>
      </c>
      <c r="L47" s="554">
        <v>0</v>
      </c>
      <c r="M47" s="554">
        <v>0</v>
      </c>
      <c r="N47" s="555"/>
      <c r="O47" s="555">
        <f t="shared" si="11"/>
        <v>4</v>
      </c>
      <c r="P47" s="555">
        <f t="shared" si="5"/>
        <v>0</v>
      </c>
      <c r="Q47" s="555"/>
      <c r="R47" s="556">
        <f t="shared" si="12"/>
        <v>0.77272727272727271</v>
      </c>
      <c r="S47" s="556">
        <f t="shared" si="13"/>
        <v>4.5454545454545456E-2</v>
      </c>
      <c r="U47" s="537">
        <v>2</v>
      </c>
      <c r="V47" s="537">
        <v>10</v>
      </c>
      <c r="W47" s="537">
        <v>2</v>
      </c>
      <c r="X47" s="537">
        <v>5</v>
      </c>
      <c r="Y47" s="537">
        <v>3</v>
      </c>
      <c r="Z47" s="537">
        <v>0</v>
      </c>
      <c r="AA47" s="537">
        <v>0</v>
      </c>
      <c r="AB47" s="537">
        <v>22</v>
      </c>
      <c r="AC47" s="537">
        <f t="shared" si="6"/>
        <v>12</v>
      </c>
      <c r="AD47" s="537">
        <f t="shared" si="7"/>
        <v>2</v>
      </c>
      <c r="AE47" s="537">
        <f t="shared" si="8"/>
        <v>5</v>
      </c>
      <c r="AF47" s="537">
        <f t="shared" si="9"/>
        <v>3</v>
      </c>
      <c r="AG47" s="537">
        <f t="shared" si="10"/>
        <v>0</v>
      </c>
    </row>
    <row r="48" spans="1:33" x14ac:dyDescent="0.25">
      <c r="A48" s="557" t="s">
        <v>92</v>
      </c>
      <c r="B48" s="552" t="s">
        <v>93</v>
      </c>
      <c r="C48" s="558" t="s">
        <v>268</v>
      </c>
      <c r="D48" s="554">
        <v>33</v>
      </c>
      <c r="E48" s="554">
        <v>31</v>
      </c>
      <c r="F48" s="554">
        <v>2</v>
      </c>
      <c r="G48" s="554">
        <v>0</v>
      </c>
      <c r="H48" s="554">
        <v>0</v>
      </c>
      <c r="I48" s="554">
        <v>0</v>
      </c>
      <c r="J48" s="554">
        <v>0</v>
      </c>
      <c r="K48" s="554">
        <v>0</v>
      </c>
      <c r="L48" s="554">
        <v>0</v>
      </c>
      <c r="M48" s="554">
        <v>0</v>
      </c>
      <c r="N48" s="555"/>
      <c r="O48" s="555">
        <f t="shared" si="11"/>
        <v>0</v>
      </c>
      <c r="P48" s="555">
        <f t="shared" si="5"/>
        <v>0</v>
      </c>
      <c r="Q48" s="555"/>
      <c r="R48" s="556">
        <f t="shared" si="12"/>
        <v>0.93939393939393945</v>
      </c>
      <c r="S48" s="556">
        <f t="shared" si="13"/>
        <v>6.0606060606060608E-2</v>
      </c>
      <c r="U48" s="537">
        <v>2</v>
      </c>
      <c r="V48" s="537">
        <v>10</v>
      </c>
      <c r="W48" s="537">
        <v>4</v>
      </c>
      <c r="X48" s="537">
        <v>10</v>
      </c>
      <c r="Y48" s="537">
        <v>7</v>
      </c>
      <c r="Z48" s="537">
        <v>0</v>
      </c>
      <c r="AA48" s="537">
        <v>0</v>
      </c>
      <c r="AB48" s="537">
        <v>33</v>
      </c>
      <c r="AC48" s="537">
        <f t="shared" si="6"/>
        <v>12</v>
      </c>
      <c r="AD48" s="537">
        <f t="shared" si="7"/>
        <v>4</v>
      </c>
      <c r="AE48" s="537">
        <f t="shared" si="8"/>
        <v>10</v>
      </c>
      <c r="AF48" s="537">
        <f t="shared" si="9"/>
        <v>7</v>
      </c>
      <c r="AG48" s="537">
        <f t="shared" si="10"/>
        <v>0</v>
      </c>
    </row>
    <row r="49" spans="1:33" x14ac:dyDescent="0.25">
      <c r="A49" s="551" t="s">
        <v>94</v>
      </c>
      <c r="B49" s="552" t="s">
        <v>95</v>
      </c>
      <c r="C49" s="558" t="s">
        <v>264</v>
      </c>
      <c r="D49" s="554">
        <v>31</v>
      </c>
      <c r="E49" s="554">
        <v>20</v>
      </c>
      <c r="F49" s="554">
        <v>1</v>
      </c>
      <c r="G49" s="554">
        <v>0</v>
      </c>
      <c r="H49" s="554">
        <v>0</v>
      </c>
      <c r="I49" s="554">
        <v>0</v>
      </c>
      <c r="J49" s="554">
        <v>3</v>
      </c>
      <c r="K49" s="554">
        <v>7</v>
      </c>
      <c r="L49" s="554">
        <v>0</v>
      </c>
      <c r="M49" s="554">
        <v>0</v>
      </c>
      <c r="N49" s="555"/>
      <c r="O49" s="555">
        <f t="shared" si="11"/>
        <v>10</v>
      </c>
      <c r="P49" s="555">
        <f t="shared" si="5"/>
        <v>0</v>
      </c>
      <c r="Q49" s="555"/>
      <c r="R49" s="556">
        <f t="shared" si="12"/>
        <v>0.64516129032258063</v>
      </c>
      <c r="S49" s="556">
        <f t="shared" si="13"/>
        <v>3.2258064516129031E-2</v>
      </c>
      <c r="U49" s="537">
        <v>2</v>
      </c>
      <c r="V49" s="537">
        <v>7</v>
      </c>
      <c r="W49" s="537">
        <v>7</v>
      </c>
      <c r="X49" s="537">
        <v>6</v>
      </c>
      <c r="Y49" s="537">
        <v>9</v>
      </c>
      <c r="Z49" s="537">
        <v>0</v>
      </c>
      <c r="AA49" s="537">
        <v>0</v>
      </c>
      <c r="AB49" s="537">
        <v>31</v>
      </c>
      <c r="AC49" s="537">
        <f t="shared" si="6"/>
        <v>9</v>
      </c>
      <c r="AD49" s="537">
        <f t="shared" si="7"/>
        <v>7</v>
      </c>
      <c r="AE49" s="537">
        <f t="shared" si="8"/>
        <v>6</v>
      </c>
      <c r="AF49" s="537">
        <f t="shared" si="9"/>
        <v>9</v>
      </c>
      <c r="AG49" s="537">
        <f t="shared" si="10"/>
        <v>0</v>
      </c>
    </row>
    <row r="50" spans="1:33" x14ac:dyDescent="0.25">
      <c r="A50" s="551" t="s">
        <v>96</v>
      </c>
      <c r="B50" s="552" t="s">
        <v>97</v>
      </c>
      <c r="C50" s="558" t="s">
        <v>266</v>
      </c>
      <c r="D50" s="554">
        <v>15</v>
      </c>
      <c r="E50" s="554">
        <v>10</v>
      </c>
      <c r="F50" s="554">
        <v>3</v>
      </c>
      <c r="G50" s="554">
        <v>0</v>
      </c>
      <c r="H50" s="554">
        <v>0</v>
      </c>
      <c r="I50" s="554">
        <v>0</v>
      </c>
      <c r="J50" s="554">
        <v>0</v>
      </c>
      <c r="K50" s="554">
        <v>2</v>
      </c>
      <c r="L50" s="554">
        <v>0</v>
      </c>
      <c r="M50" s="554">
        <v>0</v>
      </c>
      <c r="N50" s="555"/>
      <c r="O50" s="555">
        <f t="shared" si="11"/>
        <v>2</v>
      </c>
      <c r="P50" s="555">
        <f t="shared" si="5"/>
        <v>0</v>
      </c>
      <c r="Q50" s="555"/>
      <c r="R50" s="556">
        <f t="shared" si="12"/>
        <v>0.66666666666666663</v>
      </c>
      <c r="S50" s="556">
        <f t="shared" si="13"/>
        <v>0.2</v>
      </c>
      <c r="U50" s="537">
        <v>0</v>
      </c>
      <c r="V50" s="537">
        <v>5</v>
      </c>
      <c r="W50" s="537">
        <v>0</v>
      </c>
      <c r="X50" s="537">
        <v>5</v>
      </c>
      <c r="Y50" s="537">
        <v>5</v>
      </c>
      <c r="Z50" s="537">
        <v>0</v>
      </c>
      <c r="AA50" s="537">
        <v>0</v>
      </c>
      <c r="AB50" s="537">
        <v>15</v>
      </c>
      <c r="AC50" s="537">
        <f t="shared" si="6"/>
        <v>5</v>
      </c>
      <c r="AD50" s="537">
        <f t="shared" si="7"/>
        <v>0</v>
      </c>
      <c r="AE50" s="537">
        <f t="shared" si="8"/>
        <v>5</v>
      </c>
      <c r="AF50" s="537">
        <f t="shared" si="9"/>
        <v>5</v>
      </c>
      <c r="AG50" s="537">
        <f t="shared" si="10"/>
        <v>0</v>
      </c>
    </row>
    <row r="51" spans="1:33" x14ac:dyDescent="0.25">
      <c r="A51" s="551" t="s">
        <v>98</v>
      </c>
      <c r="B51" s="552" t="s">
        <v>99</v>
      </c>
      <c r="C51" s="558" t="s">
        <v>268</v>
      </c>
      <c r="D51" s="554">
        <v>23</v>
      </c>
      <c r="E51" s="554">
        <v>23</v>
      </c>
      <c r="F51" s="554">
        <v>0</v>
      </c>
      <c r="G51" s="554">
        <v>0</v>
      </c>
      <c r="H51" s="554">
        <v>0</v>
      </c>
      <c r="I51" s="554">
        <v>0</v>
      </c>
      <c r="J51" s="554">
        <v>0</v>
      </c>
      <c r="K51" s="554">
        <v>0</v>
      </c>
      <c r="L51" s="554">
        <v>0</v>
      </c>
      <c r="M51" s="554">
        <v>0</v>
      </c>
      <c r="N51" s="555"/>
      <c r="O51" s="555">
        <f t="shared" si="11"/>
        <v>0</v>
      </c>
      <c r="P51" s="555">
        <f t="shared" si="5"/>
        <v>0</v>
      </c>
      <c r="Q51" s="555"/>
      <c r="R51" s="556">
        <f t="shared" si="12"/>
        <v>1</v>
      </c>
      <c r="S51" s="556">
        <f t="shared" si="13"/>
        <v>0</v>
      </c>
      <c r="U51" s="537">
        <v>1</v>
      </c>
      <c r="V51" s="537">
        <v>9</v>
      </c>
      <c r="W51" s="537">
        <v>2</v>
      </c>
      <c r="X51" s="537">
        <v>6</v>
      </c>
      <c r="Y51" s="537">
        <v>5</v>
      </c>
      <c r="Z51" s="537">
        <v>0</v>
      </c>
      <c r="AA51" s="537">
        <v>0</v>
      </c>
      <c r="AB51" s="537">
        <v>23</v>
      </c>
      <c r="AC51" s="537">
        <f t="shared" si="6"/>
        <v>10</v>
      </c>
      <c r="AD51" s="537">
        <f t="shared" si="7"/>
        <v>2</v>
      </c>
      <c r="AE51" s="537">
        <f t="shared" si="8"/>
        <v>6</v>
      </c>
      <c r="AF51" s="537">
        <f t="shared" si="9"/>
        <v>5</v>
      </c>
      <c r="AG51" s="537">
        <f t="shared" si="10"/>
        <v>0</v>
      </c>
    </row>
    <row r="52" spans="1:33" x14ac:dyDescent="0.25">
      <c r="A52" s="551" t="s">
        <v>100</v>
      </c>
      <c r="B52" s="552" t="s">
        <v>101</v>
      </c>
      <c r="C52" s="558" t="s">
        <v>267</v>
      </c>
      <c r="D52" s="554">
        <v>3</v>
      </c>
      <c r="E52" s="554">
        <v>2</v>
      </c>
      <c r="F52" s="554">
        <v>0</v>
      </c>
      <c r="G52" s="554">
        <v>0</v>
      </c>
      <c r="H52" s="554">
        <v>0</v>
      </c>
      <c r="I52" s="554">
        <v>0</v>
      </c>
      <c r="J52" s="554">
        <v>0</v>
      </c>
      <c r="K52" s="554">
        <v>1</v>
      </c>
      <c r="L52" s="554">
        <v>0</v>
      </c>
      <c r="M52" s="554">
        <v>0</v>
      </c>
      <c r="N52" s="555"/>
      <c r="O52" s="555">
        <f t="shared" si="11"/>
        <v>1</v>
      </c>
      <c r="P52" s="555">
        <f t="shared" si="5"/>
        <v>0</v>
      </c>
      <c r="Q52" s="555"/>
      <c r="R52" s="556">
        <f t="shared" si="12"/>
        <v>0.66666666666666663</v>
      </c>
      <c r="S52" s="556">
        <f t="shared" si="13"/>
        <v>0</v>
      </c>
      <c r="U52" s="537">
        <v>0</v>
      </c>
      <c r="V52" s="537">
        <v>0</v>
      </c>
      <c r="W52" s="537">
        <v>2</v>
      </c>
      <c r="X52" s="537">
        <v>0</v>
      </c>
      <c r="Y52" s="537">
        <v>1</v>
      </c>
      <c r="Z52" s="537">
        <v>0</v>
      </c>
      <c r="AA52" s="537">
        <v>0</v>
      </c>
      <c r="AB52" s="537">
        <v>3</v>
      </c>
      <c r="AC52" s="537">
        <f t="shared" si="6"/>
        <v>0</v>
      </c>
      <c r="AD52" s="537">
        <f t="shared" si="7"/>
        <v>2</v>
      </c>
      <c r="AE52" s="537">
        <f t="shared" si="8"/>
        <v>0</v>
      </c>
      <c r="AF52" s="537">
        <f t="shared" si="9"/>
        <v>1</v>
      </c>
      <c r="AG52" s="537">
        <f t="shared" si="10"/>
        <v>0</v>
      </c>
    </row>
    <row r="53" spans="1:33" x14ac:dyDescent="0.25">
      <c r="A53" s="551" t="s">
        <v>102</v>
      </c>
      <c r="B53" s="552" t="s">
        <v>282</v>
      </c>
      <c r="C53" s="558" t="s">
        <v>264</v>
      </c>
      <c r="D53" s="554">
        <v>10</v>
      </c>
      <c r="E53" s="554">
        <v>1</v>
      </c>
      <c r="F53" s="554">
        <v>9</v>
      </c>
      <c r="G53" s="554">
        <v>0</v>
      </c>
      <c r="H53" s="554">
        <v>0</v>
      </c>
      <c r="I53" s="554">
        <v>0</v>
      </c>
      <c r="J53" s="554">
        <v>0</v>
      </c>
      <c r="K53" s="554">
        <v>0</v>
      </c>
      <c r="L53" s="554">
        <v>0</v>
      </c>
      <c r="M53" s="554">
        <v>0</v>
      </c>
      <c r="N53" s="555"/>
      <c r="O53" s="555">
        <f t="shared" si="11"/>
        <v>0</v>
      </c>
      <c r="P53" s="555">
        <f t="shared" si="5"/>
        <v>0</v>
      </c>
      <c r="Q53" s="555"/>
      <c r="R53" s="556">
        <f t="shared" si="12"/>
        <v>0.1</v>
      </c>
      <c r="S53" s="556">
        <f t="shared" si="13"/>
        <v>0.9</v>
      </c>
      <c r="U53" s="537">
        <v>1</v>
      </c>
      <c r="V53" s="537">
        <v>2</v>
      </c>
      <c r="W53" s="537">
        <v>0</v>
      </c>
      <c r="X53" s="537">
        <v>1</v>
      </c>
      <c r="Y53" s="537">
        <v>6</v>
      </c>
      <c r="Z53" s="537">
        <v>0</v>
      </c>
      <c r="AA53" s="537">
        <v>0</v>
      </c>
      <c r="AB53" s="537">
        <v>10</v>
      </c>
      <c r="AC53" s="537">
        <f t="shared" si="6"/>
        <v>3</v>
      </c>
      <c r="AD53" s="537">
        <f t="shared" si="7"/>
        <v>0</v>
      </c>
      <c r="AE53" s="537">
        <f t="shared" si="8"/>
        <v>1</v>
      </c>
      <c r="AF53" s="537">
        <f t="shared" si="9"/>
        <v>6</v>
      </c>
      <c r="AG53" s="537">
        <f t="shared" si="10"/>
        <v>0</v>
      </c>
    </row>
    <row r="54" spans="1:33" x14ac:dyDescent="0.25">
      <c r="A54" s="551" t="s">
        <v>104</v>
      </c>
      <c r="B54" s="552" t="s">
        <v>105</v>
      </c>
      <c r="C54" s="558" t="s">
        <v>265</v>
      </c>
      <c r="D54" s="554">
        <v>32</v>
      </c>
      <c r="E54" s="554">
        <v>14</v>
      </c>
      <c r="F54" s="554">
        <v>11</v>
      </c>
      <c r="G54" s="554">
        <v>0</v>
      </c>
      <c r="H54" s="554">
        <v>0</v>
      </c>
      <c r="I54" s="554">
        <v>0</v>
      </c>
      <c r="J54" s="554">
        <v>0</v>
      </c>
      <c r="K54" s="554">
        <v>7</v>
      </c>
      <c r="L54" s="554">
        <v>0</v>
      </c>
      <c r="M54" s="554">
        <v>0</v>
      </c>
      <c r="N54" s="555"/>
      <c r="O54" s="555">
        <f t="shared" si="11"/>
        <v>7</v>
      </c>
      <c r="P54" s="555">
        <f t="shared" si="5"/>
        <v>0</v>
      </c>
      <c r="Q54" s="555"/>
      <c r="R54" s="556">
        <f t="shared" si="12"/>
        <v>0.4375</v>
      </c>
      <c r="S54" s="556">
        <f t="shared" si="13"/>
        <v>0.34375</v>
      </c>
      <c r="U54" s="537">
        <v>1</v>
      </c>
      <c r="V54" s="537">
        <v>10</v>
      </c>
      <c r="W54" s="537">
        <v>9</v>
      </c>
      <c r="X54" s="537">
        <v>5</v>
      </c>
      <c r="Y54" s="537">
        <v>7</v>
      </c>
      <c r="Z54" s="537">
        <v>0</v>
      </c>
      <c r="AA54" s="537">
        <v>0</v>
      </c>
      <c r="AB54" s="537">
        <v>32</v>
      </c>
      <c r="AC54" s="537">
        <f t="shared" si="6"/>
        <v>11</v>
      </c>
      <c r="AD54" s="537">
        <f t="shared" si="7"/>
        <v>9</v>
      </c>
      <c r="AE54" s="537">
        <f t="shared" si="8"/>
        <v>5</v>
      </c>
      <c r="AF54" s="537">
        <f t="shared" si="9"/>
        <v>7</v>
      </c>
      <c r="AG54" s="537">
        <f t="shared" si="10"/>
        <v>0</v>
      </c>
    </row>
    <row r="55" spans="1:33" x14ac:dyDescent="0.25">
      <c r="A55" s="551" t="s">
        <v>106</v>
      </c>
      <c r="B55" s="552" t="s">
        <v>107</v>
      </c>
      <c r="C55" s="558" t="s">
        <v>264</v>
      </c>
      <c r="D55" s="554">
        <v>76</v>
      </c>
      <c r="E55" s="554">
        <v>20</v>
      </c>
      <c r="F55" s="554">
        <v>35</v>
      </c>
      <c r="G55" s="554">
        <v>0</v>
      </c>
      <c r="H55" s="554">
        <v>0</v>
      </c>
      <c r="I55" s="554">
        <v>0</v>
      </c>
      <c r="J55" s="554">
        <v>4</v>
      </c>
      <c r="K55" s="554">
        <v>17</v>
      </c>
      <c r="L55" s="554">
        <v>0</v>
      </c>
      <c r="M55" s="554">
        <v>0</v>
      </c>
      <c r="N55" s="555"/>
      <c r="O55" s="555">
        <f t="shared" si="11"/>
        <v>21</v>
      </c>
      <c r="P55" s="555">
        <f t="shared" si="5"/>
        <v>0</v>
      </c>
      <c r="Q55" s="555"/>
      <c r="R55" s="556">
        <f t="shared" si="12"/>
        <v>0.26315789473684209</v>
      </c>
      <c r="S55" s="556">
        <f t="shared" si="13"/>
        <v>0.46052631578947367</v>
      </c>
      <c r="U55" s="537">
        <v>8</v>
      </c>
      <c r="V55" s="537">
        <v>30</v>
      </c>
      <c r="W55" s="537">
        <v>13</v>
      </c>
      <c r="X55" s="537">
        <v>18</v>
      </c>
      <c r="Y55" s="537">
        <v>7</v>
      </c>
      <c r="Z55" s="537">
        <v>0</v>
      </c>
      <c r="AA55" s="537">
        <v>0</v>
      </c>
      <c r="AB55" s="537">
        <v>76</v>
      </c>
      <c r="AC55" s="537">
        <f t="shared" si="6"/>
        <v>38</v>
      </c>
      <c r="AD55" s="537">
        <f t="shared" si="7"/>
        <v>13</v>
      </c>
      <c r="AE55" s="537">
        <f t="shared" si="8"/>
        <v>18</v>
      </c>
      <c r="AF55" s="537">
        <f t="shared" si="9"/>
        <v>7</v>
      </c>
      <c r="AG55" s="537">
        <f t="shared" si="10"/>
        <v>0</v>
      </c>
    </row>
    <row r="56" spans="1:33" x14ac:dyDescent="0.25">
      <c r="A56" s="551" t="s">
        <v>108</v>
      </c>
      <c r="B56" s="552" t="s">
        <v>109</v>
      </c>
      <c r="C56" s="558" t="s">
        <v>266</v>
      </c>
      <c r="D56" s="554">
        <v>17</v>
      </c>
      <c r="E56" s="554">
        <v>9</v>
      </c>
      <c r="F56" s="554">
        <v>5</v>
      </c>
      <c r="G56" s="554">
        <v>0</v>
      </c>
      <c r="H56" s="554">
        <v>0</v>
      </c>
      <c r="I56" s="554">
        <v>0</v>
      </c>
      <c r="J56" s="554">
        <v>1</v>
      </c>
      <c r="K56" s="554">
        <v>2</v>
      </c>
      <c r="L56" s="554">
        <v>0</v>
      </c>
      <c r="M56" s="554">
        <v>0</v>
      </c>
      <c r="N56" s="555"/>
      <c r="O56" s="555">
        <f t="shared" si="11"/>
        <v>3</v>
      </c>
      <c r="P56" s="555">
        <f t="shared" si="5"/>
        <v>0</v>
      </c>
      <c r="Q56" s="555"/>
      <c r="R56" s="556">
        <f t="shared" si="12"/>
        <v>0.52941176470588236</v>
      </c>
      <c r="S56" s="556">
        <f t="shared" si="13"/>
        <v>0.29411764705882354</v>
      </c>
      <c r="U56" s="537">
        <v>0</v>
      </c>
      <c r="V56" s="537">
        <v>1</v>
      </c>
      <c r="W56" s="537">
        <v>0</v>
      </c>
      <c r="X56" s="537">
        <v>5</v>
      </c>
      <c r="Y56" s="537">
        <v>11</v>
      </c>
      <c r="Z56" s="537">
        <v>0</v>
      </c>
      <c r="AA56" s="537">
        <v>0</v>
      </c>
      <c r="AB56" s="537">
        <v>17</v>
      </c>
      <c r="AC56" s="537">
        <f t="shared" si="6"/>
        <v>1</v>
      </c>
      <c r="AD56" s="537">
        <f t="shared" si="7"/>
        <v>0</v>
      </c>
      <c r="AE56" s="537">
        <f t="shared" si="8"/>
        <v>5</v>
      </c>
      <c r="AF56" s="537">
        <f t="shared" si="9"/>
        <v>11</v>
      </c>
      <c r="AG56" s="537">
        <f t="shared" si="10"/>
        <v>0</v>
      </c>
    </row>
    <row r="57" spans="1:33" x14ac:dyDescent="0.25">
      <c r="A57" s="551" t="s">
        <v>110</v>
      </c>
      <c r="B57" s="552" t="s">
        <v>111</v>
      </c>
      <c r="C57" s="558" t="s">
        <v>266</v>
      </c>
      <c r="D57" s="554">
        <v>95</v>
      </c>
      <c r="E57" s="554">
        <v>31</v>
      </c>
      <c r="F57" s="554">
        <v>42</v>
      </c>
      <c r="G57" s="554">
        <v>5</v>
      </c>
      <c r="H57" s="554">
        <v>0</v>
      </c>
      <c r="I57" s="554">
        <v>0</v>
      </c>
      <c r="J57" s="554">
        <v>9</v>
      </c>
      <c r="K57" s="554">
        <v>8</v>
      </c>
      <c r="L57" s="554">
        <v>0</v>
      </c>
      <c r="M57" s="554">
        <v>0</v>
      </c>
      <c r="N57" s="555"/>
      <c r="O57" s="555">
        <f t="shared" si="11"/>
        <v>22</v>
      </c>
      <c r="P57" s="555">
        <f t="shared" si="5"/>
        <v>0</v>
      </c>
      <c r="Q57" s="555"/>
      <c r="R57" s="556">
        <f t="shared" si="12"/>
        <v>0.32631578947368423</v>
      </c>
      <c r="S57" s="556">
        <f t="shared" si="13"/>
        <v>0.44210526315789472</v>
      </c>
      <c r="U57" s="537">
        <v>2</v>
      </c>
      <c r="V57" s="537">
        <v>17</v>
      </c>
      <c r="W57" s="537">
        <v>26</v>
      </c>
      <c r="X57" s="537">
        <v>29</v>
      </c>
      <c r="Y57" s="537">
        <v>21</v>
      </c>
      <c r="Z57" s="537">
        <v>0</v>
      </c>
      <c r="AA57" s="537">
        <v>0</v>
      </c>
      <c r="AB57" s="537">
        <v>95</v>
      </c>
      <c r="AC57" s="537">
        <f t="shared" si="6"/>
        <v>19</v>
      </c>
      <c r="AD57" s="537">
        <f t="shared" si="7"/>
        <v>26</v>
      </c>
      <c r="AE57" s="537">
        <f t="shared" si="8"/>
        <v>29</v>
      </c>
      <c r="AF57" s="537">
        <f t="shared" si="9"/>
        <v>21</v>
      </c>
      <c r="AG57" s="537">
        <f t="shared" si="10"/>
        <v>0</v>
      </c>
    </row>
    <row r="58" spans="1:33" x14ac:dyDescent="0.25">
      <c r="A58" s="551" t="s">
        <v>112</v>
      </c>
      <c r="B58" s="552" t="s">
        <v>113</v>
      </c>
      <c r="C58" s="558" t="s">
        <v>265</v>
      </c>
      <c r="D58" s="554">
        <v>46</v>
      </c>
      <c r="E58" s="554">
        <v>30</v>
      </c>
      <c r="F58" s="554">
        <v>1</v>
      </c>
      <c r="G58" s="554">
        <v>0</v>
      </c>
      <c r="H58" s="554">
        <v>0</v>
      </c>
      <c r="I58" s="554">
        <v>0</v>
      </c>
      <c r="J58" s="554">
        <v>6</v>
      </c>
      <c r="K58" s="554">
        <v>9</v>
      </c>
      <c r="L58" s="554">
        <v>0</v>
      </c>
      <c r="M58" s="554">
        <v>0</v>
      </c>
      <c r="N58" s="555"/>
      <c r="O58" s="555">
        <f t="shared" si="11"/>
        <v>15</v>
      </c>
      <c r="P58" s="555">
        <f t="shared" si="5"/>
        <v>0</v>
      </c>
      <c r="Q58" s="555"/>
      <c r="R58" s="556">
        <f t="shared" si="12"/>
        <v>0.65217391304347827</v>
      </c>
      <c r="S58" s="556">
        <f t="shared" si="13"/>
        <v>2.1739130434782608E-2</v>
      </c>
      <c r="U58" s="537">
        <v>5</v>
      </c>
      <c r="V58" s="537">
        <v>16</v>
      </c>
      <c r="W58" s="537">
        <v>6</v>
      </c>
      <c r="X58" s="537">
        <v>12</v>
      </c>
      <c r="Y58" s="537">
        <v>7</v>
      </c>
      <c r="Z58" s="537">
        <v>0</v>
      </c>
      <c r="AA58" s="537">
        <v>0</v>
      </c>
      <c r="AB58" s="537">
        <v>46</v>
      </c>
      <c r="AC58" s="537">
        <f t="shared" si="6"/>
        <v>21</v>
      </c>
      <c r="AD58" s="537">
        <f t="shared" si="7"/>
        <v>6</v>
      </c>
      <c r="AE58" s="537">
        <f t="shared" si="8"/>
        <v>12</v>
      </c>
      <c r="AF58" s="537">
        <f t="shared" si="9"/>
        <v>7</v>
      </c>
      <c r="AG58" s="537">
        <f t="shared" si="10"/>
        <v>0</v>
      </c>
    </row>
    <row r="59" spans="1:33" x14ac:dyDescent="0.25">
      <c r="A59" s="557" t="s">
        <v>114</v>
      </c>
      <c r="B59" s="552" t="s">
        <v>115</v>
      </c>
      <c r="C59" s="558" t="s">
        <v>265</v>
      </c>
      <c r="D59" s="554">
        <v>3</v>
      </c>
      <c r="E59" s="554">
        <v>3</v>
      </c>
      <c r="F59" s="554">
        <v>0</v>
      </c>
      <c r="G59" s="554">
        <v>0</v>
      </c>
      <c r="H59" s="554">
        <v>0</v>
      </c>
      <c r="I59" s="554">
        <v>0</v>
      </c>
      <c r="J59" s="554">
        <v>0</v>
      </c>
      <c r="K59" s="554">
        <v>0</v>
      </c>
      <c r="L59" s="554">
        <v>0</v>
      </c>
      <c r="M59" s="554">
        <v>0</v>
      </c>
      <c r="N59" s="555"/>
      <c r="O59" s="555">
        <f t="shared" si="11"/>
        <v>0</v>
      </c>
      <c r="P59" s="555">
        <f t="shared" si="5"/>
        <v>0</v>
      </c>
      <c r="Q59" s="555"/>
      <c r="R59" s="556">
        <f t="shared" si="12"/>
        <v>1</v>
      </c>
      <c r="S59" s="556">
        <f t="shared" si="13"/>
        <v>0</v>
      </c>
      <c r="U59" s="537">
        <v>1</v>
      </c>
      <c r="V59" s="537">
        <v>1</v>
      </c>
      <c r="W59" s="537">
        <v>1</v>
      </c>
      <c r="X59" s="537">
        <v>0</v>
      </c>
      <c r="Y59" s="537">
        <v>0</v>
      </c>
      <c r="Z59" s="537">
        <v>0</v>
      </c>
      <c r="AA59" s="537">
        <v>0</v>
      </c>
      <c r="AB59" s="537">
        <v>3</v>
      </c>
      <c r="AC59" s="537">
        <f t="shared" si="6"/>
        <v>2</v>
      </c>
      <c r="AD59" s="537">
        <f t="shared" si="7"/>
        <v>1</v>
      </c>
      <c r="AE59" s="537">
        <f t="shared" si="8"/>
        <v>0</v>
      </c>
      <c r="AF59" s="537">
        <f t="shared" si="9"/>
        <v>0</v>
      </c>
      <c r="AG59" s="537">
        <f t="shared" si="10"/>
        <v>0</v>
      </c>
    </row>
    <row r="60" spans="1:33" x14ac:dyDescent="0.25">
      <c r="A60" s="551" t="s">
        <v>116</v>
      </c>
      <c r="B60" s="552" t="s">
        <v>117</v>
      </c>
      <c r="C60" s="558" t="s">
        <v>266</v>
      </c>
      <c r="D60" s="554">
        <v>20</v>
      </c>
      <c r="E60" s="554">
        <v>10</v>
      </c>
      <c r="F60" s="554">
        <v>9</v>
      </c>
      <c r="G60" s="554">
        <v>0</v>
      </c>
      <c r="H60" s="554">
        <v>0</v>
      </c>
      <c r="I60" s="554">
        <v>0</v>
      </c>
      <c r="J60" s="554">
        <v>0</v>
      </c>
      <c r="K60" s="554">
        <v>1</v>
      </c>
      <c r="L60" s="554">
        <v>0</v>
      </c>
      <c r="M60" s="554">
        <v>0</v>
      </c>
      <c r="N60" s="555"/>
      <c r="O60" s="555">
        <f t="shared" si="11"/>
        <v>1</v>
      </c>
      <c r="P60" s="555">
        <f t="shared" si="5"/>
        <v>0</v>
      </c>
      <c r="Q60" s="555"/>
      <c r="R60" s="556">
        <f t="shared" si="12"/>
        <v>0.5</v>
      </c>
      <c r="S60" s="556">
        <f t="shared" si="13"/>
        <v>0.45</v>
      </c>
      <c r="U60" s="537">
        <v>2</v>
      </c>
      <c r="V60" s="537">
        <v>8</v>
      </c>
      <c r="W60" s="537">
        <v>3</v>
      </c>
      <c r="X60" s="537">
        <v>5</v>
      </c>
      <c r="Y60" s="537">
        <v>2</v>
      </c>
      <c r="Z60" s="537">
        <v>0</v>
      </c>
      <c r="AA60" s="537">
        <v>0</v>
      </c>
      <c r="AB60" s="537">
        <v>20</v>
      </c>
      <c r="AC60" s="537">
        <f t="shared" si="6"/>
        <v>10</v>
      </c>
      <c r="AD60" s="537">
        <f t="shared" si="7"/>
        <v>3</v>
      </c>
      <c r="AE60" s="537">
        <f t="shared" si="8"/>
        <v>5</v>
      </c>
      <c r="AF60" s="537">
        <f t="shared" si="9"/>
        <v>2</v>
      </c>
      <c r="AG60" s="537">
        <f t="shared" si="10"/>
        <v>0</v>
      </c>
    </row>
    <row r="61" spans="1:33" x14ac:dyDescent="0.25">
      <c r="A61" s="551" t="s">
        <v>118</v>
      </c>
      <c r="B61" s="552" t="s">
        <v>119</v>
      </c>
      <c r="C61" s="558" t="s">
        <v>264</v>
      </c>
      <c r="D61" s="554">
        <v>4</v>
      </c>
      <c r="E61" s="554">
        <v>4</v>
      </c>
      <c r="F61" s="554">
        <v>0</v>
      </c>
      <c r="G61" s="554">
        <v>0</v>
      </c>
      <c r="H61" s="554">
        <v>0</v>
      </c>
      <c r="I61" s="554">
        <v>0</v>
      </c>
      <c r="J61" s="554">
        <v>0</v>
      </c>
      <c r="K61" s="554">
        <v>0</v>
      </c>
      <c r="L61" s="554">
        <v>0</v>
      </c>
      <c r="M61" s="554">
        <v>0</v>
      </c>
      <c r="N61" s="555"/>
      <c r="O61" s="555">
        <f t="shared" si="11"/>
        <v>0</v>
      </c>
      <c r="P61" s="555">
        <f t="shared" si="5"/>
        <v>0</v>
      </c>
      <c r="Q61" s="555"/>
      <c r="R61" s="556">
        <f t="shared" si="12"/>
        <v>1</v>
      </c>
      <c r="S61" s="556">
        <f t="shared" si="13"/>
        <v>0</v>
      </c>
      <c r="U61" s="537">
        <v>0</v>
      </c>
      <c r="V61" s="537">
        <v>0</v>
      </c>
      <c r="W61" s="537">
        <v>2</v>
      </c>
      <c r="X61" s="537">
        <v>0</v>
      </c>
      <c r="Y61" s="537">
        <v>2</v>
      </c>
      <c r="Z61" s="537">
        <v>0</v>
      </c>
      <c r="AA61" s="537">
        <v>0</v>
      </c>
      <c r="AB61" s="537">
        <v>4</v>
      </c>
      <c r="AC61" s="537">
        <f t="shared" si="6"/>
        <v>0</v>
      </c>
      <c r="AD61" s="537">
        <f t="shared" si="7"/>
        <v>2</v>
      </c>
      <c r="AE61" s="537">
        <f t="shared" si="8"/>
        <v>0</v>
      </c>
      <c r="AF61" s="537">
        <f t="shared" si="9"/>
        <v>2</v>
      </c>
      <c r="AG61" s="537">
        <f t="shared" si="10"/>
        <v>0</v>
      </c>
    </row>
    <row r="62" spans="1:33" x14ac:dyDescent="0.25">
      <c r="A62" s="551" t="s">
        <v>120</v>
      </c>
      <c r="B62" s="552" t="s">
        <v>121</v>
      </c>
      <c r="C62" s="558" t="s">
        <v>264</v>
      </c>
      <c r="D62" s="554">
        <v>8</v>
      </c>
      <c r="E62" s="554">
        <v>4</v>
      </c>
      <c r="F62" s="554">
        <v>4</v>
      </c>
      <c r="G62" s="554">
        <v>0</v>
      </c>
      <c r="H62" s="554">
        <v>0</v>
      </c>
      <c r="I62" s="554">
        <v>0</v>
      </c>
      <c r="J62" s="554">
        <v>0</v>
      </c>
      <c r="K62" s="554">
        <v>0</v>
      </c>
      <c r="L62" s="554">
        <v>0</v>
      </c>
      <c r="M62" s="554">
        <v>0</v>
      </c>
      <c r="N62" s="555"/>
      <c r="O62" s="555">
        <f t="shared" si="11"/>
        <v>0</v>
      </c>
      <c r="P62" s="555">
        <f t="shared" si="5"/>
        <v>0</v>
      </c>
      <c r="Q62" s="555"/>
      <c r="R62" s="556">
        <f t="shared" si="12"/>
        <v>0.5</v>
      </c>
      <c r="S62" s="556">
        <f t="shared" si="13"/>
        <v>0.5</v>
      </c>
      <c r="U62" s="537">
        <v>3</v>
      </c>
      <c r="V62" s="537">
        <v>1</v>
      </c>
      <c r="W62" s="537">
        <v>0</v>
      </c>
      <c r="X62" s="537">
        <v>2</v>
      </c>
      <c r="Y62" s="537">
        <v>2</v>
      </c>
      <c r="Z62" s="537">
        <v>0</v>
      </c>
      <c r="AA62" s="537">
        <v>0</v>
      </c>
      <c r="AB62" s="537">
        <v>8</v>
      </c>
      <c r="AC62" s="537">
        <f t="shared" si="6"/>
        <v>4</v>
      </c>
      <c r="AD62" s="537">
        <f t="shared" si="7"/>
        <v>0</v>
      </c>
      <c r="AE62" s="537">
        <f t="shared" si="8"/>
        <v>2</v>
      </c>
      <c r="AF62" s="537">
        <f t="shared" si="9"/>
        <v>2</v>
      </c>
      <c r="AG62" s="537">
        <f t="shared" si="10"/>
        <v>0</v>
      </c>
    </row>
    <row r="63" spans="1:33" x14ac:dyDescent="0.25">
      <c r="A63" s="551" t="s">
        <v>122</v>
      </c>
      <c r="B63" s="552" t="s">
        <v>123</v>
      </c>
      <c r="C63" s="558" t="s">
        <v>266</v>
      </c>
      <c r="D63" s="554">
        <v>2</v>
      </c>
      <c r="E63" s="554">
        <v>2</v>
      </c>
      <c r="F63" s="554">
        <v>0</v>
      </c>
      <c r="G63" s="554">
        <v>0</v>
      </c>
      <c r="H63" s="554">
        <v>0</v>
      </c>
      <c r="I63" s="554">
        <v>0</v>
      </c>
      <c r="J63" s="554">
        <v>0</v>
      </c>
      <c r="K63" s="554">
        <v>0</v>
      </c>
      <c r="L63" s="554">
        <v>0</v>
      </c>
      <c r="M63" s="554">
        <v>0</v>
      </c>
      <c r="N63" s="555"/>
      <c r="O63" s="555">
        <f t="shared" si="11"/>
        <v>0</v>
      </c>
      <c r="P63" s="555">
        <f t="shared" si="5"/>
        <v>0</v>
      </c>
      <c r="Q63" s="555"/>
      <c r="R63" s="556">
        <f t="shared" si="12"/>
        <v>1</v>
      </c>
      <c r="S63" s="556">
        <f t="shared" si="13"/>
        <v>0</v>
      </c>
      <c r="U63" s="537">
        <v>0</v>
      </c>
      <c r="V63" s="537">
        <v>0</v>
      </c>
      <c r="W63" s="537">
        <v>0</v>
      </c>
      <c r="X63" s="537">
        <v>1</v>
      </c>
      <c r="Y63" s="537">
        <v>1</v>
      </c>
      <c r="Z63" s="537">
        <v>0</v>
      </c>
      <c r="AA63" s="537">
        <v>0</v>
      </c>
      <c r="AB63" s="537">
        <v>2</v>
      </c>
      <c r="AC63" s="537">
        <f t="shared" si="6"/>
        <v>0</v>
      </c>
      <c r="AD63" s="537">
        <f t="shared" si="7"/>
        <v>0</v>
      </c>
      <c r="AE63" s="537">
        <f t="shared" si="8"/>
        <v>1</v>
      </c>
      <c r="AF63" s="537">
        <f t="shared" si="9"/>
        <v>1</v>
      </c>
      <c r="AG63" s="537">
        <f t="shared" si="10"/>
        <v>0</v>
      </c>
    </row>
    <row r="64" spans="1:33" x14ac:dyDescent="0.25">
      <c r="A64" s="551" t="s">
        <v>124</v>
      </c>
      <c r="B64" s="552" t="s">
        <v>125</v>
      </c>
      <c r="C64" s="558" t="s">
        <v>267</v>
      </c>
      <c r="D64" s="554">
        <v>16</v>
      </c>
      <c r="E64" s="554">
        <v>14</v>
      </c>
      <c r="F64" s="554">
        <v>1</v>
      </c>
      <c r="G64" s="554">
        <v>0</v>
      </c>
      <c r="H64" s="554">
        <v>0</v>
      </c>
      <c r="I64" s="554">
        <v>0</v>
      </c>
      <c r="J64" s="554">
        <v>1</v>
      </c>
      <c r="K64" s="554">
        <v>0</v>
      </c>
      <c r="L64" s="554">
        <v>0</v>
      </c>
      <c r="M64" s="554">
        <v>0</v>
      </c>
      <c r="N64" s="555"/>
      <c r="O64" s="555">
        <f t="shared" si="11"/>
        <v>1</v>
      </c>
      <c r="P64" s="555">
        <f t="shared" si="5"/>
        <v>0</v>
      </c>
      <c r="Q64" s="555"/>
      <c r="R64" s="556">
        <f t="shared" si="12"/>
        <v>0.875</v>
      </c>
      <c r="S64" s="556">
        <f t="shared" si="13"/>
        <v>6.25E-2</v>
      </c>
      <c r="U64" s="537">
        <v>0</v>
      </c>
      <c r="V64" s="537">
        <v>3</v>
      </c>
      <c r="W64" s="537">
        <v>6</v>
      </c>
      <c r="X64" s="537">
        <v>5</v>
      </c>
      <c r="Y64" s="537">
        <v>2</v>
      </c>
      <c r="Z64" s="537">
        <v>0</v>
      </c>
      <c r="AA64" s="537">
        <v>0</v>
      </c>
      <c r="AB64" s="537">
        <v>16</v>
      </c>
      <c r="AC64" s="537">
        <f t="shared" si="6"/>
        <v>3</v>
      </c>
      <c r="AD64" s="537">
        <f t="shared" si="7"/>
        <v>6</v>
      </c>
      <c r="AE64" s="537">
        <f t="shared" si="8"/>
        <v>5</v>
      </c>
      <c r="AF64" s="537">
        <f t="shared" si="9"/>
        <v>2</v>
      </c>
      <c r="AG64" s="537">
        <f t="shared" si="10"/>
        <v>0</v>
      </c>
    </row>
    <row r="65" spans="1:33" x14ac:dyDescent="0.25">
      <c r="A65" s="551" t="s">
        <v>126</v>
      </c>
      <c r="B65" s="552" t="s">
        <v>127</v>
      </c>
      <c r="C65" s="558" t="s">
        <v>266</v>
      </c>
      <c r="D65" s="554">
        <v>3</v>
      </c>
      <c r="E65" s="554">
        <v>3</v>
      </c>
      <c r="F65" s="554">
        <v>0</v>
      </c>
      <c r="G65" s="554">
        <v>0</v>
      </c>
      <c r="H65" s="554">
        <v>0</v>
      </c>
      <c r="I65" s="554">
        <v>0</v>
      </c>
      <c r="J65" s="554">
        <v>0</v>
      </c>
      <c r="K65" s="554">
        <v>0</v>
      </c>
      <c r="L65" s="554">
        <v>0</v>
      </c>
      <c r="M65" s="554">
        <v>0</v>
      </c>
      <c r="N65" s="555"/>
      <c r="O65" s="555">
        <f t="shared" si="11"/>
        <v>0</v>
      </c>
      <c r="P65" s="555">
        <f t="shared" si="5"/>
        <v>0</v>
      </c>
      <c r="Q65" s="555"/>
      <c r="R65" s="556">
        <f t="shared" si="12"/>
        <v>1</v>
      </c>
      <c r="S65" s="556">
        <f t="shared" si="13"/>
        <v>0</v>
      </c>
      <c r="U65" s="537">
        <v>0</v>
      </c>
      <c r="V65" s="537">
        <v>0</v>
      </c>
      <c r="W65" s="537">
        <v>0</v>
      </c>
      <c r="X65" s="537">
        <v>1</v>
      </c>
      <c r="Y65" s="537">
        <v>2</v>
      </c>
      <c r="Z65" s="537">
        <v>0</v>
      </c>
      <c r="AA65" s="537">
        <v>0</v>
      </c>
      <c r="AB65" s="537">
        <v>3</v>
      </c>
      <c r="AC65" s="537">
        <f t="shared" si="6"/>
        <v>0</v>
      </c>
      <c r="AD65" s="537">
        <f t="shared" si="7"/>
        <v>0</v>
      </c>
      <c r="AE65" s="537">
        <f t="shared" si="8"/>
        <v>1</v>
      </c>
      <c r="AF65" s="537">
        <f t="shared" si="9"/>
        <v>2</v>
      </c>
      <c r="AG65" s="537">
        <f t="shared" si="10"/>
        <v>0</v>
      </c>
    </row>
    <row r="66" spans="1:33" x14ac:dyDescent="0.25">
      <c r="A66" s="551" t="s">
        <v>128</v>
      </c>
      <c r="B66" s="552" t="s">
        <v>129</v>
      </c>
      <c r="C66" s="558" t="s">
        <v>266</v>
      </c>
      <c r="D66" s="554">
        <v>3</v>
      </c>
      <c r="E66" s="554">
        <v>3</v>
      </c>
      <c r="F66" s="554">
        <v>0</v>
      </c>
      <c r="G66" s="554">
        <v>0</v>
      </c>
      <c r="H66" s="554">
        <v>0</v>
      </c>
      <c r="I66" s="554">
        <v>0</v>
      </c>
      <c r="J66" s="554">
        <v>0</v>
      </c>
      <c r="K66" s="554">
        <v>0</v>
      </c>
      <c r="L66" s="554">
        <v>0</v>
      </c>
      <c r="M66" s="554">
        <v>0</v>
      </c>
      <c r="N66" s="555"/>
      <c r="O66" s="555">
        <f t="shared" si="11"/>
        <v>0</v>
      </c>
      <c r="P66" s="555">
        <f t="shared" si="5"/>
        <v>0</v>
      </c>
      <c r="Q66" s="555"/>
      <c r="R66" s="556">
        <f t="shared" si="12"/>
        <v>1</v>
      </c>
      <c r="S66" s="556">
        <f t="shared" si="13"/>
        <v>0</v>
      </c>
      <c r="U66" s="537">
        <v>0</v>
      </c>
      <c r="V66" s="537">
        <v>0</v>
      </c>
      <c r="W66" s="537">
        <v>0</v>
      </c>
      <c r="X66" s="537">
        <v>3</v>
      </c>
      <c r="Y66" s="537">
        <v>0</v>
      </c>
      <c r="Z66" s="537">
        <v>0</v>
      </c>
      <c r="AA66" s="537">
        <v>0</v>
      </c>
      <c r="AB66" s="537">
        <v>3</v>
      </c>
      <c r="AC66" s="537">
        <f t="shared" si="6"/>
        <v>0</v>
      </c>
      <c r="AD66" s="537">
        <f t="shared" si="7"/>
        <v>0</v>
      </c>
      <c r="AE66" s="537">
        <f t="shared" si="8"/>
        <v>3</v>
      </c>
      <c r="AF66" s="537">
        <f t="shared" si="9"/>
        <v>0</v>
      </c>
      <c r="AG66" s="537">
        <f t="shared" si="10"/>
        <v>0</v>
      </c>
    </row>
    <row r="67" spans="1:33" x14ac:dyDescent="0.25">
      <c r="A67" s="557" t="s">
        <v>130</v>
      </c>
      <c r="B67" s="552" t="s">
        <v>131</v>
      </c>
      <c r="C67" s="558" t="s">
        <v>268</v>
      </c>
      <c r="D67" s="554">
        <v>50</v>
      </c>
      <c r="E67" s="554">
        <v>48</v>
      </c>
      <c r="F67" s="554">
        <v>1</v>
      </c>
      <c r="G67" s="554">
        <v>0</v>
      </c>
      <c r="H67" s="554">
        <v>0</v>
      </c>
      <c r="I67" s="554">
        <v>0</v>
      </c>
      <c r="J67" s="554">
        <v>0</v>
      </c>
      <c r="K67" s="554">
        <v>1</v>
      </c>
      <c r="L67" s="554">
        <v>0</v>
      </c>
      <c r="M67" s="554">
        <v>0</v>
      </c>
      <c r="N67" s="555"/>
      <c r="O67" s="555">
        <f t="shared" si="11"/>
        <v>1</v>
      </c>
      <c r="P67" s="555">
        <f t="shared" si="5"/>
        <v>0</v>
      </c>
      <c r="Q67" s="555"/>
      <c r="R67" s="556">
        <f t="shared" si="12"/>
        <v>0.96</v>
      </c>
      <c r="S67" s="556">
        <f t="shared" si="13"/>
        <v>0.02</v>
      </c>
      <c r="U67" s="537">
        <v>2</v>
      </c>
      <c r="V67" s="537">
        <v>13</v>
      </c>
      <c r="W67" s="537">
        <v>13</v>
      </c>
      <c r="X67" s="537">
        <v>12</v>
      </c>
      <c r="Y67" s="537">
        <v>10</v>
      </c>
      <c r="Z67" s="537">
        <v>0</v>
      </c>
      <c r="AA67" s="537">
        <v>0</v>
      </c>
      <c r="AB67" s="537">
        <v>50</v>
      </c>
      <c r="AC67" s="537">
        <f t="shared" si="6"/>
        <v>15</v>
      </c>
      <c r="AD67" s="537">
        <f t="shared" si="7"/>
        <v>13</v>
      </c>
      <c r="AE67" s="537">
        <f t="shared" si="8"/>
        <v>12</v>
      </c>
      <c r="AF67" s="537">
        <f t="shared" si="9"/>
        <v>10</v>
      </c>
      <c r="AG67" s="537">
        <f t="shared" si="10"/>
        <v>0</v>
      </c>
    </row>
    <row r="68" spans="1:33" x14ac:dyDescent="0.25">
      <c r="A68" s="551" t="s">
        <v>132</v>
      </c>
      <c r="B68" s="552" t="s">
        <v>133</v>
      </c>
      <c r="C68" s="558" t="s">
        <v>267</v>
      </c>
      <c r="D68" s="554">
        <v>49</v>
      </c>
      <c r="E68" s="554">
        <v>15</v>
      </c>
      <c r="F68" s="554">
        <v>9</v>
      </c>
      <c r="G68" s="554">
        <v>0</v>
      </c>
      <c r="H68" s="554">
        <v>0</v>
      </c>
      <c r="I68" s="554">
        <v>0</v>
      </c>
      <c r="J68" s="554">
        <v>18</v>
      </c>
      <c r="K68" s="554">
        <v>6</v>
      </c>
      <c r="L68" s="554">
        <v>1</v>
      </c>
      <c r="M68" s="554">
        <v>0</v>
      </c>
      <c r="N68" s="555"/>
      <c r="O68" s="555">
        <f t="shared" si="11"/>
        <v>24</v>
      </c>
      <c r="P68" s="555">
        <f t="shared" si="5"/>
        <v>1</v>
      </c>
      <c r="Q68" s="555"/>
      <c r="R68" s="556">
        <f t="shared" si="12"/>
        <v>0.30612244897959184</v>
      </c>
      <c r="S68" s="556">
        <f t="shared" si="13"/>
        <v>0.18367346938775511</v>
      </c>
      <c r="U68" s="537">
        <v>1</v>
      </c>
      <c r="V68" s="537">
        <v>10</v>
      </c>
      <c r="W68" s="537">
        <v>12</v>
      </c>
      <c r="X68" s="537">
        <v>11</v>
      </c>
      <c r="Y68" s="537">
        <v>15</v>
      </c>
      <c r="Z68" s="537">
        <v>0</v>
      </c>
      <c r="AA68" s="537">
        <v>0</v>
      </c>
      <c r="AB68" s="537">
        <v>49</v>
      </c>
      <c r="AC68" s="537">
        <f t="shared" si="6"/>
        <v>11</v>
      </c>
      <c r="AD68" s="537">
        <f t="shared" si="7"/>
        <v>12</v>
      </c>
      <c r="AE68" s="537">
        <f t="shared" si="8"/>
        <v>11</v>
      </c>
      <c r="AF68" s="537">
        <f t="shared" si="9"/>
        <v>15</v>
      </c>
      <c r="AG68" s="537">
        <f t="shared" si="10"/>
        <v>0</v>
      </c>
    </row>
    <row r="69" spans="1:33" x14ac:dyDescent="0.25">
      <c r="A69" s="551" t="s">
        <v>134</v>
      </c>
      <c r="B69" s="552" t="s">
        <v>135</v>
      </c>
      <c r="C69" s="558" t="s">
        <v>267</v>
      </c>
      <c r="D69" s="554">
        <v>43</v>
      </c>
      <c r="E69" s="554">
        <v>28</v>
      </c>
      <c r="F69" s="554">
        <v>4</v>
      </c>
      <c r="G69" s="554">
        <v>0</v>
      </c>
      <c r="H69" s="554">
        <v>0</v>
      </c>
      <c r="I69" s="554">
        <v>0</v>
      </c>
      <c r="J69" s="554">
        <v>1</v>
      </c>
      <c r="K69" s="554">
        <v>10</v>
      </c>
      <c r="L69" s="554">
        <v>0</v>
      </c>
      <c r="M69" s="554">
        <v>0</v>
      </c>
      <c r="N69" s="555"/>
      <c r="O69" s="555">
        <f t="shared" si="11"/>
        <v>11</v>
      </c>
      <c r="P69" s="555">
        <f t="shared" si="5"/>
        <v>0</v>
      </c>
      <c r="Q69" s="555"/>
      <c r="R69" s="556">
        <f t="shared" si="12"/>
        <v>0.65116279069767447</v>
      </c>
      <c r="S69" s="556">
        <f t="shared" si="13"/>
        <v>9.3023255813953487E-2</v>
      </c>
      <c r="U69" s="537">
        <v>3</v>
      </c>
      <c r="V69" s="537">
        <v>8</v>
      </c>
      <c r="W69" s="537">
        <v>9</v>
      </c>
      <c r="X69" s="537">
        <v>14</v>
      </c>
      <c r="Y69" s="537">
        <v>9</v>
      </c>
      <c r="Z69" s="537">
        <v>0</v>
      </c>
      <c r="AA69" s="537">
        <v>0</v>
      </c>
      <c r="AB69" s="537">
        <v>43</v>
      </c>
      <c r="AC69" s="537">
        <f t="shared" si="6"/>
        <v>11</v>
      </c>
      <c r="AD69" s="537">
        <f t="shared" si="7"/>
        <v>9</v>
      </c>
      <c r="AE69" s="537">
        <f t="shared" si="8"/>
        <v>14</v>
      </c>
      <c r="AF69" s="537">
        <f t="shared" si="9"/>
        <v>9</v>
      </c>
      <c r="AG69" s="537">
        <f t="shared" si="10"/>
        <v>0</v>
      </c>
    </row>
    <row r="70" spans="1:33" x14ac:dyDescent="0.25">
      <c r="A70" s="551" t="s">
        <v>136</v>
      </c>
      <c r="B70" s="552" t="s">
        <v>137</v>
      </c>
      <c r="C70" s="558" t="s">
        <v>266</v>
      </c>
      <c r="D70" s="554">
        <v>10</v>
      </c>
      <c r="E70" s="554">
        <v>6</v>
      </c>
      <c r="F70" s="554">
        <v>4</v>
      </c>
      <c r="G70" s="554">
        <v>0</v>
      </c>
      <c r="H70" s="554">
        <v>0</v>
      </c>
      <c r="I70" s="554">
        <v>0</v>
      </c>
      <c r="J70" s="554">
        <v>0</v>
      </c>
      <c r="K70" s="554">
        <v>0</v>
      </c>
      <c r="L70" s="554">
        <v>0</v>
      </c>
      <c r="M70" s="554">
        <v>0</v>
      </c>
      <c r="N70" s="555"/>
      <c r="O70" s="555">
        <f t="shared" ref="O70:O101" si="14">SUM(G70:K70)</f>
        <v>0</v>
      </c>
      <c r="P70" s="555">
        <f t="shared" si="5"/>
        <v>0</v>
      </c>
      <c r="Q70" s="555"/>
      <c r="R70" s="556">
        <f t="shared" ref="R70:R101" si="15">IF(D70=0,"N/A",+E70/D70)</f>
        <v>0.6</v>
      </c>
      <c r="S70" s="556">
        <f t="shared" ref="S70:S101" si="16">IF(D70=0,"N/A",+F70/D70)</f>
        <v>0.4</v>
      </c>
      <c r="U70" s="537">
        <v>1</v>
      </c>
      <c r="V70" s="537">
        <v>3</v>
      </c>
      <c r="W70" s="537">
        <v>1</v>
      </c>
      <c r="X70" s="537">
        <v>5</v>
      </c>
      <c r="Y70" s="537">
        <v>0</v>
      </c>
      <c r="Z70" s="537">
        <v>0</v>
      </c>
      <c r="AA70" s="537">
        <v>0</v>
      </c>
      <c r="AB70" s="537">
        <v>10</v>
      </c>
      <c r="AC70" s="537">
        <f t="shared" si="6"/>
        <v>4</v>
      </c>
      <c r="AD70" s="537">
        <f t="shared" si="7"/>
        <v>1</v>
      </c>
      <c r="AE70" s="537">
        <f t="shared" si="8"/>
        <v>5</v>
      </c>
      <c r="AF70" s="537">
        <f t="shared" si="9"/>
        <v>0</v>
      </c>
      <c r="AG70" s="537">
        <f t="shared" si="10"/>
        <v>0</v>
      </c>
    </row>
    <row r="71" spans="1:33" x14ac:dyDescent="0.25">
      <c r="A71" s="551" t="s">
        <v>138</v>
      </c>
      <c r="B71" s="552" t="s">
        <v>139</v>
      </c>
      <c r="C71" s="558" t="s">
        <v>265</v>
      </c>
      <c r="D71" s="554">
        <v>126</v>
      </c>
      <c r="E71" s="554">
        <v>47</v>
      </c>
      <c r="F71" s="554">
        <v>60</v>
      </c>
      <c r="G71" s="554">
        <v>0</v>
      </c>
      <c r="H71" s="554">
        <v>0</v>
      </c>
      <c r="I71" s="554">
        <v>0</v>
      </c>
      <c r="J71" s="554">
        <v>9</v>
      </c>
      <c r="K71" s="554">
        <v>10</v>
      </c>
      <c r="L71" s="554">
        <v>0</v>
      </c>
      <c r="M71" s="554">
        <v>0</v>
      </c>
      <c r="N71" s="555"/>
      <c r="O71" s="555">
        <f t="shared" si="14"/>
        <v>19</v>
      </c>
      <c r="P71" s="555">
        <f t="shared" ref="P71:P125" si="17">L71+M71</f>
        <v>0</v>
      </c>
      <c r="Q71" s="555"/>
      <c r="R71" s="556">
        <f t="shared" si="15"/>
        <v>0.37301587301587302</v>
      </c>
      <c r="S71" s="556">
        <f t="shared" si="16"/>
        <v>0.47619047619047616</v>
      </c>
      <c r="U71" s="537">
        <v>8</v>
      </c>
      <c r="V71" s="537">
        <v>37</v>
      </c>
      <c r="W71" s="537">
        <v>22</v>
      </c>
      <c r="X71" s="537">
        <v>36</v>
      </c>
      <c r="Y71" s="537">
        <v>23</v>
      </c>
      <c r="Z71" s="537">
        <v>0</v>
      </c>
      <c r="AA71" s="537">
        <v>0</v>
      </c>
      <c r="AB71" s="537">
        <v>126</v>
      </c>
      <c r="AC71" s="537">
        <f t="shared" ref="AC71:AC125" si="18">U71+V71</f>
        <v>45</v>
      </c>
      <c r="AD71" s="537">
        <f t="shared" ref="AD71:AD125" si="19">W71</f>
        <v>22</v>
      </c>
      <c r="AE71" s="537">
        <f t="shared" ref="AE71:AE125" si="20">X71</f>
        <v>36</v>
      </c>
      <c r="AF71" s="537">
        <f t="shared" ref="AF71:AF125" si="21">Y71</f>
        <v>23</v>
      </c>
      <c r="AG71" s="537">
        <f t="shared" ref="AG71:AG125" si="22">Z71</f>
        <v>0</v>
      </c>
    </row>
    <row r="72" spans="1:33" x14ac:dyDescent="0.25">
      <c r="A72" s="551" t="s">
        <v>140</v>
      </c>
      <c r="B72" s="552" t="s">
        <v>141</v>
      </c>
      <c r="C72" s="558" t="s">
        <v>267</v>
      </c>
      <c r="D72" s="554">
        <v>43</v>
      </c>
      <c r="E72" s="554">
        <v>38</v>
      </c>
      <c r="F72" s="554">
        <v>1</v>
      </c>
      <c r="G72" s="554">
        <v>0</v>
      </c>
      <c r="H72" s="554">
        <v>0</v>
      </c>
      <c r="I72" s="554">
        <v>0</v>
      </c>
      <c r="J72" s="554">
        <v>3</v>
      </c>
      <c r="K72" s="554">
        <v>0</v>
      </c>
      <c r="L72" s="554">
        <v>0</v>
      </c>
      <c r="M72" s="554">
        <v>1</v>
      </c>
      <c r="N72" s="555"/>
      <c r="O72" s="555">
        <f t="shared" si="14"/>
        <v>3</v>
      </c>
      <c r="P72" s="555">
        <f t="shared" si="17"/>
        <v>1</v>
      </c>
      <c r="Q72" s="555"/>
      <c r="R72" s="556">
        <f t="shared" si="15"/>
        <v>0.88372093023255816</v>
      </c>
      <c r="S72" s="556">
        <f t="shared" si="16"/>
        <v>2.3255813953488372E-2</v>
      </c>
      <c r="U72" s="537">
        <v>0</v>
      </c>
      <c r="V72" s="537">
        <v>13</v>
      </c>
      <c r="W72" s="537">
        <v>5</v>
      </c>
      <c r="X72" s="537">
        <v>13</v>
      </c>
      <c r="Y72" s="537">
        <v>12</v>
      </c>
      <c r="Z72" s="537">
        <v>0</v>
      </c>
      <c r="AA72" s="537">
        <v>0</v>
      </c>
      <c r="AB72" s="537">
        <v>43</v>
      </c>
      <c r="AC72" s="537">
        <f t="shared" si="18"/>
        <v>13</v>
      </c>
      <c r="AD72" s="537">
        <f t="shared" si="19"/>
        <v>5</v>
      </c>
      <c r="AE72" s="537">
        <f t="shared" si="20"/>
        <v>13</v>
      </c>
      <c r="AF72" s="537">
        <f t="shared" si="21"/>
        <v>12</v>
      </c>
      <c r="AG72" s="537">
        <f t="shared" si="22"/>
        <v>0</v>
      </c>
    </row>
    <row r="73" spans="1:33" x14ac:dyDescent="0.25">
      <c r="A73" s="551" t="s">
        <v>142</v>
      </c>
      <c r="B73" s="552" t="s">
        <v>143</v>
      </c>
      <c r="C73" s="558" t="s">
        <v>267</v>
      </c>
      <c r="D73" s="554">
        <v>13</v>
      </c>
      <c r="E73" s="554">
        <v>3</v>
      </c>
      <c r="F73" s="554">
        <v>5</v>
      </c>
      <c r="G73" s="554">
        <v>0</v>
      </c>
      <c r="H73" s="554">
        <v>0</v>
      </c>
      <c r="I73" s="554">
        <v>0</v>
      </c>
      <c r="J73" s="554">
        <v>0</v>
      </c>
      <c r="K73" s="554">
        <v>5</v>
      </c>
      <c r="L73" s="554">
        <v>0</v>
      </c>
      <c r="M73" s="554">
        <v>0</v>
      </c>
      <c r="N73" s="555"/>
      <c r="O73" s="555">
        <f t="shared" si="14"/>
        <v>5</v>
      </c>
      <c r="P73" s="555">
        <f t="shared" si="17"/>
        <v>0</v>
      </c>
      <c r="Q73" s="555"/>
      <c r="R73" s="556">
        <f t="shared" si="15"/>
        <v>0.23076923076923078</v>
      </c>
      <c r="S73" s="556">
        <f t="shared" si="16"/>
        <v>0.38461538461538464</v>
      </c>
      <c r="U73" s="537">
        <v>1</v>
      </c>
      <c r="V73" s="537">
        <v>4</v>
      </c>
      <c r="W73" s="537">
        <v>4</v>
      </c>
      <c r="X73" s="537">
        <v>3</v>
      </c>
      <c r="Y73" s="537">
        <v>1</v>
      </c>
      <c r="Z73" s="537">
        <v>0</v>
      </c>
      <c r="AA73" s="537">
        <v>0</v>
      </c>
      <c r="AB73" s="537">
        <v>13</v>
      </c>
      <c r="AC73" s="537">
        <f t="shared" si="18"/>
        <v>5</v>
      </c>
      <c r="AD73" s="537">
        <f t="shared" si="19"/>
        <v>4</v>
      </c>
      <c r="AE73" s="537">
        <f t="shared" si="20"/>
        <v>3</v>
      </c>
      <c r="AF73" s="537">
        <f t="shared" si="21"/>
        <v>1</v>
      </c>
      <c r="AG73" s="537">
        <f t="shared" si="22"/>
        <v>0</v>
      </c>
    </row>
    <row r="74" spans="1:33" x14ac:dyDescent="0.25">
      <c r="A74" s="557" t="s">
        <v>144</v>
      </c>
      <c r="B74" s="552" t="s">
        <v>145</v>
      </c>
      <c r="C74" s="558" t="s">
        <v>267</v>
      </c>
      <c r="D74" s="554">
        <v>3</v>
      </c>
      <c r="E74" s="554">
        <v>3</v>
      </c>
      <c r="F74" s="554">
        <v>0</v>
      </c>
      <c r="G74" s="554">
        <v>0</v>
      </c>
      <c r="H74" s="554">
        <v>0</v>
      </c>
      <c r="I74" s="554">
        <v>0</v>
      </c>
      <c r="J74" s="554">
        <v>0</v>
      </c>
      <c r="K74" s="554">
        <v>0</v>
      </c>
      <c r="L74" s="554">
        <v>0</v>
      </c>
      <c r="M74" s="554">
        <v>0</v>
      </c>
      <c r="N74" s="555"/>
      <c r="O74" s="555">
        <f t="shared" si="14"/>
        <v>0</v>
      </c>
      <c r="P74" s="555">
        <f t="shared" si="17"/>
        <v>0</v>
      </c>
      <c r="Q74" s="555"/>
      <c r="R74" s="556">
        <f t="shared" si="15"/>
        <v>1</v>
      </c>
      <c r="S74" s="556">
        <f t="shared" si="16"/>
        <v>0</v>
      </c>
      <c r="U74" s="537">
        <v>0</v>
      </c>
      <c r="V74" s="537">
        <v>1</v>
      </c>
      <c r="W74" s="537">
        <v>1</v>
      </c>
      <c r="X74" s="537">
        <v>1</v>
      </c>
      <c r="Y74" s="537">
        <v>0</v>
      </c>
      <c r="Z74" s="537">
        <v>0</v>
      </c>
      <c r="AA74" s="537">
        <v>0</v>
      </c>
      <c r="AB74" s="537">
        <v>3</v>
      </c>
      <c r="AC74" s="537">
        <f t="shared" si="18"/>
        <v>1</v>
      </c>
      <c r="AD74" s="537">
        <f t="shared" si="19"/>
        <v>1</v>
      </c>
      <c r="AE74" s="537">
        <f t="shared" si="20"/>
        <v>1</v>
      </c>
      <c r="AF74" s="537">
        <f t="shared" si="21"/>
        <v>0</v>
      </c>
      <c r="AG74" s="537">
        <f t="shared" si="22"/>
        <v>0</v>
      </c>
    </row>
    <row r="75" spans="1:33" x14ac:dyDescent="0.25">
      <c r="A75" s="551" t="s">
        <v>146</v>
      </c>
      <c r="B75" s="552" t="s">
        <v>147</v>
      </c>
      <c r="C75" s="558" t="s">
        <v>264</v>
      </c>
      <c r="D75" s="554">
        <v>3</v>
      </c>
      <c r="E75" s="554">
        <v>2</v>
      </c>
      <c r="F75" s="554">
        <v>1</v>
      </c>
      <c r="G75" s="554">
        <v>0</v>
      </c>
      <c r="H75" s="554">
        <v>0</v>
      </c>
      <c r="I75" s="554">
        <v>0</v>
      </c>
      <c r="J75" s="554">
        <v>0</v>
      </c>
      <c r="K75" s="554">
        <v>0</v>
      </c>
      <c r="L75" s="554">
        <v>0</v>
      </c>
      <c r="M75" s="554">
        <v>0</v>
      </c>
      <c r="N75" s="555"/>
      <c r="O75" s="555">
        <f t="shared" si="14"/>
        <v>0</v>
      </c>
      <c r="P75" s="555">
        <f t="shared" si="17"/>
        <v>0</v>
      </c>
      <c r="Q75" s="555"/>
      <c r="R75" s="556">
        <f t="shared" si="15"/>
        <v>0.66666666666666663</v>
      </c>
      <c r="S75" s="556">
        <f t="shared" si="16"/>
        <v>0.33333333333333331</v>
      </c>
      <c r="U75" s="537">
        <v>0</v>
      </c>
      <c r="V75" s="537">
        <v>1</v>
      </c>
      <c r="W75" s="537">
        <v>1</v>
      </c>
      <c r="X75" s="537">
        <v>0</v>
      </c>
      <c r="Y75" s="537">
        <v>1</v>
      </c>
      <c r="Z75" s="537">
        <v>0</v>
      </c>
      <c r="AA75" s="537">
        <v>0</v>
      </c>
      <c r="AB75" s="537">
        <v>3</v>
      </c>
      <c r="AC75" s="537">
        <f t="shared" si="18"/>
        <v>1</v>
      </c>
      <c r="AD75" s="537">
        <f t="shared" si="19"/>
        <v>1</v>
      </c>
      <c r="AE75" s="537">
        <f t="shared" si="20"/>
        <v>0</v>
      </c>
      <c r="AF75" s="537">
        <f t="shared" si="21"/>
        <v>1</v>
      </c>
      <c r="AG75" s="537">
        <f t="shared" si="22"/>
        <v>0</v>
      </c>
    </row>
    <row r="76" spans="1:33" x14ac:dyDescent="0.25">
      <c r="A76" s="551" t="s">
        <v>148</v>
      </c>
      <c r="B76" s="552" t="s">
        <v>149</v>
      </c>
      <c r="C76" s="558" t="s">
        <v>265</v>
      </c>
      <c r="D76" s="554">
        <v>25</v>
      </c>
      <c r="E76" s="554">
        <v>11</v>
      </c>
      <c r="F76" s="554">
        <v>12</v>
      </c>
      <c r="G76" s="554">
        <v>0</v>
      </c>
      <c r="H76" s="554">
        <v>0</v>
      </c>
      <c r="I76" s="554">
        <v>0</v>
      </c>
      <c r="J76" s="554">
        <v>0</v>
      </c>
      <c r="K76" s="554">
        <v>2</v>
      </c>
      <c r="L76" s="554">
        <v>0</v>
      </c>
      <c r="M76" s="554">
        <v>0</v>
      </c>
      <c r="N76" s="555"/>
      <c r="O76" s="555">
        <f t="shared" si="14"/>
        <v>2</v>
      </c>
      <c r="P76" s="555">
        <f t="shared" si="17"/>
        <v>0</v>
      </c>
      <c r="Q76" s="555"/>
      <c r="R76" s="556">
        <f t="shared" si="15"/>
        <v>0.44</v>
      </c>
      <c r="S76" s="556">
        <f t="shared" si="16"/>
        <v>0.48</v>
      </c>
      <c r="U76" s="537">
        <v>3</v>
      </c>
      <c r="V76" s="537">
        <v>5</v>
      </c>
      <c r="W76" s="537">
        <v>3</v>
      </c>
      <c r="X76" s="537">
        <v>8</v>
      </c>
      <c r="Y76" s="537">
        <v>6</v>
      </c>
      <c r="Z76" s="537">
        <v>0</v>
      </c>
      <c r="AA76" s="537">
        <v>0</v>
      </c>
      <c r="AB76" s="537">
        <v>25</v>
      </c>
      <c r="AC76" s="537">
        <f t="shared" si="18"/>
        <v>8</v>
      </c>
      <c r="AD76" s="537">
        <f t="shared" si="19"/>
        <v>3</v>
      </c>
      <c r="AE76" s="537">
        <f t="shared" si="20"/>
        <v>8</v>
      </c>
      <c r="AF76" s="537">
        <f t="shared" si="21"/>
        <v>6</v>
      </c>
      <c r="AG76" s="537">
        <f t="shared" si="22"/>
        <v>0</v>
      </c>
    </row>
    <row r="77" spans="1:33" x14ac:dyDescent="0.25">
      <c r="A77" s="551" t="s">
        <v>150</v>
      </c>
      <c r="B77" s="552" t="s">
        <v>151</v>
      </c>
      <c r="C77" s="558" t="s">
        <v>266</v>
      </c>
      <c r="D77" s="554">
        <v>4</v>
      </c>
      <c r="E77" s="554">
        <v>2</v>
      </c>
      <c r="F77" s="554">
        <v>1</v>
      </c>
      <c r="G77" s="554">
        <v>0</v>
      </c>
      <c r="H77" s="554">
        <v>0</v>
      </c>
      <c r="I77" s="554">
        <v>0</v>
      </c>
      <c r="J77" s="554">
        <v>0</v>
      </c>
      <c r="K77" s="554">
        <v>1</v>
      </c>
      <c r="L77" s="554">
        <v>0</v>
      </c>
      <c r="M77" s="554">
        <v>0</v>
      </c>
      <c r="N77" s="555"/>
      <c r="O77" s="555">
        <f t="shared" si="14"/>
        <v>1</v>
      </c>
      <c r="P77" s="555">
        <f t="shared" si="17"/>
        <v>0</v>
      </c>
      <c r="Q77" s="555"/>
      <c r="R77" s="556">
        <f t="shared" si="15"/>
        <v>0.5</v>
      </c>
      <c r="S77" s="556">
        <f t="shared" si="16"/>
        <v>0.25</v>
      </c>
      <c r="U77" s="537">
        <v>0</v>
      </c>
      <c r="V77" s="537">
        <v>1</v>
      </c>
      <c r="W77" s="537">
        <v>0</v>
      </c>
      <c r="X77" s="537">
        <v>0</v>
      </c>
      <c r="Y77" s="537">
        <v>3</v>
      </c>
      <c r="Z77" s="537">
        <v>0</v>
      </c>
      <c r="AA77" s="537">
        <v>0</v>
      </c>
      <c r="AB77" s="537">
        <v>4</v>
      </c>
      <c r="AC77" s="537">
        <f t="shared" si="18"/>
        <v>1</v>
      </c>
      <c r="AD77" s="537">
        <f t="shared" si="19"/>
        <v>0</v>
      </c>
      <c r="AE77" s="537">
        <f t="shared" si="20"/>
        <v>0</v>
      </c>
      <c r="AF77" s="537">
        <f t="shared" si="21"/>
        <v>3</v>
      </c>
      <c r="AG77" s="537">
        <f t="shared" si="22"/>
        <v>0</v>
      </c>
    </row>
    <row r="78" spans="1:33" x14ac:dyDescent="0.25">
      <c r="A78" s="551" t="s">
        <v>152</v>
      </c>
      <c r="B78" s="552" t="s">
        <v>153</v>
      </c>
      <c r="C78" s="558" t="s">
        <v>268</v>
      </c>
      <c r="D78" s="554">
        <v>19</v>
      </c>
      <c r="E78" s="554">
        <v>13</v>
      </c>
      <c r="F78" s="554">
        <v>2</v>
      </c>
      <c r="G78" s="554">
        <v>0</v>
      </c>
      <c r="H78" s="554">
        <v>0</v>
      </c>
      <c r="I78" s="554">
        <v>0</v>
      </c>
      <c r="J78" s="554">
        <v>4</v>
      </c>
      <c r="K78" s="554">
        <v>0</v>
      </c>
      <c r="L78" s="554">
        <v>0</v>
      </c>
      <c r="M78" s="554">
        <v>0</v>
      </c>
      <c r="N78" s="555"/>
      <c r="O78" s="555">
        <f t="shared" si="14"/>
        <v>4</v>
      </c>
      <c r="P78" s="555">
        <f t="shared" si="17"/>
        <v>0</v>
      </c>
      <c r="Q78" s="555"/>
      <c r="R78" s="556">
        <f t="shared" si="15"/>
        <v>0.68421052631578949</v>
      </c>
      <c r="S78" s="556">
        <f t="shared" si="16"/>
        <v>0.10526315789473684</v>
      </c>
      <c r="U78" s="537">
        <v>0</v>
      </c>
      <c r="V78" s="537">
        <v>7</v>
      </c>
      <c r="W78" s="537">
        <v>3</v>
      </c>
      <c r="X78" s="537">
        <v>9</v>
      </c>
      <c r="Y78" s="537">
        <v>0</v>
      </c>
      <c r="Z78" s="537">
        <v>0</v>
      </c>
      <c r="AA78" s="537">
        <v>0</v>
      </c>
      <c r="AB78" s="537">
        <v>19</v>
      </c>
      <c r="AC78" s="537">
        <f t="shared" si="18"/>
        <v>7</v>
      </c>
      <c r="AD78" s="537">
        <f t="shared" si="19"/>
        <v>3</v>
      </c>
      <c r="AE78" s="537">
        <f t="shared" si="20"/>
        <v>9</v>
      </c>
      <c r="AF78" s="537">
        <f t="shared" si="21"/>
        <v>0</v>
      </c>
      <c r="AG78" s="537">
        <f t="shared" si="22"/>
        <v>0</v>
      </c>
    </row>
    <row r="79" spans="1:33" x14ac:dyDescent="0.25">
      <c r="A79" s="551" t="s">
        <v>154</v>
      </c>
      <c r="B79" s="552" t="s">
        <v>155</v>
      </c>
      <c r="C79" s="558" t="s">
        <v>265</v>
      </c>
      <c r="D79" s="554">
        <v>17</v>
      </c>
      <c r="E79" s="554">
        <v>17</v>
      </c>
      <c r="F79" s="554">
        <v>0</v>
      </c>
      <c r="G79" s="554">
        <v>0</v>
      </c>
      <c r="H79" s="554">
        <v>0</v>
      </c>
      <c r="I79" s="554">
        <v>0</v>
      </c>
      <c r="J79" s="554">
        <v>0</v>
      </c>
      <c r="K79" s="554">
        <v>0</v>
      </c>
      <c r="L79" s="554">
        <v>0</v>
      </c>
      <c r="M79" s="554">
        <v>0</v>
      </c>
      <c r="N79" s="555"/>
      <c r="O79" s="555">
        <f t="shared" si="14"/>
        <v>0</v>
      </c>
      <c r="P79" s="555">
        <f t="shared" si="17"/>
        <v>0</v>
      </c>
      <c r="Q79" s="555"/>
      <c r="R79" s="556">
        <f t="shared" si="15"/>
        <v>1</v>
      </c>
      <c r="S79" s="556">
        <f t="shared" si="16"/>
        <v>0</v>
      </c>
      <c r="U79" s="537">
        <v>1</v>
      </c>
      <c r="V79" s="537">
        <v>4</v>
      </c>
      <c r="W79" s="537">
        <v>6</v>
      </c>
      <c r="X79" s="537">
        <v>3</v>
      </c>
      <c r="Y79" s="537">
        <v>3</v>
      </c>
      <c r="Z79" s="537">
        <v>0</v>
      </c>
      <c r="AA79" s="537">
        <v>0</v>
      </c>
      <c r="AB79" s="537">
        <v>17</v>
      </c>
      <c r="AC79" s="537">
        <f t="shared" si="18"/>
        <v>5</v>
      </c>
      <c r="AD79" s="537">
        <f t="shared" si="19"/>
        <v>6</v>
      </c>
      <c r="AE79" s="537">
        <f t="shared" si="20"/>
        <v>3</v>
      </c>
      <c r="AF79" s="537">
        <f t="shared" si="21"/>
        <v>3</v>
      </c>
      <c r="AG79" s="537">
        <f t="shared" si="22"/>
        <v>0</v>
      </c>
    </row>
    <row r="80" spans="1:33" x14ac:dyDescent="0.25">
      <c r="A80" s="557" t="s">
        <v>156</v>
      </c>
      <c r="B80" s="552" t="s">
        <v>157</v>
      </c>
      <c r="C80" s="558" t="s">
        <v>266</v>
      </c>
      <c r="D80" s="554">
        <v>8</v>
      </c>
      <c r="E80" s="554">
        <v>8</v>
      </c>
      <c r="F80" s="554">
        <v>0</v>
      </c>
      <c r="G80" s="554">
        <v>0</v>
      </c>
      <c r="H80" s="554">
        <v>0</v>
      </c>
      <c r="I80" s="554">
        <v>0</v>
      </c>
      <c r="J80" s="554">
        <v>0</v>
      </c>
      <c r="K80" s="554">
        <v>0</v>
      </c>
      <c r="L80" s="554">
        <v>0</v>
      </c>
      <c r="M80" s="554">
        <v>0</v>
      </c>
      <c r="N80" s="555"/>
      <c r="O80" s="555">
        <f t="shared" si="14"/>
        <v>0</v>
      </c>
      <c r="P80" s="555">
        <f t="shared" si="17"/>
        <v>0</v>
      </c>
      <c r="Q80" s="555"/>
      <c r="R80" s="556">
        <f t="shared" si="15"/>
        <v>1</v>
      </c>
      <c r="S80" s="556">
        <f t="shared" si="16"/>
        <v>0</v>
      </c>
      <c r="U80" s="537">
        <v>2</v>
      </c>
      <c r="V80" s="537">
        <v>0</v>
      </c>
      <c r="W80" s="537">
        <v>2</v>
      </c>
      <c r="X80" s="537">
        <v>2</v>
      </c>
      <c r="Y80" s="537">
        <v>2</v>
      </c>
      <c r="Z80" s="537">
        <v>0</v>
      </c>
      <c r="AA80" s="537">
        <v>0</v>
      </c>
      <c r="AB80" s="537">
        <v>8</v>
      </c>
      <c r="AC80" s="537">
        <f t="shared" si="18"/>
        <v>2</v>
      </c>
      <c r="AD80" s="537">
        <f t="shared" si="19"/>
        <v>2</v>
      </c>
      <c r="AE80" s="537">
        <f t="shared" si="20"/>
        <v>2</v>
      </c>
      <c r="AF80" s="537">
        <f t="shared" si="21"/>
        <v>2</v>
      </c>
      <c r="AG80" s="537">
        <f t="shared" si="22"/>
        <v>0</v>
      </c>
    </row>
    <row r="81" spans="1:33" x14ac:dyDescent="0.25">
      <c r="A81" s="551" t="s">
        <v>158</v>
      </c>
      <c r="B81" s="552" t="s">
        <v>159</v>
      </c>
      <c r="C81" s="558" t="s">
        <v>264</v>
      </c>
      <c r="D81" s="554">
        <v>114</v>
      </c>
      <c r="E81" s="554">
        <v>27</v>
      </c>
      <c r="F81" s="554">
        <v>68</v>
      </c>
      <c r="G81" s="554">
        <v>0</v>
      </c>
      <c r="H81" s="554">
        <v>0</v>
      </c>
      <c r="I81" s="554">
        <v>0</v>
      </c>
      <c r="J81" s="554">
        <v>5</v>
      </c>
      <c r="K81" s="554">
        <v>13</v>
      </c>
      <c r="L81" s="554">
        <v>1</v>
      </c>
      <c r="M81" s="554">
        <v>0</v>
      </c>
      <c r="N81" s="555"/>
      <c r="O81" s="555">
        <f t="shared" si="14"/>
        <v>18</v>
      </c>
      <c r="P81" s="555">
        <f t="shared" si="17"/>
        <v>1</v>
      </c>
      <c r="Q81" s="555"/>
      <c r="R81" s="556">
        <f t="shared" si="15"/>
        <v>0.23684210526315788</v>
      </c>
      <c r="S81" s="556">
        <f t="shared" si="16"/>
        <v>0.59649122807017541</v>
      </c>
      <c r="U81" s="537">
        <v>12</v>
      </c>
      <c r="V81" s="537">
        <v>24</v>
      </c>
      <c r="W81" s="537">
        <v>19</v>
      </c>
      <c r="X81" s="537">
        <v>31</v>
      </c>
      <c r="Y81" s="537">
        <v>28</v>
      </c>
      <c r="Z81" s="537">
        <v>0</v>
      </c>
      <c r="AA81" s="537">
        <v>0</v>
      </c>
      <c r="AB81" s="537">
        <v>114</v>
      </c>
      <c r="AC81" s="537">
        <f t="shared" si="18"/>
        <v>36</v>
      </c>
      <c r="AD81" s="537">
        <f t="shared" si="19"/>
        <v>19</v>
      </c>
      <c r="AE81" s="537">
        <f t="shared" si="20"/>
        <v>31</v>
      </c>
      <c r="AF81" s="537">
        <f t="shared" si="21"/>
        <v>28</v>
      </c>
      <c r="AG81" s="537">
        <f t="shared" si="22"/>
        <v>0</v>
      </c>
    </row>
    <row r="82" spans="1:33" x14ac:dyDescent="0.25">
      <c r="A82" s="551" t="s">
        <v>160</v>
      </c>
      <c r="B82" s="552" t="s">
        <v>161</v>
      </c>
      <c r="C82" s="558" t="s">
        <v>264</v>
      </c>
      <c r="D82" s="554">
        <v>151</v>
      </c>
      <c r="E82" s="554">
        <v>32</v>
      </c>
      <c r="F82" s="554">
        <v>97</v>
      </c>
      <c r="G82" s="554">
        <v>0</v>
      </c>
      <c r="H82" s="554">
        <v>0</v>
      </c>
      <c r="I82" s="554">
        <v>0</v>
      </c>
      <c r="J82" s="554">
        <v>9</v>
      </c>
      <c r="K82" s="554">
        <v>12</v>
      </c>
      <c r="L82" s="554">
        <v>1</v>
      </c>
      <c r="M82" s="554">
        <v>0</v>
      </c>
      <c r="N82" s="555"/>
      <c r="O82" s="555">
        <f t="shared" si="14"/>
        <v>21</v>
      </c>
      <c r="P82" s="555">
        <f t="shared" si="17"/>
        <v>1</v>
      </c>
      <c r="Q82" s="555"/>
      <c r="R82" s="556">
        <f t="shared" si="15"/>
        <v>0.2119205298013245</v>
      </c>
      <c r="S82" s="556">
        <f t="shared" si="16"/>
        <v>0.64238410596026485</v>
      </c>
      <c r="U82" s="537">
        <v>11</v>
      </c>
      <c r="V82" s="537">
        <v>30</v>
      </c>
      <c r="W82" s="537">
        <v>24</v>
      </c>
      <c r="X82" s="537">
        <v>56</v>
      </c>
      <c r="Y82" s="537">
        <v>30</v>
      </c>
      <c r="Z82" s="537">
        <v>0</v>
      </c>
      <c r="AA82" s="537">
        <v>0</v>
      </c>
      <c r="AB82" s="537">
        <v>151</v>
      </c>
      <c r="AC82" s="537">
        <f t="shared" si="18"/>
        <v>41</v>
      </c>
      <c r="AD82" s="537">
        <f t="shared" si="19"/>
        <v>24</v>
      </c>
      <c r="AE82" s="537">
        <f t="shared" si="20"/>
        <v>56</v>
      </c>
      <c r="AF82" s="537">
        <f t="shared" si="21"/>
        <v>30</v>
      </c>
      <c r="AG82" s="537">
        <f t="shared" si="22"/>
        <v>0</v>
      </c>
    </row>
    <row r="83" spans="1:33" x14ac:dyDescent="0.25">
      <c r="A83" s="551" t="s">
        <v>162</v>
      </c>
      <c r="B83" s="552" t="s">
        <v>163</v>
      </c>
      <c r="C83" s="558" t="s">
        <v>264</v>
      </c>
      <c r="D83" s="554">
        <v>5</v>
      </c>
      <c r="E83" s="554">
        <v>0</v>
      </c>
      <c r="F83" s="554">
        <v>4</v>
      </c>
      <c r="G83" s="554">
        <v>0</v>
      </c>
      <c r="H83" s="554">
        <v>0</v>
      </c>
      <c r="I83" s="554">
        <v>0</v>
      </c>
      <c r="J83" s="554">
        <v>1</v>
      </c>
      <c r="K83" s="554">
        <v>0</v>
      </c>
      <c r="L83" s="554">
        <v>0</v>
      </c>
      <c r="M83" s="554">
        <v>0</v>
      </c>
      <c r="N83" s="555"/>
      <c r="O83" s="555">
        <f t="shared" si="14"/>
        <v>1</v>
      </c>
      <c r="P83" s="555">
        <f t="shared" si="17"/>
        <v>0</v>
      </c>
      <c r="Q83" s="555"/>
      <c r="R83" s="556">
        <f t="shared" si="15"/>
        <v>0</v>
      </c>
      <c r="S83" s="556">
        <f t="shared" si="16"/>
        <v>0.8</v>
      </c>
      <c r="U83" s="537">
        <v>0</v>
      </c>
      <c r="V83" s="537">
        <v>0</v>
      </c>
      <c r="W83" s="537">
        <v>0</v>
      </c>
      <c r="X83" s="537">
        <v>2</v>
      </c>
      <c r="Y83" s="537">
        <v>3</v>
      </c>
      <c r="Z83" s="537">
        <v>0</v>
      </c>
      <c r="AA83" s="537">
        <v>0</v>
      </c>
      <c r="AB83" s="537">
        <v>5</v>
      </c>
      <c r="AC83" s="537">
        <f t="shared" si="18"/>
        <v>0</v>
      </c>
      <c r="AD83" s="537">
        <f t="shared" si="19"/>
        <v>0</v>
      </c>
      <c r="AE83" s="537">
        <f t="shared" si="20"/>
        <v>2</v>
      </c>
      <c r="AF83" s="537">
        <f t="shared" si="21"/>
        <v>3</v>
      </c>
      <c r="AG83" s="537">
        <f t="shared" si="22"/>
        <v>0</v>
      </c>
    </row>
    <row r="84" spans="1:33" x14ac:dyDescent="0.25">
      <c r="A84" s="551" t="s">
        <v>164</v>
      </c>
      <c r="B84" s="552" t="s">
        <v>165</v>
      </c>
      <c r="C84" s="558" t="s">
        <v>266</v>
      </c>
      <c r="D84" s="554">
        <v>5</v>
      </c>
      <c r="E84" s="554">
        <v>4</v>
      </c>
      <c r="F84" s="554">
        <v>0</v>
      </c>
      <c r="G84" s="554">
        <v>0</v>
      </c>
      <c r="H84" s="554">
        <v>0</v>
      </c>
      <c r="I84" s="554">
        <v>0</v>
      </c>
      <c r="J84" s="554">
        <v>1</v>
      </c>
      <c r="K84" s="554">
        <v>0</v>
      </c>
      <c r="L84" s="554">
        <v>0</v>
      </c>
      <c r="M84" s="554">
        <v>0</v>
      </c>
      <c r="N84" s="555"/>
      <c r="O84" s="555">
        <f t="shared" si="14"/>
        <v>1</v>
      </c>
      <c r="P84" s="555">
        <f t="shared" si="17"/>
        <v>0</v>
      </c>
      <c r="Q84" s="555"/>
      <c r="R84" s="556">
        <f t="shared" si="15"/>
        <v>0.8</v>
      </c>
      <c r="S84" s="556">
        <f t="shared" si="16"/>
        <v>0</v>
      </c>
      <c r="U84" s="537">
        <v>0</v>
      </c>
      <c r="V84" s="537">
        <v>1</v>
      </c>
      <c r="W84" s="537">
        <v>3</v>
      </c>
      <c r="X84" s="537">
        <v>1</v>
      </c>
      <c r="Y84" s="537">
        <v>0</v>
      </c>
      <c r="Z84" s="537">
        <v>0</v>
      </c>
      <c r="AA84" s="537">
        <v>0</v>
      </c>
      <c r="AB84" s="537">
        <v>5</v>
      </c>
      <c r="AC84" s="537">
        <f t="shared" si="18"/>
        <v>1</v>
      </c>
      <c r="AD84" s="537">
        <f t="shared" si="19"/>
        <v>3</v>
      </c>
      <c r="AE84" s="537">
        <f t="shared" si="20"/>
        <v>1</v>
      </c>
      <c r="AF84" s="537">
        <f t="shared" si="21"/>
        <v>0</v>
      </c>
      <c r="AG84" s="537">
        <f t="shared" si="22"/>
        <v>0</v>
      </c>
    </row>
    <row r="85" spans="1:33" x14ac:dyDescent="0.25">
      <c r="A85" s="551" t="s">
        <v>166</v>
      </c>
      <c r="B85" s="552" t="s">
        <v>167</v>
      </c>
      <c r="C85" s="558" t="s">
        <v>268</v>
      </c>
      <c r="D85" s="554">
        <v>6</v>
      </c>
      <c r="E85" s="554">
        <v>5</v>
      </c>
      <c r="F85" s="554">
        <v>0</v>
      </c>
      <c r="G85" s="554">
        <v>0</v>
      </c>
      <c r="H85" s="554">
        <v>0</v>
      </c>
      <c r="I85" s="554">
        <v>0</v>
      </c>
      <c r="J85" s="554">
        <v>0</v>
      </c>
      <c r="K85" s="554">
        <v>1</v>
      </c>
      <c r="L85" s="554">
        <v>0</v>
      </c>
      <c r="M85" s="554">
        <v>0</v>
      </c>
      <c r="N85" s="555"/>
      <c r="O85" s="555">
        <f t="shared" si="14"/>
        <v>1</v>
      </c>
      <c r="P85" s="555">
        <f t="shared" si="17"/>
        <v>0</v>
      </c>
      <c r="Q85" s="555"/>
      <c r="R85" s="556">
        <f t="shared" si="15"/>
        <v>0.83333333333333337</v>
      </c>
      <c r="S85" s="556">
        <f t="shared" si="16"/>
        <v>0</v>
      </c>
      <c r="U85" s="537">
        <v>1</v>
      </c>
      <c r="V85" s="537">
        <v>2</v>
      </c>
      <c r="W85" s="537">
        <v>0</v>
      </c>
      <c r="X85" s="537">
        <v>2</v>
      </c>
      <c r="Y85" s="537">
        <v>1</v>
      </c>
      <c r="Z85" s="537">
        <v>0</v>
      </c>
      <c r="AA85" s="537">
        <v>0</v>
      </c>
      <c r="AB85" s="537">
        <v>6</v>
      </c>
      <c r="AC85" s="537">
        <f t="shared" si="18"/>
        <v>3</v>
      </c>
      <c r="AD85" s="537">
        <f t="shared" si="19"/>
        <v>0</v>
      </c>
      <c r="AE85" s="537">
        <f t="shared" si="20"/>
        <v>2</v>
      </c>
      <c r="AF85" s="537">
        <f t="shared" si="21"/>
        <v>1</v>
      </c>
      <c r="AG85" s="537">
        <f t="shared" si="22"/>
        <v>0</v>
      </c>
    </row>
    <row r="86" spans="1:33" x14ac:dyDescent="0.25">
      <c r="A86" s="551" t="s">
        <v>168</v>
      </c>
      <c r="B86" s="552" t="s">
        <v>169</v>
      </c>
      <c r="C86" s="558" t="s">
        <v>266</v>
      </c>
      <c r="D86" s="554">
        <v>6</v>
      </c>
      <c r="E86" s="554">
        <v>5</v>
      </c>
      <c r="F86" s="554">
        <v>0</v>
      </c>
      <c r="G86" s="554">
        <v>0</v>
      </c>
      <c r="H86" s="554">
        <v>0</v>
      </c>
      <c r="I86" s="554">
        <v>0</v>
      </c>
      <c r="J86" s="554">
        <v>1</v>
      </c>
      <c r="K86" s="554">
        <v>0</v>
      </c>
      <c r="L86" s="554">
        <v>0</v>
      </c>
      <c r="M86" s="554">
        <v>0</v>
      </c>
      <c r="N86" s="555"/>
      <c r="O86" s="555">
        <f t="shared" si="14"/>
        <v>1</v>
      </c>
      <c r="P86" s="555">
        <f t="shared" si="17"/>
        <v>0</v>
      </c>
      <c r="Q86" s="555"/>
      <c r="R86" s="556">
        <f t="shared" si="15"/>
        <v>0.83333333333333337</v>
      </c>
      <c r="S86" s="556">
        <f t="shared" si="16"/>
        <v>0</v>
      </c>
      <c r="U86" s="537">
        <v>0</v>
      </c>
      <c r="V86" s="537">
        <v>0</v>
      </c>
      <c r="W86" s="537">
        <v>1</v>
      </c>
      <c r="X86" s="537">
        <v>4</v>
      </c>
      <c r="Y86" s="537">
        <v>1</v>
      </c>
      <c r="Z86" s="537">
        <v>0</v>
      </c>
      <c r="AA86" s="537">
        <v>0</v>
      </c>
      <c r="AB86" s="537">
        <v>6</v>
      </c>
      <c r="AC86" s="537">
        <f t="shared" si="18"/>
        <v>0</v>
      </c>
      <c r="AD86" s="537">
        <f t="shared" si="19"/>
        <v>1</v>
      </c>
      <c r="AE86" s="537">
        <f t="shared" si="20"/>
        <v>4</v>
      </c>
      <c r="AF86" s="537">
        <f t="shared" si="21"/>
        <v>1</v>
      </c>
      <c r="AG86" s="537">
        <f t="shared" si="22"/>
        <v>0</v>
      </c>
    </row>
    <row r="87" spans="1:33" x14ac:dyDescent="0.25">
      <c r="A87" s="551" t="s">
        <v>170</v>
      </c>
      <c r="B87" s="552" t="s">
        <v>171</v>
      </c>
      <c r="C87" s="558" t="s">
        <v>267</v>
      </c>
      <c r="D87" s="554">
        <v>43</v>
      </c>
      <c r="E87" s="554">
        <v>24</v>
      </c>
      <c r="F87" s="554">
        <v>7</v>
      </c>
      <c r="G87" s="554">
        <v>0</v>
      </c>
      <c r="H87" s="554">
        <v>0</v>
      </c>
      <c r="I87" s="554">
        <v>0</v>
      </c>
      <c r="J87" s="554">
        <v>2</v>
      </c>
      <c r="K87" s="554">
        <v>10</v>
      </c>
      <c r="L87" s="554">
        <v>0</v>
      </c>
      <c r="M87" s="554">
        <v>0</v>
      </c>
      <c r="N87" s="555"/>
      <c r="O87" s="555">
        <f t="shared" si="14"/>
        <v>12</v>
      </c>
      <c r="P87" s="555">
        <f t="shared" si="17"/>
        <v>0</v>
      </c>
      <c r="Q87" s="555"/>
      <c r="R87" s="556">
        <f t="shared" si="15"/>
        <v>0.55813953488372092</v>
      </c>
      <c r="S87" s="556">
        <f t="shared" si="16"/>
        <v>0.16279069767441862</v>
      </c>
      <c r="U87" s="537">
        <v>0</v>
      </c>
      <c r="V87" s="537">
        <v>10</v>
      </c>
      <c r="W87" s="537">
        <v>10</v>
      </c>
      <c r="X87" s="537">
        <v>13</v>
      </c>
      <c r="Y87" s="537">
        <v>10</v>
      </c>
      <c r="Z87" s="537">
        <v>0</v>
      </c>
      <c r="AA87" s="537">
        <v>0</v>
      </c>
      <c r="AB87" s="537">
        <v>43</v>
      </c>
      <c r="AC87" s="537">
        <f t="shared" si="18"/>
        <v>10</v>
      </c>
      <c r="AD87" s="537">
        <f t="shared" si="19"/>
        <v>10</v>
      </c>
      <c r="AE87" s="537">
        <f t="shared" si="20"/>
        <v>13</v>
      </c>
      <c r="AF87" s="537">
        <f t="shared" si="21"/>
        <v>10</v>
      </c>
      <c r="AG87" s="537">
        <f t="shared" si="22"/>
        <v>0</v>
      </c>
    </row>
    <row r="88" spans="1:33" x14ac:dyDescent="0.25">
      <c r="A88" s="557" t="s">
        <v>172</v>
      </c>
      <c r="B88" s="552" t="s">
        <v>173</v>
      </c>
      <c r="C88" s="558" t="s">
        <v>267</v>
      </c>
      <c r="D88" s="554">
        <v>19</v>
      </c>
      <c r="E88" s="554">
        <v>18</v>
      </c>
      <c r="F88" s="554">
        <v>0</v>
      </c>
      <c r="G88" s="554">
        <v>0</v>
      </c>
      <c r="H88" s="554">
        <v>0</v>
      </c>
      <c r="I88" s="554">
        <v>0</v>
      </c>
      <c r="J88" s="554">
        <v>1</v>
      </c>
      <c r="K88" s="554">
        <v>0</v>
      </c>
      <c r="L88" s="554">
        <v>0</v>
      </c>
      <c r="M88" s="554">
        <v>0</v>
      </c>
      <c r="N88" s="555"/>
      <c r="O88" s="555">
        <f t="shared" si="14"/>
        <v>1</v>
      </c>
      <c r="P88" s="555">
        <f t="shared" si="17"/>
        <v>0</v>
      </c>
      <c r="Q88" s="555"/>
      <c r="R88" s="556">
        <f t="shared" si="15"/>
        <v>0.94736842105263153</v>
      </c>
      <c r="S88" s="556">
        <f t="shared" si="16"/>
        <v>0</v>
      </c>
      <c r="U88" s="537">
        <v>0</v>
      </c>
      <c r="V88" s="537">
        <v>9</v>
      </c>
      <c r="W88" s="537">
        <v>5</v>
      </c>
      <c r="X88" s="537">
        <v>3</v>
      </c>
      <c r="Y88" s="537">
        <v>2</v>
      </c>
      <c r="Z88" s="537">
        <v>0</v>
      </c>
      <c r="AA88" s="537">
        <v>0</v>
      </c>
      <c r="AB88" s="537">
        <v>19</v>
      </c>
      <c r="AC88" s="537">
        <f t="shared" si="18"/>
        <v>9</v>
      </c>
      <c r="AD88" s="537">
        <f t="shared" si="19"/>
        <v>5</v>
      </c>
      <c r="AE88" s="537">
        <f t="shared" si="20"/>
        <v>3</v>
      </c>
      <c r="AF88" s="537">
        <f t="shared" si="21"/>
        <v>2</v>
      </c>
      <c r="AG88" s="537">
        <f t="shared" si="22"/>
        <v>0</v>
      </c>
    </row>
    <row r="89" spans="1:33" x14ac:dyDescent="0.25">
      <c r="A89" s="557" t="s">
        <v>174</v>
      </c>
      <c r="B89" s="552" t="s">
        <v>175</v>
      </c>
      <c r="C89" s="558" t="s">
        <v>268</v>
      </c>
      <c r="D89" s="554">
        <v>19</v>
      </c>
      <c r="E89" s="554">
        <v>19</v>
      </c>
      <c r="F89" s="554">
        <v>0</v>
      </c>
      <c r="G89" s="554">
        <v>0</v>
      </c>
      <c r="H89" s="554">
        <v>0</v>
      </c>
      <c r="I89" s="554">
        <v>0</v>
      </c>
      <c r="J89" s="554">
        <v>0</v>
      </c>
      <c r="K89" s="554">
        <v>0</v>
      </c>
      <c r="L89" s="554">
        <v>0</v>
      </c>
      <c r="M89" s="554">
        <v>0</v>
      </c>
      <c r="N89" s="555"/>
      <c r="O89" s="555">
        <f t="shared" si="14"/>
        <v>0</v>
      </c>
      <c r="P89" s="555">
        <f t="shared" si="17"/>
        <v>0</v>
      </c>
      <c r="Q89" s="555"/>
      <c r="R89" s="556">
        <f t="shared" si="15"/>
        <v>1</v>
      </c>
      <c r="S89" s="556">
        <f t="shared" si="16"/>
        <v>0</v>
      </c>
      <c r="U89" s="537">
        <v>0</v>
      </c>
      <c r="V89" s="537">
        <v>4</v>
      </c>
      <c r="W89" s="537">
        <v>3</v>
      </c>
      <c r="X89" s="537">
        <v>9</v>
      </c>
      <c r="Y89" s="537">
        <v>3</v>
      </c>
      <c r="Z89" s="537">
        <v>0</v>
      </c>
      <c r="AA89" s="537">
        <v>0</v>
      </c>
      <c r="AB89" s="537">
        <v>19</v>
      </c>
      <c r="AC89" s="537">
        <f t="shared" si="18"/>
        <v>4</v>
      </c>
      <c r="AD89" s="537">
        <f t="shared" si="19"/>
        <v>3</v>
      </c>
      <c r="AE89" s="537">
        <f t="shared" si="20"/>
        <v>9</v>
      </c>
      <c r="AF89" s="537">
        <f t="shared" si="21"/>
        <v>3</v>
      </c>
      <c r="AG89" s="537">
        <f t="shared" si="22"/>
        <v>0</v>
      </c>
    </row>
    <row r="90" spans="1:33" x14ac:dyDescent="0.25">
      <c r="A90" s="551" t="s">
        <v>176</v>
      </c>
      <c r="B90" s="552" t="s">
        <v>177</v>
      </c>
      <c r="C90" s="558" t="s">
        <v>266</v>
      </c>
      <c r="D90" s="554">
        <v>37</v>
      </c>
      <c r="E90" s="554">
        <v>9</v>
      </c>
      <c r="F90" s="554">
        <v>22</v>
      </c>
      <c r="G90" s="554">
        <v>0</v>
      </c>
      <c r="H90" s="554">
        <v>0</v>
      </c>
      <c r="I90" s="554">
        <v>0</v>
      </c>
      <c r="J90" s="554">
        <v>3</v>
      </c>
      <c r="K90" s="554">
        <v>3</v>
      </c>
      <c r="L90" s="554">
        <v>0</v>
      </c>
      <c r="M90" s="554">
        <v>0</v>
      </c>
      <c r="N90" s="555"/>
      <c r="O90" s="555">
        <f t="shared" si="14"/>
        <v>6</v>
      </c>
      <c r="P90" s="555">
        <f t="shared" si="17"/>
        <v>0</v>
      </c>
      <c r="Q90" s="555"/>
      <c r="R90" s="556">
        <f t="shared" si="15"/>
        <v>0.24324324324324326</v>
      </c>
      <c r="S90" s="556">
        <f t="shared" si="16"/>
        <v>0.59459459459459463</v>
      </c>
      <c r="U90" s="537">
        <v>3</v>
      </c>
      <c r="V90" s="537">
        <v>16</v>
      </c>
      <c r="W90" s="537">
        <v>8</v>
      </c>
      <c r="X90" s="537">
        <v>5</v>
      </c>
      <c r="Y90" s="537">
        <v>5</v>
      </c>
      <c r="Z90" s="537">
        <v>0</v>
      </c>
      <c r="AA90" s="537">
        <v>0</v>
      </c>
      <c r="AB90" s="537">
        <v>37</v>
      </c>
      <c r="AC90" s="537">
        <f t="shared" si="18"/>
        <v>19</v>
      </c>
      <c r="AD90" s="537">
        <f t="shared" si="19"/>
        <v>8</v>
      </c>
      <c r="AE90" s="537">
        <f t="shared" si="20"/>
        <v>5</v>
      </c>
      <c r="AF90" s="537">
        <f t="shared" si="21"/>
        <v>5</v>
      </c>
      <c r="AG90" s="537">
        <f t="shared" si="22"/>
        <v>0</v>
      </c>
    </row>
    <row r="91" spans="1:33" x14ac:dyDescent="0.25">
      <c r="A91" s="551" t="s">
        <v>178</v>
      </c>
      <c r="B91" s="552" t="s">
        <v>179</v>
      </c>
      <c r="C91" s="558" t="s">
        <v>265</v>
      </c>
      <c r="D91" s="554">
        <v>23</v>
      </c>
      <c r="E91" s="554">
        <v>20</v>
      </c>
      <c r="F91" s="554">
        <v>1</v>
      </c>
      <c r="G91" s="554">
        <v>0</v>
      </c>
      <c r="H91" s="554">
        <v>0</v>
      </c>
      <c r="I91" s="554">
        <v>0</v>
      </c>
      <c r="J91" s="554">
        <v>0</v>
      </c>
      <c r="K91" s="554">
        <v>1</v>
      </c>
      <c r="L91" s="554">
        <v>1</v>
      </c>
      <c r="M91" s="554">
        <v>0</v>
      </c>
      <c r="N91" s="555"/>
      <c r="O91" s="555">
        <f t="shared" si="14"/>
        <v>1</v>
      </c>
      <c r="P91" s="555">
        <f t="shared" si="17"/>
        <v>1</v>
      </c>
      <c r="Q91" s="555"/>
      <c r="R91" s="556">
        <f t="shared" si="15"/>
        <v>0.86956521739130432</v>
      </c>
      <c r="S91" s="556">
        <f t="shared" si="16"/>
        <v>4.3478260869565216E-2</v>
      </c>
      <c r="U91" s="537">
        <v>1</v>
      </c>
      <c r="V91" s="537">
        <v>3</v>
      </c>
      <c r="W91" s="537">
        <v>4</v>
      </c>
      <c r="X91" s="537">
        <v>9</v>
      </c>
      <c r="Y91" s="537">
        <v>6</v>
      </c>
      <c r="Z91" s="537">
        <v>0</v>
      </c>
      <c r="AA91" s="537">
        <v>0</v>
      </c>
      <c r="AB91" s="537">
        <v>23</v>
      </c>
      <c r="AC91" s="537">
        <f t="shared" si="18"/>
        <v>4</v>
      </c>
      <c r="AD91" s="537">
        <f t="shared" si="19"/>
        <v>4</v>
      </c>
      <c r="AE91" s="537">
        <f t="shared" si="20"/>
        <v>9</v>
      </c>
      <c r="AF91" s="537">
        <f t="shared" si="21"/>
        <v>6</v>
      </c>
      <c r="AG91" s="537">
        <f t="shared" si="22"/>
        <v>0</v>
      </c>
    </row>
    <row r="92" spans="1:33" x14ac:dyDescent="0.25">
      <c r="A92" s="551" t="s">
        <v>180</v>
      </c>
      <c r="B92" s="552" t="s">
        <v>181</v>
      </c>
      <c r="C92" s="558" t="s">
        <v>264</v>
      </c>
      <c r="D92" s="554">
        <v>87</v>
      </c>
      <c r="E92" s="554">
        <v>15</v>
      </c>
      <c r="F92" s="554">
        <v>64</v>
      </c>
      <c r="G92" s="554">
        <v>0</v>
      </c>
      <c r="H92" s="554">
        <v>0</v>
      </c>
      <c r="I92" s="554">
        <v>0</v>
      </c>
      <c r="J92" s="554">
        <v>3</v>
      </c>
      <c r="K92" s="554">
        <v>5</v>
      </c>
      <c r="L92" s="554">
        <v>0</v>
      </c>
      <c r="M92" s="554">
        <v>0</v>
      </c>
      <c r="N92" s="555"/>
      <c r="O92" s="555">
        <f t="shared" si="14"/>
        <v>8</v>
      </c>
      <c r="P92" s="555">
        <f t="shared" si="17"/>
        <v>0</v>
      </c>
      <c r="Q92" s="555"/>
      <c r="R92" s="556">
        <f t="shared" si="15"/>
        <v>0.17241379310344829</v>
      </c>
      <c r="S92" s="556">
        <f t="shared" si="16"/>
        <v>0.73563218390804597</v>
      </c>
      <c r="U92" s="537">
        <v>4</v>
      </c>
      <c r="V92" s="537">
        <v>20</v>
      </c>
      <c r="W92" s="537">
        <v>24</v>
      </c>
      <c r="X92" s="537">
        <v>21</v>
      </c>
      <c r="Y92" s="537">
        <v>18</v>
      </c>
      <c r="Z92" s="537">
        <v>0</v>
      </c>
      <c r="AA92" s="537">
        <v>0</v>
      </c>
      <c r="AB92" s="537">
        <v>87</v>
      </c>
      <c r="AC92" s="537">
        <f t="shared" si="18"/>
        <v>24</v>
      </c>
      <c r="AD92" s="537">
        <f t="shared" si="19"/>
        <v>24</v>
      </c>
      <c r="AE92" s="537">
        <f t="shared" si="20"/>
        <v>21</v>
      </c>
      <c r="AF92" s="537">
        <f t="shared" si="21"/>
        <v>18</v>
      </c>
      <c r="AG92" s="537">
        <f t="shared" si="22"/>
        <v>0</v>
      </c>
    </row>
    <row r="93" spans="1:33" x14ac:dyDescent="0.25">
      <c r="A93" s="551" t="s">
        <v>182</v>
      </c>
      <c r="B93" s="552" t="s">
        <v>183</v>
      </c>
      <c r="C93" s="558" t="s">
        <v>266</v>
      </c>
      <c r="D93" s="554">
        <v>8</v>
      </c>
      <c r="E93" s="554">
        <v>8</v>
      </c>
      <c r="F93" s="554">
        <v>0</v>
      </c>
      <c r="G93" s="554">
        <v>0</v>
      </c>
      <c r="H93" s="554">
        <v>0</v>
      </c>
      <c r="I93" s="554">
        <v>0</v>
      </c>
      <c r="J93" s="554">
        <v>0</v>
      </c>
      <c r="K93" s="554">
        <v>0</v>
      </c>
      <c r="L93" s="554">
        <v>0</v>
      </c>
      <c r="M93" s="554">
        <v>0</v>
      </c>
      <c r="N93" s="555"/>
      <c r="O93" s="555">
        <f t="shared" si="14"/>
        <v>0</v>
      </c>
      <c r="P93" s="555">
        <f t="shared" si="17"/>
        <v>0</v>
      </c>
      <c r="Q93" s="555"/>
      <c r="R93" s="556">
        <f t="shared" si="15"/>
        <v>1</v>
      </c>
      <c r="S93" s="556">
        <f t="shared" si="16"/>
        <v>0</v>
      </c>
      <c r="U93" s="537">
        <v>0</v>
      </c>
      <c r="V93" s="537">
        <v>0</v>
      </c>
      <c r="W93" s="537">
        <v>3</v>
      </c>
      <c r="X93" s="537">
        <v>2</v>
      </c>
      <c r="Y93" s="537">
        <v>3</v>
      </c>
      <c r="Z93" s="537">
        <v>0</v>
      </c>
      <c r="AA93" s="537">
        <v>0</v>
      </c>
      <c r="AB93" s="537">
        <v>8</v>
      </c>
      <c r="AC93" s="537">
        <f t="shared" si="18"/>
        <v>0</v>
      </c>
      <c r="AD93" s="537">
        <f t="shared" si="19"/>
        <v>3</v>
      </c>
      <c r="AE93" s="537">
        <f t="shared" si="20"/>
        <v>2</v>
      </c>
      <c r="AF93" s="537">
        <f t="shared" si="21"/>
        <v>3</v>
      </c>
      <c r="AG93" s="537">
        <f t="shared" si="22"/>
        <v>0</v>
      </c>
    </row>
    <row r="94" spans="1:33" x14ac:dyDescent="0.25">
      <c r="A94" s="551" t="s">
        <v>184</v>
      </c>
      <c r="B94" s="552" t="s">
        <v>185</v>
      </c>
      <c r="C94" s="558" t="s">
        <v>266</v>
      </c>
      <c r="D94" s="554">
        <v>18</v>
      </c>
      <c r="E94" s="554">
        <v>7</v>
      </c>
      <c r="F94" s="554">
        <v>6</v>
      </c>
      <c r="G94" s="554">
        <v>0</v>
      </c>
      <c r="H94" s="554">
        <v>0</v>
      </c>
      <c r="I94" s="554">
        <v>0</v>
      </c>
      <c r="J94" s="554">
        <v>4</v>
      </c>
      <c r="K94" s="554">
        <v>0</v>
      </c>
      <c r="L94" s="554">
        <v>1</v>
      </c>
      <c r="M94" s="554">
        <v>0</v>
      </c>
      <c r="N94" s="555"/>
      <c r="O94" s="555">
        <f t="shared" si="14"/>
        <v>4</v>
      </c>
      <c r="P94" s="555">
        <f t="shared" si="17"/>
        <v>1</v>
      </c>
      <c r="Q94" s="555"/>
      <c r="R94" s="556">
        <f t="shared" si="15"/>
        <v>0.3888888888888889</v>
      </c>
      <c r="S94" s="556">
        <f t="shared" si="16"/>
        <v>0.33333333333333331</v>
      </c>
      <c r="U94" s="537">
        <v>0</v>
      </c>
      <c r="V94" s="537">
        <v>3</v>
      </c>
      <c r="W94" s="537">
        <v>3</v>
      </c>
      <c r="X94" s="537">
        <v>10</v>
      </c>
      <c r="Y94" s="537">
        <v>2</v>
      </c>
      <c r="Z94" s="537">
        <v>0</v>
      </c>
      <c r="AA94" s="537">
        <v>0</v>
      </c>
      <c r="AB94" s="537">
        <v>18</v>
      </c>
      <c r="AC94" s="537">
        <f t="shared" si="18"/>
        <v>3</v>
      </c>
      <c r="AD94" s="537">
        <f t="shared" si="19"/>
        <v>3</v>
      </c>
      <c r="AE94" s="537">
        <f t="shared" si="20"/>
        <v>10</v>
      </c>
      <c r="AF94" s="537">
        <f t="shared" si="21"/>
        <v>2</v>
      </c>
      <c r="AG94" s="537">
        <f t="shared" si="22"/>
        <v>0</v>
      </c>
    </row>
    <row r="95" spans="1:33" x14ac:dyDescent="0.25">
      <c r="A95" s="551" t="s">
        <v>186</v>
      </c>
      <c r="B95" s="552" t="s">
        <v>187</v>
      </c>
      <c r="C95" s="558" t="s">
        <v>264</v>
      </c>
      <c r="D95" s="554">
        <v>14</v>
      </c>
      <c r="E95" s="554">
        <v>11</v>
      </c>
      <c r="F95" s="554">
        <v>1</v>
      </c>
      <c r="G95" s="554">
        <v>0</v>
      </c>
      <c r="H95" s="554">
        <v>0</v>
      </c>
      <c r="I95" s="554">
        <v>0</v>
      </c>
      <c r="J95" s="554">
        <v>0</v>
      </c>
      <c r="K95" s="554">
        <v>2</v>
      </c>
      <c r="L95" s="554">
        <v>0</v>
      </c>
      <c r="M95" s="554">
        <v>0</v>
      </c>
      <c r="N95" s="555"/>
      <c r="O95" s="555">
        <f t="shared" si="14"/>
        <v>2</v>
      </c>
      <c r="P95" s="555">
        <f t="shared" si="17"/>
        <v>0</v>
      </c>
      <c r="Q95" s="555"/>
      <c r="R95" s="556">
        <f t="shared" si="15"/>
        <v>0.7857142857142857</v>
      </c>
      <c r="S95" s="556">
        <f t="shared" si="16"/>
        <v>7.1428571428571425E-2</v>
      </c>
      <c r="U95" s="537">
        <v>2</v>
      </c>
      <c r="V95" s="537">
        <v>6</v>
      </c>
      <c r="W95" s="537">
        <v>2</v>
      </c>
      <c r="X95" s="537">
        <v>1</v>
      </c>
      <c r="Y95" s="537">
        <v>3</v>
      </c>
      <c r="Z95" s="537">
        <v>0</v>
      </c>
      <c r="AA95" s="537">
        <v>0</v>
      </c>
      <c r="AB95" s="537">
        <v>14</v>
      </c>
      <c r="AC95" s="537">
        <f t="shared" si="18"/>
        <v>8</v>
      </c>
      <c r="AD95" s="537">
        <f t="shared" si="19"/>
        <v>2</v>
      </c>
      <c r="AE95" s="537">
        <f t="shared" si="20"/>
        <v>1</v>
      </c>
      <c r="AF95" s="537">
        <f t="shared" si="21"/>
        <v>3</v>
      </c>
      <c r="AG95" s="537">
        <f t="shared" si="22"/>
        <v>0</v>
      </c>
    </row>
    <row r="96" spans="1:33" x14ac:dyDescent="0.25">
      <c r="A96" s="551" t="s">
        <v>188</v>
      </c>
      <c r="B96" s="552" t="s">
        <v>189</v>
      </c>
      <c r="C96" s="558" t="s">
        <v>267</v>
      </c>
      <c r="D96" s="554">
        <v>94</v>
      </c>
      <c r="E96" s="554">
        <v>18</v>
      </c>
      <c r="F96" s="554">
        <v>46</v>
      </c>
      <c r="G96" s="554">
        <v>1</v>
      </c>
      <c r="H96" s="554">
        <v>1</v>
      </c>
      <c r="I96" s="554">
        <v>0</v>
      </c>
      <c r="J96" s="554">
        <v>22</v>
      </c>
      <c r="K96" s="554">
        <v>2</v>
      </c>
      <c r="L96" s="554">
        <v>2</v>
      </c>
      <c r="M96" s="554">
        <v>2</v>
      </c>
      <c r="N96" s="555"/>
      <c r="O96" s="555">
        <f t="shared" si="14"/>
        <v>26</v>
      </c>
      <c r="P96" s="555">
        <f t="shared" si="17"/>
        <v>4</v>
      </c>
      <c r="Q96" s="555"/>
      <c r="R96" s="556">
        <f t="shared" si="15"/>
        <v>0.19148936170212766</v>
      </c>
      <c r="S96" s="556">
        <f t="shared" si="16"/>
        <v>0.48936170212765956</v>
      </c>
      <c r="U96" s="537">
        <v>1</v>
      </c>
      <c r="V96" s="537">
        <v>19</v>
      </c>
      <c r="W96" s="537">
        <v>14</v>
      </c>
      <c r="X96" s="537">
        <v>24</v>
      </c>
      <c r="Y96" s="537">
        <v>36</v>
      </c>
      <c r="Z96" s="537">
        <v>0</v>
      </c>
      <c r="AA96" s="537">
        <v>0</v>
      </c>
      <c r="AB96" s="537">
        <v>94</v>
      </c>
      <c r="AC96" s="537">
        <f t="shared" si="18"/>
        <v>20</v>
      </c>
      <c r="AD96" s="537">
        <f t="shared" si="19"/>
        <v>14</v>
      </c>
      <c r="AE96" s="537">
        <f t="shared" si="20"/>
        <v>24</v>
      </c>
      <c r="AF96" s="537">
        <f t="shared" si="21"/>
        <v>36</v>
      </c>
      <c r="AG96" s="537">
        <f t="shared" si="22"/>
        <v>0</v>
      </c>
    </row>
    <row r="97" spans="1:33" x14ac:dyDescent="0.25">
      <c r="A97" s="551" t="s">
        <v>190</v>
      </c>
      <c r="B97" s="552" t="s">
        <v>191</v>
      </c>
      <c r="C97" s="558" t="s">
        <v>268</v>
      </c>
      <c r="D97" s="554">
        <v>63</v>
      </c>
      <c r="E97" s="554">
        <v>50</v>
      </c>
      <c r="F97" s="554">
        <v>7</v>
      </c>
      <c r="G97" s="554">
        <v>0</v>
      </c>
      <c r="H97" s="554">
        <v>0</v>
      </c>
      <c r="I97" s="554">
        <v>0</v>
      </c>
      <c r="J97" s="554">
        <v>2</v>
      </c>
      <c r="K97" s="554">
        <v>4</v>
      </c>
      <c r="L97" s="554">
        <v>0</v>
      </c>
      <c r="M97" s="554">
        <v>0</v>
      </c>
      <c r="N97" s="555"/>
      <c r="O97" s="555">
        <f t="shared" si="14"/>
        <v>6</v>
      </c>
      <c r="P97" s="555">
        <f t="shared" si="17"/>
        <v>0</v>
      </c>
      <c r="Q97" s="555"/>
      <c r="R97" s="556">
        <f t="shared" si="15"/>
        <v>0.79365079365079361</v>
      </c>
      <c r="S97" s="556">
        <f t="shared" si="16"/>
        <v>0.1111111111111111</v>
      </c>
      <c r="U97" s="537">
        <v>2</v>
      </c>
      <c r="V97" s="537">
        <v>24</v>
      </c>
      <c r="W97" s="537">
        <v>6</v>
      </c>
      <c r="X97" s="537">
        <v>12</v>
      </c>
      <c r="Y97" s="537">
        <v>19</v>
      </c>
      <c r="Z97" s="537">
        <v>0</v>
      </c>
      <c r="AA97" s="537">
        <v>0</v>
      </c>
      <c r="AB97" s="537">
        <v>63</v>
      </c>
      <c r="AC97" s="537">
        <f t="shared" si="18"/>
        <v>26</v>
      </c>
      <c r="AD97" s="537">
        <f t="shared" si="19"/>
        <v>6</v>
      </c>
      <c r="AE97" s="537">
        <f t="shared" si="20"/>
        <v>12</v>
      </c>
      <c r="AF97" s="537">
        <f t="shared" si="21"/>
        <v>19</v>
      </c>
      <c r="AG97" s="537">
        <f t="shared" si="22"/>
        <v>0</v>
      </c>
    </row>
    <row r="98" spans="1:33" x14ac:dyDescent="0.25">
      <c r="A98" s="551" t="s">
        <v>192</v>
      </c>
      <c r="B98" s="552" t="s">
        <v>193</v>
      </c>
      <c r="C98" s="558" t="s">
        <v>268</v>
      </c>
      <c r="D98" s="554">
        <v>14</v>
      </c>
      <c r="E98" s="554">
        <v>7</v>
      </c>
      <c r="F98" s="554">
        <v>3</v>
      </c>
      <c r="G98" s="554">
        <v>0</v>
      </c>
      <c r="H98" s="554">
        <v>0</v>
      </c>
      <c r="I98" s="554">
        <v>0</v>
      </c>
      <c r="J98" s="554">
        <v>0</v>
      </c>
      <c r="K98" s="554">
        <v>4</v>
      </c>
      <c r="L98" s="554">
        <v>0</v>
      </c>
      <c r="M98" s="554">
        <v>0</v>
      </c>
      <c r="N98" s="555"/>
      <c r="O98" s="555">
        <f t="shared" si="14"/>
        <v>4</v>
      </c>
      <c r="P98" s="555">
        <f t="shared" si="17"/>
        <v>0</v>
      </c>
      <c r="Q98" s="555"/>
      <c r="R98" s="556">
        <f t="shared" si="15"/>
        <v>0.5</v>
      </c>
      <c r="S98" s="556">
        <f t="shared" si="16"/>
        <v>0.21428571428571427</v>
      </c>
      <c r="U98" s="537">
        <v>2</v>
      </c>
      <c r="V98" s="537">
        <v>5</v>
      </c>
      <c r="W98" s="537">
        <v>0</v>
      </c>
      <c r="X98" s="537">
        <v>3</v>
      </c>
      <c r="Y98" s="537">
        <v>4</v>
      </c>
      <c r="Z98" s="537">
        <v>0</v>
      </c>
      <c r="AA98" s="537">
        <v>0</v>
      </c>
      <c r="AB98" s="537">
        <v>14</v>
      </c>
      <c r="AC98" s="537">
        <f t="shared" si="18"/>
        <v>7</v>
      </c>
      <c r="AD98" s="537">
        <f t="shared" si="19"/>
        <v>0</v>
      </c>
      <c r="AE98" s="537">
        <f t="shared" si="20"/>
        <v>3</v>
      </c>
      <c r="AF98" s="537">
        <f t="shared" si="21"/>
        <v>4</v>
      </c>
      <c r="AG98" s="537">
        <f t="shared" si="22"/>
        <v>0</v>
      </c>
    </row>
    <row r="99" spans="1:33" x14ac:dyDescent="0.25">
      <c r="A99" s="551" t="s">
        <v>194</v>
      </c>
      <c r="B99" s="552" t="s">
        <v>195</v>
      </c>
      <c r="C99" s="558" t="s">
        <v>267</v>
      </c>
      <c r="D99" s="554">
        <v>11</v>
      </c>
      <c r="E99" s="554">
        <v>9</v>
      </c>
      <c r="F99" s="554">
        <v>0</v>
      </c>
      <c r="G99" s="554">
        <v>0</v>
      </c>
      <c r="H99" s="554">
        <v>0</v>
      </c>
      <c r="I99" s="554">
        <v>0</v>
      </c>
      <c r="J99" s="554">
        <v>0</v>
      </c>
      <c r="K99" s="554">
        <v>2</v>
      </c>
      <c r="L99" s="554">
        <v>0</v>
      </c>
      <c r="M99" s="554">
        <v>0</v>
      </c>
      <c r="N99" s="555"/>
      <c r="O99" s="555">
        <f t="shared" si="14"/>
        <v>2</v>
      </c>
      <c r="P99" s="555">
        <f t="shared" si="17"/>
        <v>0</v>
      </c>
      <c r="Q99" s="555"/>
      <c r="R99" s="556">
        <f t="shared" si="15"/>
        <v>0.81818181818181823</v>
      </c>
      <c r="S99" s="556">
        <f t="shared" si="16"/>
        <v>0</v>
      </c>
      <c r="U99" s="537">
        <v>2</v>
      </c>
      <c r="V99" s="537">
        <v>2</v>
      </c>
      <c r="W99" s="537">
        <v>1</v>
      </c>
      <c r="X99" s="537">
        <v>3</v>
      </c>
      <c r="Y99" s="537">
        <v>3</v>
      </c>
      <c r="Z99" s="537">
        <v>0</v>
      </c>
      <c r="AA99" s="537">
        <v>0</v>
      </c>
      <c r="AB99" s="537">
        <v>11</v>
      </c>
      <c r="AC99" s="537">
        <f t="shared" si="18"/>
        <v>4</v>
      </c>
      <c r="AD99" s="537">
        <f t="shared" si="19"/>
        <v>1</v>
      </c>
      <c r="AE99" s="537">
        <f t="shared" si="20"/>
        <v>3</v>
      </c>
      <c r="AF99" s="537">
        <f t="shared" si="21"/>
        <v>3</v>
      </c>
      <c r="AG99" s="537">
        <f t="shared" si="22"/>
        <v>0</v>
      </c>
    </row>
    <row r="100" spans="1:33" x14ac:dyDescent="0.25">
      <c r="A100" s="551" t="s">
        <v>196</v>
      </c>
      <c r="B100" s="552" t="s">
        <v>197</v>
      </c>
      <c r="C100" s="558" t="s">
        <v>266</v>
      </c>
      <c r="D100" s="554">
        <v>278</v>
      </c>
      <c r="E100" s="554">
        <v>15</v>
      </c>
      <c r="F100" s="554">
        <v>227</v>
      </c>
      <c r="G100" s="554">
        <v>0</v>
      </c>
      <c r="H100" s="554">
        <v>0</v>
      </c>
      <c r="I100" s="554">
        <v>0</v>
      </c>
      <c r="J100" s="554">
        <v>21</v>
      </c>
      <c r="K100" s="554">
        <v>14</v>
      </c>
      <c r="L100" s="554">
        <v>1</v>
      </c>
      <c r="M100" s="554">
        <v>0</v>
      </c>
      <c r="N100" s="555"/>
      <c r="O100" s="555">
        <f t="shared" si="14"/>
        <v>35</v>
      </c>
      <c r="P100" s="555">
        <f t="shared" si="17"/>
        <v>1</v>
      </c>
      <c r="Q100" s="555"/>
      <c r="R100" s="556">
        <f t="shared" si="15"/>
        <v>5.3956834532374098E-2</v>
      </c>
      <c r="S100" s="556">
        <f t="shared" si="16"/>
        <v>0.81654676258992809</v>
      </c>
      <c r="U100" s="537">
        <v>7</v>
      </c>
      <c r="V100" s="537">
        <v>76</v>
      </c>
      <c r="W100" s="537">
        <v>41</v>
      </c>
      <c r="X100" s="537">
        <v>69</v>
      </c>
      <c r="Y100" s="537">
        <v>85</v>
      </c>
      <c r="Z100" s="537">
        <v>0</v>
      </c>
      <c r="AA100" s="537">
        <v>0</v>
      </c>
      <c r="AB100" s="537">
        <v>278</v>
      </c>
      <c r="AC100" s="537">
        <f t="shared" si="18"/>
        <v>83</v>
      </c>
      <c r="AD100" s="537">
        <f t="shared" si="19"/>
        <v>41</v>
      </c>
      <c r="AE100" s="537">
        <f t="shared" si="20"/>
        <v>69</v>
      </c>
      <c r="AF100" s="537">
        <f t="shared" si="21"/>
        <v>85</v>
      </c>
      <c r="AG100" s="537">
        <f t="shared" si="22"/>
        <v>0</v>
      </c>
    </row>
    <row r="101" spans="1:33" x14ac:dyDescent="0.25">
      <c r="A101" s="551" t="s">
        <v>198</v>
      </c>
      <c r="B101" s="552" t="s">
        <v>272</v>
      </c>
      <c r="C101" s="558" t="s">
        <v>266</v>
      </c>
      <c r="D101" s="554">
        <v>2</v>
      </c>
      <c r="E101" s="554">
        <v>0</v>
      </c>
      <c r="F101" s="554">
        <v>1</v>
      </c>
      <c r="G101" s="554">
        <v>0</v>
      </c>
      <c r="H101" s="554">
        <v>0</v>
      </c>
      <c r="I101" s="554">
        <v>0</v>
      </c>
      <c r="J101" s="554">
        <v>0</v>
      </c>
      <c r="K101" s="554">
        <v>1</v>
      </c>
      <c r="L101" s="554">
        <v>0</v>
      </c>
      <c r="M101" s="554">
        <v>0</v>
      </c>
      <c r="N101" s="555"/>
      <c r="O101" s="555">
        <f t="shared" si="14"/>
        <v>1</v>
      </c>
      <c r="P101" s="555">
        <f t="shared" si="17"/>
        <v>0</v>
      </c>
      <c r="Q101" s="555"/>
      <c r="R101" s="556">
        <f t="shared" si="15"/>
        <v>0</v>
      </c>
      <c r="S101" s="556">
        <f t="shared" si="16"/>
        <v>0.5</v>
      </c>
      <c r="U101" s="537">
        <v>0</v>
      </c>
      <c r="V101" s="537">
        <v>0</v>
      </c>
      <c r="W101" s="537">
        <v>0</v>
      </c>
      <c r="X101" s="537">
        <v>0</v>
      </c>
      <c r="Y101" s="537">
        <v>2</v>
      </c>
      <c r="Z101" s="537">
        <v>0</v>
      </c>
      <c r="AA101" s="537">
        <v>0</v>
      </c>
      <c r="AB101" s="537">
        <v>2</v>
      </c>
      <c r="AC101" s="537">
        <f t="shared" si="18"/>
        <v>0</v>
      </c>
      <c r="AD101" s="537">
        <f t="shared" si="19"/>
        <v>0</v>
      </c>
      <c r="AE101" s="537">
        <f t="shared" si="20"/>
        <v>0</v>
      </c>
      <c r="AF101" s="537">
        <f t="shared" si="21"/>
        <v>2</v>
      </c>
      <c r="AG101" s="537">
        <f t="shared" si="22"/>
        <v>0</v>
      </c>
    </row>
    <row r="102" spans="1:33" x14ac:dyDescent="0.25">
      <c r="A102" s="551" t="s">
        <v>200</v>
      </c>
      <c r="B102" s="552" t="s">
        <v>201</v>
      </c>
      <c r="C102" s="558" t="s">
        <v>265</v>
      </c>
      <c r="D102" s="554">
        <v>255</v>
      </c>
      <c r="E102" s="554">
        <v>118</v>
      </c>
      <c r="F102" s="554">
        <v>64</v>
      </c>
      <c r="G102" s="554">
        <v>1</v>
      </c>
      <c r="H102" s="554">
        <v>0</v>
      </c>
      <c r="I102" s="554">
        <v>0</v>
      </c>
      <c r="J102" s="554">
        <v>18</v>
      </c>
      <c r="K102" s="554">
        <v>43</v>
      </c>
      <c r="L102" s="554">
        <v>7</v>
      </c>
      <c r="M102" s="554">
        <v>4</v>
      </c>
      <c r="N102" s="555"/>
      <c r="O102" s="555">
        <f t="shared" ref="O102:O125" si="23">SUM(G102:K102)</f>
        <v>62</v>
      </c>
      <c r="P102" s="555">
        <f t="shared" si="17"/>
        <v>11</v>
      </c>
      <c r="Q102" s="555"/>
      <c r="R102" s="556">
        <f t="shared" ref="R102:R125" si="24">IF(D102=0,"N/A",+E102/D102)</f>
        <v>0.46274509803921571</v>
      </c>
      <c r="S102" s="556">
        <f t="shared" ref="S102:S125" si="25">IF(D102=0,"N/A",+F102/D102)</f>
        <v>0.25098039215686274</v>
      </c>
      <c r="U102" s="537">
        <v>15</v>
      </c>
      <c r="V102" s="537">
        <v>90</v>
      </c>
      <c r="W102" s="537">
        <v>60</v>
      </c>
      <c r="X102" s="537">
        <v>55</v>
      </c>
      <c r="Y102" s="537">
        <v>35</v>
      </c>
      <c r="Z102" s="537">
        <v>0</v>
      </c>
      <c r="AA102" s="537">
        <v>0</v>
      </c>
      <c r="AB102" s="537">
        <v>255</v>
      </c>
      <c r="AC102" s="537">
        <f t="shared" si="18"/>
        <v>105</v>
      </c>
      <c r="AD102" s="537">
        <f t="shared" si="19"/>
        <v>60</v>
      </c>
      <c r="AE102" s="537">
        <f t="shared" si="20"/>
        <v>55</v>
      </c>
      <c r="AF102" s="537">
        <f t="shared" si="21"/>
        <v>35</v>
      </c>
      <c r="AG102" s="537">
        <f t="shared" si="22"/>
        <v>0</v>
      </c>
    </row>
    <row r="103" spans="1:33" x14ac:dyDescent="0.25">
      <c r="A103" s="551" t="s">
        <v>202</v>
      </c>
      <c r="B103" s="552" t="s">
        <v>283</v>
      </c>
      <c r="C103" s="558" t="s">
        <v>265</v>
      </c>
      <c r="D103" s="554">
        <v>89</v>
      </c>
      <c r="E103" s="554">
        <v>68</v>
      </c>
      <c r="F103" s="554">
        <v>7</v>
      </c>
      <c r="G103" s="554">
        <v>0</v>
      </c>
      <c r="H103" s="554">
        <v>0</v>
      </c>
      <c r="I103" s="554">
        <v>0</v>
      </c>
      <c r="J103" s="554">
        <v>4</v>
      </c>
      <c r="K103" s="554">
        <v>8</v>
      </c>
      <c r="L103" s="554">
        <v>2</v>
      </c>
      <c r="M103" s="554">
        <v>0</v>
      </c>
      <c r="N103" s="555"/>
      <c r="O103" s="555">
        <f t="shared" si="23"/>
        <v>12</v>
      </c>
      <c r="P103" s="555">
        <f t="shared" si="17"/>
        <v>2</v>
      </c>
      <c r="Q103" s="555"/>
      <c r="R103" s="556">
        <f t="shared" si="24"/>
        <v>0.7640449438202247</v>
      </c>
      <c r="S103" s="556">
        <f t="shared" si="25"/>
        <v>7.8651685393258425E-2</v>
      </c>
      <c r="U103" s="537">
        <v>4</v>
      </c>
      <c r="V103" s="537">
        <v>24</v>
      </c>
      <c r="W103" s="537">
        <v>19</v>
      </c>
      <c r="X103" s="537">
        <v>24</v>
      </c>
      <c r="Y103" s="537">
        <v>18</v>
      </c>
      <c r="Z103" s="537">
        <v>0</v>
      </c>
      <c r="AA103" s="537">
        <v>0</v>
      </c>
      <c r="AB103" s="537">
        <v>89</v>
      </c>
      <c r="AC103" s="537">
        <f t="shared" si="18"/>
        <v>28</v>
      </c>
      <c r="AD103" s="537">
        <f t="shared" si="19"/>
        <v>19</v>
      </c>
      <c r="AE103" s="537">
        <f t="shared" si="20"/>
        <v>24</v>
      </c>
      <c r="AF103" s="537">
        <f t="shared" si="21"/>
        <v>18</v>
      </c>
      <c r="AG103" s="537">
        <f t="shared" si="22"/>
        <v>0</v>
      </c>
    </row>
    <row r="104" spans="1:33" x14ac:dyDescent="0.25">
      <c r="A104" s="551" t="s">
        <v>204</v>
      </c>
      <c r="B104" s="552" t="s">
        <v>284</v>
      </c>
      <c r="C104" s="558" t="s">
        <v>265</v>
      </c>
      <c r="D104" s="554">
        <v>25</v>
      </c>
      <c r="E104" s="554">
        <v>22</v>
      </c>
      <c r="F104" s="554">
        <v>0</v>
      </c>
      <c r="G104" s="554">
        <v>0</v>
      </c>
      <c r="H104" s="554">
        <v>0</v>
      </c>
      <c r="I104" s="554">
        <v>0</v>
      </c>
      <c r="J104" s="554">
        <v>1</v>
      </c>
      <c r="K104" s="554">
        <v>2</v>
      </c>
      <c r="L104" s="554">
        <v>0</v>
      </c>
      <c r="M104" s="554">
        <v>0</v>
      </c>
      <c r="N104" s="555"/>
      <c r="O104" s="555">
        <f t="shared" si="23"/>
        <v>3</v>
      </c>
      <c r="P104" s="555">
        <f t="shared" si="17"/>
        <v>0</v>
      </c>
      <c r="Q104" s="555"/>
      <c r="R104" s="556">
        <f t="shared" si="24"/>
        <v>0.88</v>
      </c>
      <c r="S104" s="556">
        <f t="shared" si="25"/>
        <v>0</v>
      </c>
      <c r="U104" s="537">
        <v>0</v>
      </c>
      <c r="V104" s="537">
        <v>7</v>
      </c>
      <c r="W104" s="537">
        <v>4</v>
      </c>
      <c r="X104" s="537">
        <v>11</v>
      </c>
      <c r="Y104" s="537">
        <v>3</v>
      </c>
      <c r="Z104" s="537">
        <v>0</v>
      </c>
      <c r="AA104" s="537">
        <v>0</v>
      </c>
      <c r="AB104" s="537">
        <v>25</v>
      </c>
      <c r="AC104" s="537">
        <f t="shared" si="18"/>
        <v>7</v>
      </c>
      <c r="AD104" s="537">
        <f t="shared" si="19"/>
        <v>4</v>
      </c>
      <c r="AE104" s="537">
        <f t="shared" si="20"/>
        <v>11</v>
      </c>
      <c r="AF104" s="537">
        <f t="shared" si="21"/>
        <v>3</v>
      </c>
      <c r="AG104" s="537">
        <f t="shared" si="22"/>
        <v>0</v>
      </c>
    </row>
    <row r="105" spans="1:33" x14ac:dyDescent="0.25">
      <c r="A105" s="551" t="s">
        <v>206</v>
      </c>
      <c r="B105" s="552" t="s">
        <v>207</v>
      </c>
      <c r="C105" s="558" t="s">
        <v>267</v>
      </c>
      <c r="D105" s="554">
        <v>164</v>
      </c>
      <c r="E105" s="554">
        <v>89</v>
      </c>
      <c r="F105" s="554">
        <v>21</v>
      </c>
      <c r="G105" s="554">
        <v>0</v>
      </c>
      <c r="H105" s="554">
        <v>0</v>
      </c>
      <c r="I105" s="554">
        <v>1</v>
      </c>
      <c r="J105" s="554">
        <v>32</v>
      </c>
      <c r="K105" s="554">
        <v>21</v>
      </c>
      <c r="L105" s="554">
        <v>0</v>
      </c>
      <c r="M105" s="554">
        <v>0</v>
      </c>
      <c r="N105" s="555"/>
      <c r="O105" s="555">
        <f t="shared" si="23"/>
        <v>54</v>
      </c>
      <c r="P105" s="555">
        <f t="shared" si="17"/>
        <v>0</v>
      </c>
      <c r="Q105" s="555"/>
      <c r="R105" s="556">
        <f t="shared" si="24"/>
        <v>0.54268292682926833</v>
      </c>
      <c r="S105" s="556">
        <f t="shared" si="25"/>
        <v>0.12804878048780488</v>
      </c>
      <c r="U105" s="537">
        <v>11</v>
      </c>
      <c r="V105" s="537">
        <v>47</v>
      </c>
      <c r="W105" s="537">
        <v>34</v>
      </c>
      <c r="X105" s="537">
        <v>39</v>
      </c>
      <c r="Y105" s="537">
        <v>33</v>
      </c>
      <c r="Z105" s="537">
        <v>0</v>
      </c>
      <c r="AA105" s="537">
        <v>0</v>
      </c>
      <c r="AB105" s="537">
        <v>164</v>
      </c>
      <c r="AC105" s="537">
        <f t="shared" si="18"/>
        <v>58</v>
      </c>
      <c r="AD105" s="537">
        <f t="shared" si="19"/>
        <v>34</v>
      </c>
      <c r="AE105" s="537">
        <f t="shared" si="20"/>
        <v>39</v>
      </c>
      <c r="AF105" s="537">
        <f t="shared" si="21"/>
        <v>33</v>
      </c>
      <c r="AG105" s="537">
        <f t="shared" si="22"/>
        <v>0</v>
      </c>
    </row>
    <row r="106" spans="1:33" x14ac:dyDescent="0.25">
      <c r="A106" s="551" t="s">
        <v>208</v>
      </c>
      <c r="B106" s="552" t="s">
        <v>209</v>
      </c>
      <c r="C106" s="558" t="s">
        <v>268</v>
      </c>
      <c r="D106" s="554">
        <v>58</v>
      </c>
      <c r="E106" s="554">
        <v>54</v>
      </c>
      <c r="F106" s="554">
        <v>0</v>
      </c>
      <c r="G106" s="554">
        <v>0</v>
      </c>
      <c r="H106" s="554">
        <v>0</v>
      </c>
      <c r="I106" s="554">
        <v>0</v>
      </c>
      <c r="J106" s="554">
        <v>2</v>
      </c>
      <c r="K106" s="554">
        <v>2</v>
      </c>
      <c r="L106" s="554">
        <v>0</v>
      </c>
      <c r="M106" s="554">
        <v>0</v>
      </c>
      <c r="N106" s="555"/>
      <c r="O106" s="555">
        <f t="shared" si="23"/>
        <v>4</v>
      </c>
      <c r="P106" s="555">
        <f t="shared" si="17"/>
        <v>0</v>
      </c>
      <c r="Q106" s="555"/>
      <c r="R106" s="556">
        <f t="shared" si="24"/>
        <v>0.93103448275862066</v>
      </c>
      <c r="S106" s="556">
        <f t="shared" si="25"/>
        <v>0</v>
      </c>
      <c r="U106" s="537">
        <v>0</v>
      </c>
      <c r="V106" s="537">
        <v>14</v>
      </c>
      <c r="W106" s="537">
        <v>11</v>
      </c>
      <c r="X106" s="537">
        <v>27</v>
      </c>
      <c r="Y106" s="537">
        <v>6</v>
      </c>
      <c r="Z106" s="537">
        <v>0</v>
      </c>
      <c r="AA106" s="537">
        <v>0</v>
      </c>
      <c r="AB106" s="537">
        <v>58</v>
      </c>
      <c r="AC106" s="537">
        <f t="shared" si="18"/>
        <v>14</v>
      </c>
      <c r="AD106" s="537">
        <f t="shared" si="19"/>
        <v>11</v>
      </c>
      <c r="AE106" s="537">
        <f t="shared" si="20"/>
        <v>27</v>
      </c>
      <c r="AF106" s="537">
        <f t="shared" si="21"/>
        <v>6</v>
      </c>
      <c r="AG106" s="537">
        <f t="shared" si="22"/>
        <v>0</v>
      </c>
    </row>
    <row r="107" spans="1:33" x14ac:dyDescent="0.25">
      <c r="A107" s="557" t="s">
        <v>210</v>
      </c>
      <c r="B107" s="552" t="s">
        <v>211</v>
      </c>
      <c r="C107" s="558" t="s">
        <v>268</v>
      </c>
      <c r="D107" s="554">
        <v>37</v>
      </c>
      <c r="E107" s="554">
        <v>32</v>
      </c>
      <c r="F107" s="554">
        <v>1</v>
      </c>
      <c r="G107" s="554">
        <v>0</v>
      </c>
      <c r="H107" s="554">
        <v>0</v>
      </c>
      <c r="I107" s="554">
        <v>0</v>
      </c>
      <c r="J107" s="554">
        <v>1</v>
      </c>
      <c r="K107" s="554">
        <v>3</v>
      </c>
      <c r="L107" s="554">
        <v>0</v>
      </c>
      <c r="M107" s="554">
        <v>0</v>
      </c>
      <c r="N107" s="555"/>
      <c r="O107" s="555">
        <f t="shared" si="23"/>
        <v>4</v>
      </c>
      <c r="P107" s="555">
        <f t="shared" si="17"/>
        <v>0</v>
      </c>
      <c r="Q107" s="555"/>
      <c r="R107" s="556">
        <f t="shared" si="24"/>
        <v>0.86486486486486491</v>
      </c>
      <c r="S107" s="556">
        <f t="shared" si="25"/>
        <v>2.7027027027027029E-2</v>
      </c>
      <c r="U107" s="537">
        <v>4</v>
      </c>
      <c r="V107" s="537">
        <v>8</v>
      </c>
      <c r="W107" s="537">
        <v>7</v>
      </c>
      <c r="X107" s="537">
        <v>8</v>
      </c>
      <c r="Y107" s="537">
        <v>10</v>
      </c>
      <c r="Z107" s="537">
        <v>0</v>
      </c>
      <c r="AA107" s="537">
        <v>0</v>
      </c>
      <c r="AB107" s="537">
        <v>37</v>
      </c>
      <c r="AC107" s="537">
        <f t="shared" si="18"/>
        <v>12</v>
      </c>
      <c r="AD107" s="537">
        <f t="shared" si="19"/>
        <v>7</v>
      </c>
      <c r="AE107" s="537">
        <f t="shared" si="20"/>
        <v>8</v>
      </c>
      <c r="AF107" s="537">
        <f t="shared" si="21"/>
        <v>10</v>
      </c>
      <c r="AG107" s="537">
        <f t="shared" si="22"/>
        <v>0</v>
      </c>
    </row>
    <row r="108" spans="1:33" x14ac:dyDescent="0.25">
      <c r="A108" s="551" t="s">
        <v>212</v>
      </c>
      <c r="B108" s="552" t="s">
        <v>213</v>
      </c>
      <c r="C108" s="558" t="s">
        <v>267</v>
      </c>
      <c r="D108" s="554">
        <v>6</v>
      </c>
      <c r="E108" s="554">
        <v>5</v>
      </c>
      <c r="F108" s="554">
        <v>0</v>
      </c>
      <c r="G108" s="554">
        <v>0</v>
      </c>
      <c r="H108" s="554">
        <v>0</v>
      </c>
      <c r="I108" s="554">
        <v>0</v>
      </c>
      <c r="J108" s="554">
        <v>1</v>
      </c>
      <c r="K108" s="554">
        <v>0</v>
      </c>
      <c r="L108" s="554">
        <v>0</v>
      </c>
      <c r="M108" s="554">
        <v>0</v>
      </c>
      <c r="N108" s="555"/>
      <c r="O108" s="555">
        <f t="shared" si="23"/>
        <v>1</v>
      </c>
      <c r="P108" s="555">
        <f t="shared" si="17"/>
        <v>0</v>
      </c>
      <c r="Q108" s="555"/>
      <c r="R108" s="556">
        <f t="shared" si="24"/>
        <v>0.83333333333333337</v>
      </c>
      <c r="S108" s="556">
        <f t="shared" si="25"/>
        <v>0</v>
      </c>
      <c r="U108" s="537">
        <v>1</v>
      </c>
      <c r="V108" s="537">
        <v>0</v>
      </c>
      <c r="W108" s="537">
        <v>0</v>
      </c>
      <c r="X108" s="537">
        <v>2</v>
      </c>
      <c r="Y108" s="537">
        <v>3</v>
      </c>
      <c r="Z108" s="537">
        <v>0</v>
      </c>
      <c r="AA108" s="537">
        <v>0</v>
      </c>
      <c r="AB108" s="537">
        <v>6</v>
      </c>
      <c r="AC108" s="537">
        <f t="shared" si="18"/>
        <v>1</v>
      </c>
      <c r="AD108" s="537">
        <f t="shared" si="19"/>
        <v>0</v>
      </c>
      <c r="AE108" s="537">
        <f t="shared" si="20"/>
        <v>2</v>
      </c>
      <c r="AF108" s="537">
        <f t="shared" si="21"/>
        <v>3</v>
      </c>
      <c r="AG108" s="537">
        <f t="shared" si="22"/>
        <v>0</v>
      </c>
    </row>
    <row r="109" spans="1:33" x14ac:dyDescent="0.25">
      <c r="A109" s="551" t="s">
        <v>214</v>
      </c>
      <c r="B109" s="552" t="s">
        <v>215</v>
      </c>
      <c r="C109" s="558" t="s">
        <v>268</v>
      </c>
      <c r="D109" s="554">
        <v>37</v>
      </c>
      <c r="E109" s="554">
        <v>27</v>
      </c>
      <c r="F109" s="554">
        <v>0</v>
      </c>
      <c r="G109" s="554">
        <v>0</v>
      </c>
      <c r="H109" s="554">
        <v>0</v>
      </c>
      <c r="I109" s="554">
        <v>0</v>
      </c>
      <c r="J109" s="554">
        <v>0</v>
      </c>
      <c r="K109" s="554">
        <v>10</v>
      </c>
      <c r="L109" s="554">
        <v>0</v>
      </c>
      <c r="M109" s="554">
        <v>0</v>
      </c>
      <c r="N109" s="555"/>
      <c r="O109" s="555">
        <f t="shared" si="23"/>
        <v>10</v>
      </c>
      <c r="P109" s="555">
        <f t="shared" si="17"/>
        <v>0</v>
      </c>
      <c r="Q109" s="555"/>
      <c r="R109" s="556">
        <f t="shared" si="24"/>
        <v>0.72972972972972971</v>
      </c>
      <c r="S109" s="556">
        <f t="shared" si="25"/>
        <v>0</v>
      </c>
      <c r="U109" s="537">
        <v>2</v>
      </c>
      <c r="V109" s="537">
        <v>11</v>
      </c>
      <c r="W109" s="537">
        <v>12</v>
      </c>
      <c r="X109" s="537">
        <v>5</v>
      </c>
      <c r="Y109" s="537">
        <v>7</v>
      </c>
      <c r="Z109" s="537">
        <v>0</v>
      </c>
      <c r="AA109" s="537">
        <v>0</v>
      </c>
      <c r="AB109" s="537">
        <v>37</v>
      </c>
      <c r="AC109" s="537">
        <f t="shared" si="18"/>
        <v>13</v>
      </c>
      <c r="AD109" s="537">
        <f t="shared" si="19"/>
        <v>12</v>
      </c>
      <c r="AE109" s="537">
        <f t="shared" si="20"/>
        <v>5</v>
      </c>
      <c r="AF109" s="537">
        <f t="shared" si="21"/>
        <v>7</v>
      </c>
      <c r="AG109" s="537">
        <f t="shared" si="22"/>
        <v>0</v>
      </c>
    </row>
    <row r="110" spans="1:33" x14ac:dyDescent="0.25">
      <c r="A110" s="551" t="s">
        <v>216</v>
      </c>
      <c r="B110" s="552" t="s">
        <v>217</v>
      </c>
      <c r="C110" s="558" t="s">
        <v>264</v>
      </c>
      <c r="D110" s="554">
        <v>4</v>
      </c>
      <c r="E110" s="554">
        <v>2</v>
      </c>
      <c r="F110" s="554">
        <v>2</v>
      </c>
      <c r="G110" s="554">
        <v>0</v>
      </c>
      <c r="H110" s="554">
        <v>0</v>
      </c>
      <c r="I110" s="554">
        <v>0</v>
      </c>
      <c r="J110" s="554">
        <v>0</v>
      </c>
      <c r="K110" s="554">
        <v>0</v>
      </c>
      <c r="L110" s="554">
        <v>0</v>
      </c>
      <c r="M110" s="554">
        <v>0</v>
      </c>
      <c r="N110" s="555"/>
      <c r="O110" s="555">
        <f t="shared" si="23"/>
        <v>0</v>
      </c>
      <c r="P110" s="555">
        <f t="shared" si="17"/>
        <v>0</v>
      </c>
      <c r="Q110" s="555"/>
      <c r="R110" s="556">
        <f t="shared" si="24"/>
        <v>0.5</v>
      </c>
      <c r="S110" s="556">
        <f t="shared" si="25"/>
        <v>0.5</v>
      </c>
      <c r="U110" s="537">
        <v>0</v>
      </c>
      <c r="V110" s="537">
        <v>0</v>
      </c>
      <c r="W110" s="537">
        <v>0</v>
      </c>
      <c r="X110" s="537">
        <v>1</v>
      </c>
      <c r="Y110" s="537">
        <v>3</v>
      </c>
      <c r="Z110" s="537">
        <v>0</v>
      </c>
      <c r="AA110" s="537">
        <v>0</v>
      </c>
      <c r="AB110" s="537">
        <v>4</v>
      </c>
      <c r="AC110" s="537">
        <f t="shared" si="18"/>
        <v>0</v>
      </c>
      <c r="AD110" s="537">
        <f t="shared" si="19"/>
        <v>0</v>
      </c>
      <c r="AE110" s="537">
        <f t="shared" si="20"/>
        <v>1</v>
      </c>
      <c r="AF110" s="537">
        <f t="shared" si="21"/>
        <v>3</v>
      </c>
      <c r="AG110" s="537">
        <f t="shared" si="22"/>
        <v>0</v>
      </c>
    </row>
    <row r="111" spans="1:33" x14ac:dyDescent="0.25">
      <c r="A111" s="551" t="s">
        <v>218</v>
      </c>
      <c r="B111" s="552" t="s">
        <v>219</v>
      </c>
      <c r="C111" s="558" t="s">
        <v>267</v>
      </c>
      <c r="D111" s="554">
        <v>115</v>
      </c>
      <c r="E111" s="554">
        <v>45</v>
      </c>
      <c r="F111" s="554">
        <v>39</v>
      </c>
      <c r="G111" s="554">
        <v>0</v>
      </c>
      <c r="H111" s="554">
        <v>0</v>
      </c>
      <c r="I111" s="554">
        <v>0</v>
      </c>
      <c r="J111" s="554">
        <v>14</v>
      </c>
      <c r="K111" s="554">
        <v>14</v>
      </c>
      <c r="L111" s="554">
        <v>3</v>
      </c>
      <c r="M111" s="554">
        <v>0</v>
      </c>
      <c r="N111" s="555"/>
      <c r="O111" s="555">
        <f t="shared" si="23"/>
        <v>28</v>
      </c>
      <c r="P111" s="555">
        <f t="shared" si="17"/>
        <v>3</v>
      </c>
      <c r="Q111" s="555"/>
      <c r="R111" s="556">
        <f t="shared" si="24"/>
        <v>0.39130434782608697</v>
      </c>
      <c r="S111" s="556">
        <f t="shared" si="25"/>
        <v>0.33913043478260868</v>
      </c>
      <c r="U111" s="537">
        <v>11</v>
      </c>
      <c r="V111" s="537">
        <v>30</v>
      </c>
      <c r="W111" s="537">
        <v>28</v>
      </c>
      <c r="X111" s="537">
        <v>27</v>
      </c>
      <c r="Y111" s="537">
        <v>19</v>
      </c>
      <c r="Z111" s="537">
        <v>0</v>
      </c>
      <c r="AA111" s="537">
        <v>0</v>
      </c>
      <c r="AB111" s="537">
        <v>115</v>
      </c>
      <c r="AC111" s="537">
        <f t="shared" si="18"/>
        <v>41</v>
      </c>
      <c r="AD111" s="537">
        <f t="shared" si="19"/>
        <v>28</v>
      </c>
      <c r="AE111" s="537">
        <f t="shared" si="20"/>
        <v>27</v>
      </c>
      <c r="AF111" s="537">
        <f t="shared" si="21"/>
        <v>19</v>
      </c>
      <c r="AG111" s="537">
        <f t="shared" si="22"/>
        <v>0</v>
      </c>
    </row>
    <row r="112" spans="1:33" x14ac:dyDescent="0.25">
      <c r="A112" s="551" t="s">
        <v>220</v>
      </c>
      <c r="B112" s="552" t="s">
        <v>221</v>
      </c>
      <c r="C112" s="558" t="s">
        <v>267</v>
      </c>
      <c r="D112" s="554">
        <v>26</v>
      </c>
      <c r="E112" s="554">
        <v>12</v>
      </c>
      <c r="F112" s="554">
        <v>7</v>
      </c>
      <c r="G112" s="554">
        <v>1</v>
      </c>
      <c r="H112" s="554">
        <v>0</v>
      </c>
      <c r="I112" s="554">
        <v>0</v>
      </c>
      <c r="J112" s="554">
        <v>1</v>
      </c>
      <c r="K112" s="554">
        <v>5</v>
      </c>
      <c r="L112" s="554">
        <v>0</v>
      </c>
      <c r="M112" s="554">
        <v>0</v>
      </c>
      <c r="N112" s="555"/>
      <c r="O112" s="555">
        <f t="shared" si="23"/>
        <v>7</v>
      </c>
      <c r="P112" s="555">
        <f t="shared" si="17"/>
        <v>0</v>
      </c>
      <c r="Q112" s="555"/>
      <c r="R112" s="556">
        <f t="shared" si="24"/>
        <v>0.46153846153846156</v>
      </c>
      <c r="S112" s="556">
        <f t="shared" si="25"/>
        <v>0.26923076923076922</v>
      </c>
      <c r="U112" s="537">
        <v>4</v>
      </c>
      <c r="V112" s="537">
        <v>8</v>
      </c>
      <c r="W112" s="537">
        <v>4</v>
      </c>
      <c r="X112" s="537">
        <v>6</v>
      </c>
      <c r="Y112" s="537">
        <v>4</v>
      </c>
      <c r="Z112" s="537">
        <v>0</v>
      </c>
      <c r="AA112" s="537">
        <v>0</v>
      </c>
      <c r="AB112" s="537">
        <v>26</v>
      </c>
      <c r="AC112" s="537">
        <f t="shared" si="18"/>
        <v>12</v>
      </c>
      <c r="AD112" s="537">
        <f t="shared" si="19"/>
        <v>4</v>
      </c>
      <c r="AE112" s="537">
        <f t="shared" si="20"/>
        <v>6</v>
      </c>
      <c r="AF112" s="537">
        <f t="shared" si="21"/>
        <v>4</v>
      </c>
      <c r="AG112" s="537">
        <f t="shared" si="22"/>
        <v>0</v>
      </c>
    </row>
    <row r="113" spans="1:33" x14ac:dyDescent="0.25">
      <c r="A113" s="551" t="s">
        <v>222</v>
      </c>
      <c r="B113" s="552" t="s">
        <v>223</v>
      </c>
      <c r="C113" s="558" t="s">
        <v>264</v>
      </c>
      <c r="D113" s="554">
        <v>12</v>
      </c>
      <c r="E113" s="554">
        <v>2</v>
      </c>
      <c r="F113" s="554">
        <v>10</v>
      </c>
      <c r="G113" s="554">
        <v>0</v>
      </c>
      <c r="H113" s="554">
        <v>0</v>
      </c>
      <c r="I113" s="554">
        <v>0</v>
      </c>
      <c r="J113" s="554">
        <v>0</v>
      </c>
      <c r="K113" s="554">
        <v>0</v>
      </c>
      <c r="L113" s="554">
        <v>0</v>
      </c>
      <c r="M113" s="554">
        <v>0</v>
      </c>
      <c r="N113" s="555"/>
      <c r="O113" s="555">
        <f t="shared" si="23"/>
        <v>0</v>
      </c>
      <c r="P113" s="555">
        <f t="shared" si="17"/>
        <v>0</v>
      </c>
      <c r="Q113" s="555"/>
      <c r="R113" s="556">
        <f t="shared" si="24"/>
        <v>0.16666666666666666</v>
      </c>
      <c r="S113" s="556">
        <f t="shared" si="25"/>
        <v>0.83333333333333337</v>
      </c>
      <c r="U113" s="537">
        <v>1</v>
      </c>
      <c r="V113" s="537">
        <v>1</v>
      </c>
      <c r="W113" s="537">
        <v>2</v>
      </c>
      <c r="X113" s="537">
        <v>1</v>
      </c>
      <c r="Y113" s="537">
        <v>7</v>
      </c>
      <c r="Z113" s="537">
        <v>0</v>
      </c>
      <c r="AA113" s="537">
        <v>0</v>
      </c>
      <c r="AB113" s="537">
        <v>12</v>
      </c>
      <c r="AC113" s="537">
        <f t="shared" si="18"/>
        <v>2</v>
      </c>
      <c r="AD113" s="537">
        <f t="shared" si="19"/>
        <v>2</v>
      </c>
      <c r="AE113" s="537">
        <f t="shared" si="20"/>
        <v>1</v>
      </c>
      <c r="AF113" s="537">
        <f t="shared" si="21"/>
        <v>7</v>
      </c>
      <c r="AG113" s="537">
        <f t="shared" si="22"/>
        <v>0</v>
      </c>
    </row>
    <row r="114" spans="1:33" x14ac:dyDescent="0.25">
      <c r="A114" s="557" t="s">
        <v>224</v>
      </c>
      <c r="B114" s="552" t="s">
        <v>225</v>
      </c>
      <c r="C114" s="558" t="s">
        <v>264</v>
      </c>
      <c r="D114" s="554">
        <v>0</v>
      </c>
      <c r="E114" s="554">
        <v>0</v>
      </c>
      <c r="F114" s="554">
        <v>0</v>
      </c>
      <c r="G114" s="554">
        <v>0</v>
      </c>
      <c r="H114" s="554">
        <v>0</v>
      </c>
      <c r="I114" s="554">
        <v>0</v>
      </c>
      <c r="J114" s="554">
        <v>0</v>
      </c>
      <c r="K114" s="554">
        <v>0</v>
      </c>
      <c r="L114" s="554">
        <v>0</v>
      </c>
      <c r="M114" s="554">
        <v>0</v>
      </c>
      <c r="N114" s="555"/>
      <c r="O114" s="555">
        <f t="shared" si="23"/>
        <v>0</v>
      </c>
      <c r="P114" s="555">
        <f t="shared" si="17"/>
        <v>0</v>
      </c>
      <c r="Q114" s="555"/>
      <c r="R114" s="556" t="str">
        <f t="shared" si="24"/>
        <v>N/A</v>
      </c>
      <c r="S114" s="556" t="str">
        <f t="shared" si="25"/>
        <v>N/A</v>
      </c>
      <c r="U114" s="537">
        <v>0</v>
      </c>
      <c r="V114" s="537">
        <v>0</v>
      </c>
      <c r="W114" s="537">
        <v>0</v>
      </c>
      <c r="X114" s="537">
        <v>0</v>
      </c>
      <c r="Y114" s="537">
        <v>0</v>
      </c>
      <c r="Z114" s="537">
        <v>0</v>
      </c>
      <c r="AA114" s="537">
        <v>0</v>
      </c>
      <c r="AB114" s="537">
        <v>0</v>
      </c>
      <c r="AC114" s="537">
        <f t="shared" si="18"/>
        <v>0</v>
      </c>
      <c r="AD114" s="537">
        <f t="shared" si="19"/>
        <v>0</v>
      </c>
      <c r="AE114" s="537">
        <f t="shared" si="20"/>
        <v>0</v>
      </c>
      <c r="AF114" s="537">
        <f t="shared" si="21"/>
        <v>0</v>
      </c>
      <c r="AG114" s="537">
        <f t="shared" si="22"/>
        <v>0</v>
      </c>
    </row>
    <row r="115" spans="1:33" x14ac:dyDescent="0.25">
      <c r="A115" s="551" t="s">
        <v>226</v>
      </c>
      <c r="B115" s="552" t="s">
        <v>227</v>
      </c>
      <c r="C115" s="558" t="s">
        <v>264</v>
      </c>
      <c r="D115" s="554">
        <v>6</v>
      </c>
      <c r="E115" s="554">
        <v>1</v>
      </c>
      <c r="F115" s="554">
        <v>2</v>
      </c>
      <c r="G115" s="554">
        <v>0</v>
      </c>
      <c r="H115" s="554">
        <v>0</v>
      </c>
      <c r="I115" s="554">
        <v>0</v>
      </c>
      <c r="J115" s="554">
        <v>0</v>
      </c>
      <c r="K115" s="554">
        <v>3</v>
      </c>
      <c r="L115" s="554">
        <v>0</v>
      </c>
      <c r="M115" s="554">
        <v>0</v>
      </c>
      <c r="N115" s="555"/>
      <c r="O115" s="555">
        <f t="shared" si="23"/>
        <v>3</v>
      </c>
      <c r="P115" s="555">
        <f t="shared" si="17"/>
        <v>0</v>
      </c>
      <c r="Q115" s="555"/>
      <c r="R115" s="556">
        <f t="shared" si="24"/>
        <v>0.16666666666666666</v>
      </c>
      <c r="S115" s="556">
        <f t="shared" si="25"/>
        <v>0.33333333333333331</v>
      </c>
      <c r="U115" s="537">
        <v>1</v>
      </c>
      <c r="V115" s="537">
        <v>2</v>
      </c>
      <c r="W115" s="537">
        <v>3</v>
      </c>
      <c r="X115" s="537">
        <v>0</v>
      </c>
      <c r="Y115" s="537">
        <v>0</v>
      </c>
      <c r="Z115" s="537">
        <v>0</v>
      </c>
      <c r="AA115" s="537">
        <v>0</v>
      </c>
      <c r="AB115" s="537">
        <v>6</v>
      </c>
      <c r="AC115" s="537">
        <f t="shared" si="18"/>
        <v>3</v>
      </c>
      <c r="AD115" s="537">
        <f t="shared" si="19"/>
        <v>3</v>
      </c>
      <c r="AE115" s="537">
        <f t="shared" si="20"/>
        <v>0</v>
      </c>
      <c r="AF115" s="537">
        <f t="shared" si="21"/>
        <v>0</v>
      </c>
      <c r="AG115" s="537">
        <f t="shared" si="22"/>
        <v>0</v>
      </c>
    </row>
    <row r="116" spans="1:33" x14ac:dyDescent="0.25">
      <c r="A116" s="551" t="s">
        <v>228</v>
      </c>
      <c r="B116" s="552" t="s">
        <v>229</v>
      </c>
      <c r="C116" s="558" t="s">
        <v>268</v>
      </c>
      <c r="D116" s="554">
        <v>54</v>
      </c>
      <c r="E116" s="554">
        <v>45</v>
      </c>
      <c r="F116" s="554">
        <v>1</v>
      </c>
      <c r="G116" s="554">
        <v>0</v>
      </c>
      <c r="H116" s="554">
        <v>0</v>
      </c>
      <c r="I116" s="554">
        <v>0</v>
      </c>
      <c r="J116" s="554">
        <v>3</v>
      </c>
      <c r="K116" s="554">
        <v>5</v>
      </c>
      <c r="L116" s="554">
        <v>0</v>
      </c>
      <c r="M116" s="554">
        <v>0</v>
      </c>
      <c r="N116" s="555"/>
      <c r="O116" s="555">
        <f t="shared" si="23"/>
        <v>8</v>
      </c>
      <c r="P116" s="555">
        <f t="shared" si="17"/>
        <v>0</v>
      </c>
      <c r="Q116" s="555"/>
      <c r="R116" s="556">
        <f t="shared" si="24"/>
        <v>0.83333333333333337</v>
      </c>
      <c r="S116" s="556">
        <f t="shared" si="25"/>
        <v>1.8518518518518517E-2</v>
      </c>
      <c r="U116" s="537">
        <v>3</v>
      </c>
      <c r="V116" s="537">
        <v>18</v>
      </c>
      <c r="W116" s="537">
        <v>6</v>
      </c>
      <c r="X116" s="537">
        <v>16</v>
      </c>
      <c r="Y116" s="537">
        <v>11</v>
      </c>
      <c r="Z116" s="537">
        <v>0</v>
      </c>
      <c r="AA116" s="537">
        <v>0</v>
      </c>
      <c r="AB116" s="537">
        <v>54</v>
      </c>
      <c r="AC116" s="537">
        <f t="shared" si="18"/>
        <v>21</v>
      </c>
      <c r="AD116" s="537">
        <f t="shared" si="19"/>
        <v>6</v>
      </c>
      <c r="AE116" s="537">
        <f t="shared" si="20"/>
        <v>16</v>
      </c>
      <c r="AF116" s="537">
        <f t="shared" si="21"/>
        <v>11</v>
      </c>
      <c r="AG116" s="537">
        <f t="shared" si="22"/>
        <v>0</v>
      </c>
    </row>
    <row r="117" spans="1:33" x14ac:dyDescent="0.25">
      <c r="A117" s="551" t="s">
        <v>230</v>
      </c>
      <c r="B117" s="552" t="s">
        <v>231</v>
      </c>
      <c r="C117" s="558" t="s">
        <v>264</v>
      </c>
      <c r="D117" s="554">
        <v>181</v>
      </c>
      <c r="E117" s="554">
        <v>79</v>
      </c>
      <c r="F117" s="554">
        <v>58</v>
      </c>
      <c r="G117" s="554">
        <v>5</v>
      </c>
      <c r="H117" s="554">
        <v>1</v>
      </c>
      <c r="I117" s="554">
        <v>0</v>
      </c>
      <c r="J117" s="554">
        <v>20</v>
      </c>
      <c r="K117" s="554">
        <v>18</v>
      </c>
      <c r="L117" s="554">
        <v>0</v>
      </c>
      <c r="M117" s="554">
        <v>0</v>
      </c>
      <c r="N117" s="555"/>
      <c r="O117" s="555">
        <f t="shared" si="23"/>
        <v>44</v>
      </c>
      <c r="P117" s="555">
        <f t="shared" si="17"/>
        <v>0</v>
      </c>
      <c r="Q117" s="555"/>
      <c r="R117" s="556">
        <f t="shared" si="24"/>
        <v>0.43646408839779005</v>
      </c>
      <c r="S117" s="556">
        <f t="shared" si="25"/>
        <v>0.32044198895027626</v>
      </c>
      <c r="U117" s="537">
        <v>8</v>
      </c>
      <c r="V117" s="537">
        <v>49</v>
      </c>
      <c r="W117" s="537">
        <v>28</v>
      </c>
      <c r="X117" s="537">
        <v>46</v>
      </c>
      <c r="Y117" s="537">
        <v>50</v>
      </c>
      <c r="Z117" s="537">
        <v>0</v>
      </c>
      <c r="AA117" s="537">
        <v>0</v>
      </c>
      <c r="AB117" s="537">
        <v>181</v>
      </c>
      <c r="AC117" s="537">
        <f t="shared" si="18"/>
        <v>57</v>
      </c>
      <c r="AD117" s="537">
        <f t="shared" si="19"/>
        <v>28</v>
      </c>
      <c r="AE117" s="537">
        <f t="shared" si="20"/>
        <v>46</v>
      </c>
      <c r="AF117" s="537">
        <f t="shared" si="21"/>
        <v>50</v>
      </c>
      <c r="AG117" s="537">
        <f t="shared" si="22"/>
        <v>0</v>
      </c>
    </row>
    <row r="118" spans="1:33" x14ac:dyDescent="0.25">
      <c r="A118" s="551" t="s">
        <v>232</v>
      </c>
      <c r="B118" s="552" t="s">
        <v>233</v>
      </c>
      <c r="C118" s="558" t="s">
        <v>267</v>
      </c>
      <c r="D118" s="554">
        <v>15</v>
      </c>
      <c r="E118" s="554">
        <v>7</v>
      </c>
      <c r="F118" s="554">
        <v>3</v>
      </c>
      <c r="G118" s="554">
        <v>0</v>
      </c>
      <c r="H118" s="554">
        <v>0</v>
      </c>
      <c r="I118" s="554">
        <v>0</v>
      </c>
      <c r="J118" s="554">
        <v>4</v>
      </c>
      <c r="K118" s="554">
        <v>1</v>
      </c>
      <c r="L118" s="554">
        <v>0</v>
      </c>
      <c r="M118" s="554">
        <v>0</v>
      </c>
      <c r="N118" s="555"/>
      <c r="O118" s="555">
        <f t="shared" si="23"/>
        <v>5</v>
      </c>
      <c r="P118" s="555">
        <f t="shared" si="17"/>
        <v>0</v>
      </c>
      <c r="Q118" s="555"/>
      <c r="R118" s="556">
        <f t="shared" si="24"/>
        <v>0.46666666666666667</v>
      </c>
      <c r="S118" s="556">
        <f t="shared" si="25"/>
        <v>0.2</v>
      </c>
      <c r="U118" s="537">
        <v>1</v>
      </c>
      <c r="V118" s="537">
        <v>5</v>
      </c>
      <c r="W118" s="537">
        <v>5</v>
      </c>
      <c r="X118" s="537">
        <v>3</v>
      </c>
      <c r="Y118" s="537">
        <v>1</v>
      </c>
      <c r="Z118" s="537">
        <v>0</v>
      </c>
      <c r="AA118" s="537">
        <v>0</v>
      </c>
      <c r="AB118" s="537">
        <v>15</v>
      </c>
      <c r="AC118" s="537">
        <f t="shared" si="18"/>
        <v>6</v>
      </c>
      <c r="AD118" s="537">
        <f t="shared" si="19"/>
        <v>5</v>
      </c>
      <c r="AE118" s="537">
        <f t="shared" si="20"/>
        <v>3</v>
      </c>
      <c r="AF118" s="537">
        <f t="shared" si="21"/>
        <v>1</v>
      </c>
      <c r="AG118" s="537">
        <f t="shared" si="22"/>
        <v>0</v>
      </c>
    </row>
    <row r="119" spans="1:33" x14ac:dyDescent="0.25">
      <c r="A119" s="551" t="s">
        <v>234</v>
      </c>
      <c r="B119" s="552" t="s">
        <v>235</v>
      </c>
      <c r="C119" s="558" t="s">
        <v>268</v>
      </c>
      <c r="D119" s="554">
        <v>48</v>
      </c>
      <c r="E119" s="554">
        <v>40</v>
      </c>
      <c r="F119" s="554">
        <v>0</v>
      </c>
      <c r="G119" s="554">
        <v>0</v>
      </c>
      <c r="H119" s="554">
        <v>0</v>
      </c>
      <c r="I119" s="554">
        <v>0</v>
      </c>
      <c r="J119" s="554">
        <v>2</v>
      </c>
      <c r="K119" s="554">
        <v>4</v>
      </c>
      <c r="L119" s="554">
        <v>2</v>
      </c>
      <c r="M119" s="554">
        <v>0</v>
      </c>
      <c r="N119" s="555"/>
      <c r="O119" s="555">
        <f t="shared" si="23"/>
        <v>6</v>
      </c>
      <c r="P119" s="555">
        <f t="shared" si="17"/>
        <v>2</v>
      </c>
      <c r="Q119" s="555"/>
      <c r="R119" s="556">
        <f t="shared" si="24"/>
        <v>0.83333333333333337</v>
      </c>
      <c r="S119" s="556">
        <f t="shared" si="25"/>
        <v>0</v>
      </c>
      <c r="U119" s="537">
        <v>0</v>
      </c>
      <c r="V119" s="537">
        <v>11</v>
      </c>
      <c r="W119" s="537">
        <v>15</v>
      </c>
      <c r="X119" s="537">
        <v>10</v>
      </c>
      <c r="Y119" s="537">
        <v>12</v>
      </c>
      <c r="Z119" s="537">
        <v>0</v>
      </c>
      <c r="AA119" s="537">
        <v>0</v>
      </c>
      <c r="AB119" s="537">
        <v>48</v>
      </c>
      <c r="AC119" s="537">
        <f t="shared" si="18"/>
        <v>11</v>
      </c>
      <c r="AD119" s="537">
        <f t="shared" si="19"/>
        <v>15</v>
      </c>
      <c r="AE119" s="537">
        <f t="shared" si="20"/>
        <v>10</v>
      </c>
      <c r="AF119" s="537">
        <f t="shared" si="21"/>
        <v>12</v>
      </c>
      <c r="AG119" s="537">
        <f t="shared" si="22"/>
        <v>0</v>
      </c>
    </row>
    <row r="120" spans="1:33" x14ac:dyDescent="0.25">
      <c r="A120" s="551" t="s">
        <v>236</v>
      </c>
      <c r="B120" s="552" t="s">
        <v>237</v>
      </c>
      <c r="C120" s="558" t="s">
        <v>266</v>
      </c>
      <c r="D120" s="554">
        <v>6</v>
      </c>
      <c r="E120" s="554">
        <v>3</v>
      </c>
      <c r="F120" s="554">
        <v>1</v>
      </c>
      <c r="G120" s="554">
        <v>0</v>
      </c>
      <c r="H120" s="554">
        <v>0</v>
      </c>
      <c r="I120" s="554">
        <v>0</v>
      </c>
      <c r="J120" s="554">
        <v>0</v>
      </c>
      <c r="K120" s="554">
        <v>2</v>
      </c>
      <c r="L120" s="554">
        <v>0</v>
      </c>
      <c r="M120" s="554">
        <v>0</v>
      </c>
      <c r="N120" s="555"/>
      <c r="O120" s="555">
        <f t="shared" si="23"/>
        <v>2</v>
      </c>
      <c r="P120" s="555">
        <f t="shared" si="17"/>
        <v>0</v>
      </c>
      <c r="Q120" s="555"/>
      <c r="R120" s="556">
        <f t="shared" si="24"/>
        <v>0.5</v>
      </c>
      <c r="S120" s="556">
        <f t="shared" si="25"/>
        <v>0.16666666666666666</v>
      </c>
      <c r="U120" s="537">
        <v>0</v>
      </c>
      <c r="V120" s="537">
        <v>1</v>
      </c>
      <c r="W120" s="537">
        <v>1</v>
      </c>
      <c r="X120" s="537">
        <v>4</v>
      </c>
      <c r="Y120" s="537">
        <v>0</v>
      </c>
      <c r="Z120" s="537">
        <v>0</v>
      </c>
      <c r="AA120" s="537">
        <v>0</v>
      </c>
      <c r="AB120" s="537">
        <v>6</v>
      </c>
      <c r="AC120" s="537">
        <f t="shared" si="18"/>
        <v>1</v>
      </c>
      <c r="AD120" s="537">
        <f t="shared" si="19"/>
        <v>1</v>
      </c>
      <c r="AE120" s="537">
        <f t="shared" si="20"/>
        <v>4</v>
      </c>
      <c r="AF120" s="537">
        <f t="shared" si="21"/>
        <v>0</v>
      </c>
      <c r="AG120" s="537">
        <f t="shared" si="22"/>
        <v>0</v>
      </c>
    </row>
    <row r="121" spans="1:33" x14ac:dyDescent="0.25">
      <c r="A121" s="551" t="s">
        <v>238</v>
      </c>
      <c r="B121" s="552" t="s">
        <v>239</v>
      </c>
      <c r="C121" s="558" t="s">
        <v>264</v>
      </c>
      <c r="D121" s="554">
        <v>4</v>
      </c>
      <c r="E121" s="554">
        <v>1</v>
      </c>
      <c r="F121" s="554">
        <v>2</v>
      </c>
      <c r="G121" s="554">
        <v>0</v>
      </c>
      <c r="H121" s="554">
        <v>0</v>
      </c>
      <c r="I121" s="554">
        <v>0</v>
      </c>
      <c r="J121" s="554">
        <v>0</v>
      </c>
      <c r="K121" s="554">
        <v>1</v>
      </c>
      <c r="L121" s="554">
        <v>0</v>
      </c>
      <c r="M121" s="554">
        <v>0</v>
      </c>
      <c r="N121" s="555"/>
      <c r="O121" s="555">
        <f t="shared" si="23"/>
        <v>1</v>
      </c>
      <c r="P121" s="555">
        <f t="shared" si="17"/>
        <v>0</v>
      </c>
      <c r="Q121" s="555"/>
      <c r="R121" s="556">
        <f t="shared" si="24"/>
        <v>0.25</v>
      </c>
      <c r="S121" s="556">
        <f t="shared" si="25"/>
        <v>0.5</v>
      </c>
      <c r="U121" s="537">
        <v>0</v>
      </c>
      <c r="V121" s="537">
        <v>2</v>
      </c>
      <c r="W121" s="537">
        <v>0</v>
      </c>
      <c r="X121" s="537">
        <v>1</v>
      </c>
      <c r="Y121" s="537">
        <v>1</v>
      </c>
      <c r="Z121" s="537">
        <v>0</v>
      </c>
      <c r="AA121" s="537">
        <v>0</v>
      </c>
      <c r="AB121" s="537">
        <v>4</v>
      </c>
      <c r="AC121" s="537">
        <f t="shared" si="18"/>
        <v>2</v>
      </c>
      <c r="AD121" s="537">
        <f t="shared" si="19"/>
        <v>0</v>
      </c>
      <c r="AE121" s="537">
        <f t="shared" si="20"/>
        <v>1</v>
      </c>
      <c r="AF121" s="537">
        <f t="shared" si="21"/>
        <v>1</v>
      </c>
      <c r="AG121" s="537">
        <f t="shared" si="22"/>
        <v>0</v>
      </c>
    </row>
    <row r="122" spans="1:33" x14ac:dyDescent="0.25">
      <c r="A122" s="985" t="s">
        <v>240</v>
      </c>
      <c r="B122" s="986" t="s">
        <v>241</v>
      </c>
      <c r="C122" s="558" t="s">
        <v>267</v>
      </c>
      <c r="D122" s="987">
        <v>52</v>
      </c>
      <c r="E122" s="987">
        <v>34</v>
      </c>
      <c r="F122" s="987">
        <v>2</v>
      </c>
      <c r="G122" s="987">
        <v>0</v>
      </c>
      <c r="H122" s="987">
        <v>0</v>
      </c>
      <c r="I122" s="987">
        <v>0</v>
      </c>
      <c r="J122" s="987">
        <v>3</v>
      </c>
      <c r="K122" s="987">
        <v>10</v>
      </c>
      <c r="L122" s="987">
        <v>2</v>
      </c>
      <c r="M122" s="987">
        <v>1</v>
      </c>
      <c r="N122" s="988"/>
      <c r="O122" s="555">
        <f t="shared" si="23"/>
        <v>13</v>
      </c>
      <c r="P122" s="555">
        <f t="shared" si="17"/>
        <v>3</v>
      </c>
      <c r="Q122" s="988"/>
      <c r="R122" s="556">
        <f t="shared" si="24"/>
        <v>0.65384615384615385</v>
      </c>
      <c r="S122" s="556">
        <f t="shared" si="25"/>
        <v>3.8461538461538464E-2</v>
      </c>
      <c r="U122" s="537">
        <v>4</v>
      </c>
      <c r="V122" s="537">
        <v>25</v>
      </c>
      <c r="W122" s="537">
        <v>7</v>
      </c>
      <c r="X122" s="537">
        <v>12</v>
      </c>
      <c r="Y122" s="537">
        <v>4</v>
      </c>
      <c r="Z122" s="537">
        <v>0</v>
      </c>
      <c r="AA122" s="537">
        <v>0</v>
      </c>
      <c r="AB122" s="537">
        <v>52</v>
      </c>
      <c r="AC122" s="537">
        <f t="shared" si="18"/>
        <v>29</v>
      </c>
      <c r="AD122" s="537">
        <f t="shared" si="19"/>
        <v>7</v>
      </c>
      <c r="AE122" s="537">
        <f t="shared" si="20"/>
        <v>12</v>
      </c>
      <c r="AF122" s="537">
        <f t="shared" si="21"/>
        <v>4</v>
      </c>
      <c r="AG122" s="537">
        <f t="shared" si="22"/>
        <v>0</v>
      </c>
    </row>
    <row r="123" spans="1:33" x14ac:dyDescent="0.25">
      <c r="A123" s="551" t="s">
        <v>242</v>
      </c>
      <c r="B123" s="552" t="s">
        <v>243</v>
      </c>
      <c r="C123" s="558" t="s">
        <v>268</v>
      </c>
      <c r="D123" s="554">
        <v>101</v>
      </c>
      <c r="E123" s="554">
        <v>91</v>
      </c>
      <c r="F123" s="554">
        <v>2</v>
      </c>
      <c r="G123" s="554">
        <v>0</v>
      </c>
      <c r="H123" s="554">
        <v>0</v>
      </c>
      <c r="I123" s="554">
        <v>0</v>
      </c>
      <c r="J123" s="554">
        <v>3</v>
      </c>
      <c r="K123" s="554">
        <v>5</v>
      </c>
      <c r="L123" s="554">
        <v>0</v>
      </c>
      <c r="M123" s="554">
        <v>0</v>
      </c>
      <c r="N123" s="555"/>
      <c r="O123" s="555">
        <f t="shared" si="23"/>
        <v>8</v>
      </c>
      <c r="P123" s="555">
        <f t="shared" si="17"/>
        <v>0</v>
      </c>
      <c r="Q123" s="555"/>
      <c r="R123" s="556">
        <f t="shared" si="24"/>
        <v>0.90099009900990101</v>
      </c>
      <c r="S123" s="556">
        <f t="shared" si="25"/>
        <v>1.9801980198019802E-2</v>
      </c>
      <c r="U123" s="537">
        <v>4</v>
      </c>
      <c r="V123" s="537">
        <v>39</v>
      </c>
      <c r="W123" s="537">
        <v>15</v>
      </c>
      <c r="X123" s="537">
        <v>23</v>
      </c>
      <c r="Y123" s="537">
        <v>20</v>
      </c>
      <c r="Z123" s="537">
        <v>0</v>
      </c>
      <c r="AA123" s="537">
        <v>0</v>
      </c>
      <c r="AB123" s="537">
        <v>101</v>
      </c>
      <c r="AC123" s="537">
        <f t="shared" si="18"/>
        <v>43</v>
      </c>
      <c r="AD123" s="537">
        <f t="shared" si="19"/>
        <v>15</v>
      </c>
      <c r="AE123" s="537">
        <f t="shared" si="20"/>
        <v>23</v>
      </c>
      <c r="AF123" s="537">
        <f t="shared" si="21"/>
        <v>20</v>
      </c>
      <c r="AG123" s="537">
        <f t="shared" si="22"/>
        <v>0</v>
      </c>
    </row>
    <row r="124" spans="1:33" x14ac:dyDescent="0.25">
      <c r="A124" s="551" t="s">
        <v>244</v>
      </c>
      <c r="B124" s="552" t="s">
        <v>245</v>
      </c>
      <c r="C124" s="558" t="s">
        <v>268</v>
      </c>
      <c r="D124" s="554">
        <v>40</v>
      </c>
      <c r="E124" s="554">
        <v>30</v>
      </c>
      <c r="F124" s="554">
        <v>0</v>
      </c>
      <c r="G124" s="554">
        <v>0</v>
      </c>
      <c r="H124" s="554">
        <v>0</v>
      </c>
      <c r="I124" s="554">
        <v>0</v>
      </c>
      <c r="J124" s="554">
        <v>9</v>
      </c>
      <c r="K124" s="554">
        <v>0</v>
      </c>
      <c r="L124" s="554">
        <v>1</v>
      </c>
      <c r="M124" s="554">
        <v>0</v>
      </c>
      <c r="N124" s="555"/>
      <c r="O124" s="555">
        <f t="shared" si="23"/>
        <v>9</v>
      </c>
      <c r="P124" s="555">
        <f t="shared" si="17"/>
        <v>1</v>
      </c>
      <c r="Q124" s="555"/>
      <c r="R124" s="556">
        <f t="shared" si="24"/>
        <v>0.75</v>
      </c>
      <c r="S124" s="556">
        <f t="shared" si="25"/>
        <v>0</v>
      </c>
      <c r="U124" s="537">
        <v>0</v>
      </c>
      <c r="V124" s="537">
        <v>8</v>
      </c>
      <c r="W124" s="537">
        <v>9</v>
      </c>
      <c r="X124" s="537">
        <v>16</v>
      </c>
      <c r="Y124" s="537">
        <v>7</v>
      </c>
      <c r="Z124" s="537">
        <v>0</v>
      </c>
      <c r="AA124" s="537">
        <v>0</v>
      </c>
      <c r="AB124" s="537">
        <v>40</v>
      </c>
      <c r="AC124" s="537">
        <f t="shared" si="18"/>
        <v>8</v>
      </c>
      <c r="AD124" s="537">
        <f t="shared" si="19"/>
        <v>9</v>
      </c>
      <c r="AE124" s="537">
        <f t="shared" si="20"/>
        <v>16</v>
      </c>
      <c r="AF124" s="537">
        <f t="shared" si="21"/>
        <v>7</v>
      </c>
      <c r="AG124" s="537">
        <f t="shared" si="22"/>
        <v>0</v>
      </c>
    </row>
    <row r="125" spans="1:33" x14ac:dyDescent="0.25">
      <c r="A125" s="559" t="s">
        <v>246</v>
      </c>
      <c r="B125" s="560" t="s">
        <v>247</v>
      </c>
      <c r="C125" s="566" t="s">
        <v>264</v>
      </c>
      <c r="D125" s="990">
        <v>10</v>
      </c>
      <c r="E125" s="990">
        <v>8</v>
      </c>
      <c r="F125" s="990">
        <v>2</v>
      </c>
      <c r="G125" s="990">
        <v>0</v>
      </c>
      <c r="H125" s="1463">
        <v>0</v>
      </c>
      <c r="I125" s="990">
        <v>0</v>
      </c>
      <c r="J125" s="990">
        <v>0</v>
      </c>
      <c r="K125" s="990">
        <v>0</v>
      </c>
      <c r="L125" s="990">
        <v>0</v>
      </c>
      <c r="M125" s="1463">
        <v>0</v>
      </c>
      <c r="N125" s="561"/>
      <c r="O125" s="2268">
        <f t="shared" si="23"/>
        <v>0</v>
      </c>
      <c r="P125" s="2268">
        <f t="shared" si="17"/>
        <v>0</v>
      </c>
      <c r="Q125" s="988"/>
      <c r="R125" s="556">
        <f t="shared" si="24"/>
        <v>0.8</v>
      </c>
      <c r="S125" s="556">
        <f t="shared" si="25"/>
        <v>0.2</v>
      </c>
      <c r="U125" s="537">
        <v>0</v>
      </c>
      <c r="V125" s="537">
        <v>1</v>
      </c>
      <c r="W125" s="537">
        <v>1</v>
      </c>
      <c r="X125" s="537">
        <v>3</v>
      </c>
      <c r="Y125" s="537">
        <v>5</v>
      </c>
      <c r="Z125" s="537">
        <v>0</v>
      </c>
      <c r="AA125" s="537">
        <v>0</v>
      </c>
      <c r="AB125" s="537">
        <v>10</v>
      </c>
      <c r="AC125" s="537">
        <f t="shared" si="18"/>
        <v>1</v>
      </c>
      <c r="AD125" s="537">
        <f t="shared" si="19"/>
        <v>1</v>
      </c>
      <c r="AE125" s="537">
        <f t="shared" si="20"/>
        <v>3</v>
      </c>
      <c r="AF125" s="537">
        <f t="shared" si="21"/>
        <v>5</v>
      </c>
      <c r="AG125" s="537">
        <f t="shared" si="22"/>
        <v>0</v>
      </c>
    </row>
    <row r="127" spans="1:33" ht="31.5" customHeight="1" x14ac:dyDescent="0.25">
      <c r="A127" s="2758" t="s">
        <v>1329</v>
      </c>
      <c r="B127" s="2758"/>
      <c r="C127" s="2758"/>
      <c r="D127" s="2758"/>
      <c r="E127" s="2758"/>
      <c r="F127" s="2758"/>
      <c r="G127" s="2758"/>
      <c r="H127" s="2758"/>
      <c r="I127" s="2758"/>
      <c r="J127" s="2758"/>
      <c r="K127" s="2758"/>
      <c r="L127" s="2758"/>
      <c r="M127" s="2758"/>
      <c r="N127" s="2758"/>
      <c r="O127" s="2758"/>
      <c r="P127" s="2758"/>
      <c r="Q127" s="2758"/>
      <c r="R127" s="2758"/>
      <c r="S127" s="2758"/>
    </row>
    <row r="128" spans="1:33" ht="15" customHeight="1" x14ac:dyDescent="0.25">
      <c r="A128" s="565"/>
      <c r="B128" s="565"/>
      <c r="C128" s="565"/>
      <c r="D128" s="565"/>
      <c r="E128" s="565"/>
      <c r="F128" s="565"/>
      <c r="G128" s="982"/>
      <c r="H128" s="1457"/>
      <c r="I128" s="982"/>
      <c r="J128" s="983"/>
      <c r="K128" s="983"/>
      <c r="L128" s="565"/>
      <c r="M128" s="2251"/>
      <c r="N128" s="565"/>
      <c r="O128" s="982"/>
      <c r="P128" s="2251"/>
      <c r="Q128" s="982"/>
      <c r="R128" s="565"/>
      <c r="S128" s="565"/>
    </row>
    <row r="129" spans="1:19" ht="15" customHeight="1" x14ac:dyDescent="0.25">
      <c r="A129" s="2759" t="s">
        <v>248</v>
      </c>
      <c r="B129" s="2759"/>
      <c r="C129" s="2759"/>
      <c r="D129" s="2759"/>
      <c r="E129" s="2759"/>
      <c r="F129" s="2759"/>
      <c r="G129" s="2759"/>
      <c r="H129" s="2759"/>
      <c r="I129" s="2759"/>
      <c r="J129" s="2759"/>
      <c r="K129" s="2759"/>
      <c r="L129" s="2759"/>
      <c r="M129" s="2759"/>
      <c r="N129" s="2759"/>
      <c r="O129" s="2759"/>
      <c r="P129" s="2759"/>
      <c r="Q129" s="2759"/>
      <c r="R129" s="2759"/>
      <c r="S129" s="2759"/>
    </row>
    <row r="130" spans="1:19" ht="15" customHeight="1" x14ac:dyDescent="0.25">
      <c r="A130" s="562" t="s">
        <v>249</v>
      </c>
      <c r="B130" s="563" t="s">
        <v>250</v>
      </c>
      <c r="C130" s="563"/>
      <c r="D130" s="564"/>
      <c r="E130" s="564"/>
      <c r="F130" s="564"/>
      <c r="G130" s="564"/>
      <c r="H130" s="564"/>
      <c r="I130" s="564"/>
      <c r="J130" s="564"/>
      <c r="K130" s="564"/>
      <c r="L130" s="564"/>
      <c r="M130" s="564"/>
      <c r="N130" s="564"/>
      <c r="O130" s="564"/>
      <c r="P130" s="564"/>
      <c r="Q130" s="564"/>
      <c r="R130" s="564"/>
      <c r="S130" s="564"/>
    </row>
  </sheetData>
  <autoFilter ref="A4:C4"/>
  <sortState ref="A6:W125">
    <sortCondition ref="B6:B125"/>
  </sortState>
  <mergeCells count="4">
    <mergeCell ref="R3:S3"/>
    <mergeCell ref="A127:S127"/>
    <mergeCell ref="A129:S129"/>
    <mergeCell ref="D3:M3"/>
  </mergeCells>
  <hyperlinks>
    <hyperlink ref="B130" r:id="rId1"/>
  </hyperlinks>
  <pageMargins left="1" right="0" top="0.4" bottom="0.45" header="0.3" footer="0.3"/>
  <pageSetup orientation="portrait" r:id="rId2"/>
  <headerFooter>
    <oddFooter>&amp;C&amp;"Courier New,Regular"&amp;10&amp;P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workbookViewId="0">
      <pane ySplit="4" topLeftCell="A5" activePane="bottomLeft" state="frozen"/>
      <selection pane="bottomLeft" sqref="A1:IV65536"/>
    </sheetView>
  </sheetViews>
  <sheetFormatPr defaultRowHeight="15.75" x14ac:dyDescent="0.25"/>
  <cols>
    <col min="1" max="1" width="11" style="369" customWidth="1"/>
    <col min="2" max="2" width="25.625" style="369" bestFit="1" customWidth="1"/>
    <col min="3" max="3" width="14.25" style="369" customWidth="1"/>
    <col min="4" max="7" width="7.5" style="369" customWidth="1"/>
    <col min="8" max="11" width="12.25" style="369" customWidth="1"/>
    <col min="12" max="16384" width="9" style="369"/>
  </cols>
  <sheetData>
    <row r="1" spans="1:12" x14ac:dyDescent="0.25">
      <c r="A1" s="190" t="s">
        <v>764</v>
      </c>
    </row>
    <row r="3" spans="1:12" ht="32.25" customHeight="1" x14ac:dyDescent="0.25">
      <c r="A3" s="614" t="s">
        <v>4</v>
      </c>
      <c r="B3" s="615" t="s">
        <v>5</v>
      </c>
      <c r="C3" s="616" t="s">
        <v>251</v>
      </c>
      <c r="D3" s="617" t="s">
        <v>281</v>
      </c>
      <c r="E3" s="618" t="s">
        <v>2</v>
      </c>
      <c r="F3" s="619" t="s">
        <v>445</v>
      </c>
      <c r="G3" s="619" t="s">
        <v>446</v>
      </c>
      <c r="H3" s="620"/>
      <c r="I3" s="620"/>
      <c r="J3" s="620"/>
      <c r="K3" s="620"/>
    </row>
    <row r="4" spans="1:12" x14ac:dyDescent="0.25">
      <c r="A4" s="621">
        <v>999</v>
      </c>
      <c r="B4" s="622" t="s">
        <v>9</v>
      </c>
      <c r="C4" s="622"/>
      <c r="D4" s="623">
        <f>SUM(D5:D124)</f>
        <v>639</v>
      </c>
      <c r="E4" s="623">
        <f>SUM(E5:E124)</f>
        <v>314</v>
      </c>
      <c r="F4" s="623">
        <f>SUM(F5:F124)</f>
        <v>201</v>
      </c>
      <c r="G4" s="623">
        <f>SUM(G5:G124)</f>
        <v>124</v>
      </c>
      <c r="H4" s="620"/>
      <c r="I4" s="620"/>
      <c r="J4" s="620"/>
      <c r="K4" s="620"/>
    </row>
    <row r="5" spans="1:12" ht="16.5" customHeight="1" x14ac:dyDescent="0.25">
      <c r="A5" s="624" t="s">
        <v>10</v>
      </c>
      <c r="B5" s="625" t="s">
        <v>11</v>
      </c>
      <c r="C5" s="553" t="s">
        <v>264</v>
      </c>
      <c r="D5" s="626">
        <v>1</v>
      </c>
      <c r="E5" s="627">
        <v>0</v>
      </c>
      <c r="F5" s="628">
        <v>1</v>
      </c>
      <c r="G5" s="628">
        <v>0</v>
      </c>
      <c r="H5" s="629"/>
      <c r="I5" s="630"/>
      <c r="J5" s="629"/>
      <c r="K5" s="629"/>
      <c r="L5" s="629"/>
    </row>
    <row r="6" spans="1:12" ht="16.5" customHeight="1" x14ac:dyDescent="0.25">
      <c r="A6" s="624" t="s">
        <v>12</v>
      </c>
      <c r="B6" s="625" t="s">
        <v>13</v>
      </c>
      <c r="C6" s="553" t="s">
        <v>265</v>
      </c>
      <c r="D6" s="626">
        <v>2</v>
      </c>
      <c r="E6" s="627">
        <v>0</v>
      </c>
      <c r="F6" s="628">
        <v>2</v>
      </c>
      <c r="G6" s="628">
        <v>0</v>
      </c>
      <c r="H6" s="629"/>
      <c r="I6" s="631"/>
      <c r="J6" s="629"/>
      <c r="K6" s="629"/>
      <c r="L6" s="629"/>
    </row>
    <row r="7" spans="1:12" ht="16.5" customHeight="1" x14ac:dyDescent="0.25">
      <c r="A7" s="624" t="s">
        <v>16</v>
      </c>
      <c r="B7" s="625" t="s">
        <v>297</v>
      </c>
      <c r="C7" s="553" t="s">
        <v>265</v>
      </c>
      <c r="D7" s="626">
        <v>5</v>
      </c>
      <c r="E7" s="627">
        <v>1</v>
      </c>
      <c r="F7" s="628">
        <v>3</v>
      </c>
      <c r="G7" s="628">
        <v>1</v>
      </c>
      <c r="H7" s="629"/>
      <c r="I7" s="631"/>
      <c r="J7" s="629"/>
      <c r="K7" s="632"/>
      <c r="L7" s="629"/>
    </row>
    <row r="8" spans="1:12" ht="16.5" customHeight="1" x14ac:dyDescent="0.25">
      <c r="A8" s="624" t="s">
        <v>18</v>
      </c>
      <c r="B8" s="625" t="s">
        <v>19</v>
      </c>
      <c r="C8" s="553" t="s">
        <v>266</v>
      </c>
      <c r="D8" s="626">
        <v>0</v>
      </c>
      <c r="E8" s="627">
        <v>0</v>
      </c>
      <c r="F8" s="628">
        <v>0</v>
      </c>
      <c r="G8" s="628">
        <v>0</v>
      </c>
      <c r="H8" s="629"/>
      <c r="I8" s="632"/>
      <c r="J8" s="629"/>
      <c r="K8" s="629"/>
      <c r="L8" s="629"/>
    </row>
    <row r="9" spans="1:12" ht="16.5" customHeight="1" x14ac:dyDescent="0.25">
      <c r="A9" s="624" t="s">
        <v>20</v>
      </c>
      <c r="B9" s="625" t="s">
        <v>21</v>
      </c>
      <c r="C9" s="553" t="s">
        <v>265</v>
      </c>
      <c r="D9" s="626">
        <v>0</v>
      </c>
      <c r="E9" s="627">
        <v>0</v>
      </c>
      <c r="F9" s="628">
        <v>0</v>
      </c>
      <c r="G9" s="628">
        <v>0</v>
      </c>
      <c r="H9" s="629"/>
      <c r="I9" s="633"/>
      <c r="J9" s="629"/>
      <c r="K9" s="629"/>
      <c r="L9" s="629"/>
    </row>
    <row r="10" spans="1:12" ht="16.5" customHeight="1" x14ac:dyDescent="0.25">
      <c r="A10" s="624" t="s">
        <v>22</v>
      </c>
      <c r="B10" s="625" t="s">
        <v>23</v>
      </c>
      <c r="C10" s="553" t="s">
        <v>265</v>
      </c>
      <c r="D10" s="626">
        <v>0</v>
      </c>
      <c r="E10" s="627">
        <v>0</v>
      </c>
      <c r="F10" s="628">
        <v>0</v>
      </c>
      <c r="G10" s="634">
        <v>0</v>
      </c>
      <c r="H10" s="629"/>
      <c r="I10" s="632"/>
      <c r="J10" s="629"/>
      <c r="K10" s="629"/>
      <c r="L10" s="629"/>
    </row>
    <row r="11" spans="1:12" ht="16.5" customHeight="1" x14ac:dyDescent="0.25">
      <c r="A11" s="624" t="s">
        <v>24</v>
      </c>
      <c r="B11" s="625" t="s">
        <v>25</v>
      </c>
      <c r="C11" s="553" t="s">
        <v>267</v>
      </c>
      <c r="D11" s="626">
        <v>12</v>
      </c>
      <c r="E11" s="627">
        <v>0</v>
      </c>
      <c r="F11" s="628">
        <v>6</v>
      </c>
      <c r="G11" s="628">
        <v>6</v>
      </c>
      <c r="H11" s="629"/>
      <c r="I11" s="633"/>
      <c r="J11" s="629"/>
      <c r="K11" s="633"/>
      <c r="L11" s="629"/>
    </row>
    <row r="12" spans="1:12" ht="16.5" customHeight="1" x14ac:dyDescent="0.25">
      <c r="A12" s="624" t="s">
        <v>26</v>
      </c>
      <c r="B12" s="625" t="s">
        <v>685</v>
      </c>
      <c r="C12" s="553" t="s">
        <v>265</v>
      </c>
      <c r="D12" s="626">
        <v>18</v>
      </c>
      <c r="E12" s="627">
        <v>14</v>
      </c>
      <c r="F12" s="628">
        <v>2</v>
      </c>
      <c r="G12" s="628">
        <v>2</v>
      </c>
      <c r="H12" s="629"/>
      <c r="I12" s="631"/>
      <c r="J12" s="629"/>
      <c r="K12" s="632"/>
      <c r="L12" s="629"/>
    </row>
    <row r="13" spans="1:12" ht="16.5" customHeight="1" x14ac:dyDescent="0.25">
      <c r="A13" s="624" t="s">
        <v>27</v>
      </c>
      <c r="B13" s="625" t="s">
        <v>28</v>
      </c>
      <c r="C13" s="558" t="s">
        <v>265</v>
      </c>
      <c r="D13" s="626">
        <v>0</v>
      </c>
      <c r="E13" s="635">
        <v>0</v>
      </c>
      <c r="F13" s="634">
        <v>0</v>
      </c>
      <c r="G13" s="634">
        <v>0</v>
      </c>
      <c r="H13" s="629"/>
      <c r="I13" s="631"/>
      <c r="J13" s="629"/>
      <c r="K13" s="629"/>
      <c r="L13" s="629"/>
    </row>
    <row r="14" spans="1:12" ht="16.5" customHeight="1" x14ac:dyDescent="0.25">
      <c r="A14" s="624" t="s">
        <v>29</v>
      </c>
      <c r="B14" s="625" t="s">
        <v>307</v>
      </c>
      <c r="C14" s="558" t="s">
        <v>265</v>
      </c>
      <c r="D14" s="626">
        <v>4</v>
      </c>
      <c r="E14" s="627">
        <v>3</v>
      </c>
      <c r="F14" s="628">
        <v>1</v>
      </c>
      <c r="G14" s="628">
        <v>0</v>
      </c>
      <c r="H14" s="636"/>
      <c r="I14" s="631"/>
      <c r="J14" s="629"/>
      <c r="K14" s="629"/>
      <c r="L14" s="629"/>
    </row>
    <row r="15" spans="1:12" ht="16.5" customHeight="1" x14ac:dyDescent="0.25">
      <c r="A15" s="624" t="s">
        <v>30</v>
      </c>
      <c r="B15" s="625" t="s">
        <v>31</v>
      </c>
      <c r="C15" s="558" t="s">
        <v>268</v>
      </c>
      <c r="D15" s="626">
        <v>4</v>
      </c>
      <c r="E15" s="627">
        <v>4</v>
      </c>
      <c r="F15" s="628">
        <v>0</v>
      </c>
      <c r="G15" s="634">
        <v>0</v>
      </c>
      <c r="H15" s="632"/>
      <c r="I15" s="631"/>
      <c r="J15" s="629"/>
      <c r="K15" s="629"/>
      <c r="L15" s="629"/>
    </row>
    <row r="16" spans="1:12" ht="16.5" customHeight="1" x14ac:dyDescent="0.25">
      <c r="A16" s="624" t="s">
        <v>32</v>
      </c>
      <c r="B16" s="625" t="s">
        <v>33</v>
      </c>
      <c r="C16" s="558" t="s">
        <v>265</v>
      </c>
      <c r="D16" s="626">
        <v>0</v>
      </c>
      <c r="E16" s="627">
        <v>0</v>
      </c>
      <c r="F16" s="628">
        <v>0</v>
      </c>
      <c r="G16" s="628">
        <v>0</v>
      </c>
      <c r="H16" s="629"/>
      <c r="I16" s="632"/>
      <c r="J16" s="629"/>
      <c r="K16" s="629"/>
      <c r="L16" s="629"/>
    </row>
    <row r="17" spans="1:12" ht="16.5" customHeight="1" x14ac:dyDescent="0.25">
      <c r="A17" s="624" t="s">
        <v>36</v>
      </c>
      <c r="B17" s="625" t="s">
        <v>37</v>
      </c>
      <c r="C17" s="558" t="s">
        <v>264</v>
      </c>
      <c r="D17" s="626">
        <v>0</v>
      </c>
      <c r="E17" s="627">
        <v>0</v>
      </c>
      <c r="F17" s="628">
        <v>0</v>
      </c>
      <c r="G17" s="634">
        <v>0</v>
      </c>
      <c r="H17" s="629"/>
      <c r="I17" s="629"/>
      <c r="J17" s="629"/>
      <c r="K17" s="629"/>
      <c r="L17" s="629"/>
    </row>
    <row r="18" spans="1:12" ht="16.5" customHeight="1" x14ac:dyDescent="0.25">
      <c r="A18" s="624" t="s">
        <v>38</v>
      </c>
      <c r="B18" s="625" t="s">
        <v>39</v>
      </c>
      <c r="C18" s="558" t="s">
        <v>268</v>
      </c>
      <c r="D18" s="626">
        <v>9</v>
      </c>
      <c r="E18" s="627">
        <v>8</v>
      </c>
      <c r="F18" s="628">
        <v>0</v>
      </c>
      <c r="G18" s="628">
        <v>1</v>
      </c>
      <c r="H18" s="629"/>
      <c r="I18" s="631"/>
      <c r="J18" s="629"/>
      <c r="K18" s="629"/>
      <c r="L18" s="629"/>
    </row>
    <row r="19" spans="1:12" ht="16.5" customHeight="1" x14ac:dyDescent="0.25">
      <c r="A19" s="624" t="s">
        <v>40</v>
      </c>
      <c r="B19" s="625" t="s">
        <v>41</v>
      </c>
      <c r="C19" s="558" t="s">
        <v>266</v>
      </c>
      <c r="D19" s="626">
        <v>1</v>
      </c>
      <c r="E19" s="627">
        <v>0</v>
      </c>
      <c r="F19" s="628">
        <v>1</v>
      </c>
      <c r="G19" s="628">
        <v>0</v>
      </c>
      <c r="H19" s="629"/>
      <c r="I19" s="629"/>
      <c r="J19" s="629"/>
      <c r="K19" s="629"/>
      <c r="L19" s="629"/>
    </row>
    <row r="20" spans="1:12" ht="16.5" customHeight="1" x14ac:dyDescent="0.25">
      <c r="A20" s="624" t="s">
        <v>42</v>
      </c>
      <c r="B20" s="625" t="s">
        <v>43</v>
      </c>
      <c r="C20" s="558" t="s">
        <v>265</v>
      </c>
      <c r="D20" s="626">
        <v>5</v>
      </c>
      <c r="E20" s="627">
        <v>5</v>
      </c>
      <c r="F20" s="628">
        <v>0</v>
      </c>
      <c r="G20" s="628">
        <v>0</v>
      </c>
      <c r="H20" s="636"/>
      <c r="I20" s="631"/>
      <c r="J20" s="629"/>
      <c r="K20" s="629"/>
      <c r="L20" s="629"/>
    </row>
    <row r="21" spans="1:12" ht="16.5" customHeight="1" x14ac:dyDescent="0.25">
      <c r="A21" s="624" t="s">
        <v>44</v>
      </c>
      <c r="B21" s="625" t="s">
        <v>45</v>
      </c>
      <c r="C21" s="558" t="s">
        <v>266</v>
      </c>
      <c r="D21" s="626">
        <v>0</v>
      </c>
      <c r="E21" s="627">
        <v>0</v>
      </c>
      <c r="F21" s="628">
        <v>0</v>
      </c>
      <c r="G21" s="628">
        <v>0</v>
      </c>
      <c r="H21" s="629"/>
      <c r="I21" s="633"/>
      <c r="J21" s="629"/>
      <c r="K21" s="629"/>
      <c r="L21" s="629"/>
    </row>
    <row r="22" spans="1:12" ht="16.5" customHeight="1" x14ac:dyDescent="0.25">
      <c r="A22" s="624" t="s">
        <v>46</v>
      </c>
      <c r="B22" s="625" t="s">
        <v>47</v>
      </c>
      <c r="C22" s="558" t="s">
        <v>268</v>
      </c>
      <c r="D22" s="626">
        <v>5</v>
      </c>
      <c r="E22" s="627">
        <v>5</v>
      </c>
      <c r="F22" s="628">
        <v>0</v>
      </c>
      <c r="G22" s="634">
        <v>0</v>
      </c>
      <c r="H22" s="632"/>
      <c r="I22" s="631"/>
      <c r="J22" s="629"/>
      <c r="K22" s="629"/>
      <c r="L22" s="629"/>
    </row>
    <row r="23" spans="1:12" ht="16.5" customHeight="1" x14ac:dyDescent="0.25">
      <c r="A23" s="624" t="s">
        <v>48</v>
      </c>
      <c r="B23" s="625" t="s">
        <v>269</v>
      </c>
      <c r="C23" s="558" t="s">
        <v>266</v>
      </c>
      <c r="D23" s="626">
        <v>0</v>
      </c>
      <c r="E23" s="635">
        <v>0</v>
      </c>
      <c r="F23" s="634">
        <v>0</v>
      </c>
      <c r="G23" s="628">
        <v>0</v>
      </c>
      <c r="H23" s="629"/>
      <c r="I23" s="632"/>
      <c r="J23" s="629"/>
      <c r="K23" s="629"/>
      <c r="L23" s="629"/>
    </row>
    <row r="24" spans="1:12" ht="16.5" customHeight="1" x14ac:dyDescent="0.25">
      <c r="A24" s="624" t="s">
        <v>50</v>
      </c>
      <c r="B24" s="625" t="s">
        <v>51</v>
      </c>
      <c r="C24" s="558" t="s">
        <v>265</v>
      </c>
      <c r="D24" s="626">
        <v>2</v>
      </c>
      <c r="E24" s="627">
        <v>1</v>
      </c>
      <c r="F24" s="628">
        <v>0</v>
      </c>
      <c r="G24" s="628">
        <v>1</v>
      </c>
      <c r="H24" s="629"/>
      <c r="I24" s="631"/>
      <c r="J24" s="629"/>
      <c r="K24" s="629"/>
      <c r="L24" s="629"/>
    </row>
    <row r="25" spans="1:12" ht="16.5" customHeight="1" x14ac:dyDescent="0.25">
      <c r="A25" s="624" t="s">
        <v>56</v>
      </c>
      <c r="B25" s="625" t="s">
        <v>295</v>
      </c>
      <c r="C25" s="558" t="s">
        <v>266</v>
      </c>
      <c r="D25" s="626">
        <v>6</v>
      </c>
      <c r="E25" s="627">
        <v>2</v>
      </c>
      <c r="F25" s="628">
        <v>3</v>
      </c>
      <c r="G25" s="628">
        <v>1</v>
      </c>
      <c r="H25" s="629"/>
      <c r="I25" s="633"/>
      <c r="J25" s="629"/>
      <c r="K25" s="633"/>
      <c r="L25" s="629"/>
    </row>
    <row r="26" spans="1:12" ht="16.5" customHeight="1" x14ac:dyDescent="0.25">
      <c r="A26" s="624" t="s">
        <v>58</v>
      </c>
      <c r="B26" s="625" t="s">
        <v>59</v>
      </c>
      <c r="C26" s="558" t="s">
        <v>267</v>
      </c>
      <c r="D26" s="637">
        <v>3</v>
      </c>
      <c r="E26" s="638">
        <v>1</v>
      </c>
      <c r="F26" s="634">
        <v>0</v>
      </c>
      <c r="G26" s="634">
        <v>2</v>
      </c>
      <c r="H26" s="629"/>
      <c r="I26" s="632"/>
      <c r="J26" s="629"/>
      <c r="K26" s="629"/>
      <c r="L26" s="629"/>
    </row>
    <row r="27" spans="1:12" ht="16.5" customHeight="1" x14ac:dyDescent="0.25">
      <c r="A27" s="624" t="s">
        <v>60</v>
      </c>
      <c r="B27" s="625" t="s">
        <v>61</v>
      </c>
      <c r="C27" s="558" t="s">
        <v>265</v>
      </c>
      <c r="D27" s="637">
        <v>2</v>
      </c>
      <c r="E27" s="638">
        <v>2</v>
      </c>
      <c r="F27" s="634">
        <v>0</v>
      </c>
      <c r="G27" s="634">
        <v>0</v>
      </c>
      <c r="H27" s="629"/>
      <c r="I27" s="632"/>
      <c r="J27" s="629"/>
      <c r="K27" s="629"/>
      <c r="L27" s="629"/>
    </row>
    <row r="28" spans="1:12" ht="16.5" customHeight="1" x14ac:dyDescent="0.25">
      <c r="A28" s="624" t="s">
        <v>62</v>
      </c>
      <c r="B28" s="625" t="s">
        <v>63</v>
      </c>
      <c r="C28" s="558" t="s">
        <v>267</v>
      </c>
      <c r="D28" s="626">
        <v>5</v>
      </c>
      <c r="E28" s="627">
        <v>0</v>
      </c>
      <c r="F28" s="628">
        <v>0</v>
      </c>
      <c r="G28" s="628">
        <v>5</v>
      </c>
      <c r="H28" s="629"/>
      <c r="I28" s="631"/>
      <c r="J28" s="629"/>
      <c r="K28" s="629"/>
      <c r="L28" s="629"/>
    </row>
    <row r="29" spans="1:12" ht="16.5" customHeight="1" x14ac:dyDescent="0.25">
      <c r="A29" s="624" t="s">
        <v>64</v>
      </c>
      <c r="B29" s="625" t="s">
        <v>65</v>
      </c>
      <c r="C29" s="558" t="s">
        <v>266</v>
      </c>
      <c r="D29" s="626">
        <v>0</v>
      </c>
      <c r="E29" s="627">
        <v>0</v>
      </c>
      <c r="F29" s="628">
        <v>0</v>
      </c>
      <c r="G29" s="628">
        <v>0</v>
      </c>
      <c r="H29" s="629"/>
      <c r="I29" s="632"/>
      <c r="J29" s="629"/>
      <c r="K29" s="632"/>
      <c r="L29" s="629"/>
    </row>
    <row r="30" spans="1:12" ht="16.5" customHeight="1" x14ac:dyDescent="0.25">
      <c r="A30" s="624" t="s">
        <v>68</v>
      </c>
      <c r="B30" s="625" t="s">
        <v>69</v>
      </c>
      <c r="C30" s="558" t="s">
        <v>268</v>
      </c>
      <c r="D30" s="626">
        <v>12</v>
      </c>
      <c r="E30" s="627">
        <v>12</v>
      </c>
      <c r="F30" s="628">
        <v>0</v>
      </c>
      <c r="G30" s="628">
        <v>0</v>
      </c>
      <c r="H30" s="629"/>
      <c r="I30" s="629"/>
      <c r="J30" s="629"/>
      <c r="K30" s="629"/>
      <c r="L30" s="629"/>
    </row>
    <row r="31" spans="1:12" ht="16.5" customHeight="1" x14ac:dyDescent="0.25">
      <c r="A31" s="624" t="s">
        <v>70</v>
      </c>
      <c r="B31" s="625" t="s">
        <v>71</v>
      </c>
      <c r="C31" s="558" t="s">
        <v>264</v>
      </c>
      <c r="D31" s="626">
        <v>1</v>
      </c>
      <c r="E31" s="627">
        <v>0</v>
      </c>
      <c r="F31" s="628">
        <v>1</v>
      </c>
      <c r="G31" s="628">
        <v>0</v>
      </c>
      <c r="H31" s="629"/>
      <c r="I31" s="633"/>
      <c r="J31" s="629"/>
      <c r="K31" s="629"/>
      <c r="L31" s="629"/>
    </row>
    <row r="32" spans="1:12" ht="16.5" customHeight="1" x14ac:dyDescent="0.25">
      <c r="A32" s="624" t="s">
        <v>72</v>
      </c>
      <c r="B32" s="625" t="s">
        <v>73</v>
      </c>
      <c r="C32" s="558" t="s">
        <v>266</v>
      </c>
      <c r="D32" s="626">
        <v>0</v>
      </c>
      <c r="E32" s="635">
        <v>0</v>
      </c>
      <c r="F32" s="634">
        <v>0</v>
      </c>
      <c r="G32" s="628">
        <v>0</v>
      </c>
      <c r="H32" s="629"/>
      <c r="I32" s="632"/>
      <c r="J32" s="629"/>
      <c r="K32" s="633"/>
      <c r="L32" s="629"/>
    </row>
    <row r="33" spans="1:12" ht="16.5" customHeight="1" x14ac:dyDescent="0.25">
      <c r="A33" s="624" t="s">
        <v>74</v>
      </c>
      <c r="B33" s="625" t="s">
        <v>302</v>
      </c>
      <c r="C33" s="558" t="s">
        <v>267</v>
      </c>
      <c r="D33" s="626">
        <v>14</v>
      </c>
      <c r="E33" s="627">
        <v>5</v>
      </c>
      <c r="F33" s="628">
        <v>4</v>
      </c>
      <c r="G33" s="628">
        <v>5</v>
      </c>
      <c r="H33" s="636"/>
      <c r="I33" s="633"/>
      <c r="J33" s="633"/>
      <c r="K33" s="633"/>
      <c r="L33" s="629"/>
    </row>
    <row r="34" spans="1:12" ht="16.5" customHeight="1" x14ac:dyDescent="0.25">
      <c r="A34" s="624" t="s">
        <v>76</v>
      </c>
      <c r="B34" s="625" t="s">
        <v>77</v>
      </c>
      <c r="C34" s="558" t="s">
        <v>267</v>
      </c>
      <c r="D34" s="626">
        <v>2</v>
      </c>
      <c r="E34" s="627">
        <v>2</v>
      </c>
      <c r="F34" s="628">
        <v>0</v>
      </c>
      <c r="G34" s="628">
        <v>0</v>
      </c>
      <c r="H34" s="629"/>
      <c r="I34" s="631"/>
      <c r="J34" s="629"/>
      <c r="K34" s="629"/>
      <c r="L34" s="629"/>
    </row>
    <row r="35" spans="1:12" ht="16.5" customHeight="1" x14ac:dyDescent="0.25">
      <c r="A35" s="624" t="s">
        <v>78</v>
      </c>
      <c r="B35" s="625" t="s">
        <v>79</v>
      </c>
      <c r="C35" s="558" t="s">
        <v>268</v>
      </c>
      <c r="D35" s="626">
        <v>1</v>
      </c>
      <c r="E35" s="627">
        <v>1</v>
      </c>
      <c r="F35" s="628">
        <v>0</v>
      </c>
      <c r="G35" s="634">
        <v>0</v>
      </c>
      <c r="H35" s="629"/>
      <c r="I35" s="629"/>
      <c r="J35" s="629"/>
      <c r="K35" s="629"/>
      <c r="L35" s="629"/>
    </row>
    <row r="36" spans="1:12" ht="16.5" customHeight="1" x14ac:dyDescent="0.25">
      <c r="A36" s="624" t="s">
        <v>80</v>
      </c>
      <c r="B36" s="625" t="s">
        <v>81</v>
      </c>
      <c r="C36" s="558" t="s">
        <v>266</v>
      </c>
      <c r="D36" s="626">
        <v>0</v>
      </c>
      <c r="E36" s="627">
        <v>0</v>
      </c>
      <c r="F36" s="628">
        <v>0</v>
      </c>
      <c r="G36" s="628">
        <v>0</v>
      </c>
      <c r="H36" s="629"/>
      <c r="I36" s="632"/>
      <c r="J36" s="629"/>
      <c r="K36" s="629"/>
      <c r="L36" s="629"/>
    </row>
    <row r="37" spans="1:12" ht="16.5" customHeight="1" x14ac:dyDescent="0.25">
      <c r="A37" s="624" t="s">
        <v>84</v>
      </c>
      <c r="B37" s="625" t="s">
        <v>308</v>
      </c>
      <c r="C37" s="558" t="s">
        <v>265</v>
      </c>
      <c r="D37" s="626">
        <v>12</v>
      </c>
      <c r="E37" s="627">
        <v>8</v>
      </c>
      <c r="F37" s="628">
        <v>1</v>
      </c>
      <c r="G37" s="628">
        <v>3</v>
      </c>
      <c r="H37" s="629"/>
      <c r="I37" s="633"/>
      <c r="J37" s="629"/>
      <c r="K37" s="632"/>
      <c r="L37" s="629"/>
    </row>
    <row r="38" spans="1:12" ht="16.5" customHeight="1" x14ac:dyDescent="0.25">
      <c r="A38" s="624" t="s">
        <v>86</v>
      </c>
      <c r="B38" s="625" t="s">
        <v>87</v>
      </c>
      <c r="C38" s="558" t="s">
        <v>267</v>
      </c>
      <c r="D38" s="626">
        <v>8</v>
      </c>
      <c r="E38" s="627">
        <v>7</v>
      </c>
      <c r="F38" s="628">
        <v>0</v>
      </c>
      <c r="G38" s="628">
        <v>1</v>
      </c>
      <c r="H38" s="632"/>
      <c r="I38" s="631"/>
      <c r="J38" s="632"/>
      <c r="K38" s="631"/>
      <c r="L38" s="629"/>
    </row>
    <row r="39" spans="1:12" ht="16.5" customHeight="1" x14ac:dyDescent="0.25">
      <c r="A39" s="624" t="s">
        <v>92</v>
      </c>
      <c r="B39" s="625" t="s">
        <v>93</v>
      </c>
      <c r="C39" s="558" t="s">
        <v>268</v>
      </c>
      <c r="D39" s="626">
        <v>3</v>
      </c>
      <c r="E39" s="627">
        <v>3</v>
      </c>
      <c r="F39" s="628">
        <v>0</v>
      </c>
      <c r="G39" s="634">
        <v>0</v>
      </c>
      <c r="H39" s="629"/>
      <c r="I39" s="632"/>
      <c r="J39" s="629"/>
      <c r="K39" s="629"/>
      <c r="L39" s="629"/>
    </row>
    <row r="40" spans="1:12" ht="16.5" customHeight="1" x14ac:dyDescent="0.25">
      <c r="A40" s="624" t="s">
        <v>94</v>
      </c>
      <c r="B40" s="625" t="s">
        <v>95</v>
      </c>
      <c r="C40" s="558" t="s">
        <v>264</v>
      </c>
      <c r="D40" s="626">
        <v>1</v>
      </c>
      <c r="E40" s="627">
        <v>1</v>
      </c>
      <c r="F40" s="628">
        <v>0</v>
      </c>
      <c r="G40" s="628">
        <v>0</v>
      </c>
      <c r="H40" s="629"/>
      <c r="I40" s="633"/>
      <c r="J40" s="629"/>
      <c r="K40" s="629"/>
      <c r="L40" s="629"/>
    </row>
    <row r="41" spans="1:12" ht="16.5" customHeight="1" x14ac:dyDescent="0.25">
      <c r="A41" s="624" t="s">
        <v>96</v>
      </c>
      <c r="B41" s="625" t="s">
        <v>97</v>
      </c>
      <c r="C41" s="558" t="s">
        <v>266</v>
      </c>
      <c r="D41" s="626">
        <v>3</v>
      </c>
      <c r="E41" s="627">
        <v>1</v>
      </c>
      <c r="F41" s="628">
        <v>0</v>
      </c>
      <c r="G41" s="628">
        <v>2</v>
      </c>
      <c r="H41" s="629"/>
      <c r="I41" s="629"/>
      <c r="J41" s="629"/>
      <c r="K41" s="629"/>
      <c r="L41" s="629"/>
    </row>
    <row r="42" spans="1:12" ht="16.5" customHeight="1" x14ac:dyDescent="0.25">
      <c r="A42" s="624" t="s">
        <v>98</v>
      </c>
      <c r="B42" s="625" t="s">
        <v>99</v>
      </c>
      <c r="C42" s="558" t="s">
        <v>268</v>
      </c>
      <c r="D42" s="626">
        <v>0</v>
      </c>
      <c r="E42" s="627">
        <v>0</v>
      </c>
      <c r="F42" s="628">
        <v>0</v>
      </c>
      <c r="G42" s="634">
        <v>0</v>
      </c>
      <c r="H42" s="629"/>
      <c r="I42" s="633"/>
      <c r="J42" s="629"/>
      <c r="K42" s="633"/>
      <c r="L42" s="629"/>
    </row>
    <row r="43" spans="1:12" ht="16.5" customHeight="1" x14ac:dyDescent="0.25">
      <c r="A43" s="624" t="s">
        <v>100</v>
      </c>
      <c r="B43" s="625" t="s">
        <v>101</v>
      </c>
      <c r="C43" s="558" t="s">
        <v>267</v>
      </c>
      <c r="D43" s="626">
        <v>0</v>
      </c>
      <c r="E43" s="627">
        <v>0</v>
      </c>
      <c r="F43" s="628">
        <v>0</v>
      </c>
      <c r="G43" s="628">
        <v>0</v>
      </c>
      <c r="H43" s="629"/>
      <c r="I43" s="631"/>
      <c r="J43" s="629"/>
      <c r="K43" s="629"/>
      <c r="L43" s="629"/>
    </row>
    <row r="44" spans="1:12" ht="16.5" customHeight="1" x14ac:dyDescent="0.25">
      <c r="A44" s="624" t="s">
        <v>102</v>
      </c>
      <c r="B44" s="625" t="s">
        <v>103</v>
      </c>
      <c r="C44" s="558" t="s">
        <v>264</v>
      </c>
      <c r="D44" s="626">
        <v>0</v>
      </c>
      <c r="E44" s="635">
        <v>0</v>
      </c>
      <c r="F44" s="634">
        <v>0</v>
      </c>
      <c r="G44" s="628">
        <v>0</v>
      </c>
      <c r="H44" s="629"/>
      <c r="I44" s="632"/>
      <c r="J44" s="629"/>
      <c r="K44" s="632"/>
      <c r="L44" s="629"/>
    </row>
    <row r="45" spans="1:12" ht="16.5" customHeight="1" x14ac:dyDescent="0.25">
      <c r="A45" s="624" t="s">
        <v>104</v>
      </c>
      <c r="B45" s="625" t="s">
        <v>309</v>
      </c>
      <c r="C45" s="558" t="s">
        <v>265</v>
      </c>
      <c r="D45" s="626">
        <v>5</v>
      </c>
      <c r="E45" s="627">
        <v>0</v>
      </c>
      <c r="F45" s="628">
        <v>5</v>
      </c>
      <c r="G45" s="628">
        <v>0</v>
      </c>
      <c r="H45" s="629"/>
      <c r="I45" s="631"/>
      <c r="J45" s="629"/>
      <c r="K45" s="632"/>
      <c r="L45" s="629"/>
    </row>
    <row r="46" spans="1:12" ht="16.5" customHeight="1" x14ac:dyDescent="0.25">
      <c r="A46" s="624" t="s">
        <v>108</v>
      </c>
      <c r="B46" s="625" t="s">
        <v>109</v>
      </c>
      <c r="C46" s="558" t="s">
        <v>266</v>
      </c>
      <c r="D46" s="626">
        <v>3</v>
      </c>
      <c r="E46" s="627">
        <v>2</v>
      </c>
      <c r="F46" s="628">
        <v>0</v>
      </c>
      <c r="G46" s="628">
        <v>1</v>
      </c>
      <c r="H46" s="629"/>
      <c r="I46" s="633"/>
      <c r="J46" s="629"/>
      <c r="K46" s="629"/>
      <c r="L46" s="629"/>
    </row>
    <row r="47" spans="1:12" ht="16.5" customHeight="1" x14ac:dyDescent="0.25">
      <c r="A47" s="624" t="s">
        <v>110</v>
      </c>
      <c r="B47" s="625" t="s">
        <v>111</v>
      </c>
      <c r="C47" s="558" t="s">
        <v>266</v>
      </c>
      <c r="D47" s="626">
        <v>7</v>
      </c>
      <c r="E47" s="627">
        <v>1</v>
      </c>
      <c r="F47" s="628">
        <v>2</v>
      </c>
      <c r="G47" s="628">
        <v>4</v>
      </c>
      <c r="H47" s="629"/>
      <c r="I47" s="633"/>
      <c r="J47" s="629"/>
      <c r="K47" s="629"/>
      <c r="L47" s="629"/>
    </row>
    <row r="48" spans="1:12" ht="16.5" customHeight="1" x14ac:dyDescent="0.25">
      <c r="A48" s="624" t="s">
        <v>112</v>
      </c>
      <c r="B48" s="625" t="s">
        <v>300</v>
      </c>
      <c r="C48" s="558" t="s">
        <v>265</v>
      </c>
      <c r="D48" s="626">
        <v>3</v>
      </c>
      <c r="E48" s="627">
        <v>1</v>
      </c>
      <c r="F48" s="628">
        <v>2</v>
      </c>
      <c r="G48" s="628">
        <v>0</v>
      </c>
      <c r="H48" s="629"/>
      <c r="I48" s="631"/>
      <c r="J48" s="629"/>
      <c r="K48" s="629"/>
      <c r="L48" s="629"/>
    </row>
    <row r="49" spans="1:12" ht="16.5" customHeight="1" x14ac:dyDescent="0.25">
      <c r="A49" s="624" t="s">
        <v>114</v>
      </c>
      <c r="B49" s="625" t="s">
        <v>115</v>
      </c>
      <c r="C49" s="558" t="s">
        <v>265</v>
      </c>
      <c r="D49" s="637">
        <v>0</v>
      </c>
      <c r="E49" s="638">
        <v>0</v>
      </c>
      <c r="F49" s="634">
        <v>0</v>
      </c>
      <c r="G49" s="634">
        <v>0</v>
      </c>
      <c r="H49" s="629"/>
      <c r="I49" s="629"/>
      <c r="J49" s="629"/>
      <c r="K49" s="629"/>
      <c r="L49" s="629"/>
    </row>
    <row r="50" spans="1:12" ht="16.5" customHeight="1" x14ac:dyDescent="0.25">
      <c r="A50" s="624" t="s">
        <v>118</v>
      </c>
      <c r="B50" s="625" t="s">
        <v>119</v>
      </c>
      <c r="C50" s="558" t="s">
        <v>264</v>
      </c>
      <c r="D50" s="626">
        <v>0</v>
      </c>
      <c r="E50" s="627">
        <v>0</v>
      </c>
      <c r="F50" s="628">
        <v>0</v>
      </c>
      <c r="G50" s="628">
        <v>0</v>
      </c>
      <c r="H50" s="629"/>
      <c r="I50" s="632"/>
      <c r="J50" s="629"/>
      <c r="K50" s="632"/>
      <c r="L50" s="629"/>
    </row>
    <row r="51" spans="1:12" ht="16.5" customHeight="1" x14ac:dyDescent="0.25">
      <c r="A51" s="624" t="s">
        <v>120</v>
      </c>
      <c r="B51" s="625" t="s">
        <v>121</v>
      </c>
      <c r="C51" s="558" t="s">
        <v>264</v>
      </c>
      <c r="D51" s="626">
        <v>3</v>
      </c>
      <c r="E51" s="627">
        <v>3</v>
      </c>
      <c r="F51" s="628">
        <v>0</v>
      </c>
      <c r="G51" s="628">
        <v>0</v>
      </c>
      <c r="H51" s="629"/>
      <c r="I51" s="631"/>
      <c r="J51" s="629"/>
      <c r="K51" s="629"/>
      <c r="L51" s="629"/>
    </row>
    <row r="52" spans="1:12" ht="16.5" customHeight="1" x14ac:dyDescent="0.25">
      <c r="A52" s="624" t="s">
        <v>122</v>
      </c>
      <c r="B52" s="625" t="s">
        <v>271</v>
      </c>
      <c r="C52" s="558" t="s">
        <v>266</v>
      </c>
      <c r="D52" s="626">
        <v>2</v>
      </c>
      <c r="E52" s="627">
        <v>2</v>
      </c>
      <c r="F52" s="628">
        <v>0</v>
      </c>
      <c r="G52" s="628">
        <v>0</v>
      </c>
      <c r="H52" s="629"/>
      <c r="I52" s="629"/>
      <c r="J52" s="629"/>
      <c r="K52" s="629"/>
      <c r="L52" s="629"/>
    </row>
    <row r="53" spans="1:12" ht="16.5" customHeight="1" x14ac:dyDescent="0.25">
      <c r="A53" s="624" t="s">
        <v>124</v>
      </c>
      <c r="B53" s="625" t="s">
        <v>125</v>
      </c>
      <c r="C53" s="558" t="s">
        <v>267</v>
      </c>
      <c r="D53" s="626">
        <v>0</v>
      </c>
      <c r="E53" s="627">
        <v>0</v>
      </c>
      <c r="F53" s="628">
        <v>0</v>
      </c>
      <c r="G53" s="628">
        <v>0</v>
      </c>
      <c r="H53" s="629"/>
      <c r="I53" s="632"/>
      <c r="J53" s="629"/>
      <c r="K53" s="629"/>
      <c r="L53" s="629"/>
    </row>
    <row r="54" spans="1:12" ht="16.5" customHeight="1" x14ac:dyDescent="0.25">
      <c r="A54" s="624" t="s">
        <v>126</v>
      </c>
      <c r="B54" s="625" t="s">
        <v>127</v>
      </c>
      <c r="C54" s="558" t="s">
        <v>266</v>
      </c>
      <c r="D54" s="626">
        <v>0</v>
      </c>
      <c r="E54" s="627">
        <v>0</v>
      </c>
      <c r="F54" s="628">
        <v>0</v>
      </c>
      <c r="G54" s="628">
        <v>0</v>
      </c>
      <c r="H54" s="629"/>
      <c r="I54" s="632"/>
      <c r="J54" s="629"/>
      <c r="K54" s="629"/>
      <c r="L54" s="629"/>
    </row>
    <row r="55" spans="1:12" ht="16.5" customHeight="1" x14ac:dyDescent="0.25">
      <c r="A55" s="624" t="s">
        <v>128</v>
      </c>
      <c r="B55" s="625" t="s">
        <v>129</v>
      </c>
      <c r="C55" s="558" t="s">
        <v>266</v>
      </c>
      <c r="D55" s="626">
        <v>1</v>
      </c>
      <c r="E55" s="627">
        <v>1</v>
      </c>
      <c r="F55" s="628">
        <v>0</v>
      </c>
      <c r="G55" s="628">
        <v>0</v>
      </c>
      <c r="H55" s="629"/>
      <c r="I55" s="632"/>
      <c r="J55" s="629"/>
      <c r="K55" s="629"/>
      <c r="L55" s="629"/>
    </row>
    <row r="56" spans="1:12" ht="16.5" customHeight="1" x14ac:dyDescent="0.25">
      <c r="A56" s="624" t="s">
        <v>130</v>
      </c>
      <c r="B56" s="625" t="s">
        <v>131</v>
      </c>
      <c r="C56" s="558" t="s">
        <v>268</v>
      </c>
      <c r="D56" s="626">
        <v>8</v>
      </c>
      <c r="E56" s="627">
        <v>7</v>
      </c>
      <c r="F56" s="628">
        <v>0</v>
      </c>
      <c r="G56" s="628">
        <v>1</v>
      </c>
      <c r="H56" s="629"/>
      <c r="I56" s="631"/>
      <c r="J56" s="629"/>
      <c r="K56" s="629"/>
      <c r="L56" s="629"/>
    </row>
    <row r="57" spans="1:12" ht="16.5" customHeight="1" x14ac:dyDescent="0.25">
      <c r="A57" s="624" t="s">
        <v>132</v>
      </c>
      <c r="B57" s="625" t="s">
        <v>133</v>
      </c>
      <c r="C57" s="558" t="s">
        <v>267</v>
      </c>
      <c r="D57" s="626">
        <v>10</v>
      </c>
      <c r="E57" s="627">
        <v>2</v>
      </c>
      <c r="F57" s="628">
        <v>1</v>
      </c>
      <c r="G57" s="628">
        <v>7</v>
      </c>
      <c r="H57" s="636"/>
      <c r="I57" s="631"/>
      <c r="J57" s="629"/>
      <c r="K57" s="629"/>
      <c r="L57" s="629"/>
    </row>
    <row r="58" spans="1:12" ht="16.5" customHeight="1" x14ac:dyDescent="0.25">
      <c r="A58" s="624" t="s">
        <v>134</v>
      </c>
      <c r="B58" s="625" t="s">
        <v>135</v>
      </c>
      <c r="C58" s="558" t="s">
        <v>267</v>
      </c>
      <c r="D58" s="626">
        <v>14</v>
      </c>
      <c r="E58" s="627">
        <v>8</v>
      </c>
      <c r="F58" s="628">
        <v>3</v>
      </c>
      <c r="G58" s="628">
        <v>3</v>
      </c>
      <c r="H58" s="629"/>
      <c r="I58" s="633"/>
      <c r="J58" s="629"/>
      <c r="K58" s="629"/>
      <c r="L58" s="629"/>
    </row>
    <row r="59" spans="1:12" ht="16.5" customHeight="1" x14ac:dyDescent="0.25">
      <c r="A59" s="624" t="s">
        <v>136</v>
      </c>
      <c r="B59" s="625" t="s">
        <v>137</v>
      </c>
      <c r="C59" s="558" t="s">
        <v>266</v>
      </c>
      <c r="D59" s="626">
        <v>5</v>
      </c>
      <c r="E59" s="635">
        <v>0</v>
      </c>
      <c r="F59" s="634">
        <v>4</v>
      </c>
      <c r="G59" s="628">
        <v>1</v>
      </c>
      <c r="H59" s="629"/>
      <c r="I59" s="633"/>
      <c r="J59" s="629"/>
      <c r="K59" s="629"/>
      <c r="L59" s="629"/>
    </row>
    <row r="60" spans="1:12" ht="16.5" customHeight="1" x14ac:dyDescent="0.25">
      <c r="A60" s="624" t="s">
        <v>140</v>
      </c>
      <c r="B60" s="625" t="s">
        <v>141</v>
      </c>
      <c r="C60" s="558" t="s">
        <v>267</v>
      </c>
      <c r="D60" s="626">
        <v>0</v>
      </c>
      <c r="E60" s="627">
        <v>0</v>
      </c>
      <c r="F60" s="628">
        <v>0</v>
      </c>
      <c r="G60" s="628">
        <v>0</v>
      </c>
      <c r="H60" s="629"/>
      <c r="I60" s="629"/>
      <c r="J60" s="629"/>
      <c r="K60" s="629"/>
      <c r="L60" s="629"/>
    </row>
    <row r="61" spans="1:12" ht="16.5" customHeight="1" x14ac:dyDescent="0.25">
      <c r="A61" s="624" t="s">
        <v>146</v>
      </c>
      <c r="B61" s="625" t="s">
        <v>147</v>
      </c>
      <c r="C61" s="558" t="s">
        <v>264</v>
      </c>
      <c r="D61" s="626">
        <v>0</v>
      </c>
      <c r="E61" s="627">
        <v>0</v>
      </c>
      <c r="F61" s="628">
        <v>0</v>
      </c>
      <c r="G61" s="628">
        <v>0</v>
      </c>
      <c r="H61" s="629"/>
      <c r="I61" s="632"/>
      <c r="J61" s="629"/>
      <c r="K61" s="629"/>
      <c r="L61" s="629"/>
    </row>
    <row r="62" spans="1:12" ht="16.5" customHeight="1" x14ac:dyDescent="0.25">
      <c r="A62" s="624" t="s">
        <v>148</v>
      </c>
      <c r="B62" s="625" t="s">
        <v>149</v>
      </c>
      <c r="C62" s="558" t="s">
        <v>265</v>
      </c>
      <c r="D62" s="626">
        <v>3</v>
      </c>
      <c r="E62" s="627">
        <v>0</v>
      </c>
      <c r="F62" s="628">
        <v>3</v>
      </c>
      <c r="G62" s="628">
        <v>0</v>
      </c>
      <c r="H62" s="629"/>
      <c r="I62" s="633"/>
      <c r="J62" s="629"/>
      <c r="K62" s="629"/>
      <c r="L62" s="629"/>
    </row>
    <row r="63" spans="1:12" ht="16.5" customHeight="1" x14ac:dyDescent="0.25">
      <c r="A63" s="624" t="s">
        <v>150</v>
      </c>
      <c r="B63" s="625" t="s">
        <v>151</v>
      </c>
      <c r="C63" s="558" t="s">
        <v>266</v>
      </c>
      <c r="D63" s="626">
        <v>3</v>
      </c>
      <c r="E63" s="635">
        <v>1</v>
      </c>
      <c r="F63" s="634">
        <v>2</v>
      </c>
      <c r="G63" s="628">
        <v>0</v>
      </c>
      <c r="H63" s="629"/>
      <c r="I63" s="633"/>
      <c r="J63" s="629"/>
      <c r="K63" s="629"/>
      <c r="L63" s="629"/>
    </row>
    <row r="64" spans="1:12" ht="16.5" customHeight="1" x14ac:dyDescent="0.25">
      <c r="A64" s="624" t="s">
        <v>152</v>
      </c>
      <c r="B64" s="625" t="s">
        <v>153</v>
      </c>
      <c r="C64" s="558" t="s">
        <v>268</v>
      </c>
      <c r="D64" s="626">
        <v>15</v>
      </c>
      <c r="E64" s="627">
        <v>7</v>
      </c>
      <c r="F64" s="628">
        <v>3</v>
      </c>
      <c r="G64" s="628">
        <v>5</v>
      </c>
      <c r="H64" s="629"/>
      <c r="I64" s="629"/>
      <c r="J64" s="629"/>
      <c r="K64" s="633"/>
      <c r="L64" s="629"/>
    </row>
    <row r="65" spans="1:12" ht="16.5" customHeight="1" x14ac:dyDescent="0.25">
      <c r="A65" s="624" t="s">
        <v>154</v>
      </c>
      <c r="B65" s="625" t="s">
        <v>155</v>
      </c>
      <c r="C65" s="558" t="s">
        <v>265</v>
      </c>
      <c r="D65" s="637">
        <v>0</v>
      </c>
      <c r="E65" s="638">
        <v>0</v>
      </c>
      <c r="F65" s="634">
        <v>0</v>
      </c>
      <c r="G65" s="634">
        <v>0</v>
      </c>
      <c r="H65" s="629"/>
      <c r="I65" s="629"/>
      <c r="J65" s="629"/>
      <c r="K65" s="629"/>
      <c r="L65" s="629"/>
    </row>
    <row r="66" spans="1:12" ht="16.5" customHeight="1" x14ac:dyDescent="0.25">
      <c r="A66" s="624" t="s">
        <v>156</v>
      </c>
      <c r="B66" s="625" t="s">
        <v>157</v>
      </c>
      <c r="C66" s="558" t="s">
        <v>266</v>
      </c>
      <c r="D66" s="626">
        <v>1</v>
      </c>
      <c r="E66" s="627">
        <v>1</v>
      </c>
      <c r="F66" s="628">
        <v>0</v>
      </c>
      <c r="G66" s="634">
        <v>0</v>
      </c>
      <c r="H66" s="629"/>
      <c r="I66" s="632"/>
      <c r="J66" s="629"/>
      <c r="K66" s="629"/>
      <c r="L66" s="629"/>
    </row>
    <row r="67" spans="1:12" ht="16.5" customHeight="1" x14ac:dyDescent="0.25">
      <c r="A67" s="624" t="s">
        <v>162</v>
      </c>
      <c r="B67" s="625" t="s">
        <v>163</v>
      </c>
      <c r="C67" s="558" t="s">
        <v>264</v>
      </c>
      <c r="D67" s="626">
        <v>0</v>
      </c>
      <c r="E67" s="627">
        <v>0</v>
      </c>
      <c r="F67" s="628">
        <v>0</v>
      </c>
      <c r="G67" s="628">
        <v>0</v>
      </c>
      <c r="H67" s="632"/>
      <c r="I67" s="632"/>
      <c r="J67" s="629"/>
      <c r="K67" s="629"/>
      <c r="L67" s="629"/>
    </row>
    <row r="68" spans="1:12" ht="16.5" customHeight="1" x14ac:dyDescent="0.25">
      <c r="A68" s="624" t="s">
        <v>164</v>
      </c>
      <c r="B68" s="625" t="s">
        <v>165</v>
      </c>
      <c r="C68" s="558" t="s">
        <v>266</v>
      </c>
      <c r="D68" s="626">
        <v>0</v>
      </c>
      <c r="E68" s="627">
        <v>0</v>
      </c>
      <c r="F68" s="628">
        <v>0</v>
      </c>
      <c r="G68" s="628">
        <v>0</v>
      </c>
      <c r="H68" s="629"/>
      <c r="I68" s="632"/>
      <c r="J68" s="629"/>
      <c r="K68" s="629"/>
      <c r="L68" s="629"/>
    </row>
    <row r="69" spans="1:12" ht="16.5" customHeight="1" x14ac:dyDescent="0.25">
      <c r="A69" s="624" t="s">
        <v>168</v>
      </c>
      <c r="B69" s="625" t="s">
        <v>169</v>
      </c>
      <c r="C69" s="558" t="s">
        <v>266</v>
      </c>
      <c r="D69" s="626">
        <v>1</v>
      </c>
      <c r="E69" s="627">
        <v>0</v>
      </c>
      <c r="F69" s="628">
        <v>1</v>
      </c>
      <c r="G69" s="628">
        <v>0</v>
      </c>
      <c r="H69" s="629"/>
      <c r="I69" s="631"/>
      <c r="J69" s="629"/>
      <c r="K69" s="629"/>
      <c r="L69" s="629"/>
    </row>
    <row r="70" spans="1:12" ht="16.5" customHeight="1" x14ac:dyDescent="0.25">
      <c r="A70" s="624" t="s">
        <v>170</v>
      </c>
      <c r="B70" s="625" t="s">
        <v>171</v>
      </c>
      <c r="C70" s="558" t="s">
        <v>267</v>
      </c>
      <c r="D70" s="626">
        <v>3</v>
      </c>
      <c r="E70" s="627">
        <v>3</v>
      </c>
      <c r="F70" s="628">
        <v>0</v>
      </c>
      <c r="G70" s="628">
        <v>0</v>
      </c>
      <c r="H70" s="629"/>
      <c r="I70" s="631"/>
      <c r="J70" s="629"/>
      <c r="K70" s="632"/>
      <c r="L70" s="629"/>
    </row>
    <row r="71" spans="1:12" ht="16.5" customHeight="1" x14ac:dyDescent="0.25">
      <c r="A71" s="624" t="s">
        <v>172</v>
      </c>
      <c r="B71" s="625" t="s">
        <v>173</v>
      </c>
      <c r="C71" s="558" t="s">
        <v>267</v>
      </c>
      <c r="D71" s="626">
        <v>2</v>
      </c>
      <c r="E71" s="627">
        <v>2</v>
      </c>
      <c r="F71" s="628">
        <v>0</v>
      </c>
      <c r="G71" s="634">
        <v>0</v>
      </c>
      <c r="H71" s="629"/>
      <c r="I71" s="629"/>
      <c r="J71" s="629"/>
      <c r="K71" s="629"/>
      <c r="L71" s="629"/>
    </row>
    <row r="72" spans="1:12" ht="16.5" customHeight="1" x14ac:dyDescent="0.25">
      <c r="A72" s="624" t="s">
        <v>174</v>
      </c>
      <c r="B72" s="625" t="s">
        <v>175</v>
      </c>
      <c r="C72" s="558" t="s">
        <v>268</v>
      </c>
      <c r="D72" s="626">
        <v>0</v>
      </c>
      <c r="E72" s="627">
        <v>0</v>
      </c>
      <c r="F72" s="628">
        <v>0</v>
      </c>
      <c r="G72" s="634">
        <v>0</v>
      </c>
      <c r="H72" s="629"/>
      <c r="I72" s="629"/>
      <c r="J72" s="629"/>
      <c r="K72" s="629"/>
      <c r="L72" s="629"/>
    </row>
    <row r="73" spans="1:12" ht="16.5" customHeight="1" x14ac:dyDescent="0.25">
      <c r="A73" s="624" t="s">
        <v>178</v>
      </c>
      <c r="B73" s="625" t="s">
        <v>179</v>
      </c>
      <c r="C73" s="558" t="s">
        <v>265</v>
      </c>
      <c r="D73" s="626">
        <v>0</v>
      </c>
      <c r="E73" s="627">
        <v>0</v>
      </c>
      <c r="F73" s="628">
        <v>0</v>
      </c>
      <c r="G73" s="628">
        <v>0</v>
      </c>
      <c r="H73" s="629"/>
      <c r="I73" s="633"/>
      <c r="J73" s="629"/>
      <c r="K73" s="633"/>
      <c r="L73" s="629"/>
    </row>
    <row r="74" spans="1:12" ht="16.5" customHeight="1" x14ac:dyDescent="0.25">
      <c r="A74" s="624" t="s">
        <v>182</v>
      </c>
      <c r="B74" s="625" t="s">
        <v>183</v>
      </c>
      <c r="C74" s="558" t="s">
        <v>266</v>
      </c>
      <c r="D74" s="626">
        <v>0</v>
      </c>
      <c r="E74" s="627">
        <v>0</v>
      </c>
      <c r="F74" s="628">
        <v>0</v>
      </c>
      <c r="G74" s="634">
        <v>0</v>
      </c>
      <c r="H74" s="629"/>
      <c r="I74" s="633"/>
      <c r="J74" s="629"/>
      <c r="K74" s="629"/>
      <c r="L74" s="629"/>
    </row>
    <row r="75" spans="1:12" ht="16.5" customHeight="1" x14ac:dyDescent="0.25">
      <c r="A75" s="624" t="s">
        <v>184</v>
      </c>
      <c r="B75" s="625" t="s">
        <v>185</v>
      </c>
      <c r="C75" s="558" t="s">
        <v>266</v>
      </c>
      <c r="D75" s="626">
        <v>7</v>
      </c>
      <c r="E75" s="627">
        <v>3</v>
      </c>
      <c r="F75" s="628">
        <v>3</v>
      </c>
      <c r="G75" s="628">
        <v>1</v>
      </c>
      <c r="H75" s="629"/>
      <c r="I75" s="631"/>
      <c r="J75" s="629"/>
      <c r="K75" s="629"/>
      <c r="L75" s="629"/>
    </row>
    <row r="76" spans="1:12" ht="16.5" customHeight="1" x14ac:dyDescent="0.25">
      <c r="A76" s="624" t="s">
        <v>186</v>
      </c>
      <c r="B76" s="625" t="s">
        <v>187</v>
      </c>
      <c r="C76" s="558" t="s">
        <v>264</v>
      </c>
      <c r="D76" s="626">
        <v>2</v>
      </c>
      <c r="E76" s="627">
        <v>2</v>
      </c>
      <c r="F76" s="628">
        <v>0</v>
      </c>
      <c r="G76" s="628">
        <v>0</v>
      </c>
      <c r="H76" s="629"/>
      <c r="I76" s="632"/>
      <c r="J76" s="629"/>
      <c r="K76" s="629"/>
      <c r="L76" s="629"/>
    </row>
    <row r="77" spans="1:12" ht="16.5" customHeight="1" x14ac:dyDescent="0.25">
      <c r="A77" s="624" t="s">
        <v>188</v>
      </c>
      <c r="B77" s="625" t="s">
        <v>189</v>
      </c>
      <c r="C77" s="558" t="s">
        <v>267</v>
      </c>
      <c r="D77" s="626">
        <v>7</v>
      </c>
      <c r="E77" s="627">
        <v>1</v>
      </c>
      <c r="F77" s="628">
        <v>6</v>
      </c>
      <c r="G77" s="628">
        <v>0</v>
      </c>
      <c r="H77" s="629"/>
      <c r="I77" s="633"/>
      <c r="J77" s="629"/>
      <c r="K77" s="631"/>
      <c r="L77" s="629"/>
    </row>
    <row r="78" spans="1:12" ht="16.5" customHeight="1" x14ac:dyDescent="0.25">
      <c r="A78" s="624" t="s">
        <v>190</v>
      </c>
      <c r="B78" s="625" t="s">
        <v>191</v>
      </c>
      <c r="C78" s="558" t="s">
        <v>268</v>
      </c>
      <c r="D78" s="626">
        <v>12</v>
      </c>
      <c r="E78" s="627">
        <v>8</v>
      </c>
      <c r="F78" s="628">
        <v>0</v>
      </c>
      <c r="G78" s="628">
        <v>4</v>
      </c>
      <c r="H78" s="629"/>
      <c r="I78" s="633"/>
      <c r="J78" s="629"/>
      <c r="K78" s="629"/>
      <c r="L78" s="629"/>
    </row>
    <row r="79" spans="1:12" ht="16.5" customHeight="1" x14ac:dyDescent="0.25">
      <c r="A79" s="624" t="s">
        <v>194</v>
      </c>
      <c r="B79" s="625" t="s">
        <v>195</v>
      </c>
      <c r="C79" s="558" t="s">
        <v>267</v>
      </c>
      <c r="D79" s="626">
        <v>0</v>
      </c>
      <c r="E79" s="627">
        <v>0</v>
      </c>
      <c r="F79" s="628">
        <v>0</v>
      </c>
      <c r="G79" s="634">
        <v>0</v>
      </c>
      <c r="H79" s="629"/>
      <c r="I79" s="629"/>
      <c r="J79" s="629"/>
      <c r="K79" s="629"/>
      <c r="L79" s="629"/>
    </row>
    <row r="80" spans="1:12" ht="16.5" customHeight="1" x14ac:dyDescent="0.25">
      <c r="A80" s="624" t="s">
        <v>198</v>
      </c>
      <c r="B80" s="625" t="s">
        <v>199</v>
      </c>
      <c r="C80" s="558" t="s">
        <v>266</v>
      </c>
      <c r="D80" s="626">
        <v>0</v>
      </c>
      <c r="E80" s="627">
        <v>0</v>
      </c>
      <c r="F80" s="628">
        <v>0</v>
      </c>
      <c r="G80" s="628">
        <v>0</v>
      </c>
      <c r="H80" s="629"/>
      <c r="I80" s="632"/>
      <c r="J80" s="629"/>
      <c r="K80" s="629"/>
      <c r="L80" s="629"/>
    </row>
    <row r="81" spans="1:12" ht="16.5" customHeight="1" x14ac:dyDescent="0.25">
      <c r="A81" s="624" t="s">
        <v>202</v>
      </c>
      <c r="B81" s="625" t="s">
        <v>203</v>
      </c>
      <c r="C81" s="558" t="s">
        <v>265</v>
      </c>
      <c r="D81" s="626">
        <v>8</v>
      </c>
      <c r="E81" s="627">
        <v>8</v>
      </c>
      <c r="F81" s="628">
        <v>0</v>
      </c>
      <c r="G81" s="628">
        <v>0</v>
      </c>
      <c r="H81" s="629"/>
      <c r="I81" s="631"/>
      <c r="J81" s="632"/>
      <c r="K81" s="629"/>
      <c r="L81" s="629"/>
    </row>
    <row r="82" spans="1:12" ht="16.5" customHeight="1" x14ac:dyDescent="0.25">
      <c r="A82" s="624" t="s">
        <v>204</v>
      </c>
      <c r="B82" s="625" t="s">
        <v>205</v>
      </c>
      <c r="C82" s="558" t="s">
        <v>265</v>
      </c>
      <c r="D82" s="626">
        <v>1</v>
      </c>
      <c r="E82" s="627">
        <v>1</v>
      </c>
      <c r="F82" s="628">
        <v>0</v>
      </c>
      <c r="G82" s="634">
        <v>0</v>
      </c>
      <c r="H82" s="629"/>
      <c r="I82" s="633"/>
      <c r="J82" s="629"/>
      <c r="K82" s="629"/>
      <c r="L82" s="629"/>
    </row>
    <row r="83" spans="1:12" ht="16.5" customHeight="1" x14ac:dyDescent="0.25">
      <c r="A83" s="624" t="s">
        <v>206</v>
      </c>
      <c r="B83" s="625" t="s">
        <v>207</v>
      </c>
      <c r="C83" s="558" t="s">
        <v>267</v>
      </c>
      <c r="D83" s="626">
        <v>36</v>
      </c>
      <c r="E83" s="627">
        <v>18</v>
      </c>
      <c r="F83" s="628">
        <v>1</v>
      </c>
      <c r="G83" s="628">
        <v>17</v>
      </c>
      <c r="H83" s="629"/>
      <c r="I83" s="633"/>
      <c r="J83" s="629"/>
      <c r="K83" s="633"/>
      <c r="L83" s="629"/>
    </row>
    <row r="84" spans="1:12" ht="16.5" customHeight="1" x14ac:dyDescent="0.25">
      <c r="A84" s="624" t="s">
        <v>208</v>
      </c>
      <c r="B84" s="625" t="s">
        <v>209</v>
      </c>
      <c r="C84" s="558" t="s">
        <v>268</v>
      </c>
      <c r="D84" s="626">
        <v>14</v>
      </c>
      <c r="E84" s="627">
        <v>14</v>
      </c>
      <c r="F84" s="628">
        <v>0</v>
      </c>
      <c r="G84" s="634">
        <v>0</v>
      </c>
      <c r="H84" s="629"/>
      <c r="I84" s="632"/>
      <c r="J84" s="629"/>
      <c r="K84" s="629"/>
      <c r="L84" s="629"/>
    </row>
    <row r="85" spans="1:12" ht="16.5" customHeight="1" x14ac:dyDescent="0.25">
      <c r="A85" s="624" t="s">
        <v>210</v>
      </c>
      <c r="B85" s="625" t="s">
        <v>211</v>
      </c>
      <c r="C85" s="558" t="s">
        <v>268</v>
      </c>
      <c r="D85" s="626">
        <v>2</v>
      </c>
      <c r="E85" s="627">
        <v>2</v>
      </c>
      <c r="F85" s="628">
        <v>0</v>
      </c>
      <c r="G85" s="634">
        <v>0</v>
      </c>
      <c r="H85" s="629"/>
      <c r="I85" s="632"/>
      <c r="J85" s="629"/>
      <c r="K85" s="629"/>
      <c r="L85" s="629"/>
    </row>
    <row r="86" spans="1:12" ht="16.5" customHeight="1" x14ac:dyDescent="0.25">
      <c r="A86" s="624" t="s">
        <v>212</v>
      </c>
      <c r="B86" s="625" t="s">
        <v>213</v>
      </c>
      <c r="C86" s="558" t="s">
        <v>267</v>
      </c>
      <c r="D86" s="626">
        <v>5</v>
      </c>
      <c r="E86" s="627">
        <v>5</v>
      </c>
      <c r="F86" s="628">
        <v>0</v>
      </c>
      <c r="G86" s="628">
        <v>0</v>
      </c>
      <c r="H86" s="629"/>
      <c r="I86" s="631"/>
      <c r="J86" s="629"/>
      <c r="K86" s="629"/>
      <c r="L86" s="629"/>
    </row>
    <row r="87" spans="1:12" ht="16.5" customHeight="1" x14ac:dyDescent="0.25">
      <c r="A87" s="624" t="s">
        <v>214</v>
      </c>
      <c r="B87" s="625" t="s">
        <v>215</v>
      </c>
      <c r="C87" s="558" t="s">
        <v>268</v>
      </c>
      <c r="D87" s="626">
        <v>0</v>
      </c>
      <c r="E87" s="627">
        <v>0</v>
      </c>
      <c r="F87" s="628">
        <v>0</v>
      </c>
      <c r="G87" s="634">
        <v>0</v>
      </c>
      <c r="H87" s="629"/>
      <c r="I87" s="633"/>
      <c r="J87" s="629"/>
      <c r="K87" s="629"/>
      <c r="L87" s="629"/>
    </row>
    <row r="88" spans="1:12" ht="16.5" customHeight="1" x14ac:dyDescent="0.25">
      <c r="A88" s="624" t="s">
        <v>216</v>
      </c>
      <c r="B88" s="625" t="s">
        <v>217</v>
      </c>
      <c r="C88" s="558" t="s">
        <v>264</v>
      </c>
      <c r="D88" s="626">
        <v>0</v>
      </c>
      <c r="E88" s="627">
        <v>0</v>
      </c>
      <c r="F88" s="628">
        <v>0</v>
      </c>
      <c r="G88" s="628">
        <v>0</v>
      </c>
      <c r="H88" s="629"/>
      <c r="I88" s="629"/>
      <c r="J88" s="629"/>
      <c r="K88" s="633"/>
      <c r="L88" s="629"/>
    </row>
    <row r="89" spans="1:12" ht="16.5" customHeight="1" x14ac:dyDescent="0.25">
      <c r="A89" s="624" t="s">
        <v>218</v>
      </c>
      <c r="B89" s="625" t="s">
        <v>219</v>
      </c>
      <c r="C89" s="558" t="s">
        <v>267</v>
      </c>
      <c r="D89" s="626">
        <v>8</v>
      </c>
      <c r="E89" s="627">
        <v>6</v>
      </c>
      <c r="F89" s="628">
        <v>2</v>
      </c>
      <c r="G89" s="628">
        <v>0</v>
      </c>
      <c r="H89" s="629"/>
      <c r="I89" s="632"/>
      <c r="J89" s="629"/>
      <c r="K89" s="632"/>
      <c r="L89" s="629"/>
    </row>
    <row r="90" spans="1:12" ht="16.5" customHeight="1" x14ac:dyDescent="0.25">
      <c r="A90" s="624" t="s">
        <v>220</v>
      </c>
      <c r="B90" s="625" t="s">
        <v>221</v>
      </c>
      <c r="C90" s="558" t="s">
        <v>267</v>
      </c>
      <c r="D90" s="626">
        <v>12</v>
      </c>
      <c r="E90" s="627">
        <v>3</v>
      </c>
      <c r="F90" s="628">
        <v>3</v>
      </c>
      <c r="G90" s="628">
        <v>6</v>
      </c>
      <c r="H90" s="629"/>
      <c r="I90" s="631"/>
      <c r="J90" s="629"/>
      <c r="K90" s="631"/>
      <c r="L90" s="629"/>
    </row>
    <row r="91" spans="1:12" ht="16.5" customHeight="1" x14ac:dyDescent="0.25">
      <c r="A91" s="624" t="s">
        <v>224</v>
      </c>
      <c r="B91" s="625" t="s">
        <v>225</v>
      </c>
      <c r="C91" s="558" t="s">
        <v>264</v>
      </c>
      <c r="D91" s="626">
        <v>0</v>
      </c>
      <c r="E91" s="635">
        <v>0</v>
      </c>
      <c r="F91" s="634">
        <v>0</v>
      </c>
      <c r="G91" s="628">
        <v>0</v>
      </c>
      <c r="H91" s="629"/>
      <c r="I91" s="632"/>
      <c r="J91" s="629"/>
      <c r="K91" s="629"/>
      <c r="L91" s="629"/>
    </row>
    <row r="92" spans="1:12" ht="16.5" customHeight="1" x14ac:dyDescent="0.25">
      <c r="A92" s="624" t="s">
        <v>226</v>
      </c>
      <c r="B92" s="625" t="s">
        <v>227</v>
      </c>
      <c r="C92" s="558" t="s">
        <v>264</v>
      </c>
      <c r="D92" s="626">
        <v>2</v>
      </c>
      <c r="E92" s="627">
        <v>0</v>
      </c>
      <c r="F92" s="628">
        <v>2</v>
      </c>
      <c r="G92" s="628">
        <v>0</v>
      </c>
      <c r="H92" s="629"/>
      <c r="I92" s="632"/>
      <c r="J92" s="629"/>
      <c r="K92" s="629"/>
      <c r="L92" s="629"/>
    </row>
    <row r="93" spans="1:12" ht="16.5" customHeight="1" x14ac:dyDescent="0.25">
      <c r="A93" s="624" t="s">
        <v>228</v>
      </c>
      <c r="B93" s="625" t="s">
        <v>229</v>
      </c>
      <c r="C93" s="558" t="s">
        <v>268</v>
      </c>
      <c r="D93" s="626">
        <v>22</v>
      </c>
      <c r="E93" s="627">
        <v>22</v>
      </c>
      <c r="F93" s="628">
        <v>0</v>
      </c>
      <c r="G93" s="628">
        <v>0</v>
      </c>
      <c r="H93" s="629"/>
      <c r="I93" s="632"/>
      <c r="J93" s="629"/>
      <c r="K93" s="629"/>
      <c r="L93" s="629"/>
    </row>
    <row r="94" spans="1:12" ht="16.5" customHeight="1" x14ac:dyDescent="0.25">
      <c r="A94" s="624" t="s">
        <v>232</v>
      </c>
      <c r="B94" s="625" t="s">
        <v>233</v>
      </c>
      <c r="C94" s="558" t="s">
        <v>267</v>
      </c>
      <c r="D94" s="626">
        <v>3</v>
      </c>
      <c r="E94" s="627">
        <v>3</v>
      </c>
      <c r="F94" s="628">
        <v>0</v>
      </c>
      <c r="G94" s="628">
        <v>0</v>
      </c>
      <c r="H94" s="629"/>
      <c r="I94" s="633"/>
      <c r="J94" s="629"/>
      <c r="K94" s="629"/>
      <c r="L94" s="629"/>
    </row>
    <row r="95" spans="1:12" ht="16.5" customHeight="1" x14ac:dyDescent="0.25">
      <c r="A95" s="624" t="s">
        <v>234</v>
      </c>
      <c r="B95" s="625" t="s">
        <v>235</v>
      </c>
      <c r="C95" s="558" t="s">
        <v>268</v>
      </c>
      <c r="D95" s="626">
        <v>13</v>
      </c>
      <c r="E95" s="627">
        <v>13</v>
      </c>
      <c r="F95" s="628">
        <v>0</v>
      </c>
      <c r="G95" s="634">
        <v>0</v>
      </c>
      <c r="H95" s="629"/>
      <c r="I95" s="631"/>
      <c r="J95" s="629"/>
      <c r="K95" s="632"/>
      <c r="L95" s="629"/>
    </row>
    <row r="96" spans="1:12" ht="16.5" customHeight="1" x14ac:dyDescent="0.25">
      <c r="A96" s="624" t="s">
        <v>236</v>
      </c>
      <c r="B96" s="625" t="s">
        <v>237</v>
      </c>
      <c r="C96" s="558" t="s">
        <v>266</v>
      </c>
      <c r="D96" s="626">
        <v>0</v>
      </c>
      <c r="E96" s="627">
        <v>0</v>
      </c>
      <c r="F96" s="628">
        <v>0</v>
      </c>
      <c r="G96" s="628">
        <v>0</v>
      </c>
      <c r="H96" s="629"/>
      <c r="I96" s="631"/>
      <c r="J96" s="629"/>
      <c r="K96" s="629"/>
      <c r="L96" s="629"/>
    </row>
    <row r="97" spans="1:12" ht="16.5" customHeight="1" x14ac:dyDescent="0.25">
      <c r="A97" s="624" t="s">
        <v>242</v>
      </c>
      <c r="B97" s="625" t="s">
        <v>243</v>
      </c>
      <c r="C97" s="558" t="s">
        <v>268</v>
      </c>
      <c r="D97" s="626">
        <v>9</v>
      </c>
      <c r="E97" s="627">
        <v>9</v>
      </c>
      <c r="F97" s="628">
        <v>0</v>
      </c>
      <c r="G97" s="628">
        <v>0</v>
      </c>
      <c r="H97" s="629"/>
      <c r="I97" s="629"/>
      <c r="J97" s="629"/>
      <c r="K97" s="629"/>
      <c r="L97" s="629"/>
    </row>
    <row r="98" spans="1:12" ht="16.5" customHeight="1" x14ac:dyDescent="0.25">
      <c r="A98" s="624" t="s">
        <v>244</v>
      </c>
      <c r="B98" s="625" t="s">
        <v>245</v>
      </c>
      <c r="C98" s="558" t="s">
        <v>268</v>
      </c>
      <c r="D98" s="626">
        <v>3</v>
      </c>
      <c r="E98" s="627">
        <v>3</v>
      </c>
      <c r="F98" s="628">
        <v>0</v>
      </c>
      <c r="G98" s="634">
        <v>0</v>
      </c>
      <c r="H98" s="629"/>
      <c r="I98" s="629"/>
      <c r="J98" s="629"/>
      <c r="K98" s="629"/>
      <c r="L98" s="629"/>
    </row>
    <row r="99" spans="1:12" ht="16.5" customHeight="1" x14ac:dyDescent="0.25">
      <c r="A99" s="624" t="s">
        <v>246</v>
      </c>
      <c r="B99" s="625" t="s">
        <v>310</v>
      </c>
      <c r="C99" s="558" t="s">
        <v>264</v>
      </c>
      <c r="D99" s="626">
        <v>2</v>
      </c>
      <c r="E99" s="627">
        <v>1</v>
      </c>
      <c r="F99" s="628">
        <v>0</v>
      </c>
      <c r="G99" s="628">
        <v>1</v>
      </c>
      <c r="H99" s="629"/>
      <c r="I99" s="631"/>
      <c r="J99" s="629"/>
      <c r="K99" s="632"/>
      <c r="L99" s="629"/>
    </row>
    <row r="100" spans="1:12" ht="16.5" customHeight="1" x14ac:dyDescent="0.25">
      <c r="A100" s="624" t="s">
        <v>14</v>
      </c>
      <c r="B100" s="625" t="s">
        <v>15</v>
      </c>
      <c r="C100" s="558" t="s">
        <v>267</v>
      </c>
      <c r="D100" s="626">
        <v>10</v>
      </c>
      <c r="E100" s="627">
        <v>0</v>
      </c>
      <c r="F100" s="628">
        <v>9</v>
      </c>
      <c r="G100" s="628">
        <v>1</v>
      </c>
      <c r="H100" s="629"/>
      <c r="I100" s="633"/>
      <c r="J100" s="629"/>
      <c r="K100" s="633"/>
      <c r="L100" s="629"/>
    </row>
    <row r="101" spans="1:12" ht="16.5" customHeight="1" x14ac:dyDescent="0.25">
      <c r="A101" s="624" t="s">
        <v>34</v>
      </c>
      <c r="B101" s="625" t="s">
        <v>35</v>
      </c>
      <c r="C101" s="558" t="s">
        <v>268</v>
      </c>
      <c r="D101" s="626">
        <v>4</v>
      </c>
      <c r="E101" s="627">
        <v>4</v>
      </c>
      <c r="F101" s="628">
        <v>0</v>
      </c>
      <c r="G101" s="634">
        <v>0</v>
      </c>
      <c r="H101" s="629"/>
      <c r="I101" s="631"/>
      <c r="J101" s="629"/>
      <c r="K101" s="632"/>
      <c r="L101" s="629"/>
    </row>
    <row r="102" spans="1:12" ht="16.5" customHeight="1" x14ac:dyDescent="0.25">
      <c r="A102" s="624" t="s">
        <v>52</v>
      </c>
      <c r="B102" s="625" t="s">
        <v>53</v>
      </c>
      <c r="C102" s="558" t="s">
        <v>265</v>
      </c>
      <c r="D102" s="626">
        <v>11</v>
      </c>
      <c r="E102" s="627">
        <v>2</v>
      </c>
      <c r="F102" s="628">
        <v>1</v>
      </c>
      <c r="G102" s="628">
        <v>8</v>
      </c>
      <c r="H102" s="629"/>
      <c r="I102" s="631"/>
      <c r="J102" s="629"/>
      <c r="K102" s="629"/>
      <c r="L102" s="629"/>
    </row>
    <row r="103" spans="1:12" ht="16.5" customHeight="1" x14ac:dyDescent="0.25">
      <c r="A103" s="624" t="s">
        <v>54</v>
      </c>
      <c r="B103" s="625" t="s">
        <v>55</v>
      </c>
      <c r="C103" s="558" t="s">
        <v>264</v>
      </c>
      <c r="D103" s="626">
        <v>5</v>
      </c>
      <c r="E103" s="627">
        <v>2</v>
      </c>
      <c r="F103" s="628">
        <v>3</v>
      </c>
      <c r="G103" s="628">
        <v>0</v>
      </c>
      <c r="H103" s="629"/>
      <c r="I103" s="631"/>
      <c r="J103" s="629"/>
      <c r="K103" s="629"/>
      <c r="L103" s="629"/>
    </row>
    <row r="104" spans="1:12" ht="16.5" customHeight="1" x14ac:dyDescent="0.25">
      <c r="A104" s="624" t="s">
        <v>66</v>
      </c>
      <c r="B104" s="625" t="s">
        <v>67</v>
      </c>
      <c r="C104" s="558" t="s">
        <v>265</v>
      </c>
      <c r="D104" s="626">
        <v>3</v>
      </c>
      <c r="E104" s="627">
        <v>1</v>
      </c>
      <c r="F104" s="628">
        <v>2</v>
      </c>
      <c r="G104" s="628">
        <v>0</v>
      </c>
      <c r="H104" s="629"/>
      <c r="I104" s="631"/>
      <c r="J104" s="629"/>
      <c r="K104" s="632"/>
      <c r="L104" s="629"/>
    </row>
    <row r="105" spans="1:12" ht="16.5" customHeight="1" x14ac:dyDescent="0.25">
      <c r="A105" s="624" t="s">
        <v>82</v>
      </c>
      <c r="B105" s="625" t="s">
        <v>311</v>
      </c>
      <c r="C105" s="558" t="s">
        <v>264</v>
      </c>
      <c r="D105" s="626">
        <v>0</v>
      </c>
      <c r="E105" s="627">
        <v>0</v>
      </c>
      <c r="F105" s="628">
        <v>0</v>
      </c>
      <c r="G105" s="628">
        <v>0</v>
      </c>
      <c r="H105" s="629"/>
      <c r="I105" s="629"/>
      <c r="J105" s="629"/>
      <c r="K105" s="629"/>
      <c r="L105" s="629"/>
    </row>
    <row r="106" spans="1:12" ht="16.5" customHeight="1" x14ac:dyDescent="0.25">
      <c r="A106" s="624" t="s">
        <v>88</v>
      </c>
      <c r="B106" s="625" t="s">
        <v>89</v>
      </c>
      <c r="C106" s="558" t="s">
        <v>267</v>
      </c>
      <c r="D106" s="626">
        <v>6</v>
      </c>
      <c r="E106" s="627">
        <v>1</v>
      </c>
      <c r="F106" s="628">
        <v>3</v>
      </c>
      <c r="G106" s="628">
        <v>2</v>
      </c>
      <c r="H106" s="629"/>
      <c r="I106" s="633"/>
      <c r="J106" s="629"/>
      <c r="K106" s="633"/>
      <c r="L106" s="629"/>
    </row>
    <row r="107" spans="1:12" ht="16.5" customHeight="1" x14ac:dyDescent="0.25">
      <c r="A107" s="624" t="s">
        <v>90</v>
      </c>
      <c r="B107" s="625" t="s">
        <v>91</v>
      </c>
      <c r="C107" s="558" t="s">
        <v>268</v>
      </c>
      <c r="D107" s="626">
        <v>0</v>
      </c>
      <c r="E107" s="627">
        <v>0</v>
      </c>
      <c r="F107" s="628">
        <v>0</v>
      </c>
      <c r="G107" s="628">
        <v>0</v>
      </c>
      <c r="H107" s="629"/>
      <c r="I107" s="632"/>
      <c r="J107" s="629"/>
      <c r="K107" s="629"/>
      <c r="L107" s="629"/>
    </row>
    <row r="108" spans="1:12" ht="16.5" customHeight="1" x14ac:dyDescent="0.25">
      <c r="A108" s="624" t="s">
        <v>106</v>
      </c>
      <c r="B108" s="625" t="s">
        <v>107</v>
      </c>
      <c r="C108" s="558" t="s">
        <v>264</v>
      </c>
      <c r="D108" s="626">
        <v>0</v>
      </c>
      <c r="E108" s="627">
        <v>0</v>
      </c>
      <c r="F108" s="628">
        <v>0</v>
      </c>
      <c r="G108" s="628">
        <v>0</v>
      </c>
      <c r="H108" s="629"/>
      <c r="I108" s="631"/>
      <c r="J108" s="629"/>
      <c r="K108" s="629"/>
      <c r="L108" s="629"/>
    </row>
    <row r="109" spans="1:12" ht="16.5" customHeight="1" x14ac:dyDescent="0.25">
      <c r="A109" s="624" t="s">
        <v>116</v>
      </c>
      <c r="B109" s="625" t="s">
        <v>117</v>
      </c>
      <c r="C109" s="558" t="s">
        <v>266</v>
      </c>
      <c r="D109" s="626">
        <v>4</v>
      </c>
      <c r="E109" s="627">
        <v>1</v>
      </c>
      <c r="F109" s="628">
        <v>3</v>
      </c>
      <c r="G109" s="628">
        <v>0</v>
      </c>
      <c r="H109" s="629"/>
      <c r="I109" s="629"/>
      <c r="J109" s="629"/>
      <c r="K109" s="632"/>
      <c r="L109" s="629"/>
    </row>
    <row r="110" spans="1:12" ht="16.5" customHeight="1" x14ac:dyDescent="0.25">
      <c r="A110" s="624" t="s">
        <v>138</v>
      </c>
      <c r="B110" s="625" t="s">
        <v>139</v>
      </c>
      <c r="C110" s="558" t="s">
        <v>265</v>
      </c>
      <c r="D110" s="626">
        <v>24</v>
      </c>
      <c r="E110" s="627">
        <v>8</v>
      </c>
      <c r="F110" s="628">
        <v>15</v>
      </c>
      <c r="G110" s="628">
        <v>1</v>
      </c>
      <c r="H110" s="629"/>
      <c r="I110" s="633"/>
      <c r="J110" s="629"/>
      <c r="K110" s="633"/>
      <c r="L110" s="629"/>
    </row>
    <row r="111" spans="1:12" ht="16.5" customHeight="1" x14ac:dyDescent="0.25">
      <c r="A111" s="624" t="s">
        <v>142</v>
      </c>
      <c r="B111" s="625" t="s">
        <v>143</v>
      </c>
      <c r="C111" s="558" t="s">
        <v>267</v>
      </c>
      <c r="D111" s="626">
        <v>0</v>
      </c>
      <c r="E111" s="627">
        <v>0</v>
      </c>
      <c r="F111" s="628">
        <v>0</v>
      </c>
      <c r="G111" s="628">
        <v>0</v>
      </c>
      <c r="H111" s="629"/>
      <c r="I111" s="632"/>
      <c r="J111" s="629"/>
      <c r="K111" s="632"/>
      <c r="L111" s="629"/>
    </row>
    <row r="112" spans="1:12" ht="16.5" customHeight="1" x14ac:dyDescent="0.25">
      <c r="A112" s="624" t="s">
        <v>144</v>
      </c>
      <c r="B112" s="625" t="s">
        <v>145</v>
      </c>
      <c r="C112" s="558" t="s">
        <v>267</v>
      </c>
      <c r="D112" s="626">
        <v>0</v>
      </c>
      <c r="E112" s="627">
        <v>0</v>
      </c>
      <c r="F112" s="628">
        <v>0</v>
      </c>
      <c r="G112" s="634">
        <v>0</v>
      </c>
      <c r="H112" s="629"/>
      <c r="I112" s="629"/>
      <c r="J112" s="629"/>
      <c r="K112" s="629"/>
      <c r="L112" s="629"/>
    </row>
    <row r="113" spans="1:14" ht="16.5" customHeight="1" x14ac:dyDescent="0.25">
      <c r="A113" s="624" t="s">
        <v>158</v>
      </c>
      <c r="B113" s="625" t="s">
        <v>159</v>
      </c>
      <c r="C113" s="558" t="s">
        <v>264</v>
      </c>
      <c r="D113" s="626">
        <v>18</v>
      </c>
      <c r="E113" s="627">
        <v>3</v>
      </c>
      <c r="F113" s="628">
        <v>12</v>
      </c>
      <c r="G113" s="628">
        <v>3</v>
      </c>
      <c r="H113" s="629"/>
      <c r="I113" s="633"/>
      <c r="J113" s="629"/>
      <c r="K113" s="629"/>
      <c r="L113" s="629"/>
    </row>
    <row r="114" spans="1:14" ht="16.5" customHeight="1" x14ac:dyDescent="0.25">
      <c r="A114" s="624" t="s">
        <v>160</v>
      </c>
      <c r="B114" s="625" t="s">
        <v>161</v>
      </c>
      <c r="C114" s="558" t="s">
        <v>264</v>
      </c>
      <c r="D114" s="626">
        <v>34</v>
      </c>
      <c r="E114" s="627">
        <v>7</v>
      </c>
      <c r="F114" s="628">
        <v>27</v>
      </c>
      <c r="G114" s="628">
        <v>0</v>
      </c>
      <c r="H114" s="629"/>
      <c r="I114" s="633"/>
      <c r="J114" s="633"/>
      <c r="K114" s="629"/>
      <c r="L114" s="629"/>
    </row>
    <row r="115" spans="1:14" ht="16.5" customHeight="1" x14ac:dyDescent="0.25">
      <c r="A115" s="624" t="s">
        <v>166</v>
      </c>
      <c r="B115" s="625" t="s">
        <v>167</v>
      </c>
      <c r="C115" s="558" t="s">
        <v>268</v>
      </c>
      <c r="D115" s="626">
        <v>0</v>
      </c>
      <c r="E115" s="627">
        <v>0</v>
      </c>
      <c r="F115" s="628">
        <v>0</v>
      </c>
      <c r="G115" s="634">
        <v>0</v>
      </c>
      <c r="H115" s="629"/>
      <c r="I115" s="633"/>
      <c r="J115" s="629"/>
      <c r="K115" s="629"/>
      <c r="L115" s="629"/>
    </row>
    <row r="116" spans="1:14" ht="16.5" customHeight="1" x14ac:dyDescent="0.25">
      <c r="A116" s="624" t="s">
        <v>176</v>
      </c>
      <c r="B116" s="625" t="s">
        <v>177</v>
      </c>
      <c r="C116" s="558" t="s">
        <v>266</v>
      </c>
      <c r="D116" s="626">
        <v>16</v>
      </c>
      <c r="E116" s="627">
        <v>5</v>
      </c>
      <c r="F116" s="628">
        <v>3</v>
      </c>
      <c r="G116" s="628">
        <v>8</v>
      </c>
      <c r="H116" s="629"/>
      <c r="I116" s="631"/>
      <c r="J116" s="629"/>
      <c r="K116" s="631"/>
      <c r="L116" s="629"/>
    </row>
    <row r="117" spans="1:14" ht="16.5" customHeight="1" x14ac:dyDescent="0.25">
      <c r="A117" s="624" t="s">
        <v>180</v>
      </c>
      <c r="B117" s="625" t="s">
        <v>181</v>
      </c>
      <c r="C117" s="558" t="s">
        <v>264</v>
      </c>
      <c r="D117" s="626">
        <v>12</v>
      </c>
      <c r="E117" s="627">
        <v>1</v>
      </c>
      <c r="F117" s="628">
        <v>11</v>
      </c>
      <c r="G117" s="628">
        <v>0</v>
      </c>
      <c r="H117" s="629"/>
      <c r="I117" s="631"/>
      <c r="J117" s="629"/>
      <c r="K117" s="629"/>
      <c r="L117" s="629"/>
    </row>
    <row r="118" spans="1:14" ht="16.5" customHeight="1" x14ac:dyDescent="0.25">
      <c r="A118" s="624" t="s">
        <v>192</v>
      </c>
      <c r="B118" s="625" t="s">
        <v>193</v>
      </c>
      <c r="C118" s="558" t="s">
        <v>268</v>
      </c>
      <c r="D118" s="626">
        <v>1</v>
      </c>
      <c r="E118" s="627">
        <v>1</v>
      </c>
      <c r="F118" s="628">
        <v>0</v>
      </c>
      <c r="G118" s="628">
        <v>0</v>
      </c>
      <c r="H118" s="629"/>
      <c r="I118" s="632"/>
      <c r="J118" s="629"/>
      <c r="K118" s="629"/>
      <c r="L118" s="629"/>
    </row>
    <row r="119" spans="1:14" ht="16.5" customHeight="1" x14ac:dyDescent="0.25">
      <c r="A119" s="624" t="s">
        <v>196</v>
      </c>
      <c r="B119" s="625" t="s">
        <v>312</v>
      </c>
      <c r="C119" s="558" t="s">
        <v>266</v>
      </c>
      <c r="D119" s="626">
        <v>27</v>
      </c>
      <c r="E119" s="627">
        <v>1</v>
      </c>
      <c r="F119" s="628">
        <v>24</v>
      </c>
      <c r="G119" s="628">
        <v>2</v>
      </c>
      <c r="H119" s="629"/>
      <c r="I119" s="631"/>
      <c r="J119" s="629"/>
      <c r="K119" s="633"/>
      <c r="L119" s="629"/>
    </row>
    <row r="120" spans="1:14" ht="16.5" customHeight="1" x14ac:dyDescent="0.25">
      <c r="A120" s="624" t="s">
        <v>200</v>
      </c>
      <c r="B120" s="625" t="s">
        <v>313</v>
      </c>
      <c r="C120" s="558" t="s">
        <v>265</v>
      </c>
      <c r="D120" s="626">
        <v>34</v>
      </c>
      <c r="E120" s="627">
        <v>14</v>
      </c>
      <c r="F120" s="628">
        <v>11</v>
      </c>
      <c r="G120" s="628">
        <v>9</v>
      </c>
      <c r="H120" s="629"/>
      <c r="I120" s="633"/>
      <c r="J120" s="629"/>
      <c r="K120" s="633"/>
      <c r="L120" s="629"/>
    </row>
    <row r="121" spans="1:14" ht="16.5" customHeight="1" x14ac:dyDescent="0.25">
      <c r="A121" s="624" t="s">
        <v>222</v>
      </c>
      <c r="B121" s="625" t="s">
        <v>223</v>
      </c>
      <c r="C121" s="558" t="s">
        <v>264</v>
      </c>
      <c r="D121" s="626">
        <v>5</v>
      </c>
      <c r="E121" s="627">
        <v>3</v>
      </c>
      <c r="F121" s="628">
        <v>1</v>
      </c>
      <c r="G121" s="628">
        <v>1</v>
      </c>
      <c r="H121" s="629"/>
      <c r="I121" s="632"/>
      <c r="J121" s="629"/>
      <c r="K121" s="629"/>
      <c r="L121" s="629"/>
    </row>
    <row r="122" spans="1:14" ht="16.5" customHeight="1" x14ac:dyDescent="0.25">
      <c r="A122" s="624" t="s">
        <v>230</v>
      </c>
      <c r="B122" s="625" t="s">
        <v>231</v>
      </c>
      <c r="C122" s="558" t="s">
        <v>264</v>
      </c>
      <c r="D122" s="626">
        <v>16</v>
      </c>
      <c r="E122" s="627">
        <v>6</v>
      </c>
      <c r="F122" s="628">
        <v>4</v>
      </c>
      <c r="G122" s="628">
        <v>6</v>
      </c>
      <c r="H122" s="629"/>
      <c r="I122" s="633"/>
      <c r="J122" s="629"/>
      <c r="K122" s="633"/>
      <c r="L122" s="629"/>
    </row>
    <row r="123" spans="1:14" ht="16.5" customHeight="1" x14ac:dyDescent="0.25">
      <c r="A123" s="624" t="s">
        <v>238</v>
      </c>
      <c r="B123" s="625" t="s">
        <v>239</v>
      </c>
      <c r="C123" s="558" t="s">
        <v>264</v>
      </c>
      <c r="D123" s="626">
        <v>5</v>
      </c>
      <c r="E123" s="627">
        <v>1</v>
      </c>
      <c r="F123" s="628">
        <v>4</v>
      </c>
      <c r="G123" s="628">
        <v>0</v>
      </c>
      <c r="H123" s="629"/>
      <c r="I123" s="629"/>
      <c r="J123" s="629"/>
      <c r="K123" s="629"/>
      <c r="L123" s="629"/>
    </row>
    <row r="124" spans="1:14" ht="16.5" customHeight="1" x14ac:dyDescent="0.25">
      <c r="A124" s="624" t="s">
        <v>240</v>
      </c>
      <c r="B124" s="625" t="s">
        <v>241</v>
      </c>
      <c r="C124" s="558" t="s">
        <v>267</v>
      </c>
      <c r="D124" s="626">
        <v>6</v>
      </c>
      <c r="E124" s="627">
        <v>4</v>
      </c>
      <c r="F124" s="628">
        <v>0</v>
      </c>
      <c r="G124" s="628">
        <v>2</v>
      </c>
      <c r="H124" s="629"/>
      <c r="I124" s="631"/>
      <c r="J124" s="629"/>
      <c r="K124" s="629"/>
      <c r="L124" s="629"/>
    </row>
    <row r="125" spans="1:14" x14ac:dyDescent="0.25">
      <c r="D125" s="629"/>
      <c r="E125" s="629"/>
      <c r="F125" s="629"/>
      <c r="G125" s="639"/>
      <c r="H125" s="629"/>
      <c r="I125" s="629"/>
      <c r="J125" s="629"/>
      <c r="K125" s="629"/>
      <c r="L125" s="629"/>
    </row>
    <row r="126" spans="1:14" ht="32.25" customHeight="1" x14ac:dyDescent="0.25">
      <c r="A126" s="2762" t="s">
        <v>785</v>
      </c>
      <c r="B126" s="2762"/>
      <c r="C126" s="2762"/>
      <c r="D126" s="2762"/>
      <c r="E126" s="2762"/>
      <c r="F126" s="2762"/>
      <c r="G126" s="2762"/>
      <c r="H126" s="2762"/>
      <c r="I126" s="2762"/>
      <c r="J126" s="640"/>
      <c r="K126" s="640"/>
      <c r="L126" s="640"/>
      <c r="M126" s="640"/>
      <c r="N126" s="640"/>
    </row>
    <row r="127" spans="1:14" x14ac:dyDescent="0.25">
      <c r="A127" s="369" t="s">
        <v>765</v>
      </c>
    </row>
    <row r="129" spans="1:3" s="389" customFormat="1" x14ac:dyDescent="0.25">
      <c r="A129" s="389" t="s">
        <v>248</v>
      </c>
    </row>
    <row r="130" spans="1:3" s="389" customFormat="1" x14ac:dyDescent="0.25">
      <c r="A130" s="390" t="s">
        <v>249</v>
      </c>
      <c r="B130" s="391" t="s">
        <v>250</v>
      </c>
      <c r="C130" s="391"/>
    </row>
  </sheetData>
  <autoFilter ref="A3:C3"/>
  <mergeCells count="1">
    <mergeCell ref="A126:I126"/>
  </mergeCells>
  <hyperlinks>
    <hyperlink ref="B130" r:id="rId1"/>
  </hyperlinks>
  <pageMargins left="0.75" right="0.75" top="1" bottom="1" header="0.5" footer="0.5"/>
  <pageSetup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130"/>
  <sheetViews>
    <sheetView workbookViewId="0">
      <pane xSplit="3" ySplit="4" topLeftCell="D5" activePane="bottomRight" state="frozen"/>
      <selection pane="topRight" activeCell="D1" sqref="D1"/>
      <selection pane="bottomLeft" activeCell="A5" sqref="A5"/>
      <selection pane="bottomRight" activeCell="A4" sqref="A4:AA124"/>
    </sheetView>
  </sheetViews>
  <sheetFormatPr defaultRowHeight="15.75" x14ac:dyDescent="0.25"/>
  <cols>
    <col min="1" max="1" width="11" style="369" customWidth="1"/>
    <col min="2" max="2" width="32" style="369" customWidth="1"/>
    <col min="3" max="3" width="14.25" style="369" customWidth="1"/>
    <col min="4" max="9" width="7.5" style="369" customWidth="1"/>
    <col min="10" max="12" width="10.125" style="369" customWidth="1"/>
    <col min="13" max="13" width="12.25" style="369" customWidth="1"/>
    <col min="14" max="14" width="4.875" style="369" customWidth="1"/>
    <col min="15" max="17" width="12.25" style="369" customWidth="1"/>
    <col min="18" max="18" width="11.5" style="369" customWidth="1"/>
    <col min="19" max="19" width="11.125" style="369" customWidth="1"/>
    <col min="20" max="20" width="11.5" style="369" customWidth="1"/>
    <col min="21" max="23" width="9" style="369"/>
    <col min="24" max="25" width="10" style="369" customWidth="1"/>
    <col min="26" max="26" width="9.75" style="369" customWidth="1"/>
    <col min="27" max="16384" width="9" style="369"/>
  </cols>
  <sheetData>
    <row r="1" spans="1:27" x14ac:dyDescent="0.25">
      <c r="A1" s="190" t="s">
        <v>1415</v>
      </c>
    </row>
    <row r="3" spans="1:27" ht="32.25" customHeight="1" x14ac:dyDescent="0.25">
      <c r="A3" s="614" t="s">
        <v>4</v>
      </c>
      <c r="B3" s="615" t="s">
        <v>5</v>
      </c>
      <c r="C3" s="1598" t="s">
        <v>251</v>
      </c>
      <c r="D3" s="1600" t="s">
        <v>281</v>
      </c>
      <c r="E3" s="1601" t="s">
        <v>2</v>
      </c>
      <c r="F3" s="1601" t="s">
        <v>445</v>
      </c>
      <c r="G3" s="1601" t="s">
        <v>542</v>
      </c>
      <c r="H3" s="1601" t="s">
        <v>761</v>
      </c>
      <c r="I3" s="1601" t="s">
        <v>720</v>
      </c>
      <c r="J3" s="1601" t="s">
        <v>848</v>
      </c>
      <c r="K3" s="1601" t="s">
        <v>551</v>
      </c>
      <c r="L3" s="1602" t="s">
        <v>762</v>
      </c>
      <c r="M3" s="1265" t="s">
        <v>1088</v>
      </c>
      <c r="N3" s="620"/>
      <c r="O3" s="1265" t="s">
        <v>1205</v>
      </c>
      <c r="P3" s="1265" t="s">
        <v>1204</v>
      </c>
      <c r="Q3" s="1265" t="s">
        <v>1049</v>
      </c>
      <c r="R3" s="1266" t="s">
        <v>1050</v>
      </c>
      <c r="S3" s="1266" t="s">
        <v>1051</v>
      </c>
      <c r="T3" s="1266" t="s">
        <v>1052</v>
      </c>
      <c r="U3" s="190" t="s">
        <v>762</v>
      </c>
      <c r="W3" s="190" t="s">
        <v>1048</v>
      </c>
      <c r="X3" s="190" t="s">
        <v>1049</v>
      </c>
      <c r="Y3" s="190" t="s">
        <v>1050</v>
      </c>
      <c r="Z3" s="190" t="s">
        <v>1051</v>
      </c>
      <c r="AA3" s="190" t="s">
        <v>1052</v>
      </c>
    </row>
    <row r="4" spans="1:27" x14ac:dyDescent="0.25">
      <c r="A4" s="621">
        <v>999</v>
      </c>
      <c r="B4" s="622" t="s">
        <v>9</v>
      </c>
      <c r="C4" s="622"/>
      <c r="D4" s="1595">
        <f t="shared" ref="D4:M4" si="0">SUM(D5:D124)</f>
        <v>801</v>
      </c>
      <c r="E4" s="1603">
        <f t="shared" si="0"/>
        <v>403</v>
      </c>
      <c r="F4" s="1603">
        <f t="shared" si="0"/>
        <v>223</v>
      </c>
      <c r="G4" s="1603">
        <f t="shared" si="0"/>
        <v>7</v>
      </c>
      <c r="H4" s="1603">
        <f t="shared" si="0"/>
        <v>0</v>
      </c>
      <c r="I4" s="1603">
        <f t="shared" si="0"/>
        <v>0</v>
      </c>
      <c r="J4" s="1603">
        <f t="shared" si="0"/>
        <v>95</v>
      </c>
      <c r="K4" s="1603">
        <f t="shared" si="0"/>
        <v>73</v>
      </c>
      <c r="L4" s="1604">
        <f t="shared" si="0"/>
        <v>0</v>
      </c>
      <c r="M4" s="1599">
        <f t="shared" si="0"/>
        <v>175</v>
      </c>
      <c r="N4" s="620"/>
      <c r="O4" s="623">
        <f t="shared" ref="O4:AA4" si="1">SUM(O5:O124)</f>
        <v>6</v>
      </c>
      <c r="P4" s="623">
        <f t="shared" si="1"/>
        <v>371</v>
      </c>
      <c r="Q4" s="623">
        <f t="shared" si="1"/>
        <v>220</v>
      </c>
      <c r="R4" s="623">
        <f t="shared" si="1"/>
        <v>151</v>
      </c>
      <c r="S4" s="623">
        <f t="shared" si="1"/>
        <v>53</v>
      </c>
      <c r="T4" s="623">
        <f t="shared" si="1"/>
        <v>0</v>
      </c>
      <c r="U4" s="623">
        <f t="shared" si="1"/>
        <v>0</v>
      </c>
      <c r="W4" s="190">
        <f t="shared" si="1"/>
        <v>377</v>
      </c>
      <c r="X4" s="190">
        <f t="shared" si="1"/>
        <v>220</v>
      </c>
      <c r="Y4" s="190">
        <f t="shared" si="1"/>
        <v>151</v>
      </c>
      <c r="Z4" s="190">
        <f t="shared" si="1"/>
        <v>53</v>
      </c>
      <c r="AA4" s="190">
        <f t="shared" si="1"/>
        <v>0</v>
      </c>
    </row>
    <row r="5" spans="1:27" s="1461" customFormat="1" ht="16.5" customHeight="1" x14ac:dyDescent="0.25">
      <c r="A5" s="1596" t="s">
        <v>10</v>
      </c>
      <c r="B5" s="1597" t="s">
        <v>11</v>
      </c>
      <c r="C5" s="553" t="s">
        <v>264</v>
      </c>
      <c r="D5" s="1605">
        <f t="shared" ref="D5:D36" si="2">SUM(E5:L5)</f>
        <v>3</v>
      </c>
      <c r="E5" s="1606">
        <v>3</v>
      </c>
      <c r="F5" s="1606">
        <v>0</v>
      </c>
      <c r="G5" s="1606">
        <v>0</v>
      </c>
      <c r="H5" s="1606">
        <v>0</v>
      </c>
      <c r="I5" s="1606">
        <v>0</v>
      </c>
      <c r="J5" s="1606">
        <v>0</v>
      </c>
      <c r="K5" s="1606">
        <v>0</v>
      </c>
      <c r="L5" s="1607">
        <v>0</v>
      </c>
      <c r="M5" s="995">
        <f t="shared" ref="M5:M36" si="3">G5+H5+I5+J5+K5</f>
        <v>0</v>
      </c>
      <c r="N5" s="639"/>
      <c r="O5" s="995">
        <v>0</v>
      </c>
      <c r="P5" s="995">
        <v>2</v>
      </c>
      <c r="Q5" s="995">
        <v>1</v>
      </c>
      <c r="R5" s="995">
        <v>0</v>
      </c>
      <c r="S5" s="1461">
        <v>0</v>
      </c>
      <c r="T5" s="1461">
        <v>0</v>
      </c>
      <c r="U5" s="1461">
        <v>0</v>
      </c>
      <c r="W5" s="995">
        <f t="shared" ref="W5:W36" si="4">O5+P5</f>
        <v>2</v>
      </c>
      <c r="X5" s="995">
        <f t="shared" ref="X5:X36" si="5">Q5</f>
        <v>1</v>
      </c>
      <c r="Y5" s="995">
        <f t="shared" ref="Y5:Y36" si="6">R5</f>
        <v>0</v>
      </c>
      <c r="Z5" s="995">
        <f t="shared" ref="Z5:Z36" si="7">S5</f>
        <v>0</v>
      </c>
      <c r="AA5" s="1461">
        <f t="shared" ref="AA5:AA36" si="8">T5</f>
        <v>0</v>
      </c>
    </row>
    <row r="6" spans="1:27" s="1461" customFormat="1" ht="16.5" customHeight="1" x14ac:dyDescent="0.25">
      <c r="A6" s="1596" t="s">
        <v>12</v>
      </c>
      <c r="B6" s="1597" t="s">
        <v>13</v>
      </c>
      <c r="C6" s="553" t="s">
        <v>265</v>
      </c>
      <c r="D6" s="1605">
        <f t="shared" si="2"/>
        <v>6</v>
      </c>
      <c r="E6" s="1606">
        <v>2</v>
      </c>
      <c r="F6" s="1606">
        <v>0</v>
      </c>
      <c r="G6" s="1606">
        <v>0</v>
      </c>
      <c r="H6" s="1606">
        <v>0</v>
      </c>
      <c r="I6" s="1606">
        <v>0</v>
      </c>
      <c r="J6" s="1606">
        <v>0</v>
      </c>
      <c r="K6" s="1606">
        <v>4</v>
      </c>
      <c r="L6" s="1607">
        <v>0</v>
      </c>
      <c r="M6" s="995">
        <f t="shared" si="3"/>
        <v>4</v>
      </c>
      <c r="N6" s="639"/>
      <c r="O6" s="995">
        <v>0</v>
      </c>
      <c r="P6" s="995">
        <v>1</v>
      </c>
      <c r="Q6" s="995">
        <v>0</v>
      </c>
      <c r="R6" s="995">
        <v>4</v>
      </c>
      <c r="S6" s="1461">
        <v>1</v>
      </c>
      <c r="T6" s="1461">
        <v>0</v>
      </c>
      <c r="U6" s="1461">
        <v>0</v>
      </c>
      <c r="W6" s="995">
        <f t="shared" si="4"/>
        <v>1</v>
      </c>
      <c r="X6" s="995">
        <f t="shared" si="5"/>
        <v>0</v>
      </c>
      <c r="Y6" s="995">
        <f t="shared" si="6"/>
        <v>4</v>
      </c>
      <c r="Z6" s="995">
        <f t="shared" si="7"/>
        <v>1</v>
      </c>
      <c r="AA6" s="1461">
        <f t="shared" si="8"/>
        <v>0</v>
      </c>
    </row>
    <row r="7" spans="1:27" s="1461" customFormat="1" ht="16.5" customHeight="1" x14ac:dyDescent="0.25">
      <c r="A7" s="1596" t="s">
        <v>16</v>
      </c>
      <c r="B7" s="1597" t="s">
        <v>297</v>
      </c>
      <c r="C7" s="553" t="s">
        <v>265</v>
      </c>
      <c r="D7" s="1605">
        <f t="shared" si="2"/>
        <v>0</v>
      </c>
      <c r="E7" s="1606">
        <v>0</v>
      </c>
      <c r="F7" s="1606">
        <v>0</v>
      </c>
      <c r="G7" s="1606">
        <v>0</v>
      </c>
      <c r="H7" s="1606">
        <v>0</v>
      </c>
      <c r="I7" s="1606">
        <v>0</v>
      </c>
      <c r="J7" s="1606">
        <v>0</v>
      </c>
      <c r="K7" s="1606">
        <v>0</v>
      </c>
      <c r="L7" s="1607">
        <v>0</v>
      </c>
      <c r="M7" s="995">
        <f t="shared" si="3"/>
        <v>0</v>
      </c>
      <c r="N7" s="639"/>
      <c r="O7" s="995">
        <v>0</v>
      </c>
      <c r="P7" s="995">
        <v>0</v>
      </c>
      <c r="Q7" s="639">
        <v>0</v>
      </c>
      <c r="R7" s="995">
        <v>0</v>
      </c>
      <c r="S7" s="1461">
        <v>0</v>
      </c>
      <c r="T7" s="1461">
        <v>0</v>
      </c>
      <c r="U7" s="1461">
        <v>0</v>
      </c>
      <c r="W7" s="995">
        <f t="shared" si="4"/>
        <v>0</v>
      </c>
      <c r="X7" s="995">
        <f t="shared" si="5"/>
        <v>0</v>
      </c>
      <c r="Y7" s="995">
        <f t="shared" si="6"/>
        <v>0</v>
      </c>
      <c r="Z7" s="995">
        <f t="shared" si="7"/>
        <v>0</v>
      </c>
      <c r="AA7" s="1461">
        <f t="shared" si="8"/>
        <v>0</v>
      </c>
    </row>
    <row r="8" spans="1:27" s="1461" customFormat="1" ht="16.5" customHeight="1" x14ac:dyDescent="0.25">
      <c r="A8" s="1596" t="s">
        <v>18</v>
      </c>
      <c r="B8" s="1597" t="s">
        <v>19</v>
      </c>
      <c r="C8" s="553" t="s">
        <v>266</v>
      </c>
      <c r="D8" s="1605">
        <f t="shared" si="2"/>
        <v>0</v>
      </c>
      <c r="E8" s="1606">
        <v>0</v>
      </c>
      <c r="F8" s="1606">
        <v>0</v>
      </c>
      <c r="G8" s="1606">
        <v>0</v>
      </c>
      <c r="H8" s="1606">
        <v>0</v>
      </c>
      <c r="I8" s="1606">
        <v>0</v>
      </c>
      <c r="J8" s="1606">
        <v>0</v>
      </c>
      <c r="K8" s="1606">
        <v>0</v>
      </c>
      <c r="L8" s="1607">
        <v>0</v>
      </c>
      <c r="M8" s="995">
        <f t="shared" si="3"/>
        <v>0</v>
      </c>
      <c r="N8" s="639"/>
      <c r="O8" s="995">
        <v>0</v>
      </c>
      <c r="P8" s="995">
        <v>0</v>
      </c>
      <c r="Q8" s="995">
        <v>0</v>
      </c>
      <c r="R8" s="995">
        <v>0</v>
      </c>
      <c r="S8" s="1461">
        <v>0</v>
      </c>
      <c r="T8" s="1461">
        <v>0</v>
      </c>
      <c r="U8" s="1461">
        <v>0</v>
      </c>
      <c r="W8" s="995">
        <f t="shared" si="4"/>
        <v>0</v>
      </c>
      <c r="X8" s="995">
        <f t="shared" si="5"/>
        <v>0</v>
      </c>
      <c r="Y8" s="995">
        <f t="shared" si="6"/>
        <v>0</v>
      </c>
      <c r="Z8" s="995">
        <f t="shared" si="7"/>
        <v>0</v>
      </c>
      <c r="AA8" s="1461">
        <f t="shared" si="8"/>
        <v>0</v>
      </c>
    </row>
    <row r="9" spans="1:27" s="1461" customFormat="1" ht="16.5" customHeight="1" x14ac:dyDescent="0.25">
      <c r="A9" s="1596" t="s">
        <v>20</v>
      </c>
      <c r="B9" s="1597" t="s">
        <v>21</v>
      </c>
      <c r="C9" s="553" t="s">
        <v>265</v>
      </c>
      <c r="D9" s="1605">
        <f t="shared" si="2"/>
        <v>1</v>
      </c>
      <c r="E9" s="1606">
        <v>1</v>
      </c>
      <c r="F9" s="1606">
        <v>0</v>
      </c>
      <c r="G9" s="1606">
        <v>0</v>
      </c>
      <c r="H9" s="1606">
        <v>0</v>
      </c>
      <c r="I9" s="1606">
        <v>0</v>
      </c>
      <c r="J9" s="1606">
        <v>0</v>
      </c>
      <c r="K9" s="1606">
        <v>0</v>
      </c>
      <c r="L9" s="1607">
        <v>0</v>
      </c>
      <c r="M9" s="995">
        <f t="shared" si="3"/>
        <v>0</v>
      </c>
      <c r="N9" s="995"/>
      <c r="O9" s="995">
        <v>0</v>
      </c>
      <c r="P9" s="995">
        <v>0</v>
      </c>
      <c r="Q9" s="995">
        <v>1</v>
      </c>
      <c r="R9" s="995">
        <v>0</v>
      </c>
      <c r="S9" s="1461">
        <v>0</v>
      </c>
      <c r="T9" s="1461">
        <v>0</v>
      </c>
      <c r="U9" s="1461">
        <v>0</v>
      </c>
      <c r="W9" s="995">
        <f t="shared" si="4"/>
        <v>0</v>
      </c>
      <c r="X9" s="995">
        <f t="shared" si="5"/>
        <v>1</v>
      </c>
      <c r="Y9" s="995">
        <f t="shared" si="6"/>
        <v>0</v>
      </c>
      <c r="Z9" s="995">
        <f t="shared" si="7"/>
        <v>0</v>
      </c>
      <c r="AA9" s="1461">
        <f t="shared" si="8"/>
        <v>0</v>
      </c>
    </row>
    <row r="10" spans="1:27" s="1461" customFormat="1" ht="16.5" customHeight="1" x14ac:dyDescent="0.25">
      <c r="A10" s="1596" t="s">
        <v>22</v>
      </c>
      <c r="B10" s="1597" t="s">
        <v>23</v>
      </c>
      <c r="C10" s="553" t="s">
        <v>265</v>
      </c>
      <c r="D10" s="1605">
        <f t="shared" si="2"/>
        <v>2</v>
      </c>
      <c r="E10" s="1606">
        <v>2</v>
      </c>
      <c r="F10" s="1606">
        <v>0</v>
      </c>
      <c r="G10" s="1606">
        <v>0</v>
      </c>
      <c r="H10" s="1606">
        <v>0</v>
      </c>
      <c r="I10" s="1606">
        <v>0</v>
      </c>
      <c r="J10" s="1606">
        <v>0</v>
      </c>
      <c r="K10" s="1606">
        <v>0</v>
      </c>
      <c r="L10" s="1607">
        <v>0</v>
      </c>
      <c r="M10" s="995">
        <f t="shared" si="3"/>
        <v>0</v>
      </c>
      <c r="N10" s="639"/>
      <c r="O10" s="995">
        <v>0</v>
      </c>
      <c r="P10" s="995">
        <v>1</v>
      </c>
      <c r="Q10" s="995">
        <v>0</v>
      </c>
      <c r="R10" s="995">
        <v>0</v>
      </c>
      <c r="S10" s="1461">
        <v>1</v>
      </c>
      <c r="T10" s="1461">
        <v>0</v>
      </c>
      <c r="U10" s="1461">
        <v>0</v>
      </c>
      <c r="W10" s="995">
        <f t="shared" si="4"/>
        <v>1</v>
      </c>
      <c r="X10" s="995">
        <f t="shared" si="5"/>
        <v>0</v>
      </c>
      <c r="Y10" s="995">
        <f t="shared" si="6"/>
        <v>0</v>
      </c>
      <c r="Z10" s="995">
        <f t="shared" si="7"/>
        <v>1</v>
      </c>
      <c r="AA10" s="1461">
        <f t="shared" si="8"/>
        <v>0</v>
      </c>
    </row>
    <row r="11" spans="1:27" s="1461" customFormat="1" ht="16.5" customHeight="1" x14ac:dyDescent="0.25">
      <c r="A11" s="1596" t="s">
        <v>24</v>
      </c>
      <c r="B11" s="1597" t="s">
        <v>25</v>
      </c>
      <c r="C11" s="553" t="s">
        <v>267</v>
      </c>
      <c r="D11" s="1605">
        <f t="shared" si="2"/>
        <v>16</v>
      </c>
      <c r="E11" s="1606">
        <v>0</v>
      </c>
      <c r="F11" s="1606">
        <v>10</v>
      </c>
      <c r="G11" s="1606">
        <v>1</v>
      </c>
      <c r="H11" s="1606">
        <v>0</v>
      </c>
      <c r="I11" s="1606">
        <v>0</v>
      </c>
      <c r="J11" s="1606">
        <v>2</v>
      </c>
      <c r="K11" s="1606">
        <v>3</v>
      </c>
      <c r="L11" s="1607">
        <v>0</v>
      </c>
      <c r="M11" s="995">
        <f t="shared" si="3"/>
        <v>6</v>
      </c>
      <c r="N11" s="995"/>
      <c r="O11" s="995">
        <v>0</v>
      </c>
      <c r="P11" s="995">
        <v>11</v>
      </c>
      <c r="Q11" s="995">
        <v>3</v>
      </c>
      <c r="R11" s="995">
        <v>1</v>
      </c>
      <c r="S11" s="1461">
        <v>1</v>
      </c>
      <c r="T11" s="1461">
        <v>0</v>
      </c>
      <c r="U11" s="1461">
        <v>0</v>
      </c>
      <c r="W11" s="995">
        <f t="shared" si="4"/>
        <v>11</v>
      </c>
      <c r="X11" s="995">
        <f t="shared" si="5"/>
        <v>3</v>
      </c>
      <c r="Y11" s="995">
        <f t="shared" si="6"/>
        <v>1</v>
      </c>
      <c r="Z11" s="995">
        <f t="shared" si="7"/>
        <v>1</v>
      </c>
      <c r="AA11" s="1461">
        <f t="shared" si="8"/>
        <v>0</v>
      </c>
    </row>
    <row r="12" spans="1:27" s="1461" customFormat="1" ht="16.5" customHeight="1" x14ac:dyDescent="0.25">
      <c r="A12" s="1596" t="s">
        <v>26</v>
      </c>
      <c r="B12" s="1597" t="s">
        <v>685</v>
      </c>
      <c r="C12" s="553" t="s">
        <v>265</v>
      </c>
      <c r="D12" s="1605">
        <f t="shared" si="2"/>
        <v>49</v>
      </c>
      <c r="E12" s="1606">
        <v>33</v>
      </c>
      <c r="F12" s="1606">
        <v>3</v>
      </c>
      <c r="G12" s="1606">
        <v>0</v>
      </c>
      <c r="H12" s="1606">
        <v>0</v>
      </c>
      <c r="I12" s="1606">
        <v>0</v>
      </c>
      <c r="J12" s="1606">
        <v>8</v>
      </c>
      <c r="K12" s="1606">
        <v>5</v>
      </c>
      <c r="L12" s="1607">
        <v>0</v>
      </c>
      <c r="M12" s="995">
        <f t="shared" si="3"/>
        <v>13</v>
      </c>
      <c r="N12" s="639"/>
      <c r="O12" s="995">
        <v>0</v>
      </c>
      <c r="P12" s="995">
        <v>19</v>
      </c>
      <c r="Q12" s="639">
        <v>15</v>
      </c>
      <c r="R12" s="995">
        <v>11</v>
      </c>
      <c r="S12" s="1461">
        <v>4</v>
      </c>
      <c r="T12" s="1461">
        <v>0</v>
      </c>
      <c r="U12" s="1461">
        <v>0</v>
      </c>
      <c r="W12" s="995">
        <f t="shared" si="4"/>
        <v>19</v>
      </c>
      <c r="X12" s="995">
        <f t="shared" si="5"/>
        <v>15</v>
      </c>
      <c r="Y12" s="995">
        <f t="shared" si="6"/>
        <v>11</v>
      </c>
      <c r="Z12" s="995">
        <f t="shared" si="7"/>
        <v>4</v>
      </c>
      <c r="AA12" s="1461">
        <f t="shared" si="8"/>
        <v>0</v>
      </c>
    </row>
    <row r="13" spans="1:27" s="1461" customFormat="1" ht="16.5" customHeight="1" x14ac:dyDescent="0.25">
      <c r="A13" s="1596" t="s">
        <v>27</v>
      </c>
      <c r="B13" s="1597" t="s">
        <v>28</v>
      </c>
      <c r="C13" s="558" t="s">
        <v>265</v>
      </c>
      <c r="D13" s="1605">
        <f t="shared" si="2"/>
        <v>2</v>
      </c>
      <c r="E13" s="1606">
        <v>0</v>
      </c>
      <c r="F13" s="1608">
        <v>0</v>
      </c>
      <c r="G13" s="1608">
        <v>0</v>
      </c>
      <c r="H13" s="1608">
        <v>0</v>
      </c>
      <c r="I13" s="1608">
        <v>0</v>
      </c>
      <c r="J13" s="1609">
        <v>0</v>
      </c>
      <c r="K13" s="1609">
        <v>2</v>
      </c>
      <c r="L13" s="1610">
        <v>0</v>
      </c>
      <c r="M13" s="995">
        <f t="shared" si="3"/>
        <v>2</v>
      </c>
      <c r="N13" s="639"/>
      <c r="O13" s="995">
        <v>0</v>
      </c>
      <c r="P13" s="995">
        <v>0</v>
      </c>
      <c r="Q13" s="995">
        <v>2</v>
      </c>
      <c r="R13" s="995">
        <v>0</v>
      </c>
      <c r="S13" s="1461">
        <v>0</v>
      </c>
      <c r="T13" s="1461">
        <v>0</v>
      </c>
      <c r="U13" s="1461">
        <v>0</v>
      </c>
      <c r="W13" s="995">
        <f t="shared" si="4"/>
        <v>0</v>
      </c>
      <c r="X13" s="995">
        <f t="shared" si="5"/>
        <v>2</v>
      </c>
      <c r="Y13" s="995">
        <f t="shared" si="6"/>
        <v>0</v>
      </c>
      <c r="Z13" s="995">
        <f t="shared" si="7"/>
        <v>0</v>
      </c>
      <c r="AA13" s="1461">
        <f t="shared" si="8"/>
        <v>0</v>
      </c>
    </row>
    <row r="14" spans="1:27" s="1461" customFormat="1" ht="16.5" customHeight="1" x14ac:dyDescent="0.25">
      <c r="A14" s="1596" t="s">
        <v>29</v>
      </c>
      <c r="B14" s="1597" t="s">
        <v>901</v>
      </c>
      <c r="C14" s="558" t="s">
        <v>265</v>
      </c>
      <c r="D14" s="1605">
        <f t="shared" si="2"/>
        <v>6</v>
      </c>
      <c r="E14" s="1606">
        <v>2</v>
      </c>
      <c r="F14" s="1606">
        <v>4</v>
      </c>
      <c r="G14" s="1606">
        <v>0</v>
      </c>
      <c r="H14" s="1606">
        <v>0</v>
      </c>
      <c r="I14" s="1606">
        <v>0</v>
      </c>
      <c r="J14" s="1606">
        <v>0</v>
      </c>
      <c r="K14" s="1606">
        <v>0</v>
      </c>
      <c r="L14" s="1607">
        <v>0</v>
      </c>
      <c r="M14" s="995">
        <f t="shared" si="3"/>
        <v>0</v>
      </c>
      <c r="N14" s="639"/>
      <c r="O14" s="995">
        <v>0</v>
      </c>
      <c r="P14" s="995">
        <v>0</v>
      </c>
      <c r="Q14" s="995">
        <v>2</v>
      </c>
      <c r="R14" s="995">
        <v>3</v>
      </c>
      <c r="S14" s="1461">
        <v>1</v>
      </c>
      <c r="T14" s="1461">
        <v>0</v>
      </c>
      <c r="U14" s="1461">
        <v>0</v>
      </c>
      <c r="W14" s="995">
        <f t="shared" si="4"/>
        <v>0</v>
      </c>
      <c r="X14" s="995">
        <f t="shared" si="5"/>
        <v>2</v>
      </c>
      <c r="Y14" s="995">
        <f t="shared" si="6"/>
        <v>3</v>
      </c>
      <c r="Z14" s="995">
        <f t="shared" si="7"/>
        <v>1</v>
      </c>
      <c r="AA14" s="1461">
        <f t="shared" si="8"/>
        <v>0</v>
      </c>
    </row>
    <row r="15" spans="1:27" s="1461" customFormat="1" ht="16.5" customHeight="1" x14ac:dyDescent="0.25">
      <c r="A15" s="1596" t="s">
        <v>30</v>
      </c>
      <c r="B15" s="1597" t="s">
        <v>31</v>
      </c>
      <c r="C15" s="558" t="s">
        <v>268</v>
      </c>
      <c r="D15" s="1605">
        <f t="shared" si="2"/>
        <v>2</v>
      </c>
      <c r="E15" s="1606">
        <v>2</v>
      </c>
      <c r="F15" s="1606">
        <v>0</v>
      </c>
      <c r="G15" s="1606">
        <v>0</v>
      </c>
      <c r="H15" s="1606">
        <v>0</v>
      </c>
      <c r="I15" s="1606">
        <v>0</v>
      </c>
      <c r="J15" s="1606">
        <v>0</v>
      </c>
      <c r="K15" s="1606">
        <v>0</v>
      </c>
      <c r="L15" s="1607">
        <v>0</v>
      </c>
      <c r="M15" s="639">
        <f t="shared" si="3"/>
        <v>0</v>
      </c>
      <c r="N15" s="639"/>
      <c r="O15" s="995">
        <v>0</v>
      </c>
      <c r="P15" s="995">
        <v>2</v>
      </c>
      <c r="Q15" s="995">
        <v>0</v>
      </c>
      <c r="R15" s="995">
        <v>0</v>
      </c>
      <c r="S15" s="1461">
        <v>0</v>
      </c>
      <c r="T15" s="1461">
        <v>0</v>
      </c>
      <c r="U15" s="1461">
        <v>0</v>
      </c>
      <c r="W15" s="995">
        <f t="shared" si="4"/>
        <v>2</v>
      </c>
      <c r="X15" s="995">
        <f t="shared" si="5"/>
        <v>0</v>
      </c>
      <c r="Y15" s="995">
        <f t="shared" si="6"/>
        <v>0</v>
      </c>
      <c r="Z15" s="995">
        <f t="shared" si="7"/>
        <v>0</v>
      </c>
      <c r="AA15" s="1461">
        <f t="shared" si="8"/>
        <v>0</v>
      </c>
    </row>
    <row r="16" spans="1:27" s="1461" customFormat="1" ht="16.5" customHeight="1" x14ac:dyDescent="0.25">
      <c r="A16" s="1596" t="s">
        <v>32</v>
      </c>
      <c r="B16" s="1597" t="s">
        <v>33</v>
      </c>
      <c r="C16" s="558" t="s">
        <v>265</v>
      </c>
      <c r="D16" s="1605">
        <f t="shared" si="2"/>
        <v>0</v>
      </c>
      <c r="E16" s="1606">
        <v>0</v>
      </c>
      <c r="F16" s="1606">
        <v>0</v>
      </c>
      <c r="G16" s="1606">
        <v>0</v>
      </c>
      <c r="H16" s="1606">
        <v>0</v>
      </c>
      <c r="I16" s="1606">
        <v>0</v>
      </c>
      <c r="J16" s="1606">
        <v>0</v>
      </c>
      <c r="K16" s="1606">
        <v>0</v>
      </c>
      <c r="L16" s="1607">
        <v>0</v>
      </c>
      <c r="M16" s="995">
        <f t="shared" si="3"/>
        <v>0</v>
      </c>
      <c r="N16" s="639"/>
      <c r="O16" s="995">
        <v>0</v>
      </c>
      <c r="P16" s="995">
        <v>0</v>
      </c>
      <c r="Q16" s="995">
        <v>0</v>
      </c>
      <c r="R16" s="995">
        <v>0</v>
      </c>
      <c r="S16" s="1461">
        <v>0</v>
      </c>
      <c r="T16" s="1461">
        <v>0</v>
      </c>
      <c r="U16" s="1461">
        <v>0</v>
      </c>
      <c r="W16" s="995">
        <f t="shared" si="4"/>
        <v>0</v>
      </c>
      <c r="X16" s="995">
        <f t="shared" si="5"/>
        <v>0</v>
      </c>
      <c r="Y16" s="995">
        <f t="shared" si="6"/>
        <v>0</v>
      </c>
      <c r="Z16" s="995">
        <f t="shared" si="7"/>
        <v>0</v>
      </c>
      <c r="AA16" s="1461">
        <f t="shared" si="8"/>
        <v>0</v>
      </c>
    </row>
    <row r="17" spans="1:27" s="1461" customFormat="1" ht="16.5" customHeight="1" x14ac:dyDescent="0.25">
      <c r="A17" s="1596" t="s">
        <v>36</v>
      </c>
      <c r="B17" s="1597" t="s">
        <v>37</v>
      </c>
      <c r="C17" s="558" t="s">
        <v>264</v>
      </c>
      <c r="D17" s="1605">
        <f t="shared" si="2"/>
        <v>0</v>
      </c>
      <c r="E17" s="1606">
        <v>0</v>
      </c>
      <c r="F17" s="1606">
        <v>0</v>
      </c>
      <c r="G17" s="1606">
        <v>0</v>
      </c>
      <c r="H17" s="1606">
        <v>0</v>
      </c>
      <c r="I17" s="1606">
        <v>0</v>
      </c>
      <c r="J17" s="1606">
        <v>0</v>
      </c>
      <c r="K17" s="1606">
        <v>0</v>
      </c>
      <c r="L17" s="1607">
        <v>0</v>
      </c>
      <c r="M17" s="995">
        <f t="shared" si="3"/>
        <v>0</v>
      </c>
      <c r="N17" s="995"/>
      <c r="O17" s="995">
        <v>0</v>
      </c>
      <c r="P17" s="995">
        <v>0</v>
      </c>
      <c r="Q17" s="995">
        <v>0</v>
      </c>
      <c r="R17" s="995">
        <v>0</v>
      </c>
      <c r="S17" s="1461">
        <v>0</v>
      </c>
      <c r="T17" s="1461">
        <v>0</v>
      </c>
      <c r="U17" s="1461">
        <v>0</v>
      </c>
      <c r="W17" s="995">
        <f t="shared" si="4"/>
        <v>0</v>
      </c>
      <c r="X17" s="995">
        <f t="shared" si="5"/>
        <v>0</v>
      </c>
      <c r="Y17" s="995">
        <f t="shared" si="6"/>
        <v>0</v>
      </c>
      <c r="Z17" s="995">
        <f t="shared" si="7"/>
        <v>0</v>
      </c>
      <c r="AA17" s="1461">
        <f t="shared" si="8"/>
        <v>0</v>
      </c>
    </row>
    <row r="18" spans="1:27" s="1461" customFormat="1" ht="16.5" customHeight="1" x14ac:dyDescent="0.25">
      <c r="A18" s="1596" t="s">
        <v>38</v>
      </c>
      <c r="B18" s="1597" t="s">
        <v>39</v>
      </c>
      <c r="C18" s="558" t="s">
        <v>268</v>
      </c>
      <c r="D18" s="1605">
        <f t="shared" si="2"/>
        <v>19</v>
      </c>
      <c r="E18" s="1606">
        <v>17</v>
      </c>
      <c r="F18" s="1606">
        <v>0</v>
      </c>
      <c r="G18" s="1606">
        <v>0</v>
      </c>
      <c r="H18" s="1606">
        <v>0</v>
      </c>
      <c r="I18" s="1606">
        <v>0</v>
      </c>
      <c r="J18" s="1606">
        <v>2</v>
      </c>
      <c r="K18" s="1606">
        <v>0</v>
      </c>
      <c r="L18" s="1607">
        <v>0</v>
      </c>
      <c r="M18" s="995">
        <f t="shared" si="3"/>
        <v>2</v>
      </c>
      <c r="N18" s="639"/>
      <c r="O18" s="995">
        <v>0</v>
      </c>
      <c r="P18" s="995">
        <v>8</v>
      </c>
      <c r="Q18" s="995">
        <v>7</v>
      </c>
      <c r="R18" s="995">
        <v>3</v>
      </c>
      <c r="S18" s="1461">
        <v>1</v>
      </c>
      <c r="T18" s="1461">
        <v>0</v>
      </c>
      <c r="U18" s="1461">
        <v>0</v>
      </c>
      <c r="W18" s="995">
        <f t="shared" si="4"/>
        <v>8</v>
      </c>
      <c r="X18" s="995">
        <f t="shared" si="5"/>
        <v>7</v>
      </c>
      <c r="Y18" s="995">
        <f t="shared" si="6"/>
        <v>3</v>
      </c>
      <c r="Z18" s="995">
        <f t="shared" si="7"/>
        <v>1</v>
      </c>
      <c r="AA18" s="1461">
        <f t="shared" si="8"/>
        <v>0</v>
      </c>
    </row>
    <row r="19" spans="1:27" s="1461" customFormat="1" ht="16.5" customHeight="1" x14ac:dyDescent="0.25">
      <c r="A19" s="1596" t="s">
        <v>40</v>
      </c>
      <c r="B19" s="1597" t="s">
        <v>41</v>
      </c>
      <c r="C19" s="558" t="s">
        <v>266</v>
      </c>
      <c r="D19" s="1605">
        <f t="shared" si="2"/>
        <v>2</v>
      </c>
      <c r="E19" s="1606">
        <v>1</v>
      </c>
      <c r="F19" s="1606">
        <v>1</v>
      </c>
      <c r="G19" s="1606">
        <v>0</v>
      </c>
      <c r="H19" s="1606">
        <v>0</v>
      </c>
      <c r="I19" s="1606">
        <v>0</v>
      </c>
      <c r="J19" s="1606">
        <v>0</v>
      </c>
      <c r="K19" s="1606">
        <v>0</v>
      </c>
      <c r="L19" s="1607">
        <v>0</v>
      </c>
      <c r="M19" s="995">
        <f t="shared" si="3"/>
        <v>0</v>
      </c>
      <c r="N19" s="995"/>
      <c r="O19" s="995">
        <v>0</v>
      </c>
      <c r="P19" s="995">
        <v>1</v>
      </c>
      <c r="Q19" s="995">
        <v>0</v>
      </c>
      <c r="R19" s="995">
        <v>1</v>
      </c>
      <c r="S19" s="1461">
        <v>0</v>
      </c>
      <c r="T19" s="1461">
        <v>0</v>
      </c>
      <c r="U19" s="1461">
        <v>0</v>
      </c>
      <c r="W19" s="995">
        <f t="shared" si="4"/>
        <v>1</v>
      </c>
      <c r="X19" s="995">
        <f t="shared" si="5"/>
        <v>0</v>
      </c>
      <c r="Y19" s="995">
        <f t="shared" si="6"/>
        <v>1</v>
      </c>
      <c r="Z19" s="995">
        <f t="shared" si="7"/>
        <v>0</v>
      </c>
      <c r="AA19" s="1461">
        <f t="shared" si="8"/>
        <v>0</v>
      </c>
    </row>
    <row r="20" spans="1:27" s="1461" customFormat="1" ht="16.5" customHeight="1" x14ac:dyDescent="0.25">
      <c r="A20" s="1596" t="s">
        <v>42</v>
      </c>
      <c r="B20" s="1597" t="s">
        <v>43</v>
      </c>
      <c r="C20" s="558" t="s">
        <v>265</v>
      </c>
      <c r="D20" s="1605">
        <f t="shared" si="2"/>
        <v>12</v>
      </c>
      <c r="E20" s="1606">
        <v>9</v>
      </c>
      <c r="F20" s="1606">
        <v>2</v>
      </c>
      <c r="G20" s="1606">
        <v>0</v>
      </c>
      <c r="H20" s="1606">
        <v>0</v>
      </c>
      <c r="I20" s="1606">
        <v>0</v>
      </c>
      <c r="J20" s="1606">
        <v>1</v>
      </c>
      <c r="K20" s="1606">
        <v>0</v>
      </c>
      <c r="L20" s="1607">
        <v>0</v>
      </c>
      <c r="M20" s="995">
        <f t="shared" si="3"/>
        <v>1</v>
      </c>
      <c r="N20" s="639"/>
      <c r="O20" s="995">
        <v>1</v>
      </c>
      <c r="P20" s="995">
        <v>7</v>
      </c>
      <c r="Q20" s="995">
        <v>3</v>
      </c>
      <c r="R20" s="995">
        <v>0</v>
      </c>
      <c r="S20" s="1461">
        <v>1</v>
      </c>
      <c r="T20" s="1461">
        <v>0</v>
      </c>
      <c r="U20" s="1461">
        <v>0</v>
      </c>
      <c r="W20" s="995">
        <f t="shared" si="4"/>
        <v>8</v>
      </c>
      <c r="X20" s="995">
        <f t="shared" si="5"/>
        <v>3</v>
      </c>
      <c r="Y20" s="995">
        <f t="shared" si="6"/>
        <v>0</v>
      </c>
      <c r="Z20" s="995">
        <f t="shared" si="7"/>
        <v>1</v>
      </c>
      <c r="AA20" s="1461">
        <f t="shared" si="8"/>
        <v>0</v>
      </c>
    </row>
    <row r="21" spans="1:27" s="1461" customFormat="1" ht="16.5" customHeight="1" x14ac:dyDescent="0.25">
      <c r="A21" s="1596" t="s">
        <v>44</v>
      </c>
      <c r="B21" s="1597" t="s">
        <v>45</v>
      </c>
      <c r="C21" s="558" t="s">
        <v>266</v>
      </c>
      <c r="D21" s="1605">
        <f t="shared" si="2"/>
        <v>3</v>
      </c>
      <c r="E21" s="1606">
        <v>2</v>
      </c>
      <c r="F21" s="1606">
        <v>0</v>
      </c>
      <c r="G21" s="1606">
        <v>0</v>
      </c>
      <c r="H21" s="1606">
        <v>0</v>
      </c>
      <c r="I21" s="1606">
        <v>0</v>
      </c>
      <c r="J21" s="1606">
        <v>1</v>
      </c>
      <c r="K21" s="1606">
        <v>0</v>
      </c>
      <c r="L21" s="1607">
        <v>0</v>
      </c>
      <c r="M21" s="995">
        <f t="shared" si="3"/>
        <v>1</v>
      </c>
      <c r="N21" s="995"/>
      <c r="O21" s="995">
        <v>0</v>
      </c>
      <c r="P21" s="995">
        <v>0</v>
      </c>
      <c r="Q21" s="995">
        <v>2</v>
      </c>
      <c r="R21" s="995">
        <v>1</v>
      </c>
      <c r="S21" s="1461">
        <v>0</v>
      </c>
      <c r="T21" s="1461">
        <v>0</v>
      </c>
      <c r="U21" s="1461">
        <v>0</v>
      </c>
      <c r="W21" s="995">
        <f t="shared" si="4"/>
        <v>0</v>
      </c>
      <c r="X21" s="995">
        <f t="shared" si="5"/>
        <v>2</v>
      </c>
      <c r="Y21" s="995">
        <f t="shared" si="6"/>
        <v>1</v>
      </c>
      <c r="Z21" s="995">
        <f t="shared" si="7"/>
        <v>0</v>
      </c>
      <c r="AA21" s="1461">
        <f t="shared" si="8"/>
        <v>0</v>
      </c>
    </row>
    <row r="22" spans="1:27" s="1461" customFormat="1" ht="16.5" customHeight="1" x14ac:dyDescent="0.25">
      <c r="A22" s="1596" t="s">
        <v>46</v>
      </c>
      <c r="B22" s="1597" t="s">
        <v>47</v>
      </c>
      <c r="C22" s="558" t="s">
        <v>268</v>
      </c>
      <c r="D22" s="1605">
        <f t="shared" si="2"/>
        <v>4</v>
      </c>
      <c r="E22" s="1606">
        <v>3</v>
      </c>
      <c r="F22" s="1606">
        <v>0</v>
      </c>
      <c r="G22" s="1606">
        <v>0</v>
      </c>
      <c r="H22" s="1606">
        <v>0</v>
      </c>
      <c r="I22" s="1606">
        <v>0</v>
      </c>
      <c r="J22" s="1606">
        <v>0</v>
      </c>
      <c r="K22" s="1606">
        <v>1</v>
      </c>
      <c r="L22" s="1607">
        <v>0</v>
      </c>
      <c r="M22" s="639">
        <f t="shared" si="3"/>
        <v>1</v>
      </c>
      <c r="N22" s="639"/>
      <c r="O22" s="995">
        <v>0</v>
      </c>
      <c r="P22" s="995">
        <v>2</v>
      </c>
      <c r="Q22" s="995">
        <v>1</v>
      </c>
      <c r="R22" s="995">
        <v>1</v>
      </c>
      <c r="S22" s="1461">
        <v>0</v>
      </c>
      <c r="T22" s="1461">
        <v>0</v>
      </c>
      <c r="U22" s="1461">
        <v>0</v>
      </c>
      <c r="W22" s="995">
        <f t="shared" si="4"/>
        <v>2</v>
      </c>
      <c r="X22" s="995">
        <f t="shared" si="5"/>
        <v>1</v>
      </c>
      <c r="Y22" s="995">
        <f t="shared" si="6"/>
        <v>1</v>
      </c>
      <c r="Z22" s="995">
        <f t="shared" si="7"/>
        <v>0</v>
      </c>
      <c r="AA22" s="1461">
        <f t="shared" si="8"/>
        <v>0</v>
      </c>
    </row>
    <row r="23" spans="1:27" s="1461" customFormat="1" ht="16.5" customHeight="1" x14ac:dyDescent="0.25">
      <c r="A23" s="1596" t="s">
        <v>48</v>
      </c>
      <c r="B23" s="1597" t="s">
        <v>269</v>
      </c>
      <c r="C23" s="558" t="s">
        <v>266</v>
      </c>
      <c r="D23" s="1605">
        <f t="shared" si="2"/>
        <v>0</v>
      </c>
      <c r="E23" s="1606">
        <v>0</v>
      </c>
      <c r="F23" s="1608">
        <v>0</v>
      </c>
      <c r="G23" s="1608">
        <v>0</v>
      </c>
      <c r="H23" s="1608">
        <v>0</v>
      </c>
      <c r="I23" s="1608">
        <v>0</v>
      </c>
      <c r="J23" s="1609">
        <v>0</v>
      </c>
      <c r="K23" s="1609">
        <v>0</v>
      </c>
      <c r="L23" s="1610">
        <v>0</v>
      </c>
      <c r="M23" s="995">
        <f t="shared" si="3"/>
        <v>0</v>
      </c>
      <c r="N23" s="639"/>
      <c r="O23" s="995">
        <v>0</v>
      </c>
      <c r="P23" s="995">
        <v>0</v>
      </c>
      <c r="Q23" s="995">
        <v>0</v>
      </c>
      <c r="R23" s="995">
        <v>0</v>
      </c>
      <c r="S23" s="1461">
        <v>0</v>
      </c>
      <c r="T23" s="1461">
        <v>0</v>
      </c>
      <c r="U23" s="1461">
        <v>0</v>
      </c>
      <c r="W23" s="995">
        <f t="shared" si="4"/>
        <v>0</v>
      </c>
      <c r="X23" s="995">
        <f t="shared" si="5"/>
        <v>0</v>
      </c>
      <c r="Y23" s="995">
        <f t="shared" si="6"/>
        <v>0</v>
      </c>
      <c r="Z23" s="995">
        <f t="shared" si="7"/>
        <v>0</v>
      </c>
      <c r="AA23" s="1461">
        <f t="shared" si="8"/>
        <v>0</v>
      </c>
    </row>
    <row r="24" spans="1:27" s="1461" customFormat="1" ht="16.5" customHeight="1" x14ac:dyDescent="0.25">
      <c r="A24" s="1596" t="s">
        <v>50</v>
      </c>
      <c r="B24" s="1597" t="s">
        <v>51</v>
      </c>
      <c r="C24" s="558" t="s">
        <v>265</v>
      </c>
      <c r="D24" s="1605">
        <f t="shared" si="2"/>
        <v>1</v>
      </c>
      <c r="E24" s="1606">
        <v>1</v>
      </c>
      <c r="F24" s="1606">
        <v>0</v>
      </c>
      <c r="G24" s="1606">
        <v>0</v>
      </c>
      <c r="H24" s="1606">
        <v>0</v>
      </c>
      <c r="I24" s="1606">
        <v>0</v>
      </c>
      <c r="J24" s="1606">
        <v>0</v>
      </c>
      <c r="K24" s="1606">
        <v>0</v>
      </c>
      <c r="L24" s="1607">
        <v>0</v>
      </c>
      <c r="M24" s="995">
        <f t="shared" si="3"/>
        <v>0</v>
      </c>
      <c r="N24" s="639"/>
      <c r="O24" s="995">
        <v>0</v>
      </c>
      <c r="P24" s="995">
        <v>1</v>
      </c>
      <c r="Q24" s="995">
        <v>0</v>
      </c>
      <c r="R24" s="995">
        <v>0</v>
      </c>
      <c r="S24" s="1461">
        <v>0</v>
      </c>
      <c r="T24" s="1461">
        <v>0</v>
      </c>
      <c r="U24" s="1461">
        <v>0</v>
      </c>
      <c r="W24" s="995">
        <f t="shared" si="4"/>
        <v>1</v>
      </c>
      <c r="X24" s="995">
        <f t="shared" si="5"/>
        <v>0</v>
      </c>
      <c r="Y24" s="995">
        <f t="shared" si="6"/>
        <v>0</v>
      </c>
      <c r="Z24" s="995">
        <f t="shared" si="7"/>
        <v>0</v>
      </c>
      <c r="AA24" s="1461">
        <f t="shared" si="8"/>
        <v>0</v>
      </c>
    </row>
    <row r="25" spans="1:27" s="1461" customFormat="1" ht="16.5" customHeight="1" x14ac:dyDescent="0.25">
      <c r="A25" s="1596" t="s">
        <v>56</v>
      </c>
      <c r="B25" s="1597" t="s">
        <v>295</v>
      </c>
      <c r="C25" s="558" t="s">
        <v>266</v>
      </c>
      <c r="D25" s="1605">
        <f t="shared" si="2"/>
        <v>14</v>
      </c>
      <c r="E25" s="1606">
        <v>5</v>
      </c>
      <c r="F25" s="1606">
        <v>0</v>
      </c>
      <c r="G25" s="1606">
        <v>0</v>
      </c>
      <c r="H25" s="1606">
        <v>0</v>
      </c>
      <c r="I25" s="1606">
        <v>0</v>
      </c>
      <c r="J25" s="1606">
        <v>6</v>
      </c>
      <c r="K25" s="1606">
        <v>3</v>
      </c>
      <c r="L25" s="1607">
        <v>0</v>
      </c>
      <c r="M25" s="995">
        <f t="shared" si="3"/>
        <v>9</v>
      </c>
      <c r="N25" s="995"/>
      <c r="O25" s="995">
        <v>0</v>
      </c>
      <c r="P25" s="995">
        <v>8</v>
      </c>
      <c r="Q25" s="995">
        <v>1</v>
      </c>
      <c r="R25" s="995">
        <v>2</v>
      </c>
      <c r="S25" s="1461">
        <v>3</v>
      </c>
      <c r="T25" s="1461">
        <v>0</v>
      </c>
      <c r="U25" s="1461">
        <v>0</v>
      </c>
      <c r="W25" s="995">
        <f t="shared" si="4"/>
        <v>8</v>
      </c>
      <c r="X25" s="995">
        <f t="shared" si="5"/>
        <v>1</v>
      </c>
      <c r="Y25" s="995">
        <f t="shared" si="6"/>
        <v>2</v>
      </c>
      <c r="Z25" s="995">
        <f t="shared" si="7"/>
        <v>3</v>
      </c>
      <c r="AA25" s="1461">
        <f t="shared" si="8"/>
        <v>0</v>
      </c>
    </row>
    <row r="26" spans="1:27" s="1461" customFormat="1" ht="16.5" customHeight="1" x14ac:dyDescent="0.25">
      <c r="A26" s="1596" t="s">
        <v>58</v>
      </c>
      <c r="B26" s="1597" t="s">
        <v>59</v>
      </c>
      <c r="C26" s="558" t="s">
        <v>267</v>
      </c>
      <c r="D26" s="1611">
        <f t="shared" si="2"/>
        <v>2</v>
      </c>
      <c r="E26" s="1608">
        <v>2</v>
      </c>
      <c r="F26" s="1608">
        <v>0</v>
      </c>
      <c r="G26" s="1608">
        <v>0</v>
      </c>
      <c r="H26" s="1608">
        <v>0</v>
      </c>
      <c r="I26" s="1608">
        <v>0</v>
      </c>
      <c r="J26" s="1609">
        <v>0</v>
      </c>
      <c r="K26" s="1609">
        <v>0</v>
      </c>
      <c r="L26" s="1610">
        <v>0</v>
      </c>
      <c r="M26" s="995">
        <f t="shared" si="3"/>
        <v>0</v>
      </c>
      <c r="N26" s="639"/>
      <c r="O26" s="995">
        <v>0</v>
      </c>
      <c r="P26" s="995">
        <v>1</v>
      </c>
      <c r="Q26" s="995">
        <v>0</v>
      </c>
      <c r="R26" s="995">
        <v>1</v>
      </c>
      <c r="S26" s="1461">
        <v>0</v>
      </c>
      <c r="T26" s="1461">
        <v>0</v>
      </c>
      <c r="U26" s="1461">
        <v>0</v>
      </c>
      <c r="W26" s="995">
        <f t="shared" si="4"/>
        <v>1</v>
      </c>
      <c r="X26" s="995">
        <f t="shared" si="5"/>
        <v>0</v>
      </c>
      <c r="Y26" s="995">
        <f t="shared" si="6"/>
        <v>1</v>
      </c>
      <c r="Z26" s="995">
        <f t="shared" si="7"/>
        <v>0</v>
      </c>
      <c r="AA26" s="1461">
        <f t="shared" si="8"/>
        <v>0</v>
      </c>
    </row>
    <row r="27" spans="1:27" s="1461" customFormat="1" ht="16.5" customHeight="1" x14ac:dyDescent="0.25">
      <c r="A27" s="1596" t="s">
        <v>60</v>
      </c>
      <c r="B27" s="1597" t="s">
        <v>61</v>
      </c>
      <c r="C27" s="558" t="s">
        <v>265</v>
      </c>
      <c r="D27" s="1611">
        <f t="shared" si="2"/>
        <v>2</v>
      </c>
      <c r="E27" s="1608">
        <v>2</v>
      </c>
      <c r="F27" s="1608">
        <v>0</v>
      </c>
      <c r="G27" s="1608">
        <v>0</v>
      </c>
      <c r="H27" s="1608">
        <v>0</v>
      </c>
      <c r="I27" s="1608">
        <v>0</v>
      </c>
      <c r="J27" s="1609">
        <v>0</v>
      </c>
      <c r="K27" s="1609">
        <v>0</v>
      </c>
      <c r="L27" s="1610">
        <v>0</v>
      </c>
      <c r="M27" s="995">
        <f t="shared" si="3"/>
        <v>0</v>
      </c>
      <c r="N27" s="639"/>
      <c r="O27" s="995">
        <v>0</v>
      </c>
      <c r="P27" s="995">
        <v>0</v>
      </c>
      <c r="Q27" s="995">
        <v>1</v>
      </c>
      <c r="R27" s="995">
        <v>1</v>
      </c>
      <c r="S27" s="1461">
        <v>0</v>
      </c>
      <c r="T27" s="1461">
        <v>0</v>
      </c>
      <c r="U27" s="1461">
        <v>0</v>
      </c>
      <c r="W27" s="995">
        <f t="shared" si="4"/>
        <v>0</v>
      </c>
      <c r="X27" s="995">
        <f t="shared" si="5"/>
        <v>1</v>
      </c>
      <c r="Y27" s="995">
        <f t="shared" si="6"/>
        <v>1</v>
      </c>
      <c r="Z27" s="995">
        <f t="shared" si="7"/>
        <v>0</v>
      </c>
      <c r="AA27" s="1461">
        <f t="shared" si="8"/>
        <v>0</v>
      </c>
    </row>
    <row r="28" spans="1:27" s="1461" customFormat="1" ht="16.5" customHeight="1" x14ac:dyDescent="0.25">
      <c r="A28" s="1596" t="s">
        <v>62</v>
      </c>
      <c r="B28" s="1597" t="s">
        <v>63</v>
      </c>
      <c r="C28" s="558" t="s">
        <v>267</v>
      </c>
      <c r="D28" s="1605">
        <f t="shared" si="2"/>
        <v>1</v>
      </c>
      <c r="E28" s="1606">
        <v>1</v>
      </c>
      <c r="F28" s="1606">
        <v>0</v>
      </c>
      <c r="G28" s="1606">
        <v>0</v>
      </c>
      <c r="H28" s="1606">
        <v>0</v>
      </c>
      <c r="I28" s="1606">
        <v>0</v>
      </c>
      <c r="J28" s="1606">
        <v>0</v>
      </c>
      <c r="K28" s="1606">
        <v>0</v>
      </c>
      <c r="L28" s="1607">
        <v>0</v>
      </c>
      <c r="M28" s="995">
        <f t="shared" si="3"/>
        <v>0</v>
      </c>
      <c r="N28" s="639"/>
      <c r="O28" s="995">
        <v>0</v>
      </c>
      <c r="P28" s="995">
        <v>0</v>
      </c>
      <c r="Q28" s="995">
        <v>0</v>
      </c>
      <c r="R28" s="995">
        <v>1</v>
      </c>
      <c r="S28" s="1461">
        <v>0</v>
      </c>
      <c r="T28" s="1461">
        <v>0</v>
      </c>
      <c r="U28" s="1461">
        <v>0</v>
      </c>
      <c r="W28" s="995">
        <f t="shared" si="4"/>
        <v>0</v>
      </c>
      <c r="X28" s="995">
        <f t="shared" si="5"/>
        <v>0</v>
      </c>
      <c r="Y28" s="995">
        <f t="shared" si="6"/>
        <v>1</v>
      </c>
      <c r="Z28" s="995">
        <f t="shared" si="7"/>
        <v>0</v>
      </c>
      <c r="AA28" s="1461">
        <f t="shared" si="8"/>
        <v>0</v>
      </c>
    </row>
    <row r="29" spans="1:27" s="1461" customFormat="1" ht="16.5" customHeight="1" x14ac:dyDescent="0.25">
      <c r="A29" s="1596" t="s">
        <v>64</v>
      </c>
      <c r="B29" s="1597" t="s">
        <v>65</v>
      </c>
      <c r="C29" s="558" t="s">
        <v>266</v>
      </c>
      <c r="D29" s="1605">
        <f t="shared" si="2"/>
        <v>0</v>
      </c>
      <c r="E29" s="1606">
        <v>0</v>
      </c>
      <c r="F29" s="1606">
        <v>0</v>
      </c>
      <c r="G29" s="1606">
        <v>0</v>
      </c>
      <c r="H29" s="1606">
        <v>0</v>
      </c>
      <c r="I29" s="1606">
        <v>0</v>
      </c>
      <c r="J29" s="1606">
        <v>0</v>
      </c>
      <c r="K29" s="1606">
        <v>0</v>
      </c>
      <c r="L29" s="1607">
        <v>0</v>
      </c>
      <c r="M29" s="995">
        <f t="shared" si="3"/>
        <v>0</v>
      </c>
      <c r="N29" s="639"/>
      <c r="O29" s="995">
        <v>0</v>
      </c>
      <c r="P29" s="995">
        <v>0</v>
      </c>
      <c r="Q29" s="639">
        <v>0</v>
      </c>
      <c r="R29" s="995">
        <v>0</v>
      </c>
      <c r="S29" s="1461">
        <v>0</v>
      </c>
      <c r="T29" s="1461">
        <v>0</v>
      </c>
      <c r="U29" s="1461">
        <v>0</v>
      </c>
      <c r="W29" s="995">
        <f t="shared" si="4"/>
        <v>0</v>
      </c>
      <c r="X29" s="995">
        <f t="shared" si="5"/>
        <v>0</v>
      </c>
      <c r="Y29" s="995">
        <f t="shared" si="6"/>
        <v>0</v>
      </c>
      <c r="Z29" s="995">
        <f t="shared" si="7"/>
        <v>0</v>
      </c>
      <c r="AA29" s="1461">
        <f t="shared" si="8"/>
        <v>0</v>
      </c>
    </row>
    <row r="30" spans="1:27" s="1461" customFormat="1" ht="16.5" customHeight="1" x14ac:dyDescent="0.25">
      <c r="A30" s="1596" t="s">
        <v>68</v>
      </c>
      <c r="B30" s="1597" t="s">
        <v>69</v>
      </c>
      <c r="C30" s="558" t="s">
        <v>268</v>
      </c>
      <c r="D30" s="1605">
        <f t="shared" si="2"/>
        <v>7</v>
      </c>
      <c r="E30" s="1606">
        <v>7</v>
      </c>
      <c r="F30" s="1606">
        <v>0</v>
      </c>
      <c r="G30" s="1606">
        <v>0</v>
      </c>
      <c r="H30" s="1606">
        <v>0</v>
      </c>
      <c r="I30" s="1606">
        <v>0</v>
      </c>
      <c r="J30" s="1606">
        <v>0</v>
      </c>
      <c r="K30" s="1606">
        <v>0</v>
      </c>
      <c r="L30" s="1607">
        <v>0</v>
      </c>
      <c r="M30" s="995">
        <f t="shared" si="3"/>
        <v>0</v>
      </c>
      <c r="N30" s="995"/>
      <c r="O30" s="995">
        <v>0</v>
      </c>
      <c r="P30" s="995">
        <v>2</v>
      </c>
      <c r="Q30" s="995">
        <v>3</v>
      </c>
      <c r="R30" s="995">
        <v>2</v>
      </c>
      <c r="S30" s="1461">
        <v>0</v>
      </c>
      <c r="T30" s="1461">
        <v>0</v>
      </c>
      <c r="U30" s="1461">
        <v>0</v>
      </c>
      <c r="W30" s="995">
        <f t="shared" si="4"/>
        <v>2</v>
      </c>
      <c r="X30" s="995">
        <f t="shared" si="5"/>
        <v>3</v>
      </c>
      <c r="Y30" s="995">
        <f t="shared" si="6"/>
        <v>2</v>
      </c>
      <c r="Z30" s="995">
        <f t="shared" si="7"/>
        <v>0</v>
      </c>
      <c r="AA30" s="1461">
        <f t="shared" si="8"/>
        <v>0</v>
      </c>
    </row>
    <row r="31" spans="1:27" s="1461" customFormat="1" ht="16.5" customHeight="1" x14ac:dyDescent="0.25">
      <c r="A31" s="1596" t="s">
        <v>70</v>
      </c>
      <c r="B31" s="1597" t="s">
        <v>71</v>
      </c>
      <c r="C31" s="558" t="s">
        <v>264</v>
      </c>
      <c r="D31" s="1605">
        <f t="shared" si="2"/>
        <v>2</v>
      </c>
      <c r="E31" s="1606">
        <v>1</v>
      </c>
      <c r="F31" s="1606">
        <v>1</v>
      </c>
      <c r="G31" s="1606">
        <v>0</v>
      </c>
      <c r="H31" s="1606">
        <v>0</v>
      </c>
      <c r="I31" s="1606">
        <v>0</v>
      </c>
      <c r="J31" s="1606">
        <v>0</v>
      </c>
      <c r="K31" s="1606">
        <v>0</v>
      </c>
      <c r="L31" s="1607">
        <v>0</v>
      </c>
      <c r="M31" s="995">
        <f t="shared" si="3"/>
        <v>0</v>
      </c>
      <c r="N31" s="995"/>
      <c r="O31" s="995">
        <v>0</v>
      </c>
      <c r="P31" s="995">
        <v>1</v>
      </c>
      <c r="Q31" s="995">
        <v>0</v>
      </c>
      <c r="R31" s="995">
        <v>1</v>
      </c>
      <c r="S31" s="1461">
        <v>0</v>
      </c>
      <c r="T31" s="1461">
        <v>0</v>
      </c>
      <c r="U31" s="1461">
        <v>0</v>
      </c>
      <c r="W31" s="995">
        <f t="shared" si="4"/>
        <v>1</v>
      </c>
      <c r="X31" s="995">
        <f t="shared" si="5"/>
        <v>0</v>
      </c>
      <c r="Y31" s="995">
        <f t="shared" si="6"/>
        <v>1</v>
      </c>
      <c r="Z31" s="995">
        <f t="shared" si="7"/>
        <v>0</v>
      </c>
      <c r="AA31" s="1461">
        <f t="shared" si="8"/>
        <v>0</v>
      </c>
    </row>
    <row r="32" spans="1:27" s="1461" customFormat="1" ht="16.5" customHeight="1" x14ac:dyDescent="0.25">
      <c r="A32" s="1596" t="s">
        <v>72</v>
      </c>
      <c r="B32" s="1597" t="s">
        <v>73</v>
      </c>
      <c r="C32" s="558" t="s">
        <v>266</v>
      </c>
      <c r="D32" s="1605">
        <f t="shared" si="2"/>
        <v>0</v>
      </c>
      <c r="E32" s="1606">
        <v>0</v>
      </c>
      <c r="F32" s="1608">
        <v>0</v>
      </c>
      <c r="G32" s="1608">
        <v>0</v>
      </c>
      <c r="H32" s="1608">
        <v>0</v>
      </c>
      <c r="I32" s="1608">
        <v>0</v>
      </c>
      <c r="J32" s="1609">
        <v>0</v>
      </c>
      <c r="K32" s="1609">
        <v>0</v>
      </c>
      <c r="L32" s="1610">
        <v>0</v>
      </c>
      <c r="M32" s="995">
        <f t="shared" si="3"/>
        <v>0</v>
      </c>
      <c r="N32" s="639"/>
      <c r="O32" s="995">
        <v>0</v>
      </c>
      <c r="P32" s="995">
        <v>0</v>
      </c>
      <c r="Q32" s="995">
        <v>0</v>
      </c>
      <c r="R32" s="995">
        <v>0</v>
      </c>
      <c r="S32" s="1461">
        <v>0</v>
      </c>
      <c r="T32" s="1461">
        <v>0</v>
      </c>
      <c r="U32" s="1461">
        <v>0</v>
      </c>
      <c r="W32" s="995">
        <f t="shared" si="4"/>
        <v>0</v>
      </c>
      <c r="X32" s="995">
        <f t="shared" si="5"/>
        <v>0</v>
      </c>
      <c r="Y32" s="995">
        <f t="shared" si="6"/>
        <v>0</v>
      </c>
      <c r="Z32" s="995">
        <f t="shared" si="7"/>
        <v>0</v>
      </c>
      <c r="AA32" s="1461">
        <f t="shared" si="8"/>
        <v>0</v>
      </c>
    </row>
    <row r="33" spans="1:27" s="1461" customFormat="1" ht="16.5" customHeight="1" x14ac:dyDescent="0.25">
      <c r="A33" s="1596" t="s">
        <v>74</v>
      </c>
      <c r="B33" s="1597" t="s">
        <v>302</v>
      </c>
      <c r="C33" s="558" t="s">
        <v>267</v>
      </c>
      <c r="D33" s="1605">
        <f t="shared" si="2"/>
        <v>29</v>
      </c>
      <c r="E33" s="1606">
        <v>5</v>
      </c>
      <c r="F33" s="1606">
        <v>9</v>
      </c>
      <c r="G33" s="1606">
        <v>4</v>
      </c>
      <c r="H33" s="1606">
        <v>0</v>
      </c>
      <c r="I33" s="1606">
        <v>0</v>
      </c>
      <c r="J33" s="1606">
        <v>5</v>
      </c>
      <c r="K33" s="1606">
        <v>6</v>
      </c>
      <c r="L33" s="1607">
        <v>0</v>
      </c>
      <c r="M33" s="995">
        <f t="shared" si="3"/>
        <v>15</v>
      </c>
      <c r="N33" s="995"/>
      <c r="O33" s="995">
        <v>0</v>
      </c>
      <c r="P33" s="995">
        <v>11</v>
      </c>
      <c r="Q33" s="995">
        <v>8</v>
      </c>
      <c r="R33" s="995">
        <v>6</v>
      </c>
      <c r="S33" s="1461">
        <v>4</v>
      </c>
      <c r="T33" s="1461">
        <v>0</v>
      </c>
      <c r="U33" s="1461">
        <v>0</v>
      </c>
      <c r="W33" s="995">
        <f t="shared" si="4"/>
        <v>11</v>
      </c>
      <c r="X33" s="995">
        <f t="shared" si="5"/>
        <v>8</v>
      </c>
      <c r="Y33" s="995">
        <f t="shared" si="6"/>
        <v>6</v>
      </c>
      <c r="Z33" s="995">
        <f t="shared" si="7"/>
        <v>4</v>
      </c>
      <c r="AA33" s="1461">
        <f t="shared" si="8"/>
        <v>0</v>
      </c>
    </row>
    <row r="34" spans="1:27" s="1461" customFormat="1" ht="16.5" customHeight="1" x14ac:dyDescent="0.25">
      <c r="A34" s="1596" t="s">
        <v>76</v>
      </c>
      <c r="B34" s="1597" t="s">
        <v>77</v>
      </c>
      <c r="C34" s="558" t="s">
        <v>267</v>
      </c>
      <c r="D34" s="1605">
        <f t="shared" si="2"/>
        <v>19</v>
      </c>
      <c r="E34" s="1606">
        <v>3</v>
      </c>
      <c r="F34" s="1606">
        <v>7</v>
      </c>
      <c r="G34" s="1606">
        <v>0</v>
      </c>
      <c r="H34" s="1606">
        <v>0</v>
      </c>
      <c r="I34" s="1606">
        <v>0</v>
      </c>
      <c r="J34" s="1606">
        <v>5</v>
      </c>
      <c r="K34" s="1606">
        <v>4</v>
      </c>
      <c r="L34" s="1607">
        <v>0</v>
      </c>
      <c r="M34" s="995">
        <f t="shared" si="3"/>
        <v>9</v>
      </c>
      <c r="N34" s="639"/>
      <c r="O34" s="995">
        <v>0</v>
      </c>
      <c r="P34" s="995">
        <v>10</v>
      </c>
      <c r="Q34" s="995">
        <v>5</v>
      </c>
      <c r="R34" s="995">
        <v>4</v>
      </c>
      <c r="S34" s="1461">
        <v>0</v>
      </c>
      <c r="T34" s="1461">
        <v>0</v>
      </c>
      <c r="U34" s="1461">
        <v>0</v>
      </c>
      <c r="W34" s="995">
        <f t="shared" si="4"/>
        <v>10</v>
      </c>
      <c r="X34" s="995">
        <f t="shared" si="5"/>
        <v>5</v>
      </c>
      <c r="Y34" s="995">
        <f t="shared" si="6"/>
        <v>4</v>
      </c>
      <c r="Z34" s="995">
        <f t="shared" si="7"/>
        <v>0</v>
      </c>
      <c r="AA34" s="1461">
        <f t="shared" si="8"/>
        <v>0</v>
      </c>
    </row>
    <row r="35" spans="1:27" s="1461" customFormat="1" ht="16.5" customHeight="1" x14ac:dyDescent="0.25">
      <c r="A35" s="1596" t="s">
        <v>78</v>
      </c>
      <c r="B35" s="1597" t="s">
        <v>79</v>
      </c>
      <c r="C35" s="558" t="s">
        <v>268</v>
      </c>
      <c r="D35" s="1605">
        <f t="shared" si="2"/>
        <v>1</v>
      </c>
      <c r="E35" s="1606">
        <v>1</v>
      </c>
      <c r="F35" s="1606">
        <v>0</v>
      </c>
      <c r="G35" s="1606">
        <v>0</v>
      </c>
      <c r="H35" s="1606">
        <v>0</v>
      </c>
      <c r="I35" s="1606">
        <v>0</v>
      </c>
      <c r="J35" s="1606">
        <v>0</v>
      </c>
      <c r="K35" s="1606">
        <v>0</v>
      </c>
      <c r="L35" s="1607">
        <v>0</v>
      </c>
      <c r="M35" s="995">
        <f t="shared" si="3"/>
        <v>0</v>
      </c>
      <c r="N35" s="995"/>
      <c r="O35" s="995">
        <v>0</v>
      </c>
      <c r="P35" s="995">
        <v>1</v>
      </c>
      <c r="Q35" s="995">
        <v>0</v>
      </c>
      <c r="R35" s="995">
        <v>0</v>
      </c>
      <c r="S35" s="1461">
        <v>0</v>
      </c>
      <c r="T35" s="1461">
        <v>0</v>
      </c>
      <c r="U35" s="1461">
        <v>0</v>
      </c>
      <c r="W35" s="995">
        <f t="shared" si="4"/>
        <v>1</v>
      </c>
      <c r="X35" s="995">
        <f t="shared" si="5"/>
        <v>0</v>
      </c>
      <c r="Y35" s="995">
        <f t="shared" si="6"/>
        <v>0</v>
      </c>
      <c r="Z35" s="995">
        <f t="shared" si="7"/>
        <v>0</v>
      </c>
      <c r="AA35" s="1461">
        <f t="shared" si="8"/>
        <v>0</v>
      </c>
    </row>
    <row r="36" spans="1:27" s="1461" customFormat="1" ht="16.5" customHeight="1" x14ac:dyDescent="0.25">
      <c r="A36" s="1596" t="s">
        <v>80</v>
      </c>
      <c r="B36" s="1597" t="s">
        <v>81</v>
      </c>
      <c r="C36" s="558" t="s">
        <v>266</v>
      </c>
      <c r="D36" s="1605">
        <f t="shared" si="2"/>
        <v>0</v>
      </c>
      <c r="E36" s="1606">
        <v>0</v>
      </c>
      <c r="F36" s="1606">
        <v>0</v>
      </c>
      <c r="G36" s="1606">
        <v>0</v>
      </c>
      <c r="H36" s="1606">
        <v>0</v>
      </c>
      <c r="I36" s="1606">
        <v>0</v>
      </c>
      <c r="J36" s="1606">
        <v>0</v>
      </c>
      <c r="K36" s="1606">
        <v>0</v>
      </c>
      <c r="L36" s="1607">
        <v>0</v>
      </c>
      <c r="M36" s="995">
        <f t="shared" si="3"/>
        <v>0</v>
      </c>
      <c r="N36" s="639"/>
      <c r="O36" s="995">
        <v>0</v>
      </c>
      <c r="P36" s="995">
        <v>0</v>
      </c>
      <c r="Q36" s="995">
        <v>0</v>
      </c>
      <c r="R36" s="995">
        <v>0</v>
      </c>
      <c r="S36" s="1461">
        <v>0</v>
      </c>
      <c r="T36" s="1461">
        <v>0</v>
      </c>
      <c r="U36" s="1461">
        <v>0</v>
      </c>
      <c r="W36" s="995">
        <f t="shared" si="4"/>
        <v>0</v>
      </c>
      <c r="X36" s="995">
        <f t="shared" si="5"/>
        <v>0</v>
      </c>
      <c r="Y36" s="995">
        <f t="shared" si="6"/>
        <v>0</v>
      </c>
      <c r="Z36" s="995">
        <f t="shared" si="7"/>
        <v>0</v>
      </c>
      <c r="AA36" s="1461">
        <f t="shared" si="8"/>
        <v>0</v>
      </c>
    </row>
    <row r="37" spans="1:27" s="1461" customFormat="1" ht="16.5" customHeight="1" x14ac:dyDescent="0.25">
      <c r="A37" s="1596" t="s">
        <v>84</v>
      </c>
      <c r="B37" s="1597" t="s">
        <v>308</v>
      </c>
      <c r="C37" s="558" t="s">
        <v>265</v>
      </c>
      <c r="D37" s="1605">
        <f t="shared" ref="D37:D68" si="9">SUM(E37:L37)</f>
        <v>11</v>
      </c>
      <c r="E37" s="1606">
        <v>5</v>
      </c>
      <c r="F37" s="1606">
        <v>0</v>
      </c>
      <c r="G37" s="1606">
        <v>0</v>
      </c>
      <c r="H37" s="1606">
        <v>0</v>
      </c>
      <c r="I37" s="1606">
        <v>0</v>
      </c>
      <c r="J37" s="1606">
        <v>0</v>
      </c>
      <c r="K37" s="1606">
        <v>6</v>
      </c>
      <c r="L37" s="1607">
        <v>0</v>
      </c>
      <c r="M37" s="995">
        <f t="shared" ref="M37:M68" si="10">G37+H37+I37+J37+K37</f>
        <v>6</v>
      </c>
      <c r="N37" s="995"/>
      <c r="O37" s="995">
        <v>0</v>
      </c>
      <c r="P37" s="995">
        <v>3</v>
      </c>
      <c r="Q37" s="639">
        <v>6</v>
      </c>
      <c r="R37" s="995">
        <v>2</v>
      </c>
      <c r="S37" s="1461">
        <v>0</v>
      </c>
      <c r="T37" s="1461">
        <v>0</v>
      </c>
      <c r="U37" s="1461">
        <v>0</v>
      </c>
      <c r="W37" s="995">
        <f t="shared" ref="W37:W68" si="11">O37+P37</f>
        <v>3</v>
      </c>
      <c r="X37" s="995">
        <f t="shared" ref="X37:X68" si="12">Q37</f>
        <v>6</v>
      </c>
      <c r="Y37" s="995">
        <f t="shared" ref="Y37:Y68" si="13">R37</f>
        <v>2</v>
      </c>
      <c r="Z37" s="995">
        <f t="shared" ref="Z37:Z68" si="14">S37</f>
        <v>0</v>
      </c>
      <c r="AA37" s="1461">
        <f t="shared" ref="AA37:AA68" si="15">T37</f>
        <v>0</v>
      </c>
    </row>
    <row r="38" spans="1:27" s="1461" customFormat="1" ht="16.5" customHeight="1" x14ac:dyDescent="0.25">
      <c r="A38" s="1596" t="s">
        <v>86</v>
      </c>
      <c r="B38" s="1597" t="s">
        <v>87</v>
      </c>
      <c r="C38" s="558" t="s">
        <v>267</v>
      </c>
      <c r="D38" s="1605">
        <f t="shared" si="9"/>
        <v>3</v>
      </c>
      <c r="E38" s="1606">
        <v>2</v>
      </c>
      <c r="F38" s="1606">
        <v>0</v>
      </c>
      <c r="G38" s="1606">
        <v>0</v>
      </c>
      <c r="H38" s="1606">
        <v>0</v>
      </c>
      <c r="I38" s="1606">
        <v>0</v>
      </c>
      <c r="J38" s="1606">
        <v>0</v>
      </c>
      <c r="K38" s="1606">
        <v>1</v>
      </c>
      <c r="L38" s="1607">
        <v>0</v>
      </c>
      <c r="M38" s="639">
        <f t="shared" si="10"/>
        <v>1</v>
      </c>
      <c r="N38" s="639"/>
      <c r="O38" s="639">
        <v>0</v>
      </c>
      <c r="P38" s="639">
        <v>2</v>
      </c>
      <c r="Q38" s="639">
        <v>1</v>
      </c>
      <c r="R38" s="995">
        <v>0</v>
      </c>
      <c r="S38" s="1461">
        <v>0</v>
      </c>
      <c r="T38" s="1461">
        <v>0</v>
      </c>
      <c r="U38" s="1461">
        <v>0</v>
      </c>
      <c r="W38" s="995">
        <f t="shared" si="11"/>
        <v>2</v>
      </c>
      <c r="X38" s="995">
        <f t="shared" si="12"/>
        <v>1</v>
      </c>
      <c r="Y38" s="995">
        <f t="shared" si="13"/>
        <v>0</v>
      </c>
      <c r="Z38" s="995">
        <f t="shared" si="14"/>
        <v>0</v>
      </c>
      <c r="AA38" s="1461">
        <f t="shared" si="15"/>
        <v>0</v>
      </c>
    </row>
    <row r="39" spans="1:27" s="1461" customFormat="1" ht="16.5" customHeight="1" x14ac:dyDescent="0.25">
      <c r="A39" s="1596" t="s">
        <v>92</v>
      </c>
      <c r="B39" s="1597" t="s">
        <v>93</v>
      </c>
      <c r="C39" s="558" t="s">
        <v>268</v>
      </c>
      <c r="D39" s="1605">
        <f t="shared" si="9"/>
        <v>14</v>
      </c>
      <c r="E39" s="1606">
        <v>14</v>
      </c>
      <c r="F39" s="1606">
        <v>0</v>
      </c>
      <c r="G39" s="1606">
        <v>0</v>
      </c>
      <c r="H39" s="1606">
        <v>0</v>
      </c>
      <c r="I39" s="1606">
        <v>0</v>
      </c>
      <c r="J39" s="1606">
        <v>0</v>
      </c>
      <c r="K39" s="1606">
        <v>0</v>
      </c>
      <c r="L39" s="1607">
        <v>0</v>
      </c>
      <c r="M39" s="995">
        <f t="shared" si="10"/>
        <v>0</v>
      </c>
      <c r="N39" s="639"/>
      <c r="O39" s="995">
        <v>0</v>
      </c>
      <c r="P39" s="995">
        <v>4</v>
      </c>
      <c r="Q39" s="995">
        <v>4</v>
      </c>
      <c r="R39" s="995">
        <v>4</v>
      </c>
      <c r="S39" s="1461">
        <v>2</v>
      </c>
      <c r="T39" s="1461">
        <v>0</v>
      </c>
      <c r="U39" s="1461">
        <v>0</v>
      </c>
      <c r="W39" s="995">
        <f t="shared" si="11"/>
        <v>4</v>
      </c>
      <c r="X39" s="995">
        <f t="shared" si="12"/>
        <v>4</v>
      </c>
      <c r="Y39" s="995">
        <f t="shared" si="13"/>
        <v>4</v>
      </c>
      <c r="Z39" s="995">
        <f t="shared" si="14"/>
        <v>2</v>
      </c>
      <c r="AA39" s="1461">
        <f t="shared" si="15"/>
        <v>0</v>
      </c>
    </row>
    <row r="40" spans="1:27" s="1461" customFormat="1" ht="16.5" customHeight="1" x14ac:dyDescent="0.25">
      <c r="A40" s="1596" t="s">
        <v>94</v>
      </c>
      <c r="B40" s="1597" t="s">
        <v>95</v>
      </c>
      <c r="C40" s="558" t="s">
        <v>264</v>
      </c>
      <c r="D40" s="1605">
        <f t="shared" si="9"/>
        <v>5</v>
      </c>
      <c r="E40" s="1606">
        <v>5</v>
      </c>
      <c r="F40" s="1606">
        <v>0</v>
      </c>
      <c r="G40" s="1606">
        <v>0</v>
      </c>
      <c r="H40" s="1606">
        <v>0</v>
      </c>
      <c r="I40" s="1606">
        <v>0</v>
      </c>
      <c r="J40" s="1606">
        <v>0</v>
      </c>
      <c r="K40" s="1606">
        <v>0</v>
      </c>
      <c r="L40" s="1607">
        <v>0</v>
      </c>
      <c r="M40" s="995">
        <f t="shared" si="10"/>
        <v>0</v>
      </c>
      <c r="N40" s="995"/>
      <c r="O40" s="995">
        <v>0</v>
      </c>
      <c r="P40" s="995">
        <v>4</v>
      </c>
      <c r="Q40" s="995">
        <v>0</v>
      </c>
      <c r="R40" s="995">
        <v>0</v>
      </c>
      <c r="S40" s="1461">
        <v>1</v>
      </c>
      <c r="T40" s="1461">
        <v>0</v>
      </c>
      <c r="U40" s="1461">
        <v>0</v>
      </c>
      <c r="W40" s="995">
        <f t="shared" si="11"/>
        <v>4</v>
      </c>
      <c r="X40" s="995">
        <f t="shared" si="12"/>
        <v>0</v>
      </c>
      <c r="Y40" s="995">
        <f t="shared" si="13"/>
        <v>0</v>
      </c>
      <c r="Z40" s="995">
        <f t="shared" si="14"/>
        <v>1</v>
      </c>
      <c r="AA40" s="1461">
        <f t="shared" si="15"/>
        <v>0</v>
      </c>
    </row>
    <row r="41" spans="1:27" s="1461" customFormat="1" ht="16.5" customHeight="1" x14ac:dyDescent="0.25">
      <c r="A41" s="1596" t="s">
        <v>96</v>
      </c>
      <c r="B41" s="1597" t="s">
        <v>97</v>
      </c>
      <c r="C41" s="558" t="s">
        <v>266</v>
      </c>
      <c r="D41" s="1605">
        <f t="shared" si="9"/>
        <v>2</v>
      </c>
      <c r="E41" s="1606">
        <v>1</v>
      </c>
      <c r="F41" s="1606">
        <v>0</v>
      </c>
      <c r="G41" s="1606">
        <v>0</v>
      </c>
      <c r="H41" s="1606">
        <v>0</v>
      </c>
      <c r="I41" s="1606">
        <v>0</v>
      </c>
      <c r="J41" s="1606">
        <v>1</v>
      </c>
      <c r="K41" s="1606">
        <v>0</v>
      </c>
      <c r="L41" s="1607">
        <v>0</v>
      </c>
      <c r="M41" s="995">
        <f t="shared" si="10"/>
        <v>1</v>
      </c>
      <c r="N41" s="995"/>
      <c r="O41" s="995">
        <v>0</v>
      </c>
      <c r="P41" s="995">
        <v>1</v>
      </c>
      <c r="Q41" s="995">
        <v>1</v>
      </c>
      <c r="R41" s="995">
        <v>0</v>
      </c>
      <c r="S41" s="1461">
        <v>0</v>
      </c>
      <c r="T41" s="1461">
        <v>0</v>
      </c>
      <c r="U41" s="1461">
        <v>0</v>
      </c>
      <c r="W41" s="995">
        <f t="shared" si="11"/>
        <v>1</v>
      </c>
      <c r="X41" s="995">
        <f t="shared" si="12"/>
        <v>1</v>
      </c>
      <c r="Y41" s="995">
        <f t="shared" si="13"/>
        <v>0</v>
      </c>
      <c r="Z41" s="995">
        <f t="shared" si="14"/>
        <v>0</v>
      </c>
      <c r="AA41" s="1461">
        <f t="shared" si="15"/>
        <v>0</v>
      </c>
    </row>
    <row r="42" spans="1:27" s="1461" customFormat="1" ht="16.5" customHeight="1" x14ac:dyDescent="0.25">
      <c r="A42" s="1596" t="s">
        <v>98</v>
      </c>
      <c r="B42" s="1597" t="s">
        <v>99</v>
      </c>
      <c r="C42" s="558" t="s">
        <v>268</v>
      </c>
      <c r="D42" s="1605">
        <f t="shared" si="9"/>
        <v>1</v>
      </c>
      <c r="E42" s="1606">
        <v>1</v>
      </c>
      <c r="F42" s="1606">
        <v>0</v>
      </c>
      <c r="G42" s="1606">
        <v>0</v>
      </c>
      <c r="H42" s="1606">
        <v>0</v>
      </c>
      <c r="I42" s="1606">
        <v>0</v>
      </c>
      <c r="J42" s="1606">
        <v>0</v>
      </c>
      <c r="K42" s="1606">
        <v>0</v>
      </c>
      <c r="L42" s="1607">
        <v>0</v>
      </c>
      <c r="M42" s="995">
        <f t="shared" si="10"/>
        <v>0</v>
      </c>
      <c r="N42" s="995"/>
      <c r="O42" s="995">
        <v>0</v>
      </c>
      <c r="P42" s="995">
        <v>0</v>
      </c>
      <c r="Q42" s="995">
        <v>0</v>
      </c>
      <c r="R42" s="995">
        <v>1</v>
      </c>
      <c r="S42" s="1461">
        <v>0</v>
      </c>
      <c r="T42" s="1461">
        <v>0</v>
      </c>
      <c r="U42" s="1461">
        <v>0</v>
      </c>
      <c r="W42" s="995">
        <f t="shared" si="11"/>
        <v>0</v>
      </c>
      <c r="X42" s="995">
        <f t="shared" si="12"/>
        <v>0</v>
      </c>
      <c r="Y42" s="995">
        <f t="shared" si="13"/>
        <v>1</v>
      </c>
      <c r="Z42" s="995">
        <f t="shared" si="14"/>
        <v>0</v>
      </c>
      <c r="AA42" s="1461">
        <f t="shared" si="15"/>
        <v>0</v>
      </c>
    </row>
    <row r="43" spans="1:27" s="1461" customFormat="1" ht="16.5" customHeight="1" x14ac:dyDescent="0.25">
      <c r="A43" s="1596" t="s">
        <v>100</v>
      </c>
      <c r="B43" s="1597" t="s">
        <v>101</v>
      </c>
      <c r="C43" s="558" t="s">
        <v>267</v>
      </c>
      <c r="D43" s="1605">
        <f t="shared" si="9"/>
        <v>1</v>
      </c>
      <c r="E43" s="1606">
        <v>1</v>
      </c>
      <c r="F43" s="1606">
        <v>0</v>
      </c>
      <c r="G43" s="1606">
        <v>0</v>
      </c>
      <c r="H43" s="1606">
        <v>0</v>
      </c>
      <c r="I43" s="1606">
        <v>0</v>
      </c>
      <c r="J43" s="1606">
        <v>0</v>
      </c>
      <c r="K43" s="1606">
        <v>0</v>
      </c>
      <c r="L43" s="1607">
        <v>0</v>
      </c>
      <c r="M43" s="995">
        <f t="shared" si="10"/>
        <v>0</v>
      </c>
      <c r="N43" s="639"/>
      <c r="O43" s="995">
        <v>0</v>
      </c>
      <c r="P43" s="995">
        <v>0</v>
      </c>
      <c r="Q43" s="995">
        <v>0</v>
      </c>
      <c r="R43" s="995">
        <v>1</v>
      </c>
      <c r="S43" s="1461">
        <v>0</v>
      </c>
      <c r="T43" s="1461">
        <v>0</v>
      </c>
      <c r="U43" s="1461">
        <v>0</v>
      </c>
      <c r="W43" s="995">
        <f t="shared" si="11"/>
        <v>0</v>
      </c>
      <c r="X43" s="995">
        <f t="shared" si="12"/>
        <v>0</v>
      </c>
      <c r="Y43" s="995">
        <f t="shared" si="13"/>
        <v>1</v>
      </c>
      <c r="Z43" s="995">
        <f t="shared" si="14"/>
        <v>0</v>
      </c>
      <c r="AA43" s="1461">
        <f t="shared" si="15"/>
        <v>0</v>
      </c>
    </row>
    <row r="44" spans="1:27" s="1461" customFormat="1" ht="16.5" customHeight="1" x14ac:dyDescent="0.25">
      <c r="A44" s="1596" t="s">
        <v>102</v>
      </c>
      <c r="B44" s="1597" t="s">
        <v>103</v>
      </c>
      <c r="C44" s="558" t="s">
        <v>264</v>
      </c>
      <c r="D44" s="1605">
        <f t="shared" si="9"/>
        <v>4</v>
      </c>
      <c r="E44" s="1606">
        <v>0</v>
      </c>
      <c r="F44" s="1608">
        <v>4</v>
      </c>
      <c r="G44" s="1608">
        <v>0</v>
      </c>
      <c r="H44" s="1608">
        <v>0</v>
      </c>
      <c r="I44" s="1608">
        <v>0</v>
      </c>
      <c r="J44" s="1609">
        <v>0</v>
      </c>
      <c r="K44" s="1609">
        <v>0</v>
      </c>
      <c r="L44" s="1610">
        <v>0</v>
      </c>
      <c r="M44" s="995">
        <f t="shared" si="10"/>
        <v>0</v>
      </c>
      <c r="N44" s="639"/>
      <c r="O44" s="995">
        <v>0</v>
      </c>
      <c r="P44" s="995">
        <v>3</v>
      </c>
      <c r="Q44" s="639">
        <v>1</v>
      </c>
      <c r="R44" s="995">
        <v>0</v>
      </c>
      <c r="S44" s="1461">
        <v>0</v>
      </c>
      <c r="T44" s="1461">
        <v>0</v>
      </c>
      <c r="U44" s="1461">
        <v>0</v>
      </c>
      <c r="W44" s="995">
        <f t="shared" si="11"/>
        <v>3</v>
      </c>
      <c r="X44" s="995">
        <f t="shared" si="12"/>
        <v>1</v>
      </c>
      <c r="Y44" s="995">
        <f t="shared" si="13"/>
        <v>0</v>
      </c>
      <c r="Z44" s="995">
        <f t="shared" si="14"/>
        <v>0</v>
      </c>
      <c r="AA44" s="1461">
        <f t="shared" si="15"/>
        <v>0</v>
      </c>
    </row>
    <row r="45" spans="1:27" s="1461" customFormat="1" ht="16.5" customHeight="1" x14ac:dyDescent="0.25">
      <c r="A45" s="1596" t="s">
        <v>104</v>
      </c>
      <c r="B45" s="1597" t="s">
        <v>309</v>
      </c>
      <c r="C45" s="558" t="s">
        <v>265</v>
      </c>
      <c r="D45" s="1605">
        <f t="shared" si="9"/>
        <v>3</v>
      </c>
      <c r="E45" s="1606">
        <v>2</v>
      </c>
      <c r="F45" s="1606">
        <v>1</v>
      </c>
      <c r="G45" s="1606">
        <v>0</v>
      </c>
      <c r="H45" s="1606">
        <v>0</v>
      </c>
      <c r="I45" s="1606">
        <v>0</v>
      </c>
      <c r="J45" s="1606">
        <v>0</v>
      </c>
      <c r="K45" s="1606">
        <v>0</v>
      </c>
      <c r="L45" s="1607">
        <v>0</v>
      </c>
      <c r="M45" s="995">
        <f t="shared" si="10"/>
        <v>0</v>
      </c>
      <c r="N45" s="639"/>
      <c r="O45" s="995">
        <v>0</v>
      </c>
      <c r="P45" s="995">
        <v>2</v>
      </c>
      <c r="Q45" s="639">
        <v>1</v>
      </c>
      <c r="R45" s="995">
        <v>0</v>
      </c>
      <c r="S45" s="1461">
        <v>0</v>
      </c>
      <c r="T45" s="1461">
        <v>0</v>
      </c>
      <c r="U45" s="1461">
        <v>0</v>
      </c>
      <c r="W45" s="995">
        <f t="shared" si="11"/>
        <v>2</v>
      </c>
      <c r="X45" s="995">
        <f t="shared" si="12"/>
        <v>1</v>
      </c>
      <c r="Y45" s="995">
        <f t="shared" si="13"/>
        <v>0</v>
      </c>
      <c r="Z45" s="995">
        <f t="shared" si="14"/>
        <v>0</v>
      </c>
      <c r="AA45" s="1461">
        <f t="shared" si="15"/>
        <v>0</v>
      </c>
    </row>
    <row r="46" spans="1:27" s="1461" customFormat="1" ht="16.5" customHeight="1" x14ac:dyDescent="0.25">
      <c r="A46" s="1596" t="s">
        <v>108</v>
      </c>
      <c r="B46" s="1597" t="s">
        <v>109</v>
      </c>
      <c r="C46" s="558" t="s">
        <v>266</v>
      </c>
      <c r="D46" s="1605">
        <f t="shared" si="9"/>
        <v>2</v>
      </c>
      <c r="E46" s="1606">
        <v>1</v>
      </c>
      <c r="F46" s="1606">
        <v>1</v>
      </c>
      <c r="G46" s="1606">
        <v>0</v>
      </c>
      <c r="H46" s="1606">
        <v>0</v>
      </c>
      <c r="I46" s="1606">
        <v>0</v>
      </c>
      <c r="J46" s="1606">
        <v>0</v>
      </c>
      <c r="K46" s="1606">
        <v>0</v>
      </c>
      <c r="L46" s="1607">
        <v>0</v>
      </c>
      <c r="M46" s="995">
        <f t="shared" si="10"/>
        <v>0</v>
      </c>
      <c r="N46" s="995"/>
      <c r="O46" s="995">
        <v>0</v>
      </c>
      <c r="P46" s="995">
        <v>1</v>
      </c>
      <c r="Q46" s="995">
        <v>0</v>
      </c>
      <c r="R46" s="995">
        <v>0</v>
      </c>
      <c r="S46" s="1461">
        <v>1</v>
      </c>
      <c r="T46" s="1461">
        <v>0</v>
      </c>
      <c r="U46" s="1461">
        <v>0</v>
      </c>
      <c r="W46" s="995">
        <f t="shared" si="11"/>
        <v>1</v>
      </c>
      <c r="X46" s="995">
        <f t="shared" si="12"/>
        <v>0</v>
      </c>
      <c r="Y46" s="995">
        <f t="shared" si="13"/>
        <v>0</v>
      </c>
      <c r="Z46" s="995">
        <f t="shared" si="14"/>
        <v>1</v>
      </c>
      <c r="AA46" s="1461">
        <f t="shared" si="15"/>
        <v>0</v>
      </c>
    </row>
    <row r="47" spans="1:27" s="1461" customFormat="1" ht="16.5" customHeight="1" x14ac:dyDescent="0.25">
      <c r="A47" s="1596" t="s">
        <v>110</v>
      </c>
      <c r="B47" s="1597" t="s">
        <v>111</v>
      </c>
      <c r="C47" s="558" t="s">
        <v>266</v>
      </c>
      <c r="D47" s="1605">
        <f t="shared" si="9"/>
        <v>11</v>
      </c>
      <c r="E47" s="1606">
        <v>2</v>
      </c>
      <c r="F47" s="1606">
        <v>3</v>
      </c>
      <c r="G47" s="1606">
        <v>1</v>
      </c>
      <c r="H47" s="1606">
        <v>0</v>
      </c>
      <c r="I47" s="1606">
        <v>0</v>
      </c>
      <c r="J47" s="1606">
        <v>4</v>
      </c>
      <c r="K47" s="1606">
        <v>1</v>
      </c>
      <c r="L47" s="1607">
        <v>0</v>
      </c>
      <c r="M47" s="995">
        <f t="shared" si="10"/>
        <v>6</v>
      </c>
      <c r="N47" s="995"/>
      <c r="O47" s="995">
        <v>0</v>
      </c>
      <c r="P47" s="995">
        <v>5</v>
      </c>
      <c r="Q47" s="995">
        <v>4</v>
      </c>
      <c r="R47" s="995">
        <v>1</v>
      </c>
      <c r="S47" s="1461">
        <v>1</v>
      </c>
      <c r="T47" s="1461">
        <v>0</v>
      </c>
      <c r="U47" s="1461">
        <v>0</v>
      </c>
      <c r="W47" s="995">
        <f t="shared" si="11"/>
        <v>5</v>
      </c>
      <c r="X47" s="995">
        <f t="shared" si="12"/>
        <v>4</v>
      </c>
      <c r="Y47" s="995">
        <f t="shared" si="13"/>
        <v>1</v>
      </c>
      <c r="Z47" s="995">
        <f t="shared" si="14"/>
        <v>1</v>
      </c>
      <c r="AA47" s="1461">
        <f t="shared" si="15"/>
        <v>0</v>
      </c>
    </row>
    <row r="48" spans="1:27" s="1461" customFormat="1" ht="16.5" customHeight="1" x14ac:dyDescent="0.25">
      <c r="A48" s="1596" t="s">
        <v>112</v>
      </c>
      <c r="B48" s="1597" t="s">
        <v>300</v>
      </c>
      <c r="C48" s="558" t="s">
        <v>265</v>
      </c>
      <c r="D48" s="1605">
        <f t="shared" si="9"/>
        <v>4</v>
      </c>
      <c r="E48" s="1606">
        <v>3</v>
      </c>
      <c r="F48" s="1606">
        <v>0</v>
      </c>
      <c r="G48" s="1606">
        <v>0</v>
      </c>
      <c r="H48" s="1606">
        <v>0</v>
      </c>
      <c r="I48" s="1606">
        <v>0</v>
      </c>
      <c r="J48" s="1606">
        <v>1</v>
      </c>
      <c r="K48" s="1606">
        <v>0</v>
      </c>
      <c r="L48" s="1607">
        <v>0</v>
      </c>
      <c r="M48" s="995">
        <f t="shared" si="10"/>
        <v>1</v>
      </c>
      <c r="N48" s="639"/>
      <c r="O48" s="995">
        <v>0</v>
      </c>
      <c r="P48" s="995">
        <v>2</v>
      </c>
      <c r="Q48" s="995">
        <v>0</v>
      </c>
      <c r="R48" s="995">
        <v>2</v>
      </c>
      <c r="S48" s="1461">
        <v>0</v>
      </c>
      <c r="T48" s="1461">
        <v>0</v>
      </c>
      <c r="U48" s="1461">
        <v>0</v>
      </c>
      <c r="W48" s="995">
        <f t="shared" si="11"/>
        <v>2</v>
      </c>
      <c r="X48" s="995">
        <f t="shared" si="12"/>
        <v>0</v>
      </c>
      <c r="Y48" s="995">
        <f t="shared" si="13"/>
        <v>2</v>
      </c>
      <c r="Z48" s="995">
        <f t="shared" si="14"/>
        <v>0</v>
      </c>
      <c r="AA48" s="1461">
        <f t="shared" si="15"/>
        <v>0</v>
      </c>
    </row>
    <row r="49" spans="1:27" s="1461" customFormat="1" ht="16.5" customHeight="1" x14ac:dyDescent="0.25">
      <c r="A49" s="1596" t="s">
        <v>114</v>
      </c>
      <c r="B49" s="1597" t="s">
        <v>115</v>
      </c>
      <c r="C49" s="558" t="s">
        <v>265</v>
      </c>
      <c r="D49" s="1611">
        <f t="shared" si="9"/>
        <v>1</v>
      </c>
      <c r="E49" s="1608">
        <v>1</v>
      </c>
      <c r="F49" s="1608">
        <v>0</v>
      </c>
      <c r="G49" s="1608">
        <v>0</v>
      </c>
      <c r="H49" s="1608">
        <v>0</v>
      </c>
      <c r="I49" s="1608">
        <v>0</v>
      </c>
      <c r="J49" s="1609">
        <v>0</v>
      </c>
      <c r="K49" s="1609">
        <v>0</v>
      </c>
      <c r="L49" s="1610">
        <v>0</v>
      </c>
      <c r="M49" s="995">
        <f t="shared" si="10"/>
        <v>0</v>
      </c>
      <c r="N49" s="995"/>
      <c r="O49" s="995">
        <v>0</v>
      </c>
      <c r="P49" s="995">
        <v>1</v>
      </c>
      <c r="Q49" s="995">
        <v>0</v>
      </c>
      <c r="R49" s="995">
        <v>0</v>
      </c>
      <c r="S49" s="1461">
        <v>0</v>
      </c>
      <c r="T49" s="1461">
        <v>0</v>
      </c>
      <c r="U49" s="1461">
        <v>0</v>
      </c>
      <c r="W49" s="995">
        <f t="shared" si="11"/>
        <v>1</v>
      </c>
      <c r="X49" s="995">
        <f t="shared" si="12"/>
        <v>0</v>
      </c>
      <c r="Y49" s="995">
        <f t="shared" si="13"/>
        <v>0</v>
      </c>
      <c r="Z49" s="995">
        <f t="shared" si="14"/>
        <v>0</v>
      </c>
      <c r="AA49" s="1461">
        <f t="shared" si="15"/>
        <v>0</v>
      </c>
    </row>
    <row r="50" spans="1:27" s="1461" customFormat="1" ht="16.5" customHeight="1" x14ac:dyDescent="0.25">
      <c r="A50" s="1596" t="s">
        <v>118</v>
      </c>
      <c r="B50" s="1597" t="s">
        <v>119</v>
      </c>
      <c r="C50" s="558" t="s">
        <v>264</v>
      </c>
      <c r="D50" s="1605">
        <f t="shared" si="9"/>
        <v>1</v>
      </c>
      <c r="E50" s="1606">
        <v>1</v>
      </c>
      <c r="F50" s="1606">
        <v>0</v>
      </c>
      <c r="G50" s="1606">
        <v>0</v>
      </c>
      <c r="H50" s="1606">
        <v>0</v>
      </c>
      <c r="I50" s="1606">
        <v>0</v>
      </c>
      <c r="J50" s="1606">
        <v>0</v>
      </c>
      <c r="K50" s="1606">
        <v>0</v>
      </c>
      <c r="L50" s="1607">
        <v>0</v>
      </c>
      <c r="M50" s="995">
        <f t="shared" si="10"/>
        <v>0</v>
      </c>
      <c r="N50" s="639"/>
      <c r="O50" s="995">
        <v>0</v>
      </c>
      <c r="P50" s="995">
        <v>0</v>
      </c>
      <c r="Q50" s="639">
        <v>1</v>
      </c>
      <c r="R50" s="995">
        <v>0</v>
      </c>
      <c r="S50" s="1461">
        <v>0</v>
      </c>
      <c r="T50" s="1461">
        <v>0</v>
      </c>
      <c r="U50" s="1461">
        <v>0</v>
      </c>
      <c r="W50" s="995">
        <f t="shared" si="11"/>
        <v>0</v>
      </c>
      <c r="X50" s="995">
        <f t="shared" si="12"/>
        <v>1</v>
      </c>
      <c r="Y50" s="995">
        <f t="shared" si="13"/>
        <v>0</v>
      </c>
      <c r="Z50" s="995">
        <f t="shared" si="14"/>
        <v>0</v>
      </c>
      <c r="AA50" s="1461">
        <f t="shared" si="15"/>
        <v>0</v>
      </c>
    </row>
    <row r="51" spans="1:27" s="1461" customFormat="1" ht="16.5" customHeight="1" x14ac:dyDescent="0.25">
      <c r="A51" s="1596" t="s">
        <v>120</v>
      </c>
      <c r="B51" s="1597" t="s">
        <v>121</v>
      </c>
      <c r="C51" s="558" t="s">
        <v>264</v>
      </c>
      <c r="D51" s="1605">
        <f t="shared" si="9"/>
        <v>2</v>
      </c>
      <c r="E51" s="1606">
        <v>1</v>
      </c>
      <c r="F51" s="1606">
        <v>1</v>
      </c>
      <c r="G51" s="1606">
        <v>0</v>
      </c>
      <c r="H51" s="1606">
        <v>0</v>
      </c>
      <c r="I51" s="1606">
        <v>0</v>
      </c>
      <c r="J51" s="1606">
        <v>0</v>
      </c>
      <c r="K51" s="1606">
        <v>0</v>
      </c>
      <c r="L51" s="1607">
        <v>0</v>
      </c>
      <c r="M51" s="995">
        <f t="shared" si="10"/>
        <v>0</v>
      </c>
      <c r="N51" s="639"/>
      <c r="O51" s="995">
        <v>0</v>
      </c>
      <c r="P51" s="995">
        <v>1</v>
      </c>
      <c r="Q51" s="995">
        <v>1</v>
      </c>
      <c r="R51" s="995">
        <v>0</v>
      </c>
      <c r="S51" s="1461">
        <v>0</v>
      </c>
      <c r="T51" s="1461">
        <v>0</v>
      </c>
      <c r="U51" s="1461">
        <v>0</v>
      </c>
      <c r="W51" s="995">
        <f t="shared" si="11"/>
        <v>1</v>
      </c>
      <c r="X51" s="995">
        <f t="shared" si="12"/>
        <v>1</v>
      </c>
      <c r="Y51" s="995">
        <f t="shared" si="13"/>
        <v>0</v>
      </c>
      <c r="Z51" s="995">
        <f t="shared" si="14"/>
        <v>0</v>
      </c>
      <c r="AA51" s="1461">
        <f t="shared" si="15"/>
        <v>0</v>
      </c>
    </row>
    <row r="52" spans="1:27" s="1461" customFormat="1" ht="16.5" customHeight="1" x14ac:dyDescent="0.25">
      <c r="A52" s="1596" t="s">
        <v>122</v>
      </c>
      <c r="B52" s="1597" t="s">
        <v>271</v>
      </c>
      <c r="C52" s="558" t="s">
        <v>266</v>
      </c>
      <c r="D52" s="1605">
        <f t="shared" si="9"/>
        <v>0</v>
      </c>
      <c r="E52" s="1606">
        <v>0</v>
      </c>
      <c r="F52" s="1606">
        <v>0</v>
      </c>
      <c r="G52" s="1606">
        <v>0</v>
      </c>
      <c r="H52" s="1606">
        <v>0</v>
      </c>
      <c r="I52" s="1606">
        <v>0</v>
      </c>
      <c r="J52" s="1606">
        <v>0</v>
      </c>
      <c r="K52" s="1606">
        <v>0</v>
      </c>
      <c r="L52" s="1607">
        <v>0</v>
      </c>
      <c r="M52" s="995">
        <f t="shared" si="10"/>
        <v>0</v>
      </c>
      <c r="N52" s="995"/>
      <c r="O52" s="995">
        <v>0</v>
      </c>
      <c r="P52" s="995">
        <v>0</v>
      </c>
      <c r="Q52" s="995">
        <v>0</v>
      </c>
      <c r="R52" s="995">
        <v>0</v>
      </c>
      <c r="S52" s="1461">
        <v>0</v>
      </c>
      <c r="T52" s="1461">
        <v>0</v>
      </c>
      <c r="U52" s="1461">
        <v>0</v>
      </c>
      <c r="W52" s="995">
        <f t="shared" si="11"/>
        <v>0</v>
      </c>
      <c r="X52" s="995">
        <f t="shared" si="12"/>
        <v>0</v>
      </c>
      <c r="Y52" s="995">
        <f t="shared" si="13"/>
        <v>0</v>
      </c>
      <c r="Z52" s="995">
        <f t="shared" si="14"/>
        <v>0</v>
      </c>
      <c r="AA52" s="1461">
        <f t="shared" si="15"/>
        <v>0</v>
      </c>
    </row>
    <row r="53" spans="1:27" s="1461" customFormat="1" ht="16.5" customHeight="1" x14ac:dyDescent="0.25">
      <c r="A53" s="1596" t="s">
        <v>124</v>
      </c>
      <c r="B53" s="1597" t="s">
        <v>125</v>
      </c>
      <c r="C53" s="558" t="s">
        <v>267</v>
      </c>
      <c r="D53" s="1605">
        <f t="shared" si="9"/>
        <v>2</v>
      </c>
      <c r="E53" s="1606">
        <v>2</v>
      </c>
      <c r="F53" s="1606">
        <v>0</v>
      </c>
      <c r="G53" s="1606">
        <v>0</v>
      </c>
      <c r="H53" s="1606">
        <v>0</v>
      </c>
      <c r="I53" s="1606">
        <v>0</v>
      </c>
      <c r="J53" s="1606">
        <v>0</v>
      </c>
      <c r="K53" s="1606">
        <v>0</v>
      </c>
      <c r="L53" s="1607">
        <v>0</v>
      </c>
      <c r="M53" s="995">
        <f t="shared" si="10"/>
        <v>0</v>
      </c>
      <c r="N53" s="639"/>
      <c r="O53" s="995">
        <v>0</v>
      </c>
      <c r="P53" s="995">
        <v>2</v>
      </c>
      <c r="Q53" s="995">
        <v>0</v>
      </c>
      <c r="R53" s="995">
        <v>0</v>
      </c>
      <c r="S53" s="1461">
        <v>0</v>
      </c>
      <c r="T53" s="1461">
        <v>0</v>
      </c>
      <c r="U53" s="1461">
        <v>0</v>
      </c>
      <c r="W53" s="995">
        <f t="shared" si="11"/>
        <v>2</v>
      </c>
      <c r="X53" s="995">
        <f t="shared" si="12"/>
        <v>0</v>
      </c>
      <c r="Y53" s="995">
        <f t="shared" si="13"/>
        <v>0</v>
      </c>
      <c r="Z53" s="995">
        <f t="shared" si="14"/>
        <v>0</v>
      </c>
      <c r="AA53" s="1461">
        <f t="shared" si="15"/>
        <v>0</v>
      </c>
    </row>
    <row r="54" spans="1:27" s="1461" customFormat="1" ht="16.5" customHeight="1" x14ac:dyDescent="0.25">
      <c r="A54" s="1596" t="s">
        <v>126</v>
      </c>
      <c r="B54" s="1597" t="s">
        <v>127</v>
      </c>
      <c r="C54" s="558" t="s">
        <v>266</v>
      </c>
      <c r="D54" s="1605">
        <f t="shared" si="9"/>
        <v>1</v>
      </c>
      <c r="E54" s="1606">
        <v>1</v>
      </c>
      <c r="F54" s="1606">
        <v>0</v>
      </c>
      <c r="G54" s="1606">
        <v>0</v>
      </c>
      <c r="H54" s="1606">
        <v>0</v>
      </c>
      <c r="I54" s="1606">
        <v>0</v>
      </c>
      <c r="J54" s="1606">
        <v>0</v>
      </c>
      <c r="K54" s="1606">
        <v>0</v>
      </c>
      <c r="L54" s="1607">
        <v>0</v>
      </c>
      <c r="M54" s="995">
        <f t="shared" si="10"/>
        <v>0</v>
      </c>
      <c r="N54" s="639"/>
      <c r="O54" s="995">
        <v>0</v>
      </c>
      <c r="P54" s="995">
        <v>0</v>
      </c>
      <c r="Q54" s="995">
        <v>0</v>
      </c>
      <c r="R54" s="995">
        <v>0</v>
      </c>
      <c r="S54" s="1461">
        <v>1</v>
      </c>
      <c r="T54" s="1461">
        <v>0</v>
      </c>
      <c r="U54" s="1461">
        <v>0</v>
      </c>
      <c r="W54" s="995">
        <f t="shared" si="11"/>
        <v>0</v>
      </c>
      <c r="X54" s="995">
        <f t="shared" si="12"/>
        <v>0</v>
      </c>
      <c r="Y54" s="995">
        <f t="shared" si="13"/>
        <v>0</v>
      </c>
      <c r="Z54" s="995">
        <f t="shared" si="14"/>
        <v>1</v>
      </c>
      <c r="AA54" s="1461">
        <f t="shared" si="15"/>
        <v>0</v>
      </c>
    </row>
    <row r="55" spans="1:27" s="1461" customFormat="1" ht="16.5" customHeight="1" x14ac:dyDescent="0.25">
      <c r="A55" s="1596" t="s">
        <v>128</v>
      </c>
      <c r="B55" s="1597" t="s">
        <v>129</v>
      </c>
      <c r="C55" s="558" t="s">
        <v>266</v>
      </c>
      <c r="D55" s="1605">
        <f t="shared" si="9"/>
        <v>0</v>
      </c>
      <c r="E55" s="1606">
        <v>0</v>
      </c>
      <c r="F55" s="1606">
        <v>0</v>
      </c>
      <c r="G55" s="1606">
        <v>0</v>
      </c>
      <c r="H55" s="1606">
        <v>0</v>
      </c>
      <c r="I55" s="1606">
        <v>0</v>
      </c>
      <c r="J55" s="1606">
        <v>0</v>
      </c>
      <c r="K55" s="1606">
        <v>0</v>
      </c>
      <c r="L55" s="1607">
        <v>0</v>
      </c>
      <c r="M55" s="995">
        <f t="shared" si="10"/>
        <v>0</v>
      </c>
      <c r="N55" s="639"/>
      <c r="O55" s="995">
        <v>0</v>
      </c>
      <c r="P55" s="995">
        <v>0</v>
      </c>
      <c r="Q55" s="995">
        <v>0</v>
      </c>
      <c r="R55" s="995">
        <v>0</v>
      </c>
      <c r="S55" s="1461">
        <v>0</v>
      </c>
      <c r="T55" s="1461">
        <v>0</v>
      </c>
      <c r="U55" s="1461">
        <v>0</v>
      </c>
      <c r="W55" s="995">
        <f t="shared" si="11"/>
        <v>0</v>
      </c>
      <c r="X55" s="995">
        <f t="shared" si="12"/>
        <v>0</v>
      </c>
      <c r="Y55" s="995">
        <f t="shared" si="13"/>
        <v>0</v>
      </c>
      <c r="Z55" s="995">
        <f t="shared" si="14"/>
        <v>0</v>
      </c>
      <c r="AA55" s="1461">
        <f t="shared" si="15"/>
        <v>0</v>
      </c>
    </row>
    <row r="56" spans="1:27" s="1461" customFormat="1" ht="16.5" customHeight="1" x14ac:dyDescent="0.25">
      <c r="A56" s="1596" t="s">
        <v>130</v>
      </c>
      <c r="B56" s="1597" t="s">
        <v>131</v>
      </c>
      <c r="C56" s="558" t="s">
        <v>268</v>
      </c>
      <c r="D56" s="1605">
        <f t="shared" si="9"/>
        <v>4</v>
      </c>
      <c r="E56" s="1606">
        <v>4</v>
      </c>
      <c r="F56" s="1606">
        <v>0</v>
      </c>
      <c r="G56" s="1606">
        <v>0</v>
      </c>
      <c r="H56" s="1606">
        <v>0</v>
      </c>
      <c r="I56" s="1606">
        <v>0</v>
      </c>
      <c r="J56" s="1606">
        <v>0</v>
      </c>
      <c r="K56" s="1606">
        <v>0</v>
      </c>
      <c r="L56" s="1607">
        <v>0</v>
      </c>
      <c r="M56" s="995">
        <f t="shared" si="10"/>
        <v>0</v>
      </c>
      <c r="N56" s="639"/>
      <c r="O56" s="995">
        <v>0</v>
      </c>
      <c r="P56" s="995">
        <v>3</v>
      </c>
      <c r="Q56" s="995">
        <v>0</v>
      </c>
      <c r="R56" s="995">
        <v>1</v>
      </c>
      <c r="S56" s="1461">
        <v>0</v>
      </c>
      <c r="T56" s="1461">
        <v>0</v>
      </c>
      <c r="U56" s="1461">
        <v>0</v>
      </c>
      <c r="W56" s="995">
        <f t="shared" si="11"/>
        <v>3</v>
      </c>
      <c r="X56" s="995">
        <f t="shared" si="12"/>
        <v>0</v>
      </c>
      <c r="Y56" s="995">
        <f t="shared" si="13"/>
        <v>1</v>
      </c>
      <c r="Z56" s="995">
        <f t="shared" si="14"/>
        <v>0</v>
      </c>
      <c r="AA56" s="1461">
        <f t="shared" si="15"/>
        <v>0</v>
      </c>
    </row>
    <row r="57" spans="1:27" s="1461" customFormat="1" ht="16.5" customHeight="1" x14ac:dyDescent="0.25">
      <c r="A57" s="1596" t="s">
        <v>132</v>
      </c>
      <c r="B57" s="1597" t="s">
        <v>133</v>
      </c>
      <c r="C57" s="558" t="s">
        <v>267</v>
      </c>
      <c r="D57" s="1605">
        <f t="shared" si="9"/>
        <v>5</v>
      </c>
      <c r="E57" s="1606">
        <v>5</v>
      </c>
      <c r="F57" s="1606">
        <v>0</v>
      </c>
      <c r="G57" s="1606">
        <v>0</v>
      </c>
      <c r="H57" s="1606">
        <v>0</v>
      </c>
      <c r="I57" s="1606">
        <v>0</v>
      </c>
      <c r="J57" s="1606">
        <v>0</v>
      </c>
      <c r="K57" s="1606">
        <v>0</v>
      </c>
      <c r="L57" s="1607">
        <v>0</v>
      </c>
      <c r="M57" s="995">
        <f t="shared" si="10"/>
        <v>0</v>
      </c>
      <c r="N57" s="639"/>
      <c r="O57" s="995">
        <v>0</v>
      </c>
      <c r="P57" s="995">
        <v>2</v>
      </c>
      <c r="Q57" s="995">
        <v>2</v>
      </c>
      <c r="R57" s="995">
        <v>1</v>
      </c>
      <c r="S57" s="1461">
        <v>0</v>
      </c>
      <c r="T57" s="1461">
        <v>0</v>
      </c>
      <c r="U57" s="1461">
        <v>0</v>
      </c>
      <c r="W57" s="995">
        <f t="shared" si="11"/>
        <v>2</v>
      </c>
      <c r="X57" s="995">
        <f t="shared" si="12"/>
        <v>2</v>
      </c>
      <c r="Y57" s="995">
        <f t="shared" si="13"/>
        <v>1</v>
      </c>
      <c r="Z57" s="995">
        <f t="shared" si="14"/>
        <v>0</v>
      </c>
      <c r="AA57" s="1461">
        <f t="shared" si="15"/>
        <v>0</v>
      </c>
    </row>
    <row r="58" spans="1:27" s="1461" customFormat="1" ht="16.5" customHeight="1" x14ac:dyDescent="0.25">
      <c r="A58" s="1596" t="s">
        <v>134</v>
      </c>
      <c r="B58" s="1597" t="s">
        <v>135</v>
      </c>
      <c r="C58" s="558" t="s">
        <v>267</v>
      </c>
      <c r="D58" s="1605">
        <f t="shared" si="9"/>
        <v>6</v>
      </c>
      <c r="E58" s="1606">
        <v>6</v>
      </c>
      <c r="F58" s="1606">
        <v>0</v>
      </c>
      <c r="G58" s="1606">
        <v>0</v>
      </c>
      <c r="H58" s="1606">
        <v>0</v>
      </c>
      <c r="I58" s="1606">
        <v>0</v>
      </c>
      <c r="J58" s="1606">
        <v>0</v>
      </c>
      <c r="K58" s="1606">
        <v>0</v>
      </c>
      <c r="L58" s="1607">
        <v>0</v>
      </c>
      <c r="M58" s="995">
        <f t="shared" si="10"/>
        <v>0</v>
      </c>
      <c r="N58" s="995"/>
      <c r="O58" s="995">
        <v>0</v>
      </c>
      <c r="P58" s="995">
        <v>2</v>
      </c>
      <c r="Q58" s="995">
        <v>4</v>
      </c>
      <c r="R58" s="995">
        <v>0</v>
      </c>
      <c r="S58" s="1461">
        <v>0</v>
      </c>
      <c r="T58" s="1461">
        <v>0</v>
      </c>
      <c r="U58" s="1461">
        <v>0</v>
      </c>
      <c r="W58" s="995">
        <f t="shared" si="11"/>
        <v>2</v>
      </c>
      <c r="X58" s="995">
        <f t="shared" si="12"/>
        <v>4</v>
      </c>
      <c r="Y58" s="995">
        <f t="shared" si="13"/>
        <v>0</v>
      </c>
      <c r="Z58" s="995">
        <f t="shared" si="14"/>
        <v>0</v>
      </c>
      <c r="AA58" s="1461">
        <f t="shared" si="15"/>
        <v>0</v>
      </c>
    </row>
    <row r="59" spans="1:27" s="1461" customFormat="1" ht="16.5" customHeight="1" x14ac:dyDescent="0.25">
      <c r="A59" s="1596" t="s">
        <v>136</v>
      </c>
      <c r="B59" s="1597" t="s">
        <v>137</v>
      </c>
      <c r="C59" s="558" t="s">
        <v>266</v>
      </c>
      <c r="D59" s="1605">
        <f t="shared" si="9"/>
        <v>0</v>
      </c>
      <c r="E59" s="1606">
        <v>0</v>
      </c>
      <c r="F59" s="1608">
        <v>0</v>
      </c>
      <c r="G59" s="1608">
        <v>0</v>
      </c>
      <c r="H59" s="1608">
        <v>0</v>
      </c>
      <c r="I59" s="1608">
        <v>0</v>
      </c>
      <c r="J59" s="1609">
        <v>0</v>
      </c>
      <c r="K59" s="1609">
        <v>0</v>
      </c>
      <c r="L59" s="1610">
        <v>0</v>
      </c>
      <c r="M59" s="995">
        <f t="shared" si="10"/>
        <v>0</v>
      </c>
      <c r="N59" s="995"/>
      <c r="O59" s="995">
        <v>0</v>
      </c>
      <c r="P59" s="995">
        <v>0</v>
      </c>
      <c r="Q59" s="995">
        <v>0</v>
      </c>
      <c r="R59" s="995">
        <v>0</v>
      </c>
      <c r="S59" s="1461">
        <v>0</v>
      </c>
      <c r="T59" s="1461">
        <v>0</v>
      </c>
      <c r="U59" s="1461">
        <v>0</v>
      </c>
      <c r="W59" s="995">
        <f t="shared" si="11"/>
        <v>0</v>
      </c>
      <c r="X59" s="995">
        <f t="shared" si="12"/>
        <v>0</v>
      </c>
      <c r="Y59" s="995">
        <f t="shared" si="13"/>
        <v>0</v>
      </c>
      <c r="Z59" s="995">
        <f t="shared" si="14"/>
        <v>0</v>
      </c>
      <c r="AA59" s="1461">
        <f t="shared" si="15"/>
        <v>0</v>
      </c>
    </row>
    <row r="60" spans="1:27" s="1461" customFormat="1" ht="16.5" customHeight="1" x14ac:dyDescent="0.25">
      <c r="A60" s="1596" t="s">
        <v>140</v>
      </c>
      <c r="B60" s="1597" t="s">
        <v>141</v>
      </c>
      <c r="C60" s="558" t="s">
        <v>267</v>
      </c>
      <c r="D60" s="1605">
        <f t="shared" si="9"/>
        <v>6</v>
      </c>
      <c r="E60" s="1606">
        <v>5</v>
      </c>
      <c r="F60" s="1606">
        <v>0</v>
      </c>
      <c r="G60" s="1606">
        <v>0</v>
      </c>
      <c r="H60" s="1606">
        <v>0</v>
      </c>
      <c r="I60" s="1606">
        <v>0</v>
      </c>
      <c r="J60" s="1606">
        <v>1</v>
      </c>
      <c r="K60" s="1606">
        <v>0</v>
      </c>
      <c r="L60" s="1607">
        <v>0</v>
      </c>
      <c r="M60" s="995">
        <f t="shared" si="10"/>
        <v>1</v>
      </c>
      <c r="N60" s="995"/>
      <c r="O60" s="995">
        <v>0</v>
      </c>
      <c r="P60" s="995">
        <v>3</v>
      </c>
      <c r="Q60" s="995">
        <v>3</v>
      </c>
      <c r="R60" s="995">
        <v>0</v>
      </c>
      <c r="S60" s="1461">
        <v>0</v>
      </c>
      <c r="T60" s="1461">
        <v>0</v>
      </c>
      <c r="U60" s="1461">
        <v>0</v>
      </c>
      <c r="W60" s="995">
        <f t="shared" si="11"/>
        <v>3</v>
      </c>
      <c r="X60" s="995">
        <f t="shared" si="12"/>
        <v>3</v>
      </c>
      <c r="Y60" s="995">
        <f t="shared" si="13"/>
        <v>0</v>
      </c>
      <c r="Z60" s="995">
        <f t="shared" si="14"/>
        <v>0</v>
      </c>
      <c r="AA60" s="1461">
        <f t="shared" si="15"/>
        <v>0</v>
      </c>
    </row>
    <row r="61" spans="1:27" s="1461" customFormat="1" ht="16.5" customHeight="1" x14ac:dyDescent="0.25">
      <c r="A61" s="1596" t="s">
        <v>146</v>
      </c>
      <c r="B61" s="1597" t="s">
        <v>147</v>
      </c>
      <c r="C61" s="558" t="s">
        <v>264</v>
      </c>
      <c r="D61" s="1605">
        <f t="shared" si="9"/>
        <v>0</v>
      </c>
      <c r="E61" s="1606">
        <v>0</v>
      </c>
      <c r="F61" s="1606">
        <v>0</v>
      </c>
      <c r="G61" s="1606">
        <v>0</v>
      </c>
      <c r="H61" s="1606">
        <v>0</v>
      </c>
      <c r="I61" s="1606">
        <v>0</v>
      </c>
      <c r="J61" s="1606">
        <v>0</v>
      </c>
      <c r="K61" s="1606">
        <v>0</v>
      </c>
      <c r="L61" s="1607">
        <v>0</v>
      </c>
      <c r="M61" s="995">
        <f t="shared" si="10"/>
        <v>0</v>
      </c>
      <c r="N61" s="639"/>
      <c r="O61" s="995">
        <v>0</v>
      </c>
      <c r="P61" s="995">
        <v>0</v>
      </c>
      <c r="Q61" s="995">
        <v>0</v>
      </c>
      <c r="R61" s="995">
        <v>0</v>
      </c>
      <c r="S61" s="1461">
        <v>0</v>
      </c>
      <c r="T61" s="1461">
        <v>0</v>
      </c>
      <c r="U61" s="1461">
        <v>0</v>
      </c>
      <c r="W61" s="995">
        <f t="shared" si="11"/>
        <v>0</v>
      </c>
      <c r="X61" s="995">
        <f t="shared" si="12"/>
        <v>0</v>
      </c>
      <c r="Y61" s="995">
        <f t="shared" si="13"/>
        <v>0</v>
      </c>
      <c r="Z61" s="995">
        <f t="shared" si="14"/>
        <v>0</v>
      </c>
      <c r="AA61" s="1461">
        <f t="shared" si="15"/>
        <v>0</v>
      </c>
    </row>
    <row r="62" spans="1:27" s="1461" customFormat="1" ht="16.5" customHeight="1" x14ac:dyDescent="0.25">
      <c r="A62" s="1596" t="s">
        <v>148</v>
      </c>
      <c r="B62" s="1597" t="s">
        <v>149</v>
      </c>
      <c r="C62" s="558" t="s">
        <v>265</v>
      </c>
      <c r="D62" s="1605">
        <f t="shared" si="9"/>
        <v>1</v>
      </c>
      <c r="E62" s="1606">
        <v>1</v>
      </c>
      <c r="F62" s="1606">
        <v>0</v>
      </c>
      <c r="G62" s="1606">
        <v>0</v>
      </c>
      <c r="H62" s="1606">
        <v>0</v>
      </c>
      <c r="I62" s="1606">
        <v>0</v>
      </c>
      <c r="J62" s="1606">
        <v>0</v>
      </c>
      <c r="K62" s="1606">
        <v>0</v>
      </c>
      <c r="L62" s="1607">
        <v>0</v>
      </c>
      <c r="M62" s="995">
        <f t="shared" si="10"/>
        <v>0</v>
      </c>
      <c r="N62" s="995"/>
      <c r="O62" s="995">
        <v>0</v>
      </c>
      <c r="P62" s="995">
        <v>1</v>
      </c>
      <c r="Q62" s="995">
        <v>0</v>
      </c>
      <c r="R62" s="995">
        <v>0</v>
      </c>
      <c r="S62" s="1461">
        <v>0</v>
      </c>
      <c r="T62" s="1461">
        <v>0</v>
      </c>
      <c r="U62" s="1461">
        <v>0</v>
      </c>
      <c r="W62" s="995">
        <f t="shared" si="11"/>
        <v>1</v>
      </c>
      <c r="X62" s="995">
        <f t="shared" si="12"/>
        <v>0</v>
      </c>
      <c r="Y62" s="995">
        <f t="shared" si="13"/>
        <v>0</v>
      </c>
      <c r="Z62" s="995">
        <f t="shared" si="14"/>
        <v>0</v>
      </c>
      <c r="AA62" s="1461">
        <f t="shared" si="15"/>
        <v>0</v>
      </c>
    </row>
    <row r="63" spans="1:27" s="1461" customFormat="1" ht="16.5" customHeight="1" x14ac:dyDescent="0.25">
      <c r="A63" s="1596" t="s">
        <v>150</v>
      </c>
      <c r="B63" s="1597" t="s">
        <v>151</v>
      </c>
      <c r="C63" s="558" t="s">
        <v>266</v>
      </c>
      <c r="D63" s="1605">
        <f t="shared" si="9"/>
        <v>3</v>
      </c>
      <c r="E63" s="1606">
        <v>3</v>
      </c>
      <c r="F63" s="1608">
        <v>0</v>
      </c>
      <c r="G63" s="1608">
        <v>0</v>
      </c>
      <c r="H63" s="1608">
        <v>0</v>
      </c>
      <c r="I63" s="1608">
        <v>0</v>
      </c>
      <c r="J63" s="1609">
        <v>0</v>
      </c>
      <c r="K63" s="1609">
        <v>0</v>
      </c>
      <c r="L63" s="1610">
        <v>0</v>
      </c>
      <c r="M63" s="995">
        <f t="shared" si="10"/>
        <v>0</v>
      </c>
      <c r="N63" s="995"/>
      <c r="O63" s="995">
        <v>0</v>
      </c>
      <c r="P63" s="995">
        <v>2</v>
      </c>
      <c r="Q63" s="995">
        <v>1</v>
      </c>
      <c r="R63" s="995">
        <v>0</v>
      </c>
      <c r="S63" s="1461">
        <v>0</v>
      </c>
      <c r="T63" s="1461">
        <v>0</v>
      </c>
      <c r="U63" s="1461">
        <v>0</v>
      </c>
      <c r="W63" s="995">
        <f t="shared" si="11"/>
        <v>2</v>
      </c>
      <c r="X63" s="995">
        <f t="shared" si="12"/>
        <v>1</v>
      </c>
      <c r="Y63" s="995">
        <f t="shared" si="13"/>
        <v>0</v>
      </c>
      <c r="Z63" s="995">
        <f t="shared" si="14"/>
        <v>0</v>
      </c>
      <c r="AA63" s="1461">
        <f t="shared" si="15"/>
        <v>0</v>
      </c>
    </row>
    <row r="64" spans="1:27" s="1461" customFormat="1" ht="16.5" customHeight="1" x14ac:dyDescent="0.25">
      <c r="A64" s="1596" t="s">
        <v>152</v>
      </c>
      <c r="B64" s="1597" t="s">
        <v>153</v>
      </c>
      <c r="C64" s="558" t="s">
        <v>268</v>
      </c>
      <c r="D64" s="1605">
        <f t="shared" si="9"/>
        <v>12</v>
      </c>
      <c r="E64" s="1606">
        <v>11</v>
      </c>
      <c r="F64" s="1606">
        <v>0</v>
      </c>
      <c r="G64" s="1606">
        <v>0</v>
      </c>
      <c r="H64" s="1606">
        <v>0</v>
      </c>
      <c r="I64" s="1606">
        <v>0</v>
      </c>
      <c r="J64" s="1606">
        <v>1</v>
      </c>
      <c r="K64" s="1606">
        <v>0</v>
      </c>
      <c r="L64" s="1607">
        <v>0</v>
      </c>
      <c r="M64" s="995">
        <f t="shared" si="10"/>
        <v>1</v>
      </c>
      <c r="N64" s="995"/>
      <c r="O64" s="995">
        <v>0</v>
      </c>
      <c r="P64" s="995">
        <v>7</v>
      </c>
      <c r="Q64" s="995">
        <v>3</v>
      </c>
      <c r="R64" s="995">
        <v>2</v>
      </c>
      <c r="S64" s="1461">
        <v>0</v>
      </c>
      <c r="T64" s="1461">
        <v>0</v>
      </c>
      <c r="U64" s="1461">
        <v>0</v>
      </c>
      <c r="W64" s="995">
        <f t="shared" si="11"/>
        <v>7</v>
      </c>
      <c r="X64" s="995">
        <f t="shared" si="12"/>
        <v>3</v>
      </c>
      <c r="Y64" s="995">
        <f t="shared" si="13"/>
        <v>2</v>
      </c>
      <c r="Z64" s="995">
        <f t="shared" si="14"/>
        <v>0</v>
      </c>
      <c r="AA64" s="1461">
        <f t="shared" si="15"/>
        <v>0</v>
      </c>
    </row>
    <row r="65" spans="1:27" s="1461" customFormat="1" ht="16.5" customHeight="1" x14ac:dyDescent="0.25">
      <c r="A65" s="1596" t="s">
        <v>154</v>
      </c>
      <c r="B65" s="1597" t="s">
        <v>155</v>
      </c>
      <c r="C65" s="558" t="s">
        <v>265</v>
      </c>
      <c r="D65" s="1611">
        <f t="shared" si="9"/>
        <v>1</v>
      </c>
      <c r="E65" s="1608">
        <v>1</v>
      </c>
      <c r="F65" s="1608">
        <v>0</v>
      </c>
      <c r="G65" s="1608">
        <v>0</v>
      </c>
      <c r="H65" s="1608">
        <v>0</v>
      </c>
      <c r="I65" s="1608">
        <v>0</v>
      </c>
      <c r="J65" s="1609">
        <v>0</v>
      </c>
      <c r="K65" s="1609">
        <v>0</v>
      </c>
      <c r="L65" s="1610">
        <v>0</v>
      </c>
      <c r="M65" s="995">
        <f t="shared" si="10"/>
        <v>0</v>
      </c>
      <c r="N65" s="995"/>
      <c r="O65" s="995">
        <v>0</v>
      </c>
      <c r="P65" s="995">
        <v>1</v>
      </c>
      <c r="Q65" s="995">
        <v>0</v>
      </c>
      <c r="R65" s="995">
        <v>0</v>
      </c>
      <c r="S65" s="1461">
        <v>0</v>
      </c>
      <c r="T65" s="1461">
        <v>0</v>
      </c>
      <c r="U65" s="1461">
        <v>0</v>
      </c>
      <c r="W65" s="995">
        <f t="shared" si="11"/>
        <v>1</v>
      </c>
      <c r="X65" s="995">
        <f t="shared" si="12"/>
        <v>0</v>
      </c>
      <c r="Y65" s="995">
        <f t="shared" si="13"/>
        <v>0</v>
      </c>
      <c r="Z65" s="995">
        <f t="shared" si="14"/>
        <v>0</v>
      </c>
      <c r="AA65" s="1461">
        <f t="shared" si="15"/>
        <v>0</v>
      </c>
    </row>
    <row r="66" spans="1:27" s="1461" customFormat="1" ht="16.5" customHeight="1" x14ac:dyDescent="0.25">
      <c r="A66" s="1596" t="s">
        <v>156</v>
      </c>
      <c r="B66" s="1597" t="s">
        <v>157</v>
      </c>
      <c r="C66" s="558" t="s">
        <v>266</v>
      </c>
      <c r="D66" s="1605">
        <f t="shared" si="9"/>
        <v>3</v>
      </c>
      <c r="E66" s="1606">
        <v>3</v>
      </c>
      <c r="F66" s="1606">
        <v>0</v>
      </c>
      <c r="G66" s="1606">
        <v>0</v>
      </c>
      <c r="H66" s="1606">
        <v>0</v>
      </c>
      <c r="I66" s="1606">
        <v>0</v>
      </c>
      <c r="J66" s="1606">
        <v>0</v>
      </c>
      <c r="K66" s="1606">
        <v>0</v>
      </c>
      <c r="L66" s="1607">
        <v>0</v>
      </c>
      <c r="M66" s="995">
        <f t="shared" si="10"/>
        <v>0</v>
      </c>
      <c r="N66" s="639"/>
      <c r="O66" s="995">
        <v>0</v>
      </c>
      <c r="P66" s="995">
        <v>0</v>
      </c>
      <c r="Q66" s="995">
        <v>2</v>
      </c>
      <c r="R66" s="995">
        <v>0</v>
      </c>
      <c r="S66" s="1461">
        <v>1</v>
      </c>
      <c r="T66" s="1461">
        <v>0</v>
      </c>
      <c r="U66" s="1461">
        <v>0</v>
      </c>
      <c r="W66" s="995">
        <f t="shared" si="11"/>
        <v>0</v>
      </c>
      <c r="X66" s="995">
        <f t="shared" si="12"/>
        <v>2</v>
      </c>
      <c r="Y66" s="995">
        <f t="shared" si="13"/>
        <v>0</v>
      </c>
      <c r="Z66" s="995">
        <f t="shared" si="14"/>
        <v>1</v>
      </c>
      <c r="AA66" s="1461">
        <f t="shared" si="15"/>
        <v>0</v>
      </c>
    </row>
    <row r="67" spans="1:27" s="1461" customFormat="1" ht="16.5" customHeight="1" x14ac:dyDescent="0.25">
      <c r="A67" s="1596" t="s">
        <v>162</v>
      </c>
      <c r="B67" s="1597" t="s">
        <v>163</v>
      </c>
      <c r="C67" s="558" t="s">
        <v>264</v>
      </c>
      <c r="D67" s="1605">
        <f t="shared" si="9"/>
        <v>0</v>
      </c>
      <c r="E67" s="1606">
        <v>0</v>
      </c>
      <c r="F67" s="1606">
        <v>0</v>
      </c>
      <c r="G67" s="1606">
        <v>0</v>
      </c>
      <c r="H67" s="1606">
        <v>0</v>
      </c>
      <c r="I67" s="1606">
        <v>0</v>
      </c>
      <c r="J67" s="1606">
        <v>0</v>
      </c>
      <c r="K67" s="1606">
        <v>0</v>
      </c>
      <c r="L67" s="1607">
        <v>0</v>
      </c>
      <c r="M67" s="639">
        <f t="shared" si="10"/>
        <v>0</v>
      </c>
      <c r="N67" s="639"/>
      <c r="O67" s="995">
        <v>0</v>
      </c>
      <c r="P67" s="995">
        <v>0</v>
      </c>
      <c r="Q67" s="995">
        <v>0</v>
      </c>
      <c r="R67" s="995">
        <v>0</v>
      </c>
      <c r="S67" s="1461">
        <v>0</v>
      </c>
      <c r="T67" s="1461">
        <v>0</v>
      </c>
      <c r="U67" s="1461">
        <v>0</v>
      </c>
      <c r="W67" s="995">
        <f t="shared" si="11"/>
        <v>0</v>
      </c>
      <c r="X67" s="995">
        <f t="shared" si="12"/>
        <v>0</v>
      </c>
      <c r="Y67" s="995">
        <f t="shared" si="13"/>
        <v>0</v>
      </c>
      <c r="Z67" s="995">
        <f t="shared" si="14"/>
        <v>0</v>
      </c>
      <c r="AA67" s="1461">
        <f t="shared" si="15"/>
        <v>0</v>
      </c>
    </row>
    <row r="68" spans="1:27" s="1461" customFormat="1" ht="16.5" customHeight="1" x14ac:dyDescent="0.25">
      <c r="A68" s="1596" t="s">
        <v>164</v>
      </c>
      <c r="B68" s="1597" t="s">
        <v>165</v>
      </c>
      <c r="C68" s="558" t="s">
        <v>266</v>
      </c>
      <c r="D68" s="1605">
        <f t="shared" si="9"/>
        <v>0</v>
      </c>
      <c r="E68" s="1606">
        <v>0</v>
      </c>
      <c r="F68" s="1606">
        <v>0</v>
      </c>
      <c r="G68" s="1606">
        <v>0</v>
      </c>
      <c r="H68" s="1606">
        <v>0</v>
      </c>
      <c r="I68" s="1606">
        <v>0</v>
      </c>
      <c r="J68" s="1606">
        <v>0</v>
      </c>
      <c r="K68" s="1606">
        <v>0</v>
      </c>
      <c r="L68" s="1607">
        <v>0</v>
      </c>
      <c r="M68" s="995">
        <f t="shared" si="10"/>
        <v>0</v>
      </c>
      <c r="N68" s="639"/>
      <c r="O68" s="995">
        <v>0</v>
      </c>
      <c r="P68" s="995">
        <v>0</v>
      </c>
      <c r="Q68" s="995">
        <v>0</v>
      </c>
      <c r="R68" s="995">
        <v>0</v>
      </c>
      <c r="S68" s="1461">
        <v>0</v>
      </c>
      <c r="T68" s="1461">
        <v>0</v>
      </c>
      <c r="U68" s="1461">
        <v>0</v>
      </c>
      <c r="W68" s="995">
        <f t="shared" si="11"/>
        <v>0</v>
      </c>
      <c r="X68" s="995">
        <f t="shared" si="12"/>
        <v>0</v>
      </c>
      <c r="Y68" s="995">
        <f t="shared" si="13"/>
        <v>0</v>
      </c>
      <c r="Z68" s="995">
        <f t="shared" si="14"/>
        <v>0</v>
      </c>
      <c r="AA68" s="1461">
        <f t="shared" si="15"/>
        <v>0</v>
      </c>
    </row>
    <row r="69" spans="1:27" s="1461" customFormat="1" ht="16.5" customHeight="1" x14ac:dyDescent="0.25">
      <c r="A69" s="1596" t="s">
        <v>168</v>
      </c>
      <c r="B69" s="1597" t="s">
        <v>169</v>
      </c>
      <c r="C69" s="558" t="s">
        <v>266</v>
      </c>
      <c r="D69" s="1605">
        <f t="shared" ref="D69:D100" si="16">SUM(E69:L69)</f>
        <v>0</v>
      </c>
      <c r="E69" s="1606">
        <v>0</v>
      </c>
      <c r="F69" s="1606">
        <v>0</v>
      </c>
      <c r="G69" s="1606">
        <v>0</v>
      </c>
      <c r="H69" s="1606">
        <v>0</v>
      </c>
      <c r="I69" s="1606">
        <v>0</v>
      </c>
      <c r="J69" s="1606">
        <v>0</v>
      </c>
      <c r="K69" s="1606">
        <v>0</v>
      </c>
      <c r="L69" s="1607">
        <v>0</v>
      </c>
      <c r="M69" s="995">
        <f t="shared" ref="M69:M100" si="17">G69+H69+I69+J69+K69</f>
        <v>0</v>
      </c>
      <c r="N69" s="639"/>
      <c r="O69" s="995">
        <v>0</v>
      </c>
      <c r="P69" s="995">
        <v>0</v>
      </c>
      <c r="Q69" s="995">
        <v>0</v>
      </c>
      <c r="R69" s="995">
        <v>0</v>
      </c>
      <c r="S69" s="1461">
        <v>0</v>
      </c>
      <c r="T69" s="1461">
        <v>0</v>
      </c>
      <c r="U69" s="1461">
        <v>0</v>
      </c>
      <c r="W69" s="995">
        <f t="shared" ref="W69:W100" si="18">O69+P69</f>
        <v>0</v>
      </c>
      <c r="X69" s="995">
        <f t="shared" ref="X69:X100" si="19">Q69</f>
        <v>0</v>
      </c>
      <c r="Y69" s="995">
        <f t="shared" ref="Y69:Y100" si="20">R69</f>
        <v>0</v>
      </c>
      <c r="Z69" s="995">
        <f t="shared" ref="Z69:Z100" si="21">S69</f>
        <v>0</v>
      </c>
      <c r="AA69" s="1461">
        <f t="shared" ref="AA69:AA100" si="22">T69</f>
        <v>0</v>
      </c>
    </row>
    <row r="70" spans="1:27" s="1461" customFormat="1" ht="16.5" customHeight="1" x14ac:dyDescent="0.25">
      <c r="A70" s="1596" t="s">
        <v>170</v>
      </c>
      <c r="B70" s="1597" t="s">
        <v>171</v>
      </c>
      <c r="C70" s="558" t="s">
        <v>267</v>
      </c>
      <c r="D70" s="1605">
        <f t="shared" si="16"/>
        <v>0</v>
      </c>
      <c r="E70" s="1606">
        <v>0</v>
      </c>
      <c r="F70" s="1606">
        <v>0</v>
      </c>
      <c r="G70" s="1606">
        <v>0</v>
      </c>
      <c r="H70" s="1606">
        <v>0</v>
      </c>
      <c r="I70" s="1606">
        <v>0</v>
      </c>
      <c r="J70" s="1606">
        <v>0</v>
      </c>
      <c r="K70" s="1606">
        <v>0</v>
      </c>
      <c r="L70" s="1607">
        <v>0</v>
      </c>
      <c r="M70" s="995">
        <f t="shared" si="17"/>
        <v>0</v>
      </c>
      <c r="N70" s="639"/>
      <c r="O70" s="995">
        <v>0</v>
      </c>
      <c r="P70" s="995">
        <v>0</v>
      </c>
      <c r="Q70" s="639">
        <v>0</v>
      </c>
      <c r="R70" s="995">
        <v>0</v>
      </c>
      <c r="S70" s="1461">
        <v>0</v>
      </c>
      <c r="T70" s="1461">
        <v>0</v>
      </c>
      <c r="U70" s="1461">
        <v>0</v>
      </c>
      <c r="W70" s="995">
        <f t="shared" si="18"/>
        <v>0</v>
      </c>
      <c r="X70" s="995">
        <f t="shared" si="19"/>
        <v>0</v>
      </c>
      <c r="Y70" s="995">
        <f t="shared" si="20"/>
        <v>0</v>
      </c>
      <c r="Z70" s="995">
        <f t="shared" si="21"/>
        <v>0</v>
      </c>
      <c r="AA70" s="1461">
        <f t="shared" si="22"/>
        <v>0</v>
      </c>
    </row>
    <row r="71" spans="1:27" s="1461" customFormat="1" ht="16.5" customHeight="1" x14ac:dyDescent="0.25">
      <c r="A71" s="1596" t="s">
        <v>172</v>
      </c>
      <c r="B71" s="1597" t="s">
        <v>173</v>
      </c>
      <c r="C71" s="558" t="s">
        <v>267</v>
      </c>
      <c r="D71" s="1605">
        <f t="shared" si="16"/>
        <v>1</v>
      </c>
      <c r="E71" s="1606">
        <v>1</v>
      </c>
      <c r="F71" s="1606">
        <v>0</v>
      </c>
      <c r="G71" s="1606">
        <v>0</v>
      </c>
      <c r="H71" s="1606">
        <v>0</v>
      </c>
      <c r="I71" s="1606">
        <v>0</v>
      </c>
      <c r="J71" s="1606">
        <v>0</v>
      </c>
      <c r="K71" s="1606">
        <v>0</v>
      </c>
      <c r="L71" s="1607">
        <v>0</v>
      </c>
      <c r="M71" s="995">
        <f t="shared" si="17"/>
        <v>0</v>
      </c>
      <c r="N71" s="995"/>
      <c r="O71" s="995">
        <v>0</v>
      </c>
      <c r="P71" s="995">
        <v>1</v>
      </c>
      <c r="Q71" s="995">
        <v>0</v>
      </c>
      <c r="R71" s="995">
        <v>0</v>
      </c>
      <c r="S71" s="1461">
        <v>0</v>
      </c>
      <c r="T71" s="1461">
        <v>0</v>
      </c>
      <c r="U71" s="1461">
        <v>0</v>
      </c>
      <c r="W71" s="995">
        <f t="shared" si="18"/>
        <v>1</v>
      </c>
      <c r="X71" s="995">
        <f t="shared" si="19"/>
        <v>0</v>
      </c>
      <c r="Y71" s="995">
        <f t="shared" si="20"/>
        <v>0</v>
      </c>
      <c r="Z71" s="995">
        <f t="shared" si="21"/>
        <v>0</v>
      </c>
      <c r="AA71" s="1461">
        <f t="shared" si="22"/>
        <v>0</v>
      </c>
    </row>
    <row r="72" spans="1:27" s="1461" customFormat="1" ht="16.5" customHeight="1" x14ac:dyDescent="0.25">
      <c r="A72" s="1596" t="s">
        <v>174</v>
      </c>
      <c r="B72" s="1597" t="s">
        <v>175</v>
      </c>
      <c r="C72" s="558" t="s">
        <v>268</v>
      </c>
      <c r="D72" s="1605">
        <f t="shared" si="16"/>
        <v>0</v>
      </c>
      <c r="E72" s="1606">
        <v>0</v>
      </c>
      <c r="F72" s="1606">
        <v>0</v>
      </c>
      <c r="G72" s="1606">
        <v>0</v>
      </c>
      <c r="H72" s="1606">
        <v>0</v>
      </c>
      <c r="I72" s="1606">
        <v>0</v>
      </c>
      <c r="J72" s="1606">
        <v>0</v>
      </c>
      <c r="K72" s="1606">
        <v>0</v>
      </c>
      <c r="L72" s="1607">
        <v>0</v>
      </c>
      <c r="M72" s="995">
        <f t="shared" si="17"/>
        <v>0</v>
      </c>
      <c r="N72" s="995"/>
      <c r="O72" s="995">
        <v>0</v>
      </c>
      <c r="P72" s="995">
        <v>0</v>
      </c>
      <c r="Q72" s="995">
        <v>0</v>
      </c>
      <c r="R72" s="995">
        <v>0</v>
      </c>
      <c r="S72" s="1461">
        <v>0</v>
      </c>
      <c r="T72" s="1461">
        <v>0</v>
      </c>
      <c r="U72" s="1461">
        <v>0</v>
      </c>
      <c r="W72" s="995">
        <f t="shared" si="18"/>
        <v>0</v>
      </c>
      <c r="X72" s="995">
        <f t="shared" si="19"/>
        <v>0</v>
      </c>
      <c r="Y72" s="995">
        <f t="shared" si="20"/>
        <v>0</v>
      </c>
      <c r="Z72" s="995">
        <f t="shared" si="21"/>
        <v>0</v>
      </c>
      <c r="AA72" s="1461">
        <f t="shared" si="22"/>
        <v>0</v>
      </c>
    </row>
    <row r="73" spans="1:27" s="1461" customFormat="1" ht="16.5" customHeight="1" x14ac:dyDescent="0.25">
      <c r="A73" s="1596" t="s">
        <v>178</v>
      </c>
      <c r="B73" s="1597" t="s">
        <v>179</v>
      </c>
      <c r="C73" s="558" t="s">
        <v>265</v>
      </c>
      <c r="D73" s="1605">
        <f t="shared" si="16"/>
        <v>2</v>
      </c>
      <c r="E73" s="1606">
        <v>2</v>
      </c>
      <c r="F73" s="1606">
        <v>0</v>
      </c>
      <c r="G73" s="1606">
        <v>0</v>
      </c>
      <c r="H73" s="1606">
        <v>0</v>
      </c>
      <c r="I73" s="1606">
        <v>0</v>
      </c>
      <c r="J73" s="1606">
        <v>0</v>
      </c>
      <c r="K73" s="1606">
        <v>0</v>
      </c>
      <c r="L73" s="1607">
        <v>0</v>
      </c>
      <c r="M73" s="995">
        <f t="shared" si="17"/>
        <v>0</v>
      </c>
      <c r="N73" s="995"/>
      <c r="O73" s="995">
        <v>0</v>
      </c>
      <c r="P73" s="995">
        <v>1</v>
      </c>
      <c r="Q73" s="995">
        <v>0</v>
      </c>
      <c r="R73" s="995">
        <v>1</v>
      </c>
      <c r="S73" s="1461">
        <v>0</v>
      </c>
      <c r="T73" s="1461">
        <v>0</v>
      </c>
      <c r="U73" s="1461">
        <v>0</v>
      </c>
      <c r="W73" s="995">
        <f t="shared" si="18"/>
        <v>1</v>
      </c>
      <c r="X73" s="995">
        <f t="shared" si="19"/>
        <v>0</v>
      </c>
      <c r="Y73" s="995">
        <f t="shared" si="20"/>
        <v>1</v>
      </c>
      <c r="Z73" s="995">
        <f t="shared" si="21"/>
        <v>0</v>
      </c>
      <c r="AA73" s="1461">
        <f t="shared" si="22"/>
        <v>0</v>
      </c>
    </row>
    <row r="74" spans="1:27" s="1461" customFormat="1" ht="16.5" customHeight="1" x14ac:dyDescent="0.25">
      <c r="A74" s="1596" t="s">
        <v>182</v>
      </c>
      <c r="B74" s="1597" t="s">
        <v>183</v>
      </c>
      <c r="C74" s="558" t="s">
        <v>266</v>
      </c>
      <c r="D74" s="1605">
        <f t="shared" si="16"/>
        <v>0</v>
      </c>
      <c r="E74" s="1606">
        <v>0</v>
      </c>
      <c r="F74" s="1606">
        <v>0</v>
      </c>
      <c r="G74" s="1606">
        <v>0</v>
      </c>
      <c r="H74" s="1606">
        <v>0</v>
      </c>
      <c r="I74" s="1606">
        <v>0</v>
      </c>
      <c r="J74" s="1606">
        <v>0</v>
      </c>
      <c r="K74" s="1606">
        <v>0</v>
      </c>
      <c r="L74" s="1607">
        <v>0</v>
      </c>
      <c r="M74" s="995">
        <f t="shared" si="17"/>
        <v>0</v>
      </c>
      <c r="N74" s="995"/>
      <c r="O74" s="995">
        <v>0</v>
      </c>
      <c r="P74" s="995">
        <v>0</v>
      </c>
      <c r="Q74" s="995">
        <v>0</v>
      </c>
      <c r="R74" s="995">
        <v>0</v>
      </c>
      <c r="S74" s="1461">
        <v>0</v>
      </c>
      <c r="T74" s="1461">
        <v>0</v>
      </c>
      <c r="U74" s="1461">
        <v>0</v>
      </c>
      <c r="W74" s="995">
        <f t="shared" si="18"/>
        <v>0</v>
      </c>
      <c r="X74" s="995">
        <f t="shared" si="19"/>
        <v>0</v>
      </c>
      <c r="Y74" s="995">
        <f t="shared" si="20"/>
        <v>0</v>
      </c>
      <c r="Z74" s="995">
        <f t="shared" si="21"/>
        <v>0</v>
      </c>
      <c r="AA74" s="1461">
        <f t="shared" si="22"/>
        <v>0</v>
      </c>
    </row>
    <row r="75" spans="1:27" s="1461" customFormat="1" ht="16.5" customHeight="1" x14ac:dyDescent="0.25">
      <c r="A75" s="1596" t="s">
        <v>184</v>
      </c>
      <c r="B75" s="1597" t="s">
        <v>185</v>
      </c>
      <c r="C75" s="558" t="s">
        <v>266</v>
      </c>
      <c r="D75" s="1605">
        <f t="shared" si="16"/>
        <v>0</v>
      </c>
      <c r="E75" s="1606">
        <v>0</v>
      </c>
      <c r="F75" s="1606">
        <v>0</v>
      </c>
      <c r="G75" s="1606">
        <v>0</v>
      </c>
      <c r="H75" s="1606">
        <v>0</v>
      </c>
      <c r="I75" s="1606">
        <v>0</v>
      </c>
      <c r="J75" s="1606">
        <v>0</v>
      </c>
      <c r="K75" s="1606">
        <v>0</v>
      </c>
      <c r="L75" s="1607">
        <v>0</v>
      </c>
      <c r="M75" s="995">
        <f t="shared" si="17"/>
        <v>0</v>
      </c>
      <c r="N75" s="639"/>
      <c r="O75" s="995">
        <v>0</v>
      </c>
      <c r="P75" s="995">
        <v>0</v>
      </c>
      <c r="Q75" s="995">
        <v>0</v>
      </c>
      <c r="R75" s="995">
        <v>0</v>
      </c>
      <c r="S75" s="1461">
        <v>0</v>
      </c>
      <c r="T75" s="1461">
        <v>0</v>
      </c>
      <c r="U75" s="1461">
        <v>0</v>
      </c>
      <c r="W75" s="995">
        <f t="shared" si="18"/>
        <v>0</v>
      </c>
      <c r="X75" s="995">
        <f t="shared" si="19"/>
        <v>0</v>
      </c>
      <c r="Y75" s="995">
        <f t="shared" si="20"/>
        <v>0</v>
      </c>
      <c r="Z75" s="995">
        <f t="shared" si="21"/>
        <v>0</v>
      </c>
      <c r="AA75" s="1461">
        <f t="shared" si="22"/>
        <v>0</v>
      </c>
    </row>
    <row r="76" spans="1:27" s="1461" customFormat="1" ht="16.5" customHeight="1" x14ac:dyDescent="0.25">
      <c r="A76" s="1596" t="s">
        <v>186</v>
      </c>
      <c r="B76" s="1597" t="s">
        <v>187</v>
      </c>
      <c r="C76" s="558" t="s">
        <v>264</v>
      </c>
      <c r="D76" s="1605">
        <f t="shared" si="16"/>
        <v>1</v>
      </c>
      <c r="E76" s="1606">
        <v>0</v>
      </c>
      <c r="F76" s="1606">
        <v>0</v>
      </c>
      <c r="G76" s="1606">
        <v>0</v>
      </c>
      <c r="H76" s="1606">
        <v>0</v>
      </c>
      <c r="I76" s="1606">
        <v>0</v>
      </c>
      <c r="J76" s="1606">
        <v>1</v>
      </c>
      <c r="K76" s="1606">
        <v>0</v>
      </c>
      <c r="L76" s="1607">
        <v>0</v>
      </c>
      <c r="M76" s="995">
        <f t="shared" si="17"/>
        <v>1</v>
      </c>
      <c r="N76" s="639"/>
      <c r="O76" s="995">
        <v>0</v>
      </c>
      <c r="P76" s="995">
        <v>0</v>
      </c>
      <c r="Q76" s="995">
        <v>1</v>
      </c>
      <c r="R76" s="995">
        <v>0</v>
      </c>
      <c r="S76" s="1461">
        <v>0</v>
      </c>
      <c r="T76" s="1461">
        <v>0</v>
      </c>
      <c r="U76" s="1461">
        <v>0</v>
      </c>
      <c r="W76" s="995">
        <f t="shared" si="18"/>
        <v>0</v>
      </c>
      <c r="X76" s="995">
        <f t="shared" si="19"/>
        <v>1</v>
      </c>
      <c r="Y76" s="995">
        <f t="shared" si="20"/>
        <v>0</v>
      </c>
      <c r="Z76" s="995">
        <f t="shared" si="21"/>
        <v>0</v>
      </c>
      <c r="AA76" s="1461">
        <f t="shared" si="22"/>
        <v>0</v>
      </c>
    </row>
    <row r="77" spans="1:27" s="1461" customFormat="1" ht="16.5" customHeight="1" x14ac:dyDescent="0.25">
      <c r="A77" s="1596" t="s">
        <v>188</v>
      </c>
      <c r="B77" s="1597" t="s">
        <v>189</v>
      </c>
      <c r="C77" s="558" t="s">
        <v>267</v>
      </c>
      <c r="D77" s="1605">
        <f t="shared" si="16"/>
        <v>21</v>
      </c>
      <c r="E77" s="1606">
        <v>6</v>
      </c>
      <c r="F77" s="1606">
        <v>10</v>
      </c>
      <c r="G77" s="1606">
        <v>1</v>
      </c>
      <c r="H77" s="1606">
        <v>0</v>
      </c>
      <c r="I77" s="1606">
        <v>0</v>
      </c>
      <c r="J77" s="1606">
        <v>1</v>
      </c>
      <c r="K77" s="1606">
        <v>3</v>
      </c>
      <c r="L77" s="1607">
        <v>0</v>
      </c>
      <c r="M77" s="995">
        <f t="shared" si="17"/>
        <v>5</v>
      </c>
      <c r="N77" s="995"/>
      <c r="O77" s="995">
        <v>1</v>
      </c>
      <c r="P77" s="995">
        <v>9</v>
      </c>
      <c r="Q77" s="639">
        <v>7</v>
      </c>
      <c r="R77" s="995">
        <v>4</v>
      </c>
      <c r="S77" s="1461">
        <v>0</v>
      </c>
      <c r="T77" s="1461">
        <v>0</v>
      </c>
      <c r="U77" s="1461">
        <v>0</v>
      </c>
      <c r="W77" s="995">
        <f t="shared" si="18"/>
        <v>10</v>
      </c>
      <c r="X77" s="995">
        <f t="shared" si="19"/>
        <v>7</v>
      </c>
      <c r="Y77" s="995">
        <f t="shared" si="20"/>
        <v>4</v>
      </c>
      <c r="Z77" s="995">
        <f t="shared" si="21"/>
        <v>0</v>
      </c>
      <c r="AA77" s="1461">
        <f t="shared" si="22"/>
        <v>0</v>
      </c>
    </row>
    <row r="78" spans="1:27" s="1461" customFormat="1" ht="16.5" customHeight="1" x14ac:dyDescent="0.25">
      <c r="A78" s="1596" t="s">
        <v>190</v>
      </c>
      <c r="B78" s="1597" t="s">
        <v>191</v>
      </c>
      <c r="C78" s="558" t="s">
        <v>268</v>
      </c>
      <c r="D78" s="1605">
        <f t="shared" si="16"/>
        <v>4</v>
      </c>
      <c r="E78" s="1606">
        <v>4</v>
      </c>
      <c r="F78" s="1606">
        <v>0</v>
      </c>
      <c r="G78" s="1606">
        <v>0</v>
      </c>
      <c r="H78" s="1606">
        <v>0</v>
      </c>
      <c r="I78" s="1606">
        <v>0</v>
      </c>
      <c r="J78" s="1606">
        <v>0</v>
      </c>
      <c r="K78" s="1606">
        <v>0</v>
      </c>
      <c r="L78" s="1607">
        <v>0</v>
      </c>
      <c r="M78" s="995">
        <f t="shared" si="17"/>
        <v>0</v>
      </c>
      <c r="N78" s="995"/>
      <c r="O78" s="995">
        <v>0</v>
      </c>
      <c r="P78" s="995">
        <v>2</v>
      </c>
      <c r="Q78" s="995">
        <v>1</v>
      </c>
      <c r="R78" s="995">
        <v>0</v>
      </c>
      <c r="S78" s="1461">
        <v>1</v>
      </c>
      <c r="T78" s="1461">
        <v>0</v>
      </c>
      <c r="U78" s="1461">
        <v>0</v>
      </c>
      <c r="W78" s="995">
        <f t="shared" si="18"/>
        <v>2</v>
      </c>
      <c r="X78" s="995">
        <f t="shared" si="19"/>
        <v>1</v>
      </c>
      <c r="Y78" s="995">
        <f t="shared" si="20"/>
        <v>0</v>
      </c>
      <c r="Z78" s="995">
        <f t="shared" si="21"/>
        <v>1</v>
      </c>
      <c r="AA78" s="1461">
        <f t="shared" si="22"/>
        <v>0</v>
      </c>
    </row>
    <row r="79" spans="1:27" s="1461" customFormat="1" ht="16.5" customHeight="1" x14ac:dyDescent="0.25">
      <c r="A79" s="1596" t="s">
        <v>194</v>
      </c>
      <c r="B79" s="1597" t="s">
        <v>195</v>
      </c>
      <c r="C79" s="558" t="s">
        <v>267</v>
      </c>
      <c r="D79" s="1605">
        <f t="shared" si="16"/>
        <v>1</v>
      </c>
      <c r="E79" s="1606">
        <v>0</v>
      </c>
      <c r="F79" s="1606">
        <v>0</v>
      </c>
      <c r="G79" s="1606">
        <v>0</v>
      </c>
      <c r="H79" s="1606">
        <v>0</v>
      </c>
      <c r="I79" s="1606">
        <v>0</v>
      </c>
      <c r="J79" s="1606">
        <v>0</v>
      </c>
      <c r="K79" s="1606">
        <v>1</v>
      </c>
      <c r="L79" s="1607">
        <v>0</v>
      </c>
      <c r="M79" s="995">
        <f t="shared" si="17"/>
        <v>1</v>
      </c>
      <c r="N79" s="995"/>
      <c r="O79" s="995">
        <v>0</v>
      </c>
      <c r="P79" s="995">
        <v>0</v>
      </c>
      <c r="Q79" s="995">
        <v>0</v>
      </c>
      <c r="R79" s="995">
        <v>1</v>
      </c>
      <c r="S79" s="1461">
        <v>0</v>
      </c>
      <c r="T79" s="1461">
        <v>0</v>
      </c>
      <c r="U79" s="1461">
        <v>0</v>
      </c>
      <c r="W79" s="995">
        <f t="shared" si="18"/>
        <v>0</v>
      </c>
      <c r="X79" s="995">
        <f t="shared" si="19"/>
        <v>0</v>
      </c>
      <c r="Y79" s="995">
        <f t="shared" si="20"/>
        <v>1</v>
      </c>
      <c r="Z79" s="995">
        <f t="shared" si="21"/>
        <v>0</v>
      </c>
      <c r="AA79" s="1461">
        <f t="shared" si="22"/>
        <v>0</v>
      </c>
    </row>
    <row r="80" spans="1:27" s="1461" customFormat="1" ht="16.5" customHeight="1" x14ac:dyDescent="0.25">
      <c r="A80" s="1596" t="s">
        <v>198</v>
      </c>
      <c r="B80" s="1597" t="s">
        <v>199</v>
      </c>
      <c r="C80" s="558" t="s">
        <v>266</v>
      </c>
      <c r="D80" s="1605">
        <f t="shared" si="16"/>
        <v>0</v>
      </c>
      <c r="E80" s="1606">
        <v>0</v>
      </c>
      <c r="F80" s="1606">
        <v>0</v>
      </c>
      <c r="G80" s="1606">
        <v>0</v>
      </c>
      <c r="H80" s="1606">
        <v>0</v>
      </c>
      <c r="I80" s="1606">
        <v>0</v>
      </c>
      <c r="J80" s="1606">
        <v>0</v>
      </c>
      <c r="K80" s="1606">
        <v>0</v>
      </c>
      <c r="L80" s="1607">
        <v>0</v>
      </c>
      <c r="M80" s="995">
        <f t="shared" si="17"/>
        <v>0</v>
      </c>
      <c r="N80" s="639"/>
      <c r="O80" s="995">
        <v>0</v>
      </c>
      <c r="P80" s="995">
        <v>0</v>
      </c>
      <c r="Q80" s="995">
        <v>0</v>
      </c>
      <c r="R80" s="995">
        <v>0</v>
      </c>
      <c r="S80" s="1461">
        <v>0</v>
      </c>
      <c r="T80" s="1461">
        <v>0</v>
      </c>
      <c r="U80" s="1461">
        <v>0</v>
      </c>
      <c r="W80" s="995">
        <f t="shared" si="18"/>
        <v>0</v>
      </c>
      <c r="X80" s="995">
        <f t="shared" si="19"/>
        <v>0</v>
      </c>
      <c r="Y80" s="995">
        <f t="shared" si="20"/>
        <v>0</v>
      </c>
      <c r="Z80" s="995">
        <f t="shared" si="21"/>
        <v>0</v>
      </c>
      <c r="AA80" s="1461">
        <f t="shared" si="22"/>
        <v>0</v>
      </c>
    </row>
    <row r="81" spans="1:27" s="1461" customFormat="1" ht="16.5" customHeight="1" x14ac:dyDescent="0.25">
      <c r="A81" s="1596" t="s">
        <v>202</v>
      </c>
      <c r="B81" s="1597" t="s">
        <v>203</v>
      </c>
      <c r="C81" s="558" t="s">
        <v>265</v>
      </c>
      <c r="D81" s="1605">
        <f t="shared" si="16"/>
        <v>9</v>
      </c>
      <c r="E81" s="1606">
        <v>9</v>
      </c>
      <c r="F81" s="1606">
        <v>0</v>
      </c>
      <c r="G81" s="1606">
        <v>0</v>
      </c>
      <c r="H81" s="1606">
        <v>0</v>
      </c>
      <c r="I81" s="1606">
        <v>0</v>
      </c>
      <c r="J81" s="1606">
        <v>0</v>
      </c>
      <c r="K81" s="1606">
        <v>0</v>
      </c>
      <c r="L81" s="1607">
        <v>0</v>
      </c>
      <c r="M81" s="995">
        <f t="shared" si="17"/>
        <v>0</v>
      </c>
      <c r="N81" s="639"/>
      <c r="O81" s="639">
        <v>0</v>
      </c>
      <c r="P81" s="639">
        <v>5</v>
      </c>
      <c r="Q81" s="995">
        <v>2</v>
      </c>
      <c r="R81" s="995">
        <v>1</v>
      </c>
      <c r="S81" s="1461">
        <v>1</v>
      </c>
      <c r="T81" s="1461">
        <v>0</v>
      </c>
      <c r="U81" s="1461">
        <v>0</v>
      </c>
      <c r="W81" s="995">
        <f t="shared" si="18"/>
        <v>5</v>
      </c>
      <c r="X81" s="995">
        <f t="shared" si="19"/>
        <v>2</v>
      </c>
      <c r="Y81" s="995">
        <f t="shared" si="20"/>
        <v>1</v>
      </c>
      <c r="Z81" s="995">
        <f t="shared" si="21"/>
        <v>1</v>
      </c>
      <c r="AA81" s="1461">
        <f t="shared" si="22"/>
        <v>0</v>
      </c>
    </row>
    <row r="82" spans="1:27" s="1461" customFormat="1" ht="16.5" customHeight="1" x14ac:dyDescent="0.25">
      <c r="A82" s="1596" t="s">
        <v>204</v>
      </c>
      <c r="B82" s="1597" t="s">
        <v>205</v>
      </c>
      <c r="C82" s="558" t="s">
        <v>265</v>
      </c>
      <c r="D82" s="1605">
        <f t="shared" si="16"/>
        <v>2</v>
      </c>
      <c r="E82" s="1606">
        <v>2</v>
      </c>
      <c r="F82" s="1606">
        <v>0</v>
      </c>
      <c r="G82" s="1606">
        <v>0</v>
      </c>
      <c r="H82" s="1606">
        <v>0</v>
      </c>
      <c r="I82" s="1606">
        <v>0</v>
      </c>
      <c r="J82" s="1606">
        <v>0</v>
      </c>
      <c r="K82" s="1606">
        <v>0</v>
      </c>
      <c r="L82" s="1607">
        <v>0</v>
      </c>
      <c r="M82" s="995">
        <f t="shared" si="17"/>
        <v>0</v>
      </c>
      <c r="N82" s="995"/>
      <c r="O82" s="995">
        <v>0</v>
      </c>
      <c r="P82" s="995">
        <v>2</v>
      </c>
      <c r="Q82" s="995">
        <v>0</v>
      </c>
      <c r="R82" s="995">
        <v>0</v>
      </c>
      <c r="S82" s="1461">
        <v>0</v>
      </c>
      <c r="T82" s="1461">
        <v>0</v>
      </c>
      <c r="U82" s="1461">
        <v>0</v>
      </c>
      <c r="W82" s="995">
        <f t="shared" si="18"/>
        <v>2</v>
      </c>
      <c r="X82" s="995">
        <f t="shared" si="19"/>
        <v>0</v>
      </c>
      <c r="Y82" s="995">
        <f t="shared" si="20"/>
        <v>0</v>
      </c>
      <c r="Z82" s="995">
        <f t="shared" si="21"/>
        <v>0</v>
      </c>
      <c r="AA82" s="1461">
        <f t="shared" si="22"/>
        <v>0</v>
      </c>
    </row>
    <row r="83" spans="1:27" s="1461" customFormat="1" ht="16.5" customHeight="1" x14ac:dyDescent="0.25">
      <c r="A83" s="1596" t="s">
        <v>206</v>
      </c>
      <c r="B83" s="1597" t="s">
        <v>207</v>
      </c>
      <c r="C83" s="558" t="s">
        <v>267</v>
      </c>
      <c r="D83" s="1605">
        <f t="shared" si="16"/>
        <v>31</v>
      </c>
      <c r="E83" s="1606">
        <v>14</v>
      </c>
      <c r="F83" s="1606">
        <v>4</v>
      </c>
      <c r="G83" s="1606">
        <v>0</v>
      </c>
      <c r="H83" s="1606">
        <v>0</v>
      </c>
      <c r="I83" s="1606">
        <v>0</v>
      </c>
      <c r="J83" s="1606">
        <v>0</v>
      </c>
      <c r="K83" s="1606">
        <v>13</v>
      </c>
      <c r="L83" s="1607">
        <v>0</v>
      </c>
      <c r="M83" s="995">
        <f t="shared" si="17"/>
        <v>13</v>
      </c>
      <c r="N83" s="995"/>
      <c r="O83" s="995">
        <v>0</v>
      </c>
      <c r="P83" s="995">
        <v>15</v>
      </c>
      <c r="Q83" s="995">
        <v>9</v>
      </c>
      <c r="R83" s="995">
        <v>7</v>
      </c>
      <c r="S83" s="1461">
        <v>0</v>
      </c>
      <c r="T83" s="1461">
        <v>0</v>
      </c>
      <c r="U83" s="1461">
        <v>0</v>
      </c>
      <c r="W83" s="995">
        <f t="shared" si="18"/>
        <v>15</v>
      </c>
      <c r="X83" s="995">
        <f t="shared" si="19"/>
        <v>9</v>
      </c>
      <c r="Y83" s="995">
        <f t="shared" si="20"/>
        <v>7</v>
      </c>
      <c r="Z83" s="995">
        <f t="shared" si="21"/>
        <v>0</v>
      </c>
      <c r="AA83" s="1461">
        <f t="shared" si="22"/>
        <v>0</v>
      </c>
    </row>
    <row r="84" spans="1:27" s="1461" customFormat="1" ht="16.5" customHeight="1" x14ac:dyDescent="0.25">
      <c r="A84" s="1596" t="s">
        <v>208</v>
      </c>
      <c r="B84" s="1597" t="s">
        <v>209</v>
      </c>
      <c r="C84" s="558" t="s">
        <v>268</v>
      </c>
      <c r="D84" s="1605">
        <f t="shared" si="16"/>
        <v>11</v>
      </c>
      <c r="E84" s="1606">
        <v>11</v>
      </c>
      <c r="F84" s="1606">
        <v>0</v>
      </c>
      <c r="G84" s="1606">
        <v>0</v>
      </c>
      <c r="H84" s="1606">
        <v>0</v>
      </c>
      <c r="I84" s="1606">
        <v>0</v>
      </c>
      <c r="J84" s="1606">
        <v>0</v>
      </c>
      <c r="K84" s="1606">
        <v>0</v>
      </c>
      <c r="L84" s="1607">
        <v>0</v>
      </c>
      <c r="M84" s="995">
        <f t="shared" si="17"/>
        <v>0</v>
      </c>
      <c r="N84" s="639"/>
      <c r="O84" s="995">
        <v>0</v>
      </c>
      <c r="P84" s="995">
        <v>4</v>
      </c>
      <c r="Q84" s="995">
        <v>2</v>
      </c>
      <c r="R84" s="995">
        <v>3</v>
      </c>
      <c r="S84" s="1461">
        <v>2</v>
      </c>
      <c r="T84" s="1461">
        <v>0</v>
      </c>
      <c r="U84" s="1461">
        <v>0</v>
      </c>
      <c r="W84" s="995">
        <f t="shared" si="18"/>
        <v>4</v>
      </c>
      <c r="X84" s="995">
        <f t="shared" si="19"/>
        <v>2</v>
      </c>
      <c r="Y84" s="995">
        <f t="shared" si="20"/>
        <v>3</v>
      </c>
      <c r="Z84" s="995">
        <f t="shared" si="21"/>
        <v>2</v>
      </c>
      <c r="AA84" s="1461">
        <f t="shared" si="22"/>
        <v>0</v>
      </c>
    </row>
    <row r="85" spans="1:27" s="1461" customFormat="1" ht="16.5" customHeight="1" x14ac:dyDescent="0.25">
      <c r="A85" s="1596" t="s">
        <v>210</v>
      </c>
      <c r="B85" s="1597" t="s">
        <v>211</v>
      </c>
      <c r="C85" s="558" t="s">
        <v>268</v>
      </c>
      <c r="D85" s="1605">
        <f t="shared" si="16"/>
        <v>2</v>
      </c>
      <c r="E85" s="1606">
        <v>2</v>
      </c>
      <c r="F85" s="1606">
        <v>0</v>
      </c>
      <c r="G85" s="1606">
        <v>0</v>
      </c>
      <c r="H85" s="1606">
        <v>0</v>
      </c>
      <c r="I85" s="1606">
        <v>0</v>
      </c>
      <c r="J85" s="1606">
        <v>0</v>
      </c>
      <c r="K85" s="1606">
        <v>0</v>
      </c>
      <c r="L85" s="1607">
        <v>0</v>
      </c>
      <c r="M85" s="995">
        <f t="shared" si="17"/>
        <v>0</v>
      </c>
      <c r="N85" s="639"/>
      <c r="O85" s="995">
        <v>0</v>
      </c>
      <c r="P85" s="995">
        <v>0</v>
      </c>
      <c r="Q85" s="995">
        <v>1</v>
      </c>
      <c r="R85" s="995">
        <v>1</v>
      </c>
      <c r="S85" s="1461">
        <v>0</v>
      </c>
      <c r="T85" s="1461">
        <v>0</v>
      </c>
      <c r="U85" s="1461">
        <v>0</v>
      </c>
      <c r="W85" s="995">
        <f t="shared" si="18"/>
        <v>0</v>
      </c>
      <c r="X85" s="995">
        <f t="shared" si="19"/>
        <v>1</v>
      </c>
      <c r="Y85" s="995">
        <f t="shared" si="20"/>
        <v>1</v>
      </c>
      <c r="Z85" s="995">
        <f t="shared" si="21"/>
        <v>0</v>
      </c>
      <c r="AA85" s="1461">
        <f t="shared" si="22"/>
        <v>0</v>
      </c>
    </row>
    <row r="86" spans="1:27" s="1461" customFormat="1" ht="16.5" customHeight="1" x14ac:dyDescent="0.25">
      <c r="A86" s="1596" t="s">
        <v>212</v>
      </c>
      <c r="B86" s="1597" t="s">
        <v>213</v>
      </c>
      <c r="C86" s="558" t="s">
        <v>267</v>
      </c>
      <c r="D86" s="1605">
        <f t="shared" si="16"/>
        <v>4</v>
      </c>
      <c r="E86" s="1606">
        <v>4</v>
      </c>
      <c r="F86" s="1606">
        <v>0</v>
      </c>
      <c r="G86" s="1606">
        <v>0</v>
      </c>
      <c r="H86" s="1606">
        <v>0</v>
      </c>
      <c r="I86" s="1606">
        <v>0</v>
      </c>
      <c r="J86" s="1606">
        <v>0</v>
      </c>
      <c r="K86" s="1606">
        <v>0</v>
      </c>
      <c r="L86" s="1607">
        <v>0</v>
      </c>
      <c r="M86" s="995">
        <f t="shared" si="17"/>
        <v>0</v>
      </c>
      <c r="N86" s="639"/>
      <c r="O86" s="995">
        <v>0</v>
      </c>
      <c r="P86" s="995">
        <v>3</v>
      </c>
      <c r="Q86" s="995">
        <v>0</v>
      </c>
      <c r="R86" s="995">
        <v>0</v>
      </c>
      <c r="S86" s="1461">
        <v>1</v>
      </c>
      <c r="T86" s="1461">
        <v>0</v>
      </c>
      <c r="U86" s="1461">
        <v>0</v>
      </c>
      <c r="W86" s="995">
        <f t="shared" si="18"/>
        <v>3</v>
      </c>
      <c r="X86" s="995">
        <f t="shared" si="19"/>
        <v>0</v>
      </c>
      <c r="Y86" s="995">
        <f t="shared" si="20"/>
        <v>0</v>
      </c>
      <c r="Z86" s="995">
        <f t="shared" si="21"/>
        <v>1</v>
      </c>
      <c r="AA86" s="1461">
        <f t="shared" si="22"/>
        <v>0</v>
      </c>
    </row>
    <row r="87" spans="1:27" s="1461" customFormat="1" ht="16.5" customHeight="1" x14ac:dyDescent="0.25">
      <c r="A87" s="1596" t="s">
        <v>214</v>
      </c>
      <c r="B87" s="1597" t="s">
        <v>215</v>
      </c>
      <c r="C87" s="558" t="s">
        <v>268</v>
      </c>
      <c r="D87" s="1605">
        <f t="shared" si="16"/>
        <v>4</v>
      </c>
      <c r="E87" s="1606">
        <v>3</v>
      </c>
      <c r="F87" s="1606">
        <v>0</v>
      </c>
      <c r="G87" s="1606">
        <v>0</v>
      </c>
      <c r="H87" s="1606">
        <v>0</v>
      </c>
      <c r="I87" s="1606">
        <v>0</v>
      </c>
      <c r="J87" s="1606">
        <v>0</v>
      </c>
      <c r="K87" s="1606">
        <v>1</v>
      </c>
      <c r="L87" s="1607">
        <v>0</v>
      </c>
      <c r="M87" s="995">
        <f t="shared" si="17"/>
        <v>1</v>
      </c>
      <c r="N87" s="995"/>
      <c r="O87" s="995">
        <v>0</v>
      </c>
      <c r="P87" s="995">
        <v>3</v>
      </c>
      <c r="Q87" s="995">
        <v>0</v>
      </c>
      <c r="R87" s="995">
        <v>1</v>
      </c>
      <c r="S87" s="1461">
        <v>0</v>
      </c>
      <c r="T87" s="1461">
        <v>0</v>
      </c>
      <c r="U87" s="1461">
        <v>0</v>
      </c>
      <c r="W87" s="995">
        <f t="shared" si="18"/>
        <v>3</v>
      </c>
      <c r="X87" s="995">
        <f t="shared" si="19"/>
        <v>0</v>
      </c>
      <c r="Y87" s="995">
        <f t="shared" si="20"/>
        <v>1</v>
      </c>
      <c r="Z87" s="995">
        <f t="shared" si="21"/>
        <v>0</v>
      </c>
      <c r="AA87" s="1461">
        <f t="shared" si="22"/>
        <v>0</v>
      </c>
    </row>
    <row r="88" spans="1:27" s="1461" customFormat="1" ht="16.5" customHeight="1" x14ac:dyDescent="0.25">
      <c r="A88" s="1596" t="s">
        <v>216</v>
      </c>
      <c r="B88" s="1597" t="s">
        <v>217</v>
      </c>
      <c r="C88" s="558" t="s">
        <v>264</v>
      </c>
      <c r="D88" s="1605">
        <f t="shared" si="16"/>
        <v>0</v>
      </c>
      <c r="E88" s="1606">
        <v>0</v>
      </c>
      <c r="F88" s="1606">
        <v>0</v>
      </c>
      <c r="G88" s="1606">
        <v>0</v>
      </c>
      <c r="H88" s="1606">
        <v>0</v>
      </c>
      <c r="I88" s="1606">
        <v>0</v>
      </c>
      <c r="J88" s="1606">
        <v>0</v>
      </c>
      <c r="K88" s="1606">
        <v>0</v>
      </c>
      <c r="L88" s="1607">
        <v>0</v>
      </c>
      <c r="M88" s="995">
        <f t="shared" si="17"/>
        <v>0</v>
      </c>
      <c r="N88" s="995"/>
      <c r="O88" s="995">
        <v>0</v>
      </c>
      <c r="P88" s="995">
        <v>0</v>
      </c>
      <c r="Q88" s="995">
        <v>0</v>
      </c>
      <c r="R88" s="995">
        <v>0</v>
      </c>
      <c r="S88" s="1461">
        <v>0</v>
      </c>
      <c r="T88" s="1461">
        <v>0</v>
      </c>
      <c r="U88" s="1461">
        <v>0</v>
      </c>
      <c r="W88" s="995">
        <f t="shared" si="18"/>
        <v>0</v>
      </c>
      <c r="X88" s="995">
        <f t="shared" si="19"/>
        <v>0</v>
      </c>
      <c r="Y88" s="995">
        <f t="shared" si="20"/>
        <v>0</v>
      </c>
      <c r="Z88" s="995">
        <f t="shared" si="21"/>
        <v>0</v>
      </c>
      <c r="AA88" s="1461">
        <f t="shared" si="22"/>
        <v>0</v>
      </c>
    </row>
    <row r="89" spans="1:27" s="1461" customFormat="1" ht="16.5" customHeight="1" x14ac:dyDescent="0.25">
      <c r="A89" s="1596" t="s">
        <v>218</v>
      </c>
      <c r="B89" s="1597" t="s">
        <v>219</v>
      </c>
      <c r="C89" s="558" t="s">
        <v>267</v>
      </c>
      <c r="D89" s="1605">
        <f t="shared" si="16"/>
        <v>17</v>
      </c>
      <c r="E89" s="1606">
        <v>9</v>
      </c>
      <c r="F89" s="1606">
        <v>5</v>
      </c>
      <c r="G89" s="1606">
        <v>0</v>
      </c>
      <c r="H89" s="1606">
        <v>0</v>
      </c>
      <c r="I89" s="1606">
        <v>0</v>
      </c>
      <c r="J89" s="1606">
        <v>3</v>
      </c>
      <c r="K89" s="1606">
        <v>0</v>
      </c>
      <c r="L89" s="1607">
        <v>0</v>
      </c>
      <c r="M89" s="995">
        <f t="shared" si="17"/>
        <v>3</v>
      </c>
      <c r="N89" s="639"/>
      <c r="O89" s="995">
        <v>1</v>
      </c>
      <c r="P89" s="995">
        <v>7</v>
      </c>
      <c r="Q89" s="639">
        <v>4</v>
      </c>
      <c r="R89" s="995">
        <v>4</v>
      </c>
      <c r="S89" s="1461">
        <v>1</v>
      </c>
      <c r="T89" s="1461">
        <v>0</v>
      </c>
      <c r="U89" s="1461">
        <v>0</v>
      </c>
      <c r="W89" s="995">
        <f t="shared" si="18"/>
        <v>8</v>
      </c>
      <c r="X89" s="995">
        <f t="shared" si="19"/>
        <v>4</v>
      </c>
      <c r="Y89" s="995">
        <f t="shared" si="20"/>
        <v>4</v>
      </c>
      <c r="Z89" s="995">
        <f t="shared" si="21"/>
        <v>1</v>
      </c>
      <c r="AA89" s="1461">
        <f t="shared" si="22"/>
        <v>0</v>
      </c>
    </row>
    <row r="90" spans="1:27" s="1461" customFormat="1" ht="16.5" customHeight="1" x14ac:dyDescent="0.25">
      <c r="A90" s="1596" t="s">
        <v>220</v>
      </c>
      <c r="B90" s="1597" t="s">
        <v>221</v>
      </c>
      <c r="C90" s="558" t="s">
        <v>267</v>
      </c>
      <c r="D90" s="1605">
        <f t="shared" si="16"/>
        <v>8</v>
      </c>
      <c r="E90" s="1606">
        <v>5</v>
      </c>
      <c r="F90" s="1606">
        <v>2</v>
      </c>
      <c r="G90" s="1606">
        <v>0</v>
      </c>
      <c r="H90" s="1606">
        <v>0</v>
      </c>
      <c r="I90" s="1606">
        <v>0</v>
      </c>
      <c r="J90" s="1606">
        <v>1</v>
      </c>
      <c r="K90" s="1606">
        <v>0</v>
      </c>
      <c r="L90" s="1607">
        <v>0</v>
      </c>
      <c r="M90" s="995">
        <f t="shared" si="17"/>
        <v>1</v>
      </c>
      <c r="N90" s="639"/>
      <c r="O90" s="995">
        <v>0</v>
      </c>
      <c r="P90" s="995">
        <v>6</v>
      </c>
      <c r="Q90" s="639">
        <v>2</v>
      </c>
      <c r="R90" s="995">
        <v>0</v>
      </c>
      <c r="S90" s="1461">
        <v>0</v>
      </c>
      <c r="T90" s="1461">
        <v>0</v>
      </c>
      <c r="U90" s="1461">
        <v>0</v>
      </c>
      <c r="W90" s="995">
        <f t="shared" si="18"/>
        <v>6</v>
      </c>
      <c r="X90" s="995">
        <f t="shared" si="19"/>
        <v>2</v>
      </c>
      <c r="Y90" s="995">
        <f t="shared" si="20"/>
        <v>0</v>
      </c>
      <c r="Z90" s="995">
        <f t="shared" si="21"/>
        <v>0</v>
      </c>
      <c r="AA90" s="1461">
        <f t="shared" si="22"/>
        <v>0</v>
      </c>
    </row>
    <row r="91" spans="1:27" s="1461" customFormat="1" ht="16.5" customHeight="1" x14ac:dyDescent="0.25">
      <c r="A91" s="1596" t="s">
        <v>224</v>
      </c>
      <c r="B91" s="1597" t="s">
        <v>225</v>
      </c>
      <c r="C91" s="558" t="s">
        <v>264</v>
      </c>
      <c r="D91" s="1605">
        <f t="shared" si="16"/>
        <v>0</v>
      </c>
      <c r="E91" s="1606">
        <v>0</v>
      </c>
      <c r="F91" s="1608">
        <v>0</v>
      </c>
      <c r="G91" s="1608">
        <v>0</v>
      </c>
      <c r="H91" s="1608">
        <v>0</v>
      </c>
      <c r="I91" s="1608">
        <v>0</v>
      </c>
      <c r="J91" s="1609">
        <v>0</v>
      </c>
      <c r="K91" s="1609">
        <v>0</v>
      </c>
      <c r="L91" s="1610">
        <v>0</v>
      </c>
      <c r="M91" s="995">
        <f t="shared" si="17"/>
        <v>0</v>
      </c>
      <c r="N91" s="639"/>
      <c r="O91" s="995">
        <v>0</v>
      </c>
      <c r="P91" s="995">
        <v>0</v>
      </c>
      <c r="Q91" s="995">
        <v>0</v>
      </c>
      <c r="R91" s="995">
        <v>0</v>
      </c>
      <c r="S91" s="1461">
        <v>0</v>
      </c>
      <c r="T91" s="1461">
        <v>0</v>
      </c>
      <c r="U91" s="1461">
        <v>0</v>
      </c>
      <c r="W91" s="995">
        <f t="shared" si="18"/>
        <v>0</v>
      </c>
      <c r="X91" s="995">
        <f t="shared" si="19"/>
        <v>0</v>
      </c>
      <c r="Y91" s="995">
        <f t="shared" si="20"/>
        <v>0</v>
      </c>
      <c r="Z91" s="995">
        <f t="shared" si="21"/>
        <v>0</v>
      </c>
      <c r="AA91" s="1461">
        <f t="shared" si="22"/>
        <v>0</v>
      </c>
    </row>
    <row r="92" spans="1:27" s="1461" customFormat="1" ht="16.5" customHeight="1" x14ac:dyDescent="0.25">
      <c r="A92" s="1596" t="s">
        <v>226</v>
      </c>
      <c r="B92" s="1597" t="s">
        <v>227</v>
      </c>
      <c r="C92" s="558" t="s">
        <v>264</v>
      </c>
      <c r="D92" s="1605">
        <f t="shared" si="16"/>
        <v>0</v>
      </c>
      <c r="E92" s="1606">
        <v>0</v>
      </c>
      <c r="F92" s="1606">
        <v>0</v>
      </c>
      <c r="G92" s="1606">
        <v>0</v>
      </c>
      <c r="H92" s="1606">
        <v>0</v>
      </c>
      <c r="I92" s="1606">
        <v>0</v>
      </c>
      <c r="J92" s="1606">
        <v>0</v>
      </c>
      <c r="K92" s="1606">
        <v>0</v>
      </c>
      <c r="L92" s="1607">
        <v>0</v>
      </c>
      <c r="M92" s="995">
        <f t="shared" si="17"/>
        <v>0</v>
      </c>
      <c r="N92" s="639"/>
      <c r="O92" s="995">
        <v>0</v>
      </c>
      <c r="P92" s="995">
        <v>0</v>
      </c>
      <c r="Q92" s="995">
        <v>0</v>
      </c>
      <c r="R92" s="995">
        <v>0</v>
      </c>
      <c r="S92" s="1461">
        <v>0</v>
      </c>
      <c r="T92" s="1461">
        <v>0</v>
      </c>
      <c r="U92" s="1461">
        <v>0</v>
      </c>
      <c r="W92" s="995">
        <f t="shared" si="18"/>
        <v>0</v>
      </c>
      <c r="X92" s="995">
        <f t="shared" si="19"/>
        <v>0</v>
      </c>
      <c r="Y92" s="995">
        <f t="shared" si="20"/>
        <v>0</v>
      </c>
      <c r="Z92" s="995">
        <f t="shared" si="21"/>
        <v>0</v>
      </c>
      <c r="AA92" s="1461">
        <f t="shared" si="22"/>
        <v>0</v>
      </c>
    </row>
    <row r="93" spans="1:27" s="1461" customFormat="1" ht="16.5" customHeight="1" x14ac:dyDescent="0.25">
      <c r="A93" s="1596" t="s">
        <v>228</v>
      </c>
      <c r="B93" s="1597" t="s">
        <v>229</v>
      </c>
      <c r="C93" s="558" t="s">
        <v>268</v>
      </c>
      <c r="D93" s="1605">
        <f t="shared" si="16"/>
        <v>11</v>
      </c>
      <c r="E93" s="1606">
        <v>11</v>
      </c>
      <c r="F93" s="1606">
        <v>0</v>
      </c>
      <c r="G93" s="1606">
        <v>0</v>
      </c>
      <c r="H93" s="1606">
        <v>0</v>
      </c>
      <c r="I93" s="1606">
        <v>0</v>
      </c>
      <c r="J93" s="1606">
        <v>0</v>
      </c>
      <c r="K93" s="1606">
        <v>0</v>
      </c>
      <c r="L93" s="1607">
        <v>0</v>
      </c>
      <c r="M93" s="995">
        <f t="shared" si="17"/>
        <v>0</v>
      </c>
      <c r="N93" s="639"/>
      <c r="O93" s="995">
        <v>0</v>
      </c>
      <c r="P93" s="995">
        <v>3</v>
      </c>
      <c r="Q93" s="995">
        <v>3</v>
      </c>
      <c r="R93" s="995">
        <v>5</v>
      </c>
      <c r="S93" s="1461">
        <v>0</v>
      </c>
      <c r="T93" s="1461">
        <v>0</v>
      </c>
      <c r="U93" s="1461">
        <v>0</v>
      </c>
      <c r="W93" s="995">
        <f t="shared" si="18"/>
        <v>3</v>
      </c>
      <c r="X93" s="995">
        <f t="shared" si="19"/>
        <v>3</v>
      </c>
      <c r="Y93" s="995">
        <f t="shared" si="20"/>
        <v>5</v>
      </c>
      <c r="Z93" s="995">
        <f t="shared" si="21"/>
        <v>0</v>
      </c>
      <c r="AA93" s="1461">
        <f t="shared" si="22"/>
        <v>0</v>
      </c>
    </row>
    <row r="94" spans="1:27" s="1461" customFormat="1" ht="16.5" customHeight="1" x14ac:dyDescent="0.25">
      <c r="A94" s="1596" t="s">
        <v>232</v>
      </c>
      <c r="B94" s="1597" t="s">
        <v>233</v>
      </c>
      <c r="C94" s="558" t="s">
        <v>267</v>
      </c>
      <c r="D94" s="1605">
        <f t="shared" si="16"/>
        <v>1</v>
      </c>
      <c r="E94" s="1606">
        <v>0</v>
      </c>
      <c r="F94" s="1606">
        <v>1</v>
      </c>
      <c r="G94" s="1606">
        <v>0</v>
      </c>
      <c r="H94" s="1606">
        <v>0</v>
      </c>
      <c r="I94" s="1606">
        <v>0</v>
      </c>
      <c r="J94" s="1606">
        <v>0</v>
      </c>
      <c r="K94" s="1606">
        <v>0</v>
      </c>
      <c r="L94" s="1607">
        <v>0</v>
      </c>
      <c r="M94" s="995">
        <f t="shared" si="17"/>
        <v>0</v>
      </c>
      <c r="N94" s="995"/>
      <c r="O94" s="995">
        <v>0</v>
      </c>
      <c r="P94" s="995">
        <v>0</v>
      </c>
      <c r="Q94" s="995">
        <v>0</v>
      </c>
      <c r="R94" s="995">
        <v>1</v>
      </c>
      <c r="S94" s="1461">
        <v>0</v>
      </c>
      <c r="T94" s="1461">
        <v>0</v>
      </c>
      <c r="U94" s="1461">
        <v>0</v>
      </c>
      <c r="W94" s="995">
        <f t="shared" si="18"/>
        <v>0</v>
      </c>
      <c r="X94" s="995">
        <f t="shared" si="19"/>
        <v>0</v>
      </c>
      <c r="Y94" s="995">
        <f t="shared" si="20"/>
        <v>1</v>
      </c>
      <c r="Z94" s="995">
        <f t="shared" si="21"/>
        <v>0</v>
      </c>
      <c r="AA94" s="1461">
        <f t="shared" si="22"/>
        <v>0</v>
      </c>
    </row>
    <row r="95" spans="1:27" s="1461" customFormat="1" ht="16.5" customHeight="1" x14ac:dyDescent="0.25">
      <c r="A95" s="1596" t="s">
        <v>234</v>
      </c>
      <c r="B95" s="1597" t="s">
        <v>235</v>
      </c>
      <c r="C95" s="558" t="s">
        <v>268</v>
      </c>
      <c r="D95" s="1605">
        <f t="shared" si="16"/>
        <v>2</v>
      </c>
      <c r="E95" s="1606">
        <v>1</v>
      </c>
      <c r="F95" s="1606">
        <v>0</v>
      </c>
      <c r="G95" s="1606">
        <v>0</v>
      </c>
      <c r="H95" s="1606">
        <v>0</v>
      </c>
      <c r="I95" s="1606">
        <v>0</v>
      </c>
      <c r="J95" s="1606">
        <v>0</v>
      </c>
      <c r="K95" s="1606">
        <v>1</v>
      </c>
      <c r="L95" s="1607">
        <v>0</v>
      </c>
      <c r="M95" s="995">
        <f t="shared" si="17"/>
        <v>1</v>
      </c>
      <c r="N95" s="639"/>
      <c r="O95" s="995">
        <v>0</v>
      </c>
      <c r="P95" s="995">
        <v>0</v>
      </c>
      <c r="Q95" s="639">
        <v>1</v>
      </c>
      <c r="R95" s="995">
        <v>1</v>
      </c>
      <c r="S95" s="1461">
        <v>0</v>
      </c>
      <c r="T95" s="1461">
        <v>0</v>
      </c>
      <c r="U95" s="1461">
        <v>0</v>
      </c>
      <c r="W95" s="995">
        <f t="shared" si="18"/>
        <v>0</v>
      </c>
      <c r="X95" s="995">
        <f t="shared" si="19"/>
        <v>1</v>
      </c>
      <c r="Y95" s="995">
        <f t="shared" si="20"/>
        <v>1</v>
      </c>
      <c r="Z95" s="995">
        <f t="shared" si="21"/>
        <v>0</v>
      </c>
      <c r="AA95" s="1461">
        <f t="shared" si="22"/>
        <v>0</v>
      </c>
    </row>
    <row r="96" spans="1:27" s="1461" customFormat="1" ht="16.5" customHeight="1" x14ac:dyDescent="0.25">
      <c r="A96" s="1596" t="s">
        <v>236</v>
      </c>
      <c r="B96" s="1597" t="s">
        <v>237</v>
      </c>
      <c r="C96" s="558" t="s">
        <v>266</v>
      </c>
      <c r="D96" s="1605">
        <f t="shared" si="16"/>
        <v>0</v>
      </c>
      <c r="E96" s="1606">
        <v>0</v>
      </c>
      <c r="F96" s="1606">
        <v>0</v>
      </c>
      <c r="G96" s="1606">
        <v>0</v>
      </c>
      <c r="H96" s="1606">
        <v>0</v>
      </c>
      <c r="I96" s="1606">
        <v>0</v>
      </c>
      <c r="J96" s="1606">
        <v>0</v>
      </c>
      <c r="K96" s="1606">
        <v>0</v>
      </c>
      <c r="L96" s="1607">
        <v>0</v>
      </c>
      <c r="M96" s="995">
        <f t="shared" si="17"/>
        <v>0</v>
      </c>
      <c r="N96" s="639"/>
      <c r="O96" s="995">
        <v>0</v>
      </c>
      <c r="P96" s="995">
        <v>0</v>
      </c>
      <c r="Q96" s="995">
        <v>0</v>
      </c>
      <c r="R96" s="995">
        <v>0</v>
      </c>
      <c r="S96" s="1461">
        <v>0</v>
      </c>
      <c r="T96" s="1461">
        <v>0</v>
      </c>
      <c r="U96" s="1461">
        <v>0</v>
      </c>
      <c r="W96" s="995">
        <f t="shared" si="18"/>
        <v>0</v>
      </c>
      <c r="X96" s="995">
        <f t="shared" si="19"/>
        <v>0</v>
      </c>
      <c r="Y96" s="995">
        <f t="shared" si="20"/>
        <v>0</v>
      </c>
      <c r="Z96" s="995">
        <f t="shared" si="21"/>
        <v>0</v>
      </c>
      <c r="AA96" s="1461">
        <f t="shared" si="22"/>
        <v>0</v>
      </c>
    </row>
    <row r="97" spans="1:27" s="1461" customFormat="1" ht="16.5" customHeight="1" x14ac:dyDescent="0.25">
      <c r="A97" s="1596" t="s">
        <v>242</v>
      </c>
      <c r="B97" s="1597" t="s">
        <v>243</v>
      </c>
      <c r="C97" s="558" t="s">
        <v>268</v>
      </c>
      <c r="D97" s="1605">
        <f t="shared" si="16"/>
        <v>12</v>
      </c>
      <c r="E97" s="1606">
        <v>12</v>
      </c>
      <c r="F97" s="1606">
        <v>0</v>
      </c>
      <c r="G97" s="1606">
        <v>0</v>
      </c>
      <c r="H97" s="1606">
        <v>0</v>
      </c>
      <c r="I97" s="1606">
        <v>0</v>
      </c>
      <c r="J97" s="1606">
        <v>0</v>
      </c>
      <c r="K97" s="1606">
        <v>0</v>
      </c>
      <c r="L97" s="1607">
        <v>0</v>
      </c>
      <c r="M97" s="995">
        <f t="shared" si="17"/>
        <v>0</v>
      </c>
      <c r="N97" s="995"/>
      <c r="O97" s="995">
        <v>0</v>
      </c>
      <c r="P97" s="995">
        <v>6</v>
      </c>
      <c r="Q97" s="995">
        <v>4</v>
      </c>
      <c r="R97" s="995">
        <v>2</v>
      </c>
      <c r="S97" s="1461">
        <v>0</v>
      </c>
      <c r="T97" s="1461">
        <v>0</v>
      </c>
      <c r="U97" s="1461">
        <v>0</v>
      </c>
      <c r="W97" s="995">
        <f t="shared" si="18"/>
        <v>6</v>
      </c>
      <c r="X97" s="995">
        <f t="shared" si="19"/>
        <v>4</v>
      </c>
      <c r="Y97" s="995">
        <f t="shared" si="20"/>
        <v>2</v>
      </c>
      <c r="Z97" s="995">
        <f t="shared" si="21"/>
        <v>0</v>
      </c>
      <c r="AA97" s="1461">
        <f t="shared" si="22"/>
        <v>0</v>
      </c>
    </row>
    <row r="98" spans="1:27" s="1461" customFormat="1" ht="16.5" customHeight="1" x14ac:dyDescent="0.25">
      <c r="A98" s="1596" t="s">
        <v>244</v>
      </c>
      <c r="B98" s="1597" t="s">
        <v>245</v>
      </c>
      <c r="C98" s="558" t="s">
        <v>268</v>
      </c>
      <c r="D98" s="1605">
        <f t="shared" si="16"/>
        <v>6</v>
      </c>
      <c r="E98" s="1606">
        <v>3</v>
      </c>
      <c r="F98" s="1606">
        <v>3</v>
      </c>
      <c r="G98" s="1606">
        <v>0</v>
      </c>
      <c r="H98" s="1606">
        <v>0</v>
      </c>
      <c r="I98" s="1606">
        <v>0</v>
      </c>
      <c r="J98" s="1606">
        <v>0</v>
      </c>
      <c r="K98" s="1606">
        <v>0</v>
      </c>
      <c r="L98" s="1607">
        <v>0</v>
      </c>
      <c r="M98" s="995">
        <f t="shared" si="17"/>
        <v>0</v>
      </c>
      <c r="N98" s="995"/>
      <c r="O98" s="995">
        <v>0</v>
      </c>
      <c r="P98" s="995">
        <v>5</v>
      </c>
      <c r="Q98" s="995">
        <v>0</v>
      </c>
      <c r="R98" s="995">
        <v>1</v>
      </c>
      <c r="S98" s="1461">
        <v>0</v>
      </c>
      <c r="T98" s="1461">
        <v>0</v>
      </c>
      <c r="U98" s="1461">
        <v>0</v>
      </c>
      <c r="W98" s="995">
        <f t="shared" si="18"/>
        <v>5</v>
      </c>
      <c r="X98" s="995">
        <f t="shared" si="19"/>
        <v>0</v>
      </c>
      <c r="Y98" s="995">
        <f t="shared" si="20"/>
        <v>1</v>
      </c>
      <c r="Z98" s="995">
        <f t="shared" si="21"/>
        <v>0</v>
      </c>
      <c r="AA98" s="1461">
        <f t="shared" si="22"/>
        <v>0</v>
      </c>
    </row>
    <row r="99" spans="1:27" s="1461" customFormat="1" ht="16.5" customHeight="1" x14ac:dyDescent="0.25">
      <c r="A99" s="1596" t="s">
        <v>246</v>
      </c>
      <c r="B99" s="1597" t="s">
        <v>310</v>
      </c>
      <c r="C99" s="558" t="s">
        <v>264</v>
      </c>
      <c r="D99" s="1605">
        <f t="shared" si="16"/>
        <v>0</v>
      </c>
      <c r="E99" s="1606">
        <v>0</v>
      </c>
      <c r="F99" s="1606">
        <v>0</v>
      </c>
      <c r="G99" s="1606">
        <v>0</v>
      </c>
      <c r="H99" s="1606">
        <v>0</v>
      </c>
      <c r="I99" s="1606">
        <v>0</v>
      </c>
      <c r="J99" s="1606">
        <v>0</v>
      </c>
      <c r="K99" s="1606">
        <v>0</v>
      </c>
      <c r="L99" s="1607">
        <v>0</v>
      </c>
      <c r="M99" s="995">
        <f t="shared" si="17"/>
        <v>0</v>
      </c>
      <c r="N99" s="639"/>
      <c r="O99" s="995">
        <v>0</v>
      </c>
      <c r="P99" s="995">
        <v>0</v>
      </c>
      <c r="Q99" s="639">
        <v>0</v>
      </c>
      <c r="R99" s="995">
        <v>0</v>
      </c>
      <c r="S99" s="1461">
        <v>0</v>
      </c>
      <c r="T99" s="1461">
        <v>0</v>
      </c>
      <c r="U99" s="1461">
        <v>0</v>
      </c>
      <c r="W99" s="995">
        <f t="shared" si="18"/>
        <v>0</v>
      </c>
      <c r="X99" s="995">
        <f t="shared" si="19"/>
        <v>0</v>
      </c>
      <c r="Y99" s="995">
        <f t="shared" si="20"/>
        <v>0</v>
      </c>
      <c r="Z99" s="995">
        <f t="shared" si="21"/>
        <v>0</v>
      </c>
      <c r="AA99" s="1461">
        <f t="shared" si="22"/>
        <v>0</v>
      </c>
    </row>
    <row r="100" spans="1:27" s="1461" customFormat="1" ht="16.5" customHeight="1" x14ac:dyDescent="0.25">
      <c r="A100" s="1596" t="s">
        <v>14</v>
      </c>
      <c r="B100" s="1597" t="s">
        <v>15</v>
      </c>
      <c r="C100" s="558" t="s">
        <v>267</v>
      </c>
      <c r="D100" s="1605">
        <f t="shared" si="16"/>
        <v>8</v>
      </c>
      <c r="E100" s="1606">
        <v>0</v>
      </c>
      <c r="F100" s="1606">
        <v>5</v>
      </c>
      <c r="G100" s="1606">
        <v>0</v>
      </c>
      <c r="H100" s="1606">
        <v>0</v>
      </c>
      <c r="I100" s="1606">
        <v>0</v>
      </c>
      <c r="J100" s="1606">
        <v>0</v>
      </c>
      <c r="K100" s="1606">
        <v>3</v>
      </c>
      <c r="L100" s="1607">
        <v>0</v>
      </c>
      <c r="M100" s="995">
        <f t="shared" si="17"/>
        <v>3</v>
      </c>
      <c r="N100" s="995"/>
      <c r="O100" s="995">
        <v>1</v>
      </c>
      <c r="P100" s="995">
        <v>3</v>
      </c>
      <c r="Q100" s="995">
        <v>2</v>
      </c>
      <c r="R100" s="995">
        <v>1</v>
      </c>
      <c r="S100" s="1461">
        <v>1</v>
      </c>
      <c r="T100" s="1461">
        <v>0</v>
      </c>
      <c r="U100" s="1461">
        <v>0</v>
      </c>
      <c r="W100" s="995">
        <f t="shared" si="18"/>
        <v>4</v>
      </c>
      <c r="X100" s="995">
        <f t="shared" si="19"/>
        <v>2</v>
      </c>
      <c r="Y100" s="995">
        <f t="shared" si="20"/>
        <v>1</v>
      </c>
      <c r="Z100" s="995">
        <f t="shared" si="21"/>
        <v>1</v>
      </c>
      <c r="AA100" s="1461">
        <f t="shared" si="22"/>
        <v>0</v>
      </c>
    </row>
    <row r="101" spans="1:27" s="1461" customFormat="1" ht="16.5" customHeight="1" x14ac:dyDescent="0.25">
      <c r="A101" s="1596" t="s">
        <v>34</v>
      </c>
      <c r="B101" s="1597" t="s">
        <v>35</v>
      </c>
      <c r="C101" s="558" t="s">
        <v>268</v>
      </c>
      <c r="D101" s="1605">
        <f t="shared" ref="D101:D124" si="23">SUM(E101:L101)</f>
        <v>8</v>
      </c>
      <c r="E101" s="1606">
        <v>8</v>
      </c>
      <c r="F101" s="1606">
        <v>0</v>
      </c>
      <c r="G101" s="1606">
        <v>0</v>
      </c>
      <c r="H101" s="1606">
        <v>0</v>
      </c>
      <c r="I101" s="1606">
        <v>0</v>
      </c>
      <c r="J101" s="1606">
        <v>0</v>
      </c>
      <c r="K101" s="1606">
        <v>0</v>
      </c>
      <c r="L101" s="1607">
        <v>0</v>
      </c>
      <c r="M101" s="995">
        <f t="shared" ref="M101:M124" si="24">G101+H101+I101+J101+K101</f>
        <v>0</v>
      </c>
      <c r="N101" s="639"/>
      <c r="O101" s="995">
        <v>0</v>
      </c>
      <c r="P101" s="995">
        <v>0</v>
      </c>
      <c r="Q101" s="639">
        <v>5</v>
      </c>
      <c r="R101" s="995">
        <v>2</v>
      </c>
      <c r="S101" s="1461">
        <v>1</v>
      </c>
      <c r="T101" s="1461">
        <v>0</v>
      </c>
      <c r="U101" s="1461">
        <v>0</v>
      </c>
      <c r="W101" s="995">
        <f t="shared" ref="W101:W124" si="25">O101+P101</f>
        <v>0</v>
      </c>
      <c r="X101" s="995">
        <f t="shared" ref="X101:X124" si="26">Q101</f>
        <v>5</v>
      </c>
      <c r="Y101" s="995">
        <f t="shared" ref="Y101:Y124" si="27">R101</f>
        <v>2</v>
      </c>
      <c r="Z101" s="995">
        <f t="shared" ref="Z101:Z124" si="28">S101</f>
        <v>1</v>
      </c>
      <c r="AA101" s="1461">
        <f t="shared" ref="AA101:AA124" si="29">T101</f>
        <v>0</v>
      </c>
    </row>
    <row r="102" spans="1:27" s="1461" customFormat="1" ht="16.5" customHeight="1" x14ac:dyDescent="0.25">
      <c r="A102" s="1596" t="s">
        <v>52</v>
      </c>
      <c r="B102" s="1597" t="s">
        <v>53</v>
      </c>
      <c r="C102" s="558" t="s">
        <v>265</v>
      </c>
      <c r="D102" s="1605">
        <f t="shared" si="23"/>
        <v>9</v>
      </c>
      <c r="E102" s="1606">
        <v>2</v>
      </c>
      <c r="F102" s="1606">
        <v>4</v>
      </c>
      <c r="G102" s="1606">
        <v>0</v>
      </c>
      <c r="H102" s="1606">
        <v>0</v>
      </c>
      <c r="I102" s="1606">
        <v>0</v>
      </c>
      <c r="J102" s="1606">
        <v>3</v>
      </c>
      <c r="K102" s="1606">
        <v>0</v>
      </c>
      <c r="L102" s="1607">
        <v>0</v>
      </c>
      <c r="M102" s="995">
        <f t="shared" si="24"/>
        <v>3</v>
      </c>
      <c r="N102" s="639"/>
      <c r="O102" s="995">
        <v>0</v>
      </c>
      <c r="P102" s="995">
        <v>7</v>
      </c>
      <c r="Q102" s="995">
        <v>2</v>
      </c>
      <c r="R102" s="995">
        <v>0</v>
      </c>
      <c r="S102" s="1461">
        <v>0</v>
      </c>
      <c r="T102" s="1461">
        <v>0</v>
      </c>
      <c r="U102" s="1461">
        <v>0</v>
      </c>
      <c r="W102" s="995">
        <f t="shared" si="25"/>
        <v>7</v>
      </c>
      <c r="X102" s="995">
        <f t="shared" si="26"/>
        <v>2</v>
      </c>
      <c r="Y102" s="995">
        <f t="shared" si="27"/>
        <v>0</v>
      </c>
      <c r="Z102" s="995">
        <f t="shared" si="28"/>
        <v>0</v>
      </c>
      <c r="AA102" s="1461">
        <f t="shared" si="29"/>
        <v>0</v>
      </c>
    </row>
    <row r="103" spans="1:27" s="1461" customFormat="1" ht="16.5" customHeight="1" x14ac:dyDescent="0.25">
      <c r="A103" s="1596" t="s">
        <v>54</v>
      </c>
      <c r="B103" s="1597" t="s">
        <v>55</v>
      </c>
      <c r="C103" s="558" t="s">
        <v>264</v>
      </c>
      <c r="D103" s="1605">
        <f t="shared" si="23"/>
        <v>6</v>
      </c>
      <c r="E103" s="1606">
        <v>6</v>
      </c>
      <c r="F103" s="1606">
        <v>0</v>
      </c>
      <c r="G103" s="1606">
        <v>0</v>
      </c>
      <c r="H103" s="1606">
        <v>0</v>
      </c>
      <c r="I103" s="1606">
        <v>0</v>
      </c>
      <c r="J103" s="1606">
        <v>0</v>
      </c>
      <c r="K103" s="1606">
        <v>0</v>
      </c>
      <c r="L103" s="1607">
        <v>0</v>
      </c>
      <c r="M103" s="995">
        <f t="shared" si="24"/>
        <v>0</v>
      </c>
      <c r="N103" s="639"/>
      <c r="O103" s="995">
        <v>0</v>
      </c>
      <c r="P103" s="995">
        <v>1</v>
      </c>
      <c r="Q103" s="995">
        <v>3</v>
      </c>
      <c r="R103" s="995">
        <v>2</v>
      </c>
      <c r="S103" s="1461">
        <v>0</v>
      </c>
      <c r="T103" s="1461">
        <v>0</v>
      </c>
      <c r="U103" s="1461">
        <v>0</v>
      </c>
      <c r="W103" s="995">
        <f t="shared" si="25"/>
        <v>1</v>
      </c>
      <c r="X103" s="995">
        <f t="shared" si="26"/>
        <v>3</v>
      </c>
      <c r="Y103" s="995">
        <f t="shared" si="27"/>
        <v>2</v>
      </c>
      <c r="Z103" s="995">
        <f t="shared" si="28"/>
        <v>0</v>
      </c>
      <c r="AA103" s="1461">
        <f t="shared" si="29"/>
        <v>0</v>
      </c>
    </row>
    <row r="104" spans="1:27" s="1461" customFormat="1" ht="16.5" customHeight="1" x14ac:dyDescent="0.25">
      <c r="A104" s="1596" t="s">
        <v>66</v>
      </c>
      <c r="B104" s="1597" t="s">
        <v>67</v>
      </c>
      <c r="C104" s="558" t="s">
        <v>265</v>
      </c>
      <c r="D104" s="1605">
        <f t="shared" si="23"/>
        <v>2</v>
      </c>
      <c r="E104" s="1606">
        <v>1</v>
      </c>
      <c r="F104" s="1606">
        <v>1</v>
      </c>
      <c r="G104" s="1606">
        <v>0</v>
      </c>
      <c r="H104" s="1606">
        <v>0</v>
      </c>
      <c r="I104" s="1606">
        <v>0</v>
      </c>
      <c r="J104" s="1606">
        <v>0</v>
      </c>
      <c r="K104" s="1606">
        <v>0</v>
      </c>
      <c r="L104" s="1607">
        <v>0</v>
      </c>
      <c r="M104" s="995">
        <f t="shared" si="24"/>
        <v>0</v>
      </c>
      <c r="N104" s="639"/>
      <c r="O104" s="995">
        <v>0</v>
      </c>
      <c r="P104" s="995">
        <v>1</v>
      </c>
      <c r="Q104" s="639">
        <v>0</v>
      </c>
      <c r="R104" s="995">
        <v>0</v>
      </c>
      <c r="S104" s="1461">
        <v>1</v>
      </c>
      <c r="T104" s="1461">
        <v>0</v>
      </c>
      <c r="U104" s="1461">
        <v>0</v>
      </c>
      <c r="W104" s="995">
        <f t="shared" si="25"/>
        <v>1</v>
      </c>
      <c r="X104" s="995">
        <f t="shared" si="26"/>
        <v>0</v>
      </c>
      <c r="Y104" s="995">
        <f t="shared" si="27"/>
        <v>0</v>
      </c>
      <c r="Z104" s="995">
        <f t="shared" si="28"/>
        <v>1</v>
      </c>
      <c r="AA104" s="1461">
        <f t="shared" si="29"/>
        <v>0</v>
      </c>
    </row>
    <row r="105" spans="1:27" s="1461" customFormat="1" ht="16.5" customHeight="1" x14ac:dyDescent="0.25">
      <c r="A105" s="1596" t="s">
        <v>82</v>
      </c>
      <c r="B105" s="1597" t="s">
        <v>311</v>
      </c>
      <c r="C105" s="558" t="s">
        <v>264</v>
      </c>
      <c r="D105" s="1605">
        <f t="shared" si="23"/>
        <v>1</v>
      </c>
      <c r="E105" s="1606">
        <v>0</v>
      </c>
      <c r="F105" s="1606">
        <v>0</v>
      </c>
      <c r="G105" s="1606">
        <v>0</v>
      </c>
      <c r="H105" s="1606">
        <v>0</v>
      </c>
      <c r="I105" s="1606">
        <v>0</v>
      </c>
      <c r="J105" s="1606">
        <v>1</v>
      </c>
      <c r="K105" s="1606">
        <v>0</v>
      </c>
      <c r="L105" s="1607">
        <v>0</v>
      </c>
      <c r="M105" s="995">
        <f t="shared" si="24"/>
        <v>1</v>
      </c>
      <c r="N105" s="995"/>
      <c r="O105" s="995">
        <v>0</v>
      </c>
      <c r="P105" s="995">
        <v>0</v>
      </c>
      <c r="Q105" s="995">
        <v>0</v>
      </c>
      <c r="R105" s="995">
        <v>1</v>
      </c>
      <c r="S105" s="1461">
        <v>0</v>
      </c>
      <c r="T105" s="1461">
        <v>0</v>
      </c>
      <c r="U105" s="1461">
        <v>0</v>
      </c>
      <c r="W105" s="995">
        <f t="shared" si="25"/>
        <v>0</v>
      </c>
      <c r="X105" s="995">
        <f t="shared" si="26"/>
        <v>0</v>
      </c>
      <c r="Y105" s="995">
        <f t="shared" si="27"/>
        <v>1</v>
      </c>
      <c r="Z105" s="995">
        <f t="shared" si="28"/>
        <v>0</v>
      </c>
      <c r="AA105" s="1461">
        <f t="shared" si="29"/>
        <v>0</v>
      </c>
    </row>
    <row r="106" spans="1:27" s="1461" customFormat="1" ht="16.5" customHeight="1" x14ac:dyDescent="0.25">
      <c r="A106" s="1596" t="s">
        <v>88</v>
      </c>
      <c r="B106" s="1597" t="s">
        <v>89</v>
      </c>
      <c r="C106" s="558" t="s">
        <v>267</v>
      </c>
      <c r="D106" s="1605">
        <f t="shared" si="23"/>
        <v>6</v>
      </c>
      <c r="E106" s="1606">
        <v>2</v>
      </c>
      <c r="F106" s="1606">
        <v>4</v>
      </c>
      <c r="G106" s="1606">
        <v>0</v>
      </c>
      <c r="H106" s="1606">
        <v>0</v>
      </c>
      <c r="I106" s="1606">
        <v>0</v>
      </c>
      <c r="J106" s="1606">
        <v>0</v>
      </c>
      <c r="K106" s="1606">
        <v>0</v>
      </c>
      <c r="L106" s="1607">
        <v>0</v>
      </c>
      <c r="M106" s="995">
        <f t="shared" si="24"/>
        <v>0</v>
      </c>
      <c r="N106" s="995"/>
      <c r="O106" s="995">
        <v>1</v>
      </c>
      <c r="P106" s="995">
        <v>4</v>
      </c>
      <c r="Q106" s="995">
        <v>0</v>
      </c>
      <c r="R106" s="995">
        <v>1</v>
      </c>
      <c r="S106" s="1461">
        <v>0</v>
      </c>
      <c r="T106" s="1461">
        <v>0</v>
      </c>
      <c r="U106" s="1461">
        <v>0</v>
      </c>
      <c r="W106" s="995">
        <f t="shared" si="25"/>
        <v>5</v>
      </c>
      <c r="X106" s="995">
        <f t="shared" si="26"/>
        <v>0</v>
      </c>
      <c r="Y106" s="995">
        <f t="shared" si="27"/>
        <v>1</v>
      </c>
      <c r="Z106" s="995">
        <f t="shared" si="28"/>
        <v>0</v>
      </c>
      <c r="AA106" s="1461">
        <f t="shared" si="29"/>
        <v>0</v>
      </c>
    </row>
    <row r="107" spans="1:27" s="1461" customFormat="1" ht="16.5" customHeight="1" x14ac:dyDescent="0.25">
      <c r="A107" s="1596" t="s">
        <v>90</v>
      </c>
      <c r="B107" s="1597" t="s">
        <v>91</v>
      </c>
      <c r="C107" s="558" t="s">
        <v>268</v>
      </c>
      <c r="D107" s="1605">
        <f t="shared" si="23"/>
        <v>0</v>
      </c>
      <c r="E107" s="1606">
        <v>0</v>
      </c>
      <c r="F107" s="1606">
        <v>0</v>
      </c>
      <c r="G107" s="1606">
        <v>0</v>
      </c>
      <c r="H107" s="1606">
        <v>0</v>
      </c>
      <c r="I107" s="1606">
        <v>0</v>
      </c>
      <c r="J107" s="1606">
        <v>0</v>
      </c>
      <c r="K107" s="1606">
        <v>0</v>
      </c>
      <c r="L107" s="1607">
        <v>0</v>
      </c>
      <c r="M107" s="995">
        <f t="shared" si="24"/>
        <v>0</v>
      </c>
      <c r="N107" s="639"/>
      <c r="O107" s="995">
        <v>0</v>
      </c>
      <c r="P107" s="995">
        <v>0</v>
      </c>
      <c r="Q107" s="995">
        <v>0</v>
      </c>
      <c r="R107" s="995">
        <v>0</v>
      </c>
      <c r="S107" s="1461">
        <v>0</v>
      </c>
      <c r="T107" s="1461">
        <v>0</v>
      </c>
      <c r="U107" s="1461">
        <v>0</v>
      </c>
      <c r="W107" s="995">
        <f t="shared" si="25"/>
        <v>0</v>
      </c>
      <c r="X107" s="995">
        <f t="shared" si="26"/>
        <v>0</v>
      </c>
      <c r="Y107" s="995">
        <f t="shared" si="27"/>
        <v>0</v>
      </c>
      <c r="Z107" s="995">
        <f t="shared" si="28"/>
        <v>0</v>
      </c>
      <c r="AA107" s="1461">
        <f t="shared" si="29"/>
        <v>0</v>
      </c>
    </row>
    <row r="108" spans="1:27" s="1461" customFormat="1" ht="16.5" customHeight="1" x14ac:dyDescent="0.25">
      <c r="A108" s="1596" t="s">
        <v>106</v>
      </c>
      <c r="B108" s="1597" t="s">
        <v>107</v>
      </c>
      <c r="C108" s="558" t="s">
        <v>264</v>
      </c>
      <c r="D108" s="1605">
        <f t="shared" si="23"/>
        <v>2</v>
      </c>
      <c r="E108" s="1606">
        <v>1</v>
      </c>
      <c r="F108" s="1606">
        <v>1</v>
      </c>
      <c r="G108" s="1606">
        <v>0</v>
      </c>
      <c r="H108" s="1606">
        <v>0</v>
      </c>
      <c r="I108" s="1606">
        <v>0</v>
      </c>
      <c r="J108" s="1606">
        <v>0</v>
      </c>
      <c r="K108" s="1606">
        <v>0</v>
      </c>
      <c r="L108" s="1607">
        <v>0</v>
      </c>
      <c r="M108" s="995">
        <f t="shared" si="24"/>
        <v>0</v>
      </c>
      <c r="N108" s="639"/>
      <c r="O108" s="995">
        <v>0</v>
      </c>
      <c r="P108" s="995">
        <v>0</v>
      </c>
      <c r="Q108" s="995">
        <v>1</v>
      </c>
      <c r="R108" s="995">
        <v>1</v>
      </c>
      <c r="S108" s="1461">
        <v>0</v>
      </c>
      <c r="T108" s="1461">
        <v>0</v>
      </c>
      <c r="U108" s="1461">
        <v>0</v>
      </c>
      <c r="W108" s="995">
        <f t="shared" si="25"/>
        <v>0</v>
      </c>
      <c r="X108" s="995">
        <f t="shared" si="26"/>
        <v>1</v>
      </c>
      <c r="Y108" s="995">
        <f t="shared" si="27"/>
        <v>1</v>
      </c>
      <c r="Z108" s="995">
        <f t="shared" si="28"/>
        <v>0</v>
      </c>
      <c r="AA108" s="1461">
        <f t="shared" si="29"/>
        <v>0</v>
      </c>
    </row>
    <row r="109" spans="1:27" s="1461" customFormat="1" ht="16.5" customHeight="1" x14ac:dyDescent="0.25">
      <c r="A109" s="1596" t="s">
        <v>116</v>
      </c>
      <c r="B109" s="1597" t="s">
        <v>117</v>
      </c>
      <c r="C109" s="558" t="s">
        <v>266</v>
      </c>
      <c r="D109" s="1605">
        <f t="shared" si="23"/>
        <v>8</v>
      </c>
      <c r="E109" s="1606">
        <v>4</v>
      </c>
      <c r="F109" s="1606">
        <v>4</v>
      </c>
      <c r="G109" s="1606">
        <v>0</v>
      </c>
      <c r="H109" s="1606">
        <v>0</v>
      </c>
      <c r="I109" s="1606">
        <v>0</v>
      </c>
      <c r="J109" s="1606">
        <v>0</v>
      </c>
      <c r="K109" s="1606">
        <v>0</v>
      </c>
      <c r="L109" s="1607">
        <v>0</v>
      </c>
      <c r="M109" s="995">
        <f t="shared" si="24"/>
        <v>0</v>
      </c>
      <c r="N109" s="995"/>
      <c r="O109" s="995">
        <v>0</v>
      </c>
      <c r="P109" s="995">
        <v>5</v>
      </c>
      <c r="Q109" s="639">
        <v>1</v>
      </c>
      <c r="R109" s="995">
        <v>2</v>
      </c>
      <c r="S109" s="1461">
        <v>0</v>
      </c>
      <c r="T109" s="1461">
        <v>0</v>
      </c>
      <c r="U109" s="1461">
        <v>0</v>
      </c>
      <c r="W109" s="995">
        <f t="shared" si="25"/>
        <v>5</v>
      </c>
      <c r="X109" s="995">
        <f t="shared" si="26"/>
        <v>1</v>
      </c>
      <c r="Y109" s="995">
        <f t="shared" si="27"/>
        <v>2</v>
      </c>
      <c r="Z109" s="995">
        <f t="shared" si="28"/>
        <v>0</v>
      </c>
      <c r="AA109" s="1461">
        <f t="shared" si="29"/>
        <v>0</v>
      </c>
    </row>
    <row r="110" spans="1:27" s="1461" customFormat="1" ht="16.5" customHeight="1" x14ac:dyDescent="0.25">
      <c r="A110" s="1596" t="s">
        <v>138</v>
      </c>
      <c r="B110" s="1597" t="s">
        <v>139</v>
      </c>
      <c r="C110" s="558" t="s">
        <v>265</v>
      </c>
      <c r="D110" s="1605">
        <f t="shared" si="23"/>
        <v>50</v>
      </c>
      <c r="E110" s="1606">
        <v>11</v>
      </c>
      <c r="F110" s="1606">
        <v>30</v>
      </c>
      <c r="G110" s="1606">
        <v>0</v>
      </c>
      <c r="H110" s="1606">
        <v>0</v>
      </c>
      <c r="I110" s="1606">
        <v>0</v>
      </c>
      <c r="J110" s="1606">
        <v>8</v>
      </c>
      <c r="K110" s="1606">
        <v>1</v>
      </c>
      <c r="L110" s="1607">
        <v>0</v>
      </c>
      <c r="M110" s="995">
        <f t="shared" si="24"/>
        <v>9</v>
      </c>
      <c r="N110" s="995"/>
      <c r="O110" s="995">
        <v>1</v>
      </c>
      <c r="P110" s="995">
        <v>24</v>
      </c>
      <c r="Q110" s="995">
        <v>19</v>
      </c>
      <c r="R110" s="995">
        <v>4</v>
      </c>
      <c r="S110" s="1461">
        <v>2</v>
      </c>
      <c r="T110" s="1461">
        <v>0</v>
      </c>
      <c r="U110" s="1461">
        <v>0</v>
      </c>
      <c r="W110" s="995">
        <f t="shared" si="25"/>
        <v>25</v>
      </c>
      <c r="X110" s="995">
        <f t="shared" si="26"/>
        <v>19</v>
      </c>
      <c r="Y110" s="995">
        <f t="shared" si="27"/>
        <v>4</v>
      </c>
      <c r="Z110" s="995">
        <f t="shared" si="28"/>
        <v>2</v>
      </c>
      <c r="AA110" s="1461">
        <f t="shared" si="29"/>
        <v>0</v>
      </c>
    </row>
    <row r="111" spans="1:27" s="1461" customFormat="1" ht="16.5" customHeight="1" x14ac:dyDescent="0.25">
      <c r="A111" s="1596" t="s">
        <v>142</v>
      </c>
      <c r="B111" s="1597" t="s">
        <v>143</v>
      </c>
      <c r="C111" s="558" t="s">
        <v>267</v>
      </c>
      <c r="D111" s="1605">
        <f t="shared" si="23"/>
        <v>3</v>
      </c>
      <c r="E111" s="1606">
        <v>0</v>
      </c>
      <c r="F111" s="1606">
        <v>2</v>
      </c>
      <c r="G111" s="1606">
        <v>0</v>
      </c>
      <c r="H111" s="1606">
        <v>0</v>
      </c>
      <c r="I111" s="1606">
        <v>0</v>
      </c>
      <c r="J111" s="1606">
        <v>0</v>
      </c>
      <c r="K111" s="1606">
        <v>1</v>
      </c>
      <c r="L111" s="1607">
        <v>0</v>
      </c>
      <c r="M111" s="995">
        <f t="shared" si="24"/>
        <v>1</v>
      </c>
      <c r="N111" s="639"/>
      <c r="O111" s="995">
        <v>0</v>
      </c>
      <c r="P111" s="995">
        <v>1</v>
      </c>
      <c r="Q111" s="639">
        <v>0</v>
      </c>
      <c r="R111" s="995">
        <v>1</v>
      </c>
      <c r="S111" s="1461">
        <v>1</v>
      </c>
      <c r="T111" s="1461">
        <v>0</v>
      </c>
      <c r="U111" s="1461">
        <v>0</v>
      </c>
      <c r="W111" s="995">
        <f t="shared" si="25"/>
        <v>1</v>
      </c>
      <c r="X111" s="995">
        <f t="shared" si="26"/>
        <v>0</v>
      </c>
      <c r="Y111" s="995">
        <f t="shared" si="27"/>
        <v>1</v>
      </c>
      <c r="Z111" s="995">
        <f t="shared" si="28"/>
        <v>1</v>
      </c>
      <c r="AA111" s="1461">
        <f t="shared" si="29"/>
        <v>0</v>
      </c>
    </row>
    <row r="112" spans="1:27" s="1461" customFormat="1" ht="16.5" customHeight="1" x14ac:dyDescent="0.25">
      <c r="A112" s="1596" t="s">
        <v>144</v>
      </c>
      <c r="B112" s="1597" t="s">
        <v>145</v>
      </c>
      <c r="C112" s="558" t="s">
        <v>267</v>
      </c>
      <c r="D112" s="1605">
        <f t="shared" si="23"/>
        <v>2</v>
      </c>
      <c r="E112" s="1606">
        <v>0</v>
      </c>
      <c r="F112" s="1606">
        <v>0</v>
      </c>
      <c r="G112" s="1606">
        <v>0</v>
      </c>
      <c r="H112" s="1606">
        <v>0</v>
      </c>
      <c r="I112" s="1606">
        <v>0</v>
      </c>
      <c r="J112" s="1606">
        <v>2</v>
      </c>
      <c r="K112" s="1606">
        <v>0</v>
      </c>
      <c r="L112" s="1607">
        <v>0</v>
      </c>
      <c r="M112" s="995">
        <f t="shared" si="24"/>
        <v>2</v>
      </c>
      <c r="N112" s="995"/>
      <c r="O112" s="995">
        <v>0</v>
      </c>
      <c r="P112" s="995">
        <v>2</v>
      </c>
      <c r="Q112" s="995">
        <v>0</v>
      </c>
      <c r="R112" s="995">
        <v>0</v>
      </c>
      <c r="S112" s="1461">
        <v>0</v>
      </c>
      <c r="T112" s="1461">
        <v>0</v>
      </c>
      <c r="U112" s="1461">
        <v>0</v>
      </c>
      <c r="W112" s="995">
        <f t="shared" si="25"/>
        <v>2</v>
      </c>
      <c r="X112" s="995">
        <f t="shared" si="26"/>
        <v>0</v>
      </c>
      <c r="Y112" s="995">
        <f t="shared" si="27"/>
        <v>0</v>
      </c>
      <c r="Z112" s="995">
        <f t="shared" si="28"/>
        <v>0</v>
      </c>
      <c r="AA112" s="1461">
        <f t="shared" si="29"/>
        <v>0</v>
      </c>
    </row>
    <row r="113" spans="1:27" s="1461" customFormat="1" ht="16.5" customHeight="1" x14ac:dyDescent="0.25">
      <c r="A113" s="1596" t="s">
        <v>158</v>
      </c>
      <c r="B113" s="1597" t="s">
        <v>159</v>
      </c>
      <c r="C113" s="558" t="s">
        <v>264</v>
      </c>
      <c r="D113" s="1605">
        <f t="shared" si="23"/>
        <v>18</v>
      </c>
      <c r="E113" s="1606">
        <v>3</v>
      </c>
      <c r="F113" s="1606">
        <v>12</v>
      </c>
      <c r="G113" s="1606">
        <v>0</v>
      </c>
      <c r="H113" s="1606">
        <v>0</v>
      </c>
      <c r="I113" s="1606">
        <v>0</v>
      </c>
      <c r="J113" s="1606">
        <v>3</v>
      </c>
      <c r="K113" s="1606">
        <v>0</v>
      </c>
      <c r="L113" s="1607">
        <v>0</v>
      </c>
      <c r="M113" s="995">
        <f t="shared" si="24"/>
        <v>3</v>
      </c>
      <c r="N113" s="995"/>
      <c r="O113" s="995">
        <v>0</v>
      </c>
      <c r="P113" s="995">
        <v>6</v>
      </c>
      <c r="Q113" s="995">
        <v>4</v>
      </c>
      <c r="R113" s="995">
        <v>5</v>
      </c>
      <c r="S113" s="1461">
        <v>3</v>
      </c>
      <c r="T113" s="1461">
        <v>0</v>
      </c>
      <c r="U113" s="1461">
        <v>0</v>
      </c>
      <c r="W113" s="995">
        <f t="shared" si="25"/>
        <v>6</v>
      </c>
      <c r="X113" s="995">
        <f t="shared" si="26"/>
        <v>4</v>
      </c>
      <c r="Y113" s="995">
        <f t="shared" si="27"/>
        <v>5</v>
      </c>
      <c r="Z113" s="995">
        <f t="shared" si="28"/>
        <v>3</v>
      </c>
      <c r="AA113" s="1461">
        <f t="shared" si="29"/>
        <v>0</v>
      </c>
    </row>
    <row r="114" spans="1:27" s="1461" customFormat="1" ht="16.5" customHeight="1" x14ac:dyDescent="0.25">
      <c r="A114" s="1596" t="s">
        <v>160</v>
      </c>
      <c r="B114" s="1597" t="s">
        <v>161</v>
      </c>
      <c r="C114" s="558" t="s">
        <v>264</v>
      </c>
      <c r="D114" s="1605">
        <f t="shared" si="23"/>
        <v>54</v>
      </c>
      <c r="E114" s="1606">
        <v>12</v>
      </c>
      <c r="F114" s="1606">
        <v>29</v>
      </c>
      <c r="G114" s="1606">
        <v>0</v>
      </c>
      <c r="H114" s="1606">
        <v>0</v>
      </c>
      <c r="I114" s="1606">
        <v>0</v>
      </c>
      <c r="J114" s="1606">
        <v>6</v>
      </c>
      <c r="K114" s="1606">
        <v>7</v>
      </c>
      <c r="L114" s="1607">
        <v>0</v>
      </c>
      <c r="M114" s="995">
        <f t="shared" si="24"/>
        <v>13</v>
      </c>
      <c r="N114" s="995"/>
      <c r="O114" s="995">
        <v>0</v>
      </c>
      <c r="P114" s="995">
        <v>18</v>
      </c>
      <c r="Q114" s="995">
        <v>17</v>
      </c>
      <c r="R114" s="995">
        <v>14</v>
      </c>
      <c r="S114" s="1461">
        <v>5</v>
      </c>
      <c r="T114" s="1461">
        <v>0</v>
      </c>
      <c r="U114" s="1461">
        <v>0</v>
      </c>
      <c r="W114" s="995">
        <f t="shared" si="25"/>
        <v>18</v>
      </c>
      <c r="X114" s="995">
        <f t="shared" si="26"/>
        <v>17</v>
      </c>
      <c r="Y114" s="995">
        <f t="shared" si="27"/>
        <v>14</v>
      </c>
      <c r="Z114" s="995">
        <f t="shared" si="28"/>
        <v>5</v>
      </c>
      <c r="AA114" s="1461">
        <f t="shared" si="29"/>
        <v>0</v>
      </c>
    </row>
    <row r="115" spans="1:27" s="1461" customFormat="1" ht="16.5" customHeight="1" x14ac:dyDescent="0.25">
      <c r="A115" s="1596" t="s">
        <v>166</v>
      </c>
      <c r="B115" s="1597" t="s">
        <v>167</v>
      </c>
      <c r="C115" s="558" t="s">
        <v>268</v>
      </c>
      <c r="D115" s="1605">
        <f t="shared" si="23"/>
        <v>2</v>
      </c>
      <c r="E115" s="1606">
        <v>1</v>
      </c>
      <c r="F115" s="1606">
        <v>0</v>
      </c>
      <c r="G115" s="1606">
        <v>0</v>
      </c>
      <c r="H115" s="1606">
        <v>0</v>
      </c>
      <c r="I115" s="1606">
        <v>0</v>
      </c>
      <c r="J115" s="1606">
        <v>1</v>
      </c>
      <c r="K115" s="1606">
        <v>0</v>
      </c>
      <c r="L115" s="1607">
        <v>0</v>
      </c>
      <c r="M115" s="995">
        <f t="shared" si="24"/>
        <v>1</v>
      </c>
      <c r="N115" s="995"/>
      <c r="O115" s="995">
        <v>0</v>
      </c>
      <c r="P115" s="995">
        <v>2</v>
      </c>
      <c r="Q115" s="995">
        <v>0</v>
      </c>
      <c r="R115" s="995">
        <v>0</v>
      </c>
      <c r="S115" s="1461">
        <v>0</v>
      </c>
      <c r="T115" s="1461">
        <v>0</v>
      </c>
      <c r="U115" s="1461">
        <v>0</v>
      </c>
      <c r="W115" s="995">
        <f t="shared" si="25"/>
        <v>2</v>
      </c>
      <c r="X115" s="995">
        <f t="shared" si="26"/>
        <v>0</v>
      </c>
      <c r="Y115" s="995">
        <f t="shared" si="27"/>
        <v>0</v>
      </c>
      <c r="Z115" s="995">
        <f t="shared" si="28"/>
        <v>0</v>
      </c>
      <c r="AA115" s="1461">
        <f t="shared" si="29"/>
        <v>0</v>
      </c>
    </row>
    <row r="116" spans="1:27" s="1461" customFormat="1" ht="16.5" customHeight="1" x14ac:dyDescent="0.25">
      <c r="A116" s="1596" t="s">
        <v>176</v>
      </c>
      <c r="B116" s="1597" t="s">
        <v>177</v>
      </c>
      <c r="C116" s="558" t="s">
        <v>266</v>
      </c>
      <c r="D116" s="1605">
        <f t="shared" si="23"/>
        <v>12</v>
      </c>
      <c r="E116" s="1606">
        <v>0</v>
      </c>
      <c r="F116" s="1606">
        <v>9</v>
      </c>
      <c r="G116" s="1606">
        <v>0</v>
      </c>
      <c r="H116" s="1606">
        <v>0</v>
      </c>
      <c r="I116" s="1606">
        <v>0</v>
      </c>
      <c r="J116" s="1606">
        <v>2</v>
      </c>
      <c r="K116" s="1606">
        <v>1</v>
      </c>
      <c r="L116" s="1607">
        <v>0</v>
      </c>
      <c r="M116" s="995">
        <f t="shared" si="24"/>
        <v>3</v>
      </c>
      <c r="N116" s="639"/>
      <c r="O116" s="995">
        <v>0</v>
      </c>
      <c r="P116" s="995">
        <v>9</v>
      </c>
      <c r="Q116" s="639">
        <v>2</v>
      </c>
      <c r="R116" s="995">
        <v>1</v>
      </c>
      <c r="S116" s="1461">
        <v>0</v>
      </c>
      <c r="T116" s="1461">
        <v>0</v>
      </c>
      <c r="U116" s="1461">
        <v>0</v>
      </c>
      <c r="W116" s="995">
        <f t="shared" si="25"/>
        <v>9</v>
      </c>
      <c r="X116" s="995">
        <f t="shared" si="26"/>
        <v>2</v>
      </c>
      <c r="Y116" s="995">
        <f t="shared" si="27"/>
        <v>1</v>
      </c>
      <c r="Z116" s="995">
        <f t="shared" si="28"/>
        <v>0</v>
      </c>
      <c r="AA116" s="1461">
        <f t="shared" si="29"/>
        <v>0</v>
      </c>
    </row>
    <row r="117" spans="1:27" s="1461" customFormat="1" ht="16.5" customHeight="1" x14ac:dyDescent="0.25">
      <c r="A117" s="1596" t="s">
        <v>180</v>
      </c>
      <c r="B117" s="1597" t="s">
        <v>181</v>
      </c>
      <c r="C117" s="558" t="s">
        <v>264</v>
      </c>
      <c r="D117" s="1605">
        <f t="shared" si="23"/>
        <v>14</v>
      </c>
      <c r="E117" s="1606">
        <v>2</v>
      </c>
      <c r="F117" s="1606">
        <v>11</v>
      </c>
      <c r="G117" s="1606">
        <v>0</v>
      </c>
      <c r="H117" s="1606">
        <v>0</v>
      </c>
      <c r="I117" s="1606">
        <v>0</v>
      </c>
      <c r="J117" s="1606">
        <v>0</v>
      </c>
      <c r="K117" s="1606">
        <v>1</v>
      </c>
      <c r="L117" s="1607">
        <v>0</v>
      </c>
      <c r="M117" s="995">
        <f t="shared" si="24"/>
        <v>1</v>
      </c>
      <c r="N117" s="639"/>
      <c r="O117" s="995">
        <v>0</v>
      </c>
      <c r="P117" s="995">
        <v>7</v>
      </c>
      <c r="Q117" s="995">
        <v>4</v>
      </c>
      <c r="R117" s="995">
        <v>3</v>
      </c>
      <c r="S117" s="1461">
        <v>0</v>
      </c>
      <c r="T117" s="1461">
        <v>0</v>
      </c>
      <c r="U117" s="1461">
        <v>0</v>
      </c>
      <c r="W117" s="995">
        <f t="shared" si="25"/>
        <v>7</v>
      </c>
      <c r="X117" s="995">
        <f t="shared" si="26"/>
        <v>4</v>
      </c>
      <c r="Y117" s="995">
        <f t="shared" si="27"/>
        <v>3</v>
      </c>
      <c r="Z117" s="995">
        <f t="shared" si="28"/>
        <v>0</v>
      </c>
      <c r="AA117" s="1461">
        <f t="shared" si="29"/>
        <v>0</v>
      </c>
    </row>
    <row r="118" spans="1:27" s="1461" customFormat="1" ht="16.5" customHeight="1" x14ac:dyDescent="0.25">
      <c r="A118" s="1596" t="s">
        <v>192</v>
      </c>
      <c r="B118" s="1597" t="s">
        <v>193</v>
      </c>
      <c r="C118" s="558" t="s">
        <v>268</v>
      </c>
      <c r="D118" s="1605">
        <f t="shared" si="23"/>
        <v>5</v>
      </c>
      <c r="E118" s="1606">
        <v>3</v>
      </c>
      <c r="F118" s="1606">
        <v>2</v>
      </c>
      <c r="G118" s="1606">
        <v>0</v>
      </c>
      <c r="H118" s="1606">
        <v>0</v>
      </c>
      <c r="I118" s="1606">
        <v>0</v>
      </c>
      <c r="J118" s="1606">
        <v>0</v>
      </c>
      <c r="K118" s="1606">
        <v>0</v>
      </c>
      <c r="L118" s="1607">
        <v>0</v>
      </c>
      <c r="M118" s="995">
        <f t="shared" si="24"/>
        <v>0</v>
      </c>
      <c r="N118" s="639"/>
      <c r="O118" s="995">
        <v>0</v>
      </c>
      <c r="P118" s="995">
        <v>0</v>
      </c>
      <c r="Q118" s="995">
        <v>0</v>
      </c>
      <c r="R118" s="995">
        <v>3</v>
      </c>
      <c r="S118" s="1461">
        <v>2</v>
      </c>
      <c r="T118" s="1461">
        <v>0</v>
      </c>
      <c r="U118" s="1461">
        <v>0</v>
      </c>
      <c r="W118" s="995">
        <f t="shared" si="25"/>
        <v>0</v>
      </c>
      <c r="X118" s="995">
        <f t="shared" si="26"/>
        <v>0</v>
      </c>
      <c r="Y118" s="995">
        <f t="shared" si="27"/>
        <v>3</v>
      </c>
      <c r="Z118" s="995">
        <f t="shared" si="28"/>
        <v>2</v>
      </c>
      <c r="AA118" s="1461">
        <f t="shared" si="29"/>
        <v>0</v>
      </c>
    </row>
    <row r="119" spans="1:27" s="1461" customFormat="1" ht="16.5" customHeight="1" x14ac:dyDescent="0.25">
      <c r="A119" s="1596" t="s">
        <v>196</v>
      </c>
      <c r="B119" s="1597" t="s">
        <v>312</v>
      </c>
      <c r="C119" s="558" t="s">
        <v>266</v>
      </c>
      <c r="D119" s="1605">
        <f t="shared" si="23"/>
        <v>20</v>
      </c>
      <c r="E119" s="1606">
        <v>3</v>
      </c>
      <c r="F119" s="1606">
        <v>15</v>
      </c>
      <c r="G119" s="1606">
        <v>0</v>
      </c>
      <c r="H119" s="1606">
        <v>0</v>
      </c>
      <c r="I119" s="1606">
        <v>0</v>
      </c>
      <c r="J119" s="1606">
        <v>2</v>
      </c>
      <c r="K119" s="1606">
        <v>0</v>
      </c>
      <c r="L119" s="1607">
        <v>0</v>
      </c>
      <c r="M119" s="995">
        <f t="shared" si="24"/>
        <v>2</v>
      </c>
      <c r="N119" s="639"/>
      <c r="O119" s="995">
        <v>0</v>
      </c>
      <c r="P119" s="995">
        <v>8</v>
      </c>
      <c r="Q119" s="995">
        <v>6</v>
      </c>
      <c r="R119" s="995">
        <v>5</v>
      </c>
      <c r="S119" s="1461">
        <v>1</v>
      </c>
      <c r="T119" s="1461">
        <v>0</v>
      </c>
      <c r="U119" s="1461">
        <v>0</v>
      </c>
      <c r="W119" s="995">
        <f t="shared" si="25"/>
        <v>8</v>
      </c>
      <c r="X119" s="995">
        <f t="shared" si="26"/>
        <v>6</v>
      </c>
      <c r="Y119" s="995">
        <f t="shared" si="27"/>
        <v>5</v>
      </c>
      <c r="Z119" s="995">
        <f t="shared" si="28"/>
        <v>1</v>
      </c>
      <c r="AA119" s="1461">
        <f t="shared" si="29"/>
        <v>0</v>
      </c>
    </row>
    <row r="120" spans="1:27" s="1461" customFormat="1" ht="16.5" customHeight="1" x14ac:dyDescent="0.25">
      <c r="A120" s="1596" t="s">
        <v>200</v>
      </c>
      <c r="B120" s="1597" t="s">
        <v>313</v>
      </c>
      <c r="C120" s="558" t="s">
        <v>265</v>
      </c>
      <c r="D120" s="1605">
        <f t="shared" si="23"/>
        <v>49</v>
      </c>
      <c r="E120" s="1606">
        <v>30</v>
      </c>
      <c r="F120" s="1606">
        <v>6</v>
      </c>
      <c r="G120" s="1606">
        <v>0</v>
      </c>
      <c r="H120" s="1606">
        <v>0</v>
      </c>
      <c r="I120" s="1606">
        <v>0</v>
      </c>
      <c r="J120" s="1606">
        <v>12</v>
      </c>
      <c r="K120" s="1606">
        <v>1</v>
      </c>
      <c r="L120" s="1607">
        <v>0</v>
      </c>
      <c r="M120" s="995">
        <f t="shared" si="24"/>
        <v>13</v>
      </c>
      <c r="N120" s="995"/>
      <c r="O120" s="995">
        <v>0</v>
      </c>
      <c r="P120" s="995">
        <v>35</v>
      </c>
      <c r="Q120" s="995">
        <v>12</v>
      </c>
      <c r="R120" s="995">
        <v>1</v>
      </c>
      <c r="S120" s="1461">
        <v>1</v>
      </c>
      <c r="T120" s="1461">
        <v>0</v>
      </c>
      <c r="U120" s="1461">
        <v>0</v>
      </c>
      <c r="W120" s="995">
        <f t="shared" si="25"/>
        <v>35</v>
      </c>
      <c r="X120" s="995">
        <f t="shared" si="26"/>
        <v>12</v>
      </c>
      <c r="Y120" s="995">
        <f t="shared" si="27"/>
        <v>1</v>
      </c>
      <c r="Z120" s="995">
        <f t="shared" si="28"/>
        <v>1</v>
      </c>
      <c r="AA120" s="1461">
        <f t="shared" si="29"/>
        <v>0</v>
      </c>
    </row>
    <row r="121" spans="1:27" s="1461" customFormat="1" ht="16.5" customHeight="1" x14ac:dyDescent="0.25">
      <c r="A121" s="1596" t="s">
        <v>222</v>
      </c>
      <c r="B121" s="1597" t="s">
        <v>223</v>
      </c>
      <c r="C121" s="558" t="s">
        <v>264</v>
      </c>
      <c r="D121" s="1605">
        <f t="shared" si="23"/>
        <v>2</v>
      </c>
      <c r="E121" s="1606">
        <v>0</v>
      </c>
      <c r="F121" s="1606">
        <v>1</v>
      </c>
      <c r="G121" s="1606">
        <v>0</v>
      </c>
      <c r="H121" s="1606">
        <v>0</v>
      </c>
      <c r="I121" s="1606">
        <v>0</v>
      </c>
      <c r="J121" s="1606">
        <v>0</v>
      </c>
      <c r="K121" s="1606">
        <v>1</v>
      </c>
      <c r="L121" s="1607">
        <v>0</v>
      </c>
      <c r="M121" s="995">
        <f t="shared" si="24"/>
        <v>1</v>
      </c>
      <c r="N121" s="639"/>
      <c r="O121" s="995">
        <v>0</v>
      </c>
      <c r="P121" s="995">
        <v>0</v>
      </c>
      <c r="Q121" s="995">
        <v>0</v>
      </c>
      <c r="R121" s="995">
        <v>1</v>
      </c>
      <c r="S121" s="1461">
        <v>1</v>
      </c>
      <c r="T121" s="1461">
        <v>0</v>
      </c>
      <c r="U121" s="1461">
        <v>0</v>
      </c>
      <c r="W121" s="995">
        <f t="shared" si="25"/>
        <v>0</v>
      </c>
      <c r="X121" s="995">
        <f t="shared" si="26"/>
        <v>0</v>
      </c>
      <c r="Y121" s="995">
        <f t="shared" si="27"/>
        <v>1</v>
      </c>
      <c r="Z121" s="995">
        <f t="shared" si="28"/>
        <v>1</v>
      </c>
      <c r="AA121" s="1461">
        <f t="shared" si="29"/>
        <v>0</v>
      </c>
    </row>
    <row r="122" spans="1:27" s="1461" customFormat="1" ht="16.5" customHeight="1" x14ac:dyDescent="0.25">
      <c r="A122" s="1596" t="s">
        <v>230</v>
      </c>
      <c r="B122" s="1597" t="s">
        <v>231</v>
      </c>
      <c r="C122" s="558" t="s">
        <v>264</v>
      </c>
      <c r="D122" s="1605">
        <f t="shared" si="23"/>
        <v>54</v>
      </c>
      <c r="E122" s="1606">
        <v>26</v>
      </c>
      <c r="F122" s="1606">
        <v>15</v>
      </c>
      <c r="G122" s="1606">
        <v>0</v>
      </c>
      <c r="H122" s="1606">
        <v>0</v>
      </c>
      <c r="I122" s="1606">
        <v>0</v>
      </c>
      <c r="J122" s="1606">
        <v>11</v>
      </c>
      <c r="K122" s="1606">
        <v>2</v>
      </c>
      <c r="L122" s="1607">
        <v>0</v>
      </c>
      <c r="M122" s="995">
        <f t="shared" si="24"/>
        <v>13</v>
      </c>
      <c r="N122" s="995"/>
      <c r="O122" s="995">
        <v>0</v>
      </c>
      <c r="P122" s="995">
        <v>23</v>
      </c>
      <c r="Q122" s="995">
        <v>15</v>
      </c>
      <c r="R122" s="995">
        <v>12</v>
      </c>
      <c r="S122" s="1461">
        <v>4</v>
      </c>
      <c r="T122" s="1461">
        <v>0</v>
      </c>
      <c r="U122" s="1461">
        <v>0</v>
      </c>
      <c r="W122" s="995">
        <f t="shared" si="25"/>
        <v>23</v>
      </c>
      <c r="X122" s="995">
        <f t="shared" si="26"/>
        <v>15</v>
      </c>
      <c r="Y122" s="995">
        <f t="shared" si="27"/>
        <v>12</v>
      </c>
      <c r="Z122" s="995">
        <f t="shared" si="28"/>
        <v>4</v>
      </c>
      <c r="AA122" s="1461">
        <f t="shared" si="29"/>
        <v>0</v>
      </c>
    </row>
    <row r="123" spans="1:27" s="1461" customFormat="1" ht="16.5" customHeight="1" x14ac:dyDescent="0.25">
      <c r="A123" s="1596" t="s">
        <v>238</v>
      </c>
      <c r="B123" s="1597" t="s">
        <v>239</v>
      </c>
      <c r="C123" s="558" t="s">
        <v>264</v>
      </c>
      <c r="D123" s="1605">
        <f t="shared" si="23"/>
        <v>0</v>
      </c>
      <c r="E123" s="1606">
        <v>0</v>
      </c>
      <c r="F123" s="1606">
        <v>0</v>
      </c>
      <c r="G123" s="1606">
        <v>0</v>
      </c>
      <c r="H123" s="1606">
        <v>0</v>
      </c>
      <c r="I123" s="1606">
        <v>0</v>
      </c>
      <c r="J123" s="1606">
        <v>0</v>
      </c>
      <c r="K123" s="1606">
        <v>0</v>
      </c>
      <c r="L123" s="1607">
        <v>0</v>
      </c>
      <c r="M123" s="995">
        <f t="shared" si="24"/>
        <v>0</v>
      </c>
      <c r="N123" s="995"/>
      <c r="O123" s="995">
        <v>0</v>
      </c>
      <c r="P123" s="995">
        <v>0</v>
      </c>
      <c r="Q123" s="995">
        <v>0</v>
      </c>
      <c r="R123" s="995">
        <v>0</v>
      </c>
      <c r="S123" s="1461">
        <v>0</v>
      </c>
      <c r="T123" s="1461">
        <v>0</v>
      </c>
      <c r="U123" s="1461">
        <v>0</v>
      </c>
      <c r="W123" s="995">
        <f t="shared" si="25"/>
        <v>0</v>
      </c>
      <c r="X123" s="995">
        <f t="shared" si="26"/>
        <v>0</v>
      </c>
      <c r="Y123" s="995">
        <f t="shared" si="27"/>
        <v>0</v>
      </c>
      <c r="Z123" s="995">
        <f t="shared" si="28"/>
        <v>0</v>
      </c>
      <c r="AA123" s="1461">
        <f t="shared" si="29"/>
        <v>0</v>
      </c>
    </row>
    <row r="124" spans="1:27" s="1461" customFormat="1" ht="16.5" customHeight="1" x14ac:dyDescent="0.25">
      <c r="A124" s="1596" t="s">
        <v>240</v>
      </c>
      <c r="B124" s="1597" t="s">
        <v>241</v>
      </c>
      <c r="C124" s="558" t="s">
        <v>267</v>
      </c>
      <c r="D124" s="1605">
        <f t="shared" si="23"/>
        <v>2</v>
      </c>
      <c r="E124" s="1606">
        <v>2</v>
      </c>
      <c r="F124" s="1606">
        <v>0</v>
      </c>
      <c r="G124" s="1606">
        <v>0</v>
      </c>
      <c r="H124" s="1606">
        <v>0</v>
      </c>
      <c r="I124" s="1606">
        <v>0</v>
      </c>
      <c r="J124" s="1606">
        <v>0</v>
      </c>
      <c r="K124" s="1606">
        <v>0</v>
      </c>
      <c r="L124" s="1607">
        <v>0</v>
      </c>
      <c r="M124" s="995">
        <f t="shared" si="24"/>
        <v>0</v>
      </c>
      <c r="N124" s="639"/>
      <c r="O124" s="995">
        <v>0</v>
      </c>
      <c r="P124" s="995">
        <v>2</v>
      </c>
      <c r="Q124" s="995">
        <v>0</v>
      </c>
      <c r="R124" s="995">
        <v>0</v>
      </c>
      <c r="S124" s="1461">
        <v>0</v>
      </c>
      <c r="T124" s="1461">
        <v>0</v>
      </c>
      <c r="U124" s="1461">
        <v>0</v>
      </c>
      <c r="W124" s="995">
        <f t="shared" si="25"/>
        <v>2</v>
      </c>
      <c r="X124" s="995">
        <f t="shared" si="26"/>
        <v>0</v>
      </c>
      <c r="Y124" s="995">
        <f t="shared" si="27"/>
        <v>0</v>
      </c>
      <c r="Z124" s="995">
        <f t="shared" si="28"/>
        <v>0</v>
      </c>
      <c r="AA124" s="1461">
        <f t="shared" si="29"/>
        <v>0</v>
      </c>
    </row>
    <row r="125" spans="1:27" x14ac:dyDescent="0.25">
      <c r="D125" s="629"/>
      <c r="E125" s="629"/>
      <c r="F125" s="629"/>
      <c r="G125" s="629"/>
      <c r="H125" s="629"/>
      <c r="I125" s="629"/>
      <c r="J125" s="629"/>
      <c r="K125" s="629"/>
      <c r="L125" s="629"/>
      <c r="M125" s="629"/>
      <c r="N125" s="629"/>
      <c r="O125" s="629"/>
      <c r="P125" s="629"/>
      <c r="Q125" s="629"/>
      <c r="R125" s="629"/>
    </row>
    <row r="126" spans="1:27" ht="32.25" customHeight="1" x14ac:dyDescent="0.25">
      <c r="A126" s="2763" t="s">
        <v>1416</v>
      </c>
      <c r="B126" s="2762"/>
      <c r="C126" s="2762"/>
      <c r="D126" s="2762"/>
      <c r="E126" s="2762"/>
      <c r="F126" s="2762"/>
      <c r="G126" s="2762"/>
      <c r="H126" s="2762"/>
      <c r="I126" s="2762"/>
      <c r="J126" s="2762"/>
      <c r="K126" s="2762"/>
      <c r="L126" s="2762"/>
      <c r="M126" s="2762"/>
      <c r="N126" s="2762"/>
      <c r="O126" s="640"/>
      <c r="P126" s="640"/>
      <c r="Q126" s="640"/>
      <c r="R126" s="640"/>
      <c r="S126" s="640"/>
      <c r="T126" s="640"/>
    </row>
    <row r="127" spans="1:27" x14ac:dyDescent="0.25">
      <c r="A127" s="369" t="s">
        <v>1206</v>
      </c>
    </row>
    <row r="129" spans="1:3" s="389" customFormat="1" x14ac:dyDescent="0.25">
      <c r="A129" s="389" t="s">
        <v>248</v>
      </c>
    </row>
    <row r="130" spans="1:3" s="389" customFormat="1" x14ac:dyDescent="0.25">
      <c r="A130" s="390" t="s">
        <v>249</v>
      </c>
      <c r="B130" s="391" t="s">
        <v>250</v>
      </c>
      <c r="C130" s="391"/>
    </row>
  </sheetData>
  <sortState ref="A5:AA124">
    <sortCondition ref="A5:A124"/>
  </sortState>
  <mergeCells count="1">
    <mergeCell ref="A126:N126"/>
  </mergeCells>
  <hyperlinks>
    <hyperlink ref="B130"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30"/>
  <sheetViews>
    <sheetView workbookViewId="0">
      <pane ySplit="4" topLeftCell="A104" activePane="bottomLeft" state="frozen"/>
      <selection pane="bottomLeft" activeCell="E124" sqref="E124:K124"/>
    </sheetView>
  </sheetViews>
  <sheetFormatPr defaultRowHeight="15.75" x14ac:dyDescent="0.25"/>
  <cols>
    <col min="1" max="1" width="11" style="369" customWidth="1"/>
    <col min="2" max="2" width="32" style="369" customWidth="1"/>
    <col min="3" max="3" width="14.25" style="369" customWidth="1"/>
    <col min="4" max="9" width="7.5" style="369" customWidth="1"/>
    <col min="10" max="11" width="10.125" style="369" customWidth="1"/>
    <col min="12" max="12" width="12.25" style="369" customWidth="1"/>
    <col min="13" max="13" width="4.875" style="369" customWidth="1"/>
    <col min="14" max="15" width="12.25" style="369" customWidth="1"/>
    <col min="16" max="16" width="11.5" style="369" customWidth="1"/>
    <col min="17" max="17" width="11.125" style="369" customWidth="1"/>
    <col min="18" max="18" width="11.5" style="369" customWidth="1"/>
    <col min="19" max="16384" width="9" style="369"/>
  </cols>
  <sheetData>
    <row r="1" spans="1:18" x14ac:dyDescent="0.25">
      <c r="A1" s="190" t="s">
        <v>1374</v>
      </c>
    </row>
    <row r="3" spans="1:18" ht="32.25" customHeight="1" x14ac:dyDescent="0.25">
      <c r="A3" s="614" t="s">
        <v>4</v>
      </c>
      <c r="B3" s="615" t="s">
        <v>5</v>
      </c>
      <c r="C3" s="616" t="s">
        <v>251</v>
      </c>
      <c r="D3" s="617" t="s">
        <v>281</v>
      </c>
      <c r="E3" s="618" t="s">
        <v>2</v>
      </c>
      <c r="F3" s="619" t="s">
        <v>445</v>
      </c>
      <c r="G3" s="996" t="s">
        <v>542</v>
      </c>
      <c r="H3" s="996" t="s">
        <v>761</v>
      </c>
      <c r="I3" s="996" t="s">
        <v>720</v>
      </c>
      <c r="J3" s="996" t="s">
        <v>848</v>
      </c>
      <c r="K3" s="996" t="s">
        <v>762</v>
      </c>
      <c r="L3" s="1473" t="s">
        <v>1087</v>
      </c>
      <c r="M3" s="620"/>
      <c r="N3" s="1475" t="s">
        <v>1048</v>
      </c>
      <c r="O3" s="1476" t="s">
        <v>1049</v>
      </c>
      <c r="P3" s="1477" t="s">
        <v>1050</v>
      </c>
      <c r="Q3" s="1477" t="s">
        <v>1051</v>
      </c>
      <c r="R3" s="1478" t="s">
        <v>1052</v>
      </c>
    </row>
    <row r="4" spans="1:18" x14ac:dyDescent="0.25">
      <c r="A4" s="621">
        <v>999</v>
      </c>
      <c r="B4" s="622" t="s">
        <v>9</v>
      </c>
      <c r="C4" s="622"/>
      <c r="D4" s="623">
        <f t="shared" ref="D4:K4" si="0">SUM(D5:D124)</f>
        <v>8176</v>
      </c>
      <c r="E4" s="623">
        <f t="shared" si="0"/>
        <v>4429</v>
      </c>
      <c r="F4" s="623">
        <f t="shared" si="0"/>
        <v>2662</v>
      </c>
      <c r="G4" s="623">
        <f t="shared" si="0"/>
        <v>38</v>
      </c>
      <c r="H4" s="623">
        <f t="shared" si="0"/>
        <v>17</v>
      </c>
      <c r="I4" s="623">
        <f t="shared" si="0"/>
        <v>8</v>
      </c>
      <c r="J4" s="623">
        <f t="shared" si="0"/>
        <v>963</v>
      </c>
      <c r="K4" s="623">
        <f t="shared" si="0"/>
        <v>59</v>
      </c>
      <c r="L4" s="1474">
        <f t="shared" ref="L4" si="1">G4+H4+I4+J4</f>
        <v>1026</v>
      </c>
      <c r="M4" s="620"/>
      <c r="N4" s="623">
        <f t="shared" ref="N4:R4" si="2">SUM(N5:N124)</f>
        <v>976</v>
      </c>
      <c r="O4" s="623">
        <f t="shared" si="2"/>
        <v>2078</v>
      </c>
      <c r="P4" s="623">
        <f t="shared" si="2"/>
        <v>2938</v>
      </c>
      <c r="Q4" s="623">
        <f t="shared" si="2"/>
        <v>1580</v>
      </c>
      <c r="R4" s="623">
        <f t="shared" si="2"/>
        <v>604</v>
      </c>
    </row>
    <row r="5" spans="1:18" ht="16.5" customHeight="1" x14ac:dyDescent="0.25">
      <c r="A5" s="624" t="s">
        <v>10</v>
      </c>
      <c r="B5" s="625" t="s">
        <v>11</v>
      </c>
      <c r="C5" s="553" t="s">
        <v>264</v>
      </c>
      <c r="D5" s="626">
        <f t="shared" ref="D5:D36" si="3">SUM(E5:K5)</f>
        <v>13</v>
      </c>
      <c r="E5" s="627">
        <v>9</v>
      </c>
      <c r="F5" s="628">
        <v>1</v>
      </c>
      <c r="G5" s="628">
        <v>0</v>
      </c>
      <c r="H5" s="628">
        <v>0</v>
      </c>
      <c r="I5" s="628">
        <v>0</v>
      </c>
      <c r="J5" s="628">
        <v>3</v>
      </c>
      <c r="K5" s="628">
        <v>0</v>
      </c>
      <c r="L5" s="629">
        <f t="shared" ref="L5:L36" si="4">G5+H5+I5+J5</f>
        <v>3</v>
      </c>
      <c r="M5" s="1458"/>
      <c r="N5" s="995">
        <v>4</v>
      </c>
      <c r="O5" s="995">
        <v>3</v>
      </c>
      <c r="P5" s="995">
        <v>3</v>
      </c>
      <c r="Q5" s="1461">
        <v>2</v>
      </c>
      <c r="R5" s="1461">
        <v>1</v>
      </c>
    </row>
    <row r="6" spans="1:18" ht="16.5" customHeight="1" x14ac:dyDescent="0.25">
      <c r="A6" s="624" t="s">
        <v>12</v>
      </c>
      <c r="B6" s="625" t="s">
        <v>13</v>
      </c>
      <c r="C6" s="553" t="s">
        <v>265</v>
      </c>
      <c r="D6" s="626">
        <f t="shared" si="3"/>
        <v>94</v>
      </c>
      <c r="E6" s="627">
        <v>56</v>
      </c>
      <c r="F6" s="628">
        <v>21</v>
      </c>
      <c r="G6" s="628">
        <v>1</v>
      </c>
      <c r="H6" s="628">
        <v>0</v>
      </c>
      <c r="I6" s="628">
        <v>0</v>
      </c>
      <c r="J6" s="628">
        <v>10</v>
      </c>
      <c r="K6" s="628">
        <v>6</v>
      </c>
      <c r="L6" s="629">
        <f t="shared" si="4"/>
        <v>11</v>
      </c>
      <c r="M6" s="1459"/>
      <c r="N6" s="995">
        <v>6</v>
      </c>
      <c r="O6" s="995">
        <v>24</v>
      </c>
      <c r="P6" s="995">
        <v>40</v>
      </c>
      <c r="Q6" s="1461">
        <v>16</v>
      </c>
      <c r="R6" s="1461">
        <v>8</v>
      </c>
    </row>
    <row r="7" spans="1:18" ht="16.5" customHeight="1" x14ac:dyDescent="0.25">
      <c r="A7" s="624" t="s">
        <v>14</v>
      </c>
      <c r="B7" s="625" t="s">
        <v>15</v>
      </c>
      <c r="C7" s="558" t="s">
        <v>267</v>
      </c>
      <c r="D7" s="626">
        <f t="shared" si="3"/>
        <v>219</v>
      </c>
      <c r="E7" s="627">
        <v>47</v>
      </c>
      <c r="F7" s="628">
        <v>152</v>
      </c>
      <c r="G7" s="628">
        <v>0</v>
      </c>
      <c r="H7" s="628">
        <v>0</v>
      </c>
      <c r="I7" s="628">
        <v>0</v>
      </c>
      <c r="J7" s="628">
        <v>20</v>
      </c>
      <c r="K7" s="628">
        <v>0</v>
      </c>
      <c r="L7" s="629">
        <f t="shared" si="4"/>
        <v>20</v>
      </c>
      <c r="M7" s="1460"/>
      <c r="N7" s="995">
        <v>23</v>
      </c>
      <c r="O7" s="995">
        <v>48</v>
      </c>
      <c r="P7" s="995">
        <v>72</v>
      </c>
      <c r="Q7" s="1461">
        <v>39</v>
      </c>
      <c r="R7" s="1461">
        <v>37</v>
      </c>
    </row>
    <row r="8" spans="1:18" ht="16.5" customHeight="1" x14ac:dyDescent="0.25">
      <c r="A8" s="624" t="s">
        <v>16</v>
      </c>
      <c r="B8" s="625" t="s">
        <v>297</v>
      </c>
      <c r="C8" s="553" t="s">
        <v>265</v>
      </c>
      <c r="D8" s="626">
        <f t="shared" si="3"/>
        <v>7</v>
      </c>
      <c r="E8" s="627">
        <v>5</v>
      </c>
      <c r="F8" s="628">
        <v>1</v>
      </c>
      <c r="G8" s="628">
        <v>0</v>
      </c>
      <c r="H8" s="628">
        <v>0</v>
      </c>
      <c r="I8" s="628">
        <v>0</v>
      </c>
      <c r="J8" s="628">
        <v>1</v>
      </c>
      <c r="K8" s="628">
        <v>0</v>
      </c>
      <c r="L8" s="629">
        <f t="shared" si="4"/>
        <v>1</v>
      </c>
      <c r="M8" s="639"/>
      <c r="N8" s="995">
        <v>1</v>
      </c>
      <c r="O8" s="639">
        <v>2</v>
      </c>
      <c r="P8" s="995">
        <v>4</v>
      </c>
      <c r="Q8" s="1461">
        <v>0</v>
      </c>
      <c r="R8" s="1461">
        <v>0</v>
      </c>
    </row>
    <row r="9" spans="1:18" ht="16.5" customHeight="1" x14ac:dyDescent="0.25">
      <c r="A9" s="624" t="s">
        <v>18</v>
      </c>
      <c r="B9" s="625" t="s">
        <v>19</v>
      </c>
      <c r="C9" s="553" t="s">
        <v>266</v>
      </c>
      <c r="D9" s="626">
        <f t="shared" si="3"/>
        <v>8</v>
      </c>
      <c r="E9" s="627">
        <v>5</v>
      </c>
      <c r="F9" s="628">
        <v>2</v>
      </c>
      <c r="G9" s="628">
        <v>0</v>
      </c>
      <c r="H9" s="628">
        <v>0</v>
      </c>
      <c r="I9" s="628">
        <v>0</v>
      </c>
      <c r="J9" s="628">
        <v>1</v>
      </c>
      <c r="K9" s="628">
        <v>0</v>
      </c>
      <c r="L9" s="629">
        <f t="shared" si="4"/>
        <v>1</v>
      </c>
      <c r="M9" s="1459"/>
      <c r="N9" s="995">
        <v>0</v>
      </c>
      <c r="O9" s="995">
        <v>1</v>
      </c>
      <c r="P9" s="995">
        <v>4</v>
      </c>
      <c r="Q9" s="1461">
        <v>3</v>
      </c>
      <c r="R9" s="1461">
        <v>0</v>
      </c>
    </row>
    <row r="10" spans="1:18" ht="16.5" customHeight="1" x14ac:dyDescent="0.25">
      <c r="A10" s="624" t="s">
        <v>20</v>
      </c>
      <c r="B10" s="625" t="s">
        <v>21</v>
      </c>
      <c r="C10" s="553" t="s">
        <v>265</v>
      </c>
      <c r="D10" s="626">
        <f t="shared" si="3"/>
        <v>6</v>
      </c>
      <c r="E10" s="627">
        <v>6</v>
      </c>
      <c r="F10" s="628">
        <v>0</v>
      </c>
      <c r="G10" s="994">
        <v>0</v>
      </c>
      <c r="H10" s="994">
        <v>0</v>
      </c>
      <c r="I10" s="994">
        <v>0</v>
      </c>
      <c r="J10" s="994">
        <v>0</v>
      </c>
      <c r="K10" s="994">
        <v>0</v>
      </c>
      <c r="L10" s="629">
        <f t="shared" si="4"/>
        <v>0</v>
      </c>
      <c r="M10" s="995"/>
      <c r="N10" s="995">
        <v>0</v>
      </c>
      <c r="O10" s="995">
        <v>4</v>
      </c>
      <c r="P10" s="995">
        <v>0</v>
      </c>
      <c r="Q10" s="1461">
        <v>2</v>
      </c>
      <c r="R10" s="1461">
        <v>0</v>
      </c>
    </row>
    <row r="11" spans="1:18" ht="16.5" customHeight="1" x14ac:dyDescent="0.25">
      <c r="A11" s="624" t="s">
        <v>22</v>
      </c>
      <c r="B11" s="625" t="s">
        <v>23</v>
      </c>
      <c r="C11" s="553" t="s">
        <v>265</v>
      </c>
      <c r="D11" s="626">
        <f t="shared" si="3"/>
        <v>8</v>
      </c>
      <c r="E11" s="627">
        <v>6</v>
      </c>
      <c r="F11" s="628">
        <v>0</v>
      </c>
      <c r="G11" s="628">
        <v>0</v>
      </c>
      <c r="H11" s="628">
        <v>0</v>
      </c>
      <c r="I11" s="628">
        <v>0</v>
      </c>
      <c r="J11" s="628">
        <v>2</v>
      </c>
      <c r="K11" s="628">
        <v>0</v>
      </c>
      <c r="L11" s="629">
        <f t="shared" si="4"/>
        <v>2</v>
      </c>
      <c r="M11" s="1459"/>
      <c r="N11" s="995">
        <v>1</v>
      </c>
      <c r="O11" s="995">
        <v>2</v>
      </c>
      <c r="P11" s="995">
        <v>2</v>
      </c>
      <c r="Q11" s="1461">
        <v>2</v>
      </c>
      <c r="R11" s="1461">
        <v>1</v>
      </c>
    </row>
    <row r="12" spans="1:18" ht="16.5" customHeight="1" x14ac:dyDescent="0.25">
      <c r="A12" s="624" t="s">
        <v>24</v>
      </c>
      <c r="B12" s="625" t="s">
        <v>25</v>
      </c>
      <c r="C12" s="553" t="s">
        <v>267</v>
      </c>
      <c r="D12" s="626">
        <f t="shared" si="3"/>
        <v>113</v>
      </c>
      <c r="E12" s="627">
        <v>29</v>
      </c>
      <c r="F12" s="628">
        <v>67</v>
      </c>
      <c r="G12" s="628">
        <v>2</v>
      </c>
      <c r="H12" s="628">
        <v>0</v>
      </c>
      <c r="I12" s="628">
        <v>0</v>
      </c>
      <c r="J12" s="628">
        <v>13</v>
      </c>
      <c r="K12" s="628">
        <v>2</v>
      </c>
      <c r="L12" s="629">
        <f t="shared" si="4"/>
        <v>15</v>
      </c>
      <c r="M12" s="1460"/>
      <c r="N12" s="995">
        <v>20</v>
      </c>
      <c r="O12" s="995">
        <v>23</v>
      </c>
      <c r="P12" s="995">
        <v>47</v>
      </c>
      <c r="Q12" s="1461">
        <v>20</v>
      </c>
      <c r="R12" s="1461">
        <v>3</v>
      </c>
    </row>
    <row r="13" spans="1:18" ht="16.5" customHeight="1" x14ac:dyDescent="0.25">
      <c r="A13" s="624" t="s">
        <v>26</v>
      </c>
      <c r="B13" s="625" t="s">
        <v>685</v>
      </c>
      <c r="C13" s="553" t="s">
        <v>265</v>
      </c>
      <c r="D13" s="626">
        <f t="shared" si="3"/>
        <v>267</v>
      </c>
      <c r="E13" s="635">
        <v>201</v>
      </c>
      <c r="F13" s="994">
        <v>17</v>
      </c>
      <c r="G13" s="994">
        <v>0</v>
      </c>
      <c r="H13" s="994">
        <v>0</v>
      </c>
      <c r="I13" s="994">
        <v>1</v>
      </c>
      <c r="J13" s="994">
        <v>48</v>
      </c>
      <c r="K13" s="994">
        <v>0</v>
      </c>
      <c r="L13" s="629">
        <f t="shared" si="4"/>
        <v>49</v>
      </c>
      <c r="M13" s="1459"/>
      <c r="N13" s="995">
        <v>29</v>
      </c>
      <c r="O13" s="639">
        <v>64</v>
      </c>
      <c r="P13" s="995">
        <v>92</v>
      </c>
      <c r="Q13" s="1461">
        <v>59</v>
      </c>
      <c r="R13" s="1461">
        <v>23</v>
      </c>
    </row>
    <row r="14" spans="1:18" ht="16.5" customHeight="1" x14ac:dyDescent="0.25">
      <c r="A14" s="624" t="s">
        <v>27</v>
      </c>
      <c r="B14" s="625" t="s">
        <v>28</v>
      </c>
      <c r="C14" s="558" t="s">
        <v>265</v>
      </c>
      <c r="D14" s="626">
        <f t="shared" si="3"/>
        <v>5</v>
      </c>
      <c r="E14" s="627">
        <v>5</v>
      </c>
      <c r="F14" s="1621">
        <v>0</v>
      </c>
      <c r="G14" s="1621">
        <v>0</v>
      </c>
      <c r="H14" s="1621">
        <v>0</v>
      </c>
      <c r="I14" s="1621">
        <v>0</v>
      </c>
      <c r="J14" s="1622">
        <v>0</v>
      </c>
      <c r="K14" s="1621">
        <v>0</v>
      </c>
      <c r="L14" s="629">
        <f t="shared" si="4"/>
        <v>0</v>
      </c>
      <c r="M14" s="1459"/>
      <c r="N14" s="995">
        <v>1</v>
      </c>
      <c r="O14" s="995">
        <v>4</v>
      </c>
      <c r="P14" s="995">
        <v>0</v>
      </c>
      <c r="Q14" s="1461">
        <v>0</v>
      </c>
      <c r="R14" s="1461">
        <v>0</v>
      </c>
    </row>
    <row r="15" spans="1:18" ht="16.5" customHeight="1" x14ac:dyDescent="0.25">
      <c r="A15" s="624" t="s">
        <v>29</v>
      </c>
      <c r="B15" s="625" t="s">
        <v>901</v>
      </c>
      <c r="C15" s="558" t="s">
        <v>265</v>
      </c>
      <c r="D15" s="626">
        <f t="shared" si="3"/>
        <v>64</v>
      </c>
      <c r="E15" s="627">
        <v>46</v>
      </c>
      <c r="F15" s="628">
        <v>8</v>
      </c>
      <c r="G15" s="994">
        <v>0</v>
      </c>
      <c r="H15" s="994">
        <v>0</v>
      </c>
      <c r="I15" s="994">
        <v>0</v>
      </c>
      <c r="J15" s="994">
        <v>10</v>
      </c>
      <c r="K15" s="994">
        <v>0</v>
      </c>
      <c r="L15" s="629">
        <f t="shared" si="4"/>
        <v>10</v>
      </c>
      <c r="M15" s="1459"/>
      <c r="N15" s="995">
        <v>0</v>
      </c>
      <c r="O15" s="995">
        <v>18</v>
      </c>
      <c r="P15" s="995">
        <v>20</v>
      </c>
      <c r="Q15" s="1461">
        <v>15</v>
      </c>
      <c r="R15" s="1461">
        <v>11</v>
      </c>
    </row>
    <row r="16" spans="1:18" ht="16.5" customHeight="1" x14ac:dyDescent="0.25">
      <c r="A16" s="624" t="s">
        <v>30</v>
      </c>
      <c r="B16" s="625" t="s">
        <v>31</v>
      </c>
      <c r="C16" s="558" t="s">
        <v>268</v>
      </c>
      <c r="D16" s="626">
        <f t="shared" si="3"/>
        <v>14</v>
      </c>
      <c r="E16" s="627">
        <v>13</v>
      </c>
      <c r="F16" s="628">
        <v>0</v>
      </c>
      <c r="G16" s="628">
        <v>0</v>
      </c>
      <c r="H16" s="628">
        <v>0</v>
      </c>
      <c r="I16" s="628">
        <v>0</v>
      </c>
      <c r="J16" s="628">
        <v>1</v>
      </c>
      <c r="K16" s="628">
        <v>0</v>
      </c>
      <c r="L16" s="629">
        <f t="shared" si="4"/>
        <v>1</v>
      </c>
      <c r="M16" s="639"/>
      <c r="N16" s="995">
        <v>1</v>
      </c>
      <c r="O16" s="995">
        <v>5</v>
      </c>
      <c r="P16" s="995">
        <v>7</v>
      </c>
      <c r="Q16" s="1461">
        <v>1</v>
      </c>
      <c r="R16" s="1461">
        <v>0</v>
      </c>
    </row>
    <row r="17" spans="1:18" ht="16.5" customHeight="1" x14ac:dyDescent="0.25">
      <c r="A17" s="624" t="s">
        <v>32</v>
      </c>
      <c r="B17" s="625" t="s">
        <v>33</v>
      </c>
      <c r="C17" s="558" t="s">
        <v>265</v>
      </c>
      <c r="D17" s="626">
        <f t="shared" si="3"/>
        <v>9</v>
      </c>
      <c r="E17" s="627">
        <v>8</v>
      </c>
      <c r="F17" s="628">
        <v>0</v>
      </c>
      <c r="G17" s="994">
        <v>0</v>
      </c>
      <c r="H17" s="994">
        <v>0</v>
      </c>
      <c r="I17" s="994">
        <v>0</v>
      </c>
      <c r="J17" s="994">
        <v>1</v>
      </c>
      <c r="K17" s="994">
        <v>0</v>
      </c>
      <c r="L17" s="629">
        <f t="shared" si="4"/>
        <v>1</v>
      </c>
      <c r="M17" s="632"/>
      <c r="N17" s="995">
        <v>0</v>
      </c>
      <c r="O17" s="995">
        <v>2</v>
      </c>
      <c r="P17" s="995">
        <v>4</v>
      </c>
      <c r="Q17" s="1461">
        <v>3</v>
      </c>
      <c r="R17" s="1461">
        <v>0</v>
      </c>
    </row>
    <row r="18" spans="1:18" ht="16.5" customHeight="1" x14ac:dyDescent="0.25">
      <c r="A18" s="624" t="s">
        <v>34</v>
      </c>
      <c r="B18" s="625" t="s">
        <v>35</v>
      </c>
      <c r="C18" s="558" t="s">
        <v>268</v>
      </c>
      <c r="D18" s="626">
        <f t="shared" si="3"/>
        <v>56</v>
      </c>
      <c r="E18" s="627">
        <v>50</v>
      </c>
      <c r="F18" s="628">
        <v>1</v>
      </c>
      <c r="G18" s="628">
        <v>0</v>
      </c>
      <c r="H18" s="628">
        <v>0</v>
      </c>
      <c r="I18" s="628">
        <v>0</v>
      </c>
      <c r="J18" s="628">
        <v>5</v>
      </c>
      <c r="K18" s="628">
        <v>0</v>
      </c>
      <c r="L18" s="629">
        <f t="shared" si="4"/>
        <v>5</v>
      </c>
      <c r="M18" s="1459"/>
      <c r="N18" s="995">
        <v>3</v>
      </c>
      <c r="O18" s="639">
        <v>23</v>
      </c>
      <c r="P18" s="995">
        <v>23</v>
      </c>
      <c r="Q18" s="1461">
        <v>7</v>
      </c>
      <c r="R18" s="1461">
        <v>0</v>
      </c>
    </row>
    <row r="19" spans="1:18" ht="16.5" customHeight="1" x14ac:dyDescent="0.25">
      <c r="A19" s="624" t="s">
        <v>36</v>
      </c>
      <c r="B19" s="625" t="s">
        <v>37</v>
      </c>
      <c r="C19" s="558" t="s">
        <v>264</v>
      </c>
      <c r="D19" s="626">
        <f t="shared" si="3"/>
        <v>5</v>
      </c>
      <c r="E19" s="627">
        <v>2</v>
      </c>
      <c r="F19" s="628">
        <v>1</v>
      </c>
      <c r="G19" s="628">
        <v>0</v>
      </c>
      <c r="H19" s="628">
        <v>0</v>
      </c>
      <c r="I19" s="628">
        <v>0</v>
      </c>
      <c r="J19" s="628">
        <v>2</v>
      </c>
      <c r="K19" s="628">
        <v>0</v>
      </c>
      <c r="L19" s="629">
        <f t="shared" si="4"/>
        <v>2</v>
      </c>
      <c r="M19" s="629"/>
      <c r="N19" s="995">
        <v>0</v>
      </c>
      <c r="O19" s="995">
        <v>2</v>
      </c>
      <c r="P19" s="995">
        <v>3</v>
      </c>
      <c r="Q19" s="1461">
        <v>0</v>
      </c>
      <c r="R19" s="1461">
        <v>0</v>
      </c>
    </row>
    <row r="20" spans="1:18" ht="16.5" customHeight="1" x14ac:dyDescent="0.25">
      <c r="A20" s="624" t="s">
        <v>38</v>
      </c>
      <c r="B20" s="625" t="s">
        <v>39</v>
      </c>
      <c r="C20" s="558" t="s">
        <v>268</v>
      </c>
      <c r="D20" s="626">
        <f t="shared" si="3"/>
        <v>107</v>
      </c>
      <c r="E20" s="627">
        <v>96</v>
      </c>
      <c r="F20" s="628">
        <v>1</v>
      </c>
      <c r="G20" s="628">
        <v>0</v>
      </c>
      <c r="H20" s="628">
        <v>0</v>
      </c>
      <c r="I20" s="628">
        <v>0</v>
      </c>
      <c r="J20" s="628">
        <v>10</v>
      </c>
      <c r="K20" s="628">
        <v>0</v>
      </c>
      <c r="L20" s="629">
        <f t="shared" si="4"/>
        <v>10</v>
      </c>
      <c r="M20" s="1459"/>
      <c r="N20" s="995">
        <v>26</v>
      </c>
      <c r="O20" s="995">
        <v>32</v>
      </c>
      <c r="P20" s="995">
        <v>29</v>
      </c>
      <c r="Q20" s="1461">
        <v>14</v>
      </c>
      <c r="R20" s="1461">
        <v>6</v>
      </c>
    </row>
    <row r="21" spans="1:18" ht="16.5" customHeight="1" x14ac:dyDescent="0.25">
      <c r="A21" s="624" t="s">
        <v>40</v>
      </c>
      <c r="B21" s="625" t="s">
        <v>41</v>
      </c>
      <c r="C21" s="558" t="s">
        <v>266</v>
      </c>
      <c r="D21" s="626">
        <f t="shared" si="3"/>
        <v>13</v>
      </c>
      <c r="E21" s="627">
        <v>7</v>
      </c>
      <c r="F21" s="628">
        <v>5</v>
      </c>
      <c r="G21" s="628">
        <v>0</v>
      </c>
      <c r="H21" s="628">
        <v>0</v>
      </c>
      <c r="I21" s="628">
        <v>0</v>
      </c>
      <c r="J21" s="628">
        <v>1</v>
      </c>
      <c r="K21" s="628">
        <v>0</v>
      </c>
      <c r="L21" s="629">
        <f t="shared" si="4"/>
        <v>1</v>
      </c>
      <c r="M21" s="1460"/>
      <c r="N21" s="995">
        <v>0</v>
      </c>
      <c r="O21" s="995">
        <v>6</v>
      </c>
      <c r="P21" s="995">
        <v>5</v>
      </c>
      <c r="Q21" s="1461">
        <v>2</v>
      </c>
      <c r="R21" s="1461">
        <v>0</v>
      </c>
    </row>
    <row r="22" spans="1:18" ht="16.5" customHeight="1" x14ac:dyDescent="0.25">
      <c r="A22" s="624" t="s">
        <v>42</v>
      </c>
      <c r="B22" s="625" t="s">
        <v>43</v>
      </c>
      <c r="C22" s="558" t="s">
        <v>265</v>
      </c>
      <c r="D22" s="626">
        <f t="shared" si="3"/>
        <v>123</v>
      </c>
      <c r="E22" s="627">
        <v>98</v>
      </c>
      <c r="F22" s="628">
        <v>7</v>
      </c>
      <c r="G22" s="994">
        <v>0</v>
      </c>
      <c r="H22" s="994">
        <v>0</v>
      </c>
      <c r="I22" s="994">
        <v>2</v>
      </c>
      <c r="J22" s="994">
        <v>16</v>
      </c>
      <c r="K22" s="994">
        <v>0</v>
      </c>
      <c r="L22" s="629">
        <f t="shared" si="4"/>
        <v>18</v>
      </c>
      <c r="M22" s="1459"/>
      <c r="N22" s="995">
        <v>17</v>
      </c>
      <c r="O22" s="995">
        <v>36</v>
      </c>
      <c r="P22" s="995">
        <v>34</v>
      </c>
      <c r="Q22" s="1461">
        <v>26</v>
      </c>
      <c r="R22" s="1461">
        <v>10</v>
      </c>
    </row>
    <row r="23" spans="1:18" ht="16.5" customHeight="1" x14ac:dyDescent="0.25">
      <c r="A23" s="624" t="s">
        <v>44</v>
      </c>
      <c r="B23" s="625" t="s">
        <v>45</v>
      </c>
      <c r="C23" s="558" t="s">
        <v>266</v>
      </c>
      <c r="D23" s="626">
        <f t="shared" si="3"/>
        <v>12</v>
      </c>
      <c r="E23" s="635">
        <v>6</v>
      </c>
      <c r="F23" s="994">
        <v>1</v>
      </c>
      <c r="G23" s="994">
        <v>0</v>
      </c>
      <c r="H23" s="994">
        <v>0</v>
      </c>
      <c r="I23" s="994">
        <v>0</v>
      </c>
      <c r="J23" s="994">
        <v>5</v>
      </c>
      <c r="K23" s="994">
        <v>0</v>
      </c>
      <c r="L23" s="629">
        <f t="shared" si="4"/>
        <v>5</v>
      </c>
      <c r="M23" s="995"/>
      <c r="N23" s="995">
        <v>3</v>
      </c>
      <c r="O23" s="995">
        <v>4</v>
      </c>
      <c r="P23" s="995">
        <v>3</v>
      </c>
      <c r="Q23" s="1461">
        <v>2</v>
      </c>
      <c r="R23" s="1461">
        <v>0</v>
      </c>
    </row>
    <row r="24" spans="1:18" ht="16.5" customHeight="1" x14ac:dyDescent="0.25">
      <c r="A24" s="624" t="s">
        <v>46</v>
      </c>
      <c r="B24" s="625" t="s">
        <v>47</v>
      </c>
      <c r="C24" s="558" t="s">
        <v>268</v>
      </c>
      <c r="D24" s="626">
        <f t="shared" si="3"/>
        <v>32</v>
      </c>
      <c r="E24" s="627">
        <v>30</v>
      </c>
      <c r="F24" s="628">
        <v>0</v>
      </c>
      <c r="G24" s="628">
        <v>0</v>
      </c>
      <c r="H24" s="628">
        <v>0</v>
      </c>
      <c r="I24" s="628">
        <v>0</v>
      </c>
      <c r="J24" s="628">
        <v>2</v>
      </c>
      <c r="K24" s="628">
        <v>0</v>
      </c>
      <c r="L24" s="629">
        <f t="shared" si="4"/>
        <v>2</v>
      </c>
      <c r="M24" s="1459"/>
      <c r="N24" s="995">
        <v>8</v>
      </c>
      <c r="O24" s="995">
        <v>9</v>
      </c>
      <c r="P24" s="995">
        <v>9</v>
      </c>
      <c r="Q24" s="1461">
        <v>4</v>
      </c>
      <c r="R24" s="1461">
        <v>2</v>
      </c>
    </row>
    <row r="25" spans="1:18" ht="16.5" customHeight="1" x14ac:dyDescent="0.25">
      <c r="A25" s="624" t="s">
        <v>48</v>
      </c>
      <c r="B25" s="625" t="s">
        <v>269</v>
      </c>
      <c r="C25" s="558" t="s">
        <v>266</v>
      </c>
      <c r="D25" s="626">
        <f t="shared" si="3"/>
        <v>1</v>
      </c>
      <c r="E25" s="627">
        <v>0</v>
      </c>
      <c r="F25" s="1621">
        <v>1</v>
      </c>
      <c r="G25" s="1621">
        <v>0</v>
      </c>
      <c r="H25" s="1621">
        <v>0</v>
      </c>
      <c r="I25" s="1621">
        <v>0</v>
      </c>
      <c r="J25" s="1622">
        <v>0</v>
      </c>
      <c r="K25" s="1621">
        <v>0</v>
      </c>
      <c r="L25" s="629">
        <f t="shared" si="4"/>
        <v>0</v>
      </c>
      <c r="M25" s="1459"/>
      <c r="N25" s="995">
        <v>0</v>
      </c>
      <c r="O25" s="995">
        <v>0</v>
      </c>
      <c r="P25" s="995">
        <v>1</v>
      </c>
      <c r="Q25" s="1461">
        <v>0</v>
      </c>
      <c r="R25" s="1461">
        <v>0</v>
      </c>
    </row>
    <row r="26" spans="1:18" ht="16.5" customHeight="1" x14ac:dyDescent="0.25">
      <c r="A26" s="624" t="s">
        <v>50</v>
      </c>
      <c r="B26" s="625" t="s">
        <v>51</v>
      </c>
      <c r="C26" s="558" t="s">
        <v>265</v>
      </c>
      <c r="D26" s="626">
        <f t="shared" si="3"/>
        <v>20</v>
      </c>
      <c r="E26" s="635">
        <v>8</v>
      </c>
      <c r="F26" s="994">
        <v>5</v>
      </c>
      <c r="G26" s="994">
        <v>0</v>
      </c>
      <c r="H26" s="994">
        <v>0</v>
      </c>
      <c r="I26" s="994">
        <v>0</v>
      </c>
      <c r="J26" s="994">
        <v>7</v>
      </c>
      <c r="K26" s="994">
        <v>0</v>
      </c>
      <c r="L26" s="629">
        <f t="shared" si="4"/>
        <v>7</v>
      </c>
      <c r="M26" s="639"/>
      <c r="N26" s="995">
        <v>3</v>
      </c>
      <c r="O26" s="995">
        <v>5</v>
      </c>
      <c r="P26" s="995">
        <v>5</v>
      </c>
      <c r="Q26" s="1461">
        <v>4</v>
      </c>
      <c r="R26" s="1461">
        <v>3</v>
      </c>
    </row>
    <row r="27" spans="1:18" ht="16.5" customHeight="1" x14ac:dyDescent="0.25">
      <c r="A27" s="624" t="s">
        <v>52</v>
      </c>
      <c r="B27" s="625" t="s">
        <v>53</v>
      </c>
      <c r="C27" s="558" t="s">
        <v>265</v>
      </c>
      <c r="D27" s="626">
        <f t="shared" si="3"/>
        <v>111</v>
      </c>
      <c r="E27" s="635">
        <v>37</v>
      </c>
      <c r="F27" s="994">
        <v>55</v>
      </c>
      <c r="G27" s="994">
        <v>3</v>
      </c>
      <c r="H27" s="994">
        <v>0</v>
      </c>
      <c r="I27" s="994">
        <v>0</v>
      </c>
      <c r="J27" s="994">
        <v>16</v>
      </c>
      <c r="K27" s="994">
        <v>0</v>
      </c>
      <c r="L27" s="629">
        <f t="shared" si="4"/>
        <v>19</v>
      </c>
      <c r="M27" s="639"/>
      <c r="N27" s="995">
        <v>19</v>
      </c>
      <c r="O27" s="995">
        <v>33</v>
      </c>
      <c r="P27" s="995">
        <v>36</v>
      </c>
      <c r="Q27" s="1461">
        <v>19</v>
      </c>
      <c r="R27" s="1461">
        <v>4</v>
      </c>
    </row>
    <row r="28" spans="1:18" ht="16.5" customHeight="1" x14ac:dyDescent="0.25">
      <c r="A28" s="624" t="s">
        <v>54</v>
      </c>
      <c r="B28" s="625" t="s">
        <v>55</v>
      </c>
      <c r="C28" s="558" t="s">
        <v>264</v>
      </c>
      <c r="D28" s="626">
        <f t="shared" si="3"/>
        <v>127</v>
      </c>
      <c r="E28" s="627">
        <v>51</v>
      </c>
      <c r="F28" s="628">
        <v>60</v>
      </c>
      <c r="G28" s="628">
        <v>0</v>
      </c>
      <c r="H28" s="628">
        <v>0</v>
      </c>
      <c r="I28" s="628">
        <v>0</v>
      </c>
      <c r="J28" s="628">
        <v>16</v>
      </c>
      <c r="K28" s="628">
        <v>0</v>
      </c>
      <c r="L28" s="629">
        <f t="shared" si="4"/>
        <v>16</v>
      </c>
      <c r="M28" s="1459"/>
      <c r="N28" s="995">
        <v>4</v>
      </c>
      <c r="O28" s="995">
        <v>33</v>
      </c>
      <c r="P28" s="995">
        <v>56</v>
      </c>
      <c r="Q28" s="1461">
        <v>28</v>
      </c>
      <c r="R28" s="1461">
        <v>6</v>
      </c>
    </row>
    <row r="29" spans="1:18" ht="16.5" customHeight="1" x14ac:dyDescent="0.25">
      <c r="A29" s="624" t="s">
        <v>56</v>
      </c>
      <c r="B29" s="625" t="s">
        <v>295</v>
      </c>
      <c r="C29" s="558" t="s">
        <v>266</v>
      </c>
      <c r="D29" s="626">
        <f t="shared" si="3"/>
        <v>202</v>
      </c>
      <c r="E29" s="627">
        <v>118</v>
      </c>
      <c r="F29" s="628">
        <v>42</v>
      </c>
      <c r="G29" s="628">
        <v>1</v>
      </c>
      <c r="H29" s="628">
        <v>0</v>
      </c>
      <c r="I29" s="628">
        <v>0</v>
      </c>
      <c r="J29" s="628">
        <v>31</v>
      </c>
      <c r="K29" s="628">
        <v>10</v>
      </c>
      <c r="L29" s="629">
        <f t="shared" si="4"/>
        <v>32</v>
      </c>
      <c r="M29" s="995"/>
      <c r="N29" s="995">
        <v>9</v>
      </c>
      <c r="O29" s="995">
        <v>37</v>
      </c>
      <c r="P29" s="995">
        <v>89</v>
      </c>
      <c r="Q29" s="1461">
        <v>48</v>
      </c>
      <c r="R29" s="1461">
        <v>19</v>
      </c>
    </row>
    <row r="30" spans="1:18" ht="16.5" customHeight="1" x14ac:dyDescent="0.25">
      <c r="A30" s="624" t="s">
        <v>58</v>
      </c>
      <c r="B30" s="625" t="s">
        <v>59</v>
      </c>
      <c r="C30" s="558" t="s">
        <v>267</v>
      </c>
      <c r="D30" s="626">
        <f t="shared" si="3"/>
        <v>8</v>
      </c>
      <c r="E30" s="1620">
        <v>4</v>
      </c>
      <c r="F30" s="1621">
        <v>2</v>
      </c>
      <c r="G30" s="1621">
        <v>0</v>
      </c>
      <c r="H30" s="1621">
        <v>0</v>
      </c>
      <c r="I30" s="1621">
        <v>0</v>
      </c>
      <c r="J30" s="1622">
        <v>2</v>
      </c>
      <c r="K30" s="1621">
        <v>0</v>
      </c>
      <c r="L30" s="629">
        <f t="shared" si="4"/>
        <v>2</v>
      </c>
      <c r="M30" s="632"/>
      <c r="N30" s="995">
        <v>0</v>
      </c>
      <c r="O30" s="995">
        <v>4</v>
      </c>
      <c r="P30" s="995">
        <v>2</v>
      </c>
      <c r="Q30" s="1461">
        <v>1</v>
      </c>
      <c r="R30" s="1461">
        <v>1</v>
      </c>
    </row>
    <row r="31" spans="1:18" ht="16.5" customHeight="1" x14ac:dyDescent="0.25">
      <c r="A31" s="624" t="s">
        <v>60</v>
      </c>
      <c r="B31" s="625" t="s">
        <v>61</v>
      </c>
      <c r="C31" s="558" t="s">
        <v>265</v>
      </c>
      <c r="D31" s="626">
        <f t="shared" si="3"/>
        <v>11</v>
      </c>
      <c r="E31" s="1620">
        <v>11</v>
      </c>
      <c r="F31" s="1621">
        <v>0</v>
      </c>
      <c r="G31" s="1621">
        <v>0</v>
      </c>
      <c r="H31" s="1621">
        <v>0</v>
      </c>
      <c r="I31" s="1621">
        <v>0</v>
      </c>
      <c r="J31" s="1622">
        <v>0</v>
      </c>
      <c r="K31" s="1621">
        <v>0</v>
      </c>
      <c r="L31" s="629">
        <f t="shared" si="4"/>
        <v>0</v>
      </c>
      <c r="M31" s="1459"/>
      <c r="N31" s="995">
        <v>1</v>
      </c>
      <c r="O31" s="995">
        <v>2</v>
      </c>
      <c r="P31" s="995">
        <v>4</v>
      </c>
      <c r="Q31" s="1461">
        <v>3</v>
      </c>
      <c r="R31" s="1461">
        <v>1</v>
      </c>
    </row>
    <row r="32" spans="1:18" ht="16.5" customHeight="1" x14ac:dyDescent="0.25">
      <c r="A32" s="624" t="s">
        <v>62</v>
      </c>
      <c r="B32" s="625" t="s">
        <v>63</v>
      </c>
      <c r="C32" s="558" t="s">
        <v>267</v>
      </c>
      <c r="D32" s="626">
        <f t="shared" si="3"/>
        <v>64</v>
      </c>
      <c r="E32" s="635">
        <v>37</v>
      </c>
      <c r="F32" s="994">
        <v>8</v>
      </c>
      <c r="G32" s="994">
        <v>0</v>
      </c>
      <c r="H32" s="994">
        <v>0</v>
      </c>
      <c r="I32" s="994">
        <v>0</v>
      </c>
      <c r="J32" s="994">
        <v>19</v>
      </c>
      <c r="K32" s="994">
        <v>0</v>
      </c>
      <c r="L32" s="629">
        <f t="shared" si="4"/>
        <v>19</v>
      </c>
      <c r="M32" s="639"/>
      <c r="N32" s="995">
        <v>7</v>
      </c>
      <c r="O32" s="995">
        <v>14</v>
      </c>
      <c r="P32" s="995">
        <v>23</v>
      </c>
      <c r="Q32" s="1461">
        <v>15</v>
      </c>
      <c r="R32" s="1461">
        <v>5</v>
      </c>
    </row>
    <row r="33" spans="1:18" ht="16.5" customHeight="1" x14ac:dyDescent="0.25">
      <c r="A33" s="624" t="s">
        <v>64</v>
      </c>
      <c r="B33" s="625" t="s">
        <v>65</v>
      </c>
      <c r="C33" s="558" t="s">
        <v>266</v>
      </c>
      <c r="D33" s="626">
        <f t="shared" si="3"/>
        <v>9</v>
      </c>
      <c r="E33" s="627">
        <v>5</v>
      </c>
      <c r="F33" s="628">
        <v>4</v>
      </c>
      <c r="G33" s="628">
        <v>0</v>
      </c>
      <c r="H33" s="628">
        <v>0</v>
      </c>
      <c r="I33" s="628">
        <v>0</v>
      </c>
      <c r="J33" s="628">
        <v>0</v>
      </c>
      <c r="K33" s="628">
        <v>0</v>
      </c>
      <c r="L33" s="629">
        <f t="shared" si="4"/>
        <v>0</v>
      </c>
      <c r="M33" s="1459"/>
      <c r="N33" s="995">
        <v>1</v>
      </c>
      <c r="O33" s="639">
        <v>1</v>
      </c>
      <c r="P33" s="995">
        <v>3</v>
      </c>
      <c r="Q33" s="1461">
        <v>4</v>
      </c>
      <c r="R33" s="1461">
        <v>0</v>
      </c>
    </row>
    <row r="34" spans="1:18" ht="16.5" customHeight="1" x14ac:dyDescent="0.25">
      <c r="A34" s="624" t="s">
        <v>66</v>
      </c>
      <c r="B34" s="625" t="s">
        <v>67</v>
      </c>
      <c r="C34" s="558" t="s">
        <v>265</v>
      </c>
      <c r="D34" s="626">
        <f t="shared" si="3"/>
        <v>43</v>
      </c>
      <c r="E34" s="627">
        <v>12</v>
      </c>
      <c r="F34" s="628">
        <v>25</v>
      </c>
      <c r="G34" s="628">
        <v>0</v>
      </c>
      <c r="H34" s="628">
        <v>0</v>
      </c>
      <c r="I34" s="628">
        <v>0</v>
      </c>
      <c r="J34" s="628">
        <v>6</v>
      </c>
      <c r="K34" s="628">
        <v>0</v>
      </c>
      <c r="L34" s="629">
        <f t="shared" si="4"/>
        <v>6</v>
      </c>
      <c r="M34" s="1459"/>
      <c r="N34" s="995">
        <v>5</v>
      </c>
      <c r="O34" s="639">
        <v>11</v>
      </c>
      <c r="P34" s="995">
        <v>15</v>
      </c>
      <c r="Q34" s="1461">
        <v>7</v>
      </c>
      <c r="R34" s="1461">
        <v>5</v>
      </c>
    </row>
    <row r="35" spans="1:18" ht="16.5" customHeight="1" x14ac:dyDescent="0.25">
      <c r="A35" s="624" t="s">
        <v>68</v>
      </c>
      <c r="B35" s="625" t="s">
        <v>69</v>
      </c>
      <c r="C35" s="558" t="s">
        <v>268</v>
      </c>
      <c r="D35" s="626">
        <f t="shared" si="3"/>
        <v>108</v>
      </c>
      <c r="E35" s="627">
        <v>108</v>
      </c>
      <c r="F35" s="628">
        <v>0</v>
      </c>
      <c r="G35" s="994">
        <v>0</v>
      </c>
      <c r="H35" s="994">
        <v>0</v>
      </c>
      <c r="I35" s="994">
        <v>0</v>
      </c>
      <c r="J35" s="994">
        <v>0</v>
      </c>
      <c r="K35" s="994">
        <v>0</v>
      </c>
      <c r="L35" s="629">
        <f t="shared" si="4"/>
        <v>0</v>
      </c>
      <c r="M35" s="629"/>
      <c r="N35" s="995">
        <v>18</v>
      </c>
      <c r="O35" s="995">
        <v>37</v>
      </c>
      <c r="P35" s="995">
        <v>43</v>
      </c>
      <c r="Q35" s="1461">
        <v>9</v>
      </c>
      <c r="R35" s="1461">
        <v>1</v>
      </c>
    </row>
    <row r="36" spans="1:18" ht="16.5" customHeight="1" x14ac:dyDescent="0.25">
      <c r="A36" s="624" t="s">
        <v>70</v>
      </c>
      <c r="B36" s="625" t="s">
        <v>71</v>
      </c>
      <c r="C36" s="558" t="s">
        <v>264</v>
      </c>
      <c r="D36" s="626">
        <f t="shared" si="3"/>
        <v>17</v>
      </c>
      <c r="E36" s="627">
        <v>8</v>
      </c>
      <c r="F36" s="628">
        <v>4</v>
      </c>
      <c r="G36" s="628">
        <v>0</v>
      </c>
      <c r="H36" s="628">
        <v>0</v>
      </c>
      <c r="I36" s="628">
        <v>0</v>
      </c>
      <c r="J36" s="628">
        <v>5</v>
      </c>
      <c r="K36" s="628">
        <v>0</v>
      </c>
      <c r="L36" s="629">
        <f t="shared" si="4"/>
        <v>5</v>
      </c>
      <c r="M36" s="995"/>
      <c r="N36" s="995">
        <v>3</v>
      </c>
      <c r="O36" s="995">
        <v>6</v>
      </c>
      <c r="P36" s="995">
        <v>5</v>
      </c>
      <c r="Q36" s="1461">
        <v>1</v>
      </c>
      <c r="R36" s="1461">
        <v>2</v>
      </c>
    </row>
    <row r="37" spans="1:18" ht="16.5" customHeight="1" x14ac:dyDescent="0.25">
      <c r="A37" s="624" t="s">
        <v>72</v>
      </c>
      <c r="B37" s="625" t="s">
        <v>73</v>
      </c>
      <c r="C37" s="558" t="s">
        <v>266</v>
      </c>
      <c r="D37" s="626">
        <f t="shared" ref="D37:D68" si="5">SUM(E37:K37)</f>
        <v>7</v>
      </c>
      <c r="E37" s="627">
        <v>1</v>
      </c>
      <c r="F37" s="1621">
        <v>3</v>
      </c>
      <c r="G37" s="1621">
        <v>0</v>
      </c>
      <c r="H37" s="1621">
        <v>0</v>
      </c>
      <c r="I37" s="1621">
        <v>0</v>
      </c>
      <c r="J37" s="1622">
        <v>1</v>
      </c>
      <c r="K37" s="1621">
        <v>2</v>
      </c>
      <c r="L37" s="629">
        <f t="shared" ref="L37:L68" si="6">G37+H37+I37+J37</f>
        <v>1</v>
      </c>
      <c r="M37" s="1459"/>
      <c r="N37" s="995">
        <v>0</v>
      </c>
      <c r="O37" s="995">
        <v>0</v>
      </c>
      <c r="P37" s="995">
        <v>3</v>
      </c>
      <c r="Q37" s="1461">
        <v>3</v>
      </c>
      <c r="R37" s="1461">
        <v>1</v>
      </c>
    </row>
    <row r="38" spans="1:18" ht="16.5" customHeight="1" x14ac:dyDescent="0.25">
      <c r="A38" s="624" t="s">
        <v>74</v>
      </c>
      <c r="B38" s="625" t="s">
        <v>302</v>
      </c>
      <c r="C38" s="558" t="s">
        <v>267</v>
      </c>
      <c r="D38" s="626">
        <f t="shared" si="5"/>
        <v>441</v>
      </c>
      <c r="E38" s="627">
        <v>205</v>
      </c>
      <c r="F38" s="628">
        <v>154</v>
      </c>
      <c r="G38" s="628">
        <v>11</v>
      </c>
      <c r="H38" s="628">
        <v>4</v>
      </c>
      <c r="I38" s="628">
        <v>1</v>
      </c>
      <c r="J38" s="628">
        <v>60</v>
      </c>
      <c r="K38" s="628">
        <v>6</v>
      </c>
      <c r="L38" s="629">
        <f t="shared" si="6"/>
        <v>76</v>
      </c>
      <c r="M38" s="1460"/>
      <c r="N38" s="995">
        <v>37</v>
      </c>
      <c r="O38" s="995">
        <v>91</v>
      </c>
      <c r="P38" s="995">
        <v>138</v>
      </c>
      <c r="Q38" s="1461">
        <v>100</v>
      </c>
      <c r="R38" s="1461">
        <v>75</v>
      </c>
    </row>
    <row r="39" spans="1:18" ht="16.5" customHeight="1" x14ac:dyDescent="0.25">
      <c r="A39" s="624" t="s">
        <v>76</v>
      </c>
      <c r="B39" s="625" t="s">
        <v>77</v>
      </c>
      <c r="C39" s="558" t="s">
        <v>267</v>
      </c>
      <c r="D39" s="626">
        <f t="shared" si="5"/>
        <v>83</v>
      </c>
      <c r="E39" s="627">
        <v>41</v>
      </c>
      <c r="F39" s="628">
        <v>27</v>
      </c>
      <c r="G39" s="994">
        <v>0</v>
      </c>
      <c r="H39" s="994">
        <v>0</v>
      </c>
      <c r="I39" s="994">
        <v>0</v>
      </c>
      <c r="J39" s="994">
        <v>15</v>
      </c>
      <c r="K39" s="994">
        <v>0</v>
      </c>
      <c r="L39" s="629">
        <f t="shared" si="6"/>
        <v>15</v>
      </c>
      <c r="M39" s="639"/>
      <c r="N39" s="995">
        <v>18</v>
      </c>
      <c r="O39" s="995">
        <v>22</v>
      </c>
      <c r="P39" s="995">
        <v>26</v>
      </c>
      <c r="Q39" s="1461">
        <v>12</v>
      </c>
      <c r="R39" s="1461">
        <v>5</v>
      </c>
    </row>
    <row r="40" spans="1:18" ht="16.5" customHeight="1" x14ac:dyDescent="0.25">
      <c r="A40" s="624" t="s">
        <v>78</v>
      </c>
      <c r="B40" s="625" t="s">
        <v>79</v>
      </c>
      <c r="C40" s="558" t="s">
        <v>268</v>
      </c>
      <c r="D40" s="626">
        <f t="shared" si="5"/>
        <v>7</v>
      </c>
      <c r="E40" s="627">
        <v>7</v>
      </c>
      <c r="F40" s="628">
        <v>0</v>
      </c>
      <c r="G40" s="628">
        <v>0</v>
      </c>
      <c r="H40" s="628">
        <v>0</v>
      </c>
      <c r="I40" s="628">
        <v>0</v>
      </c>
      <c r="J40" s="628">
        <v>0</v>
      </c>
      <c r="K40" s="628">
        <v>0</v>
      </c>
      <c r="L40" s="629">
        <f t="shared" si="6"/>
        <v>0</v>
      </c>
      <c r="M40" s="1460"/>
      <c r="N40" s="995">
        <v>3</v>
      </c>
      <c r="O40" s="995">
        <v>1</v>
      </c>
      <c r="P40" s="995">
        <v>2</v>
      </c>
      <c r="Q40" s="1461">
        <v>1</v>
      </c>
      <c r="R40" s="1461">
        <v>0</v>
      </c>
    </row>
    <row r="41" spans="1:18" ht="16.5" customHeight="1" x14ac:dyDescent="0.25">
      <c r="A41" s="624" t="s">
        <v>80</v>
      </c>
      <c r="B41" s="625" t="s">
        <v>81</v>
      </c>
      <c r="C41" s="558" t="s">
        <v>266</v>
      </c>
      <c r="D41" s="626">
        <f t="shared" si="5"/>
        <v>23</v>
      </c>
      <c r="E41" s="627">
        <v>18</v>
      </c>
      <c r="F41" s="628">
        <v>3</v>
      </c>
      <c r="G41" s="628">
        <v>0</v>
      </c>
      <c r="H41" s="628">
        <v>0</v>
      </c>
      <c r="I41" s="628">
        <v>0</v>
      </c>
      <c r="J41" s="628">
        <v>2</v>
      </c>
      <c r="K41" s="628">
        <v>0</v>
      </c>
      <c r="L41" s="629">
        <f t="shared" si="6"/>
        <v>2</v>
      </c>
      <c r="M41" s="632"/>
      <c r="N41" s="995">
        <v>4</v>
      </c>
      <c r="O41" s="995">
        <v>3</v>
      </c>
      <c r="P41" s="995">
        <v>6</v>
      </c>
      <c r="Q41" s="1461">
        <v>6</v>
      </c>
      <c r="R41" s="1461">
        <v>4</v>
      </c>
    </row>
    <row r="42" spans="1:18" ht="16.5" customHeight="1" x14ac:dyDescent="0.25">
      <c r="A42" s="624" t="s">
        <v>82</v>
      </c>
      <c r="B42" s="625" t="s">
        <v>311</v>
      </c>
      <c r="C42" s="558" t="s">
        <v>264</v>
      </c>
      <c r="D42" s="626">
        <f t="shared" si="5"/>
        <v>2</v>
      </c>
      <c r="E42" s="627">
        <v>0</v>
      </c>
      <c r="F42" s="628">
        <v>1</v>
      </c>
      <c r="G42" s="994">
        <v>0</v>
      </c>
      <c r="H42" s="994">
        <v>0</v>
      </c>
      <c r="I42" s="994">
        <v>0</v>
      </c>
      <c r="J42" s="994">
        <v>1</v>
      </c>
      <c r="K42" s="994">
        <v>0</v>
      </c>
      <c r="L42" s="629">
        <f t="shared" si="6"/>
        <v>1</v>
      </c>
      <c r="M42" s="1460"/>
      <c r="N42" s="995">
        <v>0</v>
      </c>
      <c r="O42" s="995">
        <v>0</v>
      </c>
      <c r="P42" s="995">
        <v>2</v>
      </c>
      <c r="Q42" s="1461">
        <v>0</v>
      </c>
      <c r="R42" s="1461">
        <v>0</v>
      </c>
    </row>
    <row r="43" spans="1:18" ht="16.5" customHeight="1" x14ac:dyDescent="0.25">
      <c r="A43" s="624" t="s">
        <v>84</v>
      </c>
      <c r="B43" s="625" t="s">
        <v>308</v>
      </c>
      <c r="C43" s="558" t="s">
        <v>265</v>
      </c>
      <c r="D43" s="626">
        <f t="shared" si="5"/>
        <v>91</v>
      </c>
      <c r="E43" s="627">
        <v>77</v>
      </c>
      <c r="F43" s="628">
        <v>7</v>
      </c>
      <c r="G43" s="628">
        <v>0</v>
      </c>
      <c r="H43" s="628">
        <v>0</v>
      </c>
      <c r="I43" s="628">
        <v>0</v>
      </c>
      <c r="J43" s="628">
        <v>7</v>
      </c>
      <c r="K43" s="628">
        <v>0</v>
      </c>
      <c r="L43" s="629">
        <f t="shared" si="6"/>
        <v>7</v>
      </c>
      <c r="M43" s="1460"/>
      <c r="N43" s="995">
        <v>7</v>
      </c>
      <c r="O43" s="639">
        <v>29</v>
      </c>
      <c r="P43" s="995">
        <v>36</v>
      </c>
      <c r="Q43" s="1461">
        <v>16</v>
      </c>
      <c r="R43" s="1461">
        <v>3</v>
      </c>
    </row>
    <row r="44" spans="1:18" ht="16.5" customHeight="1" x14ac:dyDescent="0.25">
      <c r="A44" s="624" t="s">
        <v>86</v>
      </c>
      <c r="B44" s="625" t="s">
        <v>87</v>
      </c>
      <c r="C44" s="558" t="s">
        <v>267</v>
      </c>
      <c r="D44" s="626">
        <f t="shared" si="5"/>
        <v>54</v>
      </c>
      <c r="E44" s="635">
        <v>46</v>
      </c>
      <c r="F44" s="994">
        <v>2</v>
      </c>
      <c r="G44" s="994">
        <v>0</v>
      </c>
      <c r="H44" s="994">
        <v>0</v>
      </c>
      <c r="I44" s="994">
        <v>0</v>
      </c>
      <c r="J44" s="994">
        <v>6</v>
      </c>
      <c r="K44" s="994">
        <v>0</v>
      </c>
      <c r="L44" s="629">
        <f t="shared" si="6"/>
        <v>6</v>
      </c>
      <c r="M44" s="639"/>
      <c r="N44" s="639">
        <v>13</v>
      </c>
      <c r="O44" s="639">
        <v>15</v>
      </c>
      <c r="P44" s="995">
        <v>13</v>
      </c>
      <c r="Q44" s="1461">
        <v>8</v>
      </c>
      <c r="R44" s="1461">
        <v>5</v>
      </c>
    </row>
    <row r="45" spans="1:18" ht="16.5" customHeight="1" x14ac:dyDescent="0.25">
      <c r="A45" s="624" t="s">
        <v>88</v>
      </c>
      <c r="B45" s="625" t="s">
        <v>89</v>
      </c>
      <c r="C45" s="558" t="s">
        <v>267</v>
      </c>
      <c r="D45" s="626">
        <f t="shared" si="5"/>
        <v>111</v>
      </c>
      <c r="E45" s="627">
        <v>45</v>
      </c>
      <c r="F45" s="628">
        <v>48</v>
      </c>
      <c r="G45" s="628">
        <v>0</v>
      </c>
      <c r="H45" s="628">
        <v>0</v>
      </c>
      <c r="I45" s="628">
        <v>0</v>
      </c>
      <c r="J45" s="628">
        <v>18</v>
      </c>
      <c r="K45" s="628">
        <v>0</v>
      </c>
      <c r="L45" s="629">
        <f t="shared" si="6"/>
        <v>18</v>
      </c>
      <c r="M45" s="1460"/>
      <c r="N45" s="995">
        <v>22</v>
      </c>
      <c r="O45" s="995">
        <v>35</v>
      </c>
      <c r="P45" s="995">
        <v>31</v>
      </c>
      <c r="Q45" s="1461">
        <v>16</v>
      </c>
      <c r="R45" s="1461">
        <v>7</v>
      </c>
    </row>
    <row r="46" spans="1:18" ht="16.5" customHeight="1" x14ac:dyDescent="0.25">
      <c r="A46" s="624" t="s">
        <v>90</v>
      </c>
      <c r="B46" s="625" t="s">
        <v>91</v>
      </c>
      <c r="C46" s="558" t="s">
        <v>268</v>
      </c>
      <c r="D46" s="626">
        <f t="shared" si="5"/>
        <v>11</v>
      </c>
      <c r="E46" s="627">
        <v>9</v>
      </c>
      <c r="F46" s="628">
        <v>1</v>
      </c>
      <c r="G46" s="628">
        <v>0</v>
      </c>
      <c r="H46" s="628">
        <v>0</v>
      </c>
      <c r="I46" s="628">
        <v>0</v>
      </c>
      <c r="J46" s="628">
        <v>0</v>
      </c>
      <c r="K46" s="628">
        <v>1</v>
      </c>
      <c r="L46" s="629">
        <f t="shared" si="6"/>
        <v>0</v>
      </c>
      <c r="M46" s="1459"/>
      <c r="N46" s="995">
        <v>2</v>
      </c>
      <c r="O46" s="995">
        <v>2</v>
      </c>
      <c r="P46" s="995">
        <v>5</v>
      </c>
      <c r="Q46" s="1461">
        <v>2</v>
      </c>
      <c r="R46" s="1461">
        <v>0</v>
      </c>
    </row>
    <row r="47" spans="1:18" ht="16.5" customHeight="1" x14ac:dyDescent="0.25">
      <c r="A47" s="624" t="s">
        <v>92</v>
      </c>
      <c r="B47" s="625" t="s">
        <v>93</v>
      </c>
      <c r="C47" s="558" t="s">
        <v>268</v>
      </c>
      <c r="D47" s="626">
        <f t="shared" si="5"/>
        <v>73</v>
      </c>
      <c r="E47" s="627">
        <v>70</v>
      </c>
      <c r="F47" s="628">
        <v>0</v>
      </c>
      <c r="G47" s="628">
        <v>0</v>
      </c>
      <c r="H47" s="628">
        <v>0</v>
      </c>
      <c r="I47" s="628">
        <v>0</v>
      </c>
      <c r="J47" s="628">
        <v>3</v>
      </c>
      <c r="K47" s="628">
        <v>0</v>
      </c>
      <c r="L47" s="629">
        <f t="shared" si="6"/>
        <v>3</v>
      </c>
      <c r="M47" s="1459"/>
      <c r="N47" s="995">
        <v>9</v>
      </c>
      <c r="O47" s="995">
        <v>32</v>
      </c>
      <c r="P47" s="995">
        <v>22</v>
      </c>
      <c r="Q47" s="1461">
        <v>9</v>
      </c>
      <c r="R47" s="1461">
        <v>1</v>
      </c>
    </row>
    <row r="48" spans="1:18" ht="16.5" customHeight="1" x14ac:dyDescent="0.25">
      <c r="A48" s="624" t="s">
        <v>94</v>
      </c>
      <c r="B48" s="625" t="s">
        <v>95</v>
      </c>
      <c r="C48" s="558" t="s">
        <v>264</v>
      </c>
      <c r="D48" s="626">
        <f t="shared" si="5"/>
        <v>43</v>
      </c>
      <c r="E48" s="627">
        <v>36</v>
      </c>
      <c r="F48" s="628">
        <v>5</v>
      </c>
      <c r="G48" s="628">
        <v>0</v>
      </c>
      <c r="H48" s="628">
        <v>0</v>
      </c>
      <c r="I48" s="628">
        <v>0</v>
      </c>
      <c r="J48" s="628">
        <v>2</v>
      </c>
      <c r="K48" s="628">
        <v>0</v>
      </c>
      <c r="L48" s="629">
        <f t="shared" si="6"/>
        <v>2</v>
      </c>
      <c r="M48" s="1460"/>
      <c r="N48" s="995">
        <v>12</v>
      </c>
      <c r="O48" s="995">
        <v>8</v>
      </c>
      <c r="P48" s="995">
        <v>13</v>
      </c>
      <c r="Q48" s="1461">
        <v>10</v>
      </c>
      <c r="R48" s="1461">
        <v>0</v>
      </c>
    </row>
    <row r="49" spans="1:18" ht="16.5" customHeight="1" x14ac:dyDescent="0.25">
      <c r="A49" s="624" t="s">
        <v>96</v>
      </c>
      <c r="B49" s="625" t="s">
        <v>97</v>
      </c>
      <c r="C49" s="558" t="s">
        <v>266</v>
      </c>
      <c r="D49" s="626">
        <f t="shared" si="5"/>
        <v>19</v>
      </c>
      <c r="E49" s="635">
        <v>11</v>
      </c>
      <c r="F49" s="994">
        <v>4</v>
      </c>
      <c r="G49" s="994">
        <v>0</v>
      </c>
      <c r="H49" s="994">
        <v>0</v>
      </c>
      <c r="I49" s="994">
        <v>0</v>
      </c>
      <c r="J49" s="994">
        <v>4</v>
      </c>
      <c r="K49" s="994">
        <v>0</v>
      </c>
      <c r="L49" s="629">
        <f t="shared" si="6"/>
        <v>4</v>
      </c>
      <c r="M49" s="629"/>
      <c r="N49" s="995">
        <v>2</v>
      </c>
      <c r="O49" s="995">
        <v>5</v>
      </c>
      <c r="P49" s="995">
        <v>8</v>
      </c>
      <c r="Q49" s="1461">
        <v>3</v>
      </c>
      <c r="R49" s="1461">
        <v>1</v>
      </c>
    </row>
    <row r="50" spans="1:18" ht="16.5" customHeight="1" x14ac:dyDescent="0.25">
      <c r="A50" s="624" t="s">
        <v>98</v>
      </c>
      <c r="B50" s="625" t="s">
        <v>99</v>
      </c>
      <c r="C50" s="558" t="s">
        <v>268</v>
      </c>
      <c r="D50" s="626">
        <f t="shared" si="5"/>
        <v>28</v>
      </c>
      <c r="E50" s="627">
        <v>21</v>
      </c>
      <c r="F50" s="628">
        <v>1</v>
      </c>
      <c r="G50" s="628">
        <v>0</v>
      </c>
      <c r="H50" s="628">
        <v>0</v>
      </c>
      <c r="I50" s="628">
        <v>0</v>
      </c>
      <c r="J50" s="628">
        <v>5</v>
      </c>
      <c r="K50" s="628">
        <v>1</v>
      </c>
      <c r="L50" s="629">
        <f t="shared" si="6"/>
        <v>5</v>
      </c>
      <c r="M50" s="995"/>
      <c r="N50" s="995">
        <v>5</v>
      </c>
      <c r="O50" s="995">
        <v>5</v>
      </c>
      <c r="P50" s="995">
        <v>11</v>
      </c>
      <c r="Q50" s="1461">
        <v>5</v>
      </c>
      <c r="R50" s="1461">
        <v>2</v>
      </c>
    </row>
    <row r="51" spans="1:18" ht="16.5" customHeight="1" x14ac:dyDescent="0.25">
      <c r="A51" s="624" t="s">
        <v>100</v>
      </c>
      <c r="B51" s="625" t="s">
        <v>101</v>
      </c>
      <c r="C51" s="558" t="s">
        <v>267</v>
      </c>
      <c r="D51" s="626">
        <f t="shared" si="5"/>
        <v>11</v>
      </c>
      <c r="E51" s="627">
        <v>6</v>
      </c>
      <c r="F51" s="628">
        <v>0</v>
      </c>
      <c r="G51" s="628">
        <v>0</v>
      </c>
      <c r="H51" s="628">
        <v>0</v>
      </c>
      <c r="I51" s="628">
        <v>0</v>
      </c>
      <c r="J51" s="628">
        <v>5</v>
      </c>
      <c r="K51" s="628">
        <v>0</v>
      </c>
      <c r="L51" s="629">
        <f t="shared" si="6"/>
        <v>5</v>
      </c>
      <c r="M51" s="1459"/>
      <c r="N51" s="995">
        <v>4</v>
      </c>
      <c r="O51" s="995">
        <v>4</v>
      </c>
      <c r="P51" s="995">
        <v>1</v>
      </c>
      <c r="Q51" s="1461">
        <v>1</v>
      </c>
      <c r="R51" s="1461">
        <v>1</v>
      </c>
    </row>
    <row r="52" spans="1:18" ht="16.5" customHeight="1" x14ac:dyDescent="0.25">
      <c r="A52" s="624" t="s">
        <v>102</v>
      </c>
      <c r="B52" s="625" t="s">
        <v>103</v>
      </c>
      <c r="C52" s="558" t="s">
        <v>264</v>
      </c>
      <c r="D52" s="626">
        <f t="shared" si="5"/>
        <v>8</v>
      </c>
      <c r="E52" s="627">
        <v>0</v>
      </c>
      <c r="F52" s="1621">
        <v>7</v>
      </c>
      <c r="G52" s="1621">
        <v>0</v>
      </c>
      <c r="H52" s="1621">
        <v>0</v>
      </c>
      <c r="I52" s="1621">
        <v>0</v>
      </c>
      <c r="J52" s="1622">
        <v>1</v>
      </c>
      <c r="K52" s="1621">
        <v>0</v>
      </c>
      <c r="L52" s="629">
        <f t="shared" si="6"/>
        <v>1</v>
      </c>
      <c r="M52" s="632"/>
      <c r="N52" s="995">
        <v>3</v>
      </c>
      <c r="O52" s="639">
        <v>2</v>
      </c>
      <c r="P52" s="995">
        <v>3</v>
      </c>
      <c r="Q52" s="1461">
        <v>0</v>
      </c>
      <c r="R52" s="1461">
        <v>0</v>
      </c>
    </row>
    <row r="53" spans="1:18" ht="16.5" customHeight="1" x14ac:dyDescent="0.25">
      <c r="A53" s="624" t="s">
        <v>104</v>
      </c>
      <c r="B53" s="625" t="s">
        <v>309</v>
      </c>
      <c r="C53" s="558" t="s">
        <v>265</v>
      </c>
      <c r="D53" s="626">
        <f t="shared" si="5"/>
        <v>24</v>
      </c>
      <c r="E53" s="627">
        <v>13</v>
      </c>
      <c r="F53" s="628">
        <v>10</v>
      </c>
      <c r="G53" s="628">
        <v>0</v>
      </c>
      <c r="H53" s="628">
        <v>0</v>
      </c>
      <c r="I53" s="628">
        <v>0</v>
      </c>
      <c r="J53" s="628">
        <v>1</v>
      </c>
      <c r="K53" s="628">
        <v>0</v>
      </c>
      <c r="L53" s="629">
        <f t="shared" si="6"/>
        <v>1</v>
      </c>
      <c r="M53" s="639"/>
      <c r="N53" s="995">
        <v>4</v>
      </c>
      <c r="O53" s="639">
        <v>9</v>
      </c>
      <c r="P53" s="995">
        <v>5</v>
      </c>
      <c r="Q53" s="1461">
        <v>3</v>
      </c>
      <c r="R53" s="1461">
        <v>3</v>
      </c>
    </row>
    <row r="54" spans="1:18" ht="16.5" customHeight="1" x14ac:dyDescent="0.25">
      <c r="A54" s="624" t="s">
        <v>106</v>
      </c>
      <c r="B54" s="625" t="s">
        <v>107</v>
      </c>
      <c r="C54" s="558" t="s">
        <v>264</v>
      </c>
      <c r="D54" s="626">
        <f t="shared" si="5"/>
        <v>125</v>
      </c>
      <c r="E54" s="627">
        <v>31</v>
      </c>
      <c r="F54" s="628">
        <v>74</v>
      </c>
      <c r="G54" s="628">
        <v>0</v>
      </c>
      <c r="H54" s="628">
        <v>0</v>
      </c>
      <c r="I54" s="628">
        <v>0</v>
      </c>
      <c r="J54" s="628">
        <v>20</v>
      </c>
      <c r="K54" s="628">
        <v>0</v>
      </c>
      <c r="L54" s="629">
        <f t="shared" si="6"/>
        <v>20</v>
      </c>
      <c r="M54" s="639"/>
      <c r="N54" s="995">
        <v>8</v>
      </c>
      <c r="O54" s="995">
        <v>14</v>
      </c>
      <c r="P54" s="995">
        <v>57</v>
      </c>
      <c r="Q54" s="1461">
        <v>33</v>
      </c>
      <c r="R54" s="1461">
        <v>13</v>
      </c>
    </row>
    <row r="55" spans="1:18" ht="16.5" customHeight="1" x14ac:dyDescent="0.25">
      <c r="A55" s="624" t="s">
        <v>108</v>
      </c>
      <c r="B55" s="625" t="s">
        <v>109</v>
      </c>
      <c r="C55" s="558" t="s">
        <v>266</v>
      </c>
      <c r="D55" s="626">
        <f t="shared" si="5"/>
        <v>37</v>
      </c>
      <c r="E55" s="627">
        <v>25</v>
      </c>
      <c r="F55" s="628">
        <v>5</v>
      </c>
      <c r="G55" s="628">
        <v>0</v>
      </c>
      <c r="H55" s="628">
        <v>0</v>
      </c>
      <c r="I55" s="628">
        <v>0</v>
      </c>
      <c r="J55" s="628">
        <v>7</v>
      </c>
      <c r="K55" s="628">
        <v>0</v>
      </c>
      <c r="L55" s="629">
        <f t="shared" si="6"/>
        <v>7</v>
      </c>
      <c r="M55" s="995"/>
      <c r="N55" s="995">
        <v>6</v>
      </c>
      <c r="O55" s="995">
        <v>8</v>
      </c>
      <c r="P55" s="995">
        <v>14</v>
      </c>
      <c r="Q55" s="1461">
        <v>6</v>
      </c>
      <c r="R55" s="1461">
        <v>3</v>
      </c>
    </row>
    <row r="56" spans="1:18" ht="16.5" customHeight="1" x14ac:dyDescent="0.25">
      <c r="A56" s="624" t="s">
        <v>110</v>
      </c>
      <c r="B56" s="625" t="s">
        <v>111</v>
      </c>
      <c r="C56" s="558" t="s">
        <v>266</v>
      </c>
      <c r="D56" s="626">
        <f t="shared" si="5"/>
        <v>129</v>
      </c>
      <c r="E56" s="627">
        <v>59</v>
      </c>
      <c r="F56" s="628">
        <v>43</v>
      </c>
      <c r="G56" s="628">
        <v>4</v>
      </c>
      <c r="H56" s="628">
        <v>0</v>
      </c>
      <c r="I56" s="628">
        <v>0</v>
      </c>
      <c r="J56" s="628">
        <v>23</v>
      </c>
      <c r="K56" s="628">
        <v>0</v>
      </c>
      <c r="L56" s="629">
        <f t="shared" si="6"/>
        <v>27</v>
      </c>
      <c r="M56" s="1460"/>
      <c r="N56" s="995">
        <v>19</v>
      </c>
      <c r="O56" s="995">
        <v>23</v>
      </c>
      <c r="P56" s="995">
        <v>52</v>
      </c>
      <c r="Q56" s="1461">
        <v>25</v>
      </c>
      <c r="R56" s="1461">
        <v>10</v>
      </c>
    </row>
    <row r="57" spans="1:18" ht="16.5" customHeight="1" x14ac:dyDescent="0.25">
      <c r="A57" s="624" t="s">
        <v>112</v>
      </c>
      <c r="B57" s="625" t="s">
        <v>300</v>
      </c>
      <c r="C57" s="558" t="s">
        <v>265</v>
      </c>
      <c r="D57" s="626">
        <f t="shared" si="5"/>
        <v>64</v>
      </c>
      <c r="E57" s="627">
        <v>45</v>
      </c>
      <c r="F57" s="628">
        <v>11</v>
      </c>
      <c r="G57" s="628">
        <v>0</v>
      </c>
      <c r="H57" s="628">
        <v>0</v>
      </c>
      <c r="I57" s="628">
        <v>0</v>
      </c>
      <c r="J57" s="628">
        <v>8</v>
      </c>
      <c r="K57" s="628">
        <v>0</v>
      </c>
      <c r="L57" s="629">
        <f t="shared" si="6"/>
        <v>8</v>
      </c>
      <c r="M57" s="1459"/>
      <c r="N57" s="995">
        <v>11</v>
      </c>
      <c r="O57" s="995">
        <v>13</v>
      </c>
      <c r="P57" s="995">
        <v>21</v>
      </c>
      <c r="Q57" s="1461">
        <v>14</v>
      </c>
      <c r="R57" s="1461">
        <v>5</v>
      </c>
    </row>
    <row r="58" spans="1:18" ht="16.5" customHeight="1" x14ac:dyDescent="0.25">
      <c r="A58" s="624" t="s">
        <v>114</v>
      </c>
      <c r="B58" s="625" t="s">
        <v>115</v>
      </c>
      <c r="C58" s="558" t="s">
        <v>265</v>
      </c>
      <c r="D58" s="626">
        <f t="shared" si="5"/>
        <v>4</v>
      </c>
      <c r="E58" s="1620">
        <v>4</v>
      </c>
      <c r="F58" s="1621">
        <v>0</v>
      </c>
      <c r="G58" s="1621">
        <v>0</v>
      </c>
      <c r="H58" s="1621">
        <v>0</v>
      </c>
      <c r="I58" s="1621">
        <v>0</v>
      </c>
      <c r="J58" s="1622">
        <v>0</v>
      </c>
      <c r="K58" s="1621">
        <v>0</v>
      </c>
      <c r="L58" s="629">
        <f t="shared" si="6"/>
        <v>0</v>
      </c>
      <c r="M58" s="1460"/>
      <c r="N58" s="995">
        <v>1</v>
      </c>
      <c r="O58" s="995">
        <v>2</v>
      </c>
      <c r="P58" s="995">
        <v>1</v>
      </c>
      <c r="Q58" s="1461">
        <v>0</v>
      </c>
      <c r="R58" s="1461">
        <v>0</v>
      </c>
    </row>
    <row r="59" spans="1:18" ht="16.5" customHeight="1" x14ac:dyDescent="0.25">
      <c r="A59" s="624" t="s">
        <v>116</v>
      </c>
      <c r="B59" s="625" t="s">
        <v>117</v>
      </c>
      <c r="C59" s="558" t="s">
        <v>266</v>
      </c>
      <c r="D59" s="626">
        <f t="shared" si="5"/>
        <v>43</v>
      </c>
      <c r="E59" s="635">
        <v>17</v>
      </c>
      <c r="F59" s="994">
        <v>24</v>
      </c>
      <c r="G59" s="994">
        <v>0</v>
      </c>
      <c r="H59" s="994">
        <v>0</v>
      </c>
      <c r="I59" s="994">
        <v>0</v>
      </c>
      <c r="J59" s="994">
        <v>2</v>
      </c>
      <c r="K59" s="994">
        <v>0</v>
      </c>
      <c r="L59" s="629">
        <f t="shared" si="6"/>
        <v>2</v>
      </c>
      <c r="M59" s="1460"/>
      <c r="N59" s="995">
        <v>9</v>
      </c>
      <c r="O59" s="639">
        <v>13</v>
      </c>
      <c r="P59" s="995">
        <v>17</v>
      </c>
      <c r="Q59" s="1461">
        <v>3</v>
      </c>
      <c r="R59" s="1461">
        <v>1</v>
      </c>
    </row>
    <row r="60" spans="1:18" ht="16.5" customHeight="1" x14ac:dyDescent="0.25">
      <c r="A60" s="624" t="s">
        <v>118</v>
      </c>
      <c r="B60" s="625" t="s">
        <v>119</v>
      </c>
      <c r="C60" s="558" t="s">
        <v>264</v>
      </c>
      <c r="D60" s="626">
        <f t="shared" si="5"/>
        <v>15</v>
      </c>
      <c r="E60" s="627">
        <v>9</v>
      </c>
      <c r="F60" s="628">
        <v>5</v>
      </c>
      <c r="G60" s="628">
        <v>0</v>
      </c>
      <c r="H60" s="628">
        <v>0</v>
      </c>
      <c r="I60" s="628">
        <v>0</v>
      </c>
      <c r="J60" s="628">
        <v>1</v>
      </c>
      <c r="K60" s="628">
        <v>0</v>
      </c>
      <c r="L60" s="629">
        <f t="shared" si="6"/>
        <v>1</v>
      </c>
      <c r="M60" s="632"/>
      <c r="N60" s="995">
        <v>2</v>
      </c>
      <c r="O60" s="639">
        <v>3</v>
      </c>
      <c r="P60" s="995">
        <v>5</v>
      </c>
      <c r="Q60" s="1461">
        <v>5</v>
      </c>
      <c r="R60" s="1461">
        <v>0</v>
      </c>
    </row>
    <row r="61" spans="1:18" ht="16.5" customHeight="1" x14ac:dyDescent="0.25">
      <c r="A61" s="624" t="s">
        <v>120</v>
      </c>
      <c r="B61" s="625" t="s">
        <v>121</v>
      </c>
      <c r="C61" s="558" t="s">
        <v>264</v>
      </c>
      <c r="D61" s="626">
        <f t="shared" si="5"/>
        <v>48</v>
      </c>
      <c r="E61" s="627">
        <v>24</v>
      </c>
      <c r="F61" s="628">
        <v>16</v>
      </c>
      <c r="G61" s="628">
        <v>1</v>
      </c>
      <c r="H61" s="628">
        <v>0</v>
      </c>
      <c r="I61" s="628">
        <v>0</v>
      </c>
      <c r="J61" s="628">
        <v>7</v>
      </c>
      <c r="K61" s="628">
        <v>0</v>
      </c>
      <c r="L61" s="629">
        <f t="shared" si="6"/>
        <v>8</v>
      </c>
      <c r="M61" s="639"/>
      <c r="N61" s="995">
        <v>7</v>
      </c>
      <c r="O61" s="995">
        <v>8</v>
      </c>
      <c r="P61" s="995">
        <v>15</v>
      </c>
      <c r="Q61" s="1461">
        <v>14</v>
      </c>
      <c r="R61" s="1461">
        <v>4</v>
      </c>
    </row>
    <row r="62" spans="1:18" ht="16.5" customHeight="1" x14ac:dyDescent="0.25">
      <c r="A62" s="624" t="s">
        <v>122</v>
      </c>
      <c r="B62" s="625" t="s">
        <v>271</v>
      </c>
      <c r="C62" s="558" t="s">
        <v>266</v>
      </c>
      <c r="D62" s="626">
        <f t="shared" si="5"/>
        <v>9</v>
      </c>
      <c r="E62" s="627">
        <v>2</v>
      </c>
      <c r="F62" s="628">
        <v>6</v>
      </c>
      <c r="G62" s="628">
        <v>0</v>
      </c>
      <c r="H62" s="628">
        <v>0</v>
      </c>
      <c r="I62" s="628">
        <v>0</v>
      </c>
      <c r="J62" s="628">
        <v>1</v>
      </c>
      <c r="K62" s="628">
        <v>0</v>
      </c>
      <c r="L62" s="629">
        <f t="shared" si="6"/>
        <v>1</v>
      </c>
      <c r="M62" s="1460"/>
      <c r="N62" s="995">
        <v>0</v>
      </c>
      <c r="O62" s="995">
        <v>1</v>
      </c>
      <c r="P62" s="995">
        <v>5</v>
      </c>
      <c r="Q62" s="1461">
        <v>2</v>
      </c>
      <c r="R62" s="1461">
        <v>1</v>
      </c>
    </row>
    <row r="63" spans="1:18" ht="16.5" customHeight="1" x14ac:dyDescent="0.25">
      <c r="A63" s="624" t="s">
        <v>124</v>
      </c>
      <c r="B63" s="625" t="s">
        <v>125</v>
      </c>
      <c r="C63" s="558" t="s">
        <v>267</v>
      </c>
      <c r="D63" s="626">
        <f t="shared" si="5"/>
        <v>15</v>
      </c>
      <c r="E63" s="635">
        <v>10</v>
      </c>
      <c r="F63" s="994">
        <v>3</v>
      </c>
      <c r="G63" s="994">
        <v>0</v>
      </c>
      <c r="H63" s="994">
        <v>0</v>
      </c>
      <c r="I63" s="994">
        <v>0</v>
      </c>
      <c r="J63" s="994">
        <v>2</v>
      </c>
      <c r="K63" s="994">
        <v>0</v>
      </c>
      <c r="L63" s="629">
        <f t="shared" si="6"/>
        <v>2</v>
      </c>
      <c r="M63" s="1459"/>
      <c r="N63" s="995">
        <v>2</v>
      </c>
      <c r="O63" s="995">
        <v>5</v>
      </c>
      <c r="P63" s="995">
        <v>5</v>
      </c>
      <c r="Q63" s="1461">
        <v>3</v>
      </c>
      <c r="R63" s="1461">
        <v>0</v>
      </c>
    </row>
    <row r="64" spans="1:18" ht="16.5" customHeight="1" x14ac:dyDescent="0.25">
      <c r="A64" s="624" t="s">
        <v>126</v>
      </c>
      <c r="B64" s="625" t="s">
        <v>127</v>
      </c>
      <c r="C64" s="558" t="s">
        <v>266</v>
      </c>
      <c r="D64" s="626">
        <f t="shared" si="5"/>
        <v>8</v>
      </c>
      <c r="E64" s="627">
        <v>4</v>
      </c>
      <c r="F64" s="628">
        <v>4</v>
      </c>
      <c r="G64" s="628">
        <v>0</v>
      </c>
      <c r="H64" s="628">
        <v>0</v>
      </c>
      <c r="I64" s="628">
        <v>0</v>
      </c>
      <c r="J64" s="628">
        <v>0</v>
      </c>
      <c r="K64" s="628">
        <v>0</v>
      </c>
      <c r="L64" s="629">
        <f t="shared" si="6"/>
        <v>0</v>
      </c>
      <c r="M64" s="632"/>
      <c r="N64" s="995">
        <v>0</v>
      </c>
      <c r="O64" s="995">
        <v>0</v>
      </c>
      <c r="P64" s="995">
        <v>5</v>
      </c>
      <c r="Q64" s="1461">
        <v>3</v>
      </c>
      <c r="R64" s="1461">
        <v>0</v>
      </c>
    </row>
    <row r="65" spans="1:18" ht="16.5" customHeight="1" x14ac:dyDescent="0.25">
      <c r="A65" s="624" t="s">
        <v>128</v>
      </c>
      <c r="B65" s="625" t="s">
        <v>129</v>
      </c>
      <c r="C65" s="558" t="s">
        <v>266</v>
      </c>
      <c r="D65" s="626">
        <f t="shared" si="5"/>
        <v>6</v>
      </c>
      <c r="E65" s="635">
        <v>3</v>
      </c>
      <c r="F65" s="994">
        <v>3</v>
      </c>
      <c r="G65" s="994">
        <v>0</v>
      </c>
      <c r="H65" s="994">
        <v>0</v>
      </c>
      <c r="I65" s="994">
        <v>0</v>
      </c>
      <c r="J65" s="994">
        <v>0</v>
      </c>
      <c r="K65" s="994">
        <v>0</v>
      </c>
      <c r="L65" s="629">
        <f t="shared" si="6"/>
        <v>0</v>
      </c>
      <c r="M65" s="632"/>
      <c r="N65" s="995">
        <v>0</v>
      </c>
      <c r="O65" s="995">
        <v>1</v>
      </c>
      <c r="P65" s="995">
        <v>2</v>
      </c>
      <c r="Q65" s="1461">
        <v>3</v>
      </c>
      <c r="R65" s="1461">
        <v>0</v>
      </c>
    </row>
    <row r="66" spans="1:18" ht="16.5" customHeight="1" x14ac:dyDescent="0.25">
      <c r="A66" s="624" t="s">
        <v>130</v>
      </c>
      <c r="B66" s="625" t="s">
        <v>131</v>
      </c>
      <c r="C66" s="558" t="s">
        <v>268</v>
      </c>
      <c r="D66" s="626">
        <f t="shared" si="5"/>
        <v>86</v>
      </c>
      <c r="E66" s="627">
        <v>83</v>
      </c>
      <c r="F66" s="628">
        <v>0</v>
      </c>
      <c r="G66" s="994">
        <v>0</v>
      </c>
      <c r="H66" s="994">
        <v>0</v>
      </c>
      <c r="I66" s="994">
        <v>0</v>
      </c>
      <c r="J66" s="994">
        <v>3</v>
      </c>
      <c r="K66" s="994">
        <v>0</v>
      </c>
      <c r="L66" s="629">
        <f t="shared" si="6"/>
        <v>3</v>
      </c>
      <c r="M66" s="639"/>
      <c r="N66" s="995">
        <v>6</v>
      </c>
      <c r="O66" s="995">
        <v>17</v>
      </c>
      <c r="P66" s="995">
        <v>33</v>
      </c>
      <c r="Q66" s="1461">
        <v>19</v>
      </c>
      <c r="R66" s="1461">
        <v>11</v>
      </c>
    </row>
    <row r="67" spans="1:18" ht="16.5" customHeight="1" x14ac:dyDescent="0.25">
      <c r="A67" s="624" t="s">
        <v>132</v>
      </c>
      <c r="B67" s="625" t="s">
        <v>133</v>
      </c>
      <c r="C67" s="558" t="s">
        <v>267</v>
      </c>
      <c r="D67" s="626">
        <f t="shared" si="5"/>
        <v>77</v>
      </c>
      <c r="E67" s="627">
        <v>48</v>
      </c>
      <c r="F67" s="628">
        <v>22</v>
      </c>
      <c r="G67" s="628">
        <v>0</v>
      </c>
      <c r="H67" s="628">
        <v>1</v>
      </c>
      <c r="I67" s="628">
        <v>1</v>
      </c>
      <c r="J67" s="628">
        <v>5</v>
      </c>
      <c r="K67" s="628">
        <v>0</v>
      </c>
      <c r="L67" s="629">
        <f t="shared" si="6"/>
        <v>7</v>
      </c>
      <c r="M67" s="639"/>
      <c r="N67" s="995">
        <v>8</v>
      </c>
      <c r="O67" s="995">
        <v>19</v>
      </c>
      <c r="P67" s="995">
        <v>33</v>
      </c>
      <c r="Q67" s="1461">
        <v>14</v>
      </c>
      <c r="R67" s="1461">
        <v>3</v>
      </c>
    </row>
    <row r="68" spans="1:18" ht="16.5" customHeight="1" x14ac:dyDescent="0.25">
      <c r="A68" s="624" t="s">
        <v>134</v>
      </c>
      <c r="B68" s="625" t="s">
        <v>135</v>
      </c>
      <c r="C68" s="558" t="s">
        <v>267</v>
      </c>
      <c r="D68" s="626">
        <f t="shared" si="5"/>
        <v>64</v>
      </c>
      <c r="E68" s="627">
        <v>40</v>
      </c>
      <c r="F68" s="628">
        <v>16</v>
      </c>
      <c r="G68" s="628">
        <v>0</v>
      </c>
      <c r="H68" s="628">
        <v>0</v>
      </c>
      <c r="I68" s="628">
        <v>0</v>
      </c>
      <c r="J68" s="628">
        <v>8</v>
      </c>
      <c r="K68" s="628">
        <v>0</v>
      </c>
      <c r="L68" s="629">
        <f t="shared" si="6"/>
        <v>8</v>
      </c>
      <c r="M68" s="995"/>
      <c r="N68" s="995">
        <v>4</v>
      </c>
      <c r="O68" s="995">
        <v>19</v>
      </c>
      <c r="P68" s="995">
        <v>30</v>
      </c>
      <c r="Q68" s="1461">
        <v>10</v>
      </c>
      <c r="R68" s="1461">
        <v>1</v>
      </c>
    </row>
    <row r="69" spans="1:18" ht="16.5" customHeight="1" x14ac:dyDescent="0.25">
      <c r="A69" s="624" t="s">
        <v>136</v>
      </c>
      <c r="B69" s="625" t="s">
        <v>137</v>
      </c>
      <c r="C69" s="558" t="s">
        <v>266</v>
      </c>
      <c r="D69" s="626">
        <f t="shared" ref="D69:D100" si="7">SUM(E69:K69)</f>
        <v>15</v>
      </c>
      <c r="E69" s="627">
        <v>0</v>
      </c>
      <c r="F69" s="1621">
        <v>12</v>
      </c>
      <c r="G69" s="1621">
        <v>0</v>
      </c>
      <c r="H69" s="1621">
        <v>1</v>
      </c>
      <c r="I69" s="1621">
        <v>0</v>
      </c>
      <c r="J69" s="1622">
        <v>2</v>
      </c>
      <c r="K69" s="1621">
        <v>0</v>
      </c>
      <c r="L69" s="629">
        <f t="shared" ref="L69:L100" si="8">G69+H69+I69+J69</f>
        <v>3</v>
      </c>
      <c r="M69" s="1460"/>
      <c r="N69" s="995">
        <v>1</v>
      </c>
      <c r="O69" s="995">
        <v>7</v>
      </c>
      <c r="P69" s="995">
        <v>6</v>
      </c>
      <c r="Q69" s="1461">
        <v>1</v>
      </c>
      <c r="R69" s="1461">
        <v>0</v>
      </c>
    </row>
    <row r="70" spans="1:18" ht="16.5" customHeight="1" x14ac:dyDescent="0.25">
      <c r="A70" s="624" t="s">
        <v>138</v>
      </c>
      <c r="B70" s="625" t="s">
        <v>139</v>
      </c>
      <c r="C70" s="558" t="s">
        <v>265</v>
      </c>
      <c r="D70" s="626">
        <f t="shared" si="7"/>
        <v>348</v>
      </c>
      <c r="E70" s="627">
        <v>108</v>
      </c>
      <c r="F70" s="628">
        <v>184</v>
      </c>
      <c r="G70" s="628">
        <v>0</v>
      </c>
      <c r="H70" s="628">
        <v>0</v>
      </c>
      <c r="I70" s="628">
        <v>0</v>
      </c>
      <c r="J70" s="628">
        <v>55</v>
      </c>
      <c r="K70" s="628">
        <v>1</v>
      </c>
      <c r="L70" s="629">
        <f t="shared" si="8"/>
        <v>55</v>
      </c>
      <c r="M70" s="1460"/>
      <c r="N70" s="995">
        <v>41</v>
      </c>
      <c r="O70" s="995">
        <v>90</v>
      </c>
      <c r="P70" s="995">
        <v>145</v>
      </c>
      <c r="Q70" s="1461">
        <v>53</v>
      </c>
      <c r="R70" s="1461">
        <v>19</v>
      </c>
    </row>
    <row r="71" spans="1:18" ht="16.5" customHeight="1" x14ac:dyDescent="0.25">
      <c r="A71" s="624" t="s">
        <v>140</v>
      </c>
      <c r="B71" s="625" t="s">
        <v>141</v>
      </c>
      <c r="C71" s="558" t="s">
        <v>267</v>
      </c>
      <c r="D71" s="626">
        <f t="shared" si="7"/>
        <v>27</v>
      </c>
      <c r="E71" s="627">
        <v>22</v>
      </c>
      <c r="F71" s="628">
        <v>2</v>
      </c>
      <c r="G71" s="994">
        <v>1</v>
      </c>
      <c r="H71" s="994">
        <v>0</v>
      </c>
      <c r="I71" s="994">
        <v>0</v>
      </c>
      <c r="J71" s="994">
        <v>2</v>
      </c>
      <c r="K71" s="994">
        <v>0</v>
      </c>
      <c r="L71" s="629">
        <f t="shared" si="8"/>
        <v>3</v>
      </c>
      <c r="M71" s="629"/>
      <c r="N71" s="995">
        <v>5</v>
      </c>
      <c r="O71" s="995">
        <v>13</v>
      </c>
      <c r="P71" s="995">
        <v>4</v>
      </c>
      <c r="Q71" s="1461">
        <v>5</v>
      </c>
      <c r="R71" s="1461">
        <v>0</v>
      </c>
    </row>
    <row r="72" spans="1:18" ht="16.5" customHeight="1" x14ac:dyDescent="0.25">
      <c r="A72" s="624" t="s">
        <v>142</v>
      </c>
      <c r="B72" s="625" t="s">
        <v>143</v>
      </c>
      <c r="C72" s="558" t="s">
        <v>267</v>
      </c>
      <c r="D72" s="626">
        <f t="shared" si="7"/>
        <v>17</v>
      </c>
      <c r="E72" s="627">
        <v>4</v>
      </c>
      <c r="F72" s="628">
        <v>7</v>
      </c>
      <c r="G72" s="994">
        <v>0</v>
      </c>
      <c r="H72" s="994">
        <v>0</v>
      </c>
      <c r="I72" s="994">
        <v>0</v>
      </c>
      <c r="J72" s="994">
        <v>6</v>
      </c>
      <c r="K72" s="994">
        <v>0</v>
      </c>
      <c r="L72" s="629">
        <f t="shared" si="8"/>
        <v>6</v>
      </c>
      <c r="M72" s="632"/>
      <c r="N72" s="995">
        <v>2</v>
      </c>
      <c r="O72" s="639">
        <v>4</v>
      </c>
      <c r="P72" s="995">
        <v>3</v>
      </c>
      <c r="Q72" s="1461">
        <v>5</v>
      </c>
      <c r="R72" s="1461">
        <v>3</v>
      </c>
    </row>
    <row r="73" spans="1:18" ht="16.5" customHeight="1" x14ac:dyDescent="0.25">
      <c r="A73" s="624" t="s">
        <v>144</v>
      </c>
      <c r="B73" s="625" t="s">
        <v>145</v>
      </c>
      <c r="C73" s="558" t="s">
        <v>267</v>
      </c>
      <c r="D73" s="626">
        <f t="shared" si="7"/>
        <v>2</v>
      </c>
      <c r="E73" s="627">
        <v>0</v>
      </c>
      <c r="F73" s="628">
        <v>0</v>
      </c>
      <c r="G73" s="628">
        <v>0</v>
      </c>
      <c r="H73" s="628">
        <v>0</v>
      </c>
      <c r="I73" s="628">
        <v>0</v>
      </c>
      <c r="J73" s="628">
        <v>2</v>
      </c>
      <c r="K73" s="628">
        <v>0</v>
      </c>
      <c r="L73" s="629">
        <f t="shared" si="8"/>
        <v>2</v>
      </c>
      <c r="M73" s="1460"/>
      <c r="N73" s="995">
        <v>2</v>
      </c>
      <c r="O73" s="995">
        <v>0</v>
      </c>
      <c r="P73" s="995">
        <v>0</v>
      </c>
      <c r="Q73" s="1461">
        <v>0</v>
      </c>
      <c r="R73" s="1461">
        <v>0</v>
      </c>
    </row>
    <row r="74" spans="1:18" ht="16.5" customHeight="1" x14ac:dyDescent="0.25">
      <c r="A74" s="624" t="s">
        <v>146</v>
      </c>
      <c r="B74" s="625" t="s">
        <v>147</v>
      </c>
      <c r="C74" s="558" t="s">
        <v>264</v>
      </c>
      <c r="D74" s="626">
        <f t="shared" si="7"/>
        <v>18</v>
      </c>
      <c r="E74" s="627">
        <v>18</v>
      </c>
      <c r="F74" s="628">
        <v>0</v>
      </c>
      <c r="G74" s="994">
        <v>0</v>
      </c>
      <c r="H74" s="994">
        <v>0</v>
      </c>
      <c r="I74" s="994">
        <v>0</v>
      </c>
      <c r="J74" s="994">
        <v>0</v>
      </c>
      <c r="K74" s="994">
        <v>0</v>
      </c>
      <c r="L74" s="629">
        <f t="shared" si="8"/>
        <v>0</v>
      </c>
      <c r="M74" s="1459"/>
      <c r="N74" s="995">
        <v>3</v>
      </c>
      <c r="O74" s="995">
        <v>7</v>
      </c>
      <c r="P74" s="995">
        <v>6</v>
      </c>
      <c r="Q74" s="1461">
        <v>2</v>
      </c>
      <c r="R74" s="1461">
        <v>0</v>
      </c>
    </row>
    <row r="75" spans="1:18" ht="16.5" customHeight="1" x14ac:dyDescent="0.25">
      <c r="A75" s="624" t="s">
        <v>148</v>
      </c>
      <c r="B75" s="625" t="s">
        <v>149</v>
      </c>
      <c r="C75" s="558" t="s">
        <v>265</v>
      </c>
      <c r="D75" s="626">
        <f t="shared" si="7"/>
        <v>27</v>
      </c>
      <c r="E75" s="627">
        <v>14</v>
      </c>
      <c r="F75" s="628">
        <v>11</v>
      </c>
      <c r="G75" s="628">
        <v>0</v>
      </c>
      <c r="H75" s="628">
        <v>0</v>
      </c>
      <c r="I75" s="628">
        <v>0</v>
      </c>
      <c r="J75" s="628">
        <v>2</v>
      </c>
      <c r="K75" s="628">
        <v>0</v>
      </c>
      <c r="L75" s="629">
        <f t="shared" si="8"/>
        <v>2</v>
      </c>
      <c r="M75" s="1460"/>
      <c r="N75" s="995">
        <v>7</v>
      </c>
      <c r="O75" s="995">
        <v>7</v>
      </c>
      <c r="P75" s="995">
        <v>11</v>
      </c>
      <c r="Q75" s="1461">
        <v>1</v>
      </c>
      <c r="R75" s="1461">
        <v>1</v>
      </c>
    </row>
    <row r="76" spans="1:18" ht="16.5" customHeight="1" x14ac:dyDescent="0.25">
      <c r="A76" s="624" t="s">
        <v>150</v>
      </c>
      <c r="B76" s="625" t="s">
        <v>151</v>
      </c>
      <c r="C76" s="558" t="s">
        <v>266</v>
      </c>
      <c r="D76" s="626">
        <f t="shared" si="7"/>
        <v>19</v>
      </c>
      <c r="E76" s="627">
        <v>5</v>
      </c>
      <c r="F76" s="1621">
        <v>6</v>
      </c>
      <c r="G76" s="1621">
        <v>0</v>
      </c>
      <c r="H76" s="1621">
        <v>0</v>
      </c>
      <c r="I76" s="1621">
        <v>0</v>
      </c>
      <c r="J76" s="1622">
        <v>8</v>
      </c>
      <c r="K76" s="1621">
        <v>0</v>
      </c>
      <c r="L76" s="629">
        <f t="shared" si="8"/>
        <v>8</v>
      </c>
      <c r="M76" s="995"/>
      <c r="N76" s="995">
        <v>1</v>
      </c>
      <c r="O76" s="995">
        <v>8</v>
      </c>
      <c r="P76" s="995">
        <v>7</v>
      </c>
      <c r="Q76" s="1461">
        <v>3</v>
      </c>
      <c r="R76" s="1461">
        <v>0</v>
      </c>
    </row>
    <row r="77" spans="1:18" ht="16.5" customHeight="1" x14ac:dyDescent="0.25">
      <c r="A77" s="624" t="s">
        <v>152</v>
      </c>
      <c r="B77" s="625" t="s">
        <v>153</v>
      </c>
      <c r="C77" s="558" t="s">
        <v>268</v>
      </c>
      <c r="D77" s="626">
        <f t="shared" si="7"/>
        <v>89</v>
      </c>
      <c r="E77" s="627">
        <v>69</v>
      </c>
      <c r="F77" s="628">
        <v>5</v>
      </c>
      <c r="G77" s="628">
        <v>0</v>
      </c>
      <c r="H77" s="628">
        <v>0</v>
      </c>
      <c r="I77" s="628">
        <v>0</v>
      </c>
      <c r="J77" s="628">
        <v>13</v>
      </c>
      <c r="K77" s="628">
        <v>2</v>
      </c>
      <c r="L77" s="629">
        <f t="shared" si="8"/>
        <v>13</v>
      </c>
      <c r="M77" s="1460"/>
      <c r="N77" s="995">
        <v>12</v>
      </c>
      <c r="O77" s="995">
        <v>19</v>
      </c>
      <c r="P77" s="995">
        <v>39</v>
      </c>
      <c r="Q77" s="1461">
        <v>15</v>
      </c>
      <c r="R77" s="1461">
        <v>4</v>
      </c>
    </row>
    <row r="78" spans="1:18" ht="16.5" customHeight="1" x14ac:dyDescent="0.25">
      <c r="A78" s="624" t="s">
        <v>154</v>
      </c>
      <c r="B78" s="625" t="s">
        <v>155</v>
      </c>
      <c r="C78" s="558" t="s">
        <v>265</v>
      </c>
      <c r="D78" s="626">
        <f t="shared" si="7"/>
        <v>10</v>
      </c>
      <c r="E78" s="1620">
        <v>10</v>
      </c>
      <c r="F78" s="1621">
        <v>0</v>
      </c>
      <c r="G78" s="1621">
        <v>0</v>
      </c>
      <c r="H78" s="1621">
        <v>0</v>
      </c>
      <c r="I78" s="1621">
        <v>0</v>
      </c>
      <c r="J78" s="1622">
        <v>0</v>
      </c>
      <c r="K78" s="1621">
        <v>0</v>
      </c>
      <c r="L78" s="629">
        <f t="shared" si="8"/>
        <v>0</v>
      </c>
      <c r="M78" s="1460"/>
      <c r="N78" s="995">
        <v>4</v>
      </c>
      <c r="O78" s="995">
        <v>3</v>
      </c>
      <c r="P78" s="995">
        <v>3</v>
      </c>
      <c r="Q78" s="1461">
        <v>0</v>
      </c>
      <c r="R78" s="1461">
        <v>0</v>
      </c>
    </row>
    <row r="79" spans="1:18" ht="16.5" customHeight="1" x14ac:dyDescent="0.25">
      <c r="A79" s="624" t="s">
        <v>156</v>
      </c>
      <c r="B79" s="625" t="s">
        <v>157</v>
      </c>
      <c r="C79" s="558" t="s">
        <v>266</v>
      </c>
      <c r="D79" s="626">
        <f t="shared" si="7"/>
        <v>8</v>
      </c>
      <c r="E79" s="627">
        <v>7</v>
      </c>
      <c r="F79" s="628">
        <v>1</v>
      </c>
      <c r="G79" s="994">
        <v>0</v>
      </c>
      <c r="H79" s="994">
        <v>0</v>
      </c>
      <c r="I79" s="994">
        <v>0</v>
      </c>
      <c r="J79" s="994">
        <v>0</v>
      </c>
      <c r="K79" s="994">
        <v>0</v>
      </c>
      <c r="L79" s="629">
        <f t="shared" si="8"/>
        <v>0</v>
      </c>
      <c r="M79" s="632"/>
      <c r="N79" s="995">
        <v>1</v>
      </c>
      <c r="O79" s="995">
        <v>2</v>
      </c>
      <c r="P79" s="995">
        <v>3</v>
      </c>
      <c r="Q79" s="1461">
        <v>2</v>
      </c>
      <c r="R79" s="1461">
        <v>0</v>
      </c>
    </row>
    <row r="80" spans="1:18" ht="16.5" customHeight="1" x14ac:dyDescent="0.25">
      <c r="A80" s="624" t="s">
        <v>158</v>
      </c>
      <c r="B80" s="625" t="s">
        <v>159</v>
      </c>
      <c r="C80" s="558" t="s">
        <v>264</v>
      </c>
      <c r="D80" s="626">
        <f t="shared" si="7"/>
        <v>268</v>
      </c>
      <c r="E80" s="627">
        <v>48</v>
      </c>
      <c r="F80" s="628">
        <v>189</v>
      </c>
      <c r="G80" s="628">
        <v>0</v>
      </c>
      <c r="H80" s="628">
        <v>0</v>
      </c>
      <c r="I80" s="628">
        <v>0</v>
      </c>
      <c r="J80" s="628">
        <v>31</v>
      </c>
      <c r="K80" s="628">
        <v>0</v>
      </c>
      <c r="L80" s="629">
        <f t="shared" si="8"/>
        <v>31</v>
      </c>
      <c r="M80" s="995"/>
      <c r="N80" s="995">
        <v>16</v>
      </c>
      <c r="O80" s="995">
        <v>58</v>
      </c>
      <c r="P80" s="995">
        <v>106</v>
      </c>
      <c r="Q80" s="1461">
        <v>52</v>
      </c>
      <c r="R80" s="1461">
        <v>36</v>
      </c>
    </row>
    <row r="81" spans="1:18" ht="16.5" customHeight="1" x14ac:dyDescent="0.25">
      <c r="A81" s="624" t="s">
        <v>160</v>
      </c>
      <c r="B81" s="625" t="s">
        <v>161</v>
      </c>
      <c r="C81" s="558" t="s">
        <v>264</v>
      </c>
      <c r="D81" s="626">
        <f t="shared" si="7"/>
        <v>287</v>
      </c>
      <c r="E81" s="627">
        <v>46</v>
      </c>
      <c r="F81" s="628">
        <v>198</v>
      </c>
      <c r="G81" s="628">
        <v>3</v>
      </c>
      <c r="H81" s="628">
        <v>3</v>
      </c>
      <c r="I81" s="628">
        <v>2</v>
      </c>
      <c r="J81" s="628">
        <v>35</v>
      </c>
      <c r="K81" s="628">
        <v>0</v>
      </c>
      <c r="L81" s="629">
        <f t="shared" si="8"/>
        <v>43</v>
      </c>
      <c r="M81" s="1460"/>
      <c r="N81" s="995">
        <v>36</v>
      </c>
      <c r="O81" s="995">
        <v>104</v>
      </c>
      <c r="P81" s="995">
        <v>96</v>
      </c>
      <c r="Q81" s="1461">
        <v>44</v>
      </c>
      <c r="R81" s="1461">
        <v>7</v>
      </c>
    </row>
    <row r="82" spans="1:18" ht="16.5" customHeight="1" x14ac:dyDescent="0.25">
      <c r="A82" s="624" t="s">
        <v>162</v>
      </c>
      <c r="B82" s="625" t="s">
        <v>163</v>
      </c>
      <c r="C82" s="558" t="s">
        <v>264</v>
      </c>
      <c r="D82" s="626">
        <f t="shared" si="7"/>
        <v>0</v>
      </c>
      <c r="E82" s="627">
        <v>0</v>
      </c>
      <c r="F82" s="628">
        <v>0</v>
      </c>
      <c r="G82" s="994">
        <v>0</v>
      </c>
      <c r="H82" s="994">
        <v>0</v>
      </c>
      <c r="I82" s="994">
        <v>0</v>
      </c>
      <c r="J82" s="994">
        <v>0</v>
      </c>
      <c r="K82" s="994">
        <v>0</v>
      </c>
      <c r="L82" s="629">
        <f t="shared" si="8"/>
        <v>0</v>
      </c>
      <c r="M82" s="1459"/>
      <c r="N82" s="995">
        <v>0</v>
      </c>
      <c r="O82" s="995">
        <v>0</v>
      </c>
      <c r="P82" s="995">
        <v>0</v>
      </c>
      <c r="Q82" s="1461">
        <v>0</v>
      </c>
      <c r="R82" s="1461">
        <v>0</v>
      </c>
    </row>
    <row r="83" spans="1:18" ht="16.5" customHeight="1" x14ac:dyDescent="0.25">
      <c r="A83" s="624" t="s">
        <v>164</v>
      </c>
      <c r="B83" s="625" t="s">
        <v>165</v>
      </c>
      <c r="C83" s="558" t="s">
        <v>266</v>
      </c>
      <c r="D83" s="626">
        <f t="shared" si="7"/>
        <v>16</v>
      </c>
      <c r="E83" s="627">
        <v>13</v>
      </c>
      <c r="F83" s="628">
        <v>3</v>
      </c>
      <c r="G83" s="628">
        <v>0</v>
      </c>
      <c r="H83" s="628">
        <v>0</v>
      </c>
      <c r="I83" s="628">
        <v>0</v>
      </c>
      <c r="J83" s="628">
        <v>0</v>
      </c>
      <c r="K83" s="628">
        <v>0</v>
      </c>
      <c r="L83" s="629">
        <f t="shared" si="8"/>
        <v>0</v>
      </c>
      <c r="M83" s="1459"/>
      <c r="N83" s="995">
        <v>1</v>
      </c>
      <c r="O83" s="995">
        <v>2</v>
      </c>
      <c r="P83" s="995">
        <v>6</v>
      </c>
      <c r="Q83" s="1461">
        <v>5</v>
      </c>
      <c r="R83" s="1461">
        <v>2</v>
      </c>
    </row>
    <row r="84" spans="1:18" ht="16.5" customHeight="1" x14ac:dyDescent="0.25">
      <c r="A84" s="624" t="s">
        <v>166</v>
      </c>
      <c r="B84" s="625" t="s">
        <v>167</v>
      </c>
      <c r="C84" s="558" t="s">
        <v>268</v>
      </c>
      <c r="D84" s="626">
        <f t="shared" si="7"/>
        <v>8</v>
      </c>
      <c r="E84" s="627">
        <v>5</v>
      </c>
      <c r="F84" s="628">
        <v>0</v>
      </c>
      <c r="G84" s="994">
        <v>0</v>
      </c>
      <c r="H84" s="994">
        <v>0</v>
      </c>
      <c r="I84" s="994">
        <v>0</v>
      </c>
      <c r="J84" s="994">
        <v>3</v>
      </c>
      <c r="K84" s="994">
        <v>0</v>
      </c>
      <c r="L84" s="629">
        <f t="shared" si="8"/>
        <v>3</v>
      </c>
      <c r="M84" s="995"/>
      <c r="N84" s="995">
        <v>2</v>
      </c>
      <c r="O84" s="995">
        <v>2</v>
      </c>
      <c r="P84" s="995">
        <v>2</v>
      </c>
      <c r="Q84" s="1461">
        <v>2</v>
      </c>
      <c r="R84" s="1461">
        <v>0</v>
      </c>
    </row>
    <row r="85" spans="1:18" ht="16.5" customHeight="1" x14ac:dyDescent="0.25">
      <c r="A85" s="624" t="s">
        <v>168</v>
      </c>
      <c r="B85" s="625" t="s">
        <v>169</v>
      </c>
      <c r="C85" s="558" t="s">
        <v>266</v>
      </c>
      <c r="D85" s="626">
        <f t="shared" si="7"/>
        <v>6</v>
      </c>
      <c r="E85" s="627">
        <v>4</v>
      </c>
      <c r="F85" s="628">
        <v>2</v>
      </c>
      <c r="G85" s="994">
        <v>0</v>
      </c>
      <c r="H85" s="994">
        <v>0</v>
      </c>
      <c r="I85" s="994">
        <v>0</v>
      </c>
      <c r="J85" s="994">
        <v>0</v>
      </c>
      <c r="K85" s="994">
        <v>0</v>
      </c>
      <c r="L85" s="629">
        <f t="shared" si="8"/>
        <v>0</v>
      </c>
      <c r="M85" s="639"/>
      <c r="N85" s="995">
        <v>0</v>
      </c>
      <c r="O85" s="995">
        <v>0</v>
      </c>
      <c r="P85" s="995">
        <v>6</v>
      </c>
      <c r="Q85" s="1461">
        <v>0</v>
      </c>
      <c r="R85" s="1461">
        <v>0</v>
      </c>
    </row>
    <row r="86" spans="1:18" ht="16.5" customHeight="1" x14ac:dyDescent="0.25">
      <c r="A86" s="624" t="s">
        <v>170</v>
      </c>
      <c r="B86" s="625" t="s">
        <v>171</v>
      </c>
      <c r="C86" s="558" t="s">
        <v>267</v>
      </c>
      <c r="D86" s="626">
        <f t="shared" si="7"/>
        <v>26</v>
      </c>
      <c r="E86" s="627">
        <v>19</v>
      </c>
      <c r="F86" s="628">
        <v>0</v>
      </c>
      <c r="G86" s="628">
        <v>0</v>
      </c>
      <c r="H86" s="628">
        <v>0</v>
      </c>
      <c r="I86" s="628">
        <v>0</v>
      </c>
      <c r="J86" s="628">
        <v>7</v>
      </c>
      <c r="K86" s="628">
        <v>0</v>
      </c>
      <c r="L86" s="629">
        <f t="shared" si="8"/>
        <v>7</v>
      </c>
      <c r="M86" s="1459"/>
      <c r="N86" s="995">
        <v>0</v>
      </c>
      <c r="O86" s="639">
        <v>7</v>
      </c>
      <c r="P86" s="995">
        <v>6</v>
      </c>
      <c r="Q86" s="1461">
        <v>10</v>
      </c>
      <c r="R86" s="1461">
        <v>3</v>
      </c>
    </row>
    <row r="87" spans="1:18" ht="16.5" customHeight="1" x14ac:dyDescent="0.25">
      <c r="A87" s="624" t="s">
        <v>172</v>
      </c>
      <c r="B87" s="625" t="s">
        <v>173</v>
      </c>
      <c r="C87" s="558" t="s">
        <v>267</v>
      </c>
      <c r="D87" s="626">
        <f t="shared" si="7"/>
        <v>12</v>
      </c>
      <c r="E87" s="627">
        <v>12</v>
      </c>
      <c r="F87" s="628">
        <v>0</v>
      </c>
      <c r="G87" s="994">
        <v>0</v>
      </c>
      <c r="H87" s="994">
        <v>0</v>
      </c>
      <c r="I87" s="994">
        <v>0</v>
      </c>
      <c r="J87" s="994">
        <v>0</v>
      </c>
      <c r="K87" s="994">
        <v>0</v>
      </c>
      <c r="L87" s="629">
        <f t="shared" si="8"/>
        <v>0</v>
      </c>
      <c r="M87" s="1460"/>
      <c r="N87" s="995">
        <v>1</v>
      </c>
      <c r="O87" s="995">
        <v>5</v>
      </c>
      <c r="P87" s="995">
        <v>4</v>
      </c>
      <c r="Q87" s="1461">
        <v>2</v>
      </c>
      <c r="R87" s="1461">
        <v>0</v>
      </c>
    </row>
    <row r="88" spans="1:18" ht="16.5" customHeight="1" x14ac:dyDescent="0.25">
      <c r="A88" s="624" t="s">
        <v>174</v>
      </c>
      <c r="B88" s="625" t="s">
        <v>175</v>
      </c>
      <c r="C88" s="558" t="s">
        <v>268</v>
      </c>
      <c r="D88" s="626">
        <f t="shared" si="7"/>
        <v>7</v>
      </c>
      <c r="E88" s="627">
        <v>6</v>
      </c>
      <c r="F88" s="628">
        <v>0</v>
      </c>
      <c r="G88" s="628">
        <v>0</v>
      </c>
      <c r="H88" s="628">
        <v>0</v>
      </c>
      <c r="I88" s="628">
        <v>0</v>
      </c>
      <c r="J88" s="628">
        <v>1</v>
      </c>
      <c r="K88" s="628">
        <v>0</v>
      </c>
      <c r="L88" s="629">
        <f t="shared" si="8"/>
        <v>1</v>
      </c>
      <c r="M88" s="629"/>
      <c r="N88" s="995">
        <v>5</v>
      </c>
      <c r="O88" s="995">
        <v>2</v>
      </c>
      <c r="P88" s="995">
        <v>0</v>
      </c>
      <c r="Q88" s="1461">
        <v>0</v>
      </c>
      <c r="R88" s="1461">
        <v>0</v>
      </c>
    </row>
    <row r="89" spans="1:18" ht="16.5" customHeight="1" x14ac:dyDescent="0.25">
      <c r="A89" s="624" t="s">
        <v>176</v>
      </c>
      <c r="B89" s="625" t="s">
        <v>177</v>
      </c>
      <c r="C89" s="558" t="s">
        <v>266</v>
      </c>
      <c r="D89" s="626">
        <f t="shared" si="7"/>
        <v>140</v>
      </c>
      <c r="E89" s="627">
        <v>27</v>
      </c>
      <c r="F89" s="628">
        <v>89</v>
      </c>
      <c r="G89" s="628">
        <v>0</v>
      </c>
      <c r="H89" s="628">
        <v>0</v>
      </c>
      <c r="I89" s="628">
        <v>0</v>
      </c>
      <c r="J89" s="628">
        <v>21</v>
      </c>
      <c r="K89" s="628">
        <v>3</v>
      </c>
      <c r="L89" s="629">
        <f t="shared" si="8"/>
        <v>21</v>
      </c>
      <c r="M89" s="639"/>
      <c r="N89" s="995">
        <v>22</v>
      </c>
      <c r="O89" s="639">
        <v>48</v>
      </c>
      <c r="P89" s="995">
        <v>40</v>
      </c>
      <c r="Q89" s="1461">
        <v>26</v>
      </c>
      <c r="R89" s="1461">
        <v>4</v>
      </c>
    </row>
    <row r="90" spans="1:18" ht="16.5" customHeight="1" x14ac:dyDescent="0.25">
      <c r="A90" s="624" t="s">
        <v>178</v>
      </c>
      <c r="B90" s="625" t="s">
        <v>179</v>
      </c>
      <c r="C90" s="558" t="s">
        <v>265</v>
      </c>
      <c r="D90" s="626">
        <f t="shared" si="7"/>
        <v>17</v>
      </c>
      <c r="E90" s="627">
        <v>13</v>
      </c>
      <c r="F90" s="628">
        <v>1</v>
      </c>
      <c r="G90" s="628">
        <v>0</v>
      </c>
      <c r="H90" s="628">
        <v>0</v>
      </c>
      <c r="I90" s="628">
        <v>0</v>
      </c>
      <c r="J90" s="628">
        <v>2</v>
      </c>
      <c r="K90" s="628">
        <v>1</v>
      </c>
      <c r="L90" s="629">
        <f t="shared" si="8"/>
        <v>2</v>
      </c>
      <c r="M90" s="1460"/>
      <c r="N90" s="995">
        <v>2</v>
      </c>
      <c r="O90" s="995">
        <v>6</v>
      </c>
      <c r="P90" s="995">
        <v>6</v>
      </c>
      <c r="Q90" s="1461">
        <v>3</v>
      </c>
      <c r="R90" s="1461">
        <v>0</v>
      </c>
    </row>
    <row r="91" spans="1:18" ht="16.5" customHeight="1" x14ac:dyDescent="0.25">
      <c r="A91" s="624" t="s">
        <v>180</v>
      </c>
      <c r="B91" s="625" t="s">
        <v>181</v>
      </c>
      <c r="C91" s="558" t="s">
        <v>264</v>
      </c>
      <c r="D91" s="626">
        <f t="shared" si="7"/>
        <v>136</v>
      </c>
      <c r="E91" s="635">
        <v>33</v>
      </c>
      <c r="F91" s="994">
        <v>95</v>
      </c>
      <c r="G91" s="994">
        <v>0</v>
      </c>
      <c r="H91" s="994">
        <v>0</v>
      </c>
      <c r="I91" s="994">
        <v>0</v>
      </c>
      <c r="J91" s="994">
        <v>8</v>
      </c>
      <c r="K91" s="994">
        <v>0</v>
      </c>
      <c r="L91" s="629">
        <f t="shared" si="8"/>
        <v>8</v>
      </c>
      <c r="M91" s="639"/>
      <c r="N91" s="995">
        <v>9</v>
      </c>
      <c r="O91" s="995">
        <v>26</v>
      </c>
      <c r="P91" s="995">
        <v>61</v>
      </c>
      <c r="Q91" s="1461">
        <v>28</v>
      </c>
      <c r="R91" s="1461">
        <v>12</v>
      </c>
    </row>
    <row r="92" spans="1:18" ht="16.5" customHeight="1" x14ac:dyDescent="0.25">
      <c r="A92" s="624" t="s">
        <v>182</v>
      </c>
      <c r="B92" s="625" t="s">
        <v>183</v>
      </c>
      <c r="C92" s="558" t="s">
        <v>266</v>
      </c>
      <c r="D92" s="626">
        <f t="shared" si="7"/>
        <v>4</v>
      </c>
      <c r="E92" s="627">
        <v>4</v>
      </c>
      <c r="F92" s="628">
        <v>0</v>
      </c>
      <c r="G92" s="628">
        <v>0</v>
      </c>
      <c r="H92" s="628">
        <v>0</v>
      </c>
      <c r="I92" s="628">
        <v>0</v>
      </c>
      <c r="J92" s="628">
        <v>0</v>
      </c>
      <c r="K92" s="628">
        <v>0</v>
      </c>
      <c r="L92" s="629">
        <f t="shared" si="8"/>
        <v>0</v>
      </c>
      <c r="M92" s="995"/>
      <c r="N92" s="995">
        <v>0</v>
      </c>
      <c r="O92" s="995">
        <v>1</v>
      </c>
      <c r="P92" s="995">
        <v>1</v>
      </c>
      <c r="Q92" s="1461">
        <v>1</v>
      </c>
      <c r="R92" s="1461">
        <v>1</v>
      </c>
    </row>
    <row r="93" spans="1:18" ht="16.5" customHeight="1" x14ac:dyDescent="0.25">
      <c r="A93" s="624" t="s">
        <v>184</v>
      </c>
      <c r="B93" s="625" t="s">
        <v>185</v>
      </c>
      <c r="C93" s="558" t="s">
        <v>266</v>
      </c>
      <c r="D93" s="626">
        <f t="shared" si="7"/>
        <v>48</v>
      </c>
      <c r="E93" s="627">
        <v>27</v>
      </c>
      <c r="F93" s="628">
        <v>15</v>
      </c>
      <c r="G93" s="628">
        <v>0</v>
      </c>
      <c r="H93" s="628">
        <v>0</v>
      </c>
      <c r="I93" s="628">
        <v>0</v>
      </c>
      <c r="J93" s="628">
        <v>6</v>
      </c>
      <c r="K93" s="628">
        <v>0</v>
      </c>
      <c r="L93" s="629">
        <f t="shared" si="8"/>
        <v>6</v>
      </c>
      <c r="M93" s="639"/>
      <c r="N93" s="995">
        <v>2</v>
      </c>
      <c r="O93" s="995">
        <v>8</v>
      </c>
      <c r="P93" s="995">
        <v>22</v>
      </c>
      <c r="Q93" s="1461">
        <v>15</v>
      </c>
      <c r="R93" s="1461">
        <v>1</v>
      </c>
    </row>
    <row r="94" spans="1:18" ht="16.5" customHeight="1" x14ac:dyDescent="0.25">
      <c r="A94" s="624" t="s">
        <v>186</v>
      </c>
      <c r="B94" s="625" t="s">
        <v>187</v>
      </c>
      <c r="C94" s="558" t="s">
        <v>264</v>
      </c>
      <c r="D94" s="626">
        <f t="shared" si="7"/>
        <v>23</v>
      </c>
      <c r="E94" s="627">
        <v>18</v>
      </c>
      <c r="F94" s="628">
        <v>3</v>
      </c>
      <c r="G94" s="628">
        <v>0</v>
      </c>
      <c r="H94" s="628">
        <v>0</v>
      </c>
      <c r="I94" s="628">
        <v>0</v>
      </c>
      <c r="J94" s="628">
        <v>2</v>
      </c>
      <c r="K94" s="628">
        <v>0</v>
      </c>
      <c r="L94" s="629">
        <f t="shared" si="8"/>
        <v>2</v>
      </c>
      <c r="M94" s="1459"/>
      <c r="N94" s="995">
        <v>5</v>
      </c>
      <c r="O94" s="995">
        <v>12</v>
      </c>
      <c r="P94" s="995">
        <v>5</v>
      </c>
      <c r="Q94" s="1461">
        <v>1</v>
      </c>
      <c r="R94" s="1461">
        <v>0</v>
      </c>
    </row>
    <row r="95" spans="1:18" ht="16.5" customHeight="1" x14ac:dyDescent="0.25">
      <c r="A95" s="624" t="s">
        <v>188</v>
      </c>
      <c r="B95" s="625" t="s">
        <v>189</v>
      </c>
      <c r="C95" s="558" t="s">
        <v>267</v>
      </c>
      <c r="D95" s="626">
        <f t="shared" si="7"/>
        <v>129</v>
      </c>
      <c r="E95" s="627">
        <v>58</v>
      </c>
      <c r="F95" s="628">
        <v>57</v>
      </c>
      <c r="G95" s="994">
        <v>3</v>
      </c>
      <c r="H95" s="994">
        <v>0</v>
      </c>
      <c r="I95" s="994">
        <v>0</v>
      </c>
      <c r="J95" s="994">
        <v>9</v>
      </c>
      <c r="K95" s="994">
        <v>2</v>
      </c>
      <c r="L95" s="629">
        <f t="shared" si="8"/>
        <v>12</v>
      </c>
      <c r="M95" s="1460"/>
      <c r="N95" s="995">
        <v>14</v>
      </c>
      <c r="O95" s="639">
        <v>31</v>
      </c>
      <c r="P95" s="995">
        <v>42</v>
      </c>
      <c r="Q95" s="1461">
        <v>24</v>
      </c>
      <c r="R95" s="1461">
        <v>18</v>
      </c>
    </row>
    <row r="96" spans="1:18" ht="16.5" customHeight="1" x14ac:dyDescent="0.25">
      <c r="A96" s="624" t="s">
        <v>190</v>
      </c>
      <c r="B96" s="625" t="s">
        <v>191</v>
      </c>
      <c r="C96" s="558" t="s">
        <v>268</v>
      </c>
      <c r="D96" s="626">
        <f t="shared" si="7"/>
        <v>79</v>
      </c>
      <c r="E96" s="627">
        <v>53</v>
      </c>
      <c r="F96" s="628">
        <v>9</v>
      </c>
      <c r="G96" s="628">
        <v>0</v>
      </c>
      <c r="H96" s="628">
        <v>0</v>
      </c>
      <c r="I96" s="628">
        <v>0</v>
      </c>
      <c r="J96" s="628">
        <v>16</v>
      </c>
      <c r="K96" s="628">
        <v>1</v>
      </c>
      <c r="L96" s="629">
        <f t="shared" si="8"/>
        <v>16</v>
      </c>
      <c r="M96" s="1460"/>
      <c r="N96" s="995">
        <v>4</v>
      </c>
      <c r="O96" s="995">
        <v>29</v>
      </c>
      <c r="P96" s="995">
        <v>21</v>
      </c>
      <c r="Q96" s="1461">
        <v>22</v>
      </c>
      <c r="R96" s="1461">
        <v>3</v>
      </c>
    </row>
    <row r="97" spans="1:18" ht="16.5" customHeight="1" x14ac:dyDescent="0.25">
      <c r="A97" s="624" t="s">
        <v>192</v>
      </c>
      <c r="B97" s="625" t="s">
        <v>193</v>
      </c>
      <c r="C97" s="558" t="s">
        <v>268</v>
      </c>
      <c r="D97" s="626">
        <f t="shared" si="7"/>
        <v>33</v>
      </c>
      <c r="E97" s="627">
        <v>28</v>
      </c>
      <c r="F97" s="628">
        <v>4</v>
      </c>
      <c r="G97" s="628">
        <v>0</v>
      </c>
      <c r="H97" s="628">
        <v>0</v>
      </c>
      <c r="I97" s="628">
        <v>0</v>
      </c>
      <c r="J97" s="628">
        <v>1</v>
      </c>
      <c r="K97" s="628">
        <v>0</v>
      </c>
      <c r="L97" s="629">
        <f t="shared" si="8"/>
        <v>1</v>
      </c>
      <c r="M97" s="632"/>
      <c r="N97" s="995">
        <v>1</v>
      </c>
      <c r="O97" s="995">
        <v>6</v>
      </c>
      <c r="P97" s="995">
        <v>15</v>
      </c>
      <c r="Q97" s="1461">
        <v>7</v>
      </c>
      <c r="R97" s="1461">
        <v>4</v>
      </c>
    </row>
    <row r="98" spans="1:18" ht="16.5" customHeight="1" x14ac:dyDescent="0.25">
      <c r="A98" s="624" t="s">
        <v>194</v>
      </c>
      <c r="B98" s="625" t="s">
        <v>195</v>
      </c>
      <c r="C98" s="558" t="s">
        <v>267</v>
      </c>
      <c r="D98" s="626">
        <f t="shared" si="7"/>
        <v>14</v>
      </c>
      <c r="E98" s="627">
        <v>8</v>
      </c>
      <c r="F98" s="628">
        <v>1</v>
      </c>
      <c r="G98" s="994">
        <v>0</v>
      </c>
      <c r="H98" s="994">
        <v>0</v>
      </c>
      <c r="I98" s="994">
        <v>0</v>
      </c>
      <c r="J98" s="994">
        <v>5</v>
      </c>
      <c r="K98" s="994">
        <v>0</v>
      </c>
      <c r="L98" s="629">
        <f t="shared" si="8"/>
        <v>5</v>
      </c>
      <c r="M98" s="629"/>
      <c r="N98" s="995">
        <v>2</v>
      </c>
      <c r="O98" s="995">
        <v>2</v>
      </c>
      <c r="P98" s="995">
        <v>6</v>
      </c>
      <c r="Q98" s="1461">
        <v>4</v>
      </c>
      <c r="R98" s="1461">
        <v>0</v>
      </c>
    </row>
    <row r="99" spans="1:18" ht="16.5" customHeight="1" x14ac:dyDescent="0.25">
      <c r="A99" s="624" t="s">
        <v>196</v>
      </c>
      <c r="B99" s="625" t="s">
        <v>312</v>
      </c>
      <c r="C99" s="558" t="s">
        <v>266</v>
      </c>
      <c r="D99" s="626">
        <f t="shared" si="7"/>
        <v>401</v>
      </c>
      <c r="E99" s="627">
        <v>42</v>
      </c>
      <c r="F99" s="628">
        <v>334</v>
      </c>
      <c r="G99" s="628">
        <v>0</v>
      </c>
      <c r="H99" s="628">
        <v>2</v>
      </c>
      <c r="I99" s="628">
        <v>0</v>
      </c>
      <c r="J99" s="628">
        <v>20</v>
      </c>
      <c r="K99" s="628">
        <v>3</v>
      </c>
      <c r="L99" s="629">
        <f t="shared" si="8"/>
        <v>22</v>
      </c>
      <c r="M99" s="1459"/>
      <c r="N99" s="995">
        <v>34</v>
      </c>
      <c r="O99" s="995">
        <v>76</v>
      </c>
      <c r="P99" s="995">
        <v>147</v>
      </c>
      <c r="Q99" s="1461">
        <v>111</v>
      </c>
      <c r="R99" s="1461">
        <v>33</v>
      </c>
    </row>
    <row r="100" spans="1:18" ht="16.5" customHeight="1" x14ac:dyDescent="0.25">
      <c r="A100" s="624" t="s">
        <v>198</v>
      </c>
      <c r="B100" s="625" t="s">
        <v>199</v>
      </c>
      <c r="C100" s="558" t="s">
        <v>266</v>
      </c>
      <c r="D100" s="626">
        <f t="shared" si="7"/>
        <v>7</v>
      </c>
      <c r="E100" s="627">
        <v>3</v>
      </c>
      <c r="F100" s="628">
        <v>0</v>
      </c>
      <c r="G100" s="628">
        <v>0</v>
      </c>
      <c r="H100" s="628">
        <v>0</v>
      </c>
      <c r="I100" s="628">
        <v>0</v>
      </c>
      <c r="J100" s="628">
        <v>4</v>
      </c>
      <c r="K100" s="628">
        <v>0</v>
      </c>
      <c r="L100" s="629">
        <f t="shared" si="8"/>
        <v>4</v>
      </c>
      <c r="M100" s="1459"/>
      <c r="N100" s="995">
        <v>0</v>
      </c>
      <c r="O100" s="995">
        <v>5</v>
      </c>
      <c r="P100" s="995">
        <v>0</v>
      </c>
      <c r="Q100" s="1461">
        <v>2</v>
      </c>
      <c r="R100" s="1461">
        <v>0</v>
      </c>
    </row>
    <row r="101" spans="1:18" ht="16.5" customHeight="1" x14ac:dyDescent="0.25">
      <c r="A101" s="624" t="s">
        <v>200</v>
      </c>
      <c r="B101" s="625" t="s">
        <v>313</v>
      </c>
      <c r="C101" s="558" t="s">
        <v>265</v>
      </c>
      <c r="D101" s="626">
        <f t="shared" ref="D101:D124" si="9">SUM(E101:K101)</f>
        <v>425</v>
      </c>
      <c r="E101" s="627">
        <v>233</v>
      </c>
      <c r="F101" s="628">
        <v>123</v>
      </c>
      <c r="G101" s="994">
        <v>0</v>
      </c>
      <c r="H101" s="994">
        <v>1</v>
      </c>
      <c r="I101" s="994">
        <v>1</v>
      </c>
      <c r="J101" s="994">
        <v>66</v>
      </c>
      <c r="K101" s="994">
        <v>1</v>
      </c>
      <c r="L101" s="629">
        <f t="shared" ref="L101:L124" si="10">G101+H101+I101+J101</f>
        <v>68</v>
      </c>
      <c r="M101" s="1460"/>
      <c r="N101" s="995">
        <v>67</v>
      </c>
      <c r="O101" s="995">
        <v>111</v>
      </c>
      <c r="P101" s="995">
        <v>146</v>
      </c>
      <c r="Q101" s="1461">
        <v>68</v>
      </c>
      <c r="R101" s="1461">
        <v>33</v>
      </c>
    </row>
    <row r="102" spans="1:18" ht="16.5" customHeight="1" x14ac:dyDescent="0.25">
      <c r="A102" s="624" t="s">
        <v>202</v>
      </c>
      <c r="B102" s="625" t="s">
        <v>203</v>
      </c>
      <c r="C102" s="558" t="s">
        <v>265</v>
      </c>
      <c r="D102" s="626">
        <f t="shared" si="9"/>
        <v>152</v>
      </c>
      <c r="E102" s="627">
        <v>124</v>
      </c>
      <c r="F102" s="628">
        <v>12</v>
      </c>
      <c r="G102" s="628">
        <v>2</v>
      </c>
      <c r="H102" s="628">
        <v>0</v>
      </c>
      <c r="I102" s="628">
        <v>0</v>
      </c>
      <c r="J102" s="628">
        <v>14</v>
      </c>
      <c r="K102" s="628">
        <v>0</v>
      </c>
      <c r="L102" s="629">
        <f t="shared" si="10"/>
        <v>16</v>
      </c>
      <c r="M102" s="1459"/>
      <c r="N102" s="639">
        <v>20</v>
      </c>
      <c r="O102" s="995">
        <v>41</v>
      </c>
      <c r="P102" s="995">
        <v>51</v>
      </c>
      <c r="Q102" s="1461">
        <v>29</v>
      </c>
      <c r="R102" s="1461">
        <v>11</v>
      </c>
    </row>
    <row r="103" spans="1:18" ht="16.5" customHeight="1" x14ac:dyDescent="0.25">
      <c r="A103" s="624" t="s">
        <v>204</v>
      </c>
      <c r="B103" s="625" t="s">
        <v>205</v>
      </c>
      <c r="C103" s="558" t="s">
        <v>265</v>
      </c>
      <c r="D103" s="626">
        <f t="shared" si="9"/>
        <v>13</v>
      </c>
      <c r="E103" s="627">
        <v>9</v>
      </c>
      <c r="F103" s="628">
        <v>0</v>
      </c>
      <c r="G103" s="628">
        <v>0</v>
      </c>
      <c r="H103" s="628">
        <v>0</v>
      </c>
      <c r="I103" s="628">
        <v>0</v>
      </c>
      <c r="J103" s="628">
        <v>4</v>
      </c>
      <c r="K103" s="628">
        <v>0</v>
      </c>
      <c r="L103" s="629">
        <f t="shared" si="10"/>
        <v>4</v>
      </c>
      <c r="M103" s="1460"/>
      <c r="N103" s="995">
        <v>5</v>
      </c>
      <c r="O103" s="995">
        <v>2</v>
      </c>
      <c r="P103" s="995">
        <v>3</v>
      </c>
      <c r="Q103" s="1461">
        <v>2</v>
      </c>
      <c r="R103" s="1461">
        <v>1</v>
      </c>
    </row>
    <row r="104" spans="1:18" ht="16.5" customHeight="1" x14ac:dyDescent="0.25">
      <c r="A104" s="624" t="s">
        <v>206</v>
      </c>
      <c r="B104" s="625" t="s">
        <v>207</v>
      </c>
      <c r="C104" s="558" t="s">
        <v>267</v>
      </c>
      <c r="D104" s="626">
        <f t="shared" si="9"/>
        <v>326</v>
      </c>
      <c r="E104" s="627">
        <v>247</v>
      </c>
      <c r="F104" s="628">
        <v>41</v>
      </c>
      <c r="G104" s="628">
        <v>0</v>
      </c>
      <c r="H104" s="628">
        <v>2</v>
      </c>
      <c r="I104" s="628">
        <v>0</v>
      </c>
      <c r="J104" s="628">
        <v>35</v>
      </c>
      <c r="K104" s="628">
        <v>1</v>
      </c>
      <c r="L104" s="629">
        <f t="shared" si="10"/>
        <v>37</v>
      </c>
      <c r="M104" s="1460"/>
      <c r="N104" s="995">
        <v>55</v>
      </c>
      <c r="O104" s="995">
        <v>92</v>
      </c>
      <c r="P104" s="995">
        <v>104</v>
      </c>
      <c r="Q104" s="1461">
        <v>49</v>
      </c>
      <c r="R104" s="1461">
        <v>26</v>
      </c>
    </row>
    <row r="105" spans="1:18" ht="16.5" customHeight="1" x14ac:dyDescent="0.25">
      <c r="A105" s="624" t="s">
        <v>208</v>
      </c>
      <c r="B105" s="625" t="s">
        <v>209</v>
      </c>
      <c r="C105" s="558" t="s">
        <v>268</v>
      </c>
      <c r="D105" s="626">
        <f t="shared" si="9"/>
        <v>67</v>
      </c>
      <c r="E105" s="627">
        <v>64</v>
      </c>
      <c r="F105" s="628">
        <v>2</v>
      </c>
      <c r="G105" s="628">
        <v>0</v>
      </c>
      <c r="H105" s="628">
        <v>1</v>
      </c>
      <c r="I105" s="628">
        <v>0</v>
      </c>
      <c r="J105" s="628">
        <v>0</v>
      </c>
      <c r="K105" s="628">
        <v>0</v>
      </c>
      <c r="L105" s="629">
        <f t="shared" si="10"/>
        <v>1</v>
      </c>
      <c r="M105" s="632"/>
      <c r="N105" s="995">
        <v>7</v>
      </c>
      <c r="O105" s="995">
        <v>24</v>
      </c>
      <c r="P105" s="995">
        <v>26</v>
      </c>
      <c r="Q105" s="1461">
        <v>10</v>
      </c>
      <c r="R105" s="1461">
        <v>0</v>
      </c>
    </row>
    <row r="106" spans="1:18" ht="16.5" customHeight="1" x14ac:dyDescent="0.25">
      <c r="A106" s="624" t="s">
        <v>210</v>
      </c>
      <c r="B106" s="625" t="s">
        <v>211</v>
      </c>
      <c r="C106" s="558" t="s">
        <v>268</v>
      </c>
      <c r="D106" s="626">
        <f t="shared" si="9"/>
        <v>36</v>
      </c>
      <c r="E106" s="627">
        <v>35</v>
      </c>
      <c r="F106" s="628">
        <v>0</v>
      </c>
      <c r="G106" s="628">
        <v>0</v>
      </c>
      <c r="H106" s="628">
        <v>0</v>
      </c>
      <c r="I106" s="628">
        <v>0</v>
      </c>
      <c r="J106" s="628">
        <v>1</v>
      </c>
      <c r="K106" s="628">
        <v>0</v>
      </c>
      <c r="L106" s="629">
        <f t="shared" si="10"/>
        <v>1</v>
      </c>
      <c r="M106" s="1459"/>
      <c r="N106" s="995">
        <v>5</v>
      </c>
      <c r="O106" s="995">
        <v>8</v>
      </c>
      <c r="P106" s="995">
        <v>11</v>
      </c>
      <c r="Q106" s="1461">
        <v>10</v>
      </c>
      <c r="R106" s="1461">
        <v>2</v>
      </c>
    </row>
    <row r="107" spans="1:18" ht="16.5" customHeight="1" x14ac:dyDescent="0.25">
      <c r="A107" s="624" t="s">
        <v>212</v>
      </c>
      <c r="B107" s="625" t="s">
        <v>213</v>
      </c>
      <c r="C107" s="558" t="s">
        <v>267</v>
      </c>
      <c r="D107" s="626">
        <f t="shared" si="9"/>
        <v>36</v>
      </c>
      <c r="E107" s="627">
        <v>27</v>
      </c>
      <c r="F107" s="628">
        <v>1</v>
      </c>
      <c r="G107" s="628">
        <v>0</v>
      </c>
      <c r="H107" s="628">
        <v>0</v>
      </c>
      <c r="I107" s="628">
        <v>0</v>
      </c>
      <c r="J107" s="628">
        <v>7</v>
      </c>
      <c r="K107" s="628">
        <v>1</v>
      </c>
      <c r="L107" s="629">
        <f t="shared" si="10"/>
        <v>7</v>
      </c>
      <c r="M107" s="639"/>
      <c r="N107" s="995">
        <v>3</v>
      </c>
      <c r="O107" s="995">
        <v>6</v>
      </c>
      <c r="P107" s="995">
        <v>16</v>
      </c>
      <c r="Q107" s="1461">
        <v>8</v>
      </c>
      <c r="R107" s="1461">
        <v>3</v>
      </c>
    </row>
    <row r="108" spans="1:18" ht="16.5" customHeight="1" x14ac:dyDescent="0.25">
      <c r="A108" s="624" t="s">
        <v>214</v>
      </c>
      <c r="B108" s="625" t="s">
        <v>215</v>
      </c>
      <c r="C108" s="558" t="s">
        <v>268</v>
      </c>
      <c r="D108" s="626">
        <f t="shared" si="9"/>
        <v>36</v>
      </c>
      <c r="E108" s="627">
        <v>26</v>
      </c>
      <c r="F108" s="628">
        <v>4</v>
      </c>
      <c r="G108" s="628">
        <v>0</v>
      </c>
      <c r="H108" s="628">
        <v>0</v>
      </c>
      <c r="I108" s="628">
        <v>0</v>
      </c>
      <c r="J108" s="628">
        <v>6</v>
      </c>
      <c r="K108" s="628">
        <v>0</v>
      </c>
      <c r="L108" s="629">
        <f t="shared" si="10"/>
        <v>6</v>
      </c>
      <c r="M108" s="1460"/>
      <c r="N108" s="995">
        <v>5</v>
      </c>
      <c r="O108" s="995">
        <v>13</v>
      </c>
      <c r="P108" s="995">
        <v>14</v>
      </c>
      <c r="Q108" s="1461">
        <v>3</v>
      </c>
      <c r="R108" s="1461">
        <v>1</v>
      </c>
    </row>
    <row r="109" spans="1:18" ht="16.5" customHeight="1" x14ac:dyDescent="0.25">
      <c r="A109" s="624" t="s">
        <v>216</v>
      </c>
      <c r="B109" s="625" t="s">
        <v>217</v>
      </c>
      <c r="C109" s="558" t="s">
        <v>264</v>
      </c>
      <c r="D109" s="626">
        <f t="shared" si="9"/>
        <v>8</v>
      </c>
      <c r="E109" s="627">
        <v>6</v>
      </c>
      <c r="F109" s="628">
        <v>1</v>
      </c>
      <c r="G109" s="628">
        <v>0</v>
      </c>
      <c r="H109" s="628">
        <v>0</v>
      </c>
      <c r="I109" s="628">
        <v>0</v>
      </c>
      <c r="J109" s="628">
        <v>0</v>
      </c>
      <c r="K109" s="628">
        <v>1</v>
      </c>
      <c r="L109" s="629">
        <f t="shared" si="10"/>
        <v>0</v>
      </c>
      <c r="M109" s="629"/>
      <c r="N109" s="995">
        <v>0</v>
      </c>
      <c r="O109" s="995">
        <v>0</v>
      </c>
      <c r="P109" s="995">
        <v>3</v>
      </c>
      <c r="Q109" s="1461">
        <v>3</v>
      </c>
      <c r="R109" s="1461">
        <v>2</v>
      </c>
    </row>
    <row r="110" spans="1:18" ht="16.5" customHeight="1" x14ac:dyDescent="0.25">
      <c r="A110" s="624" t="s">
        <v>218</v>
      </c>
      <c r="B110" s="625" t="s">
        <v>219</v>
      </c>
      <c r="C110" s="558" t="s">
        <v>267</v>
      </c>
      <c r="D110" s="626">
        <f t="shared" si="9"/>
        <v>113</v>
      </c>
      <c r="E110" s="627">
        <v>73</v>
      </c>
      <c r="F110" s="628">
        <v>28</v>
      </c>
      <c r="G110" s="628">
        <v>2</v>
      </c>
      <c r="H110" s="628">
        <v>0</v>
      </c>
      <c r="I110" s="628">
        <v>0</v>
      </c>
      <c r="J110" s="628">
        <v>10</v>
      </c>
      <c r="K110" s="628">
        <v>0</v>
      </c>
      <c r="L110" s="629">
        <f t="shared" si="10"/>
        <v>12</v>
      </c>
      <c r="M110" s="1459"/>
      <c r="N110" s="995">
        <v>20</v>
      </c>
      <c r="O110" s="639">
        <v>26</v>
      </c>
      <c r="P110" s="995">
        <v>38</v>
      </c>
      <c r="Q110" s="1461">
        <v>26</v>
      </c>
      <c r="R110" s="1461">
        <v>3</v>
      </c>
    </row>
    <row r="111" spans="1:18" ht="16.5" customHeight="1" x14ac:dyDescent="0.25">
      <c r="A111" s="624" t="s">
        <v>220</v>
      </c>
      <c r="B111" s="625" t="s">
        <v>221</v>
      </c>
      <c r="C111" s="558" t="s">
        <v>267</v>
      </c>
      <c r="D111" s="626">
        <f t="shared" si="9"/>
        <v>129</v>
      </c>
      <c r="E111" s="627">
        <v>64</v>
      </c>
      <c r="F111" s="628">
        <v>47</v>
      </c>
      <c r="G111" s="628">
        <v>1</v>
      </c>
      <c r="H111" s="628">
        <v>0</v>
      </c>
      <c r="I111" s="628">
        <v>0</v>
      </c>
      <c r="J111" s="628">
        <v>8</v>
      </c>
      <c r="K111" s="628">
        <v>9</v>
      </c>
      <c r="L111" s="629">
        <f t="shared" si="10"/>
        <v>9</v>
      </c>
      <c r="M111" s="639"/>
      <c r="N111" s="995">
        <v>10</v>
      </c>
      <c r="O111" s="639">
        <v>22</v>
      </c>
      <c r="P111" s="995">
        <v>47</v>
      </c>
      <c r="Q111" s="1461">
        <v>33</v>
      </c>
      <c r="R111" s="1461">
        <v>17</v>
      </c>
    </row>
    <row r="112" spans="1:18" ht="16.5" customHeight="1" x14ac:dyDescent="0.25">
      <c r="A112" s="624" t="s">
        <v>222</v>
      </c>
      <c r="B112" s="625" t="s">
        <v>223</v>
      </c>
      <c r="C112" s="558" t="s">
        <v>264</v>
      </c>
      <c r="D112" s="626">
        <f t="shared" si="9"/>
        <v>30</v>
      </c>
      <c r="E112" s="627">
        <v>5</v>
      </c>
      <c r="F112" s="628">
        <v>23</v>
      </c>
      <c r="G112" s="994">
        <v>1</v>
      </c>
      <c r="H112" s="994">
        <v>0</v>
      </c>
      <c r="I112" s="994">
        <v>0</v>
      </c>
      <c r="J112" s="994">
        <v>1</v>
      </c>
      <c r="K112" s="994">
        <v>0</v>
      </c>
      <c r="L112" s="629">
        <f t="shared" si="10"/>
        <v>2</v>
      </c>
      <c r="M112" s="632"/>
      <c r="N112" s="995">
        <v>0</v>
      </c>
      <c r="O112" s="995">
        <v>0</v>
      </c>
      <c r="P112" s="995">
        <v>18</v>
      </c>
      <c r="Q112" s="1461">
        <v>10</v>
      </c>
      <c r="R112" s="1461">
        <v>2</v>
      </c>
    </row>
    <row r="113" spans="1:18" ht="16.5" customHeight="1" x14ac:dyDescent="0.25">
      <c r="A113" s="624" t="s">
        <v>224</v>
      </c>
      <c r="B113" s="625" t="s">
        <v>225</v>
      </c>
      <c r="C113" s="558" t="s">
        <v>264</v>
      </c>
      <c r="D113" s="626">
        <f t="shared" si="9"/>
        <v>1</v>
      </c>
      <c r="E113" s="627">
        <v>0</v>
      </c>
      <c r="F113" s="1621">
        <v>1</v>
      </c>
      <c r="G113" s="1621">
        <v>0</v>
      </c>
      <c r="H113" s="1621">
        <v>0</v>
      </c>
      <c r="I113" s="1621">
        <v>0</v>
      </c>
      <c r="J113" s="1622">
        <v>0</v>
      </c>
      <c r="K113" s="1621">
        <v>0</v>
      </c>
      <c r="L113" s="629">
        <f t="shared" si="10"/>
        <v>0</v>
      </c>
      <c r="M113" s="1459"/>
      <c r="N113" s="995">
        <v>0</v>
      </c>
      <c r="O113" s="995">
        <v>0</v>
      </c>
      <c r="P113" s="995">
        <v>1</v>
      </c>
      <c r="Q113" s="1461">
        <v>0</v>
      </c>
      <c r="R113" s="1461">
        <v>0</v>
      </c>
    </row>
    <row r="114" spans="1:18" ht="16.5" customHeight="1" x14ac:dyDescent="0.25">
      <c r="A114" s="624" t="s">
        <v>226</v>
      </c>
      <c r="B114" s="625" t="s">
        <v>227</v>
      </c>
      <c r="C114" s="558" t="s">
        <v>264</v>
      </c>
      <c r="D114" s="626">
        <f t="shared" si="9"/>
        <v>10</v>
      </c>
      <c r="E114" s="627">
        <v>2</v>
      </c>
      <c r="F114" s="628">
        <v>5</v>
      </c>
      <c r="G114" s="628">
        <v>0</v>
      </c>
      <c r="H114" s="628">
        <v>0</v>
      </c>
      <c r="I114" s="628">
        <v>0</v>
      </c>
      <c r="J114" s="628">
        <v>3</v>
      </c>
      <c r="K114" s="628">
        <v>0</v>
      </c>
      <c r="L114" s="629">
        <f t="shared" si="10"/>
        <v>3</v>
      </c>
      <c r="M114" s="1459"/>
      <c r="N114" s="995">
        <v>0</v>
      </c>
      <c r="O114" s="995">
        <v>4</v>
      </c>
      <c r="P114" s="995">
        <v>3</v>
      </c>
      <c r="Q114" s="1461">
        <v>2</v>
      </c>
      <c r="R114" s="1461">
        <v>1</v>
      </c>
    </row>
    <row r="115" spans="1:18" ht="16.5" customHeight="1" x14ac:dyDescent="0.25">
      <c r="A115" s="624" t="s">
        <v>228</v>
      </c>
      <c r="B115" s="625" t="s">
        <v>229</v>
      </c>
      <c r="C115" s="558" t="s">
        <v>268</v>
      </c>
      <c r="D115" s="626">
        <f t="shared" si="9"/>
        <v>128</v>
      </c>
      <c r="E115" s="627">
        <v>122</v>
      </c>
      <c r="F115" s="628">
        <v>4</v>
      </c>
      <c r="G115" s="994">
        <v>0</v>
      </c>
      <c r="H115" s="994">
        <v>0</v>
      </c>
      <c r="I115" s="994">
        <v>0</v>
      </c>
      <c r="J115" s="994">
        <v>2</v>
      </c>
      <c r="K115" s="994">
        <v>0</v>
      </c>
      <c r="L115" s="629">
        <f t="shared" si="10"/>
        <v>2</v>
      </c>
      <c r="M115" s="1459"/>
      <c r="N115" s="995">
        <v>12</v>
      </c>
      <c r="O115" s="995">
        <v>42</v>
      </c>
      <c r="P115" s="995">
        <v>50</v>
      </c>
      <c r="Q115" s="1461">
        <v>16</v>
      </c>
      <c r="R115" s="1461">
        <v>8</v>
      </c>
    </row>
    <row r="116" spans="1:18" ht="16.5" customHeight="1" x14ac:dyDescent="0.25">
      <c r="A116" s="624" t="s">
        <v>230</v>
      </c>
      <c r="B116" s="625" t="s">
        <v>231</v>
      </c>
      <c r="C116" s="558" t="s">
        <v>264</v>
      </c>
      <c r="D116" s="626">
        <f t="shared" si="9"/>
        <v>316</v>
      </c>
      <c r="E116" s="627">
        <v>157</v>
      </c>
      <c r="F116" s="628">
        <v>108</v>
      </c>
      <c r="G116" s="628">
        <v>1</v>
      </c>
      <c r="H116" s="628">
        <v>2</v>
      </c>
      <c r="I116" s="628">
        <v>0</v>
      </c>
      <c r="J116" s="628">
        <v>46</v>
      </c>
      <c r="K116" s="628">
        <v>2</v>
      </c>
      <c r="L116" s="629">
        <f t="shared" si="10"/>
        <v>49</v>
      </c>
      <c r="M116" s="1460"/>
      <c r="N116" s="995">
        <v>41</v>
      </c>
      <c r="O116" s="995">
        <v>68</v>
      </c>
      <c r="P116" s="995">
        <v>111</v>
      </c>
      <c r="Q116" s="1461">
        <v>79</v>
      </c>
      <c r="R116" s="1461">
        <v>17</v>
      </c>
    </row>
    <row r="117" spans="1:18" ht="16.5" customHeight="1" x14ac:dyDescent="0.25">
      <c r="A117" s="624" t="s">
        <v>232</v>
      </c>
      <c r="B117" s="625" t="s">
        <v>233</v>
      </c>
      <c r="C117" s="558" t="s">
        <v>267</v>
      </c>
      <c r="D117" s="626">
        <f t="shared" si="9"/>
        <v>53</v>
      </c>
      <c r="E117" s="627">
        <v>45</v>
      </c>
      <c r="F117" s="628">
        <v>3</v>
      </c>
      <c r="G117" s="628">
        <v>0</v>
      </c>
      <c r="H117" s="628">
        <v>0</v>
      </c>
      <c r="I117" s="628">
        <v>0</v>
      </c>
      <c r="J117" s="628">
        <v>5</v>
      </c>
      <c r="K117" s="628">
        <v>0</v>
      </c>
      <c r="L117" s="629">
        <f t="shared" si="10"/>
        <v>5</v>
      </c>
      <c r="M117" s="1460"/>
      <c r="N117" s="995">
        <v>2</v>
      </c>
      <c r="O117" s="995">
        <v>15</v>
      </c>
      <c r="P117" s="995">
        <v>17</v>
      </c>
      <c r="Q117" s="1461">
        <v>16</v>
      </c>
      <c r="R117" s="1461">
        <v>3</v>
      </c>
    </row>
    <row r="118" spans="1:18" ht="16.5" customHeight="1" x14ac:dyDescent="0.25">
      <c r="A118" s="624" t="s">
        <v>234</v>
      </c>
      <c r="B118" s="625" t="s">
        <v>235</v>
      </c>
      <c r="C118" s="558" t="s">
        <v>268</v>
      </c>
      <c r="D118" s="626">
        <f t="shared" si="9"/>
        <v>68</v>
      </c>
      <c r="E118" s="627">
        <v>66</v>
      </c>
      <c r="F118" s="628">
        <v>0</v>
      </c>
      <c r="G118" s="628">
        <v>0</v>
      </c>
      <c r="H118" s="628">
        <v>0</v>
      </c>
      <c r="I118" s="628">
        <v>0</v>
      </c>
      <c r="J118" s="628">
        <v>1</v>
      </c>
      <c r="K118" s="628">
        <v>1</v>
      </c>
      <c r="L118" s="629">
        <f t="shared" si="10"/>
        <v>1</v>
      </c>
      <c r="M118" s="639"/>
      <c r="N118" s="995">
        <v>6</v>
      </c>
      <c r="O118" s="639">
        <v>20</v>
      </c>
      <c r="P118" s="995">
        <v>31</v>
      </c>
      <c r="Q118" s="1461">
        <v>9</v>
      </c>
      <c r="R118" s="1461">
        <v>2</v>
      </c>
    </row>
    <row r="119" spans="1:18" ht="16.5" customHeight="1" x14ac:dyDescent="0.25">
      <c r="A119" s="624" t="s">
        <v>236</v>
      </c>
      <c r="B119" s="625" t="s">
        <v>237</v>
      </c>
      <c r="C119" s="558" t="s">
        <v>266</v>
      </c>
      <c r="D119" s="626">
        <f t="shared" si="9"/>
        <v>6</v>
      </c>
      <c r="E119" s="627">
        <v>5</v>
      </c>
      <c r="F119" s="628">
        <v>0</v>
      </c>
      <c r="G119" s="628">
        <v>0</v>
      </c>
      <c r="H119" s="628">
        <v>0</v>
      </c>
      <c r="I119" s="628">
        <v>0</v>
      </c>
      <c r="J119" s="628">
        <v>1</v>
      </c>
      <c r="K119" s="628">
        <v>0</v>
      </c>
      <c r="L119" s="629">
        <f t="shared" si="10"/>
        <v>1</v>
      </c>
      <c r="M119" s="1459"/>
      <c r="N119" s="995">
        <v>0</v>
      </c>
      <c r="O119" s="995">
        <v>0</v>
      </c>
      <c r="P119" s="995">
        <v>2</v>
      </c>
      <c r="Q119" s="1461">
        <v>3</v>
      </c>
      <c r="R119" s="1461">
        <v>1</v>
      </c>
    </row>
    <row r="120" spans="1:18" ht="16.5" customHeight="1" x14ac:dyDescent="0.25">
      <c r="A120" s="624" t="s">
        <v>238</v>
      </c>
      <c r="B120" s="625" t="s">
        <v>239</v>
      </c>
      <c r="C120" s="558" t="s">
        <v>264</v>
      </c>
      <c r="D120" s="626">
        <f t="shared" si="9"/>
        <v>16</v>
      </c>
      <c r="E120" s="627">
        <v>5</v>
      </c>
      <c r="F120" s="628">
        <v>11</v>
      </c>
      <c r="G120" s="628">
        <v>0</v>
      </c>
      <c r="H120" s="628">
        <v>0</v>
      </c>
      <c r="I120" s="628">
        <v>0</v>
      </c>
      <c r="J120" s="628">
        <v>0</v>
      </c>
      <c r="K120" s="628">
        <v>0</v>
      </c>
      <c r="L120" s="629">
        <f t="shared" si="10"/>
        <v>0</v>
      </c>
      <c r="M120" s="1460"/>
      <c r="N120" s="995">
        <v>4</v>
      </c>
      <c r="O120" s="995">
        <v>3</v>
      </c>
      <c r="P120" s="995">
        <v>5</v>
      </c>
      <c r="Q120" s="1461">
        <v>3</v>
      </c>
      <c r="R120" s="1461">
        <v>1</v>
      </c>
    </row>
    <row r="121" spans="1:18" ht="16.5" customHeight="1" x14ac:dyDescent="0.25">
      <c r="A121" s="624" t="s">
        <v>240</v>
      </c>
      <c r="B121" s="625" t="s">
        <v>241</v>
      </c>
      <c r="C121" s="558" t="s">
        <v>267</v>
      </c>
      <c r="D121" s="626">
        <f t="shared" si="9"/>
        <v>49</v>
      </c>
      <c r="E121" s="627">
        <v>36</v>
      </c>
      <c r="F121" s="628">
        <v>5</v>
      </c>
      <c r="G121" s="628">
        <v>1</v>
      </c>
      <c r="H121" s="628">
        <v>0</v>
      </c>
      <c r="I121" s="628">
        <v>0</v>
      </c>
      <c r="J121" s="628">
        <v>6</v>
      </c>
      <c r="K121" s="628">
        <v>1</v>
      </c>
      <c r="L121" s="629">
        <f t="shared" si="10"/>
        <v>7</v>
      </c>
      <c r="M121" s="639"/>
      <c r="N121" s="995">
        <v>8</v>
      </c>
      <c r="O121" s="995">
        <v>17</v>
      </c>
      <c r="P121" s="995">
        <v>14</v>
      </c>
      <c r="Q121" s="1461">
        <v>6</v>
      </c>
      <c r="R121" s="1461">
        <v>4</v>
      </c>
    </row>
    <row r="122" spans="1:18" ht="16.5" customHeight="1" x14ac:dyDescent="0.25">
      <c r="A122" s="624" t="s">
        <v>242</v>
      </c>
      <c r="B122" s="625" t="s">
        <v>243</v>
      </c>
      <c r="C122" s="558" t="s">
        <v>268</v>
      </c>
      <c r="D122" s="626">
        <f t="shared" si="9"/>
        <v>171</v>
      </c>
      <c r="E122" s="627">
        <v>157</v>
      </c>
      <c r="F122" s="628">
        <v>9</v>
      </c>
      <c r="G122" s="628">
        <v>0</v>
      </c>
      <c r="H122" s="628">
        <v>0</v>
      </c>
      <c r="I122" s="628">
        <v>0</v>
      </c>
      <c r="J122" s="628">
        <v>5</v>
      </c>
      <c r="K122" s="628">
        <v>0</v>
      </c>
      <c r="L122" s="629">
        <f t="shared" si="10"/>
        <v>5</v>
      </c>
      <c r="M122" s="1460"/>
      <c r="N122" s="995">
        <v>17</v>
      </c>
      <c r="O122" s="995">
        <v>44</v>
      </c>
      <c r="P122" s="995">
        <v>77</v>
      </c>
      <c r="Q122" s="1461">
        <v>29</v>
      </c>
      <c r="R122" s="1461">
        <v>4</v>
      </c>
    </row>
    <row r="123" spans="1:18" ht="16.5" customHeight="1" x14ac:dyDescent="0.25">
      <c r="A123" s="624" t="s">
        <v>244</v>
      </c>
      <c r="B123" s="625" t="s">
        <v>245</v>
      </c>
      <c r="C123" s="558" t="s">
        <v>268</v>
      </c>
      <c r="D123" s="626">
        <f t="shared" si="9"/>
        <v>66</v>
      </c>
      <c r="E123" s="627">
        <v>56</v>
      </c>
      <c r="F123" s="628">
        <v>4</v>
      </c>
      <c r="G123" s="628">
        <v>0</v>
      </c>
      <c r="H123" s="628">
        <v>0</v>
      </c>
      <c r="I123" s="628">
        <v>0</v>
      </c>
      <c r="J123" s="628">
        <v>6</v>
      </c>
      <c r="K123" s="628">
        <v>0</v>
      </c>
      <c r="L123" s="629">
        <f t="shared" si="10"/>
        <v>6</v>
      </c>
      <c r="M123" s="629"/>
      <c r="N123" s="995">
        <v>13</v>
      </c>
      <c r="O123" s="995">
        <v>22</v>
      </c>
      <c r="P123" s="995">
        <v>20</v>
      </c>
      <c r="Q123" s="1461">
        <v>10</v>
      </c>
      <c r="R123" s="1461">
        <v>1</v>
      </c>
    </row>
    <row r="124" spans="1:18" ht="16.5" customHeight="1" x14ac:dyDescent="0.25">
      <c r="A124" s="624" t="s">
        <v>246</v>
      </c>
      <c r="B124" s="625" t="s">
        <v>310</v>
      </c>
      <c r="C124" s="558" t="s">
        <v>264</v>
      </c>
      <c r="D124" s="626">
        <f t="shared" si="9"/>
        <v>18</v>
      </c>
      <c r="E124" s="627">
        <v>7</v>
      </c>
      <c r="F124" s="628">
        <v>6</v>
      </c>
      <c r="G124" s="628">
        <v>0</v>
      </c>
      <c r="H124" s="628">
        <v>0</v>
      </c>
      <c r="I124" s="628">
        <v>0</v>
      </c>
      <c r="J124" s="628">
        <v>4</v>
      </c>
      <c r="K124" s="628">
        <v>1</v>
      </c>
      <c r="L124" s="629">
        <f t="shared" si="10"/>
        <v>4</v>
      </c>
      <c r="M124" s="1459"/>
      <c r="N124" s="995">
        <v>0</v>
      </c>
      <c r="O124" s="639">
        <v>4</v>
      </c>
      <c r="P124" s="995">
        <v>8</v>
      </c>
      <c r="Q124" s="1461">
        <v>5</v>
      </c>
      <c r="R124" s="1461">
        <v>1</v>
      </c>
    </row>
    <row r="125" spans="1:18" x14ac:dyDescent="0.25">
      <c r="D125" s="629"/>
      <c r="E125" s="629"/>
      <c r="F125" s="629"/>
      <c r="G125" s="629"/>
      <c r="H125" s="629"/>
      <c r="I125" s="629"/>
      <c r="J125" s="629"/>
      <c r="K125" s="629"/>
      <c r="L125" s="629"/>
      <c r="M125" s="629"/>
      <c r="N125" s="629"/>
      <c r="O125" s="629"/>
      <c r="P125" s="629"/>
    </row>
    <row r="126" spans="1:18" ht="32.25" customHeight="1" x14ac:dyDescent="0.25">
      <c r="A126" s="2763" t="s">
        <v>1375</v>
      </c>
      <c r="B126" s="2762"/>
      <c r="C126" s="2762"/>
      <c r="D126" s="2762"/>
      <c r="E126" s="2762"/>
      <c r="F126" s="2762"/>
      <c r="G126" s="2762"/>
      <c r="H126" s="2762"/>
      <c r="I126" s="2762"/>
      <c r="J126" s="2762"/>
      <c r="K126" s="2762"/>
      <c r="L126" s="2762"/>
      <c r="M126" s="2762"/>
      <c r="N126" s="640"/>
      <c r="O126" s="640"/>
      <c r="P126" s="640"/>
      <c r="Q126" s="640"/>
      <c r="R126" s="640"/>
    </row>
    <row r="127" spans="1:18" x14ac:dyDescent="0.25">
      <c r="A127" s="369" t="s">
        <v>1376</v>
      </c>
    </row>
    <row r="129" spans="1:3" s="389" customFormat="1" x14ac:dyDescent="0.25">
      <c r="A129" s="389" t="s">
        <v>248</v>
      </c>
    </row>
    <row r="130" spans="1:3" s="389" customFormat="1" x14ac:dyDescent="0.25">
      <c r="A130" s="390" t="s">
        <v>249</v>
      </c>
      <c r="B130" s="391" t="s">
        <v>250</v>
      </c>
      <c r="C130" s="391"/>
    </row>
  </sheetData>
  <autoFilter ref="A3:C3"/>
  <sortState ref="A5:R124">
    <sortCondition ref="B5:B124"/>
  </sortState>
  <mergeCells count="1">
    <mergeCell ref="A126:M126"/>
  </mergeCells>
  <hyperlinks>
    <hyperlink ref="B130" r:id="rId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36"/>
  <sheetViews>
    <sheetView workbookViewId="0">
      <pane xSplit="3" ySplit="5" topLeftCell="D109" activePane="bottomRight" state="frozen"/>
      <selection pane="topRight" activeCell="D1" sqref="D1"/>
      <selection pane="bottomLeft" activeCell="A6" sqref="A6"/>
      <selection pane="bottomRight" activeCell="R114" sqref="R114"/>
    </sheetView>
  </sheetViews>
  <sheetFormatPr defaultRowHeight="15.75" x14ac:dyDescent="0.25"/>
  <cols>
    <col min="1" max="1" width="9.125" style="651" customWidth="1"/>
    <col min="2" max="2" width="34.375" style="651" customWidth="1"/>
    <col min="3" max="3" width="11.25" style="651" customWidth="1"/>
    <col min="4" max="4" width="8.875" style="692" customWidth="1"/>
    <col min="5" max="5" width="8.125" style="692" customWidth="1"/>
    <col min="6" max="7" width="8.875" style="692" customWidth="1"/>
    <col min="8" max="9" width="9.125" style="692" customWidth="1"/>
    <col min="10" max="10" width="8.375" style="692" customWidth="1"/>
    <col min="11" max="12" width="12.75" style="692" customWidth="1"/>
    <col min="13" max="16" width="9" style="692" customWidth="1"/>
    <col min="17" max="17" width="4.875" style="692" customWidth="1"/>
    <col min="18" max="16384" width="9" style="692"/>
  </cols>
  <sheetData>
    <row r="1" spans="1:18" x14ac:dyDescent="0.25">
      <c r="A1" s="64" t="s">
        <v>1360</v>
      </c>
      <c r="B1" s="692"/>
      <c r="C1" s="692"/>
    </row>
    <row r="2" spans="1:18" x14ac:dyDescent="0.25">
      <c r="A2" s="692"/>
      <c r="B2" s="692"/>
      <c r="C2" s="692"/>
    </row>
    <row r="3" spans="1:18" x14ac:dyDescent="0.25">
      <c r="A3" s="692"/>
      <c r="B3" s="692"/>
      <c r="C3" s="692"/>
      <c r="D3" s="64"/>
      <c r="E3" s="2770" t="s">
        <v>767</v>
      </c>
      <c r="F3" s="2768"/>
      <c r="G3" s="2768"/>
      <c r="H3" s="2768"/>
      <c r="I3" s="2769"/>
      <c r="J3" s="2767" t="s">
        <v>768</v>
      </c>
      <c r="K3" s="2768"/>
      <c r="L3" s="2769"/>
      <c r="M3" s="2767" t="s">
        <v>860</v>
      </c>
      <c r="N3" s="2768"/>
      <c r="O3" s="2768"/>
      <c r="P3" s="2769"/>
    </row>
    <row r="4" spans="1:18" ht="31.5" x14ac:dyDescent="0.25">
      <c r="A4" s="652" t="s">
        <v>4</v>
      </c>
      <c r="B4" s="664" t="s">
        <v>5</v>
      </c>
      <c r="C4" s="652" t="s">
        <v>251</v>
      </c>
      <c r="D4" s="1614" t="s">
        <v>1105</v>
      </c>
      <c r="E4" s="2331" t="s">
        <v>2</v>
      </c>
      <c r="F4" s="2332" t="s">
        <v>445</v>
      </c>
      <c r="G4" s="2332" t="s">
        <v>446</v>
      </c>
      <c r="H4" s="2332" t="s">
        <v>762</v>
      </c>
      <c r="I4" s="2333" t="s">
        <v>1361</v>
      </c>
      <c r="J4" s="2343" t="s">
        <v>1100</v>
      </c>
      <c r="K4" s="2344" t="s">
        <v>770</v>
      </c>
      <c r="L4" s="2345" t="s">
        <v>1361</v>
      </c>
      <c r="M4" s="2347" t="s">
        <v>549</v>
      </c>
      <c r="N4" s="1612" t="s">
        <v>548</v>
      </c>
      <c r="O4" s="1612" t="s">
        <v>762</v>
      </c>
      <c r="P4" s="2348" t="s">
        <v>1361</v>
      </c>
    </row>
    <row r="5" spans="1:18" x14ac:dyDescent="0.25">
      <c r="A5" s="792">
        <v>999</v>
      </c>
      <c r="B5" s="793" t="s">
        <v>9</v>
      </c>
      <c r="C5" s="792"/>
      <c r="D5" s="1260">
        <f>SUM(D6:D125)</f>
        <v>27106</v>
      </c>
      <c r="E5" s="2334">
        <f t="shared" ref="E5:O5" si="0">SUM(E6:E125)</f>
        <v>17935</v>
      </c>
      <c r="F5" s="2328">
        <f t="shared" si="0"/>
        <v>5915</v>
      </c>
      <c r="G5" s="2328">
        <f t="shared" si="0"/>
        <v>434</v>
      </c>
      <c r="H5" s="2328">
        <f t="shared" si="0"/>
        <v>2596</v>
      </c>
      <c r="I5" s="2335">
        <f>D5-(E5+F5+G5+H5)</f>
        <v>226</v>
      </c>
      <c r="J5" s="2334">
        <f t="shared" si="0"/>
        <v>7046</v>
      </c>
      <c r="K5" s="2328">
        <f t="shared" si="0"/>
        <v>19923</v>
      </c>
      <c r="L5" s="2346">
        <f>D5-(J5+K5)</f>
        <v>137</v>
      </c>
      <c r="M5" s="2334">
        <f t="shared" si="0"/>
        <v>16432</v>
      </c>
      <c r="N5" s="2328">
        <f t="shared" si="0"/>
        <v>10588</v>
      </c>
      <c r="O5" s="2328">
        <f t="shared" si="0"/>
        <v>86</v>
      </c>
      <c r="P5" s="2349">
        <f>D5-(M5+N5+O5)</f>
        <v>0</v>
      </c>
    </row>
    <row r="6" spans="1:18" x14ac:dyDescent="0.25">
      <c r="A6" s="643" t="s">
        <v>10</v>
      </c>
      <c r="B6" s="644" t="s">
        <v>11</v>
      </c>
      <c r="C6" s="645" t="s">
        <v>264</v>
      </c>
      <c r="D6" s="265">
        <v>139</v>
      </c>
      <c r="E6" s="2336">
        <v>96</v>
      </c>
      <c r="F6" s="458">
        <v>36</v>
      </c>
      <c r="G6" s="458">
        <v>0</v>
      </c>
      <c r="H6" s="458">
        <v>7</v>
      </c>
      <c r="I6" s="1726">
        <f>D6-(E6+F6+G6+H6)</f>
        <v>0</v>
      </c>
      <c r="J6" s="2336">
        <v>43</v>
      </c>
      <c r="K6" s="458">
        <v>93</v>
      </c>
      <c r="L6" s="1726">
        <f>D6-(J6+K6)</f>
        <v>3</v>
      </c>
      <c r="M6" s="2336">
        <v>71</v>
      </c>
      <c r="N6" s="458">
        <v>68</v>
      </c>
      <c r="O6" s="458">
        <v>0</v>
      </c>
      <c r="P6" s="1726">
        <f>D6-(M6+N6+O6)</f>
        <v>0</v>
      </c>
    </row>
    <row r="7" spans="1:18" x14ac:dyDescent="0.25">
      <c r="A7" s="643" t="s">
        <v>12</v>
      </c>
      <c r="B7" s="644" t="s">
        <v>13</v>
      </c>
      <c r="C7" s="645" t="s">
        <v>265</v>
      </c>
      <c r="D7" s="265">
        <v>577</v>
      </c>
      <c r="E7" s="2336">
        <v>432</v>
      </c>
      <c r="F7" s="458">
        <v>100</v>
      </c>
      <c r="G7" s="458">
        <v>10</v>
      </c>
      <c r="H7" s="760">
        <v>33</v>
      </c>
      <c r="I7" s="1726">
        <f t="shared" ref="I7:I70" si="1">D7-(E7+F7+G7+H7)</f>
        <v>2</v>
      </c>
      <c r="J7" s="2336">
        <v>149</v>
      </c>
      <c r="K7" s="458">
        <v>428</v>
      </c>
      <c r="L7" s="1726">
        <f t="shared" ref="L7:L70" si="2">D7-(J7+K7)</f>
        <v>0</v>
      </c>
      <c r="M7" s="2336">
        <v>346</v>
      </c>
      <c r="N7" s="458">
        <v>231</v>
      </c>
      <c r="O7" s="458">
        <v>0</v>
      </c>
      <c r="P7" s="1726">
        <f t="shared" ref="P7:P70" si="3">D7-(M7+N7+O7)</f>
        <v>0</v>
      </c>
    </row>
    <row r="8" spans="1:18" x14ac:dyDescent="0.25">
      <c r="A8" s="643" t="s">
        <v>16</v>
      </c>
      <c r="B8" s="644" t="s">
        <v>297</v>
      </c>
      <c r="C8" s="645" t="s">
        <v>265</v>
      </c>
      <c r="D8" s="265">
        <v>19</v>
      </c>
      <c r="E8" s="2336">
        <v>16</v>
      </c>
      <c r="F8" s="458">
        <v>3</v>
      </c>
      <c r="G8" s="458">
        <v>0</v>
      </c>
      <c r="H8" s="458">
        <v>0</v>
      </c>
      <c r="I8" s="1726">
        <f t="shared" si="1"/>
        <v>0</v>
      </c>
      <c r="J8" s="2336">
        <v>13</v>
      </c>
      <c r="K8" s="458">
        <v>5</v>
      </c>
      <c r="L8" s="1726">
        <f t="shared" si="2"/>
        <v>1</v>
      </c>
      <c r="M8" s="2336">
        <v>14</v>
      </c>
      <c r="N8" s="458">
        <v>5</v>
      </c>
      <c r="O8" s="458">
        <v>0</v>
      </c>
      <c r="P8" s="1726">
        <f t="shared" si="3"/>
        <v>0</v>
      </c>
    </row>
    <row r="9" spans="1:18" x14ac:dyDescent="0.25">
      <c r="A9" s="643" t="s">
        <v>18</v>
      </c>
      <c r="B9" s="644" t="s">
        <v>19</v>
      </c>
      <c r="C9" s="645" t="s">
        <v>266</v>
      </c>
      <c r="D9" s="265">
        <v>38</v>
      </c>
      <c r="E9" s="2336">
        <v>29</v>
      </c>
      <c r="F9" s="458">
        <v>8</v>
      </c>
      <c r="G9" s="458">
        <v>0</v>
      </c>
      <c r="H9" s="458">
        <v>1</v>
      </c>
      <c r="I9" s="1726">
        <f t="shared" si="1"/>
        <v>0</v>
      </c>
      <c r="J9" s="2336">
        <v>6</v>
      </c>
      <c r="K9" s="458">
        <v>32</v>
      </c>
      <c r="L9" s="1726">
        <f t="shared" si="2"/>
        <v>0</v>
      </c>
      <c r="M9" s="2336">
        <v>21</v>
      </c>
      <c r="N9" s="458">
        <v>17</v>
      </c>
      <c r="O9" s="458">
        <v>0</v>
      </c>
      <c r="P9" s="1726">
        <f t="shared" si="3"/>
        <v>0</v>
      </c>
    </row>
    <row r="10" spans="1:18" x14ac:dyDescent="0.25">
      <c r="A10" s="643" t="s">
        <v>20</v>
      </c>
      <c r="B10" s="644" t="s">
        <v>21</v>
      </c>
      <c r="C10" s="645" t="s">
        <v>265</v>
      </c>
      <c r="D10" s="265">
        <v>145</v>
      </c>
      <c r="E10" s="2336">
        <v>99</v>
      </c>
      <c r="F10" s="458">
        <v>27</v>
      </c>
      <c r="G10" s="458">
        <v>4</v>
      </c>
      <c r="H10" s="760">
        <v>14</v>
      </c>
      <c r="I10" s="1726">
        <f t="shared" si="1"/>
        <v>1</v>
      </c>
      <c r="J10" s="2336">
        <v>35</v>
      </c>
      <c r="K10" s="458">
        <v>109</v>
      </c>
      <c r="L10" s="1726">
        <f t="shared" si="2"/>
        <v>1</v>
      </c>
      <c r="M10" s="2336">
        <v>90</v>
      </c>
      <c r="N10" s="458">
        <v>54</v>
      </c>
      <c r="O10" s="458">
        <v>1</v>
      </c>
      <c r="P10" s="1726">
        <f t="shared" si="3"/>
        <v>0</v>
      </c>
    </row>
    <row r="11" spans="1:18" x14ac:dyDescent="0.25">
      <c r="A11" s="643" t="s">
        <v>22</v>
      </c>
      <c r="B11" s="644" t="s">
        <v>23</v>
      </c>
      <c r="C11" s="645" t="s">
        <v>265</v>
      </c>
      <c r="D11" s="265">
        <v>7</v>
      </c>
      <c r="E11" s="2336">
        <v>6</v>
      </c>
      <c r="F11" s="458">
        <v>0</v>
      </c>
      <c r="G11" s="458">
        <v>0</v>
      </c>
      <c r="H11" s="458">
        <v>1</v>
      </c>
      <c r="I11" s="1726">
        <f t="shared" si="1"/>
        <v>0</v>
      </c>
      <c r="J11" s="2336">
        <v>3</v>
      </c>
      <c r="K11" s="458">
        <v>4</v>
      </c>
      <c r="L11" s="1726">
        <f t="shared" si="2"/>
        <v>0</v>
      </c>
      <c r="M11" s="2336">
        <v>3</v>
      </c>
      <c r="N11" s="458">
        <v>4</v>
      </c>
      <c r="O11" s="458">
        <v>0</v>
      </c>
      <c r="P11" s="1726">
        <f t="shared" si="3"/>
        <v>0</v>
      </c>
    </row>
    <row r="12" spans="1:18" x14ac:dyDescent="0.25">
      <c r="A12" s="643" t="s">
        <v>24</v>
      </c>
      <c r="B12" s="644" t="s">
        <v>25</v>
      </c>
      <c r="C12" s="645" t="s">
        <v>267</v>
      </c>
      <c r="D12" s="1154">
        <v>230</v>
      </c>
      <c r="E12" s="2337">
        <v>145</v>
      </c>
      <c r="F12" s="760">
        <v>43</v>
      </c>
      <c r="G12" s="760">
        <v>9</v>
      </c>
      <c r="H12" s="760">
        <v>18</v>
      </c>
      <c r="I12" s="2338">
        <f t="shared" si="1"/>
        <v>15</v>
      </c>
      <c r="J12" s="2337">
        <v>44</v>
      </c>
      <c r="K12" s="760">
        <v>184</v>
      </c>
      <c r="L12" s="1726">
        <f t="shared" si="2"/>
        <v>2</v>
      </c>
      <c r="M12" s="2337">
        <v>147</v>
      </c>
      <c r="N12" s="760">
        <v>82</v>
      </c>
      <c r="O12" s="760">
        <v>1</v>
      </c>
      <c r="P12" s="1726">
        <f t="shared" si="3"/>
        <v>0</v>
      </c>
      <c r="Q12" s="2324"/>
      <c r="R12" s="2324"/>
    </row>
    <row r="13" spans="1:18" x14ac:dyDescent="0.25">
      <c r="A13" s="643" t="s">
        <v>26</v>
      </c>
      <c r="B13" s="644" t="s">
        <v>298</v>
      </c>
      <c r="C13" s="645" t="s">
        <v>265</v>
      </c>
      <c r="D13" s="265">
        <v>1443</v>
      </c>
      <c r="E13" s="2336">
        <v>1243</v>
      </c>
      <c r="F13" s="458">
        <v>97</v>
      </c>
      <c r="G13" s="458">
        <v>13</v>
      </c>
      <c r="H13" s="458">
        <v>85</v>
      </c>
      <c r="I13" s="1726">
        <f t="shared" si="1"/>
        <v>5</v>
      </c>
      <c r="J13" s="2336">
        <v>436</v>
      </c>
      <c r="K13" s="458">
        <v>1008</v>
      </c>
      <c r="L13" s="1726">
        <f t="shared" si="2"/>
        <v>-1</v>
      </c>
      <c r="M13" s="2336">
        <v>827</v>
      </c>
      <c r="N13" s="458">
        <v>615</v>
      </c>
      <c r="O13" s="458">
        <v>1</v>
      </c>
      <c r="P13" s="1726">
        <f t="shared" si="3"/>
        <v>0</v>
      </c>
    </row>
    <row r="14" spans="1:18" x14ac:dyDescent="0.25">
      <c r="A14" s="643" t="s">
        <v>27</v>
      </c>
      <c r="B14" s="644" t="s">
        <v>28</v>
      </c>
      <c r="C14" s="645" t="s">
        <v>265</v>
      </c>
      <c r="D14" s="265">
        <v>40</v>
      </c>
      <c r="E14" s="2336">
        <v>37</v>
      </c>
      <c r="F14" s="458">
        <v>3</v>
      </c>
      <c r="G14" s="458">
        <v>0</v>
      </c>
      <c r="H14" s="458">
        <v>0</v>
      </c>
      <c r="I14" s="1726">
        <f t="shared" si="1"/>
        <v>0</v>
      </c>
      <c r="J14" s="2336">
        <v>4</v>
      </c>
      <c r="K14" s="458">
        <v>36</v>
      </c>
      <c r="L14" s="1726">
        <f t="shared" si="2"/>
        <v>0</v>
      </c>
      <c r="M14" s="2336">
        <v>21</v>
      </c>
      <c r="N14" s="458">
        <v>19</v>
      </c>
      <c r="O14" s="458">
        <v>0</v>
      </c>
      <c r="P14" s="1726">
        <f t="shared" si="3"/>
        <v>0</v>
      </c>
    </row>
    <row r="15" spans="1:18" x14ac:dyDescent="0.25">
      <c r="A15" s="643" t="s">
        <v>29</v>
      </c>
      <c r="B15" s="644" t="s">
        <v>901</v>
      </c>
      <c r="C15" s="645" t="s">
        <v>265</v>
      </c>
      <c r="D15" s="265">
        <v>552</v>
      </c>
      <c r="E15" s="2336">
        <v>451</v>
      </c>
      <c r="F15" s="458">
        <v>55</v>
      </c>
      <c r="G15" s="458">
        <v>0</v>
      </c>
      <c r="H15" s="760">
        <v>46</v>
      </c>
      <c r="I15" s="1726">
        <f t="shared" si="1"/>
        <v>0</v>
      </c>
      <c r="J15" s="2336">
        <v>184</v>
      </c>
      <c r="K15" s="458">
        <v>367</v>
      </c>
      <c r="L15" s="1726">
        <f t="shared" si="2"/>
        <v>1</v>
      </c>
      <c r="M15" s="2336">
        <v>336</v>
      </c>
      <c r="N15" s="458">
        <v>215</v>
      </c>
      <c r="O15" s="458">
        <v>1</v>
      </c>
      <c r="P15" s="1726">
        <f t="shared" si="3"/>
        <v>0</v>
      </c>
    </row>
    <row r="16" spans="1:18" x14ac:dyDescent="0.25">
      <c r="A16" s="643" t="s">
        <v>30</v>
      </c>
      <c r="B16" s="644" t="s">
        <v>31</v>
      </c>
      <c r="C16" s="645" t="s">
        <v>268</v>
      </c>
      <c r="D16" s="265">
        <v>6</v>
      </c>
      <c r="E16" s="2336">
        <v>5</v>
      </c>
      <c r="F16" s="458">
        <v>1</v>
      </c>
      <c r="G16" s="458">
        <v>0</v>
      </c>
      <c r="H16" s="458">
        <v>0</v>
      </c>
      <c r="I16" s="1726">
        <f t="shared" si="1"/>
        <v>0</v>
      </c>
      <c r="J16" s="2336">
        <v>1</v>
      </c>
      <c r="K16" s="458">
        <v>5</v>
      </c>
      <c r="L16" s="1726">
        <f t="shared" si="2"/>
        <v>0</v>
      </c>
      <c r="M16" s="2336">
        <v>3</v>
      </c>
      <c r="N16" s="458">
        <v>3</v>
      </c>
      <c r="O16" s="458">
        <v>0</v>
      </c>
      <c r="P16" s="1726">
        <f t="shared" si="3"/>
        <v>0</v>
      </c>
    </row>
    <row r="17" spans="1:18" x14ac:dyDescent="0.25">
      <c r="A17" s="643" t="s">
        <v>32</v>
      </c>
      <c r="B17" s="644" t="s">
        <v>33</v>
      </c>
      <c r="C17" s="645" t="s">
        <v>265</v>
      </c>
      <c r="D17" s="265">
        <v>134</v>
      </c>
      <c r="E17" s="2336">
        <v>117</v>
      </c>
      <c r="F17" s="458">
        <v>6</v>
      </c>
      <c r="G17" s="458">
        <v>0</v>
      </c>
      <c r="H17" s="458">
        <v>11</v>
      </c>
      <c r="I17" s="1726">
        <f t="shared" si="1"/>
        <v>0</v>
      </c>
      <c r="J17" s="2336">
        <v>29</v>
      </c>
      <c r="K17" s="458">
        <v>110</v>
      </c>
      <c r="L17" s="2338">
        <f t="shared" si="2"/>
        <v>-5</v>
      </c>
      <c r="M17" s="2336">
        <v>76</v>
      </c>
      <c r="N17" s="458">
        <v>58</v>
      </c>
      <c r="O17" s="458">
        <v>0</v>
      </c>
      <c r="P17" s="1726">
        <f t="shared" si="3"/>
        <v>0</v>
      </c>
    </row>
    <row r="18" spans="1:18" x14ac:dyDescent="0.25">
      <c r="A18" s="643" t="s">
        <v>36</v>
      </c>
      <c r="B18" s="644" t="s">
        <v>37</v>
      </c>
      <c r="C18" s="645" t="s">
        <v>264</v>
      </c>
      <c r="D18" s="265">
        <v>23</v>
      </c>
      <c r="E18" s="2336">
        <v>7</v>
      </c>
      <c r="F18" s="458">
        <v>16</v>
      </c>
      <c r="G18" s="458">
        <v>0</v>
      </c>
      <c r="H18" s="458">
        <v>0</v>
      </c>
      <c r="I18" s="1726">
        <f t="shared" si="1"/>
        <v>0</v>
      </c>
      <c r="J18" s="2336">
        <v>4</v>
      </c>
      <c r="K18" s="458">
        <v>19</v>
      </c>
      <c r="L18" s="1726">
        <f t="shared" si="2"/>
        <v>0</v>
      </c>
      <c r="M18" s="2336">
        <v>20</v>
      </c>
      <c r="N18" s="458">
        <v>3</v>
      </c>
      <c r="O18" s="458">
        <v>0</v>
      </c>
      <c r="P18" s="1726">
        <f t="shared" si="3"/>
        <v>0</v>
      </c>
    </row>
    <row r="19" spans="1:18" x14ac:dyDescent="0.25">
      <c r="A19" s="643" t="s">
        <v>38</v>
      </c>
      <c r="B19" s="644" t="s">
        <v>39</v>
      </c>
      <c r="C19" s="645" t="s">
        <v>268</v>
      </c>
      <c r="D19" s="265">
        <v>67</v>
      </c>
      <c r="E19" s="2336">
        <v>67</v>
      </c>
      <c r="F19" s="458">
        <v>0</v>
      </c>
      <c r="G19" s="458">
        <v>0</v>
      </c>
      <c r="H19" s="458">
        <v>0</v>
      </c>
      <c r="I19" s="1726">
        <f t="shared" si="1"/>
        <v>0</v>
      </c>
      <c r="J19" s="2336">
        <v>15</v>
      </c>
      <c r="K19" s="458">
        <v>52</v>
      </c>
      <c r="L19" s="1726">
        <f t="shared" si="2"/>
        <v>0</v>
      </c>
      <c r="M19" s="2336">
        <v>44</v>
      </c>
      <c r="N19" s="458">
        <v>23</v>
      </c>
      <c r="O19" s="458">
        <v>0</v>
      </c>
      <c r="P19" s="1726">
        <f t="shared" si="3"/>
        <v>0</v>
      </c>
    </row>
    <row r="20" spans="1:18" x14ac:dyDescent="0.25">
      <c r="A20" s="643" t="s">
        <v>40</v>
      </c>
      <c r="B20" s="644" t="s">
        <v>41</v>
      </c>
      <c r="C20" s="645" t="s">
        <v>266</v>
      </c>
      <c r="D20" s="265">
        <v>53</v>
      </c>
      <c r="E20" s="2336">
        <v>35</v>
      </c>
      <c r="F20" s="458">
        <v>18</v>
      </c>
      <c r="G20" s="458">
        <v>0</v>
      </c>
      <c r="H20" s="458">
        <v>0</v>
      </c>
      <c r="I20" s="1726">
        <f t="shared" si="1"/>
        <v>0</v>
      </c>
      <c r="J20" s="2336">
        <v>8</v>
      </c>
      <c r="K20" s="458">
        <v>45</v>
      </c>
      <c r="L20" s="1726">
        <f t="shared" si="2"/>
        <v>0</v>
      </c>
      <c r="M20" s="2336">
        <v>32</v>
      </c>
      <c r="N20" s="458">
        <v>21</v>
      </c>
      <c r="O20" s="458">
        <v>0</v>
      </c>
      <c r="P20" s="1726">
        <f t="shared" si="3"/>
        <v>0</v>
      </c>
    </row>
    <row r="21" spans="1:18" x14ac:dyDescent="0.25">
      <c r="A21" s="643" t="s">
        <v>42</v>
      </c>
      <c r="B21" s="644" t="s">
        <v>43</v>
      </c>
      <c r="C21" s="645" t="s">
        <v>265</v>
      </c>
      <c r="D21" s="265">
        <v>171</v>
      </c>
      <c r="E21" s="2336">
        <v>139</v>
      </c>
      <c r="F21" s="458">
        <v>27</v>
      </c>
      <c r="G21" s="458">
        <v>1</v>
      </c>
      <c r="H21" s="458">
        <v>3</v>
      </c>
      <c r="I21" s="1726">
        <f t="shared" si="1"/>
        <v>1</v>
      </c>
      <c r="J21" s="2336">
        <v>27</v>
      </c>
      <c r="K21" s="458">
        <v>144</v>
      </c>
      <c r="L21" s="1726">
        <f t="shared" si="2"/>
        <v>0</v>
      </c>
      <c r="M21" s="2336">
        <v>108</v>
      </c>
      <c r="N21" s="458">
        <v>63</v>
      </c>
      <c r="O21" s="458">
        <v>0</v>
      </c>
      <c r="P21" s="1726">
        <f t="shared" si="3"/>
        <v>0</v>
      </c>
    </row>
    <row r="22" spans="1:18" x14ac:dyDescent="0.25">
      <c r="A22" s="643" t="s">
        <v>44</v>
      </c>
      <c r="B22" s="644" t="s">
        <v>45</v>
      </c>
      <c r="C22" s="645" t="s">
        <v>266</v>
      </c>
      <c r="D22" s="265">
        <v>72</v>
      </c>
      <c r="E22" s="2336">
        <v>39</v>
      </c>
      <c r="F22" s="458">
        <v>21</v>
      </c>
      <c r="G22" s="458">
        <v>1</v>
      </c>
      <c r="H22" s="458">
        <v>11</v>
      </c>
      <c r="I22" s="1726">
        <f t="shared" si="1"/>
        <v>0</v>
      </c>
      <c r="J22" s="2336">
        <v>22</v>
      </c>
      <c r="K22" s="458">
        <v>50</v>
      </c>
      <c r="L22" s="1726">
        <f t="shared" si="2"/>
        <v>0</v>
      </c>
      <c r="M22" s="2336">
        <v>43</v>
      </c>
      <c r="N22" s="458">
        <v>29</v>
      </c>
      <c r="O22" s="458">
        <v>0</v>
      </c>
      <c r="P22" s="1726">
        <f t="shared" si="3"/>
        <v>0</v>
      </c>
    </row>
    <row r="23" spans="1:18" x14ac:dyDescent="0.25">
      <c r="A23" s="643" t="s">
        <v>46</v>
      </c>
      <c r="B23" s="644" t="s">
        <v>47</v>
      </c>
      <c r="C23" s="645" t="s">
        <v>268</v>
      </c>
      <c r="D23" s="265">
        <v>228</v>
      </c>
      <c r="E23" s="2336">
        <v>221</v>
      </c>
      <c r="F23" s="458">
        <v>5</v>
      </c>
      <c r="G23" s="458">
        <v>0</v>
      </c>
      <c r="H23" s="458">
        <v>2</v>
      </c>
      <c r="I23" s="1726">
        <f t="shared" si="1"/>
        <v>0</v>
      </c>
      <c r="J23" s="2336">
        <v>79</v>
      </c>
      <c r="K23" s="458">
        <v>148</v>
      </c>
      <c r="L23" s="1726">
        <f t="shared" si="2"/>
        <v>1</v>
      </c>
      <c r="M23" s="2336">
        <v>125</v>
      </c>
      <c r="N23" s="458">
        <v>103</v>
      </c>
      <c r="O23" s="458">
        <v>0</v>
      </c>
      <c r="P23" s="1726">
        <f t="shared" si="3"/>
        <v>0</v>
      </c>
    </row>
    <row r="24" spans="1:18" x14ac:dyDescent="0.25">
      <c r="A24" s="643" t="s">
        <v>48</v>
      </c>
      <c r="B24" s="644" t="s">
        <v>269</v>
      </c>
      <c r="C24" s="645" t="s">
        <v>266</v>
      </c>
      <c r="D24" s="265">
        <v>6</v>
      </c>
      <c r="E24" s="2336">
        <v>2</v>
      </c>
      <c r="F24" s="458">
        <v>4</v>
      </c>
      <c r="G24" s="458">
        <v>0</v>
      </c>
      <c r="H24" s="458">
        <v>0</v>
      </c>
      <c r="I24" s="1726">
        <f t="shared" si="1"/>
        <v>0</v>
      </c>
      <c r="J24" s="2336">
        <v>4</v>
      </c>
      <c r="K24" s="458">
        <v>2</v>
      </c>
      <c r="L24" s="1726">
        <f t="shared" si="2"/>
        <v>0</v>
      </c>
      <c r="M24" s="2336">
        <v>5</v>
      </c>
      <c r="N24" s="458">
        <v>1</v>
      </c>
      <c r="O24" s="458">
        <v>0</v>
      </c>
      <c r="P24" s="1726">
        <f t="shared" si="3"/>
        <v>0</v>
      </c>
    </row>
    <row r="25" spans="1:18" x14ac:dyDescent="0.25">
      <c r="A25" s="643" t="s">
        <v>50</v>
      </c>
      <c r="B25" s="644" t="s">
        <v>51</v>
      </c>
      <c r="C25" s="645" t="s">
        <v>265</v>
      </c>
      <c r="D25" s="265">
        <v>20</v>
      </c>
      <c r="E25" s="2336">
        <v>12</v>
      </c>
      <c r="F25" s="458">
        <v>7</v>
      </c>
      <c r="G25" s="458">
        <v>0</v>
      </c>
      <c r="H25" s="458">
        <v>1</v>
      </c>
      <c r="I25" s="1726">
        <f t="shared" si="1"/>
        <v>0</v>
      </c>
      <c r="J25" s="2336">
        <v>2</v>
      </c>
      <c r="K25" s="458">
        <v>18</v>
      </c>
      <c r="L25" s="1726">
        <f t="shared" si="2"/>
        <v>0</v>
      </c>
      <c r="M25" s="2336">
        <v>14</v>
      </c>
      <c r="N25" s="458">
        <v>6</v>
      </c>
      <c r="O25" s="458">
        <v>0</v>
      </c>
      <c r="P25" s="1726">
        <f t="shared" si="3"/>
        <v>0</v>
      </c>
    </row>
    <row r="26" spans="1:18" x14ac:dyDescent="0.25">
      <c r="A26" s="643" t="s">
        <v>56</v>
      </c>
      <c r="B26" s="644" t="s">
        <v>295</v>
      </c>
      <c r="C26" s="645" t="s">
        <v>266</v>
      </c>
      <c r="D26" s="265">
        <v>621</v>
      </c>
      <c r="E26" s="2336">
        <v>377</v>
      </c>
      <c r="F26" s="458">
        <v>134</v>
      </c>
      <c r="G26" s="458">
        <v>9</v>
      </c>
      <c r="H26" s="458">
        <v>99</v>
      </c>
      <c r="I26" s="1726">
        <f t="shared" si="1"/>
        <v>2</v>
      </c>
      <c r="J26" s="2336">
        <v>176</v>
      </c>
      <c r="K26" s="458">
        <v>444</v>
      </c>
      <c r="L26" s="1726">
        <f t="shared" si="2"/>
        <v>1</v>
      </c>
      <c r="M26" s="2336">
        <v>384</v>
      </c>
      <c r="N26" s="458">
        <v>237</v>
      </c>
      <c r="O26" s="458">
        <v>0</v>
      </c>
      <c r="P26" s="1726">
        <f t="shared" si="3"/>
        <v>0</v>
      </c>
    </row>
    <row r="27" spans="1:18" x14ac:dyDescent="0.25">
      <c r="A27" s="643" t="s">
        <v>58</v>
      </c>
      <c r="B27" s="644" t="s">
        <v>59</v>
      </c>
      <c r="C27" s="645" t="s">
        <v>267</v>
      </c>
      <c r="D27" s="1154">
        <v>71</v>
      </c>
      <c r="E27" s="2337">
        <v>35</v>
      </c>
      <c r="F27" s="760">
        <v>6</v>
      </c>
      <c r="G27" s="760">
        <v>0</v>
      </c>
      <c r="H27" s="760">
        <v>29</v>
      </c>
      <c r="I27" s="1726">
        <f t="shared" si="1"/>
        <v>1</v>
      </c>
      <c r="J27" s="2337">
        <v>8</v>
      </c>
      <c r="K27" s="760">
        <v>62</v>
      </c>
      <c r="L27" s="1726">
        <f t="shared" si="2"/>
        <v>1</v>
      </c>
      <c r="M27" s="2337">
        <v>40</v>
      </c>
      <c r="N27" s="760">
        <v>30</v>
      </c>
      <c r="O27" s="760">
        <v>1</v>
      </c>
      <c r="P27" s="1726">
        <f t="shared" si="3"/>
        <v>0</v>
      </c>
      <c r="Q27" s="2324"/>
      <c r="R27" s="2324"/>
    </row>
    <row r="28" spans="1:18" x14ac:dyDescent="0.25">
      <c r="A28" s="643" t="s">
        <v>60</v>
      </c>
      <c r="B28" s="644" t="s">
        <v>61</v>
      </c>
      <c r="C28" s="645" t="s">
        <v>265</v>
      </c>
      <c r="D28" s="265">
        <v>7</v>
      </c>
      <c r="E28" s="2336">
        <v>7</v>
      </c>
      <c r="F28" s="458">
        <v>0</v>
      </c>
      <c r="G28" s="458">
        <v>0</v>
      </c>
      <c r="H28" s="458">
        <v>0</v>
      </c>
      <c r="I28" s="1726">
        <f t="shared" si="1"/>
        <v>0</v>
      </c>
      <c r="J28" s="2336">
        <v>2</v>
      </c>
      <c r="K28" s="458">
        <v>5</v>
      </c>
      <c r="L28" s="1726">
        <f t="shared" si="2"/>
        <v>0</v>
      </c>
      <c r="M28" s="2336">
        <v>4</v>
      </c>
      <c r="N28" s="458">
        <v>3</v>
      </c>
      <c r="O28" s="458">
        <v>0</v>
      </c>
      <c r="P28" s="1726">
        <f t="shared" si="3"/>
        <v>0</v>
      </c>
    </row>
    <row r="29" spans="1:18" x14ac:dyDescent="0.25">
      <c r="A29" s="643" t="s">
        <v>62</v>
      </c>
      <c r="B29" s="644" t="s">
        <v>63</v>
      </c>
      <c r="C29" s="645" t="s">
        <v>267</v>
      </c>
      <c r="D29" s="1154">
        <v>75</v>
      </c>
      <c r="E29" s="2337">
        <v>53</v>
      </c>
      <c r="F29" s="760">
        <v>6</v>
      </c>
      <c r="G29" s="760">
        <v>0</v>
      </c>
      <c r="H29" s="760">
        <v>16</v>
      </c>
      <c r="I29" s="1726">
        <f t="shared" si="1"/>
        <v>0</v>
      </c>
      <c r="J29" s="2337">
        <v>11</v>
      </c>
      <c r="K29" s="760">
        <v>63</v>
      </c>
      <c r="L29" s="1726">
        <f t="shared" si="2"/>
        <v>1</v>
      </c>
      <c r="M29" s="2337">
        <v>46</v>
      </c>
      <c r="N29" s="760">
        <v>29</v>
      </c>
      <c r="O29" s="760">
        <v>0</v>
      </c>
      <c r="P29" s="1726">
        <f t="shared" si="3"/>
        <v>0</v>
      </c>
      <c r="Q29" s="2324"/>
      <c r="R29" s="2324"/>
    </row>
    <row r="30" spans="1:18" x14ac:dyDescent="0.25">
      <c r="A30" s="643" t="s">
        <v>64</v>
      </c>
      <c r="B30" s="644" t="s">
        <v>65</v>
      </c>
      <c r="C30" s="645" t="s">
        <v>266</v>
      </c>
      <c r="D30" s="265">
        <v>38</v>
      </c>
      <c r="E30" s="2336">
        <v>24</v>
      </c>
      <c r="F30" s="458">
        <v>13</v>
      </c>
      <c r="G30" s="458">
        <v>0</v>
      </c>
      <c r="H30" s="458">
        <v>1</v>
      </c>
      <c r="I30" s="1726">
        <f t="shared" si="1"/>
        <v>0</v>
      </c>
      <c r="J30" s="2336">
        <v>14</v>
      </c>
      <c r="K30" s="458">
        <v>24</v>
      </c>
      <c r="L30" s="1726">
        <f t="shared" si="2"/>
        <v>0</v>
      </c>
      <c r="M30" s="2336">
        <v>26</v>
      </c>
      <c r="N30" s="458">
        <v>12</v>
      </c>
      <c r="O30" s="458">
        <v>0</v>
      </c>
      <c r="P30" s="1726">
        <f t="shared" si="3"/>
        <v>0</v>
      </c>
    </row>
    <row r="31" spans="1:18" x14ac:dyDescent="0.25">
      <c r="A31" s="643" t="s">
        <v>68</v>
      </c>
      <c r="B31" s="644" t="s">
        <v>69</v>
      </c>
      <c r="C31" s="645" t="s">
        <v>268</v>
      </c>
      <c r="D31" s="265">
        <v>39</v>
      </c>
      <c r="E31" s="2336">
        <v>39</v>
      </c>
      <c r="F31" s="458">
        <v>0</v>
      </c>
      <c r="G31" s="458">
        <v>0</v>
      </c>
      <c r="H31" s="458">
        <v>0</v>
      </c>
      <c r="I31" s="1726">
        <f t="shared" si="1"/>
        <v>0</v>
      </c>
      <c r="J31" s="2336">
        <v>8</v>
      </c>
      <c r="K31" s="458">
        <v>31</v>
      </c>
      <c r="L31" s="1726">
        <f t="shared" si="2"/>
        <v>0</v>
      </c>
      <c r="M31" s="2336">
        <v>24</v>
      </c>
      <c r="N31" s="458">
        <v>15</v>
      </c>
      <c r="O31" s="458">
        <v>0</v>
      </c>
      <c r="P31" s="1726">
        <f t="shared" si="3"/>
        <v>0</v>
      </c>
    </row>
    <row r="32" spans="1:18" x14ac:dyDescent="0.25">
      <c r="A32" s="643" t="s">
        <v>70</v>
      </c>
      <c r="B32" s="644" t="s">
        <v>71</v>
      </c>
      <c r="C32" s="645" t="s">
        <v>264</v>
      </c>
      <c r="D32" s="265">
        <v>1</v>
      </c>
      <c r="E32" s="2336">
        <v>1</v>
      </c>
      <c r="F32" s="458">
        <v>0</v>
      </c>
      <c r="G32" s="458">
        <v>0</v>
      </c>
      <c r="H32" s="458">
        <v>0</v>
      </c>
      <c r="I32" s="1726">
        <f t="shared" si="1"/>
        <v>0</v>
      </c>
      <c r="J32" s="2336">
        <v>0</v>
      </c>
      <c r="K32" s="458">
        <v>1</v>
      </c>
      <c r="L32" s="1726">
        <f t="shared" si="2"/>
        <v>0</v>
      </c>
      <c r="M32" s="2336">
        <v>1</v>
      </c>
      <c r="N32" s="458">
        <v>0</v>
      </c>
      <c r="O32" s="458">
        <v>0</v>
      </c>
      <c r="P32" s="1726">
        <f t="shared" si="3"/>
        <v>0</v>
      </c>
    </row>
    <row r="33" spans="1:18" x14ac:dyDescent="0.25">
      <c r="A33" s="643" t="s">
        <v>72</v>
      </c>
      <c r="B33" s="644" t="s">
        <v>73</v>
      </c>
      <c r="C33" s="645" t="s">
        <v>266</v>
      </c>
      <c r="D33" s="265">
        <v>15</v>
      </c>
      <c r="E33" s="2336">
        <v>7</v>
      </c>
      <c r="F33" s="458">
        <v>6</v>
      </c>
      <c r="G33" s="458">
        <v>0</v>
      </c>
      <c r="H33" s="458">
        <v>2</v>
      </c>
      <c r="I33" s="1726">
        <f t="shared" si="1"/>
        <v>0</v>
      </c>
      <c r="J33" s="2336">
        <v>3</v>
      </c>
      <c r="K33" s="458">
        <v>12</v>
      </c>
      <c r="L33" s="1726">
        <f t="shared" si="2"/>
        <v>0</v>
      </c>
      <c r="M33" s="2336">
        <v>8</v>
      </c>
      <c r="N33" s="458">
        <v>7</v>
      </c>
      <c r="O33" s="458">
        <v>0</v>
      </c>
      <c r="P33" s="1726">
        <f t="shared" si="3"/>
        <v>0</v>
      </c>
    </row>
    <row r="34" spans="1:18" x14ac:dyDescent="0.25">
      <c r="A34" s="643" t="s">
        <v>74</v>
      </c>
      <c r="B34" s="644" t="s">
        <v>639</v>
      </c>
      <c r="C34" s="645" t="s">
        <v>267</v>
      </c>
      <c r="D34" s="1154">
        <v>1194</v>
      </c>
      <c r="E34" s="2337">
        <v>781</v>
      </c>
      <c r="F34" s="760">
        <v>123</v>
      </c>
      <c r="G34" s="760">
        <v>115</v>
      </c>
      <c r="H34" s="760">
        <v>169</v>
      </c>
      <c r="I34" s="1726">
        <f t="shared" si="1"/>
        <v>6</v>
      </c>
      <c r="J34" s="2337">
        <v>246</v>
      </c>
      <c r="K34" s="760">
        <v>940</v>
      </c>
      <c r="L34" s="1726">
        <f t="shared" si="2"/>
        <v>8</v>
      </c>
      <c r="M34" s="2337">
        <v>700</v>
      </c>
      <c r="N34" s="760">
        <v>476</v>
      </c>
      <c r="O34" s="760">
        <v>18</v>
      </c>
      <c r="P34" s="1726">
        <f t="shared" si="3"/>
        <v>0</v>
      </c>
      <c r="Q34" s="2324"/>
      <c r="R34" s="2324"/>
    </row>
    <row r="35" spans="1:18" x14ac:dyDescent="0.25">
      <c r="A35" s="643" t="s">
        <v>76</v>
      </c>
      <c r="B35" s="644" t="s">
        <v>77</v>
      </c>
      <c r="C35" s="645" t="s">
        <v>267</v>
      </c>
      <c r="D35" s="1154">
        <v>482</v>
      </c>
      <c r="E35" s="2337">
        <v>347</v>
      </c>
      <c r="F35" s="760">
        <v>54</v>
      </c>
      <c r="G35" s="760">
        <v>3</v>
      </c>
      <c r="H35" s="760">
        <v>74</v>
      </c>
      <c r="I35" s="1726">
        <f t="shared" si="1"/>
        <v>4</v>
      </c>
      <c r="J35" s="2337">
        <v>114</v>
      </c>
      <c r="K35" s="760">
        <v>368</v>
      </c>
      <c r="L35" s="1726">
        <f t="shared" si="2"/>
        <v>0</v>
      </c>
      <c r="M35" s="2337">
        <v>291</v>
      </c>
      <c r="N35" s="760">
        <v>191</v>
      </c>
      <c r="O35" s="760">
        <v>0</v>
      </c>
      <c r="P35" s="1726">
        <f t="shared" si="3"/>
        <v>0</v>
      </c>
      <c r="Q35" s="2324"/>
      <c r="R35" s="2324"/>
    </row>
    <row r="36" spans="1:18" x14ac:dyDescent="0.25">
      <c r="A36" s="643" t="s">
        <v>78</v>
      </c>
      <c r="B36" s="644" t="s">
        <v>79</v>
      </c>
      <c r="C36" s="645" t="s">
        <v>268</v>
      </c>
      <c r="D36" s="265">
        <v>73</v>
      </c>
      <c r="E36" s="2336">
        <v>69</v>
      </c>
      <c r="F36" s="458">
        <v>2</v>
      </c>
      <c r="G36" s="458">
        <v>0</v>
      </c>
      <c r="H36" s="760">
        <v>2</v>
      </c>
      <c r="I36" s="1726">
        <f t="shared" si="1"/>
        <v>0</v>
      </c>
      <c r="J36" s="2336">
        <v>12</v>
      </c>
      <c r="K36" s="458">
        <v>61</v>
      </c>
      <c r="L36" s="1726">
        <f t="shared" si="2"/>
        <v>0</v>
      </c>
      <c r="M36" s="2336">
        <v>34</v>
      </c>
      <c r="N36" s="458">
        <v>39</v>
      </c>
      <c r="O36" s="458">
        <v>0</v>
      </c>
      <c r="P36" s="1726">
        <f t="shared" si="3"/>
        <v>0</v>
      </c>
    </row>
    <row r="37" spans="1:18" x14ac:dyDescent="0.25">
      <c r="A37" s="643" t="s">
        <v>80</v>
      </c>
      <c r="B37" s="644" t="s">
        <v>81</v>
      </c>
      <c r="C37" s="645" t="s">
        <v>266</v>
      </c>
      <c r="D37" s="265">
        <v>69</v>
      </c>
      <c r="E37" s="2336">
        <v>42</v>
      </c>
      <c r="F37" s="458">
        <v>21</v>
      </c>
      <c r="G37" s="458">
        <v>2</v>
      </c>
      <c r="H37" s="458">
        <v>4</v>
      </c>
      <c r="I37" s="1726">
        <f t="shared" si="1"/>
        <v>0</v>
      </c>
      <c r="J37" s="2336">
        <v>13</v>
      </c>
      <c r="K37" s="458">
        <v>56</v>
      </c>
      <c r="L37" s="1726">
        <f t="shared" si="2"/>
        <v>0</v>
      </c>
      <c r="M37" s="2336">
        <v>40</v>
      </c>
      <c r="N37" s="458">
        <v>29</v>
      </c>
      <c r="O37" s="458">
        <v>0</v>
      </c>
      <c r="P37" s="1726">
        <f t="shared" si="3"/>
        <v>0</v>
      </c>
    </row>
    <row r="38" spans="1:18" x14ac:dyDescent="0.25">
      <c r="A38" s="643" t="s">
        <v>84</v>
      </c>
      <c r="B38" s="644" t="s">
        <v>85</v>
      </c>
      <c r="C38" s="645" t="s">
        <v>265</v>
      </c>
      <c r="D38" s="265">
        <v>304</v>
      </c>
      <c r="E38" s="2336">
        <v>240</v>
      </c>
      <c r="F38" s="458">
        <v>21</v>
      </c>
      <c r="G38" s="458">
        <v>0</v>
      </c>
      <c r="H38" s="458">
        <v>43</v>
      </c>
      <c r="I38" s="1726">
        <f t="shared" si="1"/>
        <v>0</v>
      </c>
      <c r="J38" s="2336">
        <v>79</v>
      </c>
      <c r="K38" s="458">
        <v>225</v>
      </c>
      <c r="L38" s="1726">
        <f t="shared" si="2"/>
        <v>0</v>
      </c>
      <c r="M38" s="2336">
        <v>169</v>
      </c>
      <c r="N38" s="458">
        <v>129</v>
      </c>
      <c r="O38" s="458">
        <v>6</v>
      </c>
      <c r="P38" s="1726">
        <f t="shared" si="3"/>
        <v>0</v>
      </c>
    </row>
    <row r="39" spans="1:18" x14ac:dyDescent="0.25">
      <c r="A39" s="643" t="s">
        <v>86</v>
      </c>
      <c r="B39" s="644" t="s">
        <v>87</v>
      </c>
      <c r="C39" s="645" t="s">
        <v>267</v>
      </c>
      <c r="D39" s="1154">
        <v>412</v>
      </c>
      <c r="E39" s="2337">
        <v>365</v>
      </c>
      <c r="F39" s="760">
        <v>11</v>
      </c>
      <c r="G39" s="760">
        <v>6</v>
      </c>
      <c r="H39" s="760">
        <v>22</v>
      </c>
      <c r="I39" s="1726">
        <f t="shared" si="1"/>
        <v>8</v>
      </c>
      <c r="J39" s="2337">
        <v>69</v>
      </c>
      <c r="K39" s="760">
        <v>343</v>
      </c>
      <c r="L39" s="1726">
        <f t="shared" si="2"/>
        <v>0</v>
      </c>
      <c r="M39" s="2337">
        <v>268</v>
      </c>
      <c r="N39" s="760">
        <v>144</v>
      </c>
      <c r="O39" s="760">
        <v>0</v>
      </c>
      <c r="P39" s="1726">
        <f t="shared" si="3"/>
        <v>0</v>
      </c>
      <c r="Q39" s="2324"/>
      <c r="R39" s="2324"/>
    </row>
    <row r="40" spans="1:18" x14ac:dyDescent="0.25">
      <c r="A40" s="643" t="s">
        <v>92</v>
      </c>
      <c r="B40" s="644" t="s">
        <v>93</v>
      </c>
      <c r="C40" s="645" t="s">
        <v>268</v>
      </c>
      <c r="D40" s="1154">
        <v>66</v>
      </c>
      <c r="E40" s="2337">
        <v>55</v>
      </c>
      <c r="F40" s="760">
        <v>1</v>
      </c>
      <c r="G40" s="760">
        <v>0</v>
      </c>
      <c r="H40" s="760">
        <v>10</v>
      </c>
      <c r="I40" s="1726">
        <f t="shared" si="1"/>
        <v>0</v>
      </c>
      <c r="J40" s="2337">
        <v>15</v>
      </c>
      <c r="K40" s="760">
        <v>51</v>
      </c>
      <c r="L40" s="1726">
        <f t="shared" si="2"/>
        <v>0</v>
      </c>
      <c r="M40" s="2337">
        <v>42</v>
      </c>
      <c r="N40" s="760">
        <v>24</v>
      </c>
      <c r="O40" s="760">
        <v>0</v>
      </c>
      <c r="P40" s="1726">
        <f t="shared" si="3"/>
        <v>0</v>
      </c>
    </row>
    <row r="41" spans="1:18" x14ac:dyDescent="0.25">
      <c r="A41" s="643" t="s">
        <v>94</v>
      </c>
      <c r="B41" s="644" t="s">
        <v>95</v>
      </c>
      <c r="C41" s="645" t="s">
        <v>264</v>
      </c>
      <c r="D41" s="265">
        <v>195</v>
      </c>
      <c r="E41" s="2336">
        <v>135</v>
      </c>
      <c r="F41" s="458">
        <v>32</v>
      </c>
      <c r="G41" s="458">
        <v>1</v>
      </c>
      <c r="H41" s="458">
        <v>27</v>
      </c>
      <c r="I41" s="1726">
        <f t="shared" si="1"/>
        <v>0</v>
      </c>
      <c r="J41" s="2336">
        <v>36</v>
      </c>
      <c r="K41" s="458">
        <v>155</v>
      </c>
      <c r="L41" s="1726">
        <f t="shared" si="2"/>
        <v>4</v>
      </c>
      <c r="M41" s="2336">
        <v>106</v>
      </c>
      <c r="N41" s="458">
        <v>87</v>
      </c>
      <c r="O41" s="458">
        <v>2</v>
      </c>
      <c r="P41" s="1726">
        <f t="shared" si="3"/>
        <v>0</v>
      </c>
    </row>
    <row r="42" spans="1:18" x14ac:dyDescent="0.25">
      <c r="A42" s="643" t="s">
        <v>96</v>
      </c>
      <c r="B42" s="644" t="s">
        <v>97</v>
      </c>
      <c r="C42" s="645" t="s">
        <v>266</v>
      </c>
      <c r="D42" s="265">
        <v>47</v>
      </c>
      <c r="E42" s="2336">
        <v>30</v>
      </c>
      <c r="F42" s="458">
        <v>13</v>
      </c>
      <c r="G42" s="458">
        <v>0</v>
      </c>
      <c r="H42" s="458">
        <v>4</v>
      </c>
      <c r="I42" s="1726">
        <f t="shared" si="1"/>
        <v>0</v>
      </c>
      <c r="J42" s="2336">
        <v>9</v>
      </c>
      <c r="K42" s="458">
        <v>38</v>
      </c>
      <c r="L42" s="1726">
        <f t="shared" si="2"/>
        <v>0</v>
      </c>
      <c r="M42" s="2336">
        <v>32</v>
      </c>
      <c r="N42" s="458">
        <v>15</v>
      </c>
      <c r="O42" s="458">
        <v>0</v>
      </c>
      <c r="P42" s="1726">
        <f t="shared" si="3"/>
        <v>0</v>
      </c>
    </row>
    <row r="43" spans="1:18" x14ac:dyDescent="0.25">
      <c r="A43" s="643" t="s">
        <v>98</v>
      </c>
      <c r="B43" s="644" t="s">
        <v>99</v>
      </c>
      <c r="C43" s="645" t="s">
        <v>268</v>
      </c>
      <c r="D43" s="265">
        <v>92</v>
      </c>
      <c r="E43" s="2336">
        <v>88</v>
      </c>
      <c r="F43" s="458">
        <v>2</v>
      </c>
      <c r="G43" s="458">
        <v>0</v>
      </c>
      <c r="H43" s="458">
        <v>1</v>
      </c>
      <c r="I43" s="1726">
        <f t="shared" si="1"/>
        <v>1</v>
      </c>
      <c r="J43" s="2336">
        <v>23</v>
      </c>
      <c r="K43" s="458">
        <v>69</v>
      </c>
      <c r="L43" s="1726">
        <f t="shared" si="2"/>
        <v>0</v>
      </c>
      <c r="M43" s="2336">
        <v>49</v>
      </c>
      <c r="N43" s="458">
        <v>43</v>
      </c>
      <c r="O43" s="458">
        <v>0</v>
      </c>
      <c r="P43" s="1726">
        <f t="shared" si="3"/>
        <v>0</v>
      </c>
    </row>
    <row r="44" spans="1:18" x14ac:dyDescent="0.25">
      <c r="A44" s="643" t="s">
        <v>100</v>
      </c>
      <c r="B44" s="644" t="s">
        <v>101</v>
      </c>
      <c r="C44" s="645" t="s">
        <v>267</v>
      </c>
      <c r="D44" s="1154">
        <v>37</v>
      </c>
      <c r="E44" s="2337">
        <v>28</v>
      </c>
      <c r="F44" s="760">
        <v>4</v>
      </c>
      <c r="G44" s="760">
        <v>1</v>
      </c>
      <c r="H44" s="760">
        <v>4</v>
      </c>
      <c r="I44" s="1726">
        <f t="shared" si="1"/>
        <v>0</v>
      </c>
      <c r="J44" s="2337">
        <v>6</v>
      </c>
      <c r="K44" s="760">
        <v>31</v>
      </c>
      <c r="L44" s="1726">
        <f t="shared" si="2"/>
        <v>0</v>
      </c>
      <c r="M44" s="2337">
        <v>27</v>
      </c>
      <c r="N44" s="760">
        <v>10</v>
      </c>
      <c r="O44" s="760">
        <v>0</v>
      </c>
      <c r="P44" s="1726">
        <f t="shared" si="3"/>
        <v>0</v>
      </c>
      <c r="Q44" s="2324"/>
      <c r="R44" s="2324"/>
    </row>
    <row r="45" spans="1:18" x14ac:dyDescent="0.25">
      <c r="A45" s="643" t="s">
        <v>102</v>
      </c>
      <c r="B45" s="644" t="s">
        <v>282</v>
      </c>
      <c r="C45" s="645" t="s">
        <v>264</v>
      </c>
      <c r="D45" s="265">
        <v>9</v>
      </c>
      <c r="E45" s="2336">
        <v>5</v>
      </c>
      <c r="F45" s="458">
        <v>4</v>
      </c>
      <c r="G45" s="458">
        <v>0</v>
      </c>
      <c r="H45" s="458">
        <v>0</v>
      </c>
      <c r="I45" s="1726">
        <f t="shared" si="1"/>
        <v>0</v>
      </c>
      <c r="J45" s="2336">
        <v>4</v>
      </c>
      <c r="K45" s="458">
        <v>5</v>
      </c>
      <c r="L45" s="1726">
        <f t="shared" si="2"/>
        <v>0</v>
      </c>
      <c r="M45" s="2336">
        <v>4</v>
      </c>
      <c r="N45" s="458">
        <v>5</v>
      </c>
      <c r="O45" s="458">
        <v>0</v>
      </c>
      <c r="P45" s="1726">
        <f t="shared" si="3"/>
        <v>0</v>
      </c>
    </row>
    <row r="46" spans="1:18" x14ac:dyDescent="0.25">
      <c r="A46" s="643" t="s">
        <v>104</v>
      </c>
      <c r="B46" s="644" t="s">
        <v>105</v>
      </c>
      <c r="C46" s="645" t="s">
        <v>265</v>
      </c>
      <c r="D46" s="265">
        <v>68</v>
      </c>
      <c r="E46" s="2336">
        <v>33</v>
      </c>
      <c r="F46" s="458">
        <v>32</v>
      </c>
      <c r="G46" s="458">
        <v>0</v>
      </c>
      <c r="H46" s="458">
        <v>3</v>
      </c>
      <c r="I46" s="1726">
        <f t="shared" si="1"/>
        <v>0</v>
      </c>
      <c r="J46" s="2336">
        <v>19</v>
      </c>
      <c r="K46" s="458">
        <v>49</v>
      </c>
      <c r="L46" s="1726">
        <f t="shared" si="2"/>
        <v>0</v>
      </c>
      <c r="M46" s="2336">
        <v>37</v>
      </c>
      <c r="N46" s="458">
        <v>31</v>
      </c>
      <c r="O46" s="458">
        <v>0</v>
      </c>
      <c r="P46" s="1726">
        <f t="shared" si="3"/>
        <v>0</v>
      </c>
    </row>
    <row r="47" spans="1:18" x14ac:dyDescent="0.25">
      <c r="A47" s="643" t="s">
        <v>108</v>
      </c>
      <c r="B47" s="644" t="s">
        <v>109</v>
      </c>
      <c r="C47" s="645" t="s">
        <v>266</v>
      </c>
      <c r="D47" s="265">
        <v>322</v>
      </c>
      <c r="E47" s="2336">
        <v>222</v>
      </c>
      <c r="F47" s="458">
        <v>43</v>
      </c>
      <c r="G47" s="458">
        <v>2</v>
      </c>
      <c r="H47" s="458">
        <v>54</v>
      </c>
      <c r="I47" s="1726">
        <f t="shared" si="1"/>
        <v>1</v>
      </c>
      <c r="J47" s="2336">
        <v>74</v>
      </c>
      <c r="K47" s="458">
        <v>243</v>
      </c>
      <c r="L47" s="1726">
        <f t="shared" si="2"/>
        <v>5</v>
      </c>
      <c r="M47" s="2336">
        <v>189</v>
      </c>
      <c r="N47" s="458">
        <v>130</v>
      </c>
      <c r="O47" s="458">
        <v>3</v>
      </c>
      <c r="P47" s="1726">
        <f t="shared" si="3"/>
        <v>0</v>
      </c>
    </row>
    <row r="48" spans="1:18" x14ac:dyDescent="0.25">
      <c r="A48" s="643" t="s">
        <v>110</v>
      </c>
      <c r="B48" s="644" t="s">
        <v>111</v>
      </c>
      <c r="C48" s="645" t="s">
        <v>266</v>
      </c>
      <c r="D48" s="265">
        <v>1265</v>
      </c>
      <c r="E48" s="2336">
        <v>671</v>
      </c>
      <c r="F48" s="458">
        <v>338</v>
      </c>
      <c r="G48" s="458">
        <v>15</v>
      </c>
      <c r="H48" s="458">
        <v>234</v>
      </c>
      <c r="I48" s="1726">
        <f t="shared" si="1"/>
        <v>7</v>
      </c>
      <c r="J48" s="2336">
        <v>305</v>
      </c>
      <c r="K48" s="458">
        <v>954</v>
      </c>
      <c r="L48" s="1726">
        <f t="shared" si="2"/>
        <v>6</v>
      </c>
      <c r="M48" s="2336">
        <v>779</v>
      </c>
      <c r="N48" s="458">
        <v>484</v>
      </c>
      <c r="O48" s="458">
        <v>2</v>
      </c>
      <c r="P48" s="1726">
        <f t="shared" si="3"/>
        <v>0</v>
      </c>
    </row>
    <row r="49" spans="1:18" x14ac:dyDescent="0.25">
      <c r="A49" s="643" t="s">
        <v>112</v>
      </c>
      <c r="B49" s="644" t="s">
        <v>300</v>
      </c>
      <c r="C49" s="645" t="s">
        <v>265</v>
      </c>
      <c r="D49" s="265">
        <v>517</v>
      </c>
      <c r="E49" s="2336">
        <v>325</v>
      </c>
      <c r="F49" s="458">
        <v>107</v>
      </c>
      <c r="G49" s="458">
        <v>0</v>
      </c>
      <c r="H49" s="458">
        <v>84</v>
      </c>
      <c r="I49" s="1726">
        <f t="shared" si="1"/>
        <v>1</v>
      </c>
      <c r="J49" s="2336">
        <v>88</v>
      </c>
      <c r="K49" s="458">
        <v>392</v>
      </c>
      <c r="L49" s="2338">
        <f t="shared" si="2"/>
        <v>37</v>
      </c>
      <c r="M49" s="2336">
        <v>337</v>
      </c>
      <c r="N49" s="458">
        <v>177</v>
      </c>
      <c r="O49" s="458">
        <v>3</v>
      </c>
      <c r="P49" s="1726">
        <f t="shared" si="3"/>
        <v>0</v>
      </c>
    </row>
    <row r="50" spans="1:18" x14ac:dyDescent="0.25">
      <c r="A50" s="643" t="s">
        <v>114</v>
      </c>
      <c r="B50" s="644" t="s">
        <v>115</v>
      </c>
      <c r="C50" s="645" t="s">
        <v>265</v>
      </c>
      <c r="D50" s="265">
        <v>18</v>
      </c>
      <c r="E50" s="2336">
        <v>18</v>
      </c>
      <c r="F50" s="458">
        <v>0</v>
      </c>
      <c r="G50" s="458">
        <v>0</v>
      </c>
      <c r="H50" s="458">
        <v>0</v>
      </c>
      <c r="I50" s="1726">
        <f t="shared" si="1"/>
        <v>0</v>
      </c>
      <c r="J50" s="2336">
        <v>2</v>
      </c>
      <c r="K50" s="458">
        <v>16</v>
      </c>
      <c r="L50" s="1726">
        <f t="shared" si="2"/>
        <v>0</v>
      </c>
      <c r="M50" s="2336">
        <v>10</v>
      </c>
      <c r="N50" s="458">
        <v>8</v>
      </c>
      <c r="O50" s="458">
        <v>0</v>
      </c>
      <c r="P50" s="1726">
        <f t="shared" si="3"/>
        <v>0</v>
      </c>
    </row>
    <row r="51" spans="1:18" x14ac:dyDescent="0.25">
      <c r="A51" s="643" t="s">
        <v>118</v>
      </c>
      <c r="B51" s="644" t="s">
        <v>270</v>
      </c>
      <c r="C51" s="645" t="s">
        <v>264</v>
      </c>
      <c r="D51" s="265">
        <v>95</v>
      </c>
      <c r="E51" s="2336">
        <v>59</v>
      </c>
      <c r="F51" s="458">
        <v>32</v>
      </c>
      <c r="G51" s="458">
        <v>2</v>
      </c>
      <c r="H51" s="458">
        <v>2</v>
      </c>
      <c r="I51" s="1726">
        <f t="shared" si="1"/>
        <v>0</v>
      </c>
      <c r="J51" s="2336">
        <v>16</v>
      </c>
      <c r="K51" s="458">
        <v>79</v>
      </c>
      <c r="L51" s="1726">
        <f t="shared" si="2"/>
        <v>0</v>
      </c>
      <c r="M51" s="2336">
        <v>57</v>
      </c>
      <c r="N51" s="458">
        <v>38</v>
      </c>
      <c r="O51" s="458">
        <v>0</v>
      </c>
      <c r="P51" s="1726">
        <f t="shared" si="3"/>
        <v>0</v>
      </c>
    </row>
    <row r="52" spans="1:18" x14ac:dyDescent="0.25">
      <c r="A52" s="643" t="s">
        <v>120</v>
      </c>
      <c r="B52" s="644" t="s">
        <v>121</v>
      </c>
      <c r="C52" s="645" t="s">
        <v>264</v>
      </c>
      <c r="D52" s="265">
        <v>227</v>
      </c>
      <c r="E52" s="2336">
        <v>136</v>
      </c>
      <c r="F52" s="458">
        <v>47</v>
      </c>
      <c r="G52" s="458">
        <v>2</v>
      </c>
      <c r="H52" s="458">
        <v>40</v>
      </c>
      <c r="I52" s="1726">
        <f t="shared" si="1"/>
        <v>2</v>
      </c>
      <c r="J52" s="2336">
        <v>72</v>
      </c>
      <c r="K52" s="458">
        <v>152</v>
      </c>
      <c r="L52" s="1726">
        <f t="shared" si="2"/>
        <v>3</v>
      </c>
      <c r="M52" s="2336">
        <v>140</v>
      </c>
      <c r="N52" s="458">
        <v>87</v>
      </c>
      <c r="O52" s="458">
        <v>0</v>
      </c>
      <c r="P52" s="1726">
        <f t="shared" si="3"/>
        <v>0</v>
      </c>
    </row>
    <row r="53" spans="1:18" x14ac:dyDescent="0.25">
      <c r="A53" s="643" t="s">
        <v>122</v>
      </c>
      <c r="B53" s="644" t="s">
        <v>287</v>
      </c>
      <c r="C53" s="645" t="s">
        <v>266</v>
      </c>
      <c r="D53" s="265">
        <v>39</v>
      </c>
      <c r="E53" s="2336">
        <v>21</v>
      </c>
      <c r="F53" s="458">
        <v>17</v>
      </c>
      <c r="G53" s="458">
        <v>0</v>
      </c>
      <c r="H53" s="458">
        <v>1</v>
      </c>
      <c r="I53" s="1726">
        <f t="shared" si="1"/>
        <v>0</v>
      </c>
      <c r="J53" s="2336">
        <v>10</v>
      </c>
      <c r="K53" s="458">
        <v>29</v>
      </c>
      <c r="L53" s="1726">
        <f t="shared" si="2"/>
        <v>0</v>
      </c>
      <c r="M53" s="2336">
        <v>22</v>
      </c>
      <c r="N53" s="458">
        <v>17</v>
      </c>
      <c r="O53" s="458">
        <v>0</v>
      </c>
      <c r="P53" s="1726">
        <f t="shared" si="3"/>
        <v>0</v>
      </c>
    </row>
    <row r="54" spans="1:18" x14ac:dyDescent="0.25">
      <c r="A54" s="643" t="s">
        <v>124</v>
      </c>
      <c r="B54" s="644" t="s">
        <v>125</v>
      </c>
      <c r="C54" s="645" t="s">
        <v>267</v>
      </c>
      <c r="D54" s="1154">
        <v>5</v>
      </c>
      <c r="E54" s="2337">
        <v>2</v>
      </c>
      <c r="F54" s="760">
        <v>2</v>
      </c>
      <c r="G54" s="760">
        <v>0</v>
      </c>
      <c r="H54" s="760">
        <v>0</v>
      </c>
      <c r="I54" s="1726">
        <f t="shared" si="1"/>
        <v>1</v>
      </c>
      <c r="J54" s="2337">
        <v>1</v>
      </c>
      <c r="K54" s="760">
        <v>4</v>
      </c>
      <c r="L54" s="1726">
        <f t="shared" si="2"/>
        <v>0</v>
      </c>
      <c r="M54" s="2337">
        <v>2</v>
      </c>
      <c r="N54" s="760">
        <v>3</v>
      </c>
      <c r="O54" s="760">
        <v>0</v>
      </c>
      <c r="P54" s="1726">
        <f t="shared" si="3"/>
        <v>0</v>
      </c>
      <c r="Q54" s="2324"/>
      <c r="R54" s="2324"/>
    </row>
    <row r="55" spans="1:18" x14ac:dyDescent="0.25">
      <c r="A55" s="643" t="s">
        <v>126</v>
      </c>
      <c r="B55" s="644" t="s">
        <v>127</v>
      </c>
      <c r="C55" s="645" t="s">
        <v>266</v>
      </c>
      <c r="D55" s="265">
        <v>25</v>
      </c>
      <c r="E55" s="2336">
        <v>13</v>
      </c>
      <c r="F55" s="458">
        <v>11</v>
      </c>
      <c r="G55" s="458">
        <v>0</v>
      </c>
      <c r="H55" s="458">
        <v>1</v>
      </c>
      <c r="I55" s="1726">
        <f t="shared" si="1"/>
        <v>0</v>
      </c>
      <c r="J55" s="2336">
        <v>8</v>
      </c>
      <c r="K55" s="458">
        <v>17</v>
      </c>
      <c r="L55" s="1726">
        <f t="shared" si="2"/>
        <v>0</v>
      </c>
      <c r="M55" s="2336">
        <v>15</v>
      </c>
      <c r="N55" s="458">
        <v>10</v>
      </c>
      <c r="O55" s="458">
        <v>0</v>
      </c>
      <c r="P55" s="1726">
        <f t="shared" si="3"/>
        <v>0</v>
      </c>
    </row>
    <row r="56" spans="1:18" x14ac:dyDescent="0.25">
      <c r="A56" s="643" t="s">
        <v>128</v>
      </c>
      <c r="B56" s="644" t="s">
        <v>129</v>
      </c>
      <c r="C56" s="645" t="s">
        <v>266</v>
      </c>
      <c r="D56" s="265">
        <v>47</v>
      </c>
      <c r="E56" s="2336">
        <v>30</v>
      </c>
      <c r="F56" s="458">
        <v>12</v>
      </c>
      <c r="G56" s="458">
        <v>0</v>
      </c>
      <c r="H56" s="458">
        <v>5</v>
      </c>
      <c r="I56" s="1726">
        <f t="shared" si="1"/>
        <v>0</v>
      </c>
      <c r="J56" s="2336">
        <v>6</v>
      </c>
      <c r="K56" s="458">
        <v>41</v>
      </c>
      <c r="L56" s="1726">
        <f t="shared" si="2"/>
        <v>0</v>
      </c>
      <c r="M56" s="2336">
        <v>29</v>
      </c>
      <c r="N56" s="458">
        <v>18</v>
      </c>
      <c r="O56" s="458">
        <v>0</v>
      </c>
      <c r="P56" s="1726">
        <f t="shared" si="3"/>
        <v>0</v>
      </c>
    </row>
    <row r="57" spans="1:18" x14ac:dyDescent="0.25">
      <c r="A57" s="643" t="s">
        <v>130</v>
      </c>
      <c r="B57" s="644" t="s">
        <v>131</v>
      </c>
      <c r="C57" s="645" t="s">
        <v>268</v>
      </c>
      <c r="D57" s="265">
        <v>38</v>
      </c>
      <c r="E57" s="2336">
        <v>38</v>
      </c>
      <c r="F57" s="458">
        <v>0</v>
      </c>
      <c r="G57" s="458">
        <v>0</v>
      </c>
      <c r="H57" s="458">
        <v>0</v>
      </c>
      <c r="I57" s="1726">
        <f t="shared" si="1"/>
        <v>0</v>
      </c>
      <c r="J57" s="2336">
        <v>4</v>
      </c>
      <c r="K57" s="458">
        <v>34</v>
      </c>
      <c r="L57" s="1726">
        <f t="shared" si="2"/>
        <v>0</v>
      </c>
      <c r="M57" s="2336">
        <v>23</v>
      </c>
      <c r="N57" s="458">
        <v>15</v>
      </c>
      <c r="O57" s="458">
        <v>0</v>
      </c>
      <c r="P57" s="1726">
        <f t="shared" si="3"/>
        <v>0</v>
      </c>
    </row>
    <row r="58" spans="1:18" x14ac:dyDescent="0.25">
      <c r="A58" s="643" t="s">
        <v>132</v>
      </c>
      <c r="B58" s="644" t="s">
        <v>133</v>
      </c>
      <c r="C58" s="645" t="s">
        <v>267</v>
      </c>
      <c r="D58" s="1154">
        <v>557</v>
      </c>
      <c r="E58" s="2337">
        <v>443</v>
      </c>
      <c r="F58" s="760">
        <v>64</v>
      </c>
      <c r="G58" s="760">
        <v>31</v>
      </c>
      <c r="H58" s="760">
        <v>10</v>
      </c>
      <c r="I58" s="1726">
        <f t="shared" si="1"/>
        <v>9</v>
      </c>
      <c r="J58" s="2337">
        <v>134</v>
      </c>
      <c r="K58" s="760">
        <v>423</v>
      </c>
      <c r="L58" s="1726">
        <f t="shared" si="2"/>
        <v>0</v>
      </c>
      <c r="M58" s="2337">
        <v>335</v>
      </c>
      <c r="N58" s="760">
        <v>219</v>
      </c>
      <c r="O58" s="760">
        <v>3</v>
      </c>
      <c r="P58" s="1726">
        <f t="shared" si="3"/>
        <v>0</v>
      </c>
      <c r="Q58" s="2324"/>
      <c r="R58" s="2324"/>
    </row>
    <row r="59" spans="1:18" x14ac:dyDescent="0.25">
      <c r="A59" s="643" t="s">
        <v>134</v>
      </c>
      <c r="B59" s="644" t="s">
        <v>135</v>
      </c>
      <c r="C59" s="645" t="s">
        <v>267</v>
      </c>
      <c r="D59" s="1154">
        <v>150</v>
      </c>
      <c r="E59" s="2337">
        <v>98</v>
      </c>
      <c r="F59" s="760">
        <v>45</v>
      </c>
      <c r="G59" s="760">
        <v>0</v>
      </c>
      <c r="H59" s="760">
        <v>7</v>
      </c>
      <c r="I59" s="1726">
        <f t="shared" si="1"/>
        <v>0</v>
      </c>
      <c r="J59" s="2337">
        <v>31</v>
      </c>
      <c r="K59" s="760">
        <v>119</v>
      </c>
      <c r="L59" s="1726">
        <f t="shared" si="2"/>
        <v>0</v>
      </c>
      <c r="M59" s="2337">
        <v>87</v>
      </c>
      <c r="N59" s="760">
        <v>63</v>
      </c>
      <c r="O59" s="760">
        <v>0</v>
      </c>
      <c r="P59" s="1726">
        <f t="shared" si="3"/>
        <v>0</v>
      </c>
      <c r="Q59" s="2324"/>
      <c r="R59" s="2324"/>
    </row>
    <row r="60" spans="1:18" x14ac:dyDescent="0.25">
      <c r="A60" s="643" t="s">
        <v>136</v>
      </c>
      <c r="B60" s="644" t="s">
        <v>137</v>
      </c>
      <c r="C60" s="645" t="s">
        <v>266</v>
      </c>
      <c r="D60" s="1154">
        <v>21</v>
      </c>
      <c r="E60" s="2336">
        <v>12</v>
      </c>
      <c r="F60" s="458">
        <v>7</v>
      </c>
      <c r="G60" s="458">
        <v>0</v>
      </c>
      <c r="H60" s="458">
        <v>2</v>
      </c>
      <c r="I60" s="1726">
        <f t="shared" si="1"/>
        <v>0</v>
      </c>
      <c r="J60" s="2336">
        <v>5</v>
      </c>
      <c r="K60" s="458">
        <v>16</v>
      </c>
      <c r="L60" s="1726">
        <f t="shared" si="2"/>
        <v>0</v>
      </c>
      <c r="M60" s="2336">
        <v>14</v>
      </c>
      <c r="N60" s="458">
        <v>6</v>
      </c>
      <c r="O60" s="458">
        <v>1</v>
      </c>
      <c r="P60" s="1726">
        <f t="shared" si="3"/>
        <v>0</v>
      </c>
    </row>
    <row r="61" spans="1:18" x14ac:dyDescent="0.25">
      <c r="A61" s="643" t="s">
        <v>140</v>
      </c>
      <c r="B61" s="644" t="s">
        <v>141</v>
      </c>
      <c r="C61" s="645" t="s">
        <v>267</v>
      </c>
      <c r="D61" s="1154">
        <v>35</v>
      </c>
      <c r="E61" s="2337">
        <v>29</v>
      </c>
      <c r="F61" s="760">
        <v>3</v>
      </c>
      <c r="G61" s="760">
        <v>1</v>
      </c>
      <c r="H61" s="760">
        <v>2</v>
      </c>
      <c r="I61" s="1726">
        <f t="shared" si="1"/>
        <v>0</v>
      </c>
      <c r="J61" s="2337">
        <v>0</v>
      </c>
      <c r="K61" s="760">
        <v>35</v>
      </c>
      <c r="L61" s="1726">
        <f t="shared" si="2"/>
        <v>0</v>
      </c>
      <c r="M61" s="2337">
        <v>17</v>
      </c>
      <c r="N61" s="760">
        <v>18</v>
      </c>
      <c r="O61" s="760">
        <v>0</v>
      </c>
      <c r="P61" s="1726">
        <f t="shared" si="3"/>
        <v>0</v>
      </c>
      <c r="Q61" s="2324"/>
      <c r="R61" s="2324"/>
    </row>
    <row r="62" spans="1:18" x14ac:dyDescent="0.25">
      <c r="A62" s="643" t="s">
        <v>146</v>
      </c>
      <c r="B62" s="644" t="s">
        <v>147</v>
      </c>
      <c r="C62" s="645" t="s">
        <v>264</v>
      </c>
      <c r="D62" s="265">
        <v>55</v>
      </c>
      <c r="E62" s="2336">
        <v>33</v>
      </c>
      <c r="F62" s="458">
        <v>2</v>
      </c>
      <c r="G62" s="458">
        <v>0</v>
      </c>
      <c r="H62" s="458">
        <v>19</v>
      </c>
      <c r="I62" s="1726">
        <f t="shared" si="1"/>
        <v>1</v>
      </c>
      <c r="J62" s="2336">
        <v>23</v>
      </c>
      <c r="K62" s="458">
        <v>32</v>
      </c>
      <c r="L62" s="1726">
        <f t="shared" si="2"/>
        <v>0</v>
      </c>
      <c r="M62" s="2336">
        <v>23</v>
      </c>
      <c r="N62" s="458">
        <v>29</v>
      </c>
      <c r="O62" s="458">
        <v>3</v>
      </c>
      <c r="P62" s="1726">
        <f t="shared" si="3"/>
        <v>0</v>
      </c>
    </row>
    <row r="63" spans="1:18" x14ac:dyDescent="0.25">
      <c r="A63" s="643" t="s">
        <v>148</v>
      </c>
      <c r="B63" s="644" t="s">
        <v>149</v>
      </c>
      <c r="C63" s="645" t="s">
        <v>265</v>
      </c>
      <c r="D63" s="265">
        <v>194</v>
      </c>
      <c r="E63" s="2336">
        <v>79</v>
      </c>
      <c r="F63" s="458">
        <v>97</v>
      </c>
      <c r="G63" s="458">
        <v>0</v>
      </c>
      <c r="H63" s="458">
        <v>17</v>
      </c>
      <c r="I63" s="1726">
        <f t="shared" si="1"/>
        <v>1</v>
      </c>
      <c r="J63" s="2336">
        <v>34</v>
      </c>
      <c r="K63" s="458">
        <v>160</v>
      </c>
      <c r="L63" s="1726">
        <f t="shared" si="2"/>
        <v>0</v>
      </c>
      <c r="M63" s="2336">
        <v>120</v>
      </c>
      <c r="N63" s="458">
        <v>74</v>
      </c>
      <c r="O63" s="458">
        <v>0</v>
      </c>
      <c r="P63" s="1726">
        <f t="shared" si="3"/>
        <v>0</v>
      </c>
    </row>
    <row r="64" spans="1:18" x14ac:dyDescent="0.25">
      <c r="A64" s="643" t="s">
        <v>150</v>
      </c>
      <c r="B64" s="644" t="s">
        <v>151</v>
      </c>
      <c r="C64" s="645" t="s">
        <v>266</v>
      </c>
      <c r="D64" s="265">
        <v>65</v>
      </c>
      <c r="E64" s="2336">
        <v>40</v>
      </c>
      <c r="F64" s="458">
        <v>16</v>
      </c>
      <c r="G64" s="458">
        <v>0</v>
      </c>
      <c r="H64" s="458">
        <v>9</v>
      </c>
      <c r="I64" s="1726">
        <f t="shared" si="1"/>
        <v>0</v>
      </c>
      <c r="J64" s="2336">
        <v>12</v>
      </c>
      <c r="K64" s="458">
        <v>53</v>
      </c>
      <c r="L64" s="1726">
        <f t="shared" si="2"/>
        <v>0</v>
      </c>
      <c r="M64" s="2336">
        <v>33</v>
      </c>
      <c r="N64" s="458">
        <v>32</v>
      </c>
      <c r="O64" s="458">
        <v>0</v>
      </c>
      <c r="P64" s="1726">
        <f t="shared" si="3"/>
        <v>0</v>
      </c>
    </row>
    <row r="65" spans="1:18" x14ac:dyDescent="0.25">
      <c r="A65" s="643" t="s">
        <v>152</v>
      </c>
      <c r="B65" s="644" t="s">
        <v>153</v>
      </c>
      <c r="C65" s="645" t="s">
        <v>268</v>
      </c>
      <c r="D65" s="265">
        <v>372</v>
      </c>
      <c r="E65" s="2336">
        <v>310</v>
      </c>
      <c r="F65" s="458">
        <v>15</v>
      </c>
      <c r="G65" s="458">
        <v>1</v>
      </c>
      <c r="H65" s="458">
        <v>44</v>
      </c>
      <c r="I65" s="1726">
        <f t="shared" si="1"/>
        <v>2</v>
      </c>
      <c r="J65" s="2336">
        <v>102</v>
      </c>
      <c r="K65" s="458">
        <v>268</v>
      </c>
      <c r="L65" s="1726">
        <f t="shared" si="2"/>
        <v>2</v>
      </c>
      <c r="M65" s="2336">
        <v>247</v>
      </c>
      <c r="N65" s="458">
        <v>124</v>
      </c>
      <c r="O65" s="458">
        <v>1</v>
      </c>
      <c r="P65" s="1726">
        <f t="shared" si="3"/>
        <v>0</v>
      </c>
    </row>
    <row r="66" spans="1:18" x14ac:dyDescent="0.25">
      <c r="A66" s="643" t="s">
        <v>154</v>
      </c>
      <c r="B66" s="644" t="s">
        <v>155</v>
      </c>
      <c r="C66" s="645" t="s">
        <v>265</v>
      </c>
      <c r="D66" s="265">
        <v>41</v>
      </c>
      <c r="E66" s="2336">
        <v>32</v>
      </c>
      <c r="F66" s="458">
        <v>9</v>
      </c>
      <c r="G66" s="458">
        <v>0</v>
      </c>
      <c r="H66" s="458">
        <v>0</v>
      </c>
      <c r="I66" s="1726">
        <f t="shared" si="1"/>
        <v>0</v>
      </c>
      <c r="J66" s="2336">
        <v>11</v>
      </c>
      <c r="K66" s="458">
        <v>30</v>
      </c>
      <c r="L66" s="1726">
        <f t="shared" si="2"/>
        <v>0</v>
      </c>
      <c r="M66" s="2336">
        <v>28</v>
      </c>
      <c r="N66" s="458">
        <v>13</v>
      </c>
      <c r="O66" s="458">
        <v>0</v>
      </c>
      <c r="P66" s="1726">
        <f t="shared" si="3"/>
        <v>0</v>
      </c>
    </row>
    <row r="67" spans="1:18" x14ac:dyDescent="0.25">
      <c r="A67" s="643" t="s">
        <v>156</v>
      </c>
      <c r="B67" s="644" t="s">
        <v>157</v>
      </c>
      <c r="C67" s="645" t="s">
        <v>266</v>
      </c>
      <c r="D67" s="265">
        <v>29</v>
      </c>
      <c r="E67" s="2336">
        <v>15</v>
      </c>
      <c r="F67" s="458">
        <v>9</v>
      </c>
      <c r="G67" s="458">
        <v>0</v>
      </c>
      <c r="H67" s="458">
        <v>5</v>
      </c>
      <c r="I67" s="1726">
        <f t="shared" si="1"/>
        <v>0</v>
      </c>
      <c r="J67" s="2336">
        <v>7</v>
      </c>
      <c r="K67" s="458">
        <v>22</v>
      </c>
      <c r="L67" s="1726">
        <f t="shared" si="2"/>
        <v>0</v>
      </c>
      <c r="M67" s="2336">
        <v>17</v>
      </c>
      <c r="N67" s="458">
        <v>12</v>
      </c>
      <c r="O67" s="458">
        <v>0</v>
      </c>
      <c r="P67" s="1726">
        <f t="shared" si="3"/>
        <v>0</v>
      </c>
    </row>
    <row r="68" spans="1:18" x14ac:dyDescent="0.25">
      <c r="A68" s="643" t="s">
        <v>162</v>
      </c>
      <c r="B68" s="644" t="s">
        <v>163</v>
      </c>
      <c r="C68" s="645" t="s">
        <v>264</v>
      </c>
      <c r="D68" s="265">
        <v>14</v>
      </c>
      <c r="E68" s="2336">
        <v>7</v>
      </c>
      <c r="F68" s="458">
        <v>7</v>
      </c>
      <c r="G68" s="458">
        <v>0</v>
      </c>
      <c r="H68" s="458">
        <v>0</v>
      </c>
      <c r="I68" s="1726">
        <f t="shared" si="1"/>
        <v>0</v>
      </c>
      <c r="J68" s="2336">
        <v>7</v>
      </c>
      <c r="K68" s="458">
        <v>7</v>
      </c>
      <c r="L68" s="1726">
        <f t="shared" si="2"/>
        <v>0</v>
      </c>
      <c r="M68" s="2336">
        <v>5</v>
      </c>
      <c r="N68" s="458">
        <v>9</v>
      </c>
      <c r="O68" s="458">
        <v>0</v>
      </c>
      <c r="P68" s="1726">
        <f t="shared" si="3"/>
        <v>0</v>
      </c>
    </row>
    <row r="69" spans="1:18" x14ac:dyDescent="0.25">
      <c r="A69" s="643" t="s">
        <v>164</v>
      </c>
      <c r="B69" s="644" t="s">
        <v>165</v>
      </c>
      <c r="C69" s="645" t="s">
        <v>266</v>
      </c>
      <c r="D69" s="265">
        <v>6</v>
      </c>
      <c r="E69" s="2336">
        <v>1</v>
      </c>
      <c r="F69" s="458">
        <v>5</v>
      </c>
      <c r="G69" s="458">
        <v>0</v>
      </c>
      <c r="H69" s="458">
        <v>0</v>
      </c>
      <c r="I69" s="1726">
        <f t="shared" si="1"/>
        <v>0</v>
      </c>
      <c r="J69" s="2336">
        <v>2</v>
      </c>
      <c r="K69" s="458">
        <v>4</v>
      </c>
      <c r="L69" s="1726">
        <f t="shared" si="2"/>
        <v>0</v>
      </c>
      <c r="M69" s="2336">
        <v>3</v>
      </c>
      <c r="N69" s="458">
        <v>3</v>
      </c>
      <c r="O69" s="458">
        <v>0</v>
      </c>
      <c r="P69" s="1726">
        <f t="shared" si="3"/>
        <v>0</v>
      </c>
    </row>
    <row r="70" spans="1:18" x14ac:dyDescent="0.25">
      <c r="A70" s="643" t="s">
        <v>168</v>
      </c>
      <c r="B70" s="644" t="s">
        <v>169</v>
      </c>
      <c r="C70" s="645" t="s">
        <v>266</v>
      </c>
      <c r="D70" s="265">
        <v>19</v>
      </c>
      <c r="E70" s="2336">
        <v>10</v>
      </c>
      <c r="F70" s="458">
        <v>8</v>
      </c>
      <c r="G70" s="458">
        <v>0</v>
      </c>
      <c r="H70" s="458">
        <v>1</v>
      </c>
      <c r="I70" s="1726">
        <f t="shared" si="1"/>
        <v>0</v>
      </c>
      <c r="J70" s="2336">
        <v>5</v>
      </c>
      <c r="K70" s="458">
        <v>14</v>
      </c>
      <c r="L70" s="1726">
        <f t="shared" si="2"/>
        <v>0</v>
      </c>
      <c r="M70" s="2336">
        <v>11</v>
      </c>
      <c r="N70" s="458">
        <v>8</v>
      </c>
      <c r="O70" s="458">
        <v>0</v>
      </c>
      <c r="P70" s="1726">
        <f t="shared" si="3"/>
        <v>0</v>
      </c>
    </row>
    <row r="71" spans="1:18" x14ac:dyDescent="0.25">
      <c r="A71" s="643" t="s">
        <v>170</v>
      </c>
      <c r="B71" s="644" t="s">
        <v>171</v>
      </c>
      <c r="C71" s="645" t="s">
        <v>267</v>
      </c>
      <c r="D71" s="1154">
        <v>103</v>
      </c>
      <c r="E71" s="2337">
        <v>80</v>
      </c>
      <c r="F71" s="760">
        <v>10</v>
      </c>
      <c r="G71" s="760">
        <v>0</v>
      </c>
      <c r="H71" s="760">
        <v>13</v>
      </c>
      <c r="I71" s="1726">
        <f t="shared" ref="I71:I125" si="4">D71-(E71+F71+G71+H71)</f>
        <v>0</v>
      </c>
      <c r="J71" s="2337">
        <v>20</v>
      </c>
      <c r="K71" s="760">
        <v>81</v>
      </c>
      <c r="L71" s="1726">
        <f t="shared" ref="L71:L125" si="5">D71-(J71+K71)</f>
        <v>2</v>
      </c>
      <c r="M71" s="2337">
        <v>63</v>
      </c>
      <c r="N71" s="760">
        <v>39</v>
      </c>
      <c r="O71" s="760">
        <v>1</v>
      </c>
      <c r="P71" s="1726">
        <f t="shared" ref="P71:P125" si="6">D71-(M71+N71+O71)</f>
        <v>0</v>
      </c>
      <c r="Q71" s="2324"/>
      <c r="R71" s="1154"/>
    </row>
    <row r="72" spans="1:18" x14ac:dyDescent="0.25">
      <c r="A72" s="643" t="s">
        <v>172</v>
      </c>
      <c r="B72" s="644" t="s">
        <v>173</v>
      </c>
      <c r="C72" s="645" t="s">
        <v>267</v>
      </c>
      <c r="D72" s="1154">
        <v>68</v>
      </c>
      <c r="E72" s="2337">
        <v>66</v>
      </c>
      <c r="F72" s="760">
        <v>1</v>
      </c>
      <c r="G72" s="760">
        <v>0</v>
      </c>
      <c r="H72" s="760">
        <v>1</v>
      </c>
      <c r="I72" s="1726">
        <f t="shared" si="4"/>
        <v>0</v>
      </c>
      <c r="J72" s="2337">
        <v>18</v>
      </c>
      <c r="K72" s="760">
        <v>50</v>
      </c>
      <c r="L72" s="1726">
        <f t="shared" si="5"/>
        <v>0</v>
      </c>
      <c r="M72" s="2337">
        <v>41</v>
      </c>
      <c r="N72" s="760">
        <v>27</v>
      </c>
      <c r="O72" s="760">
        <v>0</v>
      </c>
      <c r="P72" s="1726">
        <f t="shared" si="6"/>
        <v>0</v>
      </c>
      <c r="Q72" s="2324"/>
      <c r="R72" s="2324"/>
    </row>
    <row r="73" spans="1:18" x14ac:dyDescent="0.25">
      <c r="A73" s="643" t="s">
        <v>174</v>
      </c>
      <c r="B73" s="644" t="s">
        <v>175</v>
      </c>
      <c r="C73" s="645" t="s">
        <v>268</v>
      </c>
      <c r="D73" s="265">
        <v>145</v>
      </c>
      <c r="E73" s="2336">
        <v>136</v>
      </c>
      <c r="F73" s="458">
        <v>7</v>
      </c>
      <c r="G73" s="458">
        <v>0</v>
      </c>
      <c r="H73" s="458">
        <v>1</v>
      </c>
      <c r="I73" s="1726">
        <f t="shared" si="4"/>
        <v>1</v>
      </c>
      <c r="J73" s="2336">
        <v>59</v>
      </c>
      <c r="K73" s="458">
        <v>86</v>
      </c>
      <c r="L73" s="1726">
        <f t="shared" si="5"/>
        <v>0</v>
      </c>
      <c r="M73" s="2336">
        <v>84</v>
      </c>
      <c r="N73" s="458">
        <v>61</v>
      </c>
      <c r="O73" s="458">
        <v>0</v>
      </c>
      <c r="P73" s="1726">
        <f t="shared" si="6"/>
        <v>0</v>
      </c>
    </row>
    <row r="74" spans="1:18" x14ac:dyDescent="0.25">
      <c r="A74" s="643" t="s">
        <v>178</v>
      </c>
      <c r="B74" s="644" t="s">
        <v>179</v>
      </c>
      <c r="C74" s="645" t="s">
        <v>265</v>
      </c>
      <c r="D74" s="265">
        <v>213</v>
      </c>
      <c r="E74" s="2336">
        <v>131</v>
      </c>
      <c r="F74" s="458">
        <v>74</v>
      </c>
      <c r="G74" s="458">
        <v>1</v>
      </c>
      <c r="H74" s="458">
        <v>6</v>
      </c>
      <c r="I74" s="1726">
        <f t="shared" si="4"/>
        <v>1</v>
      </c>
      <c r="J74" s="2336">
        <v>34</v>
      </c>
      <c r="K74" s="458">
        <v>178</v>
      </c>
      <c r="L74" s="1726">
        <f t="shared" si="5"/>
        <v>1</v>
      </c>
      <c r="M74" s="2336">
        <v>121</v>
      </c>
      <c r="N74" s="458">
        <v>92</v>
      </c>
      <c r="O74" s="458">
        <v>0</v>
      </c>
      <c r="P74" s="1726">
        <f t="shared" si="6"/>
        <v>0</v>
      </c>
    </row>
    <row r="75" spans="1:18" x14ac:dyDescent="0.25">
      <c r="A75" s="643" t="s">
        <v>182</v>
      </c>
      <c r="B75" s="644" t="s">
        <v>183</v>
      </c>
      <c r="C75" s="645" t="s">
        <v>266</v>
      </c>
      <c r="D75" s="265">
        <v>11</v>
      </c>
      <c r="E75" s="2336">
        <v>6</v>
      </c>
      <c r="F75" s="458">
        <v>3</v>
      </c>
      <c r="G75" s="458">
        <v>0</v>
      </c>
      <c r="H75" s="458">
        <v>2</v>
      </c>
      <c r="I75" s="1726">
        <f t="shared" si="4"/>
        <v>0</v>
      </c>
      <c r="J75" s="2336">
        <v>3</v>
      </c>
      <c r="K75" s="458">
        <v>8</v>
      </c>
      <c r="L75" s="1726">
        <f t="shared" si="5"/>
        <v>0</v>
      </c>
      <c r="M75" s="2336">
        <v>4</v>
      </c>
      <c r="N75" s="458">
        <v>7</v>
      </c>
      <c r="O75" s="458">
        <v>0</v>
      </c>
      <c r="P75" s="1726">
        <f t="shared" si="6"/>
        <v>0</v>
      </c>
    </row>
    <row r="76" spans="1:18" x14ac:dyDescent="0.25">
      <c r="A76" s="643" t="s">
        <v>184</v>
      </c>
      <c r="B76" s="644" t="s">
        <v>185</v>
      </c>
      <c r="C76" s="645" t="s">
        <v>266</v>
      </c>
      <c r="D76" s="265">
        <v>52</v>
      </c>
      <c r="E76" s="2336">
        <v>20</v>
      </c>
      <c r="F76" s="458">
        <v>15</v>
      </c>
      <c r="G76" s="458">
        <v>1</v>
      </c>
      <c r="H76" s="458">
        <v>16</v>
      </c>
      <c r="I76" s="1726">
        <f t="shared" si="4"/>
        <v>0</v>
      </c>
      <c r="J76" s="2336">
        <v>11</v>
      </c>
      <c r="K76" s="458">
        <v>41</v>
      </c>
      <c r="L76" s="1726">
        <f t="shared" si="5"/>
        <v>0</v>
      </c>
      <c r="M76" s="2336">
        <v>33</v>
      </c>
      <c r="N76" s="458">
        <v>19</v>
      </c>
      <c r="O76" s="458">
        <v>0</v>
      </c>
      <c r="P76" s="1726">
        <f t="shared" si="6"/>
        <v>0</v>
      </c>
    </row>
    <row r="77" spans="1:18" x14ac:dyDescent="0.25">
      <c r="A77" s="643" t="s">
        <v>186</v>
      </c>
      <c r="B77" s="644" t="s">
        <v>187</v>
      </c>
      <c r="C77" s="645" t="s">
        <v>264</v>
      </c>
      <c r="D77" s="265">
        <v>58</v>
      </c>
      <c r="E77" s="2336">
        <v>46</v>
      </c>
      <c r="F77" s="458">
        <v>9</v>
      </c>
      <c r="G77" s="458">
        <v>1</v>
      </c>
      <c r="H77" s="458">
        <v>2</v>
      </c>
      <c r="I77" s="1726">
        <f t="shared" si="4"/>
        <v>0</v>
      </c>
      <c r="J77" s="2336">
        <v>16</v>
      </c>
      <c r="K77" s="458">
        <v>42</v>
      </c>
      <c r="L77" s="1726">
        <f t="shared" si="5"/>
        <v>0</v>
      </c>
      <c r="M77" s="2336">
        <v>34</v>
      </c>
      <c r="N77" s="458">
        <v>24</v>
      </c>
      <c r="O77" s="458">
        <v>0</v>
      </c>
      <c r="P77" s="1726">
        <f t="shared" si="6"/>
        <v>0</v>
      </c>
    </row>
    <row r="78" spans="1:18" x14ac:dyDescent="0.25">
      <c r="A78" s="643" t="s">
        <v>188</v>
      </c>
      <c r="B78" s="644" t="s">
        <v>189</v>
      </c>
      <c r="C78" s="645" t="s">
        <v>267</v>
      </c>
      <c r="D78" s="1154">
        <v>884</v>
      </c>
      <c r="E78" s="2337">
        <v>457</v>
      </c>
      <c r="F78" s="760">
        <v>223</v>
      </c>
      <c r="G78" s="760">
        <v>38</v>
      </c>
      <c r="H78" s="760">
        <v>124</v>
      </c>
      <c r="I78" s="2338">
        <f t="shared" si="4"/>
        <v>42</v>
      </c>
      <c r="J78" s="2337">
        <v>310</v>
      </c>
      <c r="K78" s="760">
        <v>552</v>
      </c>
      <c r="L78" s="2338">
        <f t="shared" si="5"/>
        <v>22</v>
      </c>
      <c r="M78" s="2337">
        <v>548</v>
      </c>
      <c r="N78" s="760">
        <v>333</v>
      </c>
      <c r="O78" s="760">
        <v>3</v>
      </c>
      <c r="P78" s="1726">
        <f t="shared" si="6"/>
        <v>0</v>
      </c>
      <c r="Q78" s="2324"/>
      <c r="R78" s="2324"/>
    </row>
    <row r="79" spans="1:18" x14ac:dyDescent="0.25">
      <c r="A79" s="643" t="s">
        <v>190</v>
      </c>
      <c r="B79" s="644" t="s">
        <v>191</v>
      </c>
      <c r="C79" s="645" t="s">
        <v>268</v>
      </c>
      <c r="D79" s="265">
        <v>146</v>
      </c>
      <c r="E79" s="2336">
        <v>128</v>
      </c>
      <c r="F79" s="458">
        <v>8</v>
      </c>
      <c r="G79" s="458">
        <v>0</v>
      </c>
      <c r="H79" s="458">
        <v>9</v>
      </c>
      <c r="I79" s="1726">
        <f t="shared" si="4"/>
        <v>1</v>
      </c>
      <c r="J79" s="2336">
        <v>29</v>
      </c>
      <c r="K79" s="458">
        <v>116</v>
      </c>
      <c r="L79" s="1726">
        <f t="shared" si="5"/>
        <v>1</v>
      </c>
      <c r="M79" s="2336">
        <v>97</v>
      </c>
      <c r="N79" s="458">
        <v>48</v>
      </c>
      <c r="O79" s="458">
        <v>1</v>
      </c>
      <c r="P79" s="1726">
        <f t="shared" si="6"/>
        <v>0</v>
      </c>
    </row>
    <row r="80" spans="1:18" x14ac:dyDescent="0.25">
      <c r="A80" s="643" t="s">
        <v>194</v>
      </c>
      <c r="B80" s="644" t="s">
        <v>195</v>
      </c>
      <c r="C80" s="645" t="s">
        <v>267</v>
      </c>
      <c r="D80" s="1154">
        <v>35</v>
      </c>
      <c r="E80" s="2337">
        <v>31</v>
      </c>
      <c r="F80" s="760">
        <v>1</v>
      </c>
      <c r="G80" s="760">
        <v>1</v>
      </c>
      <c r="H80" s="760">
        <v>2</v>
      </c>
      <c r="I80" s="1726">
        <f t="shared" si="4"/>
        <v>0</v>
      </c>
      <c r="J80" s="2337">
        <v>4</v>
      </c>
      <c r="K80" s="760">
        <v>31</v>
      </c>
      <c r="L80" s="1726">
        <f t="shared" si="5"/>
        <v>0</v>
      </c>
      <c r="M80" s="2337">
        <v>17</v>
      </c>
      <c r="N80" s="760">
        <v>18</v>
      </c>
      <c r="O80" s="760">
        <v>0</v>
      </c>
      <c r="P80" s="1726">
        <f t="shared" si="6"/>
        <v>0</v>
      </c>
      <c r="Q80" s="2324"/>
      <c r="R80" s="2324"/>
    </row>
    <row r="81" spans="1:18" x14ac:dyDescent="0.25">
      <c r="A81" s="643" t="s">
        <v>198</v>
      </c>
      <c r="B81" s="644" t="s">
        <v>272</v>
      </c>
      <c r="C81" s="645" t="s">
        <v>266</v>
      </c>
      <c r="D81" s="265">
        <v>9</v>
      </c>
      <c r="E81" s="2336">
        <v>8</v>
      </c>
      <c r="F81" s="458">
        <v>1</v>
      </c>
      <c r="G81" s="458">
        <v>0</v>
      </c>
      <c r="H81" s="458">
        <v>0</v>
      </c>
      <c r="I81" s="1726">
        <f t="shared" si="4"/>
        <v>0</v>
      </c>
      <c r="J81" s="2336">
        <v>0</v>
      </c>
      <c r="K81" s="458">
        <v>9</v>
      </c>
      <c r="L81" s="1726">
        <f t="shared" si="5"/>
        <v>0</v>
      </c>
      <c r="M81" s="2336">
        <v>9</v>
      </c>
      <c r="N81" s="458">
        <v>0</v>
      </c>
      <c r="O81" s="458">
        <v>0</v>
      </c>
      <c r="P81" s="1726">
        <f t="shared" si="6"/>
        <v>0</v>
      </c>
    </row>
    <row r="82" spans="1:18" x14ac:dyDescent="0.25">
      <c r="A82" s="643" t="s">
        <v>202</v>
      </c>
      <c r="B82" s="644" t="s">
        <v>301</v>
      </c>
      <c r="C82" s="645" t="s">
        <v>265</v>
      </c>
      <c r="D82" s="265">
        <v>773</v>
      </c>
      <c r="E82" s="2336">
        <v>640</v>
      </c>
      <c r="F82" s="458">
        <v>71</v>
      </c>
      <c r="G82" s="458">
        <v>7</v>
      </c>
      <c r="H82" s="458">
        <v>49</v>
      </c>
      <c r="I82" s="1726">
        <f t="shared" si="4"/>
        <v>6</v>
      </c>
      <c r="J82" s="2336">
        <v>172</v>
      </c>
      <c r="K82" s="458">
        <v>601</v>
      </c>
      <c r="L82" s="1726">
        <f t="shared" si="5"/>
        <v>0</v>
      </c>
      <c r="M82" s="2336">
        <v>497</v>
      </c>
      <c r="N82" s="458">
        <v>269</v>
      </c>
      <c r="O82" s="458">
        <v>7</v>
      </c>
      <c r="P82" s="1726">
        <f t="shared" si="6"/>
        <v>0</v>
      </c>
    </row>
    <row r="83" spans="1:18" x14ac:dyDescent="0.25">
      <c r="A83" s="643" t="s">
        <v>204</v>
      </c>
      <c r="B83" s="644" t="s">
        <v>293</v>
      </c>
      <c r="C83" s="645" t="s">
        <v>265</v>
      </c>
      <c r="D83" s="265">
        <v>166</v>
      </c>
      <c r="E83" s="2336">
        <v>135</v>
      </c>
      <c r="F83" s="458">
        <v>14</v>
      </c>
      <c r="G83" s="458">
        <v>0</v>
      </c>
      <c r="H83" s="458">
        <v>15</v>
      </c>
      <c r="I83" s="1726">
        <f t="shared" si="4"/>
        <v>2</v>
      </c>
      <c r="J83" s="2336">
        <v>38</v>
      </c>
      <c r="K83" s="458">
        <v>127</v>
      </c>
      <c r="L83" s="1726">
        <f t="shared" si="5"/>
        <v>1</v>
      </c>
      <c r="M83" s="2336">
        <v>105</v>
      </c>
      <c r="N83" s="458">
        <v>61</v>
      </c>
      <c r="O83" s="458">
        <v>0</v>
      </c>
      <c r="P83" s="1726">
        <f t="shared" si="6"/>
        <v>0</v>
      </c>
    </row>
    <row r="84" spans="1:18" x14ac:dyDescent="0.25">
      <c r="A84" s="643" t="s">
        <v>206</v>
      </c>
      <c r="B84" s="644" t="s">
        <v>294</v>
      </c>
      <c r="C84" s="645" t="s">
        <v>267</v>
      </c>
      <c r="D84" s="1154">
        <v>328</v>
      </c>
      <c r="E84" s="2337">
        <v>222</v>
      </c>
      <c r="F84" s="760">
        <v>10</v>
      </c>
      <c r="G84" s="760">
        <v>1</v>
      </c>
      <c r="H84" s="760">
        <v>90</v>
      </c>
      <c r="I84" s="1726">
        <f t="shared" si="4"/>
        <v>5</v>
      </c>
      <c r="J84" s="2337">
        <v>77</v>
      </c>
      <c r="K84" s="760">
        <v>251</v>
      </c>
      <c r="L84" s="1726">
        <f t="shared" si="5"/>
        <v>0</v>
      </c>
      <c r="M84" s="2337">
        <v>210</v>
      </c>
      <c r="N84" s="760">
        <v>118</v>
      </c>
      <c r="O84" s="760">
        <v>0</v>
      </c>
      <c r="P84" s="1726">
        <f t="shared" si="6"/>
        <v>0</v>
      </c>
      <c r="Q84" s="2324"/>
      <c r="R84" s="2324"/>
    </row>
    <row r="85" spans="1:18" x14ac:dyDescent="0.25">
      <c r="A85" s="643" t="s">
        <v>208</v>
      </c>
      <c r="B85" s="644" t="s">
        <v>209</v>
      </c>
      <c r="C85" s="645" t="s">
        <v>268</v>
      </c>
      <c r="D85" s="265">
        <v>138</v>
      </c>
      <c r="E85" s="2336">
        <v>136</v>
      </c>
      <c r="F85" s="458">
        <v>0</v>
      </c>
      <c r="G85" s="458">
        <v>0</v>
      </c>
      <c r="H85" s="458">
        <v>2</v>
      </c>
      <c r="I85" s="1726">
        <f t="shared" si="4"/>
        <v>0</v>
      </c>
      <c r="J85" s="2336">
        <v>29</v>
      </c>
      <c r="K85" s="458">
        <v>109</v>
      </c>
      <c r="L85" s="1726">
        <f t="shared" si="5"/>
        <v>0</v>
      </c>
      <c r="M85" s="2336">
        <v>86</v>
      </c>
      <c r="N85" s="458">
        <v>52</v>
      </c>
      <c r="O85" s="458">
        <v>0</v>
      </c>
      <c r="P85" s="1726">
        <f t="shared" si="6"/>
        <v>0</v>
      </c>
    </row>
    <row r="86" spans="1:18" x14ac:dyDescent="0.25">
      <c r="A86" s="643" t="s">
        <v>210</v>
      </c>
      <c r="B86" s="644" t="s">
        <v>211</v>
      </c>
      <c r="C86" s="645" t="s">
        <v>268</v>
      </c>
      <c r="D86" s="265">
        <v>208</v>
      </c>
      <c r="E86" s="2336">
        <v>200</v>
      </c>
      <c r="F86" s="458">
        <v>3</v>
      </c>
      <c r="G86" s="458">
        <v>0</v>
      </c>
      <c r="H86" s="458">
        <v>5</v>
      </c>
      <c r="I86" s="1726">
        <f t="shared" si="4"/>
        <v>0</v>
      </c>
      <c r="J86" s="2336">
        <v>57</v>
      </c>
      <c r="K86" s="458">
        <v>151</v>
      </c>
      <c r="L86" s="1726">
        <f t="shared" si="5"/>
        <v>0</v>
      </c>
      <c r="M86" s="2336">
        <v>128</v>
      </c>
      <c r="N86" s="458">
        <v>80</v>
      </c>
      <c r="O86" s="458">
        <v>0</v>
      </c>
      <c r="P86" s="1726">
        <f t="shared" si="6"/>
        <v>0</v>
      </c>
    </row>
    <row r="87" spans="1:18" x14ac:dyDescent="0.25">
      <c r="A87" s="643" t="s">
        <v>212</v>
      </c>
      <c r="B87" s="644" t="s">
        <v>213</v>
      </c>
      <c r="C87" s="645" t="s">
        <v>267</v>
      </c>
      <c r="D87" s="1154">
        <v>167</v>
      </c>
      <c r="E87" s="2337">
        <v>155</v>
      </c>
      <c r="F87" s="760">
        <v>4</v>
      </c>
      <c r="G87" s="760">
        <v>0</v>
      </c>
      <c r="H87" s="760">
        <v>6</v>
      </c>
      <c r="I87" s="1726">
        <f t="shared" si="4"/>
        <v>2</v>
      </c>
      <c r="J87" s="2337">
        <v>37</v>
      </c>
      <c r="K87" s="760">
        <v>130</v>
      </c>
      <c r="L87" s="1726">
        <f t="shared" si="5"/>
        <v>0</v>
      </c>
      <c r="M87" s="2337">
        <v>107</v>
      </c>
      <c r="N87" s="760">
        <v>60</v>
      </c>
      <c r="O87" s="760">
        <v>0</v>
      </c>
      <c r="P87" s="1726">
        <f t="shared" si="6"/>
        <v>0</v>
      </c>
      <c r="Q87" s="2324"/>
      <c r="R87" s="2324"/>
    </row>
    <row r="88" spans="1:18" x14ac:dyDescent="0.25">
      <c r="A88" s="643" t="s">
        <v>214</v>
      </c>
      <c r="B88" s="644" t="s">
        <v>215</v>
      </c>
      <c r="C88" s="645" t="s">
        <v>268</v>
      </c>
      <c r="D88" s="265">
        <v>324</v>
      </c>
      <c r="E88" s="2336">
        <v>316</v>
      </c>
      <c r="F88" s="458">
        <v>5</v>
      </c>
      <c r="G88" s="458">
        <v>0</v>
      </c>
      <c r="H88" s="458">
        <v>3</v>
      </c>
      <c r="I88" s="1726">
        <f t="shared" si="4"/>
        <v>0</v>
      </c>
      <c r="J88" s="2336">
        <v>111</v>
      </c>
      <c r="K88" s="458">
        <v>209</v>
      </c>
      <c r="L88" s="1726">
        <f t="shared" si="5"/>
        <v>4</v>
      </c>
      <c r="M88" s="2336">
        <v>205</v>
      </c>
      <c r="N88" s="458">
        <v>119</v>
      </c>
      <c r="O88" s="458">
        <v>0</v>
      </c>
      <c r="P88" s="1726">
        <f t="shared" si="6"/>
        <v>0</v>
      </c>
    </row>
    <row r="89" spans="1:18" x14ac:dyDescent="0.25">
      <c r="A89" s="643" t="s">
        <v>216</v>
      </c>
      <c r="B89" s="644" t="s">
        <v>217</v>
      </c>
      <c r="C89" s="645" t="s">
        <v>264</v>
      </c>
      <c r="D89" s="265">
        <v>37</v>
      </c>
      <c r="E89" s="2336">
        <v>14</v>
      </c>
      <c r="F89" s="458">
        <v>22</v>
      </c>
      <c r="G89" s="458">
        <v>0</v>
      </c>
      <c r="H89" s="458">
        <v>1</v>
      </c>
      <c r="I89" s="1726">
        <f t="shared" si="4"/>
        <v>0</v>
      </c>
      <c r="J89" s="2336">
        <v>15</v>
      </c>
      <c r="K89" s="458">
        <v>22</v>
      </c>
      <c r="L89" s="1726">
        <f t="shared" si="5"/>
        <v>0</v>
      </c>
      <c r="M89" s="2336">
        <v>24</v>
      </c>
      <c r="N89" s="458">
        <v>13</v>
      </c>
      <c r="O89" s="458">
        <v>0</v>
      </c>
      <c r="P89" s="1726">
        <f t="shared" si="6"/>
        <v>0</v>
      </c>
    </row>
    <row r="90" spans="1:18" x14ac:dyDescent="0.25">
      <c r="A90" s="643" t="s">
        <v>218</v>
      </c>
      <c r="B90" s="644" t="s">
        <v>219</v>
      </c>
      <c r="C90" s="645" t="s">
        <v>267</v>
      </c>
      <c r="D90" s="1154">
        <v>246</v>
      </c>
      <c r="E90" s="2337">
        <v>160</v>
      </c>
      <c r="F90" s="760">
        <v>46</v>
      </c>
      <c r="G90" s="760">
        <v>0</v>
      </c>
      <c r="H90" s="760">
        <v>38</v>
      </c>
      <c r="I90" s="1726">
        <f t="shared" si="4"/>
        <v>2</v>
      </c>
      <c r="J90" s="2337">
        <v>59</v>
      </c>
      <c r="K90" s="760">
        <v>186</v>
      </c>
      <c r="L90" s="1726">
        <f t="shared" si="5"/>
        <v>1</v>
      </c>
      <c r="M90" s="2337">
        <v>163</v>
      </c>
      <c r="N90" s="760">
        <v>82</v>
      </c>
      <c r="O90" s="760">
        <v>1</v>
      </c>
      <c r="P90" s="1726">
        <f t="shared" si="6"/>
        <v>0</v>
      </c>
      <c r="Q90" s="2324"/>
      <c r="R90" s="2324"/>
    </row>
    <row r="91" spans="1:18" x14ac:dyDescent="0.25">
      <c r="A91" s="643" t="s">
        <v>220</v>
      </c>
      <c r="B91" s="644" t="s">
        <v>221</v>
      </c>
      <c r="C91" s="645" t="s">
        <v>267</v>
      </c>
      <c r="D91" s="1154">
        <v>133</v>
      </c>
      <c r="E91" s="2337">
        <v>94</v>
      </c>
      <c r="F91" s="760">
        <v>19</v>
      </c>
      <c r="G91" s="760">
        <v>1</v>
      </c>
      <c r="H91" s="760">
        <v>18</v>
      </c>
      <c r="I91" s="1726">
        <f t="shared" si="4"/>
        <v>1</v>
      </c>
      <c r="J91" s="2337">
        <v>27</v>
      </c>
      <c r="K91" s="760">
        <v>106</v>
      </c>
      <c r="L91" s="1726">
        <f t="shared" si="5"/>
        <v>0</v>
      </c>
      <c r="M91" s="2337">
        <v>84</v>
      </c>
      <c r="N91" s="760">
        <v>49</v>
      </c>
      <c r="O91" s="760">
        <v>0</v>
      </c>
      <c r="P91" s="1726">
        <f t="shared" si="6"/>
        <v>0</v>
      </c>
      <c r="Q91" s="2324"/>
      <c r="R91" s="2324"/>
    </row>
    <row r="92" spans="1:18" x14ac:dyDescent="0.25">
      <c r="A92" s="643" t="s">
        <v>224</v>
      </c>
      <c r="B92" s="644" t="s">
        <v>225</v>
      </c>
      <c r="C92" s="645" t="s">
        <v>264</v>
      </c>
      <c r="D92" s="265">
        <v>30</v>
      </c>
      <c r="E92" s="2336">
        <v>12</v>
      </c>
      <c r="F92" s="458">
        <v>18</v>
      </c>
      <c r="G92" s="458">
        <v>0</v>
      </c>
      <c r="H92" s="458">
        <v>0</v>
      </c>
      <c r="I92" s="1726">
        <f t="shared" si="4"/>
        <v>0</v>
      </c>
      <c r="J92" s="2336">
        <v>6</v>
      </c>
      <c r="K92" s="458">
        <v>24</v>
      </c>
      <c r="L92" s="1726">
        <f t="shared" si="5"/>
        <v>0</v>
      </c>
      <c r="M92" s="2336">
        <v>22</v>
      </c>
      <c r="N92" s="458">
        <v>8</v>
      </c>
      <c r="O92" s="458">
        <v>0</v>
      </c>
      <c r="P92" s="1726">
        <f t="shared" si="6"/>
        <v>0</v>
      </c>
    </row>
    <row r="93" spans="1:18" x14ac:dyDescent="0.25">
      <c r="A93" s="643" t="s">
        <v>226</v>
      </c>
      <c r="B93" s="644" t="s">
        <v>227</v>
      </c>
      <c r="C93" s="645" t="s">
        <v>264</v>
      </c>
      <c r="D93" s="265">
        <v>48</v>
      </c>
      <c r="E93" s="2336">
        <v>18</v>
      </c>
      <c r="F93" s="458">
        <v>29</v>
      </c>
      <c r="G93" s="458">
        <v>0</v>
      </c>
      <c r="H93" s="458">
        <v>1</v>
      </c>
      <c r="I93" s="1726">
        <f t="shared" si="4"/>
        <v>0</v>
      </c>
      <c r="J93" s="2336">
        <v>13</v>
      </c>
      <c r="K93" s="458">
        <v>35</v>
      </c>
      <c r="L93" s="1726">
        <f t="shared" si="5"/>
        <v>0</v>
      </c>
      <c r="M93" s="2336">
        <v>25</v>
      </c>
      <c r="N93" s="458">
        <v>23</v>
      </c>
      <c r="O93" s="458">
        <v>0</v>
      </c>
      <c r="P93" s="1726">
        <f t="shared" si="6"/>
        <v>0</v>
      </c>
    </row>
    <row r="94" spans="1:18" x14ac:dyDescent="0.25">
      <c r="A94" s="643" t="s">
        <v>228</v>
      </c>
      <c r="B94" s="644" t="s">
        <v>229</v>
      </c>
      <c r="C94" s="645" t="s">
        <v>268</v>
      </c>
      <c r="D94" s="265">
        <v>338</v>
      </c>
      <c r="E94" s="2336">
        <v>304</v>
      </c>
      <c r="F94" s="458">
        <v>11</v>
      </c>
      <c r="G94" s="458">
        <v>0</v>
      </c>
      <c r="H94" s="458">
        <v>23</v>
      </c>
      <c r="I94" s="1726">
        <f t="shared" si="4"/>
        <v>0</v>
      </c>
      <c r="J94" s="2336">
        <v>86</v>
      </c>
      <c r="K94" s="458">
        <v>252</v>
      </c>
      <c r="L94" s="1726">
        <f t="shared" si="5"/>
        <v>0</v>
      </c>
      <c r="M94" s="2336">
        <v>208</v>
      </c>
      <c r="N94" s="458">
        <v>129</v>
      </c>
      <c r="O94" s="458">
        <v>1</v>
      </c>
      <c r="P94" s="1726">
        <f t="shared" si="6"/>
        <v>0</v>
      </c>
    </row>
    <row r="95" spans="1:18" x14ac:dyDescent="0.25">
      <c r="A95" s="643" t="s">
        <v>232</v>
      </c>
      <c r="B95" s="644" t="s">
        <v>233</v>
      </c>
      <c r="C95" s="645" t="s">
        <v>267</v>
      </c>
      <c r="D95" s="1154">
        <v>138</v>
      </c>
      <c r="E95" s="2337">
        <v>102</v>
      </c>
      <c r="F95" s="760">
        <v>8</v>
      </c>
      <c r="G95" s="760">
        <v>0</v>
      </c>
      <c r="H95" s="760">
        <v>28</v>
      </c>
      <c r="I95" s="1726">
        <f t="shared" si="4"/>
        <v>0</v>
      </c>
      <c r="J95" s="2337">
        <v>29</v>
      </c>
      <c r="K95" s="760">
        <v>109</v>
      </c>
      <c r="L95" s="1726">
        <f t="shared" si="5"/>
        <v>0</v>
      </c>
      <c r="M95" s="2337">
        <v>89</v>
      </c>
      <c r="N95" s="760">
        <v>48</v>
      </c>
      <c r="O95" s="760">
        <v>1</v>
      </c>
      <c r="P95" s="1726">
        <f t="shared" si="6"/>
        <v>0</v>
      </c>
      <c r="Q95" s="2324"/>
      <c r="R95" s="2324"/>
    </row>
    <row r="96" spans="1:18" x14ac:dyDescent="0.25">
      <c r="A96" s="643" t="s">
        <v>234</v>
      </c>
      <c r="B96" s="644" t="s">
        <v>235</v>
      </c>
      <c r="C96" s="645" t="s">
        <v>268</v>
      </c>
      <c r="D96" s="265">
        <v>141</v>
      </c>
      <c r="E96" s="2336">
        <v>139</v>
      </c>
      <c r="F96" s="458">
        <v>1</v>
      </c>
      <c r="G96" s="458">
        <v>0</v>
      </c>
      <c r="H96" s="458">
        <v>1</v>
      </c>
      <c r="I96" s="1726">
        <f t="shared" si="4"/>
        <v>0</v>
      </c>
      <c r="J96" s="2336">
        <v>33</v>
      </c>
      <c r="K96" s="458">
        <v>108</v>
      </c>
      <c r="L96" s="1726">
        <f t="shared" si="5"/>
        <v>0</v>
      </c>
      <c r="M96" s="2336">
        <v>96</v>
      </c>
      <c r="N96" s="458">
        <v>44</v>
      </c>
      <c r="O96" s="458">
        <v>1</v>
      </c>
      <c r="P96" s="1726">
        <f t="shared" si="6"/>
        <v>0</v>
      </c>
    </row>
    <row r="97" spans="1:18" x14ac:dyDescent="0.25">
      <c r="A97" s="643" t="s">
        <v>236</v>
      </c>
      <c r="B97" s="644" t="s">
        <v>237</v>
      </c>
      <c r="C97" s="645" t="s">
        <v>266</v>
      </c>
      <c r="D97" s="265">
        <v>65</v>
      </c>
      <c r="E97" s="2336">
        <v>44</v>
      </c>
      <c r="F97" s="458">
        <v>10</v>
      </c>
      <c r="G97" s="458">
        <v>0</v>
      </c>
      <c r="H97" s="458">
        <v>11</v>
      </c>
      <c r="I97" s="1726">
        <f t="shared" si="4"/>
        <v>0</v>
      </c>
      <c r="J97" s="2336">
        <v>7</v>
      </c>
      <c r="K97" s="458">
        <v>57</v>
      </c>
      <c r="L97" s="1726">
        <f t="shared" si="5"/>
        <v>1</v>
      </c>
      <c r="M97" s="2336">
        <v>39</v>
      </c>
      <c r="N97" s="458">
        <v>26</v>
      </c>
      <c r="O97" s="458">
        <v>0</v>
      </c>
      <c r="P97" s="1726">
        <f t="shared" si="6"/>
        <v>0</v>
      </c>
    </row>
    <row r="98" spans="1:18" x14ac:dyDescent="0.25">
      <c r="A98" s="643" t="s">
        <v>242</v>
      </c>
      <c r="B98" s="644" t="s">
        <v>243</v>
      </c>
      <c r="C98" s="645" t="s">
        <v>268</v>
      </c>
      <c r="D98" s="265">
        <v>331</v>
      </c>
      <c r="E98" s="2336">
        <v>329</v>
      </c>
      <c r="F98" s="458">
        <v>2</v>
      </c>
      <c r="G98" s="458">
        <v>0</v>
      </c>
      <c r="H98" s="458">
        <v>0</v>
      </c>
      <c r="I98" s="1726">
        <f t="shared" si="4"/>
        <v>0</v>
      </c>
      <c r="J98" s="2336">
        <v>118</v>
      </c>
      <c r="K98" s="458">
        <v>213</v>
      </c>
      <c r="L98" s="1726">
        <f t="shared" si="5"/>
        <v>0</v>
      </c>
      <c r="M98" s="2336">
        <v>198</v>
      </c>
      <c r="N98" s="458">
        <v>133</v>
      </c>
      <c r="O98" s="458">
        <v>0</v>
      </c>
      <c r="P98" s="1726">
        <f t="shared" si="6"/>
        <v>0</v>
      </c>
    </row>
    <row r="99" spans="1:18" x14ac:dyDescent="0.25">
      <c r="A99" s="643" t="s">
        <v>244</v>
      </c>
      <c r="B99" s="644" t="s">
        <v>245</v>
      </c>
      <c r="C99" s="645" t="s">
        <v>268</v>
      </c>
      <c r="D99" s="458">
        <v>82</v>
      </c>
      <c r="E99" s="2336">
        <v>80</v>
      </c>
      <c r="F99" s="458">
        <v>0</v>
      </c>
      <c r="G99" s="458">
        <v>0</v>
      </c>
      <c r="H99" s="458">
        <v>2</v>
      </c>
      <c r="I99" s="1726">
        <f t="shared" si="4"/>
        <v>0</v>
      </c>
      <c r="J99" s="2336">
        <v>8</v>
      </c>
      <c r="K99" s="458">
        <v>73</v>
      </c>
      <c r="L99" s="1726">
        <f t="shared" si="5"/>
        <v>1</v>
      </c>
      <c r="M99" s="2336">
        <v>52</v>
      </c>
      <c r="N99" s="458">
        <v>30</v>
      </c>
      <c r="O99" s="458">
        <v>0</v>
      </c>
      <c r="P99" s="1726">
        <f t="shared" si="6"/>
        <v>0</v>
      </c>
    </row>
    <row r="100" spans="1:18" x14ac:dyDescent="0.25">
      <c r="A100" s="643" t="s">
        <v>246</v>
      </c>
      <c r="B100" s="644" t="s">
        <v>247</v>
      </c>
      <c r="C100" s="645" t="s">
        <v>264</v>
      </c>
      <c r="D100" s="265">
        <v>264</v>
      </c>
      <c r="E100" s="2336">
        <v>196</v>
      </c>
      <c r="F100" s="458">
        <v>46</v>
      </c>
      <c r="G100" s="458">
        <v>2</v>
      </c>
      <c r="H100" s="458">
        <v>20</v>
      </c>
      <c r="I100" s="1726">
        <f t="shared" si="4"/>
        <v>0</v>
      </c>
      <c r="J100" s="2336">
        <v>31</v>
      </c>
      <c r="K100" s="458">
        <v>232</v>
      </c>
      <c r="L100" s="1726">
        <f t="shared" si="5"/>
        <v>1</v>
      </c>
      <c r="M100" s="2336">
        <v>179</v>
      </c>
      <c r="N100" s="458">
        <v>85</v>
      </c>
      <c r="O100" s="458">
        <v>0</v>
      </c>
      <c r="P100" s="1726">
        <f t="shared" si="6"/>
        <v>0</v>
      </c>
    </row>
    <row r="101" spans="1:18" x14ac:dyDescent="0.25">
      <c r="A101" s="643" t="s">
        <v>14</v>
      </c>
      <c r="B101" s="644" t="s">
        <v>15</v>
      </c>
      <c r="C101" s="645" t="s">
        <v>267</v>
      </c>
      <c r="D101" s="1154">
        <v>220</v>
      </c>
      <c r="E101" s="2337">
        <v>119</v>
      </c>
      <c r="F101" s="760">
        <v>62</v>
      </c>
      <c r="G101" s="760">
        <v>13</v>
      </c>
      <c r="H101" s="760">
        <v>19</v>
      </c>
      <c r="I101" s="1726">
        <f t="shared" si="4"/>
        <v>7</v>
      </c>
      <c r="J101" s="2337">
        <v>54</v>
      </c>
      <c r="K101" s="760">
        <v>166</v>
      </c>
      <c r="L101" s="1726">
        <f t="shared" si="5"/>
        <v>0</v>
      </c>
      <c r="M101" s="2337">
        <v>136</v>
      </c>
      <c r="N101" s="760">
        <v>84</v>
      </c>
      <c r="O101" s="760">
        <v>0</v>
      </c>
      <c r="P101" s="1726">
        <f t="shared" si="6"/>
        <v>0</v>
      </c>
      <c r="Q101" s="2324"/>
      <c r="R101" s="1154"/>
    </row>
    <row r="102" spans="1:18" x14ac:dyDescent="0.25">
      <c r="A102" s="643" t="s">
        <v>34</v>
      </c>
      <c r="B102" s="644" t="s">
        <v>35</v>
      </c>
      <c r="C102" s="645" t="s">
        <v>268</v>
      </c>
      <c r="D102" s="265">
        <v>102</v>
      </c>
      <c r="E102" s="2336">
        <v>85</v>
      </c>
      <c r="F102" s="458">
        <v>14</v>
      </c>
      <c r="G102" s="458">
        <v>0</v>
      </c>
      <c r="H102" s="458">
        <v>3</v>
      </c>
      <c r="I102" s="1726">
        <f t="shared" si="4"/>
        <v>0</v>
      </c>
      <c r="J102" s="2336">
        <v>38</v>
      </c>
      <c r="K102" s="458">
        <v>64</v>
      </c>
      <c r="L102" s="1726">
        <f t="shared" si="5"/>
        <v>0</v>
      </c>
      <c r="M102" s="2336">
        <v>70</v>
      </c>
      <c r="N102" s="458">
        <v>32</v>
      </c>
      <c r="O102" s="458">
        <v>0</v>
      </c>
      <c r="P102" s="1726">
        <f t="shared" si="6"/>
        <v>0</v>
      </c>
    </row>
    <row r="103" spans="1:18" x14ac:dyDescent="0.25">
      <c r="A103" s="643" t="s">
        <v>52</v>
      </c>
      <c r="B103" s="644" t="s">
        <v>53</v>
      </c>
      <c r="C103" s="645" t="s">
        <v>265</v>
      </c>
      <c r="D103" s="265">
        <v>332</v>
      </c>
      <c r="E103" s="2336">
        <v>181</v>
      </c>
      <c r="F103" s="458">
        <v>124</v>
      </c>
      <c r="G103" s="458">
        <v>5</v>
      </c>
      <c r="H103" s="760">
        <v>19</v>
      </c>
      <c r="I103" s="1726">
        <f t="shared" si="4"/>
        <v>3</v>
      </c>
      <c r="J103" s="2336">
        <v>148</v>
      </c>
      <c r="K103" s="458">
        <v>184</v>
      </c>
      <c r="L103" s="1726">
        <f t="shared" si="5"/>
        <v>0</v>
      </c>
      <c r="M103" s="2336">
        <v>193</v>
      </c>
      <c r="N103" s="458">
        <v>139</v>
      </c>
      <c r="O103" s="458">
        <v>0</v>
      </c>
      <c r="P103" s="1726">
        <f t="shared" si="6"/>
        <v>0</v>
      </c>
    </row>
    <row r="104" spans="1:18" x14ac:dyDescent="0.25">
      <c r="A104" s="643" t="s">
        <v>54</v>
      </c>
      <c r="B104" s="644" t="s">
        <v>55</v>
      </c>
      <c r="C104" s="645" t="s">
        <v>264</v>
      </c>
      <c r="D104" s="265">
        <v>1109</v>
      </c>
      <c r="E104" s="2336">
        <v>632</v>
      </c>
      <c r="F104" s="458">
        <v>356</v>
      </c>
      <c r="G104" s="458">
        <v>7</v>
      </c>
      <c r="H104" s="458">
        <v>104</v>
      </c>
      <c r="I104" s="1726">
        <f t="shared" si="4"/>
        <v>10</v>
      </c>
      <c r="J104" s="2336">
        <v>300</v>
      </c>
      <c r="K104" s="458">
        <v>802</v>
      </c>
      <c r="L104" s="1726">
        <f t="shared" si="5"/>
        <v>7</v>
      </c>
      <c r="M104" s="2336">
        <v>674</v>
      </c>
      <c r="N104" s="458">
        <v>432</v>
      </c>
      <c r="O104" s="458">
        <v>3</v>
      </c>
      <c r="P104" s="1726">
        <f t="shared" si="6"/>
        <v>0</v>
      </c>
    </row>
    <row r="105" spans="1:18" x14ac:dyDescent="0.25">
      <c r="A105" s="643" t="s">
        <v>66</v>
      </c>
      <c r="B105" s="644" t="s">
        <v>67</v>
      </c>
      <c r="C105" s="645" t="s">
        <v>265</v>
      </c>
      <c r="D105" s="265">
        <v>164</v>
      </c>
      <c r="E105" s="2336">
        <v>88</v>
      </c>
      <c r="F105" s="458">
        <v>70</v>
      </c>
      <c r="G105" s="458">
        <v>0</v>
      </c>
      <c r="H105" s="458">
        <v>6</v>
      </c>
      <c r="I105" s="1726">
        <f t="shared" si="4"/>
        <v>0</v>
      </c>
      <c r="J105" s="2336">
        <v>54</v>
      </c>
      <c r="K105" s="458">
        <v>110</v>
      </c>
      <c r="L105" s="1726">
        <f t="shared" si="5"/>
        <v>0</v>
      </c>
      <c r="M105" s="2336">
        <v>96</v>
      </c>
      <c r="N105" s="458">
        <v>68</v>
      </c>
      <c r="O105" s="458">
        <v>0</v>
      </c>
      <c r="P105" s="1726">
        <f t="shared" si="6"/>
        <v>0</v>
      </c>
    </row>
    <row r="106" spans="1:18" x14ac:dyDescent="0.25">
      <c r="A106" s="643" t="s">
        <v>82</v>
      </c>
      <c r="B106" s="644" t="s">
        <v>83</v>
      </c>
      <c r="C106" s="645" t="s">
        <v>264</v>
      </c>
      <c r="D106" s="265">
        <v>7</v>
      </c>
      <c r="E106" s="2336">
        <v>2</v>
      </c>
      <c r="F106" s="458">
        <v>5</v>
      </c>
      <c r="G106" s="458">
        <v>0</v>
      </c>
      <c r="H106" s="458">
        <v>0</v>
      </c>
      <c r="I106" s="1726">
        <f t="shared" si="4"/>
        <v>0</v>
      </c>
      <c r="J106" s="2336">
        <v>2</v>
      </c>
      <c r="K106" s="458">
        <v>5</v>
      </c>
      <c r="L106" s="1726">
        <f t="shared" si="5"/>
        <v>0</v>
      </c>
      <c r="M106" s="2336">
        <v>4</v>
      </c>
      <c r="N106" s="458">
        <v>3</v>
      </c>
      <c r="O106" s="458">
        <v>0</v>
      </c>
      <c r="P106" s="1726">
        <f t="shared" si="6"/>
        <v>0</v>
      </c>
    </row>
    <row r="107" spans="1:18" x14ac:dyDescent="0.25">
      <c r="A107" s="643" t="s">
        <v>88</v>
      </c>
      <c r="B107" s="644" t="s">
        <v>89</v>
      </c>
      <c r="C107" s="645" t="s">
        <v>267</v>
      </c>
      <c r="D107" s="1154">
        <v>134</v>
      </c>
      <c r="E107" s="2337">
        <v>75</v>
      </c>
      <c r="F107" s="760">
        <v>49</v>
      </c>
      <c r="G107" s="760">
        <v>0</v>
      </c>
      <c r="H107" s="760">
        <v>9</v>
      </c>
      <c r="I107" s="1726">
        <f t="shared" si="4"/>
        <v>1</v>
      </c>
      <c r="J107" s="2337">
        <v>47</v>
      </c>
      <c r="K107" s="760">
        <v>87</v>
      </c>
      <c r="L107" s="1726">
        <f t="shared" si="5"/>
        <v>0</v>
      </c>
      <c r="M107" s="2337">
        <v>73</v>
      </c>
      <c r="N107" s="760">
        <v>61</v>
      </c>
      <c r="O107" s="760">
        <v>0</v>
      </c>
      <c r="P107" s="1726">
        <f t="shared" si="6"/>
        <v>0</v>
      </c>
      <c r="Q107" s="2324"/>
      <c r="R107" s="2324"/>
    </row>
    <row r="108" spans="1:18" x14ac:dyDescent="0.25">
      <c r="A108" s="643" t="s">
        <v>90</v>
      </c>
      <c r="B108" s="644" t="s">
        <v>91</v>
      </c>
      <c r="C108" s="645" t="s">
        <v>268</v>
      </c>
      <c r="D108" s="265">
        <v>38</v>
      </c>
      <c r="E108" s="2336">
        <v>33</v>
      </c>
      <c r="F108" s="458">
        <v>3</v>
      </c>
      <c r="G108" s="458">
        <v>0</v>
      </c>
      <c r="H108" s="458">
        <v>2</v>
      </c>
      <c r="I108" s="1726">
        <f t="shared" si="4"/>
        <v>0</v>
      </c>
      <c r="J108" s="2336">
        <v>7</v>
      </c>
      <c r="K108" s="458">
        <v>27</v>
      </c>
      <c r="L108" s="1726">
        <f t="shared" si="5"/>
        <v>4</v>
      </c>
      <c r="M108" s="2336">
        <v>23</v>
      </c>
      <c r="N108" s="458">
        <v>15</v>
      </c>
      <c r="O108" s="458">
        <v>0</v>
      </c>
      <c r="P108" s="1726">
        <f t="shared" si="6"/>
        <v>0</v>
      </c>
    </row>
    <row r="109" spans="1:18" x14ac:dyDescent="0.25">
      <c r="A109" s="643" t="s">
        <v>106</v>
      </c>
      <c r="B109" s="644" t="s">
        <v>107</v>
      </c>
      <c r="C109" s="645" t="s">
        <v>264</v>
      </c>
      <c r="D109" s="1154">
        <v>298</v>
      </c>
      <c r="E109" s="2336">
        <v>128</v>
      </c>
      <c r="F109" s="458">
        <v>145</v>
      </c>
      <c r="G109" s="458">
        <v>4</v>
      </c>
      <c r="H109" s="458">
        <v>19</v>
      </c>
      <c r="I109" s="1726">
        <f t="shared" si="4"/>
        <v>2</v>
      </c>
      <c r="J109" s="2336">
        <v>84</v>
      </c>
      <c r="K109" s="458">
        <v>214</v>
      </c>
      <c r="L109" s="1726">
        <f t="shared" si="5"/>
        <v>0</v>
      </c>
      <c r="M109" s="2336">
        <v>179</v>
      </c>
      <c r="N109" s="458">
        <v>119</v>
      </c>
      <c r="O109" s="458">
        <v>0</v>
      </c>
      <c r="P109" s="1726">
        <f t="shared" si="6"/>
        <v>0</v>
      </c>
      <c r="R109" s="265"/>
    </row>
    <row r="110" spans="1:18" x14ac:dyDescent="0.25">
      <c r="A110" s="643" t="s">
        <v>116</v>
      </c>
      <c r="B110" s="644" t="s">
        <v>117</v>
      </c>
      <c r="C110" s="645" t="s">
        <v>266</v>
      </c>
      <c r="D110" s="265">
        <v>141</v>
      </c>
      <c r="E110" s="2336">
        <v>68</v>
      </c>
      <c r="F110" s="458">
        <v>53</v>
      </c>
      <c r="G110" s="458">
        <v>7</v>
      </c>
      <c r="H110" s="458">
        <v>13</v>
      </c>
      <c r="I110" s="1726">
        <f t="shared" si="4"/>
        <v>0</v>
      </c>
      <c r="J110" s="2336">
        <v>36</v>
      </c>
      <c r="K110" s="458">
        <v>105</v>
      </c>
      <c r="L110" s="1726">
        <f t="shared" si="5"/>
        <v>0</v>
      </c>
      <c r="M110" s="2336">
        <v>87</v>
      </c>
      <c r="N110" s="458">
        <v>54</v>
      </c>
      <c r="O110" s="458">
        <v>0</v>
      </c>
      <c r="P110" s="1726">
        <f t="shared" si="6"/>
        <v>0</v>
      </c>
    </row>
    <row r="111" spans="1:18" x14ac:dyDescent="0.25">
      <c r="A111" s="643" t="s">
        <v>138</v>
      </c>
      <c r="B111" s="644" t="s">
        <v>139</v>
      </c>
      <c r="C111" s="645" t="s">
        <v>265</v>
      </c>
      <c r="D111" s="265">
        <v>568</v>
      </c>
      <c r="E111" s="2336">
        <v>342</v>
      </c>
      <c r="F111" s="458">
        <v>161</v>
      </c>
      <c r="G111" s="458">
        <v>1</v>
      </c>
      <c r="H111" s="760">
        <v>61</v>
      </c>
      <c r="I111" s="1726">
        <f t="shared" si="4"/>
        <v>3</v>
      </c>
      <c r="J111" s="2336">
        <v>158</v>
      </c>
      <c r="K111" s="458">
        <v>410</v>
      </c>
      <c r="L111" s="1726">
        <f t="shared" si="5"/>
        <v>0</v>
      </c>
      <c r="M111" s="2336">
        <v>336</v>
      </c>
      <c r="N111" s="458">
        <v>232</v>
      </c>
      <c r="O111" s="458">
        <v>0</v>
      </c>
      <c r="P111" s="1726">
        <f t="shared" si="6"/>
        <v>0</v>
      </c>
    </row>
    <row r="112" spans="1:18" x14ac:dyDescent="0.25">
      <c r="A112" s="643" t="s">
        <v>142</v>
      </c>
      <c r="B112" s="644" t="s">
        <v>143</v>
      </c>
      <c r="C112" s="645" t="s">
        <v>267</v>
      </c>
      <c r="D112" s="1154">
        <v>36</v>
      </c>
      <c r="E112" s="2337">
        <v>22</v>
      </c>
      <c r="F112" s="760">
        <v>6</v>
      </c>
      <c r="G112" s="760">
        <v>1</v>
      </c>
      <c r="H112" s="760">
        <v>6</v>
      </c>
      <c r="I112" s="1726">
        <f t="shared" si="4"/>
        <v>1</v>
      </c>
      <c r="J112" s="2337">
        <v>10</v>
      </c>
      <c r="K112" s="760">
        <v>26</v>
      </c>
      <c r="L112" s="1726">
        <f t="shared" si="5"/>
        <v>0</v>
      </c>
      <c r="M112" s="2337">
        <v>25</v>
      </c>
      <c r="N112" s="760">
        <v>11</v>
      </c>
      <c r="O112" s="760">
        <v>0</v>
      </c>
      <c r="P112" s="1726">
        <f t="shared" si="6"/>
        <v>0</v>
      </c>
      <c r="Q112" s="2324"/>
      <c r="R112" s="2324"/>
    </row>
    <row r="113" spans="1:18" x14ac:dyDescent="0.25">
      <c r="A113" s="643" t="s">
        <v>144</v>
      </c>
      <c r="B113" s="644" t="s">
        <v>145</v>
      </c>
      <c r="C113" s="645" t="s">
        <v>267</v>
      </c>
      <c r="D113" s="1154">
        <v>37</v>
      </c>
      <c r="E113" s="2337">
        <v>17</v>
      </c>
      <c r="F113" s="760">
        <v>6</v>
      </c>
      <c r="G113" s="760">
        <v>0</v>
      </c>
      <c r="H113" s="760">
        <v>12</v>
      </c>
      <c r="I113" s="1726">
        <f t="shared" si="4"/>
        <v>2</v>
      </c>
      <c r="J113" s="2337">
        <v>19</v>
      </c>
      <c r="K113" s="760">
        <v>18</v>
      </c>
      <c r="L113" s="1726">
        <f t="shared" si="5"/>
        <v>0</v>
      </c>
      <c r="M113" s="2337">
        <v>16</v>
      </c>
      <c r="N113" s="760">
        <v>21</v>
      </c>
      <c r="O113" s="760">
        <v>0</v>
      </c>
      <c r="P113" s="1726">
        <f t="shared" si="6"/>
        <v>0</v>
      </c>
      <c r="Q113" s="2324"/>
      <c r="R113" s="2324"/>
    </row>
    <row r="114" spans="1:18" x14ac:dyDescent="0.25">
      <c r="A114" s="643" t="s">
        <v>158</v>
      </c>
      <c r="B114" s="644" t="s">
        <v>159</v>
      </c>
      <c r="C114" s="645" t="s">
        <v>264</v>
      </c>
      <c r="D114" s="265">
        <v>810</v>
      </c>
      <c r="E114" s="2336">
        <v>391</v>
      </c>
      <c r="F114" s="458">
        <v>340</v>
      </c>
      <c r="G114" s="458">
        <v>12</v>
      </c>
      <c r="H114" s="458">
        <v>54</v>
      </c>
      <c r="I114" s="2338">
        <f t="shared" si="4"/>
        <v>13</v>
      </c>
      <c r="J114" s="2336">
        <v>166</v>
      </c>
      <c r="K114" s="458">
        <v>639</v>
      </c>
      <c r="L114" s="1726">
        <f t="shared" si="5"/>
        <v>5</v>
      </c>
      <c r="M114" s="2336">
        <v>572</v>
      </c>
      <c r="N114" s="458">
        <v>237</v>
      </c>
      <c r="O114" s="458">
        <v>1</v>
      </c>
      <c r="P114" s="1726">
        <f t="shared" si="6"/>
        <v>0</v>
      </c>
    </row>
    <row r="115" spans="1:18" x14ac:dyDescent="0.25">
      <c r="A115" s="643" t="s">
        <v>160</v>
      </c>
      <c r="B115" s="644" t="s">
        <v>161</v>
      </c>
      <c r="C115" s="645" t="s">
        <v>264</v>
      </c>
      <c r="D115" s="265">
        <v>1000</v>
      </c>
      <c r="E115" s="2336">
        <v>406</v>
      </c>
      <c r="F115" s="458">
        <v>456</v>
      </c>
      <c r="G115" s="458">
        <v>19</v>
      </c>
      <c r="H115" s="458">
        <v>111</v>
      </c>
      <c r="I115" s="1726">
        <f t="shared" si="4"/>
        <v>8</v>
      </c>
      <c r="J115" s="2336">
        <v>279</v>
      </c>
      <c r="K115" s="458">
        <v>713</v>
      </c>
      <c r="L115" s="1726">
        <f t="shared" si="5"/>
        <v>8</v>
      </c>
      <c r="M115" s="2336">
        <v>562</v>
      </c>
      <c r="N115" s="458">
        <v>434</v>
      </c>
      <c r="O115" s="458">
        <v>4</v>
      </c>
      <c r="P115" s="1726">
        <f t="shared" si="6"/>
        <v>0</v>
      </c>
    </row>
    <row r="116" spans="1:18" x14ac:dyDescent="0.25">
      <c r="A116" s="643" t="s">
        <v>166</v>
      </c>
      <c r="B116" s="644" t="s">
        <v>167</v>
      </c>
      <c r="C116" s="645" t="s">
        <v>268</v>
      </c>
      <c r="D116" s="791">
        <v>38</v>
      </c>
      <c r="E116" s="2339">
        <v>35</v>
      </c>
      <c r="F116" s="2340">
        <v>2</v>
      </c>
      <c r="G116" s="2340">
        <v>0</v>
      </c>
      <c r="H116" s="2340">
        <v>1</v>
      </c>
      <c r="I116" s="1726">
        <f t="shared" si="4"/>
        <v>0</v>
      </c>
      <c r="J116" s="2339">
        <v>10</v>
      </c>
      <c r="K116" s="2340">
        <v>28</v>
      </c>
      <c r="L116" s="1726">
        <f t="shared" si="5"/>
        <v>0</v>
      </c>
      <c r="M116" s="2339">
        <v>26</v>
      </c>
      <c r="N116" s="2340">
        <v>12</v>
      </c>
      <c r="O116" s="2340">
        <v>0</v>
      </c>
      <c r="P116" s="1726">
        <f t="shared" si="6"/>
        <v>0</v>
      </c>
    </row>
    <row r="117" spans="1:18" x14ac:dyDescent="0.25">
      <c r="A117" s="643" t="s">
        <v>176</v>
      </c>
      <c r="B117" s="644" t="s">
        <v>177</v>
      </c>
      <c r="C117" s="645" t="s">
        <v>266</v>
      </c>
      <c r="D117" s="265">
        <v>139</v>
      </c>
      <c r="E117" s="2336">
        <v>27</v>
      </c>
      <c r="F117" s="458">
        <v>96</v>
      </c>
      <c r="G117" s="458">
        <v>0</v>
      </c>
      <c r="H117" s="458">
        <v>16</v>
      </c>
      <c r="I117" s="1726">
        <f t="shared" si="4"/>
        <v>0</v>
      </c>
      <c r="J117" s="2336">
        <v>57</v>
      </c>
      <c r="K117" s="458">
        <v>82</v>
      </c>
      <c r="L117" s="1726">
        <f t="shared" si="5"/>
        <v>0</v>
      </c>
      <c r="M117" s="2336">
        <v>64</v>
      </c>
      <c r="N117" s="458">
        <v>74</v>
      </c>
      <c r="O117" s="458">
        <v>1</v>
      </c>
      <c r="P117" s="1726">
        <f t="shared" si="6"/>
        <v>0</v>
      </c>
    </row>
    <row r="118" spans="1:18" x14ac:dyDescent="0.25">
      <c r="A118" s="643" t="s">
        <v>180</v>
      </c>
      <c r="B118" s="644" t="s">
        <v>181</v>
      </c>
      <c r="C118" s="645" t="s">
        <v>264</v>
      </c>
      <c r="D118" s="265">
        <v>241</v>
      </c>
      <c r="E118" s="2336">
        <v>89</v>
      </c>
      <c r="F118" s="458">
        <v>128</v>
      </c>
      <c r="G118" s="458">
        <v>4</v>
      </c>
      <c r="H118" s="458">
        <v>19</v>
      </c>
      <c r="I118" s="1726">
        <f t="shared" si="4"/>
        <v>1</v>
      </c>
      <c r="J118" s="2336">
        <v>67</v>
      </c>
      <c r="K118" s="458">
        <v>171</v>
      </c>
      <c r="L118" s="1726">
        <f t="shared" si="5"/>
        <v>3</v>
      </c>
      <c r="M118" s="2336">
        <v>152</v>
      </c>
      <c r="N118" s="458">
        <v>88</v>
      </c>
      <c r="O118" s="458">
        <v>1</v>
      </c>
      <c r="P118" s="1726">
        <f t="shared" si="6"/>
        <v>0</v>
      </c>
    </row>
    <row r="119" spans="1:18" x14ac:dyDescent="0.25">
      <c r="A119" s="643" t="s">
        <v>192</v>
      </c>
      <c r="B119" s="644" t="s">
        <v>193</v>
      </c>
      <c r="C119" s="645" t="s">
        <v>268</v>
      </c>
      <c r="D119" s="458">
        <v>67</v>
      </c>
      <c r="E119" s="2336">
        <v>54</v>
      </c>
      <c r="F119" s="458">
        <v>11</v>
      </c>
      <c r="G119" s="458">
        <v>0</v>
      </c>
      <c r="H119" s="458">
        <v>2</v>
      </c>
      <c r="I119" s="1726">
        <f t="shared" si="4"/>
        <v>0</v>
      </c>
      <c r="J119" s="2336">
        <v>23</v>
      </c>
      <c r="K119" s="458">
        <v>44</v>
      </c>
      <c r="L119" s="1726">
        <f t="shared" si="5"/>
        <v>0</v>
      </c>
      <c r="M119" s="2336">
        <v>41</v>
      </c>
      <c r="N119" s="458">
        <v>26</v>
      </c>
      <c r="O119" s="458">
        <v>0</v>
      </c>
      <c r="P119" s="1726">
        <f t="shared" si="6"/>
        <v>0</v>
      </c>
    </row>
    <row r="120" spans="1:18" x14ac:dyDescent="0.25">
      <c r="A120" s="643" t="s">
        <v>196</v>
      </c>
      <c r="B120" s="644" t="s">
        <v>197</v>
      </c>
      <c r="C120" s="645" t="s">
        <v>266</v>
      </c>
      <c r="D120" s="265">
        <v>891</v>
      </c>
      <c r="E120" s="2336">
        <v>308</v>
      </c>
      <c r="F120" s="458">
        <v>520</v>
      </c>
      <c r="G120" s="458">
        <v>8</v>
      </c>
      <c r="H120" s="458">
        <v>52</v>
      </c>
      <c r="I120" s="1726">
        <f t="shared" si="4"/>
        <v>3</v>
      </c>
      <c r="J120" s="2336">
        <v>264</v>
      </c>
      <c r="K120" s="458">
        <v>626</v>
      </c>
      <c r="L120" s="1726">
        <f t="shared" si="5"/>
        <v>1</v>
      </c>
      <c r="M120" s="2336">
        <v>506</v>
      </c>
      <c r="N120" s="458">
        <v>381</v>
      </c>
      <c r="O120" s="458">
        <v>4</v>
      </c>
      <c r="P120" s="1726">
        <f t="shared" si="6"/>
        <v>0</v>
      </c>
    </row>
    <row r="121" spans="1:18" x14ac:dyDescent="0.25">
      <c r="A121" s="643" t="s">
        <v>200</v>
      </c>
      <c r="B121" s="644" t="s">
        <v>201</v>
      </c>
      <c r="C121" s="645" t="s">
        <v>265</v>
      </c>
      <c r="D121" s="265">
        <v>892</v>
      </c>
      <c r="E121" s="2336">
        <v>537</v>
      </c>
      <c r="F121" s="458">
        <v>214</v>
      </c>
      <c r="G121" s="458">
        <v>8</v>
      </c>
      <c r="H121" s="760">
        <v>129</v>
      </c>
      <c r="I121" s="1726">
        <f t="shared" si="4"/>
        <v>4</v>
      </c>
      <c r="J121" s="2336">
        <v>264</v>
      </c>
      <c r="K121" s="458">
        <v>627</v>
      </c>
      <c r="L121" s="1726">
        <f t="shared" si="5"/>
        <v>1</v>
      </c>
      <c r="M121" s="2336">
        <v>521</v>
      </c>
      <c r="N121" s="458">
        <v>363</v>
      </c>
      <c r="O121" s="458">
        <v>8</v>
      </c>
      <c r="P121" s="1726">
        <f t="shared" si="6"/>
        <v>0</v>
      </c>
    </row>
    <row r="122" spans="1:18" x14ac:dyDescent="0.25">
      <c r="A122" s="643" t="s">
        <v>222</v>
      </c>
      <c r="B122" s="644" t="s">
        <v>223</v>
      </c>
      <c r="C122" s="645" t="s">
        <v>264</v>
      </c>
      <c r="D122" s="265">
        <v>406</v>
      </c>
      <c r="E122" s="2336">
        <v>175</v>
      </c>
      <c r="F122" s="458">
        <v>202</v>
      </c>
      <c r="G122" s="458">
        <v>4</v>
      </c>
      <c r="H122" s="458">
        <v>23</v>
      </c>
      <c r="I122" s="1726">
        <f t="shared" si="4"/>
        <v>2</v>
      </c>
      <c r="J122" s="2336">
        <v>145</v>
      </c>
      <c r="K122" s="458">
        <v>260</v>
      </c>
      <c r="L122" s="1726">
        <f t="shared" si="5"/>
        <v>1</v>
      </c>
      <c r="M122" s="2336">
        <v>250</v>
      </c>
      <c r="N122" s="458">
        <v>156</v>
      </c>
      <c r="O122" s="458">
        <v>0</v>
      </c>
      <c r="P122" s="1726">
        <f t="shared" si="6"/>
        <v>0</v>
      </c>
    </row>
    <row r="123" spans="1:18" x14ac:dyDescent="0.25">
      <c r="A123" s="643" t="s">
        <v>230</v>
      </c>
      <c r="B123" s="644" t="s">
        <v>231</v>
      </c>
      <c r="C123" s="645" t="s">
        <v>264</v>
      </c>
      <c r="D123" s="265">
        <v>1457</v>
      </c>
      <c r="E123" s="2336">
        <v>946</v>
      </c>
      <c r="F123" s="458">
        <v>325</v>
      </c>
      <c r="G123" s="458">
        <v>56</v>
      </c>
      <c r="H123" s="458">
        <v>107</v>
      </c>
      <c r="I123" s="2338">
        <f t="shared" si="4"/>
        <v>23</v>
      </c>
      <c r="J123" s="2336">
        <v>337</v>
      </c>
      <c r="K123" s="458">
        <v>1120</v>
      </c>
      <c r="L123" s="1726">
        <f t="shared" si="5"/>
        <v>0</v>
      </c>
      <c r="M123" s="2336">
        <v>896</v>
      </c>
      <c r="N123" s="458">
        <v>560</v>
      </c>
      <c r="O123" s="458">
        <v>1</v>
      </c>
      <c r="P123" s="1726">
        <f t="shared" si="6"/>
        <v>0</v>
      </c>
    </row>
    <row r="124" spans="1:18" x14ac:dyDescent="0.25">
      <c r="A124" s="643" t="s">
        <v>238</v>
      </c>
      <c r="B124" s="644" t="s">
        <v>239</v>
      </c>
      <c r="C124" s="645" t="s">
        <v>264</v>
      </c>
      <c r="D124" s="265">
        <v>76</v>
      </c>
      <c r="E124" s="2336">
        <v>46</v>
      </c>
      <c r="F124" s="458">
        <v>20</v>
      </c>
      <c r="G124" s="458">
        <v>1</v>
      </c>
      <c r="H124" s="458">
        <v>6</v>
      </c>
      <c r="I124" s="1726">
        <f t="shared" si="4"/>
        <v>3</v>
      </c>
      <c r="J124" s="2336">
        <v>24</v>
      </c>
      <c r="K124" s="458">
        <v>52</v>
      </c>
      <c r="L124" s="1726">
        <f t="shared" si="5"/>
        <v>0</v>
      </c>
      <c r="M124" s="2336">
        <v>48</v>
      </c>
      <c r="N124" s="458">
        <v>28</v>
      </c>
      <c r="O124" s="458">
        <v>0</v>
      </c>
      <c r="P124" s="1726">
        <f t="shared" si="6"/>
        <v>0</v>
      </c>
    </row>
    <row r="125" spans="1:18" x14ac:dyDescent="0.25">
      <c r="A125" s="646" t="s">
        <v>240</v>
      </c>
      <c r="B125" s="647" t="s">
        <v>241</v>
      </c>
      <c r="C125" s="648" t="s">
        <v>267</v>
      </c>
      <c r="D125" s="2325">
        <v>181</v>
      </c>
      <c r="E125" s="2341">
        <v>121</v>
      </c>
      <c r="F125" s="2330">
        <v>18</v>
      </c>
      <c r="G125" s="2330">
        <v>2</v>
      </c>
      <c r="H125" s="2330">
        <v>34</v>
      </c>
      <c r="I125" s="2342">
        <f t="shared" si="4"/>
        <v>6</v>
      </c>
      <c r="J125" s="2341">
        <v>62</v>
      </c>
      <c r="K125" s="2330">
        <v>118</v>
      </c>
      <c r="L125" s="2342">
        <f t="shared" si="5"/>
        <v>1</v>
      </c>
      <c r="M125" s="2341">
        <v>93</v>
      </c>
      <c r="N125" s="2330">
        <v>88</v>
      </c>
      <c r="O125" s="2330">
        <v>0</v>
      </c>
      <c r="P125" s="2342">
        <f t="shared" si="6"/>
        <v>0</v>
      </c>
      <c r="Q125" s="2324"/>
      <c r="R125" s="2324"/>
    </row>
    <row r="126" spans="1:18" x14ac:dyDescent="0.25">
      <c r="A126" s="643"/>
      <c r="B126" s="644"/>
      <c r="C126" s="645"/>
    </row>
    <row r="127" spans="1:18" ht="45" customHeight="1" x14ac:dyDescent="0.25">
      <c r="A127" s="2766" t="s">
        <v>1362</v>
      </c>
      <c r="B127" s="2766"/>
      <c r="C127" s="2766"/>
      <c r="D127" s="2766"/>
      <c r="E127" s="2766"/>
      <c r="F127" s="2766"/>
      <c r="G127" s="2766"/>
      <c r="H127" s="2766"/>
      <c r="I127" s="2766"/>
      <c r="J127" s="2766"/>
      <c r="K127" s="2766"/>
      <c r="L127" s="2327"/>
      <c r="M127" s="1594"/>
      <c r="N127" s="1594"/>
      <c r="O127" s="1594"/>
      <c r="P127" s="2327"/>
    </row>
    <row r="128" spans="1:18" x14ac:dyDescent="0.25">
      <c r="A128" s="784"/>
      <c r="B128" s="784"/>
      <c r="C128" s="784"/>
      <c r="D128" s="784"/>
      <c r="E128" s="784"/>
      <c r="F128" s="784"/>
      <c r="G128" s="779"/>
      <c r="H128" s="779"/>
      <c r="I128" s="779"/>
      <c r="J128" s="779"/>
      <c r="K128" s="779"/>
      <c r="L128" s="779"/>
      <c r="M128" s="779"/>
      <c r="N128" s="779"/>
      <c r="O128" s="779"/>
      <c r="P128" s="779"/>
    </row>
    <row r="129" spans="1:16" s="389" customFormat="1" x14ac:dyDescent="0.25">
      <c r="A129" s="2765" t="s">
        <v>248</v>
      </c>
      <c r="B129" s="2765"/>
      <c r="C129" s="2765"/>
      <c r="D129" s="2765"/>
      <c r="E129" s="2765"/>
      <c r="F129" s="2765"/>
      <c r="G129" s="2765"/>
      <c r="H129" s="2765"/>
      <c r="I129" s="2765"/>
      <c r="J129" s="2765"/>
      <c r="K129" s="2765"/>
      <c r="L129" s="2326"/>
      <c r="M129" s="1593"/>
      <c r="N129" s="1593"/>
      <c r="O129" s="1593"/>
      <c r="P129" s="2326"/>
    </row>
    <row r="130" spans="1:16" s="265" customFormat="1" x14ac:dyDescent="0.25">
      <c r="A130" s="390" t="s">
        <v>249</v>
      </c>
      <c r="B130" s="391" t="s">
        <v>250</v>
      </c>
      <c r="C130" s="788"/>
    </row>
    <row r="136" spans="1:16" ht="15.75" customHeight="1" x14ac:dyDescent="0.25">
      <c r="A136" s="2764" t="s">
        <v>766</v>
      </c>
      <c r="B136" s="2764"/>
      <c r="C136" s="2764"/>
      <c r="D136" s="2764"/>
      <c r="E136" s="2764"/>
      <c r="F136" s="2764"/>
    </row>
  </sheetData>
  <autoFilter ref="A4:C125"/>
  <sortState ref="A6:I125">
    <sortCondition ref="A6:A125"/>
  </sortState>
  <mergeCells count="6">
    <mergeCell ref="A136:F136"/>
    <mergeCell ref="A129:K129"/>
    <mergeCell ref="A127:K127"/>
    <mergeCell ref="M3:P3"/>
    <mergeCell ref="J3:L3"/>
    <mergeCell ref="E3:I3"/>
  </mergeCells>
  <hyperlinks>
    <hyperlink ref="B130"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32"/>
  <sheetViews>
    <sheetView workbookViewId="0">
      <pane ySplit="3" topLeftCell="A102" activePane="bottomLeft" state="frozen"/>
      <selection pane="bottomLeft" activeCell="E15" sqref="E15"/>
    </sheetView>
  </sheetViews>
  <sheetFormatPr defaultRowHeight="15.75" x14ac:dyDescent="0.25"/>
  <cols>
    <col min="1" max="1" width="14.75" style="265" customWidth="1"/>
    <col min="2" max="2" width="33.75" style="265" customWidth="1"/>
    <col min="3" max="3" width="18.25" style="265" customWidth="1"/>
    <col min="4" max="4" width="16.125" style="265" customWidth="1"/>
    <col min="5" max="16384" width="9" style="265"/>
  </cols>
  <sheetData>
    <row r="1" spans="1:4" x14ac:dyDescent="0.25">
      <c r="A1" s="64" t="s">
        <v>659</v>
      </c>
    </row>
    <row r="2" spans="1:4" x14ac:dyDescent="0.25">
      <c r="A2" s="64"/>
    </row>
    <row r="3" spans="1:4" x14ac:dyDescent="0.25">
      <c r="A3" s="64" t="s">
        <v>4</v>
      </c>
      <c r="B3" s="64" t="s">
        <v>5</v>
      </c>
      <c r="C3" s="64" t="s">
        <v>251</v>
      </c>
      <c r="D3" s="64" t="s">
        <v>599</v>
      </c>
    </row>
    <row r="4" spans="1:4" x14ac:dyDescent="0.25">
      <c r="A4" s="265" t="s">
        <v>10</v>
      </c>
      <c r="B4" s="265" t="s">
        <v>11</v>
      </c>
      <c r="C4" s="265" t="s">
        <v>264</v>
      </c>
      <c r="D4" s="265" t="s">
        <v>714</v>
      </c>
    </row>
    <row r="5" spans="1:4" x14ac:dyDescent="0.25">
      <c r="A5" s="265" t="s">
        <v>12</v>
      </c>
      <c r="B5" s="265" t="s">
        <v>13</v>
      </c>
      <c r="C5" s="265" t="s">
        <v>265</v>
      </c>
      <c r="D5" s="265" t="s">
        <v>714</v>
      </c>
    </row>
    <row r="6" spans="1:4" x14ac:dyDescent="0.25">
      <c r="A6" s="265" t="s">
        <v>16</v>
      </c>
      <c r="B6" s="265" t="s">
        <v>600</v>
      </c>
      <c r="C6" s="265" t="s">
        <v>265</v>
      </c>
      <c r="D6" s="265" t="s">
        <v>715</v>
      </c>
    </row>
    <row r="7" spans="1:4" x14ac:dyDescent="0.25">
      <c r="A7" s="265" t="s">
        <v>18</v>
      </c>
      <c r="B7" s="265" t="s">
        <v>19</v>
      </c>
      <c r="C7" s="265" t="s">
        <v>266</v>
      </c>
      <c r="D7" s="265" t="s">
        <v>715</v>
      </c>
    </row>
    <row r="8" spans="1:4" x14ac:dyDescent="0.25">
      <c r="A8" s="265" t="s">
        <v>20</v>
      </c>
      <c r="B8" s="265" t="s">
        <v>21</v>
      </c>
      <c r="C8" s="265" t="s">
        <v>265</v>
      </c>
      <c r="D8" s="265" t="s">
        <v>715</v>
      </c>
    </row>
    <row r="9" spans="1:4" x14ac:dyDescent="0.25">
      <c r="A9" s="265" t="s">
        <v>22</v>
      </c>
      <c r="B9" s="265" t="s">
        <v>23</v>
      </c>
      <c r="C9" s="265" t="s">
        <v>265</v>
      </c>
      <c r="D9" s="265" t="s">
        <v>715</v>
      </c>
    </row>
    <row r="10" spans="1:4" x14ac:dyDescent="0.25">
      <c r="A10" s="265" t="s">
        <v>24</v>
      </c>
      <c r="B10" s="265" t="s">
        <v>25</v>
      </c>
      <c r="C10" s="265" t="s">
        <v>267</v>
      </c>
      <c r="D10" s="265" t="s">
        <v>714</v>
      </c>
    </row>
    <row r="11" spans="1:4" x14ac:dyDescent="0.25">
      <c r="A11" s="265" t="s">
        <v>26</v>
      </c>
      <c r="B11" s="265" t="s">
        <v>685</v>
      </c>
      <c r="C11" s="265" t="s">
        <v>265</v>
      </c>
      <c r="D11" s="265" t="s">
        <v>714</v>
      </c>
    </row>
    <row r="12" spans="1:4" x14ac:dyDescent="0.25">
      <c r="A12" s="265" t="s">
        <v>27</v>
      </c>
      <c r="B12" s="265" t="s">
        <v>28</v>
      </c>
      <c r="C12" s="265" t="s">
        <v>265</v>
      </c>
      <c r="D12" s="265" t="s">
        <v>715</v>
      </c>
    </row>
    <row r="13" spans="1:4" x14ac:dyDescent="0.25">
      <c r="A13" s="265" t="s">
        <v>29</v>
      </c>
      <c r="B13" s="458" t="s">
        <v>901</v>
      </c>
      <c r="C13" s="265" t="s">
        <v>265</v>
      </c>
      <c r="D13" s="265" t="s">
        <v>715</v>
      </c>
    </row>
    <row r="14" spans="1:4" x14ac:dyDescent="0.25">
      <c r="A14" s="265" t="s">
        <v>30</v>
      </c>
      <c r="B14" s="265" t="s">
        <v>31</v>
      </c>
      <c r="C14" s="265" t="s">
        <v>268</v>
      </c>
      <c r="D14" s="265" t="s">
        <v>715</v>
      </c>
    </row>
    <row r="15" spans="1:4" x14ac:dyDescent="0.25">
      <c r="A15" s="265" t="s">
        <v>32</v>
      </c>
      <c r="B15" s="265" t="s">
        <v>33</v>
      </c>
      <c r="C15" s="265" t="s">
        <v>265</v>
      </c>
      <c r="D15" s="265" t="s">
        <v>715</v>
      </c>
    </row>
    <row r="16" spans="1:4" x14ac:dyDescent="0.25">
      <c r="A16" s="265" t="s">
        <v>36</v>
      </c>
      <c r="B16" s="265" t="s">
        <v>37</v>
      </c>
      <c r="C16" s="265" t="s">
        <v>264</v>
      </c>
      <c r="D16" s="265" t="s">
        <v>715</v>
      </c>
    </row>
    <row r="17" spans="1:4" x14ac:dyDescent="0.25">
      <c r="A17" s="265" t="s">
        <v>38</v>
      </c>
      <c r="B17" s="1154" t="s">
        <v>39</v>
      </c>
      <c r="C17" s="265" t="s">
        <v>268</v>
      </c>
      <c r="D17" s="265" t="s">
        <v>715</v>
      </c>
    </row>
    <row r="18" spans="1:4" x14ac:dyDescent="0.25">
      <c r="A18" s="265" t="s">
        <v>40</v>
      </c>
      <c r="B18" s="265" t="s">
        <v>41</v>
      </c>
      <c r="C18" s="265" t="s">
        <v>266</v>
      </c>
      <c r="D18" s="265" t="s">
        <v>715</v>
      </c>
    </row>
    <row r="19" spans="1:4" x14ac:dyDescent="0.25">
      <c r="A19" s="265" t="s">
        <v>42</v>
      </c>
      <c r="B19" s="265" t="s">
        <v>43</v>
      </c>
      <c r="C19" s="265" t="s">
        <v>265</v>
      </c>
      <c r="D19" s="265" t="s">
        <v>715</v>
      </c>
    </row>
    <row r="20" spans="1:4" x14ac:dyDescent="0.25">
      <c r="A20" s="265" t="s">
        <v>44</v>
      </c>
      <c r="B20" s="265" t="s">
        <v>45</v>
      </c>
      <c r="C20" s="265" t="s">
        <v>266</v>
      </c>
      <c r="D20" s="265" t="s">
        <v>715</v>
      </c>
    </row>
    <row r="21" spans="1:4" x14ac:dyDescent="0.25">
      <c r="A21" s="265" t="s">
        <v>46</v>
      </c>
      <c r="B21" s="265" t="s">
        <v>47</v>
      </c>
      <c r="C21" s="265" t="s">
        <v>268</v>
      </c>
      <c r="D21" s="265" t="s">
        <v>715</v>
      </c>
    </row>
    <row r="22" spans="1:4" x14ac:dyDescent="0.25">
      <c r="A22" s="265" t="s">
        <v>48</v>
      </c>
      <c r="B22" s="265" t="s">
        <v>49</v>
      </c>
      <c r="C22" s="265" t="s">
        <v>266</v>
      </c>
      <c r="D22" s="265" t="s">
        <v>715</v>
      </c>
    </row>
    <row r="23" spans="1:4" x14ac:dyDescent="0.25">
      <c r="A23" s="265" t="s">
        <v>50</v>
      </c>
      <c r="B23" s="265" t="s">
        <v>51</v>
      </c>
      <c r="C23" s="265" t="s">
        <v>265</v>
      </c>
      <c r="D23" s="265" t="s">
        <v>715</v>
      </c>
    </row>
    <row r="24" spans="1:4" x14ac:dyDescent="0.25">
      <c r="A24" s="265" t="s">
        <v>56</v>
      </c>
      <c r="B24" s="265" t="s">
        <v>295</v>
      </c>
      <c r="C24" s="265" t="s">
        <v>266</v>
      </c>
      <c r="D24" s="265" t="s">
        <v>714</v>
      </c>
    </row>
    <row r="25" spans="1:4" x14ac:dyDescent="0.25">
      <c r="A25" s="265" t="s">
        <v>58</v>
      </c>
      <c r="B25" s="265" t="s">
        <v>59</v>
      </c>
      <c r="C25" s="265" t="s">
        <v>267</v>
      </c>
      <c r="D25" s="265" t="s">
        <v>715</v>
      </c>
    </row>
    <row r="26" spans="1:4" x14ac:dyDescent="0.25">
      <c r="A26" s="265" t="s">
        <v>60</v>
      </c>
      <c r="B26" s="265" t="s">
        <v>61</v>
      </c>
      <c r="C26" s="265" t="s">
        <v>265</v>
      </c>
      <c r="D26" s="265" t="s">
        <v>715</v>
      </c>
    </row>
    <row r="27" spans="1:4" x14ac:dyDescent="0.25">
      <c r="A27" s="265" t="s">
        <v>62</v>
      </c>
      <c r="B27" s="265" t="s">
        <v>63</v>
      </c>
      <c r="C27" s="265" t="s">
        <v>267</v>
      </c>
      <c r="D27" s="265" t="s">
        <v>715</v>
      </c>
    </row>
    <row r="28" spans="1:4" x14ac:dyDescent="0.25">
      <c r="A28" s="265" t="s">
        <v>64</v>
      </c>
      <c r="B28" s="265" t="s">
        <v>65</v>
      </c>
      <c r="C28" s="265" t="s">
        <v>266</v>
      </c>
      <c r="D28" s="265" t="s">
        <v>715</v>
      </c>
    </row>
    <row r="29" spans="1:4" x14ac:dyDescent="0.25">
      <c r="A29" s="265" t="s">
        <v>68</v>
      </c>
      <c r="B29" s="265" t="s">
        <v>69</v>
      </c>
      <c r="C29" s="265" t="s">
        <v>268</v>
      </c>
      <c r="D29" s="265" t="s">
        <v>715</v>
      </c>
    </row>
    <row r="30" spans="1:4" x14ac:dyDescent="0.25">
      <c r="A30" s="265" t="s">
        <v>70</v>
      </c>
      <c r="B30" s="265" t="s">
        <v>71</v>
      </c>
      <c r="C30" s="265" t="s">
        <v>264</v>
      </c>
      <c r="D30" s="265" t="s">
        <v>715</v>
      </c>
    </row>
    <row r="31" spans="1:4" x14ac:dyDescent="0.25">
      <c r="A31" s="265" t="s">
        <v>72</v>
      </c>
      <c r="B31" s="265" t="s">
        <v>73</v>
      </c>
      <c r="C31" s="265" t="s">
        <v>266</v>
      </c>
      <c r="D31" s="265" t="s">
        <v>715</v>
      </c>
    </row>
    <row r="32" spans="1:4" x14ac:dyDescent="0.25">
      <c r="A32" s="265" t="s">
        <v>74</v>
      </c>
      <c r="B32" s="265" t="s">
        <v>601</v>
      </c>
      <c r="C32" s="265" t="s">
        <v>267</v>
      </c>
      <c r="D32" s="265" t="s">
        <v>714</v>
      </c>
    </row>
    <row r="33" spans="1:4" x14ac:dyDescent="0.25">
      <c r="A33" s="265" t="s">
        <v>76</v>
      </c>
      <c r="B33" s="265" t="s">
        <v>77</v>
      </c>
      <c r="C33" s="265" t="s">
        <v>267</v>
      </c>
      <c r="D33" s="265" t="s">
        <v>715</v>
      </c>
    </row>
    <row r="34" spans="1:4" x14ac:dyDescent="0.25">
      <c r="A34" s="265" t="s">
        <v>78</v>
      </c>
      <c r="B34" s="265" t="s">
        <v>79</v>
      </c>
      <c r="C34" s="265" t="s">
        <v>268</v>
      </c>
      <c r="D34" s="265" t="s">
        <v>715</v>
      </c>
    </row>
    <row r="35" spans="1:4" x14ac:dyDescent="0.25">
      <c r="A35" s="265" t="s">
        <v>80</v>
      </c>
      <c r="B35" s="265" t="s">
        <v>81</v>
      </c>
      <c r="C35" s="265" t="s">
        <v>266</v>
      </c>
      <c r="D35" s="265" t="s">
        <v>715</v>
      </c>
    </row>
    <row r="36" spans="1:4" x14ac:dyDescent="0.25">
      <c r="A36" s="265" t="s">
        <v>84</v>
      </c>
      <c r="B36" s="265" t="s">
        <v>85</v>
      </c>
      <c r="C36" s="265" t="s">
        <v>265</v>
      </c>
      <c r="D36" s="265" t="s">
        <v>715</v>
      </c>
    </row>
    <row r="37" spans="1:4" x14ac:dyDescent="0.25">
      <c r="A37" s="265" t="s">
        <v>86</v>
      </c>
      <c r="B37" s="265" t="s">
        <v>87</v>
      </c>
      <c r="C37" s="265" t="s">
        <v>267</v>
      </c>
      <c r="D37" s="265" t="s">
        <v>715</v>
      </c>
    </row>
    <row r="38" spans="1:4" x14ac:dyDescent="0.25">
      <c r="A38" s="265" t="s">
        <v>92</v>
      </c>
      <c r="B38" s="265" t="s">
        <v>93</v>
      </c>
      <c r="C38" s="265" t="s">
        <v>268</v>
      </c>
      <c r="D38" s="265" t="s">
        <v>715</v>
      </c>
    </row>
    <row r="39" spans="1:4" x14ac:dyDescent="0.25">
      <c r="A39" s="265" t="s">
        <v>94</v>
      </c>
      <c r="B39" s="265" t="s">
        <v>95</v>
      </c>
      <c r="C39" s="265" t="s">
        <v>264</v>
      </c>
      <c r="D39" s="265" t="s">
        <v>715</v>
      </c>
    </row>
    <row r="40" spans="1:4" x14ac:dyDescent="0.25">
      <c r="A40" s="265" t="s">
        <v>96</v>
      </c>
      <c r="B40" s="265" t="s">
        <v>97</v>
      </c>
      <c r="C40" s="265" t="s">
        <v>266</v>
      </c>
      <c r="D40" s="265" t="s">
        <v>714</v>
      </c>
    </row>
    <row r="41" spans="1:4" x14ac:dyDescent="0.25">
      <c r="A41" s="265" t="s">
        <v>98</v>
      </c>
      <c r="B41" s="265" t="s">
        <v>99</v>
      </c>
      <c r="C41" s="265" t="s">
        <v>268</v>
      </c>
      <c r="D41" s="265" t="s">
        <v>715</v>
      </c>
    </row>
    <row r="42" spans="1:4" x14ac:dyDescent="0.25">
      <c r="A42" s="265" t="s">
        <v>100</v>
      </c>
      <c r="B42" s="265" t="s">
        <v>101</v>
      </c>
      <c r="C42" s="265" t="s">
        <v>267</v>
      </c>
      <c r="D42" s="265" t="s">
        <v>715</v>
      </c>
    </row>
    <row r="43" spans="1:4" x14ac:dyDescent="0.25">
      <c r="A43" s="265" t="s">
        <v>102</v>
      </c>
      <c r="B43" s="265" t="s">
        <v>282</v>
      </c>
      <c r="C43" s="265" t="s">
        <v>264</v>
      </c>
      <c r="D43" s="265" t="s">
        <v>715</v>
      </c>
    </row>
    <row r="44" spans="1:4" x14ac:dyDescent="0.25">
      <c r="A44" s="265" t="s">
        <v>104</v>
      </c>
      <c r="B44" s="265" t="s">
        <v>602</v>
      </c>
      <c r="C44" s="265" t="s">
        <v>265</v>
      </c>
      <c r="D44" s="265" t="s">
        <v>715</v>
      </c>
    </row>
    <row r="45" spans="1:4" x14ac:dyDescent="0.25">
      <c r="A45" s="265" t="s">
        <v>108</v>
      </c>
      <c r="B45" s="265" t="s">
        <v>109</v>
      </c>
      <c r="C45" s="265" t="s">
        <v>266</v>
      </c>
      <c r="D45" s="265" t="s">
        <v>715</v>
      </c>
    </row>
    <row r="46" spans="1:4" x14ac:dyDescent="0.25">
      <c r="A46" s="265" t="s">
        <v>110</v>
      </c>
      <c r="B46" s="265" t="s">
        <v>111</v>
      </c>
      <c r="C46" s="265" t="s">
        <v>266</v>
      </c>
      <c r="D46" s="265" t="s">
        <v>714</v>
      </c>
    </row>
    <row r="47" spans="1:4" x14ac:dyDescent="0.25">
      <c r="A47" s="265" t="s">
        <v>112</v>
      </c>
      <c r="B47" s="265" t="s">
        <v>300</v>
      </c>
      <c r="C47" s="265" t="s">
        <v>265</v>
      </c>
      <c r="D47" s="265" t="s">
        <v>715</v>
      </c>
    </row>
    <row r="48" spans="1:4" x14ac:dyDescent="0.25">
      <c r="A48" s="265" t="s">
        <v>114</v>
      </c>
      <c r="B48" s="265" t="s">
        <v>115</v>
      </c>
      <c r="C48" s="265" t="s">
        <v>265</v>
      </c>
      <c r="D48" s="265" t="s">
        <v>715</v>
      </c>
    </row>
    <row r="49" spans="1:4" x14ac:dyDescent="0.25">
      <c r="A49" s="265" t="s">
        <v>118</v>
      </c>
      <c r="B49" s="265" t="s">
        <v>119</v>
      </c>
      <c r="C49" s="265" t="s">
        <v>264</v>
      </c>
      <c r="D49" s="265" t="s">
        <v>714</v>
      </c>
    </row>
    <row r="50" spans="1:4" x14ac:dyDescent="0.25">
      <c r="A50" s="265" t="s">
        <v>120</v>
      </c>
      <c r="B50" s="265" t="s">
        <v>121</v>
      </c>
      <c r="C50" s="265" t="s">
        <v>264</v>
      </c>
      <c r="D50" s="265" t="s">
        <v>714</v>
      </c>
    </row>
    <row r="51" spans="1:4" x14ac:dyDescent="0.25">
      <c r="A51" s="265" t="s">
        <v>122</v>
      </c>
      <c r="B51" s="265" t="s">
        <v>123</v>
      </c>
      <c r="C51" s="265" t="s">
        <v>266</v>
      </c>
      <c r="D51" s="265" t="s">
        <v>715</v>
      </c>
    </row>
    <row r="52" spans="1:4" x14ac:dyDescent="0.25">
      <c r="A52" s="265" t="s">
        <v>124</v>
      </c>
      <c r="B52" s="265" t="s">
        <v>125</v>
      </c>
      <c r="C52" s="265" t="s">
        <v>267</v>
      </c>
      <c r="D52" s="265" t="s">
        <v>715</v>
      </c>
    </row>
    <row r="53" spans="1:4" x14ac:dyDescent="0.25">
      <c r="A53" s="265" t="s">
        <v>126</v>
      </c>
      <c r="B53" s="265" t="s">
        <v>127</v>
      </c>
      <c r="C53" s="265" t="s">
        <v>266</v>
      </c>
      <c r="D53" s="265" t="s">
        <v>715</v>
      </c>
    </row>
    <row r="54" spans="1:4" x14ac:dyDescent="0.25">
      <c r="A54" s="265" t="s">
        <v>128</v>
      </c>
      <c r="B54" s="265" t="s">
        <v>129</v>
      </c>
      <c r="C54" s="265" t="s">
        <v>266</v>
      </c>
      <c r="D54" s="265" t="s">
        <v>715</v>
      </c>
    </row>
    <row r="55" spans="1:4" x14ac:dyDescent="0.25">
      <c r="A55" s="265" t="s">
        <v>130</v>
      </c>
      <c r="B55" s="265" t="s">
        <v>131</v>
      </c>
      <c r="C55" s="265" t="s">
        <v>268</v>
      </c>
      <c r="D55" s="265" t="s">
        <v>715</v>
      </c>
    </row>
    <row r="56" spans="1:4" x14ac:dyDescent="0.25">
      <c r="A56" s="265" t="s">
        <v>132</v>
      </c>
      <c r="B56" s="265" t="s">
        <v>133</v>
      </c>
      <c r="C56" s="265" t="s">
        <v>267</v>
      </c>
      <c r="D56" s="265" t="s">
        <v>715</v>
      </c>
    </row>
    <row r="57" spans="1:4" x14ac:dyDescent="0.25">
      <c r="A57" s="265" t="s">
        <v>134</v>
      </c>
      <c r="B57" s="265" t="s">
        <v>135</v>
      </c>
      <c r="C57" s="265" t="s">
        <v>267</v>
      </c>
      <c r="D57" s="265" t="s">
        <v>715</v>
      </c>
    </row>
    <row r="58" spans="1:4" x14ac:dyDescent="0.25">
      <c r="A58" s="265" t="s">
        <v>136</v>
      </c>
      <c r="B58" s="265" t="s">
        <v>137</v>
      </c>
      <c r="C58" s="265" t="s">
        <v>266</v>
      </c>
      <c r="D58" s="265" t="s">
        <v>715</v>
      </c>
    </row>
    <row r="59" spans="1:4" x14ac:dyDescent="0.25">
      <c r="A59" s="265" t="s">
        <v>140</v>
      </c>
      <c r="B59" s="265" t="s">
        <v>141</v>
      </c>
      <c r="C59" s="265" t="s">
        <v>267</v>
      </c>
      <c r="D59" s="265" t="s">
        <v>715</v>
      </c>
    </row>
    <row r="60" spans="1:4" x14ac:dyDescent="0.25">
      <c r="A60" s="265" t="s">
        <v>146</v>
      </c>
      <c r="B60" s="265" t="s">
        <v>147</v>
      </c>
      <c r="C60" s="265" t="s">
        <v>264</v>
      </c>
      <c r="D60" s="265" t="s">
        <v>715</v>
      </c>
    </row>
    <row r="61" spans="1:4" x14ac:dyDescent="0.25">
      <c r="A61" s="265" t="s">
        <v>148</v>
      </c>
      <c r="B61" s="265" t="s">
        <v>149</v>
      </c>
      <c r="C61" s="265" t="s">
        <v>265</v>
      </c>
      <c r="D61" s="265" t="s">
        <v>715</v>
      </c>
    </row>
    <row r="62" spans="1:4" x14ac:dyDescent="0.25">
      <c r="A62" s="265" t="s">
        <v>150</v>
      </c>
      <c r="B62" s="265" t="s">
        <v>151</v>
      </c>
      <c r="C62" s="265" t="s">
        <v>266</v>
      </c>
      <c r="D62" s="265" t="s">
        <v>715</v>
      </c>
    </row>
    <row r="63" spans="1:4" x14ac:dyDescent="0.25">
      <c r="A63" s="265" t="s">
        <v>152</v>
      </c>
      <c r="B63" s="265" t="s">
        <v>153</v>
      </c>
      <c r="C63" s="265" t="s">
        <v>268</v>
      </c>
      <c r="D63" s="265" t="s">
        <v>715</v>
      </c>
    </row>
    <row r="64" spans="1:4" x14ac:dyDescent="0.25">
      <c r="A64" s="265" t="s">
        <v>154</v>
      </c>
      <c r="B64" s="265" t="s">
        <v>155</v>
      </c>
      <c r="C64" s="265" t="s">
        <v>265</v>
      </c>
      <c r="D64" s="265" t="s">
        <v>715</v>
      </c>
    </row>
    <row r="65" spans="1:4" x14ac:dyDescent="0.25">
      <c r="A65" s="265" t="s">
        <v>156</v>
      </c>
      <c r="B65" s="265" t="s">
        <v>157</v>
      </c>
      <c r="C65" s="265" t="s">
        <v>266</v>
      </c>
      <c r="D65" s="265" t="s">
        <v>715</v>
      </c>
    </row>
    <row r="66" spans="1:4" x14ac:dyDescent="0.25">
      <c r="A66" s="265" t="s">
        <v>162</v>
      </c>
      <c r="B66" s="265" t="s">
        <v>163</v>
      </c>
      <c r="C66" s="265" t="s">
        <v>264</v>
      </c>
      <c r="D66" s="265" t="s">
        <v>715</v>
      </c>
    </row>
    <row r="67" spans="1:4" x14ac:dyDescent="0.25">
      <c r="A67" s="265" t="s">
        <v>164</v>
      </c>
      <c r="B67" s="265" t="s">
        <v>165</v>
      </c>
      <c r="C67" s="265" t="s">
        <v>266</v>
      </c>
      <c r="D67" s="265" t="s">
        <v>715</v>
      </c>
    </row>
    <row r="68" spans="1:4" x14ac:dyDescent="0.25">
      <c r="A68" s="265" t="s">
        <v>168</v>
      </c>
      <c r="B68" s="265" t="s">
        <v>169</v>
      </c>
      <c r="C68" s="265" t="s">
        <v>266</v>
      </c>
      <c r="D68" s="265" t="s">
        <v>715</v>
      </c>
    </row>
    <row r="69" spans="1:4" x14ac:dyDescent="0.25">
      <c r="A69" s="265" t="s">
        <v>170</v>
      </c>
      <c r="B69" s="265" t="s">
        <v>171</v>
      </c>
      <c r="C69" s="265" t="s">
        <v>267</v>
      </c>
      <c r="D69" s="265" t="s">
        <v>715</v>
      </c>
    </row>
    <row r="70" spans="1:4" x14ac:dyDescent="0.25">
      <c r="A70" s="265" t="s">
        <v>172</v>
      </c>
      <c r="B70" s="265" t="s">
        <v>173</v>
      </c>
      <c r="C70" s="265" t="s">
        <v>267</v>
      </c>
      <c r="D70" s="265" t="s">
        <v>715</v>
      </c>
    </row>
    <row r="71" spans="1:4" x14ac:dyDescent="0.25">
      <c r="A71" s="265" t="s">
        <v>174</v>
      </c>
      <c r="B71" s="265" t="s">
        <v>175</v>
      </c>
      <c r="C71" s="265" t="s">
        <v>268</v>
      </c>
      <c r="D71" s="265" t="s">
        <v>715</v>
      </c>
    </row>
    <row r="72" spans="1:4" x14ac:dyDescent="0.25">
      <c r="A72" s="265" t="s">
        <v>178</v>
      </c>
      <c r="B72" s="265" t="s">
        <v>179</v>
      </c>
      <c r="C72" s="265" t="s">
        <v>265</v>
      </c>
      <c r="D72" s="265" t="s">
        <v>715</v>
      </c>
    </row>
    <row r="73" spans="1:4" x14ac:dyDescent="0.25">
      <c r="A73" s="265" t="s">
        <v>182</v>
      </c>
      <c r="B73" s="265" t="s">
        <v>183</v>
      </c>
      <c r="C73" s="265" t="s">
        <v>266</v>
      </c>
      <c r="D73" s="265" t="s">
        <v>715</v>
      </c>
    </row>
    <row r="74" spans="1:4" x14ac:dyDescent="0.25">
      <c r="A74" s="265" t="s">
        <v>184</v>
      </c>
      <c r="B74" s="265" t="s">
        <v>185</v>
      </c>
      <c r="C74" s="265" t="s">
        <v>266</v>
      </c>
      <c r="D74" s="265" t="s">
        <v>715</v>
      </c>
    </row>
    <row r="75" spans="1:4" x14ac:dyDescent="0.25">
      <c r="A75" s="265" t="s">
        <v>186</v>
      </c>
      <c r="B75" s="265" t="s">
        <v>187</v>
      </c>
      <c r="C75" s="265" t="s">
        <v>264</v>
      </c>
      <c r="D75" s="265" t="s">
        <v>715</v>
      </c>
    </row>
    <row r="76" spans="1:4" x14ac:dyDescent="0.25">
      <c r="A76" s="265" t="s">
        <v>188</v>
      </c>
      <c r="B76" s="265" t="s">
        <v>189</v>
      </c>
      <c r="C76" s="265" t="s">
        <v>267</v>
      </c>
      <c r="D76" s="265" t="s">
        <v>714</v>
      </c>
    </row>
    <row r="77" spans="1:4" x14ac:dyDescent="0.25">
      <c r="A77" s="265" t="s">
        <v>190</v>
      </c>
      <c r="B77" s="265" t="s">
        <v>191</v>
      </c>
      <c r="C77" s="265" t="s">
        <v>268</v>
      </c>
      <c r="D77" s="265" t="s">
        <v>714</v>
      </c>
    </row>
    <row r="78" spans="1:4" x14ac:dyDescent="0.25">
      <c r="A78" s="265" t="s">
        <v>194</v>
      </c>
      <c r="B78" s="265" t="s">
        <v>195</v>
      </c>
      <c r="C78" s="265" t="s">
        <v>267</v>
      </c>
      <c r="D78" s="265" t="s">
        <v>715</v>
      </c>
    </row>
    <row r="79" spans="1:4" x14ac:dyDescent="0.25">
      <c r="A79" s="265" t="s">
        <v>198</v>
      </c>
      <c r="B79" s="265" t="s">
        <v>272</v>
      </c>
      <c r="C79" s="265" t="s">
        <v>266</v>
      </c>
      <c r="D79" s="265" t="s">
        <v>715</v>
      </c>
    </row>
    <row r="80" spans="1:4" x14ac:dyDescent="0.25">
      <c r="A80" s="265" t="s">
        <v>202</v>
      </c>
      <c r="B80" s="265" t="s">
        <v>301</v>
      </c>
      <c r="C80" s="265" t="s">
        <v>265</v>
      </c>
      <c r="D80" s="265" t="s">
        <v>714</v>
      </c>
    </row>
    <row r="81" spans="1:4" x14ac:dyDescent="0.25">
      <c r="A81" s="265" t="s">
        <v>204</v>
      </c>
      <c r="B81" s="265" t="s">
        <v>293</v>
      </c>
      <c r="C81" s="265" t="s">
        <v>265</v>
      </c>
      <c r="D81" s="265" t="s">
        <v>715</v>
      </c>
    </row>
    <row r="82" spans="1:4" x14ac:dyDescent="0.25">
      <c r="A82" s="265" t="s">
        <v>206</v>
      </c>
      <c r="B82" s="265" t="s">
        <v>294</v>
      </c>
      <c r="C82" s="265" t="s">
        <v>267</v>
      </c>
      <c r="D82" s="265" t="s">
        <v>714</v>
      </c>
    </row>
    <row r="83" spans="1:4" x14ac:dyDescent="0.25">
      <c r="A83" s="265" t="s">
        <v>208</v>
      </c>
      <c r="B83" s="265" t="s">
        <v>209</v>
      </c>
      <c r="C83" s="265" t="s">
        <v>268</v>
      </c>
      <c r="D83" s="265" t="s">
        <v>715</v>
      </c>
    </row>
    <row r="84" spans="1:4" x14ac:dyDescent="0.25">
      <c r="A84" s="265" t="s">
        <v>210</v>
      </c>
      <c r="B84" s="265" t="s">
        <v>211</v>
      </c>
      <c r="C84" s="265" t="s">
        <v>268</v>
      </c>
      <c r="D84" s="265" t="s">
        <v>715</v>
      </c>
    </row>
    <row r="85" spans="1:4" x14ac:dyDescent="0.25">
      <c r="A85" s="265" t="s">
        <v>212</v>
      </c>
      <c r="B85" s="265" t="s">
        <v>213</v>
      </c>
      <c r="C85" s="265" t="s">
        <v>267</v>
      </c>
      <c r="D85" s="265" t="s">
        <v>715</v>
      </c>
    </row>
    <row r="86" spans="1:4" x14ac:dyDescent="0.25">
      <c r="A86" s="265" t="s">
        <v>214</v>
      </c>
      <c r="B86" s="265" t="s">
        <v>215</v>
      </c>
      <c r="C86" s="265" t="s">
        <v>268</v>
      </c>
      <c r="D86" s="265" t="s">
        <v>715</v>
      </c>
    </row>
    <row r="87" spans="1:4" x14ac:dyDescent="0.25">
      <c r="A87" s="265" t="s">
        <v>216</v>
      </c>
      <c r="B87" s="265" t="s">
        <v>217</v>
      </c>
      <c r="C87" s="265" t="s">
        <v>264</v>
      </c>
      <c r="D87" s="265" t="s">
        <v>715</v>
      </c>
    </row>
    <row r="88" spans="1:4" x14ac:dyDescent="0.25">
      <c r="A88" s="265" t="s">
        <v>218</v>
      </c>
      <c r="B88" s="265" t="s">
        <v>219</v>
      </c>
      <c r="C88" s="265" t="s">
        <v>267</v>
      </c>
      <c r="D88" s="265" t="s">
        <v>715</v>
      </c>
    </row>
    <row r="89" spans="1:4" x14ac:dyDescent="0.25">
      <c r="A89" s="265" t="s">
        <v>220</v>
      </c>
      <c r="B89" s="265" t="s">
        <v>221</v>
      </c>
      <c r="C89" s="265" t="s">
        <v>267</v>
      </c>
      <c r="D89" s="265" t="s">
        <v>715</v>
      </c>
    </row>
    <row r="90" spans="1:4" x14ac:dyDescent="0.25">
      <c r="A90" s="265" t="s">
        <v>224</v>
      </c>
      <c r="B90" s="265" t="s">
        <v>225</v>
      </c>
      <c r="C90" s="265" t="s">
        <v>264</v>
      </c>
      <c r="D90" s="265" t="s">
        <v>715</v>
      </c>
    </row>
    <row r="91" spans="1:4" x14ac:dyDescent="0.25">
      <c r="A91" s="265" t="s">
        <v>226</v>
      </c>
      <c r="B91" s="265" t="s">
        <v>227</v>
      </c>
      <c r="C91" s="265" t="s">
        <v>264</v>
      </c>
      <c r="D91" s="265" t="s">
        <v>715</v>
      </c>
    </row>
    <row r="92" spans="1:4" x14ac:dyDescent="0.25">
      <c r="A92" s="265" t="s">
        <v>228</v>
      </c>
      <c r="B92" s="265" t="s">
        <v>229</v>
      </c>
      <c r="C92" s="265" t="s">
        <v>268</v>
      </c>
      <c r="D92" s="265" t="s">
        <v>714</v>
      </c>
    </row>
    <row r="93" spans="1:4" x14ac:dyDescent="0.25">
      <c r="A93" s="265" t="s">
        <v>232</v>
      </c>
      <c r="B93" s="265" t="s">
        <v>233</v>
      </c>
      <c r="C93" s="265" t="s">
        <v>267</v>
      </c>
      <c r="D93" s="265" t="s">
        <v>715</v>
      </c>
    </row>
    <row r="94" spans="1:4" x14ac:dyDescent="0.25">
      <c r="A94" s="265" t="s">
        <v>234</v>
      </c>
      <c r="B94" s="265" t="s">
        <v>235</v>
      </c>
      <c r="C94" s="265" t="s">
        <v>268</v>
      </c>
      <c r="D94" s="265" t="s">
        <v>715</v>
      </c>
    </row>
    <row r="95" spans="1:4" x14ac:dyDescent="0.25">
      <c r="A95" s="265" t="s">
        <v>236</v>
      </c>
      <c r="B95" s="265" t="s">
        <v>237</v>
      </c>
      <c r="C95" s="265" t="s">
        <v>266</v>
      </c>
      <c r="D95" s="265" t="s">
        <v>715</v>
      </c>
    </row>
    <row r="96" spans="1:4" x14ac:dyDescent="0.25">
      <c r="A96" s="265" t="s">
        <v>242</v>
      </c>
      <c r="B96" s="265" t="s">
        <v>243</v>
      </c>
      <c r="C96" s="265" t="s">
        <v>268</v>
      </c>
      <c r="D96" s="265" t="s">
        <v>715</v>
      </c>
    </row>
    <row r="97" spans="1:4" x14ac:dyDescent="0.25">
      <c r="A97" s="265" t="s">
        <v>244</v>
      </c>
      <c r="B97" s="265" t="s">
        <v>245</v>
      </c>
      <c r="C97" s="265" t="s">
        <v>268</v>
      </c>
      <c r="D97" s="265" t="s">
        <v>715</v>
      </c>
    </row>
    <row r="98" spans="1:4" x14ac:dyDescent="0.25">
      <c r="A98" s="265" t="s">
        <v>246</v>
      </c>
      <c r="B98" s="265" t="s">
        <v>247</v>
      </c>
      <c r="C98" s="265" t="s">
        <v>264</v>
      </c>
      <c r="D98" s="265" t="s">
        <v>714</v>
      </c>
    </row>
    <row r="99" spans="1:4" x14ac:dyDescent="0.25">
      <c r="A99" s="265" t="s">
        <v>14</v>
      </c>
      <c r="B99" s="265" t="s">
        <v>15</v>
      </c>
      <c r="C99" s="265" t="s">
        <v>267</v>
      </c>
      <c r="D99" s="265" t="s">
        <v>714</v>
      </c>
    </row>
    <row r="100" spans="1:4" x14ac:dyDescent="0.25">
      <c r="A100" s="265" t="s">
        <v>34</v>
      </c>
      <c r="B100" s="265" t="s">
        <v>35</v>
      </c>
      <c r="C100" s="265" t="s">
        <v>268</v>
      </c>
      <c r="D100" s="265" t="s">
        <v>715</v>
      </c>
    </row>
    <row r="101" spans="1:4" x14ac:dyDescent="0.25">
      <c r="A101" s="265" t="s">
        <v>52</v>
      </c>
      <c r="B101" s="265" t="s">
        <v>53</v>
      </c>
      <c r="C101" s="265" t="s">
        <v>265</v>
      </c>
      <c r="D101" s="265" t="s">
        <v>714</v>
      </c>
    </row>
    <row r="102" spans="1:4" x14ac:dyDescent="0.25">
      <c r="A102" s="265" t="s">
        <v>54</v>
      </c>
      <c r="B102" s="265" t="s">
        <v>55</v>
      </c>
      <c r="C102" s="265" t="s">
        <v>264</v>
      </c>
      <c r="D102" s="265" t="s">
        <v>715</v>
      </c>
    </row>
    <row r="103" spans="1:4" x14ac:dyDescent="0.25">
      <c r="A103" s="265" t="s">
        <v>66</v>
      </c>
      <c r="B103" s="265" t="s">
        <v>67</v>
      </c>
      <c r="C103" s="265" t="s">
        <v>265</v>
      </c>
      <c r="D103" s="265" t="s">
        <v>715</v>
      </c>
    </row>
    <row r="104" spans="1:4" x14ac:dyDescent="0.25">
      <c r="A104" s="265" t="s">
        <v>82</v>
      </c>
      <c r="B104" s="265" t="s">
        <v>83</v>
      </c>
      <c r="C104" s="265" t="s">
        <v>264</v>
      </c>
      <c r="D104" s="265" t="s">
        <v>715</v>
      </c>
    </row>
    <row r="105" spans="1:4" x14ac:dyDescent="0.25">
      <c r="A105" s="265" t="s">
        <v>88</v>
      </c>
      <c r="B105" s="265" t="s">
        <v>89</v>
      </c>
      <c r="C105" s="265" t="s">
        <v>267</v>
      </c>
      <c r="D105" s="265" t="s">
        <v>715</v>
      </c>
    </row>
    <row r="106" spans="1:4" x14ac:dyDescent="0.25">
      <c r="A106" s="265" t="s">
        <v>90</v>
      </c>
      <c r="B106" s="265" t="s">
        <v>91</v>
      </c>
      <c r="C106" s="265" t="s">
        <v>268</v>
      </c>
      <c r="D106" s="265" t="s">
        <v>715</v>
      </c>
    </row>
    <row r="107" spans="1:4" x14ac:dyDescent="0.25">
      <c r="A107" s="265" t="s">
        <v>106</v>
      </c>
      <c r="B107" s="265" t="s">
        <v>107</v>
      </c>
      <c r="C107" s="265" t="s">
        <v>264</v>
      </c>
      <c r="D107" s="265" t="s">
        <v>714</v>
      </c>
    </row>
    <row r="108" spans="1:4" x14ac:dyDescent="0.25">
      <c r="A108" s="265" t="s">
        <v>116</v>
      </c>
      <c r="B108" s="265" t="s">
        <v>117</v>
      </c>
      <c r="C108" s="265" t="s">
        <v>266</v>
      </c>
      <c r="D108" s="265" t="s">
        <v>715</v>
      </c>
    </row>
    <row r="109" spans="1:4" x14ac:dyDescent="0.25">
      <c r="A109" s="265" t="s">
        <v>138</v>
      </c>
      <c r="B109" s="265" t="s">
        <v>139</v>
      </c>
      <c r="C109" s="265" t="s">
        <v>265</v>
      </c>
      <c r="D109" s="265" t="s">
        <v>714</v>
      </c>
    </row>
    <row r="110" spans="1:4" x14ac:dyDescent="0.25">
      <c r="A110" s="265" t="s">
        <v>142</v>
      </c>
      <c r="B110" s="265" t="s">
        <v>143</v>
      </c>
      <c r="C110" s="265" t="s">
        <v>267</v>
      </c>
      <c r="D110" s="265" t="s">
        <v>715</v>
      </c>
    </row>
    <row r="111" spans="1:4" x14ac:dyDescent="0.25">
      <c r="A111" s="265" t="s">
        <v>144</v>
      </c>
      <c r="B111" s="265" t="s">
        <v>145</v>
      </c>
      <c r="C111" s="265" t="s">
        <v>267</v>
      </c>
      <c r="D111" s="265" t="s">
        <v>715</v>
      </c>
    </row>
    <row r="112" spans="1:4" x14ac:dyDescent="0.25">
      <c r="A112" s="265" t="s">
        <v>158</v>
      </c>
      <c r="B112" s="265" t="s">
        <v>159</v>
      </c>
      <c r="C112" s="265" t="s">
        <v>264</v>
      </c>
      <c r="D112" s="265" t="s">
        <v>714</v>
      </c>
    </row>
    <row r="113" spans="1:4" x14ac:dyDescent="0.25">
      <c r="A113" s="265" t="s">
        <v>160</v>
      </c>
      <c r="B113" s="265" t="s">
        <v>161</v>
      </c>
      <c r="C113" s="265" t="s">
        <v>264</v>
      </c>
      <c r="D113" s="265" t="s">
        <v>714</v>
      </c>
    </row>
    <row r="114" spans="1:4" x14ac:dyDescent="0.25">
      <c r="A114" s="265" t="s">
        <v>166</v>
      </c>
      <c r="B114" s="265" t="s">
        <v>167</v>
      </c>
      <c r="C114" s="265" t="s">
        <v>268</v>
      </c>
      <c r="D114" s="265" t="s">
        <v>715</v>
      </c>
    </row>
    <row r="115" spans="1:4" x14ac:dyDescent="0.25">
      <c r="A115" s="265" t="s">
        <v>176</v>
      </c>
      <c r="B115" s="265" t="s">
        <v>177</v>
      </c>
      <c r="C115" s="265" t="s">
        <v>266</v>
      </c>
      <c r="D115" s="265" t="s">
        <v>715</v>
      </c>
    </row>
    <row r="116" spans="1:4" x14ac:dyDescent="0.25">
      <c r="A116" s="265" t="s">
        <v>180</v>
      </c>
      <c r="B116" s="265" t="s">
        <v>181</v>
      </c>
      <c r="C116" s="265" t="s">
        <v>264</v>
      </c>
      <c r="D116" s="265" t="s">
        <v>714</v>
      </c>
    </row>
    <row r="117" spans="1:4" x14ac:dyDescent="0.25">
      <c r="A117" s="265" t="s">
        <v>192</v>
      </c>
      <c r="B117" s="265" t="s">
        <v>193</v>
      </c>
      <c r="C117" s="265" t="s">
        <v>268</v>
      </c>
      <c r="D117" s="265" t="s">
        <v>715</v>
      </c>
    </row>
    <row r="118" spans="1:4" x14ac:dyDescent="0.25">
      <c r="A118" s="265" t="s">
        <v>196</v>
      </c>
      <c r="B118" s="265" t="s">
        <v>197</v>
      </c>
      <c r="C118" s="265" t="s">
        <v>266</v>
      </c>
      <c r="D118" s="265" t="s">
        <v>714</v>
      </c>
    </row>
    <row r="119" spans="1:4" x14ac:dyDescent="0.25">
      <c r="A119" s="265" t="s">
        <v>200</v>
      </c>
      <c r="B119" s="265" t="s">
        <v>201</v>
      </c>
      <c r="C119" s="265" t="s">
        <v>265</v>
      </c>
      <c r="D119" s="265" t="s">
        <v>714</v>
      </c>
    </row>
    <row r="120" spans="1:4" x14ac:dyDescent="0.25">
      <c r="A120" s="265" t="s">
        <v>222</v>
      </c>
      <c r="B120" s="265" t="s">
        <v>223</v>
      </c>
      <c r="C120" s="265" t="s">
        <v>264</v>
      </c>
      <c r="D120" s="265" t="s">
        <v>714</v>
      </c>
    </row>
    <row r="121" spans="1:4" x14ac:dyDescent="0.25">
      <c r="A121" s="265" t="s">
        <v>230</v>
      </c>
      <c r="B121" s="265" t="s">
        <v>231</v>
      </c>
      <c r="C121" s="265" t="s">
        <v>264</v>
      </c>
      <c r="D121" s="265" t="s">
        <v>714</v>
      </c>
    </row>
    <row r="122" spans="1:4" x14ac:dyDescent="0.25">
      <c r="A122" s="265" t="s">
        <v>238</v>
      </c>
      <c r="B122" s="265" t="s">
        <v>239</v>
      </c>
      <c r="C122" s="265" t="s">
        <v>264</v>
      </c>
      <c r="D122" s="265" t="s">
        <v>715</v>
      </c>
    </row>
    <row r="123" spans="1:4" x14ac:dyDescent="0.25">
      <c r="A123" s="265" t="s">
        <v>240</v>
      </c>
      <c r="B123" s="265" t="s">
        <v>241</v>
      </c>
      <c r="C123" s="265" t="s">
        <v>267</v>
      </c>
      <c r="D123" s="265" t="s">
        <v>715</v>
      </c>
    </row>
    <row r="125" spans="1:4" x14ac:dyDescent="0.25">
      <c r="C125" s="64" t="s">
        <v>603</v>
      </c>
      <c r="D125" s="491">
        <f>COUNTIF(D4:D123,"Full")</f>
        <v>93</v>
      </c>
    </row>
    <row r="126" spans="1:4" x14ac:dyDescent="0.25">
      <c r="C126" s="64" t="s">
        <v>604</v>
      </c>
      <c r="D126" s="491">
        <f>COUNTIF(D4:D123,"Shared")</f>
        <v>27</v>
      </c>
    </row>
    <row r="128" spans="1:4" x14ac:dyDescent="0.25">
      <c r="A128" s="265" t="s">
        <v>605</v>
      </c>
    </row>
    <row r="129" spans="1:2" x14ac:dyDescent="0.25">
      <c r="A129" s="265" t="s">
        <v>877</v>
      </c>
    </row>
    <row r="131" spans="1:2" s="389" customFormat="1" x14ac:dyDescent="0.25">
      <c r="A131" s="389" t="s">
        <v>248</v>
      </c>
    </row>
    <row r="132" spans="1:2" s="389" customFormat="1" x14ac:dyDescent="0.25">
      <c r="A132" s="390" t="s">
        <v>249</v>
      </c>
      <c r="B132" s="391" t="s">
        <v>250</v>
      </c>
    </row>
  </sheetData>
  <autoFilter ref="A3:D123"/>
  <sortState ref="A4:D123">
    <sortCondition ref="A4:A123"/>
  </sortState>
  <hyperlinks>
    <hyperlink ref="B132" r:id="rId1"/>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129"/>
  <sheetViews>
    <sheetView workbookViewId="0">
      <pane ySplit="4" topLeftCell="A105" activePane="bottomLeft" state="frozen"/>
      <selection pane="bottomLeft" activeCell="I117" sqref="I117"/>
    </sheetView>
  </sheetViews>
  <sheetFormatPr defaultRowHeight="15.75" x14ac:dyDescent="0.25"/>
  <cols>
    <col min="1" max="1" width="9.125" style="651" customWidth="1"/>
    <col min="2" max="2" width="30.625" style="651" customWidth="1"/>
    <col min="3" max="3" width="11.25" style="669" customWidth="1"/>
    <col min="4" max="4" width="9" style="641"/>
    <col min="5" max="7" width="9" style="692"/>
    <col min="8" max="8" width="2.5" style="692" customWidth="1"/>
    <col min="9" max="10" width="9" style="692"/>
    <col min="11" max="14" width="9" style="641"/>
    <col min="15" max="15" width="9" style="692"/>
    <col min="16" max="16" width="4.25" style="641" customWidth="1"/>
    <col min="17" max="19" width="9" style="641"/>
    <col min="20" max="20" width="2.625" style="641" customWidth="1"/>
    <col min="21" max="27" width="9" style="641"/>
    <col min="28" max="28" width="3.125" style="641" customWidth="1"/>
    <col min="29" max="16384" width="9" style="641"/>
  </cols>
  <sheetData>
    <row r="1" spans="1:31" ht="15.75" customHeight="1" x14ac:dyDescent="0.25">
      <c r="A1" s="2771" t="s">
        <v>1334</v>
      </c>
      <c r="B1" s="2771"/>
      <c r="C1" s="2771"/>
      <c r="D1" s="2771"/>
      <c r="E1" s="2771"/>
      <c r="F1" s="2771"/>
      <c r="G1" s="2771"/>
      <c r="H1" s="2771"/>
      <c r="I1" s="2771"/>
      <c r="J1" s="2771"/>
      <c r="K1" s="2771"/>
      <c r="L1" s="2771"/>
      <c r="M1" s="2771"/>
      <c r="O1" s="984"/>
    </row>
    <row r="2" spans="1:31" x14ac:dyDescent="0.25">
      <c r="A2" s="641"/>
      <c r="B2" s="641"/>
      <c r="C2" s="663"/>
    </row>
    <row r="3" spans="1:31" ht="47.25" x14ac:dyDescent="0.25">
      <c r="A3" s="652" t="s">
        <v>4</v>
      </c>
      <c r="B3" s="652" t="s">
        <v>286</v>
      </c>
      <c r="C3" s="664" t="s">
        <v>251</v>
      </c>
      <c r="D3" s="657" t="s">
        <v>281</v>
      </c>
      <c r="E3" s="1613" t="s">
        <v>548</v>
      </c>
      <c r="F3" s="1613" t="s">
        <v>549</v>
      </c>
      <c r="G3" s="2270" t="s">
        <v>550</v>
      </c>
      <c r="H3" s="2270"/>
      <c r="I3" s="992" t="s">
        <v>2</v>
      </c>
      <c r="J3" s="992" t="s">
        <v>445</v>
      </c>
      <c r="K3" s="653" t="s">
        <v>542</v>
      </c>
      <c r="L3" s="653" t="s">
        <v>761</v>
      </c>
      <c r="M3" s="653" t="s">
        <v>720</v>
      </c>
      <c r="N3" s="2271" t="s">
        <v>554</v>
      </c>
      <c r="O3" s="992" t="s">
        <v>1090</v>
      </c>
      <c r="P3" s="265"/>
      <c r="Q3" s="657" t="s">
        <v>2</v>
      </c>
      <c r="R3" s="653" t="s">
        <v>445</v>
      </c>
      <c r="S3" s="992" t="s">
        <v>1091</v>
      </c>
      <c r="U3" s="1236" t="s">
        <v>1094</v>
      </c>
      <c r="V3" s="1236" t="s">
        <v>1095</v>
      </c>
      <c r="W3" s="1236" t="s">
        <v>1096</v>
      </c>
      <c r="X3" s="1236" t="s">
        <v>1097</v>
      </c>
      <c r="Y3" s="1236" t="s">
        <v>1098</v>
      </c>
      <c r="Z3" s="1236" t="s">
        <v>1099</v>
      </c>
      <c r="AA3" s="1236" t="s">
        <v>762</v>
      </c>
      <c r="AC3" s="1236" t="s">
        <v>1093</v>
      </c>
      <c r="AD3" s="1236" t="s">
        <v>1199</v>
      </c>
      <c r="AE3" s="1236" t="s">
        <v>1198</v>
      </c>
    </row>
    <row r="4" spans="1:31" x14ac:dyDescent="0.25">
      <c r="A4" s="654">
        <v>999</v>
      </c>
      <c r="B4" s="642" t="s">
        <v>9</v>
      </c>
      <c r="C4" s="642"/>
      <c r="D4" s="585">
        <f>SUM(D5:D124)</f>
        <v>109492</v>
      </c>
      <c r="E4" s="586">
        <f t="shared" ref="E4:G4" si="0">SUM(E5:E124)</f>
        <v>53694</v>
      </c>
      <c r="F4" s="586">
        <f t="shared" si="0"/>
        <v>54172</v>
      </c>
      <c r="G4" s="586">
        <f t="shared" si="0"/>
        <v>1626</v>
      </c>
      <c r="H4" s="586"/>
      <c r="I4" s="586">
        <f t="shared" ref="I4:N4" si="1">SUM(I5:I124)</f>
        <v>69200</v>
      </c>
      <c r="J4" s="586">
        <f t="shared" si="1"/>
        <v>34065</v>
      </c>
      <c r="K4" s="586">
        <f t="shared" si="1"/>
        <v>1654</v>
      </c>
      <c r="L4" s="586">
        <f t="shared" si="1"/>
        <v>621</v>
      </c>
      <c r="M4" s="586">
        <f t="shared" si="1"/>
        <v>192</v>
      </c>
      <c r="N4" s="586">
        <f t="shared" si="1"/>
        <v>10430</v>
      </c>
      <c r="O4" s="586">
        <f>SUM(O5:O124)</f>
        <v>12108</v>
      </c>
      <c r="P4" s="265"/>
      <c r="Q4" s="661">
        <f>SUM(Q5:Q124)</f>
        <v>69200</v>
      </c>
      <c r="R4" s="662">
        <f>SUM(R5:R124)</f>
        <v>34065</v>
      </c>
      <c r="S4" s="662">
        <f>SUM(S5:S124)</f>
        <v>2467</v>
      </c>
      <c r="U4" s="662">
        <f t="shared" ref="U4:AE4" si="2">SUM(U5:U124)</f>
        <v>7762</v>
      </c>
      <c r="V4" s="662">
        <f t="shared" si="2"/>
        <v>15473</v>
      </c>
      <c r="W4" s="662">
        <f t="shared" si="2"/>
        <v>24171</v>
      </c>
      <c r="X4" s="662">
        <f t="shared" si="2"/>
        <v>23266</v>
      </c>
      <c r="Y4" s="662">
        <f t="shared" si="2"/>
        <v>19460</v>
      </c>
      <c r="Z4" s="662">
        <f t="shared" si="2"/>
        <v>8378</v>
      </c>
      <c r="AA4" s="662">
        <f t="shared" si="2"/>
        <v>10982</v>
      </c>
      <c r="AC4" s="662">
        <f t="shared" si="2"/>
        <v>23235</v>
      </c>
      <c r="AD4" s="662">
        <f t="shared" si="2"/>
        <v>47437</v>
      </c>
      <c r="AE4" s="662">
        <f t="shared" si="2"/>
        <v>27838</v>
      </c>
    </row>
    <row r="5" spans="1:31" x14ac:dyDescent="0.25">
      <c r="A5" s="655" t="s">
        <v>10</v>
      </c>
      <c r="B5" s="187" t="s">
        <v>11</v>
      </c>
      <c r="C5" s="665" t="s">
        <v>264</v>
      </c>
      <c r="D5" s="588">
        <v>396</v>
      </c>
      <c r="E5" s="589">
        <v>216</v>
      </c>
      <c r="F5" s="589">
        <v>179</v>
      </c>
      <c r="G5" s="589">
        <v>1</v>
      </c>
      <c r="H5" s="589"/>
      <c r="I5" s="589">
        <v>247</v>
      </c>
      <c r="J5" s="589">
        <v>143</v>
      </c>
      <c r="K5" s="589">
        <v>1</v>
      </c>
      <c r="L5" s="589">
        <v>1</v>
      </c>
      <c r="M5" s="589">
        <v>0</v>
      </c>
      <c r="N5" s="589">
        <v>4</v>
      </c>
      <c r="O5" s="589">
        <v>43</v>
      </c>
      <c r="P5" s="265"/>
      <c r="Q5" s="659">
        <f t="shared" ref="Q5:Q36" si="3">I5</f>
        <v>247</v>
      </c>
      <c r="R5" s="660">
        <f t="shared" ref="R5:R36" si="4">J5</f>
        <v>143</v>
      </c>
      <c r="S5" s="660">
        <f t="shared" ref="S5:S36" si="5">SUM(K5:M5)</f>
        <v>2</v>
      </c>
      <c r="U5" s="265">
        <v>27</v>
      </c>
      <c r="V5" s="265">
        <v>58</v>
      </c>
      <c r="W5" s="265">
        <v>104</v>
      </c>
      <c r="X5" s="265">
        <v>101</v>
      </c>
      <c r="Y5" s="265">
        <v>70</v>
      </c>
      <c r="Z5" s="265">
        <v>24</v>
      </c>
      <c r="AA5" s="265">
        <v>12</v>
      </c>
      <c r="AC5" s="641">
        <f t="shared" ref="AC5:AC36" si="6">U5+V5</f>
        <v>85</v>
      </c>
      <c r="AD5" s="641">
        <f t="shared" ref="AD5:AD36" si="7">W5+X5</f>
        <v>205</v>
      </c>
      <c r="AE5" s="641">
        <f t="shared" ref="AE5:AE36" si="8">Y5+Z5</f>
        <v>94</v>
      </c>
    </row>
    <row r="6" spans="1:31" x14ac:dyDescent="0.25">
      <c r="A6" s="655" t="s">
        <v>12</v>
      </c>
      <c r="B6" s="187" t="s">
        <v>13</v>
      </c>
      <c r="C6" s="665" t="s">
        <v>265</v>
      </c>
      <c r="D6" s="588">
        <v>1275</v>
      </c>
      <c r="E6" s="589">
        <v>612</v>
      </c>
      <c r="F6" s="589">
        <v>645</v>
      </c>
      <c r="G6" s="589">
        <v>18</v>
      </c>
      <c r="H6" s="589"/>
      <c r="I6" s="589">
        <v>922</v>
      </c>
      <c r="J6" s="589">
        <v>427</v>
      </c>
      <c r="K6" s="589">
        <v>11</v>
      </c>
      <c r="L6" s="589">
        <v>9</v>
      </c>
      <c r="M6" s="589">
        <v>1</v>
      </c>
      <c r="N6" s="589">
        <v>63</v>
      </c>
      <c r="O6" s="589">
        <v>177</v>
      </c>
      <c r="P6" s="265"/>
      <c r="Q6" s="659">
        <f t="shared" si="3"/>
        <v>922</v>
      </c>
      <c r="R6" s="660">
        <f t="shared" si="4"/>
        <v>427</v>
      </c>
      <c r="S6" s="660">
        <f t="shared" si="5"/>
        <v>21</v>
      </c>
      <c r="U6" s="265">
        <v>65</v>
      </c>
      <c r="V6" s="265">
        <v>190</v>
      </c>
      <c r="W6" s="265">
        <v>300</v>
      </c>
      <c r="X6" s="265">
        <v>275</v>
      </c>
      <c r="Y6" s="265">
        <v>227</v>
      </c>
      <c r="Z6" s="265">
        <v>119</v>
      </c>
      <c r="AA6" s="265">
        <v>99</v>
      </c>
      <c r="AC6" s="692">
        <f t="shared" si="6"/>
        <v>255</v>
      </c>
      <c r="AD6" s="692">
        <f t="shared" si="7"/>
        <v>575</v>
      </c>
      <c r="AE6" s="692">
        <f t="shared" si="8"/>
        <v>346</v>
      </c>
    </row>
    <row r="7" spans="1:31" x14ac:dyDescent="0.25">
      <c r="A7" s="655" t="s">
        <v>14</v>
      </c>
      <c r="B7" s="187" t="s">
        <v>15</v>
      </c>
      <c r="C7" s="665" t="s">
        <v>267</v>
      </c>
      <c r="D7" s="588">
        <v>1534</v>
      </c>
      <c r="E7" s="589">
        <v>729</v>
      </c>
      <c r="F7" s="589">
        <v>778</v>
      </c>
      <c r="G7" s="589">
        <v>27</v>
      </c>
      <c r="H7" s="589"/>
      <c r="I7" s="589">
        <v>767</v>
      </c>
      <c r="J7" s="589">
        <v>685</v>
      </c>
      <c r="K7" s="589">
        <v>32</v>
      </c>
      <c r="L7" s="589">
        <v>2</v>
      </c>
      <c r="M7" s="589">
        <v>1</v>
      </c>
      <c r="N7" s="589">
        <v>112</v>
      </c>
      <c r="O7" s="589">
        <v>622</v>
      </c>
      <c r="P7" s="265"/>
      <c r="Q7" s="659">
        <f t="shared" si="3"/>
        <v>767</v>
      </c>
      <c r="R7" s="660">
        <f t="shared" si="4"/>
        <v>685</v>
      </c>
      <c r="S7" s="660">
        <f t="shared" si="5"/>
        <v>35</v>
      </c>
      <c r="U7" s="265">
        <v>122</v>
      </c>
      <c r="V7" s="265">
        <v>237</v>
      </c>
      <c r="W7" s="265">
        <v>353</v>
      </c>
      <c r="X7" s="265">
        <v>308</v>
      </c>
      <c r="Y7" s="265">
        <v>270</v>
      </c>
      <c r="Z7" s="265">
        <v>140</v>
      </c>
      <c r="AA7" s="265">
        <v>104</v>
      </c>
      <c r="AC7" s="692">
        <f t="shared" si="6"/>
        <v>359</v>
      </c>
      <c r="AD7" s="692">
        <f t="shared" si="7"/>
        <v>661</v>
      </c>
      <c r="AE7" s="692">
        <f t="shared" si="8"/>
        <v>410</v>
      </c>
    </row>
    <row r="8" spans="1:31" x14ac:dyDescent="0.25">
      <c r="A8" s="655" t="s">
        <v>16</v>
      </c>
      <c r="B8" s="187" t="s">
        <v>297</v>
      </c>
      <c r="C8" s="665" t="s">
        <v>265</v>
      </c>
      <c r="D8" s="588">
        <v>545</v>
      </c>
      <c r="E8" s="589">
        <v>268</v>
      </c>
      <c r="F8" s="589">
        <v>273</v>
      </c>
      <c r="G8" s="589">
        <v>4</v>
      </c>
      <c r="H8" s="589"/>
      <c r="I8" s="589">
        <v>503</v>
      </c>
      <c r="J8" s="589">
        <v>74</v>
      </c>
      <c r="K8" s="589">
        <v>0</v>
      </c>
      <c r="L8" s="589">
        <v>0</v>
      </c>
      <c r="M8" s="589">
        <v>0</v>
      </c>
      <c r="N8" s="589">
        <v>12</v>
      </c>
      <c r="O8" s="589">
        <v>34</v>
      </c>
      <c r="P8" s="265"/>
      <c r="Q8" s="659">
        <f t="shared" si="3"/>
        <v>503</v>
      </c>
      <c r="R8" s="660">
        <f t="shared" si="4"/>
        <v>74</v>
      </c>
      <c r="S8" s="660">
        <f t="shared" si="5"/>
        <v>0</v>
      </c>
      <c r="U8" s="265">
        <v>29</v>
      </c>
      <c r="V8" s="265">
        <v>86</v>
      </c>
      <c r="W8" s="265">
        <v>134</v>
      </c>
      <c r="X8" s="265">
        <v>122</v>
      </c>
      <c r="Y8" s="265">
        <v>111</v>
      </c>
      <c r="Z8" s="265">
        <v>43</v>
      </c>
      <c r="AA8" s="265">
        <v>20</v>
      </c>
      <c r="AC8" s="692">
        <f t="shared" si="6"/>
        <v>115</v>
      </c>
      <c r="AD8" s="692">
        <f t="shared" si="7"/>
        <v>256</v>
      </c>
      <c r="AE8" s="692">
        <f t="shared" si="8"/>
        <v>154</v>
      </c>
    </row>
    <row r="9" spans="1:31" x14ac:dyDescent="0.25">
      <c r="A9" s="655" t="s">
        <v>18</v>
      </c>
      <c r="B9" s="187" t="s">
        <v>19</v>
      </c>
      <c r="C9" s="665" t="s">
        <v>266</v>
      </c>
      <c r="D9" s="588">
        <v>189</v>
      </c>
      <c r="E9" s="589">
        <v>107</v>
      </c>
      <c r="F9" s="589">
        <v>80</v>
      </c>
      <c r="G9" s="589">
        <v>2</v>
      </c>
      <c r="H9" s="589"/>
      <c r="I9" s="589">
        <v>149</v>
      </c>
      <c r="J9" s="589">
        <v>46</v>
      </c>
      <c r="K9" s="589">
        <v>1</v>
      </c>
      <c r="L9" s="589">
        <v>4</v>
      </c>
      <c r="M9" s="589">
        <v>0</v>
      </c>
      <c r="N9" s="589">
        <v>2</v>
      </c>
      <c r="O9" s="589">
        <v>4</v>
      </c>
      <c r="P9" s="265"/>
      <c r="Q9" s="659">
        <f t="shared" si="3"/>
        <v>149</v>
      </c>
      <c r="R9" s="660">
        <f t="shared" si="4"/>
        <v>46</v>
      </c>
      <c r="S9" s="660">
        <f t="shared" si="5"/>
        <v>5</v>
      </c>
      <c r="U9" s="265">
        <v>12</v>
      </c>
      <c r="V9" s="265">
        <v>26</v>
      </c>
      <c r="W9" s="265">
        <v>51</v>
      </c>
      <c r="X9" s="265">
        <v>39</v>
      </c>
      <c r="Y9" s="265">
        <v>42</v>
      </c>
      <c r="Z9" s="265">
        <v>15</v>
      </c>
      <c r="AA9" s="265">
        <v>4</v>
      </c>
      <c r="AC9" s="692">
        <f t="shared" si="6"/>
        <v>38</v>
      </c>
      <c r="AD9" s="692">
        <f t="shared" si="7"/>
        <v>90</v>
      </c>
      <c r="AE9" s="692">
        <f t="shared" si="8"/>
        <v>57</v>
      </c>
    </row>
    <row r="10" spans="1:31" x14ac:dyDescent="0.25">
      <c r="A10" s="655" t="s">
        <v>20</v>
      </c>
      <c r="B10" s="187" t="s">
        <v>21</v>
      </c>
      <c r="C10" s="665" t="s">
        <v>265</v>
      </c>
      <c r="D10" s="588">
        <v>638</v>
      </c>
      <c r="E10" s="589">
        <v>304</v>
      </c>
      <c r="F10" s="589">
        <v>323</v>
      </c>
      <c r="G10" s="589">
        <v>11</v>
      </c>
      <c r="H10" s="589"/>
      <c r="I10" s="589">
        <v>502</v>
      </c>
      <c r="J10" s="589">
        <v>140</v>
      </c>
      <c r="K10" s="589">
        <v>1</v>
      </c>
      <c r="L10" s="589">
        <v>2</v>
      </c>
      <c r="M10" s="589">
        <v>12</v>
      </c>
      <c r="N10" s="589">
        <v>31</v>
      </c>
      <c r="O10" s="589">
        <v>14</v>
      </c>
      <c r="P10" s="265"/>
      <c r="Q10" s="659">
        <f t="shared" si="3"/>
        <v>502</v>
      </c>
      <c r="R10" s="660">
        <f t="shared" si="4"/>
        <v>140</v>
      </c>
      <c r="S10" s="660">
        <f t="shared" si="5"/>
        <v>15</v>
      </c>
      <c r="U10" s="265">
        <v>62</v>
      </c>
      <c r="V10" s="265">
        <v>89</v>
      </c>
      <c r="W10" s="265">
        <v>128</v>
      </c>
      <c r="X10" s="265">
        <v>146</v>
      </c>
      <c r="Y10" s="265">
        <v>107</v>
      </c>
      <c r="Z10" s="265">
        <v>46</v>
      </c>
      <c r="AA10" s="265">
        <v>60</v>
      </c>
      <c r="AC10" s="692">
        <f t="shared" si="6"/>
        <v>151</v>
      </c>
      <c r="AD10" s="692">
        <f t="shared" si="7"/>
        <v>274</v>
      </c>
      <c r="AE10" s="692">
        <f t="shared" si="8"/>
        <v>153</v>
      </c>
    </row>
    <row r="11" spans="1:31" x14ac:dyDescent="0.25">
      <c r="A11" s="655" t="s">
        <v>22</v>
      </c>
      <c r="B11" s="187" t="s">
        <v>23</v>
      </c>
      <c r="C11" s="665" t="s">
        <v>265</v>
      </c>
      <c r="D11" s="588">
        <v>268</v>
      </c>
      <c r="E11" s="589">
        <v>141</v>
      </c>
      <c r="F11" s="589">
        <v>123</v>
      </c>
      <c r="G11" s="589">
        <v>4</v>
      </c>
      <c r="H11" s="589"/>
      <c r="I11" s="589">
        <v>194</v>
      </c>
      <c r="J11" s="589">
        <v>87</v>
      </c>
      <c r="K11" s="589">
        <v>0</v>
      </c>
      <c r="L11" s="589">
        <v>2</v>
      </c>
      <c r="M11" s="589">
        <v>0</v>
      </c>
      <c r="N11" s="589">
        <v>9</v>
      </c>
      <c r="O11" s="589">
        <v>3</v>
      </c>
      <c r="P11" s="265"/>
      <c r="Q11" s="659">
        <f t="shared" si="3"/>
        <v>194</v>
      </c>
      <c r="R11" s="660">
        <f t="shared" si="4"/>
        <v>87</v>
      </c>
      <c r="S11" s="660">
        <f t="shared" si="5"/>
        <v>2</v>
      </c>
      <c r="U11" s="265">
        <v>26</v>
      </c>
      <c r="V11" s="265">
        <v>31</v>
      </c>
      <c r="W11" s="265">
        <v>50</v>
      </c>
      <c r="X11" s="265">
        <v>65</v>
      </c>
      <c r="Y11" s="265">
        <v>59</v>
      </c>
      <c r="Z11" s="265">
        <v>12</v>
      </c>
      <c r="AA11" s="265">
        <v>25</v>
      </c>
      <c r="AC11" s="692">
        <f t="shared" si="6"/>
        <v>57</v>
      </c>
      <c r="AD11" s="692">
        <f t="shared" si="7"/>
        <v>115</v>
      </c>
      <c r="AE11" s="692">
        <f t="shared" si="8"/>
        <v>71</v>
      </c>
    </row>
    <row r="12" spans="1:31" x14ac:dyDescent="0.25">
      <c r="A12" s="655" t="s">
        <v>24</v>
      </c>
      <c r="B12" s="187" t="s">
        <v>25</v>
      </c>
      <c r="C12" s="665" t="s">
        <v>267</v>
      </c>
      <c r="D12" s="588">
        <v>1437</v>
      </c>
      <c r="E12" s="589">
        <v>715</v>
      </c>
      <c r="F12" s="589">
        <v>703</v>
      </c>
      <c r="G12" s="589">
        <v>19</v>
      </c>
      <c r="H12" s="589"/>
      <c r="I12" s="589">
        <v>857</v>
      </c>
      <c r="J12" s="589">
        <v>460</v>
      </c>
      <c r="K12" s="589">
        <v>100</v>
      </c>
      <c r="L12" s="589">
        <v>4</v>
      </c>
      <c r="M12" s="589">
        <v>3</v>
      </c>
      <c r="N12" s="589">
        <v>73</v>
      </c>
      <c r="O12" s="589">
        <v>570</v>
      </c>
      <c r="P12" s="265"/>
      <c r="Q12" s="659">
        <f t="shared" si="3"/>
        <v>857</v>
      </c>
      <c r="R12" s="660">
        <f t="shared" si="4"/>
        <v>460</v>
      </c>
      <c r="S12" s="660">
        <f t="shared" si="5"/>
        <v>107</v>
      </c>
      <c r="U12" s="265">
        <v>68</v>
      </c>
      <c r="V12" s="265">
        <v>191</v>
      </c>
      <c r="W12" s="265">
        <v>335</v>
      </c>
      <c r="X12" s="265">
        <v>319</v>
      </c>
      <c r="Y12" s="265">
        <v>250</v>
      </c>
      <c r="Z12" s="265">
        <v>137</v>
      </c>
      <c r="AA12" s="265">
        <v>137</v>
      </c>
      <c r="AC12" s="692">
        <f t="shared" si="6"/>
        <v>259</v>
      </c>
      <c r="AD12" s="692">
        <f t="shared" si="7"/>
        <v>654</v>
      </c>
      <c r="AE12" s="692">
        <f t="shared" si="8"/>
        <v>387</v>
      </c>
    </row>
    <row r="13" spans="1:31" x14ac:dyDescent="0.25">
      <c r="A13" s="655" t="s">
        <v>26</v>
      </c>
      <c r="B13" s="187" t="s">
        <v>298</v>
      </c>
      <c r="C13" s="665" t="s">
        <v>265</v>
      </c>
      <c r="D13" s="588">
        <v>3585</v>
      </c>
      <c r="E13" s="589">
        <v>1789</v>
      </c>
      <c r="F13" s="589">
        <v>1754</v>
      </c>
      <c r="G13" s="589">
        <v>42</v>
      </c>
      <c r="H13" s="589"/>
      <c r="I13" s="589">
        <v>3059</v>
      </c>
      <c r="J13" s="589">
        <v>612</v>
      </c>
      <c r="K13" s="589">
        <v>9</v>
      </c>
      <c r="L13" s="589">
        <v>26</v>
      </c>
      <c r="M13" s="589">
        <v>1</v>
      </c>
      <c r="N13" s="589">
        <v>191</v>
      </c>
      <c r="O13" s="589">
        <v>246</v>
      </c>
      <c r="P13" s="265"/>
      <c r="Q13" s="659">
        <f t="shared" si="3"/>
        <v>3059</v>
      </c>
      <c r="R13" s="660">
        <f t="shared" si="4"/>
        <v>612</v>
      </c>
      <c r="S13" s="660">
        <f t="shared" si="5"/>
        <v>36</v>
      </c>
      <c r="U13" s="265">
        <v>197</v>
      </c>
      <c r="V13" s="265">
        <v>524</v>
      </c>
      <c r="W13" s="265">
        <v>781</v>
      </c>
      <c r="X13" s="265">
        <v>776</v>
      </c>
      <c r="Y13" s="265">
        <v>628</v>
      </c>
      <c r="Z13" s="265">
        <v>231</v>
      </c>
      <c r="AA13" s="265">
        <v>448</v>
      </c>
      <c r="AC13" s="692">
        <f t="shared" si="6"/>
        <v>721</v>
      </c>
      <c r="AD13" s="692">
        <f t="shared" si="7"/>
        <v>1557</v>
      </c>
      <c r="AE13" s="692">
        <f t="shared" si="8"/>
        <v>859</v>
      </c>
    </row>
    <row r="14" spans="1:31" x14ac:dyDescent="0.25">
      <c r="A14" s="655" t="s">
        <v>27</v>
      </c>
      <c r="B14" s="187" t="s">
        <v>28</v>
      </c>
      <c r="C14" s="665" t="s">
        <v>265</v>
      </c>
      <c r="D14" s="588">
        <v>90</v>
      </c>
      <c r="E14" s="589">
        <v>41</v>
      </c>
      <c r="F14" s="589">
        <v>49</v>
      </c>
      <c r="G14" s="589">
        <v>0</v>
      </c>
      <c r="H14" s="589"/>
      <c r="I14" s="589">
        <v>87</v>
      </c>
      <c r="J14" s="589">
        <v>8</v>
      </c>
      <c r="K14" s="589">
        <v>0</v>
      </c>
      <c r="L14" s="589">
        <v>0</v>
      </c>
      <c r="M14" s="589">
        <v>0</v>
      </c>
      <c r="N14" s="589">
        <v>5</v>
      </c>
      <c r="O14" s="589">
        <v>0</v>
      </c>
      <c r="P14" s="265"/>
      <c r="Q14" s="659">
        <f t="shared" si="3"/>
        <v>87</v>
      </c>
      <c r="R14" s="660">
        <f t="shared" si="4"/>
        <v>8</v>
      </c>
      <c r="S14" s="660">
        <f t="shared" si="5"/>
        <v>0</v>
      </c>
      <c r="U14" s="265">
        <v>1</v>
      </c>
      <c r="V14" s="265">
        <v>25</v>
      </c>
      <c r="W14" s="265">
        <v>13</v>
      </c>
      <c r="X14" s="265">
        <v>31</v>
      </c>
      <c r="Y14" s="265">
        <v>16</v>
      </c>
      <c r="Z14" s="265">
        <v>3</v>
      </c>
      <c r="AA14" s="265">
        <v>1</v>
      </c>
      <c r="AC14" s="692">
        <f t="shared" si="6"/>
        <v>26</v>
      </c>
      <c r="AD14" s="692">
        <f t="shared" si="7"/>
        <v>44</v>
      </c>
      <c r="AE14" s="692">
        <f t="shared" si="8"/>
        <v>19</v>
      </c>
    </row>
    <row r="15" spans="1:31" x14ac:dyDescent="0.25">
      <c r="A15" s="655" t="s">
        <v>29</v>
      </c>
      <c r="B15" s="187" t="s">
        <v>901</v>
      </c>
      <c r="C15" s="665" t="s">
        <v>265</v>
      </c>
      <c r="D15" s="588">
        <v>1159</v>
      </c>
      <c r="E15" s="589">
        <v>574</v>
      </c>
      <c r="F15" s="589">
        <v>578</v>
      </c>
      <c r="G15" s="589">
        <v>7</v>
      </c>
      <c r="H15" s="589"/>
      <c r="I15" s="589">
        <v>990</v>
      </c>
      <c r="J15" s="589">
        <v>145</v>
      </c>
      <c r="K15" s="589">
        <v>5</v>
      </c>
      <c r="L15" s="589">
        <v>4</v>
      </c>
      <c r="M15" s="589">
        <v>3</v>
      </c>
      <c r="N15" s="589">
        <v>69</v>
      </c>
      <c r="O15" s="589">
        <v>30</v>
      </c>
      <c r="P15" s="265"/>
      <c r="Q15" s="659">
        <f t="shared" si="3"/>
        <v>990</v>
      </c>
      <c r="R15" s="660">
        <f t="shared" si="4"/>
        <v>145</v>
      </c>
      <c r="S15" s="660">
        <f t="shared" si="5"/>
        <v>12</v>
      </c>
      <c r="U15" s="265">
        <v>101</v>
      </c>
      <c r="V15" s="265">
        <v>193</v>
      </c>
      <c r="W15" s="265">
        <v>276</v>
      </c>
      <c r="X15" s="265">
        <v>257</v>
      </c>
      <c r="Y15" s="265">
        <v>192</v>
      </c>
      <c r="Z15" s="265">
        <v>82</v>
      </c>
      <c r="AA15" s="265">
        <v>58</v>
      </c>
      <c r="AC15" s="692">
        <f t="shared" si="6"/>
        <v>294</v>
      </c>
      <c r="AD15" s="692">
        <f t="shared" si="7"/>
        <v>533</v>
      </c>
      <c r="AE15" s="692">
        <f t="shared" si="8"/>
        <v>274</v>
      </c>
    </row>
    <row r="16" spans="1:31" x14ac:dyDescent="0.25">
      <c r="A16" s="655" t="s">
        <v>30</v>
      </c>
      <c r="B16" s="187" t="s">
        <v>31</v>
      </c>
      <c r="C16" s="665" t="s">
        <v>268</v>
      </c>
      <c r="D16" s="588">
        <v>49</v>
      </c>
      <c r="E16" s="589">
        <v>21</v>
      </c>
      <c r="F16" s="589">
        <v>28</v>
      </c>
      <c r="G16" s="589">
        <v>0</v>
      </c>
      <c r="H16" s="589"/>
      <c r="I16" s="589">
        <v>42</v>
      </c>
      <c r="J16" s="589">
        <v>2</v>
      </c>
      <c r="K16" s="589">
        <v>0</v>
      </c>
      <c r="L16" s="589">
        <v>1</v>
      </c>
      <c r="M16" s="589">
        <v>0</v>
      </c>
      <c r="N16" s="589">
        <v>9</v>
      </c>
      <c r="O16" s="589">
        <v>1</v>
      </c>
      <c r="P16" s="265"/>
      <c r="Q16" s="659">
        <f t="shared" si="3"/>
        <v>42</v>
      </c>
      <c r="R16" s="660">
        <f t="shared" si="4"/>
        <v>2</v>
      </c>
      <c r="S16" s="660">
        <f t="shared" si="5"/>
        <v>1</v>
      </c>
      <c r="U16" s="265">
        <v>7</v>
      </c>
      <c r="V16" s="265">
        <v>8</v>
      </c>
      <c r="W16" s="265">
        <v>4</v>
      </c>
      <c r="X16" s="265">
        <v>9</v>
      </c>
      <c r="Y16" s="265">
        <v>8</v>
      </c>
      <c r="Z16" s="265">
        <v>4</v>
      </c>
      <c r="AA16" s="265">
        <v>9</v>
      </c>
      <c r="AC16" s="692">
        <f t="shared" si="6"/>
        <v>15</v>
      </c>
      <c r="AD16" s="692">
        <f t="shared" si="7"/>
        <v>13</v>
      </c>
      <c r="AE16" s="692">
        <f t="shared" si="8"/>
        <v>12</v>
      </c>
    </row>
    <row r="17" spans="1:31" x14ac:dyDescent="0.25">
      <c r="A17" s="655" t="s">
        <v>32</v>
      </c>
      <c r="B17" s="187" t="s">
        <v>33</v>
      </c>
      <c r="C17" s="665" t="s">
        <v>265</v>
      </c>
      <c r="D17" s="588">
        <v>392</v>
      </c>
      <c r="E17" s="589">
        <v>177</v>
      </c>
      <c r="F17" s="589">
        <v>210</v>
      </c>
      <c r="G17" s="589">
        <v>5</v>
      </c>
      <c r="H17" s="589"/>
      <c r="I17" s="589">
        <v>353</v>
      </c>
      <c r="J17" s="589">
        <v>17</v>
      </c>
      <c r="K17" s="589">
        <v>4</v>
      </c>
      <c r="L17" s="589">
        <v>5</v>
      </c>
      <c r="M17" s="589">
        <v>3</v>
      </c>
      <c r="N17" s="589">
        <v>14</v>
      </c>
      <c r="O17" s="589">
        <v>18</v>
      </c>
      <c r="P17" s="265"/>
      <c r="Q17" s="659">
        <f t="shared" si="3"/>
        <v>353</v>
      </c>
      <c r="R17" s="660">
        <f t="shared" si="4"/>
        <v>17</v>
      </c>
      <c r="S17" s="660">
        <f t="shared" si="5"/>
        <v>12</v>
      </c>
      <c r="U17" s="265">
        <v>12</v>
      </c>
      <c r="V17" s="265">
        <v>42</v>
      </c>
      <c r="W17" s="265">
        <v>72</v>
      </c>
      <c r="X17" s="265">
        <v>104</v>
      </c>
      <c r="Y17" s="265">
        <v>103</v>
      </c>
      <c r="Z17" s="265">
        <v>33</v>
      </c>
      <c r="AA17" s="265">
        <v>26</v>
      </c>
      <c r="AC17" s="692">
        <f t="shared" si="6"/>
        <v>54</v>
      </c>
      <c r="AD17" s="692">
        <f t="shared" si="7"/>
        <v>176</v>
      </c>
      <c r="AE17" s="692">
        <f t="shared" si="8"/>
        <v>136</v>
      </c>
    </row>
    <row r="18" spans="1:31" x14ac:dyDescent="0.25">
      <c r="A18" s="655" t="s">
        <v>34</v>
      </c>
      <c r="B18" s="187" t="s">
        <v>35</v>
      </c>
      <c r="C18" s="665" t="s">
        <v>268</v>
      </c>
      <c r="D18" s="588">
        <v>815</v>
      </c>
      <c r="E18" s="589">
        <v>377</v>
      </c>
      <c r="F18" s="589">
        <v>413</v>
      </c>
      <c r="G18" s="589">
        <v>25</v>
      </c>
      <c r="H18" s="589"/>
      <c r="I18" s="589">
        <v>547</v>
      </c>
      <c r="J18" s="589">
        <v>55</v>
      </c>
      <c r="K18" s="589">
        <v>3</v>
      </c>
      <c r="L18" s="589">
        <v>2</v>
      </c>
      <c r="M18" s="589">
        <v>0</v>
      </c>
      <c r="N18" s="589">
        <v>227</v>
      </c>
      <c r="O18" s="589">
        <v>12</v>
      </c>
      <c r="P18" s="265"/>
      <c r="Q18" s="659">
        <f t="shared" si="3"/>
        <v>547</v>
      </c>
      <c r="R18" s="660">
        <f t="shared" si="4"/>
        <v>55</v>
      </c>
      <c r="S18" s="660">
        <f t="shared" si="5"/>
        <v>5</v>
      </c>
      <c r="U18" s="265">
        <v>68</v>
      </c>
      <c r="V18" s="265">
        <v>103</v>
      </c>
      <c r="W18" s="265">
        <v>169</v>
      </c>
      <c r="X18" s="265">
        <v>169</v>
      </c>
      <c r="Y18" s="265">
        <v>125</v>
      </c>
      <c r="Z18" s="265">
        <v>31</v>
      </c>
      <c r="AA18" s="265">
        <v>150</v>
      </c>
      <c r="AC18" s="692">
        <f t="shared" si="6"/>
        <v>171</v>
      </c>
      <c r="AD18" s="692">
        <f t="shared" si="7"/>
        <v>338</v>
      </c>
      <c r="AE18" s="692">
        <f t="shared" si="8"/>
        <v>156</v>
      </c>
    </row>
    <row r="19" spans="1:31" x14ac:dyDescent="0.25">
      <c r="A19" s="655" t="s">
        <v>36</v>
      </c>
      <c r="B19" s="187" t="s">
        <v>37</v>
      </c>
      <c r="C19" s="665" t="s">
        <v>264</v>
      </c>
      <c r="D19" s="588">
        <v>111</v>
      </c>
      <c r="E19" s="589">
        <v>45</v>
      </c>
      <c r="F19" s="589">
        <v>64</v>
      </c>
      <c r="G19" s="589">
        <v>2</v>
      </c>
      <c r="H19" s="589"/>
      <c r="I19" s="589">
        <v>33</v>
      </c>
      <c r="J19" s="589">
        <v>76</v>
      </c>
      <c r="K19" s="589">
        <v>0</v>
      </c>
      <c r="L19" s="589">
        <v>0</v>
      </c>
      <c r="M19" s="589">
        <v>0</v>
      </c>
      <c r="N19" s="589">
        <v>7</v>
      </c>
      <c r="O19" s="589">
        <v>0</v>
      </c>
      <c r="P19" s="265"/>
      <c r="Q19" s="659">
        <f t="shared" si="3"/>
        <v>33</v>
      </c>
      <c r="R19" s="660">
        <f t="shared" si="4"/>
        <v>76</v>
      </c>
      <c r="S19" s="660">
        <f t="shared" si="5"/>
        <v>0</v>
      </c>
      <c r="U19" s="265">
        <v>11</v>
      </c>
      <c r="V19" s="265">
        <v>26</v>
      </c>
      <c r="W19" s="265">
        <v>17</v>
      </c>
      <c r="X19" s="265">
        <v>17</v>
      </c>
      <c r="Y19" s="265">
        <v>20</v>
      </c>
      <c r="Z19" s="265">
        <v>10</v>
      </c>
      <c r="AA19" s="265">
        <v>10</v>
      </c>
      <c r="AC19" s="692">
        <f t="shared" si="6"/>
        <v>37</v>
      </c>
      <c r="AD19" s="692">
        <f t="shared" si="7"/>
        <v>34</v>
      </c>
      <c r="AE19" s="692">
        <f t="shared" si="8"/>
        <v>30</v>
      </c>
    </row>
    <row r="20" spans="1:31" x14ac:dyDescent="0.25">
      <c r="A20" s="655" t="s">
        <v>38</v>
      </c>
      <c r="B20" s="187" t="s">
        <v>39</v>
      </c>
      <c r="C20" s="665" t="s">
        <v>268</v>
      </c>
      <c r="D20" s="588">
        <v>283</v>
      </c>
      <c r="E20" s="589">
        <v>144</v>
      </c>
      <c r="F20" s="589">
        <v>138</v>
      </c>
      <c r="G20" s="589">
        <v>1</v>
      </c>
      <c r="H20" s="589"/>
      <c r="I20" s="589">
        <v>280</v>
      </c>
      <c r="J20" s="589">
        <v>9</v>
      </c>
      <c r="K20" s="589">
        <v>1</v>
      </c>
      <c r="L20" s="589">
        <v>0</v>
      </c>
      <c r="M20" s="589">
        <v>0</v>
      </c>
      <c r="N20" s="589">
        <v>2</v>
      </c>
      <c r="O20" s="589">
        <v>3</v>
      </c>
      <c r="P20" s="265"/>
      <c r="Q20" s="659">
        <f t="shared" si="3"/>
        <v>280</v>
      </c>
      <c r="R20" s="660">
        <f t="shared" si="4"/>
        <v>9</v>
      </c>
      <c r="S20" s="660">
        <f t="shared" si="5"/>
        <v>1</v>
      </c>
      <c r="U20" s="265">
        <v>34</v>
      </c>
      <c r="V20" s="265">
        <v>53</v>
      </c>
      <c r="W20" s="265">
        <v>61</v>
      </c>
      <c r="X20" s="265">
        <v>63</v>
      </c>
      <c r="Y20" s="265">
        <v>42</v>
      </c>
      <c r="Z20" s="265">
        <v>18</v>
      </c>
      <c r="AA20" s="265">
        <v>12</v>
      </c>
      <c r="AC20" s="692">
        <f t="shared" si="6"/>
        <v>87</v>
      </c>
      <c r="AD20" s="692">
        <f t="shared" si="7"/>
        <v>124</v>
      </c>
      <c r="AE20" s="692">
        <f t="shared" si="8"/>
        <v>60</v>
      </c>
    </row>
    <row r="21" spans="1:31" x14ac:dyDescent="0.25">
      <c r="A21" s="655" t="s">
        <v>40</v>
      </c>
      <c r="B21" s="187" t="s">
        <v>41</v>
      </c>
      <c r="C21" s="665" t="s">
        <v>266</v>
      </c>
      <c r="D21" s="588">
        <v>245</v>
      </c>
      <c r="E21" s="589">
        <v>118</v>
      </c>
      <c r="F21" s="589">
        <v>127</v>
      </c>
      <c r="G21" s="589">
        <v>0</v>
      </c>
      <c r="H21" s="589"/>
      <c r="I21" s="589">
        <v>168</v>
      </c>
      <c r="J21" s="589">
        <v>75</v>
      </c>
      <c r="K21" s="589">
        <v>0</v>
      </c>
      <c r="L21" s="589">
        <v>2</v>
      </c>
      <c r="M21" s="589">
        <v>0</v>
      </c>
      <c r="N21" s="589">
        <v>17</v>
      </c>
      <c r="O21" s="589">
        <v>5</v>
      </c>
      <c r="P21" s="265"/>
      <c r="Q21" s="659">
        <f t="shared" si="3"/>
        <v>168</v>
      </c>
      <c r="R21" s="660">
        <f t="shared" si="4"/>
        <v>75</v>
      </c>
      <c r="S21" s="660">
        <f t="shared" si="5"/>
        <v>2</v>
      </c>
      <c r="U21" s="265">
        <v>22</v>
      </c>
      <c r="V21" s="265">
        <v>42</v>
      </c>
      <c r="W21" s="265">
        <v>48</v>
      </c>
      <c r="X21" s="265">
        <v>66</v>
      </c>
      <c r="Y21" s="265">
        <v>45</v>
      </c>
      <c r="Z21" s="265">
        <v>16</v>
      </c>
      <c r="AA21" s="265">
        <v>6</v>
      </c>
      <c r="AC21" s="692">
        <f t="shared" si="6"/>
        <v>64</v>
      </c>
      <c r="AD21" s="692">
        <f t="shared" si="7"/>
        <v>114</v>
      </c>
      <c r="AE21" s="692">
        <f t="shared" si="8"/>
        <v>61</v>
      </c>
    </row>
    <row r="22" spans="1:31" x14ac:dyDescent="0.25">
      <c r="A22" s="655" t="s">
        <v>42</v>
      </c>
      <c r="B22" s="187" t="s">
        <v>43</v>
      </c>
      <c r="C22" s="665" t="s">
        <v>265</v>
      </c>
      <c r="D22" s="588">
        <v>1623</v>
      </c>
      <c r="E22" s="589">
        <v>813</v>
      </c>
      <c r="F22" s="589">
        <v>788</v>
      </c>
      <c r="G22" s="589">
        <v>22</v>
      </c>
      <c r="H22" s="589"/>
      <c r="I22" s="589">
        <v>1364</v>
      </c>
      <c r="J22" s="589">
        <v>265</v>
      </c>
      <c r="K22" s="589">
        <v>8</v>
      </c>
      <c r="L22" s="589">
        <v>9</v>
      </c>
      <c r="M22" s="589">
        <v>5</v>
      </c>
      <c r="N22" s="589">
        <v>53</v>
      </c>
      <c r="O22" s="589">
        <v>77</v>
      </c>
      <c r="P22" s="265"/>
      <c r="Q22" s="659">
        <f t="shared" si="3"/>
        <v>1364</v>
      </c>
      <c r="R22" s="660">
        <f t="shared" si="4"/>
        <v>265</v>
      </c>
      <c r="S22" s="660">
        <f t="shared" si="5"/>
        <v>22</v>
      </c>
      <c r="U22" s="265">
        <v>114</v>
      </c>
      <c r="V22" s="265">
        <v>248</v>
      </c>
      <c r="W22" s="265">
        <v>347</v>
      </c>
      <c r="X22" s="265">
        <v>381</v>
      </c>
      <c r="Y22" s="265">
        <v>284</v>
      </c>
      <c r="Z22" s="265">
        <v>151</v>
      </c>
      <c r="AA22" s="265">
        <v>98</v>
      </c>
      <c r="AC22" s="692">
        <f t="shared" si="6"/>
        <v>362</v>
      </c>
      <c r="AD22" s="692">
        <f t="shared" si="7"/>
        <v>728</v>
      </c>
      <c r="AE22" s="692">
        <f t="shared" si="8"/>
        <v>435</v>
      </c>
    </row>
    <row r="23" spans="1:31" x14ac:dyDescent="0.25">
      <c r="A23" s="655" t="s">
        <v>44</v>
      </c>
      <c r="B23" s="187" t="s">
        <v>45</v>
      </c>
      <c r="C23" s="665" t="s">
        <v>266</v>
      </c>
      <c r="D23" s="588">
        <v>321</v>
      </c>
      <c r="E23" s="589">
        <v>143</v>
      </c>
      <c r="F23" s="589">
        <v>173</v>
      </c>
      <c r="G23" s="589">
        <v>5</v>
      </c>
      <c r="H23" s="589"/>
      <c r="I23" s="589">
        <v>236</v>
      </c>
      <c r="J23" s="589">
        <v>83</v>
      </c>
      <c r="K23" s="589">
        <v>1</v>
      </c>
      <c r="L23" s="589">
        <v>1</v>
      </c>
      <c r="M23" s="589">
        <v>2</v>
      </c>
      <c r="N23" s="589">
        <v>18</v>
      </c>
      <c r="O23" s="589">
        <v>8</v>
      </c>
      <c r="P23" s="265"/>
      <c r="Q23" s="659">
        <f t="shared" si="3"/>
        <v>236</v>
      </c>
      <c r="R23" s="660">
        <f t="shared" si="4"/>
        <v>83</v>
      </c>
      <c r="S23" s="660">
        <f t="shared" si="5"/>
        <v>4</v>
      </c>
      <c r="U23" s="265">
        <v>32</v>
      </c>
      <c r="V23" s="265">
        <v>42</v>
      </c>
      <c r="W23" s="265">
        <v>75</v>
      </c>
      <c r="X23" s="265">
        <v>39</v>
      </c>
      <c r="Y23" s="265">
        <v>52</v>
      </c>
      <c r="Z23" s="265">
        <v>30</v>
      </c>
      <c r="AA23" s="265">
        <v>51</v>
      </c>
      <c r="AC23" s="692">
        <f t="shared" si="6"/>
        <v>74</v>
      </c>
      <c r="AD23" s="692">
        <f t="shared" si="7"/>
        <v>114</v>
      </c>
      <c r="AE23" s="692">
        <f t="shared" si="8"/>
        <v>82</v>
      </c>
    </row>
    <row r="24" spans="1:31" x14ac:dyDescent="0.25">
      <c r="A24" s="655" t="s">
        <v>46</v>
      </c>
      <c r="B24" s="187" t="s">
        <v>47</v>
      </c>
      <c r="C24" s="665" t="s">
        <v>268</v>
      </c>
      <c r="D24" s="588">
        <v>515</v>
      </c>
      <c r="E24" s="589">
        <v>275</v>
      </c>
      <c r="F24" s="589">
        <v>240</v>
      </c>
      <c r="G24" s="589">
        <v>0</v>
      </c>
      <c r="H24" s="589"/>
      <c r="I24" s="589">
        <v>511</v>
      </c>
      <c r="J24" s="589">
        <v>9</v>
      </c>
      <c r="K24" s="589">
        <v>0</v>
      </c>
      <c r="L24" s="589">
        <v>0</v>
      </c>
      <c r="M24" s="589">
        <v>0</v>
      </c>
      <c r="N24" s="589">
        <v>3</v>
      </c>
      <c r="O24" s="589">
        <v>26</v>
      </c>
      <c r="P24" s="265"/>
      <c r="Q24" s="659">
        <f t="shared" si="3"/>
        <v>511</v>
      </c>
      <c r="R24" s="660">
        <f t="shared" si="4"/>
        <v>9</v>
      </c>
      <c r="S24" s="660">
        <f t="shared" si="5"/>
        <v>0</v>
      </c>
      <c r="U24" s="265">
        <v>48</v>
      </c>
      <c r="V24" s="265">
        <v>78</v>
      </c>
      <c r="W24" s="265">
        <v>112</v>
      </c>
      <c r="X24" s="265">
        <v>122</v>
      </c>
      <c r="Y24" s="265">
        <v>101</v>
      </c>
      <c r="Z24" s="265">
        <v>48</v>
      </c>
      <c r="AA24" s="265">
        <v>6</v>
      </c>
      <c r="AC24" s="692">
        <f t="shared" si="6"/>
        <v>126</v>
      </c>
      <c r="AD24" s="692">
        <f t="shared" si="7"/>
        <v>234</v>
      </c>
      <c r="AE24" s="692">
        <f t="shared" si="8"/>
        <v>149</v>
      </c>
    </row>
    <row r="25" spans="1:31" x14ac:dyDescent="0.25">
      <c r="A25" s="655" t="s">
        <v>48</v>
      </c>
      <c r="B25" s="187" t="s">
        <v>269</v>
      </c>
      <c r="C25" s="665" t="s">
        <v>266</v>
      </c>
      <c r="D25" s="588">
        <v>30</v>
      </c>
      <c r="E25" s="589">
        <v>16</v>
      </c>
      <c r="F25" s="589">
        <v>14</v>
      </c>
      <c r="G25" s="589">
        <v>0</v>
      </c>
      <c r="H25" s="589"/>
      <c r="I25" s="589">
        <v>10</v>
      </c>
      <c r="J25" s="589">
        <v>21</v>
      </c>
      <c r="K25" s="589">
        <v>0</v>
      </c>
      <c r="L25" s="589">
        <v>0</v>
      </c>
      <c r="M25" s="589">
        <v>1</v>
      </c>
      <c r="N25" s="589">
        <v>0</v>
      </c>
      <c r="O25" s="589">
        <v>0</v>
      </c>
      <c r="P25" s="265"/>
      <c r="Q25" s="659">
        <f t="shared" si="3"/>
        <v>10</v>
      </c>
      <c r="R25" s="660">
        <f t="shared" si="4"/>
        <v>21</v>
      </c>
      <c r="S25" s="660">
        <f t="shared" si="5"/>
        <v>1</v>
      </c>
      <c r="U25" s="265">
        <v>0</v>
      </c>
      <c r="V25" s="265">
        <v>5</v>
      </c>
      <c r="W25" s="265">
        <v>8</v>
      </c>
      <c r="X25" s="265">
        <v>8</v>
      </c>
      <c r="Y25" s="265">
        <v>7</v>
      </c>
      <c r="Z25" s="265">
        <v>2</v>
      </c>
      <c r="AA25" s="265">
        <v>0</v>
      </c>
      <c r="AC25" s="692">
        <f t="shared" si="6"/>
        <v>5</v>
      </c>
      <c r="AD25" s="692">
        <f t="shared" si="7"/>
        <v>16</v>
      </c>
      <c r="AE25" s="692">
        <f t="shared" si="8"/>
        <v>9</v>
      </c>
    </row>
    <row r="26" spans="1:31" x14ac:dyDescent="0.25">
      <c r="A26" s="655" t="s">
        <v>50</v>
      </c>
      <c r="B26" s="187" t="s">
        <v>51</v>
      </c>
      <c r="C26" s="665" t="s">
        <v>265</v>
      </c>
      <c r="D26" s="588">
        <v>151</v>
      </c>
      <c r="E26" s="589">
        <v>78</v>
      </c>
      <c r="F26" s="589">
        <v>71</v>
      </c>
      <c r="G26" s="589">
        <v>2</v>
      </c>
      <c r="H26" s="589"/>
      <c r="I26" s="589">
        <v>119</v>
      </c>
      <c r="J26" s="589">
        <v>33</v>
      </c>
      <c r="K26" s="589">
        <v>0</v>
      </c>
      <c r="L26" s="589">
        <v>0</v>
      </c>
      <c r="M26" s="589">
        <v>2</v>
      </c>
      <c r="N26" s="589">
        <v>4</v>
      </c>
      <c r="O26" s="589">
        <v>3</v>
      </c>
      <c r="P26" s="265"/>
      <c r="Q26" s="659">
        <f t="shared" si="3"/>
        <v>119</v>
      </c>
      <c r="R26" s="660">
        <f t="shared" si="4"/>
        <v>33</v>
      </c>
      <c r="S26" s="660">
        <f t="shared" si="5"/>
        <v>2</v>
      </c>
      <c r="U26" s="265">
        <v>11</v>
      </c>
      <c r="V26" s="265">
        <v>34</v>
      </c>
      <c r="W26" s="265">
        <v>38</v>
      </c>
      <c r="X26" s="265">
        <v>24</v>
      </c>
      <c r="Y26" s="265">
        <v>23</v>
      </c>
      <c r="Z26" s="265">
        <v>8</v>
      </c>
      <c r="AA26" s="265">
        <v>13</v>
      </c>
      <c r="AC26" s="692">
        <f t="shared" si="6"/>
        <v>45</v>
      </c>
      <c r="AD26" s="692">
        <f t="shared" si="7"/>
        <v>62</v>
      </c>
      <c r="AE26" s="692">
        <f t="shared" si="8"/>
        <v>31</v>
      </c>
    </row>
    <row r="27" spans="1:31" x14ac:dyDescent="0.25">
      <c r="A27" s="655" t="s">
        <v>52</v>
      </c>
      <c r="B27" s="187" t="s">
        <v>53</v>
      </c>
      <c r="C27" s="665" t="s">
        <v>265</v>
      </c>
      <c r="D27" s="588">
        <v>1129</v>
      </c>
      <c r="E27" s="589">
        <v>592</v>
      </c>
      <c r="F27" s="589">
        <v>524</v>
      </c>
      <c r="G27" s="589">
        <v>13</v>
      </c>
      <c r="H27" s="589"/>
      <c r="I27" s="589">
        <v>449</v>
      </c>
      <c r="J27" s="589">
        <v>767</v>
      </c>
      <c r="K27" s="589">
        <v>22</v>
      </c>
      <c r="L27" s="589">
        <v>1</v>
      </c>
      <c r="M27" s="589">
        <v>0</v>
      </c>
      <c r="N27" s="589">
        <v>33</v>
      </c>
      <c r="O27" s="589">
        <v>87</v>
      </c>
      <c r="P27" s="265"/>
      <c r="Q27" s="659">
        <f t="shared" si="3"/>
        <v>449</v>
      </c>
      <c r="R27" s="660">
        <f t="shared" si="4"/>
        <v>767</v>
      </c>
      <c r="S27" s="660">
        <f t="shared" si="5"/>
        <v>23</v>
      </c>
      <c r="U27" s="265">
        <v>77</v>
      </c>
      <c r="V27" s="265">
        <v>168</v>
      </c>
      <c r="W27" s="265">
        <v>329</v>
      </c>
      <c r="X27" s="265">
        <v>289</v>
      </c>
      <c r="Y27" s="265">
        <v>138</v>
      </c>
      <c r="Z27" s="265">
        <v>75</v>
      </c>
      <c r="AA27" s="265">
        <v>53</v>
      </c>
      <c r="AC27" s="692">
        <f t="shared" si="6"/>
        <v>245</v>
      </c>
      <c r="AD27" s="692">
        <f t="shared" si="7"/>
        <v>618</v>
      </c>
      <c r="AE27" s="692">
        <f t="shared" si="8"/>
        <v>213</v>
      </c>
    </row>
    <row r="28" spans="1:31" x14ac:dyDescent="0.25">
      <c r="A28" s="655" t="s">
        <v>54</v>
      </c>
      <c r="B28" s="187" t="s">
        <v>55</v>
      </c>
      <c r="C28" s="665" t="s">
        <v>264</v>
      </c>
      <c r="D28" s="588">
        <v>2794</v>
      </c>
      <c r="E28" s="589">
        <v>1397</v>
      </c>
      <c r="F28" s="589">
        <v>1356</v>
      </c>
      <c r="G28" s="589">
        <v>41</v>
      </c>
      <c r="H28" s="589"/>
      <c r="I28" s="589">
        <v>1455</v>
      </c>
      <c r="J28" s="589">
        <v>1174</v>
      </c>
      <c r="K28" s="589">
        <v>52</v>
      </c>
      <c r="L28" s="589">
        <v>60</v>
      </c>
      <c r="M28" s="589">
        <v>10</v>
      </c>
      <c r="N28" s="589">
        <v>221</v>
      </c>
      <c r="O28" s="589">
        <v>229</v>
      </c>
      <c r="P28" s="265"/>
      <c r="Q28" s="659">
        <f t="shared" si="3"/>
        <v>1455</v>
      </c>
      <c r="R28" s="660">
        <f t="shared" si="4"/>
        <v>1174</v>
      </c>
      <c r="S28" s="660">
        <f t="shared" si="5"/>
        <v>122</v>
      </c>
      <c r="U28" s="265">
        <v>137</v>
      </c>
      <c r="V28" s="265">
        <v>390</v>
      </c>
      <c r="W28" s="265">
        <v>572</v>
      </c>
      <c r="X28" s="265">
        <v>562</v>
      </c>
      <c r="Y28" s="265">
        <v>560</v>
      </c>
      <c r="Z28" s="265">
        <v>222</v>
      </c>
      <c r="AA28" s="265">
        <v>351</v>
      </c>
      <c r="AC28" s="692">
        <f t="shared" si="6"/>
        <v>527</v>
      </c>
      <c r="AD28" s="692">
        <f t="shared" si="7"/>
        <v>1134</v>
      </c>
      <c r="AE28" s="692">
        <f t="shared" si="8"/>
        <v>782</v>
      </c>
    </row>
    <row r="29" spans="1:31" x14ac:dyDescent="0.25">
      <c r="A29" s="655" t="s">
        <v>56</v>
      </c>
      <c r="B29" s="187" t="s">
        <v>295</v>
      </c>
      <c r="C29" s="665" t="s">
        <v>266</v>
      </c>
      <c r="D29" s="588">
        <v>2735</v>
      </c>
      <c r="E29" s="589">
        <v>1327</v>
      </c>
      <c r="F29" s="589">
        <v>1348</v>
      </c>
      <c r="G29" s="589">
        <v>60</v>
      </c>
      <c r="H29" s="589"/>
      <c r="I29" s="589">
        <v>1604</v>
      </c>
      <c r="J29" s="589">
        <v>972</v>
      </c>
      <c r="K29" s="589">
        <v>50</v>
      </c>
      <c r="L29" s="589">
        <v>45</v>
      </c>
      <c r="M29" s="589">
        <v>8</v>
      </c>
      <c r="N29" s="589">
        <v>229</v>
      </c>
      <c r="O29" s="589">
        <v>311</v>
      </c>
      <c r="P29" s="265"/>
      <c r="Q29" s="659">
        <f t="shared" si="3"/>
        <v>1604</v>
      </c>
      <c r="R29" s="660">
        <f t="shared" si="4"/>
        <v>972</v>
      </c>
      <c r="S29" s="660">
        <f t="shared" si="5"/>
        <v>103</v>
      </c>
      <c r="U29" s="265">
        <v>178</v>
      </c>
      <c r="V29" s="265">
        <v>323</v>
      </c>
      <c r="W29" s="265">
        <v>533</v>
      </c>
      <c r="X29" s="265">
        <v>483</v>
      </c>
      <c r="Y29" s="265">
        <v>509</v>
      </c>
      <c r="Z29" s="265">
        <v>263</v>
      </c>
      <c r="AA29" s="265">
        <v>446</v>
      </c>
      <c r="AC29" s="692">
        <f t="shared" si="6"/>
        <v>501</v>
      </c>
      <c r="AD29" s="692">
        <f t="shared" si="7"/>
        <v>1016</v>
      </c>
      <c r="AE29" s="692">
        <f t="shared" si="8"/>
        <v>772</v>
      </c>
    </row>
    <row r="30" spans="1:31" x14ac:dyDescent="0.25">
      <c r="A30" s="655" t="s">
        <v>58</v>
      </c>
      <c r="B30" s="187" t="s">
        <v>59</v>
      </c>
      <c r="C30" s="665" t="s">
        <v>267</v>
      </c>
      <c r="D30" s="588">
        <v>209</v>
      </c>
      <c r="E30" s="589">
        <v>101</v>
      </c>
      <c r="F30" s="589">
        <v>105</v>
      </c>
      <c r="G30" s="589">
        <v>3</v>
      </c>
      <c r="H30" s="589"/>
      <c r="I30" s="589">
        <v>174</v>
      </c>
      <c r="J30" s="589">
        <v>12</v>
      </c>
      <c r="K30" s="589">
        <v>0</v>
      </c>
      <c r="L30" s="589">
        <v>0</v>
      </c>
      <c r="M30" s="589">
        <v>2</v>
      </c>
      <c r="N30" s="589">
        <v>27</v>
      </c>
      <c r="O30" s="589">
        <v>5</v>
      </c>
      <c r="P30" s="265"/>
      <c r="Q30" s="659">
        <f t="shared" si="3"/>
        <v>174</v>
      </c>
      <c r="R30" s="660">
        <f t="shared" si="4"/>
        <v>12</v>
      </c>
      <c r="S30" s="660">
        <f t="shared" si="5"/>
        <v>2</v>
      </c>
      <c r="U30" s="265">
        <v>19</v>
      </c>
      <c r="V30" s="265">
        <v>24</v>
      </c>
      <c r="W30" s="265">
        <v>49</v>
      </c>
      <c r="X30" s="265">
        <v>33</v>
      </c>
      <c r="Y30" s="265">
        <v>43</v>
      </c>
      <c r="Z30" s="265">
        <v>19</v>
      </c>
      <c r="AA30" s="265">
        <v>22</v>
      </c>
      <c r="AC30" s="692">
        <f t="shared" si="6"/>
        <v>43</v>
      </c>
      <c r="AD30" s="692">
        <f t="shared" si="7"/>
        <v>82</v>
      </c>
      <c r="AE30" s="692">
        <f t="shared" si="8"/>
        <v>62</v>
      </c>
    </row>
    <row r="31" spans="1:31" x14ac:dyDescent="0.25">
      <c r="A31" s="655" t="s">
        <v>60</v>
      </c>
      <c r="B31" s="187" t="s">
        <v>61</v>
      </c>
      <c r="C31" s="665" t="s">
        <v>265</v>
      </c>
      <c r="D31" s="588">
        <v>92</v>
      </c>
      <c r="E31" s="589">
        <v>49</v>
      </c>
      <c r="F31" s="589">
        <v>43</v>
      </c>
      <c r="G31" s="589">
        <v>0</v>
      </c>
      <c r="H31" s="589"/>
      <c r="I31" s="589">
        <v>84</v>
      </c>
      <c r="J31" s="589">
        <v>0</v>
      </c>
      <c r="K31" s="589">
        <v>0</v>
      </c>
      <c r="L31" s="589">
        <v>0</v>
      </c>
      <c r="M31" s="589">
        <v>0</v>
      </c>
      <c r="N31" s="589">
        <v>8</v>
      </c>
      <c r="O31" s="589">
        <v>0</v>
      </c>
      <c r="P31" s="265"/>
      <c r="Q31" s="659">
        <f t="shared" si="3"/>
        <v>84</v>
      </c>
      <c r="R31" s="660">
        <f t="shared" si="4"/>
        <v>0</v>
      </c>
      <c r="S31" s="660">
        <f t="shared" si="5"/>
        <v>0</v>
      </c>
      <c r="U31" s="265">
        <v>4</v>
      </c>
      <c r="V31" s="265">
        <v>16</v>
      </c>
      <c r="W31" s="265">
        <v>12</v>
      </c>
      <c r="X31" s="265">
        <v>19</v>
      </c>
      <c r="Y31" s="265">
        <v>18</v>
      </c>
      <c r="Z31" s="265">
        <v>15</v>
      </c>
      <c r="AA31" s="265">
        <v>8</v>
      </c>
      <c r="AC31" s="692">
        <f t="shared" si="6"/>
        <v>20</v>
      </c>
      <c r="AD31" s="692">
        <f t="shared" si="7"/>
        <v>31</v>
      </c>
      <c r="AE31" s="692">
        <f t="shared" si="8"/>
        <v>33</v>
      </c>
    </row>
    <row r="32" spans="1:31" x14ac:dyDescent="0.25">
      <c r="A32" s="655" t="s">
        <v>62</v>
      </c>
      <c r="B32" s="187" t="s">
        <v>63</v>
      </c>
      <c r="C32" s="665" t="s">
        <v>267</v>
      </c>
      <c r="D32" s="588">
        <v>632</v>
      </c>
      <c r="E32" s="589">
        <v>308</v>
      </c>
      <c r="F32" s="589">
        <v>312</v>
      </c>
      <c r="G32" s="589">
        <v>12</v>
      </c>
      <c r="H32" s="589"/>
      <c r="I32" s="589">
        <v>420</v>
      </c>
      <c r="J32" s="589">
        <v>109</v>
      </c>
      <c r="K32" s="589">
        <v>0</v>
      </c>
      <c r="L32" s="589">
        <v>1</v>
      </c>
      <c r="M32" s="589">
        <v>2</v>
      </c>
      <c r="N32" s="589">
        <v>141</v>
      </c>
      <c r="O32" s="589">
        <v>78</v>
      </c>
      <c r="P32" s="265"/>
      <c r="Q32" s="659">
        <f t="shared" si="3"/>
        <v>420</v>
      </c>
      <c r="R32" s="660">
        <f t="shared" si="4"/>
        <v>109</v>
      </c>
      <c r="S32" s="660">
        <f t="shared" si="5"/>
        <v>3</v>
      </c>
      <c r="U32" s="265">
        <v>47</v>
      </c>
      <c r="V32" s="265">
        <v>89</v>
      </c>
      <c r="W32" s="265">
        <v>128</v>
      </c>
      <c r="X32" s="265">
        <v>111</v>
      </c>
      <c r="Y32" s="265">
        <v>107</v>
      </c>
      <c r="Z32" s="265">
        <v>56</v>
      </c>
      <c r="AA32" s="265">
        <v>94</v>
      </c>
      <c r="AC32" s="692">
        <f t="shared" si="6"/>
        <v>136</v>
      </c>
      <c r="AD32" s="692">
        <f t="shared" si="7"/>
        <v>239</v>
      </c>
      <c r="AE32" s="692">
        <f t="shared" si="8"/>
        <v>163</v>
      </c>
    </row>
    <row r="33" spans="1:31" x14ac:dyDescent="0.25">
      <c r="A33" s="655" t="s">
        <v>64</v>
      </c>
      <c r="B33" s="187" t="s">
        <v>65</v>
      </c>
      <c r="C33" s="665" t="s">
        <v>266</v>
      </c>
      <c r="D33" s="588">
        <v>154</v>
      </c>
      <c r="E33" s="589">
        <v>74</v>
      </c>
      <c r="F33" s="589">
        <v>80</v>
      </c>
      <c r="G33" s="589">
        <v>0</v>
      </c>
      <c r="H33" s="589"/>
      <c r="I33" s="589">
        <v>95</v>
      </c>
      <c r="J33" s="589">
        <v>47</v>
      </c>
      <c r="K33" s="589">
        <v>2</v>
      </c>
      <c r="L33" s="589">
        <v>0</v>
      </c>
      <c r="M33" s="589">
        <v>0</v>
      </c>
      <c r="N33" s="589">
        <v>16</v>
      </c>
      <c r="O33" s="589">
        <v>2</v>
      </c>
      <c r="P33" s="265"/>
      <c r="Q33" s="659">
        <f t="shared" si="3"/>
        <v>95</v>
      </c>
      <c r="R33" s="660">
        <f t="shared" si="4"/>
        <v>47</v>
      </c>
      <c r="S33" s="660">
        <f t="shared" si="5"/>
        <v>2</v>
      </c>
      <c r="U33" s="265">
        <v>6</v>
      </c>
      <c r="V33" s="265">
        <v>19</v>
      </c>
      <c r="W33" s="265">
        <v>49</v>
      </c>
      <c r="X33" s="265">
        <v>44</v>
      </c>
      <c r="Y33" s="265">
        <v>21</v>
      </c>
      <c r="Z33" s="265">
        <v>10</v>
      </c>
      <c r="AA33" s="265">
        <v>5</v>
      </c>
      <c r="AC33" s="692">
        <f t="shared" si="6"/>
        <v>25</v>
      </c>
      <c r="AD33" s="692">
        <f t="shared" si="7"/>
        <v>93</v>
      </c>
      <c r="AE33" s="692">
        <f t="shared" si="8"/>
        <v>31</v>
      </c>
    </row>
    <row r="34" spans="1:31" x14ac:dyDescent="0.25">
      <c r="A34" s="655" t="s">
        <v>66</v>
      </c>
      <c r="B34" s="187" t="s">
        <v>67</v>
      </c>
      <c r="C34" s="665" t="s">
        <v>265</v>
      </c>
      <c r="D34" s="588">
        <v>1065</v>
      </c>
      <c r="E34" s="589">
        <v>502</v>
      </c>
      <c r="F34" s="589">
        <v>532</v>
      </c>
      <c r="G34" s="589">
        <v>31</v>
      </c>
      <c r="H34" s="589"/>
      <c r="I34" s="589">
        <v>377</v>
      </c>
      <c r="J34" s="589">
        <v>639</v>
      </c>
      <c r="K34" s="589">
        <v>1</v>
      </c>
      <c r="L34" s="589">
        <v>3</v>
      </c>
      <c r="M34" s="589">
        <v>2</v>
      </c>
      <c r="N34" s="589">
        <v>97</v>
      </c>
      <c r="O34" s="589">
        <v>30</v>
      </c>
      <c r="P34" s="265"/>
      <c r="Q34" s="659">
        <f t="shared" si="3"/>
        <v>377</v>
      </c>
      <c r="R34" s="660">
        <f t="shared" si="4"/>
        <v>639</v>
      </c>
      <c r="S34" s="660">
        <f t="shared" si="5"/>
        <v>6</v>
      </c>
      <c r="U34" s="265">
        <v>77</v>
      </c>
      <c r="V34" s="265">
        <v>164</v>
      </c>
      <c r="W34" s="265">
        <v>247</v>
      </c>
      <c r="X34" s="265">
        <v>214</v>
      </c>
      <c r="Y34" s="265">
        <v>185</v>
      </c>
      <c r="Z34" s="265">
        <v>80</v>
      </c>
      <c r="AA34" s="265">
        <v>98</v>
      </c>
      <c r="AC34" s="692">
        <f t="shared" si="6"/>
        <v>241</v>
      </c>
      <c r="AD34" s="692">
        <f t="shared" si="7"/>
        <v>461</v>
      </c>
      <c r="AE34" s="692">
        <f t="shared" si="8"/>
        <v>265</v>
      </c>
    </row>
    <row r="35" spans="1:31" x14ac:dyDescent="0.25">
      <c r="A35" s="655" t="s">
        <v>68</v>
      </c>
      <c r="B35" s="187" t="s">
        <v>69</v>
      </c>
      <c r="C35" s="665" t="s">
        <v>268</v>
      </c>
      <c r="D35" s="588">
        <v>431</v>
      </c>
      <c r="E35" s="589">
        <v>212</v>
      </c>
      <c r="F35" s="589">
        <v>219</v>
      </c>
      <c r="G35" s="589">
        <v>0</v>
      </c>
      <c r="H35" s="589"/>
      <c r="I35" s="589">
        <v>426</v>
      </c>
      <c r="J35" s="589">
        <v>0</v>
      </c>
      <c r="K35" s="589">
        <v>0</v>
      </c>
      <c r="L35" s="589">
        <v>2</v>
      </c>
      <c r="M35" s="589">
        <v>0</v>
      </c>
      <c r="N35" s="589">
        <v>1</v>
      </c>
      <c r="O35" s="589">
        <v>1</v>
      </c>
      <c r="P35" s="265"/>
      <c r="Q35" s="659">
        <f t="shared" si="3"/>
        <v>426</v>
      </c>
      <c r="R35" s="660">
        <f t="shared" si="4"/>
        <v>0</v>
      </c>
      <c r="S35" s="660">
        <f t="shared" si="5"/>
        <v>2</v>
      </c>
      <c r="U35" s="265">
        <v>35</v>
      </c>
      <c r="V35" s="265">
        <v>71</v>
      </c>
      <c r="W35" s="265">
        <v>102</v>
      </c>
      <c r="X35" s="265">
        <v>106</v>
      </c>
      <c r="Y35" s="265">
        <v>86</v>
      </c>
      <c r="Z35" s="265">
        <v>23</v>
      </c>
      <c r="AA35" s="265">
        <v>8</v>
      </c>
      <c r="AC35" s="692">
        <f t="shared" si="6"/>
        <v>106</v>
      </c>
      <c r="AD35" s="692">
        <f t="shared" si="7"/>
        <v>208</v>
      </c>
      <c r="AE35" s="692">
        <f t="shared" si="8"/>
        <v>109</v>
      </c>
    </row>
    <row r="36" spans="1:31" x14ac:dyDescent="0.25">
      <c r="A36" s="655" t="s">
        <v>70</v>
      </c>
      <c r="B36" s="187" t="s">
        <v>71</v>
      </c>
      <c r="C36" s="665" t="s">
        <v>264</v>
      </c>
      <c r="D36" s="588">
        <v>243</v>
      </c>
      <c r="E36" s="589">
        <v>96</v>
      </c>
      <c r="F36" s="589">
        <v>146</v>
      </c>
      <c r="G36" s="589">
        <v>1</v>
      </c>
      <c r="H36" s="589"/>
      <c r="I36" s="589">
        <v>186</v>
      </c>
      <c r="J36" s="589">
        <v>59</v>
      </c>
      <c r="K36" s="589">
        <v>1</v>
      </c>
      <c r="L36" s="589">
        <v>2</v>
      </c>
      <c r="M36" s="589">
        <v>0</v>
      </c>
      <c r="N36" s="589">
        <v>9</v>
      </c>
      <c r="O36" s="589">
        <v>6</v>
      </c>
      <c r="P36" s="265"/>
      <c r="Q36" s="659">
        <f t="shared" si="3"/>
        <v>186</v>
      </c>
      <c r="R36" s="660">
        <f t="shared" si="4"/>
        <v>59</v>
      </c>
      <c r="S36" s="660">
        <f t="shared" si="5"/>
        <v>3</v>
      </c>
      <c r="U36" s="265">
        <v>15</v>
      </c>
      <c r="V36" s="265">
        <v>47</v>
      </c>
      <c r="W36" s="265">
        <v>50</v>
      </c>
      <c r="X36" s="265">
        <v>53</v>
      </c>
      <c r="Y36" s="265">
        <v>38</v>
      </c>
      <c r="Z36" s="265">
        <v>14</v>
      </c>
      <c r="AA36" s="265">
        <v>26</v>
      </c>
      <c r="AC36" s="692">
        <f t="shared" si="6"/>
        <v>62</v>
      </c>
      <c r="AD36" s="692">
        <f t="shared" si="7"/>
        <v>103</v>
      </c>
      <c r="AE36" s="692">
        <f t="shared" si="8"/>
        <v>52</v>
      </c>
    </row>
    <row r="37" spans="1:31" x14ac:dyDescent="0.25">
      <c r="A37" s="655" t="s">
        <v>72</v>
      </c>
      <c r="B37" s="187" t="s">
        <v>73</v>
      </c>
      <c r="C37" s="665" t="s">
        <v>266</v>
      </c>
      <c r="D37" s="588">
        <v>143</v>
      </c>
      <c r="E37" s="589">
        <v>86</v>
      </c>
      <c r="F37" s="589">
        <v>57</v>
      </c>
      <c r="G37" s="589">
        <v>0</v>
      </c>
      <c r="H37" s="589"/>
      <c r="I37" s="589">
        <v>70</v>
      </c>
      <c r="J37" s="589">
        <v>68</v>
      </c>
      <c r="K37" s="589">
        <v>3</v>
      </c>
      <c r="L37" s="589">
        <v>0</v>
      </c>
      <c r="M37" s="589">
        <v>0</v>
      </c>
      <c r="N37" s="589">
        <v>12</v>
      </c>
      <c r="O37" s="589">
        <v>6</v>
      </c>
      <c r="P37" s="265"/>
      <c r="Q37" s="659">
        <f t="shared" ref="Q37:Q68" si="9">I37</f>
        <v>70</v>
      </c>
      <c r="R37" s="660">
        <f t="shared" ref="R37:R68" si="10">J37</f>
        <v>68</v>
      </c>
      <c r="S37" s="660">
        <f t="shared" ref="S37:S68" si="11">SUM(K37:M37)</f>
        <v>3</v>
      </c>
      <c r="U37" s="265">
        <v>10</v>
      </c>
      <c r="V37" s="265">
        <v>28</v>
      </c>
      <c r="W37" s="265">
        <v>28</v>
      </c>
      <c r="X37" s="265">
        <v>23</v>
      </c>
      <c r="Y37" s="265">
        <v>20</v>
      </c>
      <c r="Z37" s="265">
        <v>4</v>
      </c>
      <c r="AA37" s="265">
        <v>30</v>
      </c>
      <c r="AC37" s="692">
        <f t="shared" ref="AC37:AC68" si="12">U37+V37</f>
        <v>38</v>
      </c>
      <c r="AD37" s="692">
        <f t="shared" ref="AD37:AD68" si="13">W37+X37</f>
        <v>51</v>
      </c>
      <c r="AE37" s="692">
        <f t="shared" ref="AE37:AE68" si="14">Y37+Z37</f>
        <v>24</v>
      </c>
    </row>
    <row r="38" spans="1:31" x14ac:dyDescent="0.25">
      <c r="A38" s="655" t="s">
        <v>74</v>
      </c>
      <c r="B38" s="187" t="s">
        <v>296</v>
      </c>
      <c r="C38" s="665" t="s">
        <v>267</v>
      </c>
      <c r="D38" s="588">
        <v>6640</v>
      </c>
      <c r="E38" s="589">
        <v>3211</v>
      </c>
      <c r="F38" s="589">
        <v>3358</v>
      </c>
      <c r="G38" s="589">
        <v>71</v>
      </c>
      <c r="H38" s="589"/>
      <c r="I38" s="589">
        <v>4230</v>
      </c>
      <c r="J38" s="589">
        <v>1737</v>
      </c>
      <c r="K38" s="589">
        <v>552</v>
      </c>
      <c r="L38" s="589">
        <v>56</v>
      </c>
      <c r="M38" s="589">
        <v>15</v>
      </c>
      <c r="N38" s="589">
        <v>490</v>
      </c>
      <c r="O38" s="589">
        <v>2484</v>
      </c>
      <c r="P38" s="265"/>
      <c r="Q38" s="659">
        <f t="shared" si="9"/>
        <v>4230</v>
      </c>
      <c r="R38" s="660">
        <f t="shared" si="10"/>
        <v>1737</v>
      </c>
      <c r="S38" s="660">
        <f t="shared" si="11"/>
        <v>623</v>
      </c>
      <c r="U38" s="265">
        <v>324</v>
      </c>
      <c r="V38" s="265">
        <v>783</v>
      </c>
      <c r="W38" s="265">
        <v>1422</v>
      </c>
      <c r="X38" s="265">
        <v>1500</v>
      </c>
      <c r="Y38" s="265">
        <v>1383</v>
      </c>
      <c r="Z38" s="265">
        <v>688</v>
      </c>
      <c r="AA38" s="265">
        <v>540</v>
      </c>
      <c r="AC38" s="692">
        <f t="shared" si="12"/>
        <v>1107</v>
      </c>
      <c r="AD38" s="692">
        <f t="shared" si="13"/>
        <v>2922</v>
      </c>
      <c r="AE38" s="692">
        <f t="shared" si="14"/>
        <v>2071</v>
      </c>
    </row>
    <row r="39" spans="1:31" x14ac:dyDescent="0.25">
      <c r="A39" s="655" t="s">
        <v>76</v>
      </c>
      <c r="B39" s="187" t="s">
        <v>77</v>
      </c>
      <c r="C39" s="665" t="s">
        <v>267</v>
      </c>
      <c r="D39" s="588">
        <v>651</v>
      </c>
      <c r="E39" s="589">
        <v>307</v>
      </c>
      <c r="F39" s="589">
        <v>342</v>
      </c>
      <c r="G39" s="589">
        <v>2</v>
      </c>
      <c r="H39" s="589"/>
      <c r="I39" s="589">
        <v>499</v>
      </c>
      <c r="J39" s="589">
        <v>132</v>
      </c>
      <c r="K39" s="589">
        <v>6</v>
      </c>
      <c r="L39" s="589">
        <v>1</v>
      </c>
      <c r="M39" s="589">
        <v>2</v>
      </c>
      <c r="N39" s="589">
        <v>59</v>
      </c>
      <c r="O39" s="589">
        <v>55</v>
      </c>
      <c r="P39" s="265"/>
      <c r="Q39" s="659">
        <f t="shared" si="9"/>
        <v>499</v>
      </c>
      <c r="R39" s="660">
        <f t="shared" si="10"/>
        <v>132</v>
      </c>
      <c r="S39" s="660">
        <f t="shared" si="11"/>
        <v>9</v>
      </c>
      <c r="U39" s="265">
        <v>69</v>
      </c>
      <c r="V39" s="265">
        <v>89</v>
      </c>
      <c r="W39" s="265">
        <v>122</v>
      </c>
      <c r="X39" s="265">
        <v>115</v>
      </c>
      <c r="Y39" s="265">
        <v>123</v>
      </c>
      <c r="Z39" s="265">
        <v>52</v>
      </c>
      <c r="AA39" s="265">
        <v>81</v>
      </c>
      <c r="AC39" s="692">
        <f t="shared" si="12"/>
        <v>158</v>
      </c>
      <c r="AD39" s="692">
        <f t="shared" si="13"/>
        <v>237</v>
      </c>
      <c r="AE39" s="692">
        <f t="shared" si="14"/>
        <v>175</v>
      </c>
    </row>
    <row r="40" spans="1:31" x14ac:dyDescent="0.25">
      <c r="A40" s="655" t="s">
        <v>78</v>
      </c>
      <c r="B40" s="187" t="s">
        <v>79</v>
      </c>
      <c r="C40" s="665" t="s">
        <v>268</v>
      </c>
      <c r="D40" s="588">
        <v>269</v>
      </c>
      <c r="E40" s="589">
        <v>110</v>
      </c>
      <c r="F40" s="589">
        <v>156</v>
      </c>
      <c r="G40" s="589">
        <v>3</v>
      </c>
      <c r="H40" s="589"/>
      <c r="I40" s="589">
        <v>258</v>
      </c>
      <c r="J40" s="589">
        <v>9</v>
      </c>
      <c r="K40" s="589">
        <v>0</v>
      </c>
      <c r="L40" s="589">
        <v>2</v>
      </c>
      <c r="M40" s="589">
        <v>0</v>
      </c>
      <c r="N40" s="589">
        <v>3</v>
      </c>
      <c r="O40" s="589">
        <v>10</v>
      </c>
      <c r="P40" s="265"/>
      <c r="Q40" s="659">
        <f t="shared" si="9"/>
        <v>258</v>
      </c>
      <c r="R40" s="660">
        <f t="shared" si="10"/>
        <v>9</v>
      </c>
      <c r="S40" s="660">
        <f t="shared" si="11"/>
        <v>2</v>
      </c>
      <c r="U40" s="265">
        <v>21</v>
      </c>
      <c r="V40" s="265">
        <v>44</v>
      </c>
      <c r="W40" s="265">
        <v>68</v>
      </c>
      <c r="X40" s="265">
        <v>61</v>
      </c>
      <c r="Y40" s="265">
        <v>40</v>
      </c>
      <c r="Z40" s="265">
        <v>15</v>
      </c>
      <c r="AA40" s="265">
        <v>20</v>
      </c>
      <c r="AC40" s="692">
        <f t="shared" si="12"/>
        <v>65</v>
      </c>
      <c r="AD40" s="692">
        <f t="shared" si="13"/>
        <v>129</v>
      </c>
      <c r="AE40" s="692">
        <f t="shared" si="14"/>
        <v>55</v>
      </c>
    </row>
    <row r="41" spans="1:31" x14ac:dyDescent="0.25">
      <c r="A41" s="655" t="s">
        <v>80</v>
      </c>
      <c r="B41" s="187" t="s">
        <v>81</v>
      </c>
      <c r="C41" s="665" t="s">
        <v>266</v>
      </c>
      <c r="D41" s="588">
        <v>404</v>
      </c>
      <c r="E41" s="589">
        <v>216</v>
      </c>
      <c r="F41" s="589">
        <v>185</v>
      </c>
      <c r="G41" s="589">
        <v>3</v>
      </c>
      <c r="H41" s="589"/>
      <c r="I41" s="589">
        <v>301</v>
      </c>
      <c r="J41" s="589">
        <v>96</v>
      </c>
      <c r="K41" s="589">
        <v>1</v>
      </c>
      <c r="L41" s="589">
        <v>0</v>
      </c>
      <c r="M41" s="589">
        <v>0</v>
      </c>
      <c r="N41" s="589">
        <v>19</v>
      </c>
      <c r="O41" s="589">
        <v>13</v>
      </c>
      <c r="P41" s="265"/>
      <c r="Q41" s="659">
        <f t="shared" si="9"/>
        <v>301</v>
      </c>
      <c r="R41" s="660">
        <f t="shared" si="10"/>
        <v>96</v>
      </c>
      <c r="S41" s="660">
        <f t="shared" si="11"/>
        <v>1</v>
      </c>
      <c r="U41" s="265">
        <v>24</v>
      </c>
      <c r="V41" s="265">
        <v>71</v>
      </c>
      <c r="W41" s="265">
        <v>74</v>
      </c>
      <c r="X41" s="265">
        <v>80</v>
      </c>
      <c r="Y41" s="265">
        <v>88</v>
      </c>
      <c r="Z41" s="265">
        <v>45</v>
      </c>
      <c r="AA41" s="265">
        <v>22</v>
      </c>
      <c r="AC41" s="692">
        <f t="shared" si="12"/>
        <v>95</v>
      </c>
      <c r="AD41" s="692">
        <f t="shared" si="13"/>
        <v>154</v>
      </c>
      <c r="AE41" s="692">
        <f t="shared" si="14"/>
        <v>133</v>
      </c>
    </row>
    <row r="42" spans="1:31" x14ac:dyDescent="0.25">
      <c r="A42" s="655" t="s">
        <v>82</v>
      </c>
      <c r="B42" s="187" t="s">
        <v>83</v>
      </c>
      <c r="C42" s="665" t="s">
        <v>264</v>
      </c>
      <c r="D42" s="588">
        <v>128</v>
      </c>
      <c r="E42" s="589">
        <v>69</v>
      </c>
      <c r="F42" s="589">
        <v>57</v>
      </c>
      <c r="G42" s="589">
        <v>2</v>
      </c>
      <c r="H42" s="589"/>
      <c r="I42" s="589">
        <v>51</v>
      </c>
      <c r="J42" s="589">
        <v>89</v>
      </c>
      <c r="K42" s="589">
        <v>0</v>
      </c>
      <c r="L42" s="589">
        <v>0</v>
      </c>
      <c r="M42" s="589">
        <v>1</v>
      </c>
      <c r="N42" s="589">
        <v>2</v>
      </c>
      <c r="O42" s="589">
        <v>1</v>
      </c>
      <c r="P42" s="265"/>
      <c r="Q42" s="659">
        <f t="shared" si="9"/>
        <v>51</v>
      </c>
      <c r="R42" s="660">
        <f t="shared" si="10"/>
        <v>89</v>
      </c>
      <c r="S42" s="660">
        <f t="shared" si="11"/>
        <v>1</v>
      </c>
      <c r="U42" s="265">
        <v>10</v>
      </c>
      <c r="V42" s="265">
        <v>21</v>
      </c>
      <c r="W42" s="265">
        <v>27</v>
      </c>
      <c r="X42" s="265">
        <v>27</v>
      </c>
      <c r="Y42" s="265">
        <v>22</v>
      </c>
      <c r="Z42" s="265">
        <v>11</v>
      </c>
      <c r="AA42" s="265">
        <v>10</v>
      </c>
      <c r="AC42" s="692">
        <f t="shared" si="12"/>
        <v>31</v>
      </c>
      <c r="AD42" s="692">
        <f t="shared" si="13"/>
        <v>54</v>
      </c>
      <c r="AE42" s="692">
        <f t="shared" si="14"/>
        <v>33</v>
      </c>
    </row>
    <row r="43" spans="1:31" x14ac:dyDescent="0.25">
      <c r="A43" s="655" t="s">
        <v>84</v>
      </c>
      <c r="B43" s="187" t="s">
        <v>85</v>
      </c>
      <c r="C43" s="665" t="s">
        <v>265</v>
      </c>
      <c r="D43" s="588">
        <v>1618</v>
      </c>
      <c r="E43" s="589">
        <v>759</v>
      </c>
      <c r="F43" s="589">
        <v>817</v>
      </c>
      <c r="G43" s="589">
        <v>42</v>
      </c>
      <c r="H43" s="589"/>
      <c r="I43" s="589">
        <v>1240</v>
      </c>
      <c r="J43" s="589">
        <v>206</v>
      </c>
      <c r="K43" s="589">
        <v>0</v>
      </c>
      <c r="L43" s="589">
        <v>12</v>
      </c>
      <c r="M43" s="589">
        <v>1</v>
      </c>
      <c r="N43" s="589">
        <v>281</v>
      </c>
      <c r="O43" s="589">
        <v>124</v>
      </c>
      <c r="P43" s="265"/>
      <c r="Q43" s="659">
        <f t="shared" si="9"/>
        <v>1240</v>
      </c>
      <c r="R43" s="660">
        <f t="shared" si="10"/>
        <v>206</v>
      </c>
      <c r="S43" s="660">
        <f t="shared" si="11"/>
        <v>13</v>
      </c>
      <c r="U43" s="265">
        <v>92</v>
      </c>
      <c r="V43" s="265">
        <v>207</v>
      </c>
      <c r="W43" s="265">
        <v>370</v>
      </c>
      <c r="X43" s="265">
        <v>401</v>
      </c>
      <c r="Y43" s="265">
        <v>261</v>
      </c>
      <c r="Z43" s="265">
        <v>116</v>
      </c>
      <c r="AA43" s="265">
        <v>171</v>
      </c>
      <c r="AC43" s="692">
        <f t="shared" si="12"/>
        <v>299</v>
      </c>
      <c r="AD43" s="692">
        <f t="shared" si="13"/>
        <v>771</v>
      </c>
      <c r="AE43" s="692">
        <f t="shared" si="14"/>
        <v>377</v>
      </c>
    </row>
    <row r="44" spans="1:31" x14ac:dyDescent="0.25">
      <c r="A44" s="655" t="s">
        <v>86</v>
      </c>
      <c r="B44" s="187" t="s">
        <v>87</v>
      </c>
      <c r="C44" s="665" t="s">
        <v>267</v>
      </c>
      <c r="D44" s="588">
        <v>1597</v>
      </c>
      <c r="E44" s="589">
        <v>770</v>
      </c>
      <c r="F44" s="589">
        <v>782</v>
      </c>
      <c r="G44" s="589">
        <v>45</v>
      </c>
      <c r="H44" s="589"/>
      <c r="I44" s="589">
        <v>995</v>
      </c>
      <c r="J44" s="589">
        <v>105</v>
      </c>
      <c r="K44" s="589">
        <v>11</v>
      </c>
      <c r="L44" s="589">
        <v>4</v>
      </c>
      <c r="M44" s="589">
        <v>4</v>
      </c>
      <c r="N44" s="589">
        <v>522</v>
      </c>
      <c r="O44" s="589">
        <v>131</v>
      </c>
      <c r="P44" s="265"/>
      <c r="Q44" s="659">
        <f t="shared" si="9"/>
        <v>995</v>
      </c>
      <c r="R44" s="660">
        <f t="shared" si="10"/>
        <v>105</v>
      </c>
      <c r="S44" s="660">
        <f t="shared" si="11"/>
        <v>19</v>
      </c>
      <c r="U44" s="265">
        <v>157</v>
      </c>
      <c r="V44" s="265">
        <v>194</v>
      </c>
      <c r="W44" s="265">
        <v>328</v>
      </c>
      <c r="X44" s="265">
        <v>318</v>
      </c>
      <c r="Y44" s="265">
        <v>283</v>
      </c>
      <c r="Z44" s="265">
        <v>130</v>
      </c>
      <c r="AA44" s="265">
        <v>187</v>
      </c>
      <c r="AC44" s="692">
        <f t="shared" si="12"/>
        <v>351</v>
      </c>
      <c r="AD44" s="692">
        <f t="shared" si="13"/>
        <v>646</v>
      </c>
      <c r="AE44" s="692">
        <f t="shared" si="14"/>
        <v>413</v>
      </c>
    </row>
    <row r="45" spans="1:31" x14ac:dyDescent="0.25">
      <c r="A45" s="655" t="s">
        <v>88</v>
      </c>
      <c r="B45" s="187" t="s">
        <v>89</v>
      </c>
      <c r="C45" s="665" t="s">
        <v>267</v>
      </c>
      <c r="D45" s="588">
        <v>618</v>
      </c>
      <c r="E45" s="589">
        <v>275</v>
      </c>
      <c r="F45" s="589">
        <v>340</v>
      </c>
      <c r="G45" s="589">
        <v>3</v>
      </c>
      <c r="H45" s="589"/>
      <c r="I45" s="589">
        <v>339</v>
      </c>
      <c r="J45" s="589">
        <v>290</v>
      </c>
      <c r="K45" s="589">
        <v>11</v>
      </c>
      <c r="L45" s="589">
        <v>2</v>
      </c>
      <c r="M45" s="589">
        <v>0</v>
      </c>
      <c r="N45" s="589">
        <v>41</v>
      </c>
      <c r="O45" s="589">
        <v>70</v>
      </c>
      <c r="P45" s="265"/>
      <c r="Q45" s="659">
        <f t="shared" si="9"/>
        <v>339</v>
      </c>
      <c r="R45" s="660">
        <f t="shared" si="10"/>
        <v>290</v>
      </c>
      <c r="S45" s="660">
        <f t="shared" si="11"/>
        <v>13</v>
      </c>
      <c r="U45" s="265">
        <v>77</v>
      </c>
      <c r="V45" s="265">
        <v>141</v>
      </c>
      <c r="W45" s="265">
        <v>145</v>
      </c>
      <c r="X45" s="265">
        <v>93</v>
      </c>
      <c r="Y45" s="265">
        <v>102</v>
      </c>
      <c r="Z45" s="265">
        <v>35</v>
      </c>
      <c r="AA45" s="265">
        <v>25</v>
      </c>
      <c r="AC45" s="692">
        <f t="shared" si="12"/>
        <v>218</v>
      </c>
      <c r="AD45" s="692">
        <f t="shared" si="13"/>
        <v>238</v>
      </c>
      <c r="AE45" s="692">
        <f t="shared" si="14"/>
        <v>137</v>
      </c>
    </row>
    <row r="46" spans="1:31" x14ac:dyDescent="0.25">
      <c r="A46" s="655" t="s">
        <v>90</v>
      </c>
      <c r="B46" s="187" t="s">
        <v>91</v>
      </c>
      <c r="C46" s="665" t="s">
        <v>268</v>
      </c>
      <c r="D46" s="588">
        <v>108</v>
      </c>
      <c r="E46" s="589">
        <v>51</v>
      </c>
      <c r="F46" s="589">
        <v>57</v>
      </c>
      <c r="G46" s="589">
        <v>0</v>
      </c>
      <c r="H46" s="589"/>
      <c r="I46" s="589">
        <v>100</v>
      </c>
      <c r="J46" s="589">
        <v>9</v>
      </c>
      <c r="K46" s="589">
        <v>0</v>
      </c>
      <c r="L46" s="589">
        <v>1</v>
      </c>
      <c r="M46" s="589">
        <v>0</v>
      </c>
      <c r="N46" s="589">
        <v>2</v>
      </c>
      <c r="O46" s="589">
        <v>21</v>
      </c>
      <c r="P46" s="265"/>
      <c r="Q46" s="659">
        <f t="shared" si="9"/>
        <v>100</v>
      </c>
      <c r="R46" s="660">
        <f t="shared" si="10"/>
        <v>9</v>
      </c>
      <c r="S46" s="660">
        <f t="shared" si="11"/>
        <v>1</v>
      </c>
      <c r="U46" s="265">
        <v>11</v>
      </c>
      <c r="V46" s="265">
        <v>23</v>
      </c>
      <c r="W46" s="265">
        <v>23</v>
      </c>
      <c r="X46" s="265">
        <v>18</v>
      </c>
      <c r="Y46" s="265">
        <v>23</v>
      </c>
      <c r="Z46" s="265">
        <v>5</v>
      </c>
      <c r="AA46" s="265">
        <v>5</v>
      </c>
      <c r="AC46" s="692">
        <f t="shared" si="12"/>
        <v>34</v>
      </c>
      <c r="AD46" s="692">
        <f t="shared" si="13"/>
        <v>41</v>
      </c>
      <c r="AE46" s="692">
        <f t="shared" si="14"/>
        <v>28</v>
      </c>
    </row>
    <row r="47" spans="1:31" x14ac:dyDescent="0.25">
      <c r="A47" s="655" t="s">
        <v>92</v>
      </c>
      <c r="B47" s="187" t="s">
        <v>93</v>
      </c>
      <c r="C47" s="665" t="s">
        <v>268</v>
      </c>
      <c r="D47" s="588">
        <v>429</v>
      </c>
      <c r="E47" s="589">
        <v>220</v>
      </c>
      <c r="F47" s="589">
        <v>206</v>
      </c>
      <c r="G47" s="589">
        <v>3</v>
      </c>
      <c r="H47" s="589"/>
      <c r="I47" s="589">
        <v>406</v>
      </c>
      <c r="J47" s="589">
        <v>7</v>
      </c>
      <c r="K47" s="589">
        <v>0</v>
      </c>
      <c r="L47" s="589">
        <v>0</v>
      </c>
      <c r="M47" s="589">
        <v>0</v>
      </c>
      <c r="N47" s="589">
        <v>19</v>
      </c>
      <c r="O47" s="589">
        <v>1</v>
      </c>
      <c r="P47" s="265"/>
      <c r="Q47" s="659">
        <f t="shared" si="9"/>
        <v>406</v>
      </c>
      <c r="R47" s="660">
        <f t="shared" si="10"/>
        <v>7</v>
      </c>
      <c r="S47" s="660">
        <f t="shared" si="11"/>
        <v>0</v>
      </c>
      <c r="U47" s="265">
        <v>38</v>
      </c>
      <c r="V47" s="265">
        <v>60</v>
      </c>
      <c r="W47" s="265">
        <v>103</v>
      </c>
      <c r="X47" s="265">
        <v>84</v>
      </c>
      <c r="Y47" s="265">
        <v>80</v>
      </c>
      <c r="Z47" s="265">
        <v>42</v>
      </c>
      <c r="AA47" s="265">
        <v>22</v>
      </c>
      <c r="AC47" s="692">
        <f t="shared" si="12"/>
        <v>98</v>
      </c>
      <c r="AD47" s="692">
        <f t="shared" si="13"/>
        <v>187</v>
      </c>
      <c r="AE47" s="692">
        <f t="shared" si="14"/>
        <v>122</v>
      </c>
    </row>
    <row r="48" spans="1:31" x14ac:dyDescent="0.25">
      <c r="A48" s="655" t="s">
        <v>94</v>
      </c>
      <c r="B48" s="187" t="s">
        <v>95</v>
      </c>
      <c r="C48" s="665" t="s">
        <v>264</v>
      </c>
      <c r="D48" s="588">
        <v>720</v>
      </c>
      <c r="E48" s="589">
        <v>344</v>
      </c>
      <c r="F48" s="589">
        <v>362</v>
      </c>
      <c r="G48" s="589">
        <v>14</v>
      </c>
      <c r="H48" s="589"/>
      <c r="I48" s="589">
        <v>603</v>
      </c>
      <c r="J48" s="589">
        <v>102</v>
      </c>
      <c r="K48" s="589">
        <v>1</v>
      </c>
      <c r="L48" s="589">
        <v>5</v>
      </c>
      <c r="M48" s="589">
        <v>1</v>
      </c>
      <c r="N48" s="589">
        <v>67</v>
      </c>
      <c r="O48" s="589">
        <v>35</v>
      </c>
      <c r="P48" s="265"/>
      <c r="Q48" s="659">
        <f t="shared" si="9"/>
        <v>603</v>
      </c>
      <c r="R48" s="660">
        <f t="shared" si="10"/>
        <v>102</v>
      </c>
      <c r="S48" s="660">
        <f t="shared" si="11"/>
        <v>7</v>
      </c>
      <c r="U48" s="265">
        <v>39</v>
      </c>
      <c r="V48" s="265">
        <v>120</v>
      </c>
      <c r="W48" s="265">
        <v>139</v>
      </c>
      <c r="X48" s="265">
        <v>128</v>
      </c>
      <c r="Y48" s="265">
        <v>123</v>
      </c>
      <c r="Z48" s="265">
        <v>64</v>
      </c>
      <c r="AA48" s="265">
        <v>107</v>
      </c>
      <c r="AC48" s="692">
        <f t="shared" si="12"/>
        <v>159</v>
      </c>
      <c r="AD48" s="692">
        <f t="shared" si="13"/>
        <v>267</v>
      </c>
      <c r="AE48" s="692">
        <f t="shared" si="14"/>
        <v>187</v>
      </c>
    </row>
    <row r="49" spans="1:31" x14ac:dyDescent="0.25">
      <c r="A49" s="655" t="s">
        <v>96</v>
      </c>
      <c r="B49" s="187" t="s">
        <v>97</v>
      </c>
      <c r="C49" s="665" t="s">
        <v>266</v>
      </c>
      <c r="D49" s="588">
        <v>176</v>
      </c>
      <c r="E49" s="589">
        <v>90</v>
      </c>
      <c r="F49" s="589">
        <v>85</v>
      </c>
      <c r="G49" s="589">
        <v>1</v>
      </c>
      <c r="H49" s="589"/>
      <c r="I49" s="589">
        <v>120</v>
      </c>
      <c r="J49" s="589">
        <v>39</v>
      </c>
      <c r="K49" s="589">
        <v>2</v>
      </c>
      <c r="L49" s="589">
        <v>1</v>
      </c>
      <c r="M49" s="589">
        <v>0</v>
      </c>
      <c r="N49" s="589">
        <v>18</v>
      </c>
      <c r="O49" s="589">
        <v>3</v>
      </c>
      <c r="P49" s="265"/>
      <c r="Q49" s="659">
        <f t="shared" si="9"/>
        <v>120</v>
      </c>
      <c r="R49" s="660">
        <f t="shared" si="10"/>
        <v>39</v>
      </c>
      <c r="S49" s="660">
        <f t="shared" si="11"/>
        <v>3</v>
      </c>
      <c r="U49" s="265">
        <v>9</v>
      </c>
      <c r="V49" s="265">
        <v>16</v>
      </c>
      <c r="W49" s="265">
        <v>44</v>
      </c>
      <c r="X49" s="265">
        <v>41</v>
      </c>
      <c r="Y49" s="265">
        <v>46</v>
      </c>
      <c r="Z49" s="265">
        <v>14</v>
      </c>
      <c r="AA49" s="265">
        <v>6</v>
      </c>
      <c r="AC49" s="692">
        <f t="shared" si="12"/>
        <v>25</v>
      </c>
      <c r="AD49" s="692">
        <f t="shared" si="13"/>
        <v>85</v>
      </c>
      <c r="AE49" s="692">
        <f t="shared" si="14"/>
        <v>60</v>
      </c>
    </row>
    <row r="50" spans="1:31" x14ac:dyDescent="0.25">
      <c r="A50" s="655" t="s">
        <v>98</v>
      </c>
      <c r="B50" s="187" t="s">
        <v>99</v>
      </c>
      <c r="C50" s="665" t="s">
        <v>268</v>
      </c>
      <c r="D50" s="588">
        <v>285</v>
      </c>
      <c r="E50" s="589">
        <v>145</v>
      </c>
      <c r="F50" s="589">
        <v>139</v>
      </c>
      <c r="G50" s="589">
        <v>1</v>
      </c>
      <c r="H50" s="589"/>
      <c r="I50" s="589">
        <v>281</v>
      </c>
      <c r="J50" s="589">
        <v>7</v>
      </c>
      <c r="K50" s="589">
        <v>0</v>
      </c>
      <c r="L50" s="589">
        <v>1</v>
      </c>
      <c r="M50" s="589">
        <v>0</v>
      </c>
      <c r="N50" s="589">
        <v>3</v>
      </c>
      <c r="O50" s="589">
        <v>5</v>
      </c>
      <c r="P50" s="265"/>
      <c r="Q50" s="659">
        <f t="shared" si="9"/>
        <v>281</v>
      </c>
      <c r="R50" s="660">
        <f t="shared" si="10"/>
        <v>7</v>
      </c>
      <c r="S50" s="660">
        <f t="shared" si="11"/>
        <v>1</v>
      </c>
      <c r="U50" s="265">
        <v>21</v>
      </c>
      <c r="V50" s="265">
        <v>40</v>
      </c>
      <c r="W50" s="265">
        <v>65</v>
      </c>
      <c r="X50" s="265">
        <v>72</v>
      </c>
      <c r="Y50" s="265">
        <v>58</v>
      </c>
      <c r="Z50" s="265">
        <v>16</v>
      </c>
      <c r="AA50" s="265">
        <v>13</v>
      </c>
      <c r="AC50" s="692">
        <f t="shared" si="12"/>
        <v>61</v>
      </c>
      <c r="AD50" s="692">
        <f t="shared" si="13"/>
        <v>137</v>
      </c>
      <c r="AE50" s="692">
        <f t="shared" si="14"/>
        <v>74</v>
      </c>
    </row>
    <row r="51" spans="1:31" x14ac:dyDescent="0.25">
      <c r="A51" s="655" t="s">
        <v>100</v>
      </c>
      <c r="B51" s="187" t="s">
        <v>101</v>
      </c>
      <c r="C51" s="665" t="s">
        <v>267</v>
      </c>
      <c r="D51" s="588">
        <v>273</v>
      </c>
      <c r="E51" s="589">
        <v>117</v>
      </c>
      <c r="F51" s="589">
        <v>149</v>
      </c>
      <c r="G51" s="589">
        <v>7</v>
      </c>
      <c r="H51" s="589"/>
      <c r="I51" s="589">
        <v>210</v>
      </c>
      <c r="J51" s="589">
        <v>36</v>
      </c>
      <c r="K51" s="589">
        <v>0</v>
      </c>
      <c r="L51" s="589">
        <v>4</v>
      </c>
      <c r="M51" s="589">
        <v>0</v>
      </c>
      <c r="N51" s="589">
        <v>39</v>
      </c>
      <c r="O51" s="589">
        <v>10</v>
      </c>
      <c r="P51" s="265"/>
      <c r="Q51" s="659">
        <f t="shared" si="9"/>
        <v>210</v>
      </c>
      <c r="R51" s="660">
        <f t="shared" si="10"/>
        <v>36</v>
      </c>
      <c r="S51" s="660">
        <f t="shared" si="11"/>
        <v>4</v>
      </c>
      <c r="U51" s="265">
        <v>12</v>
      </c>
      <c r="V51" s="265">
        <v>40</v>
      </c>
      <c r="W51" s="265">
        <v>53</v>
      </c>
      <c r="X51" s="265">
        <v>59</v>
      </c>
      <c r="Y51" s="265">
        <v>55</v>
      </c>
      <c r="Z51" s="265">
        <v>33</v>
      </c>
      <c r="AA51" s="265">
        <v>21</v>
      </c>
      <c r="AC51" s="692">
        <f t="shared" si="12"/>
        <v>52</v>
      </c>
      <c r="AD51" s="692">
        <f t="shared" si="13"/>
        <v>112</v>
      </c>
      <c r="AE51" s="692">
        <f t="shared" si="14"/>
        <v>88</v>
      </c>
    </row>
    <row r="52" spans="1:31" x14ac:dyDescent="0.25">
      <c r="A52" s="655" t="s">
        <v>102</v>
      </c>
      <c r="B52" s="187" t="s">
        <v>282</v>
      </c>
      <c r="C52" s="665" t="s">
        <v>264</v>
      </c>
      <c r="D52" s="588">
        <v>161</v>
      </c>
      <c r="E52" s="589">
        <v>78</v>
      </c>
      <c r="F52" s="589">
        <v>82</v>
      </c>
      <c r="G52" s="589">
        <v>1</v>
      </c>
      <c r="H52" s="589"/>
      <c r="I52" s="589">
        <v>33</v>
      </c>
      <c r="J52" s="589">
        <v>112</v>
      </c>
      <c r="K52" s="589">
        <v>1</v>
      </c>
      <c r="L52" s="589">
        <v>0</v>
      </c>
      <c r="M52" s="589">
        <v>0</v>
      </c>
      <c r="N52" s="589">
        <v>20</v>
      </c>
      <c r="O52" s="589">
        <v>12</v>
      </c>
      <c r="P52" s="265"/>
      <c r="Q52" s="659">
        <f t="shared" si="9"/>
        <v>33</v>
      </c>
      <c r="R52" s="660">
        <f t="shared" si="10"/>
        <v>112</v>
      </c>
      <c r="S52" s="660">
        <f t="shared" si="11"/>
        <v>1</v>
      </c>
      <c r="U52" s="265">
        <v>13</v>
      </c>
      <c r="V52" s="265">
        <v>18</v>
      </c>
      <c r="W52" s="265">
        <v>28</v>
      </c>
      <c r="X52" s="265">
        <v>21</v>
      </c>
      <c r="Y52" s="265">
        <v>36</v>
      </c>
      <c r="Z52" s="265">
        <v>29</v>
      </c>
      <c r="AA52" s="265">
        <v>16</v>
      </c>
      <c r="AC52" s="692">
        <f t="shared" si="12"/>
        <v>31</v>
      </c>
      <c r="AD52" s="692">
        <f t="shared" si="13"/>
        <v>49</v>
      </c>
      <c r="AE52" s="692">
        <f t="shared" si="14"/>
        <v>65</v>
      </c>
    </row>
    <row r="53" spans="1:31" x14ac:dyDescent="0.25">
      <c r="A53" s="655" t="s">
        <v>104</v>
      </c>
      <c r="B53" s="187" t="s">
        <v>105</v>
      </c>
      <c r="C53" s="665" t="s">
        <v>265</v>
      </c>
      <c r="D53" s="588">
        <v>522</v>
      </c>
      <c r="E53" s="589">
        <v>241</v>
      </c>
      <c r="F53" s="589">
        <v>273</v>
      </c>
      <c r="G53" s="589">
        <v>8</v>
      </c>
      <c r="H53" s="589"/>
      <c r="I53" s="589">
        <v>309</v>
      </c>
      <c r="J53" s="589">
        <v>220</v>
      </c>
      <c r="K53" s="589">
        <v>4</v>
      </c>
      <c r="L53" s="589">
        <v>5</v>
      </c>
      <c r="M53" s="589">
        <v>0</v>
      </c>
      <c r="N53" s="589">
        <v>21</v>
      </c>
      <c r="O53" s="589">
        <v>25</v>
      </c>
      <c r="P53" s="265"/>
      <c r="Q53" s="659">
        <f t="shared" si="9"/>
        <v>309</v>
      </c>
      <c r="R53" s="660">
        <f t="shared" si="10"/>
        <v>220</v>
      </c>
      <c r="S53" s="660">
        <f t="shared" si="11"/>
        <v>9</v>
      </c>
      <c r="U53" s="265">
        <v>56</v>
      </c>
      <c r="V53" s="265">
        <v>81</v>
      </c>
      <c r="W53" s="265">
        <v>119</v>
      </c>
      <c r="X53" s="265">
        <v>95</v>
      </c>
      <c r="Y53" s="265">
        <v>73</v>
      </c>
      <c r="Z53" s="265">
        <v>29</v>
      </c>
      <c r="AA53" s="265">
        <v>69</v>
      </c>
      <c r="AC53" s="692">
        <f t="shared" si="12"/>
        <v>137</v>
      </c>
      <c r="AD53" s="692">
        <f t="shared" si="13"/>
        <v>214</v>
      </c>
      <c r="AE53" s="692">
        <f t="shared" si="14"/>
        <v>102</v>
      </c>
    </row>
    <row r="54" spans="1:31" x14ac:dyDescent="0.25">
      <c r="A54" s="655" t="s">
        <v>106</v>
      </c>
      <c r="B54" s="187" t="s">
        <v>107</v>
      </c>
      <c r="C54" s="665" t="s">
        <v>264</v>
      </c>
      <c r="D54" s="588">
        <v>1477</v>
      </c>
      <c r="E54" s="589">
        <v>745</v>
      </c>
      <c r="F54" s="589">
        <v>692</v>
      </c>
      <c r="G54" s="589">
        <v>40</v>
      </c>
      <c r="H54" s="589"/>
      <c r="I54" s="589">
        <v>495</v>
      </c>
      <c r="J54" s="589">
        <v>883</v>
      </c>
      <c r="K54" s="589">
        <v>21</v>
      </c>
      <c r="L54" s="589">
        <v>16</v>
      </c>
      <c r="M54" s="589">
        <v>5</v>
      </c>
      <c r="N54" s="589">
        <v>137</v>
      </c>
      <c r="O54" s="589">
        <v>53</v>
      </c>
      <c r="P54" s="265"/>
      <c r="Q54" s="659">
        <f t="shared" si="9"/>
        <v>495</v>
      </c>
      <c r="R54" s="660">
        <f t="shared" si="10"/>
        <v>883</v>
      </c>
      <c r="S54" s="660">
        <f t="shared" si="11"/>
        <v>42</v>
      </c>
      <c r="U54" s="265">
        <v>128</v>
      </c>
      <c r="V54" s="265">
        <v>215</v>
      </c>
      <c r="W54" s="265">
        <v>292</v>
      </c>
      <c r="X54" s="265">
        <v>291</v>
      </c>
      <c r="Y54" s="265">
        <v>220</v>
      </c>
      <c r="Z54" s="265">
        <v>121</v>
      </c>
      <c r="AA54" s="265">
        <v>210</v>
      </c>
      <c r="AC54" s="692">
        <f t="shared" si="12"/>
        <v>343</v>
      </c>
      <c r="AD54" s="692">
        <f t="shared" si="13"/>
        <v>583</v>
      </c>
      <c r="AE54" s="692">
        <f t="shared" si="14"/>
        <v>341</v>
      </c>
    </row>
    <row r="55" spans="1:31" x14ac:dyDescent="0.25">
      <c r="A55" s="655" t="s">
        <v>108</v>
      </c>
      <c r="B55" s="187" t="s">
        <v>109</v>
      </c>
      <c r="C55" s="665" t="s">
        <v>266</v>
      </c>
      <c r="D55" s="588">
        <v>672</v>
      </c>
      <c r="E55" s="589">
        <v>313</v>
      </c>
      <c r="F55" s="589">
        <v>348</v>
      </c>
      <c r="G55" s="589">
        <v>11</v>
      </c>
      <c r="H55" s="589"/>
      <c r="I55" s="589">
        <v>572</v>
      </c>
      <c r="J55" s="589">
        <v>115</v>
      </c>
      <c r="K55" s="589">
        <v>5</v>
      </c>
      <c r="L55" s="589">
        <v>0</v>
      </c>
      <c r="M55" s="589">
        <v>0</v>
      </c>
      <c r="N55" s="589">
        <v>21</v>
      </c>
      <c r="O55" s="589">
        <v>43</v>
      </c>
      <c r="P55" s="265"/>
      <c r="Q55" s="659">
        <f t="shared" si="9"/>
        <v>572</v>
      </c>
      <c r="R55" s="660">
        <f t="shared" si="10"/>
        <v>115</v>
      </c>
      <c r="S55" s="660">
        <f t="shared" si="11"/>
        <v>5</v>
      </c>
      <c r="U55" s="265">
        <v>37</v>
      </c>
      <c r="V55" s="265">
        <v>67</v>
      </c>
      <c r="W55" s="265">
        <v>124</v>
      </c>
      <c r="X55" s="265">
        <v>149</v>
      </c>
      <c r="Y55" s="265">
        <v>171</v>
      </c>
      <c r="Z55" s="265">
        <v>54</v>
      </c>
      <c r="AA55" s="265">
        <v>70</v>
      </c>
      <c r="AC55" s="692">
        <f t="shared" si="12"/>
        <v>104</v>
      </c>
      <c r="AD55" s="692">
        <f t="shared" si="13"/>
        <v>273</v>
      </c>
      <c r="AE55" s="692">
        <f t="shared" si="14"/>
        <v>225</v>
      </c>
    </row>
    <row r="56" spans="1:31" x14ac:dyDescent="0.25">
      <c r="A56" s="655" t="s">
        <v>110</v>
      </c>
      <c r="B56" s="187" t="s">
        <v>111</v>
      </c>
      <c r="C56" s="665" t="s">
        <v>266</v>
      </c>
      <c r="D56" s="588">
        <v>3532</v>
      </c>
      <c r="E56" s="589">
        <v>1697</v>
      </c>
      <c r="F56" s="589">
        <v>1800</v>
      </c>
      <c r="G56" s="589">
        <v>35</v>
      </c>
      <c r="H56" s="589"/>
      <c r="I56" s="589">
        <v>1574</v>
      </c>
      <c r="J56" s="589">
        <v>1929</v>
      </c>
      <c r="K56" s="589">
        <v>89</v>
      </c>
      <c r="L56" s="589">
        <v>15</v>
      </c>
      <c r="M56" s="589">
        <v>11</v>
      </c>
      <c r="N56" s="589">
        <v>152</v>
      </c>
      <c r="O56" s="589">
        <v>317</v>
      </c>
      <c r="P56" s="265"/>
      <c r="Q56" s="659">
        <f t="shared" si="9"/>
        <v>1574</v>
      </c>
      <c r="R56" s="660">
        <f t="shared" si="10"/>
        <v>1929</v>
      </c>
      <c r="S56" s="660">
        <f t="shared" si="11"/>
        <v>115</v>
      </c>
      <c r="U56" s="265">
        <v>216</v>
      </c>
      <c r="V56" s="265">
        <v>489</v>
      </c>
      <c r="W56" s="265">
        <v>756</v>
      </c>
      <c r="X56" s="265">
        <v>883</v>
      </c>
      <c r="Y56" s="265">
        <v>699</v>
      </c>
      <c r="Z56" s="265">
        <v>270</v>
      </c>
      <c r="AA56" s="265">
        <v>219</v>
      </c>
      <c r="AC56" s="692">
        <f t="shared" si="12"/>
        <v>705</v>
      </c>
      <c r="AD56" s="692">
        <f t="shared" si="13"/>
        <v>1639</v>
      </c>
      <c r="AE56" s="692">
        <f t="shared" si="14"/>
        <v>969</v>
      </c>
    </row>
    <row r="57" spans="1:31" x14ac:dyDescent="0.25">
      <c r="A57" s="655" t="s">
        <v>112</v>
      </c>
      <c r="B57" s="187" t="s">
        <v>300</v>
      </c>
      <c r="C57" s="665" t="s">
        <v>265</v>
      </c>
      <c r="D57" s="588">
        <v>1556</v>
      </c>
      <c r="E57" s="589">
        <v>763</v>
      </c>
      <c r="F57" s="589">
        <v>764</v>
      </c>
      <c r="G57" s="589">
        <v>29</v>
      </c>
      <c r="H57" s="589"/>
      <c r="I57" s="589">
        <v>1022</v>
      </c>
      <c r="J57" s="589">
        <v>419</v>
      </c>
      <c r="K57" s="589">
        <v>0</v>
      </c>
      <c r="L57" s="589">
        <v>4</v>
      </c>
      <c r="M57" s="589">
        <v>0</v>
      </c>
      <c r="N57" s="589">
        <v>227</v>
      </c>
      <c r="O57" s="589">
        <v>111</v>
      </c>
      <c r="P57" s="265"/>
      <c r="Q57" s="659">
        <f t="shared" si="9"/>
        <v>1022</v>
      </c>
      <c r="R57" s="660">
        <f t="shared" si="10"/>
        <v>419</v>
      </c>
      <c r="S57" s="660">
        <f t="shared" si="11"/>
        <v>4</v>
      </c>
      <c r="U57" s="265">
        <v>143</v>
      </c>
      <c r="V57" s="265">
        <v>248</v>
      </c>
      <c r="W57" s="265">
        <v>365</v>
      </c>
      <c r="X57" s="265">
        <v>362</v>
      </c>
      <c r="Y57" s="265">
        <v>212</v>
      </c>
      <c r="Z57" s="265">
        <v>94</v>
      </c>
      <c r="AA57" s="265">
        <v>132</v>
      </c>
      <c r="AC57" s="692">
        <f t="shared" si="12"/>
        <v>391</v>
      </c>
      <c r="AD57" s="692">
        <f t="shared" si="13"/>
        <v>727</v>
      </c>
      <c r="AE57" s="692">
        <f t="shared" si="14"/>
        <v>306</v>
      </c>
    </row>
    <row r="58" spans="1:31" x14ac:dyDescent="0.25">
      <c r="A58" s="655" t="s">
        <v>114</v>
      </c>
      <c r="B58" s="187" t="s">
        <v>115</v>
      </c>
      <c r="C58" s="665" t="s">
        <v>265</v>
      </c>
      <c r="D58" s="588">
        <v>56</v>
      </c>
      <c r="E58" s="589">
        <v>27</v>
      </c>
      <c r="F58" s="589">
        <v>29</v>
      </c>
      <c r="G58" s="589">
        <v>0</v>
      </c>
      <c r="H58" s="589"/>
      <c r="I58" s="589">
        <v>56</v>
      </c>
      <c r="J58" s="589">
        <v>0</v>
      </c>
      <c r="K58" s="589">
        <v>0</v>
      </c>
      <c r="L58" s="589">
        <v>0</v>
      </c>
      <c r="M58" s="589">
        <v>0</v>
      </c>
      <c r="N58" s="589">
        <v>0</v>
      </c>
      <c r="O58" s="589">
        <v>0</v>
      </c>
      <c r="P58" s="265"/>
      <c r="Q58" s="659">
        <f t="shared" si="9"/>
        <v>56</v>
      </c>
      <c r="R58" s="660">
        <f t="shared" si="10"/>
        <v>0</v>
      </c>
      <c r="S58" s="660">
        <f t="shared" si="11"/>
        <v>0</v>
      </c>
      <c r="U58" s="265">
        <v>4</v>
      </c>
      <c r="V58" s="265">
        <v>4</v>
      </c>
      <c r="W58" s="265">
        <v>5</v>
      </c>
      <c r="X58" s="265">
        <v>18</v>
      </c>
      <c r="Y58" s="265">
        <v>8</v>
      </c>
      <c r="Z58" s="265">
        <v>5</v>
      </c>
      <c r="AA58" s="265">
        <v>12</v>
      </c>
      <c r="AC58" s="692">
        <f t="shared" si="12"/>
        <v>8</v>
      </c>
      <c r="AD58" s="692">
        <f t="shared" si="13"/>
        <v>23</v>
      </c>
      <c r="AE58" s="692">
        <f t="shared" si="14"/>
        <v>13</v>
      </c>
    </row>
    <row r="59" spans="1:31" x14ac:dyDescent="0.25">
      <c r="A59" s="655" t="s">
        <v>116</v>
      </c>
      <c r="B59" s="187" t="s">
        <v>117</v>
      </c>
      <c r="C59" s="665" t="s">
        <v>266</v>
      </c>
      <c r="D59" s="588">
        <v>500</v>
      </c>
      <c r="E59" s="589">
        <v>246</v>
      </c>
      <c r="F59" s="589">
        <v>248</v>
      </c>
      <c r="G59" s="589">
        <v>6</v>
      </c>
      <c r="H59" s="589"/>
      <c r="I59" s="589">
        <v>230</v>
      </c>
      <c r="J59" s="589">
        <v>292</v>
      </c>
      <c r="K59" s="589">
        <v>3</v>
      </c>
      <c r="L59" s="589">
        <v>2</v>
      </c>
      <c r="M59" s="589">
        <v>2</v>
      </c>
      <c r="N59" s="589">
        <v>25</v>
      </c>
      <c r="O59" s="589">
        <v>28</v>
      </c>
      <c r="P59" s="265"/>
      <c r="Q59" s="659">
        <f t="shared" si="9"/>
        <v>230</v>
      </c>
      <c r="R59" s="660">
        <f t="shared" si="10"/>
        <v>292</v>
      </c>
      <c r="S59" s="660">
        <f t="shared" si="11"/>
        <v>7</v>
      </c>
      <c r="U59" s="265">
        <v>44</v>
      </c>
      <c r="V59" s="265">
        <v>74</v>
      </c>
      <c r="W59" s="265">
        <v>109</v>
      </c>
      <c r="X59" s="265">
        <v>88</v>
      </c>
      <c r="Y59" s="265">
        <v>71</v>
      </c>
      <c r="Z59" s="265">
        <v>38</v>
      </c>
      <c r="AA59" s="265">
        <v>76</v>
      </c>
      <c r="AC59" s="692">
        <f t="shared" si="12"/>
        <v>118</v>
      </c>
      <c r="AD59" s="692">
        <f t="shared" si="13"/>
        <v>197</v>
      </c>
      <c r="AE59" s="692">
        <f t="shared" si="14"/>
        <v>109</v>
      </c>
    </row>
    <row r="60" spans="1:31" x14ac:dyDescent="0.25">
      <c r="A60" s="655" t="s">
        <v>118</v>
      </c>
      <c r="B60" s="187" t="s">
        <v>270</v>
      </c>
      <c r="C60" s="665" t="s">
        <v>264</v>
      </c>
      <c r="D60" s="588">
        <v>400</v>
      </c>
      <c r="E60" s="589">
        <v>195</v>
      </c>
      <c r="F60" s="589">
        <v>203</v>
      </c>
      <c r="G60" s="589">
        <v>2</v>
      </c>
      <c r="H60" s="589"/>
      <c r="I60" s="589">
        <v>268</v>
      </c>
      <c r="J60" s="589">
        <v>139</v>
      </c>
      <c r="K60" s="589">
        <v>1</v>
      </c>
      <c r="L60" s="589">
        <v>1</v>
      </c>
      <c r="M60" s="589">
        <v>0</v>
      </c>
      <c r="N60" s="589">
        <v>15</v>
      </c>
      <c r="O60" s="589">
        <v>12</v>
      </c>
      <c r="P60" s="265"/>
      <c r="Q60" s="659">
        <f t="shared" si="9"/>
        <v>268</v>
      </c>
      <c r="R60" s="660">
        <f t="shared" si="10"/>
        <v>139</v>
      </c>
      <c r="S60" s="660">
        <f t="shared" si="11"/>
        <v>2</v>
      </c>
      <c r="U60" s="265">
        <v>33</v>
      </c>
      <c r="V60" s="265">
        <v>51</v>
      </c>
      <c r="W60" s="265">
        <v>87</v>
      </c>
      <c r="X60" s="265">
        <v>92</v>
      </c>
      <c r="Y60" s="265">
        <v>87</v>
      </c>
      <c r="Z60" s="265">
        <v>19</v>
      </c>
      <c r="AA60" s="265">
        <v>31</v>
      </c>
      <c r="AC60" s="692">
        <f t="shared" si="12"/>
        <v>84</v>
      </c>
      <c r="AD60" s="692">
        <f t="shared" si="13"/>
        <v>179</v>
      </c>
      <c r="AE60" s="692">
        <f t="shared" si="14"/>
        <v>106</v>
      </c>
    </row>
    <row r="61" spans="1:31" x14ac:dyDescent="0.25">
      <c r="A61" s="655" t="s">
        <v>120</v>
      </c>
      <c r="B61" s="187" t="s">
        <v>121</v>
      </c>
      <c r="C61" s="665" t="s">
        <v>264</v>
      </c>
      <c r="D61" s="588">
        <v>835</v>
      </c>
      <c r="E61" s="589">
        <v>409</v>
      </c>
      <c r="F61" s="589">
        <v>414</v>
      </c>
      <c r="G61" s="589">
        <v>12</v>
      </c>
      <c r="H61" s="589"/>
      <c r="I61" s="589">
        <v>504</v>
      </c>
      <c r="J61" s="589">
        <v>255</v>
      </c>
      <c r="K61" s="589">
        <v>4</v>
      </c>
      <c r="L61" s="589">
        <v>4</v>
      </c>
      <c r="M61" s="589">
        <v>1</v>
      </c>
      <c r="N61" s="589">
        <v>117</v>
      </c>
      <c r="O61" s="589">
        <v>80</v>
      </c>
      <c r="P61" s="265"/>
      <c r="Q61" s="659">
        <f t="shared" si="9"/>
        <v>504</v>
      </c>
      <c r="R61" s="660">
        <f t="shared" si="10"/>
        <v>255</v>
      </c>
      <c r="S61" s="660">
        <f t="shared" si="11"/>
        <v>9</v>
      </c>
      <c r="U61" s="265">
        <v>51</v>
      </c>
      <c r="V61" s="265">
        <v>120</v>
      </c>
      <c r="W61" s="265">
        <v>174</v>
      </c>
      <c r="X61" s="265">
        <v>186</v>
      </c>
      <c r="Y61" s="265">
        <v>155</v>
      </c>
      <c r="Z61" s="265">
        <v>65</v>
      </c>
      <c r="AA61" s="265">
        <v>84</v>
      </c>
      <c r="AC61" s="692">
        <f t="shared" si="12"/>
        <v>171</v>
      </c>
      <c r="AD61" s="692">
        <f t="shared" si="13"/>
        <v>360</v>
      </c>
      <c r="AE61" s="692">
        <f t="shared" si="14"/>
        <v>220</v>
      </c>
    </row>
    <row r="62" spans="1:31" x14ac:dyDescent="0.25">
      <c r="A62" s="655" t="s">
        <v>122</v>
      </c>
      <c r="B62" s="187" t="s">
        <v>287</v>
      </c>
      <c r="C62" s="665" t="s">
        <v>266</v>
      </c>
      <c r="D62" s="588">
        <v>134</v>
      </c>
      <c r="E62" s="589">
        <v>68</v>
      </c>
      <c r="F62" s="589">
        <v>63</v>
      </c>
      <c r="G62" s="589">
        <v>3</v>
      </c>
      <c r="H62" s="589"/>
      <c r="I62" s="589">
        <v>90</v>
      </c>
      <c r="J62" s="589">
        <v>36</v>
      </c>
      <c r="K62" s="589">
        <v>2</v>
      </c>
      <c r="L62" s="589">
        <v>2</v>
      </c>
      <c r="M62" s="589">
        <v>0</v>
      </c>
      <c r="N62" s="589">
        <v>7</v>
      </c>
      <c r="O62" s="589">
        <v>5</v>
      </c>
      <c r="P62" s="265"/>
      <c r="Q62" s="659">
        <f t="shared" si="9"/>
        <v>90</v>
      </c>
      <c r="R62" s="660">
        <f t="shared" si="10"/>
        <v>36</v>
      </c>
      <c r="S62" s="660">
        <f t="shared" si="11"/>
        <v>4</v>
      </c>
      <c r="U62" s="265">
        <v>8</v>
      </c>
      <c r="V62" s="265">
        <v>24</v>
      </c>
      <c r="W62" s="265">
        <v>28</v>
      </c>
      <c r="X62" s="265">
        <v>37</v>
      </c>
      <c r="Y62" s="265">
        <v>19</v>
      </c>
      <c r="Z62" s="265">
        <v>9</v>
      </c>
      <c r="AA62" s="265">
        <v>9</v>
      </c>
      <c r="AC62" s="692">
        <f t="shared" si="12"/>
        <v>32</v>
      </c>
      <c r="AD62" s="692">
        <f t="shared" si="13"/>
        <v>65</v>
      </c>
      <c r="AE62" s="692">
        <f t="shared" si="14"/>
        <v>28</v>
      </c>
    </row>
    <row r="63" spans="1:31" x14ac:dyDescent="0.25">
      <c r="A63" s="655" t="s">
        <v>124</v>
      </c>
      <c r="B63" s="187" t="s">
        <v>125</v>
      </c>
      <c r="C63" s="665" t="s">
        <v>267</v>
      </c>
      <c r="D63" s="588">
        <v>254</v>
      </c>
      <c r="E63" s="589">
        <v>116</v>
      </c>
      <c r="F63" s="589">
        <v>136</v>
      </c>
      <c r="G63" s="589">
        <v>2</v>
      </c>
      <c r="H63" s="589"/>
      <c r="I63" s="589">
        <v>175</v>
      </c>
      <c r="J63" s="589">
        <v>71</v>
      </c>
      <c r="K63" s="589">
        <v>0</v>
      </c>
      <c r="L63" s="589">
        <v>1</v>
      </c>
      <c r="M63" s="589">
        <v>1</v>
      </c>
      <c r="N63" s="589">
        <v>19</v>
      </c>
      <c r="O63" s="589">
        <v>5</v>
      </c>
      <c r="P63" s="265"/>
      <c r="Q63" s="659">
        <f t="shared" si="9"/>
        <v>175</v>
      </c>
      <c r="R63" s="660">
        <f t="shared" si="10"/>
        <v>71</v>
      </c>
      <c r="S63" s="660">
        <f t="shared" si="11"/>
        <v>2</v>
      </c>
      <c r="U63" s="265">
        <v>18</v>
      </c>
      <c r="V63" s="265">
        <v>23</v>
      </c>
      <c r="W63" s="265">
        <v>63</v>
      </c>
      <c r="X63" s="265">
        <v>59</v>
      </c>
      <c r="Y63" s="265">
        <v>56</v>
      </c>
      <c r="Z63" s="265">
        <v>18</v>
      </c>
      <c r="AA63" s="265">
        <v>17</v>
      </c>
      <c r="AC63" s="692">
        <f t="shared" si="12"/>
        <v>41</v>
      </c>
      <c r="AD63" s="692">
        <f t="shared" si="13"/>
        <v>122</v>
      </c>
      <c r="AE63" s="692">
        <f t="shared" si="14"/>
        <v>74</v>
      </c>
    </row>
    <row r="64" spans="1:31" x14ac:dyDescent="0.25">
      <c r="A64" s="655" t="s">
        <v>126</v>
      </c>
      <c r="B64" s="187" t="s">
        <v>127</v>
      </c>
      <c r="C64" s="665" t="s">
        <v>266</v>
      </c>
      <c r="D64" s="588">
        <v>179</v>
      </c>
      <c r="E64" s="589">
        <v>95</v>
      </c>
      <c r="F64" s="589">
        <v>83</v>
      </c>
      <c r="G64" s="589">
        <v>1</v>
      </c>
      <c r="H64" s="589"/>
      <c r="I64" s="589">
        <v>133</v>
      </c>
      <c r="J64" s="589">
        <v>57</v>
      </c>
      <c r="K64" s="589">
        <v>0</v>
      </c>
      <c r="L64" s="589">
        <v>0</v>
      </c>
      <c r="M64" s="589">
        <v>1</v>
      </c>
      <c r="N64" s="589">
        <v>9</v>
      </c>
      <c r="O64" s="589">
        <v>7</v>
      </c>
      <c r="P64" s="265"/>
      <c r="Q64" s="659">
        <f t="shared" si="9"/>
        <v>133</v>
      </c>
      <c r="R64" s="660">
        <f t="shared" si="10"/>
        <v>57</v>
      </c>
      <c r="S64" s="660">
        <f t="shared" si="11"/>
        <v>1</v>
      </c>
      <c r="U64" s="265">
        <v>7</v>
      </c>
      <c r="V64" s="265">
        <v>11</v>
      </c>
      <c r="W64" s="265">
        <v>22</v>
      </c>
      <c r="X64" s="265">
        <v>35</v>
      </c>
      <c r="Y64" s="265">
        <v>37</v>
      </c>
      <c r="Z64" s="265">
        <v>17</v>
      </c>
      <c r="AA64" s="265">
        <v>50</v>
      </c>
      <c r="AC64" s="692">
        <f t="shared" si="12"/>
        <v>18</v>
      </c>
      <c r="AD64" s="692">
        <f t="shared" si="13"/>
        <v>57</v>
      </c>
      <c r="AE64" s="692">
        <f t="shared" si="14"/>
        <v>54</v>
      </c>
    </row>
    <row r="65" spans="1:31" x14ac:dyDescent="0.25">
      <c r="A65" s="655" t="s">
        <v>128</v>
      </c>
      <c r="B65" s="187" t="s">
        <v>129</v>
      </c>
      <c r="C65" s="665" t="s">
        <v>266</v>
      </c>
      <c r="D65" s="588">
        <v>121</v>
      </c>
      <c r="E65" s="589">
        <v>51</v>
      </c>
      <c r="F65" s="589">
        <v>64</v>
      </c>
      <c r="G65" s="589">
        <v>6</v>
      </c>
      <c r="H65" s="589"/>
      <c r="I65" s="589">
        <v>61</v>
      </c>
      <c r="J65" s="589">
        <v>65</v>
      </c>
      <c r="K65" s="589">
        <v>1</v>
      </c>
      <c r="L65" s="589">
        <v>0</v>
      </c>
      <c r="M65" s="589">
        <v>0</v>
      </c>
      <c r="N65" s="589">
        <v>3</v>
      </c>
      <c r="O65" s="589">
        <v>1</v>
      </c>
      <c r="P65" s="265"/>
      <c r="Q65" s="659">
        <f t="shared" si="9"/>
        <v>61</v>
      </c>
      <c r="R65" s="660">
        <f t="shared" si="10"/>
        <v>65</v>
      </c>
      <c r="S65" s="660">
        <f t="shared" si="11"/>
        <v>1</v>
      </c>
      <c r="U65" s="265">
        <v>5</v>
      </c>
      <c r="V65" s="265">
        <v>18</v>
      </c>
      <c r="W65" s="265">
        <v>28</v>
      </c>
      <c r="X65" s="265">
        <v>14</v>
      </c>
      <c r="Y65" s="265">
        <v>18</v>
      </c>
      <c r="Z65" s="265">
        <v>7</v>
      </c>
      <c r="AA65" s="265">
        <v>31</v>
      </c>
      <c r="AC65" s="692">
        <f t="shared" si="12"/>
        <v>23</v>
      </c>
      <c r="AD65" s="692">
        <f t="shared" si="13"/>
        <v>42</v>
      </c>
      <c r="AE65" s="692">
        <f t="shared" si="14"/>
        <v>25</v>
      </c>
    </row>
    <row r="66" spans="1:31" x14ac:dyDescent="0.25">
      <c r="A66" s="655" t="s">
        <v>130</v>
      </c>
      <c r="B66" s="187" t="s">
        <v>131</v>
      </c>
      <c r="C66" s="665" t="s">
        <v>268</v>
      </c>
      <c r="D66" s="588">
        <v>1014</v>
      </c>
      <c r="E66" s="589">
        <v>505</v>
      </c>
      <c r="F66" s="589">
        <v>503</v>
      </c>
      <c r="G66" s="589">
        <v>6</v>
      </c>
      <c r="H66" s="589"/>
      <c r="I66" s="589">
        <v>993</v>
      </c>
      <c r="J66" s="589">
        <v>18</v>
      </c>
      <c r="K66" s="589">
        <v>0</v>
      </c>
      <c r="L66" s="589">
        <v>1</v>
      </c>
      <c r="M66" s="589">
        <v>0</v>
      </c>
      <c r="N66" s="589">
        <v>25</v>
      </c>
      <c r="O66" s="589">
        <v>20</v>
      </c>
      <c r="P66" s="265"/>
      <c r="Q66" s="659">
        <f t="shared" si="9"/>
        <v>993</v>
      </c>
      <c r="R66" s="660">
        <f t="shared" si="10"/>
        <v>18</v>
      </c>
      <c r="S66" s="660">
        <f t="shared" si="11"/>
        <v>1</v>
      </c>
      <c r="U66" s="265">
        <v>89</v>
      </c>
      <c r="V66" s="265">
        <v>162</v>
      </c>
      <c r="W66" s="265">
        <v>271</v>
      </c>
      <c r="X66" s="265">
        <v>220</v>
      </c>
      <c r="Y66" s="265">
        <v>168</v>
      </c>
      <c r="Z66" s="265">
        <v>67</v>
      </c>
      <c r="AA66" s="265">
        <v>37</v>
      </c>
      <c r="AC66" s="692">
        <f t="shared" si="12"/>
        <v>251</v>
      </c>
      <c r="AD66" s="692">
        <f t="shared" si="13"/>
        <v>491</v>
      </c>
      <c r="AE66" s="692">
        <f t="shared" si="14"/>
        <v>235</v>
      </c>
    </row>
    <row r="67" spans="1:31" x14ac:dyDescent="0.25">
      <c r="A67" s="655" t="s">
        <v>132</v>
      </c>
      <c r="B67" s="187" t="s">
        <v>133</v>
      </c>
      <c r="C67" s="665" t="s">
        <v>267</v>
      </c>
      <c r="D67" s="588">
        <v>2824</v>
      </c>
      <c r="E67" s="589">
        <v>1356</v>
      </c>
      <c r="F67" s="589">
        <v>1429</v>
      </c>
      <c r="G67" s="589">
        <v>39</v>
      </c>
      <c r="H67" s="589"/>
      <c r="I67" s="589">
        <v>379</v>
      </c>
      <c r="J67" s="589">
        <v>119</v>
      </c>
      <c r="K67" s="589">
        <v>76</v>
      </c>
      <c r="L67" s="589">
        <v>3</v>
      </c>
      <c r="M67" s="589">
        <v>2</v>
      </c>
      <c r="N67" s="589">
        <v>2308</v>
      </c>
      <c r="O67" s="589">
        <v>598</v>
      </c>
      <c r="P67" s="265"/>
      <c r="Q67" s="659">
        <f t="shared" si="9"/>
        <v>379</v>
      </c>
      <c r="R67" s="660">
        <f t="shared" si="10"/>
        <v>119</v>
      </c>
      <c r="S67" s="660">
        <f t="shared" si="11"/>
        <v>81</v>
      </c>
      <c r="U67" s="265">
        <v>89</v>
      </c>
      <c r="V67" s="265">
        <v>286</v>
      </c>
      <c r="W67" s="265">
        <v>584</v>
      </c>
      <c r="X67" s="265">
        <v>623</v>
      </c>
      <c r="Y67" s="265">
        <v>555</v>
      </c>
      <c r="Z67" s="265">
        <v>295</v>
      </c>
      <c r="AA67" s="265">
        <v>392</v>
      </c>
      <c r="AC67" s="692">
        <f t="shared" si="12"/>
        <v>375</v>
      </c>
      <c r="AD67" s="692">
        <f t="shared" si="13"/>
        <v>1207</v>
      </c>
      <c r="AE67" s="692">
        <f t="shared" si="14"/>
        <v>850</v>
      </c>
    </row>
    <row r="68" spans="1:31" x14ac:dyDescent="0.25">
      <c r="A68" s="655" t="s">
        <v>134</v>
      </c>
      <c r="B68" s="187" t="s">
        <v>135</v>
      </c>
      <c r="C68" s="665" t="s">
        <v>267</v>
      </c>
      <c r="D68" s="588">
        <v>686</v>
      </c>
      <c r="E68" s="589">
        <v>328</v>
      </c>
      <c r="F68" s="589">
        <v>352</v>
      </c>
      <c r="G68" s="589">
        <v>6</v>
      </c>
      <c r="H68" s="589"/>
      <c r="I68" s="589">
        <v>525</v>
      </c>
      <c r="J68" s="589">
        <v>182</v>
      </c>
      <c r="K68" s="589">
        <v>5</v>
      </c>
      <c r="L68" s="589">
        <v>3</v>
      </c>
      <c r="M68" s="589">
        <v>4</v>
      </c>
      <c r="N68" s="589">
        <v>46</v>
      </c>
      <c r="O68" s="589">
        <v>25</v>
      </c>
      <c r="P68" s="265"/>
      <c r="Q68" s="659">
        <f t="shared" si="9"/>
        <v>525</v>
      </c>
      <c r="R68" s="660">
        <f t="shared" si="10"/>
        <v>182</v>
      </c>
      <c r="S68" s="660">
        <f t="shared" si="11"/>
        <v>12</v>
      </c>
      <c r="U68" s="265">
        <v>46</v>
      </c>
      <c r="V68" s="265">
        <v>105</v>
      </c>
      <c r="W68" s="265">
        <v>148</v>
      </c>
      <c r="X68" s="265">
        <v>152</v>
      </c>
      <c r="Y68" s="265">
        <v>131</v>
      </c>
      <c r="Z68" s="265">
        <v>50</v>
      </c>
      <c r="AA68" s="265">
        <v>54</v>
      </c>
      <c r="AC68" s="692">
        <f t="shared" si="12"/>
        <v>151</v>
      </c>
      <c r="AD68" s="692">
        <f t="shared" si="13"/>
        <v>300</v>
      </c>
      <c r="AE68" s="692">
        <f t="shared" si="14"/>
        <v>181</v>
      </c>
    </row>
    <row r="69" spans="1:31" x14ac:dyDescent="0.25">
      <c r="A69" s="655" t="s">
        <v>136</v>
      </c>
      <c r="B69" s="187" t="s">
        <v>137</v>
      </c>
      <c r="C69" s="665" t="s">
        <v>266</v>
      </c>
      <c r="D69" s="588">
        <v>117</v>
      </c>
      <c r="E69" s="589">
        <v>69</v>
      </c>
      <c r="F69" s="589">
        <v>46</v>
      </c>
      <c r="G69" s="589">
        <v>2</v>
      </c>
      <c r="H69" s="589"/>
      <c r="I69" s="589">
        <v>59</v>
      </c>
      <c r="J69" s="589">
        <v>60</v>
      </c>
      <c r="K69" s="589">
        <v>0</v>
      </c>
      <c r="L69" s="589">
        <v>0</v>
      </c>
      <c r="M69" s="589">
        <v>0</v>
      </c>
      <c r="N69" s="589">
        <v>7</v>
      </c>
      <c r="O69" s="589">
        <v>7</v>
      </c>
      <c r="P69" s="265"/>
      <c r="Q69" s="659">
        <f t="shared" ref="Q69:Q100" si="15">I69</f>
        <v>59</v>
      </c>
      <c r="R69" s="660">
        <f t="shared" ref="R69:R100" si="16">J69</f>
        <v>60</v>
      </c>
      <c r="S69" s="660">
        <f t="shared" ref="S69:S100" si="17">SUM(K69:M69)</f>
        <v>0</v>
      </c>
      <c r="U69" s="265">
        <v>16</v>
      </c>
      <c r="V69" s="265">
        <v>21</v>
      </c>
      <c r="W69" s="265">
        <v>19</v>
      </c>
      <c r="X69" s="265">
        <v>22</v>
      </c>
      <c r="Y69" s="265">
        <v>16</v>
      </c>
      <c r="Z69" s="265">
        <v>8</v>
      </c>
      <c r="AA69" s="265">
        <v>15</v>
      </c>
      <c r="AC69" s="692">
        <f t="shared" ref="AC69:AC100" si="18">U69+V69</f>
        <v>37</v>
      </c>
      <c r="AD69" s="692">
        <f t="shared" ref="AD69:AD100" si="19">W69+X69</f>
        <v>41</v>
      </c>
      <c r="AE69" s="692">
        <f t="shared" ref="AE69:AE100" si="20">Y69+Z69</f>
        <v>24</v>
      </c>
    </row>
    <row r="70" spans="1:31" x14ac:dyDescent="0.25">
      <c r="A70" s="655" t="s">
        <v>138</v>
      </c>
      <c r="B70" s="187" t="s">
        <v>139</v>
      </c>
      <c r="C70" s="665" t="s">
        <v>265</v>
      </c>
      <c r="D70" s="588">
        <v>1829</v>
      </c>
      <c r="E70" s="589">
        <v>937</v>
      </c>
      <c r="F70" s="589">
        <v>864</v>
      </c>
      <c r="G70" s="589">
        <v>28</v>
      </c>
      <c r="H70" s="589"/>
      <c r="I70" s="589">
        <v>826</v>
      </c>
      <c r="J70" s="589">
        <v>1061</v>
      </c>
      <c r="K70" s="589">
        <v>7</v>
      </c>
      <c r="L70" s="589">
        <v>0</v>
      </c>
      <c r="M70" s="589">
        <v>1</v>
      </c>
      <c r="N70" s="589">
        <v>71</v>
      </c>
      <c r="O70" s="589">
        <v>66</v>
      </c>
      <c r="P70" s="265"/>
      <c r="Q70" s="659">
        <f t="shared" si="15"/>
        <v>826</v>
      </c>
      <c r="R70" s="660">
        <f t="shared" si="16"/>
        <v>1061</v>
      </c>
      <c r="S70" s="660">
        <f t="shared" si="17"/>
        <v>8</v>
      </c>
      <c r="U70" s="265">
        <v>209</v>
      </c>
      <c r="V70" s="265">
        <v>316</v>
      </c>
      <c r="W70" s="265">
        <v>429</v>
      </c>
      <c r="X70" s="265">
        <v>337</v>
      </c>
      <c r="Y70" s="265">
        <v>246</v>
      </c>
      <c r="Z70" s="265">
        <v>88</v>
      </c>
      <c r="AA70" s="265">
        <v>204</v>
      </c>
      <c r="AC70" s="692">
        <f t="shared" si="18"/>
        <v>525</v>
      </c>
      <c r="AD70" s="692">
        <f t="shared" si="19"/>
        <v>766</v>
      </c>
      <c r="AE70" s="692">
        <f t="shared" si="20"/>
        <v>334</v>
      </c>
    </row>
    <row r="71" spans="1:31" x14ac:dyDescent="0.25">
      <c r="A71" s="655" t="s">
        <v>140</v>
      </c>
      <c r="B71" s="187" t="s">
        <v>141</v>
      </c>
      <c r="C71" s="665" t="s">
        <v>267</v>
      </c>
      <c r="D71" s="588">
        <v>193</v>
      </c>
      <c r="E71" s="589">
        <v>93</v>
      </c>
      <c r="F71" s="589">
        <v>100</v>
      </c>
      <c r="G71" s="589">
        <v>0</v>
      </c>
      <c r="H71" s="589"/>
      <c r="I71" s="589">
        <v>160</v>
      </c>
      <c r="J71" s="589">
        <v>32</v>
      </c>
      <c r="K71" s="589">
        <v>1</v>
      </c>
      <c r="L71" s="589">
        <v>1</v>
      </c>
      <c r="M71" s="589">
        <v>0</v>
      </c>
      <c r="N71" s="589">
        <v>16</v>
      </c>
      <c r="O71" s="589">
        <v>4</v>
      </c>
      <c r="P71" s="265"/>
      <c r="Q71" s="659">
        <f t="shared" si="15"/>
        <v>160</v>
      </c>
      <c r="R71" s="660">
        <f t="shared" si="16"/>
        <v>32</v>
      </c>
      <c r="S71" s="660">
        <f t="shared" si="17"/>
        <v>2</v>
      </c>
      <c r="U71" s="265">
        <v>20</v>
      </c>
      <c r="V71" s="265">
        <v>33</v>
      </c>
      <c r="W71" s="265">
        <v>42</v>
      </c>
      <c r="X71" s="265">
        <v>37</v>
      </c>
      <c r="Y71" s="265">
        <v>30</v>
      </c>
      <c r="Z71" s="265">
        <v>16</v>
      </c>
      <c r="AA71" s="265">
        <v>15</v>
      </c>
      <c r="AC71" s="692">
        <f t="shared" si="18"/>
        <v>53</v>
      </c>
      <c r="AD71" s="692">
        <f t="shared" si="19"/>
        <v>79</v>
      </c>
      <c r="AE71" s="692">
        <f t="shared" si="20"/>
        <v>46</v>
      </c>
    </row>
    <row r="72" spans="1:31" x14ac:dyDescent="0.25">
      <c r="A72" s="655" t="s">
        <v>142</v>
      </c>
      <c r="B72" s="187" t="s">
        <v>143</v>
      </c>
      <c r="C72" s="665" t="s">
        <v>267</v>
      </c>
      <c r="D72" s="588">
        <v>641</v>
      </c>
      <c r="E72" s="589">
        <v>329</v>
      </c>
      <c r="F72" s="589">
        <v>304</v>
      </c>
      <c r="G72" s="589">
        <v>8</v>
      </c>
      <c r="H72" s="589"/>
      <c r="I72" s="589">
        <v>427</v>
      </c>
      <c r="J72" s="589">
        <v>234</v>
      </c>
      <c r="K72" s="589">
        <v>10</v>
      </c>
      <c r="L72" s="589">
        <v>2</v>
      </c>
      <c r="M72" s="589">
        <v>1</v>
      </c>
      <c r="N72" s="589">
        <v>22</v>
      </c>
      <c r="O72" s="589">
        <v>261</v>
      </c>
      <c r="P72" s="265"/>
      <c r="Q72" s="659">
        <f t="shared" si="15"/>
        <v>427</v>
      </c>
      <c r="R72" s="660">
        <f t="shared" si="16"/>
        <v>234</v>
      </c>
      <c r="S72" s="660">
        <f t="shared" si="17"/>
        <v>13</v>
      </c>
      <c r="U72" s="265">
        <v>23</v>
      </c>
      <c r="V72" s="265">
        <v>60</v>
      </c>
      <c r="W72" s="265">
        <v>179</v>
      </c>
      <c r="X72" s="265">
        <v>173</v>
      </c>
      <c r="Y72" s="265">
        <v>92</v>
      </c>
      <c r="Z72" s="265">
        <v>31</v>
      </c>
      <c r="AA72" s="265">
        <v>83</v>
      </c>
      <c r="AC72" s="692">
        <f t="shared" si="18"/>
        <v>83</v>
      </c>
      <c r="AD72" s="692">
        <f t="shared" si="19"/>
        <v>352</v>
      </c>
      <c r="AE72" s="692">
        <f t="shared" si="20"/>
        <v>123</v>
      </c>
    </row>
    <row r="73" spans="1:31" x14ac:dyDescent="0.25">
      <c r="A73" s="655" t="s">
        <v>144</v>
      </c>
      <c r="B73" s="187" t="s">
        <v>145</v>
      </c>
      <c r="C73" s="665" t="s">
        <v>267</v>
      </c>
      <c r="D73" s="588">
        <v>204</v>
      </c>
      <c r="E73" s="589">
        <v>99</v>
      </c>
      <c r="F73" s="589">
        <v>102</v>
      </c>
      <c r="G73" s="589">
        <v>3</v>
      </c>
      <c r="H73" s="589"/>
      <c r="I73" s="589">
        <v>157</v>
      </c>
      <c r="J73" s="589">
        <v>31</v>
      </c>
      <c r="K73" s="589">
        <v>1</v>
      </c>
      <c r="L73" s="589">
        <v>0</v>
      </c>
      <c r="M73" s="589">
        <v>0</v>
      </c>
      <c r="N73" s="589">
        <v>23</v>
      </c>
      <c r="O73" s="589">
        <v>100</v>
      </c>
      <c r="P73" s="265"/>
      <c r="Q73" s="659">
        <f t="shared" si="15"/>
        <v>157</v>
      </c>
      <c r="R73" s="660">
        <f t="shared" si="16"/>
        <v>31</v>
      </c>
      <c r="S73" s="660">
        <f t="shared" si="17"/>
        <v>1</v>
      </c>
      <c r="U73" s="265">
        <v>12</v>
      </c>
      <c r="V73" s="265">
        <v>15</v>
      </c>
      <c r="W73" s="265">
        <v>44</v>
      </c>
      <c r="X73" s="265">
        <v>43</v>
      </c>
      <c r="Y73" s="265">
        <v>30</v>
      </c>
      <c r="Z73" s="265">
        <v>9</v>
      </c>
      <c r="AA73" s="265">
        <v>51</v>
      </c>
      <c r="AC73" s="692">
        <f t="shared" si="18"/>
        <v>27</v>
      </c>
      <c r="AD73" s="692">
        <f t="shared" si="19"/>
        <v>87</v>
      </c>
      <c r="AE73" s="692">
        <f t="shared" si="20"/>
        <v>39</v>
      </c>
    </row>
    <row r="74" spans="1:31" x14ac:dyDescent="0.25">
      <c r="A74" s="655" t="s">
        <v>146</v>
      </c>
      <c r="B74" s="187" t="s">
        <v>147</v>
      </c>
      <c r="C74" s="665" t="s">
        <v>264</v>
      </c>
      <c r="D74" s="588">
        <v>147</v>
      </c>
      <c r="E74" s="589">
        <v>77</v>
      </c>
      <c r="F74" s="589">
        <v>63</v>
      </c>
      <c r="G74" s="589">
        <v>7</v>
      </c>
      <c r="H74" s="589"/>
      <c r="I74" s="589">
        <v>129</v>
      </c>
      <c r="J74" s="589">
        <v>11</v>
      </c>
      <c r="K74" s="589">
        <v>0</v>
      </c>
      <c r="L74" s="589">
        <v>2</v>
      </c>
      <c r="M74" s="589">
        <v>0</v>
      </c>
      <c r="N74" s="589">
        <v>14</v>
      </c>
      <c r="O74" s="589">
        <v>11</v>
      </c>
      <c r="P74" s="265"/>
      <c r="Q74" s="659">
        <f t="shared" si="15"/>
        <v>129</v>
      </c>
      <c r="R74" s="660">
        <f t="shared" si="16"/>
        <v>11</v>
      </c>
      <c r="S74" s="660">
        <f t="shared" si="17"/>
        <v>2</v>
      </c>
      <c r="U74" s="265">
        <v>8</v>
      </c>
      <c r="V74" s="265">
        <v>15</v>
      </c>
      <c r="W74" s="265">
        <v>36</v>
      </c>
      <c r="X74" s="265">
        <v>30</v>
      </c>
      <c r="Y74" s="265">
        <v>20</v>
      </c>
      <c r="Z74" s="265">
        <v>11</v>
      </c>
      <c r="AA74" s="265">
        <v>27</v>
      </c>
      <c r="AC74" s="692">
        <f t="shared" si="18"/>
        <v>23</v>
      </c>
      <c r="AD74" s="692">
        <f t="shared" si="19"/>
        <v>66</v>
      </c>
      <c r="AE74" s="692">
        <f t="shared" si="20"/>
        <v>31</v>
      </c>
    </row>
    <row r="75" spans="1:31" x14ac:dyDescent="0.25">
      <c r="A75" s="655" t="s">
        <v>148</v>
      </c>
      <c r="B75" s="187" t="s">
        <v>149</v>
      </c>
      <c r="C75" s="665" t="s">
        <v>265</v>
      </c>
      <c r="D75" s="588">
        <v>432</v>
      </c>
      <c r="E75" s="589">
        <v>226</v>
      </c>
      <c r="F75" s="589">
        <v>201</v>
      </c>
      <c r="G75" s="589">
        <v>5</v>
      </c>
      <c r="H75" s="589"/>
      <c r="I75" s="589">
        <v>236</v>
      </c>
      <c r="J75" s="589">
        <v>203</v>
      </c>
      <c r="K75" s="589">
        <v>0</v>
      </c>
      <c r="L75" s="589">
        <v>1</v>
      </c>
      <c r="M75" s="589">
        <v>0</v>
      </c>
      <c r="N75" s="589">
        <v>19</v>
      </c>
      <c r="O75" s="589">
        <v>2</v>
      </c>
      <c r="P75" s="265"/>
      <c r="Q75" s="659">
        <f t="shared" si="15"/>
        <v>236</v>
      </c>
      <c r="R75" s="660">
        <f t="shared" si="16"/>
        <v>203</v>
      </c>
      <c r="S75" s="660">
        <f t="shared" si="17"/>
        <v>1</v>
      </c>
      <c r="U75" s="265">
        <v>39</v>
      </c>
      <c r="V75" s="265">
        <v>79</v>
      </c>
      <c r="W75" s="265">
        <v>112</v>
      </c>
      <c r="X75" s="265">
        <v>79</v>
      </c>
      <c r="Y75" s="265">
        <v>75</v>
      </c>
      <c r="Z75" s="265">
        <v>30</v>
      </c>
      <c r="AA75" s="265">
        <v>18</v>
      </c>
      <c r="AC75" s="692">
        <f t="shared" si="18"/>
        <v>118</v>
      </c>
      <c r="AD75" s="692">
        <f t="shared" si="19"/>
        <v>191</v>
      </c>
      <c r="AE75" s="692">
        <f t="shared" si="20"/>
        <v>105</v>
      </c>
    </row>
    <row r="76" spans="1:31" x14ac:dyDescent="0.25">
      <c r="A76" s="655" t="s">
        <v>150</v>
      </c>
      <c r="B76" s="187" t="s">
        <v>151</v>
      </c>
      <c r="C76" s="665" t="s">
        <v>266</v>
      </c>
      <c r="D76" s="588">
        <v>270</v>
      </c>
      <c r="E76" s="589">
        <v>137</v>
      </c>
      <c r="F76" s="589">
        <v>133</v>
      </c>
      <c r="G76" s="589">
        <v>0</v>
      </c>
      <c r="H76" s="589"/>
      <c r="I76" s="589">
        <v>230</v>
      </c>
      <c r="J76" s="589">
        <v>54</v>
      </c>
      <c r="K76" s="589">
        <v>0</v>
      </c>
      <c r="L76" s="589">
        <v>0</v>
      </c>
      <c r="M76" s="589">
        <v>0</v>
      </c>
      <c r="N76" s="589">
        <v>19</v>
      </c>
      <c r="O76" s="589">
        <v>4</v>
      </c>
      <c r="P76" s="265"/>
      <c r="Q76" s="659">
        <f t="shared" si="15"/>
        <v>230</v>
      </c>
      <c r="R76" s="660">
        <f t="shared" si="16"/>
        <v>54</v>
      </c>
      <c r="S76" s="660">
        <f t="shared" si="17"/>
        <v>0</v>
      </c>
      <c r="U76" s="265">
        <v>12</v>
      </c>
      <c r="V76" s="265">
        <v>49</v>
      </c>
      <c r="W76" s="265">
        <v>68</v>
      </c>
      <c r="X76" s="265">
        <v>51</v>
      </c>
      <c r="Y76" s="265">
        <v>71</v>
      </c>
      <c r="Z76" s="265">
        <v>16</v>
      </c>
      <c r="AA76" s="265">
        <v>3</v>
      </c>
      <c r="AC76" s="692">
        <f t="shared" si="18"/>
        <v>61</v>
      </c>
      <c r="AD76" s="692">
        <f t="shared" si="19"/>
        <v>119</v>
      </c>
      <c r="AE76" s="692">
        <f t="shared" si="20"/>
        <v>87</v>
      </c>
    </row>
    <row r="77" spans="1:31" x14ac:dyDescent="0.25">
      <c r="A77" s="655" t="s">
        <v>152</v>
      </c>
      <c r="B77" s="187" t="s">
        <v>153</v>
      </c>
      <c r="C77" s="665" t="s">
        <v>268</v>
      </c>
      <c r="D77" s="588">
        <v>1168</v>
      </c>
      <c r="E77" s="589">
        <v>564</v>
      </c>
      <c r="F77" s="589">
        <v>583</v>
      </c>
      <c r="G77" s="589">
        <v>21</v>
      </c>
      <c r="H77" s="589"/>
      <c r="I77" s="589">
        <v>984</v>
      </c>
      <c r="J77" s="589">
        <v>155</v>
      </c>
      <c r="K77" s="589">
        <v>8</v>
      </c>
      <c r="L77" s="589">
        <v>3</v>
      </c>
      <c r="M77" s="589">
        <v>0</v>
      </c>
      <c r="N77" s="589">
        <v>53</v>
      </c>
      <c r="O77" s="589">
        <v>20</v>
      </c>
      <c r="P77" s="265"/>
      <c r="Q77" s="659">
        <f t="shared" si="15"/>
        <v>984</v>
      </c>
      <c r="R77" s="660">
        <f t="shared" si="16"/>
        <v>155</v>
      </c>
      <c r="S77" s="660">
        <f t="shared" si="17"/>
        <v>11</v>
      </c>
      <c r="U77" s="265">
        <v>71</v>
      </c>
      <c r="V77" s="265">
        <v>192</v>
      </c>
      <c r="W77" s="265">
        <v>222</v>
      </c>
      <c r="X77" s="265">
        <v>255</v>
      </c>
      <c r="Y77" s="265">
        <v>199</v>
      </c>
      <c r="Z77" s="265">
        <v>79</v>
      </c>
      <c r="AA77" s="265">
        <v>150</v>
      </c>
      <c r="AC77" s="692">
        <f t="shared" si="18"/>
        <v>263</v>
      </c>
      <c r="AD77" s="692">
        <f t="shared" si="19"/>
        <v>477</v>
      </c>
      <c r="AE77" s="692">
        <f t="shared" si="20"/>
        <v>278</v>
      </c>
    </row>
    <row r="78" spans="1:31" x14ac:dyDescent="0.25">
      <c r="A78" s="655" t="s">
        <v>154</v>
      </c>
      <c r="B78" s="187" t="s">
        <v>155</v>
      </c>
      <c r="C78" s="665" t="s">
        <v>265</v>
      </c>
      <c r="D78" s="588">
        <v>271</v>
      </c>
      <c r="E78" s="589">
        <v>130</v>
      </c>
      <c r="F78" s="589">
        <v>140</v>
      </c>
      <c r="G78" s="589">
        <v>1</v>
      </c>
      <c r="H78" s="589"/>
      <c r="I78" s="589">
        <v>220</v>
      </c>
      <c r="J78" s="589">
        <v>49</v>
      </c>
      <c r="K78" s="589">
        <v>0</v>
      </c>
      <c r="L78" s="589">
        <v>1</v>
      </c>
      <c r="M78" s="589">
        <v>1</v>
      </c>
      <c r="N78" s="589">
        <v>18</v>
      </c>
      <c r="O78" s="589">
        <v>15</v>
      </c>
      <c r="P78" s="265"/>
      <c r="Q78" s="659">
        <f t="shared" si="15"/>
        <v>220</v>
      </c>
      <c r="R78" s="660">
        <f t="shared" si="16"/>
        <v>49</v>
      </c>
      <c r="S78" s="660">
        <f t="shared" si="17"/>
        <v>2</v>
      </c>
      <c r="U78" s="265">
        <v>17</v>
      </c>
      <c r="V78" s="265">
        <v>35</v>
      </c>
      <c r="W78" s="265">
        <v>57</v>
      </c>
      <c r="X78" s="265">
        <v>66</v>
      </c>
      <c r="Y78" s="265">
        <v>48</v>
      </c>
      <c r="Z78" s="265">
        <v>26</v>
      </c>
      <c r="AA78" s="265">
        <v>22</v>
      </c>
      <c r="AC78" s="692">
        <f t="shared" si="18"/>
        <v>52</v>
      </c>
      <c r="AD78" s="692">
        <f t="shared" si="19"/>
        <v>123</v>
      </c>
      <c r="AE78" s="692">
        <f t="shared" si="20"/>
        <v>74</v>
      </c>
    </row>
    <row r="79" spans="1:31" x14ac:dyDescent="0.25">
      <c r="A79" s="655" t="s">
        <v>156</v>
      </c>
      <c r="B79" s="187" t="s">
        <v>157</v>
      </c>
      <c r="C79" s="665" t="s">
        <v>266</v>
      </c>
      <c r="D79" s="588">
        <v>234</v>
      </c>
      <c r="E79" s="589">
        <v>113</v>
      </c>
      <c r="F79" s="589">
        <v>121</v>
      </c>
      <c r="G79" s="589">
        <v>0</v>
      </c>
      <c r="H79" s="589"/>
      <c r="I79" s="589">
        <v>180</v>
      </c>
      <c r="J79" s="589">
        <v>43</v>
      </c>
      <c r="K79" s="589">
        <v>2</v>
      </c>
      <c r="L79" s="589">
        <v>0</v>
      </c>
      <c r="M79" s="589">
        <v>0</v>
      </c>
      <c r="N79" s="589">
        <v>17</v>
      </c>
      <c r="O79" s="589">
        <v>22</v>
      </c>
      <c r="P79" s="265"/>
      <c r="Q79" s="659">
        <f t="shared" si="15"/>
        <v>180</v>
      </c>
      <c r="R79" s="660">
        <f t="shared" si="16"/>
        <v>43</v>
      </c>
      <c r="S79" s="660">
        <f t="shared" si="17"/>
        <v>2</v>
      </c>
      <c r="U79" s="265">
        <v>11</v>
      </c>
      <c r="V79" s="265">
        <v>26</v>
      </c>
      <c r="W79" s="265">
        <v>50</v>
      </c>
      <c r="X79" s="265">
        <v>49</v>
      </c>
      <c r="Y79" s="265">
        <v>50</v>
      </c>
      <c r="Z79" s="265">
        <v>28</v>
      </c>
      <c r="AA79" s="265">
        <v>20</v>
      </c>
      <c r="AC79" s="692">
        <f t="shared" si="18"/>
        <v>37</v>
      </c>
      <c r="AD79" s="692">
        <f t="shared" si="19"/>
        <v>99</v>
      </c>
      <c r="AE79" s="692">
        <f t="shared" si="20"/>
        <v>78</v>
      </c>
    </row>
    <row r="80" spans="1:31" x14ac:dyDescent="0.25">
      <c r="A80" s="655" t="s">
        <v>158</v>
      </c>
      <c r="B80" s="187" t="s">
        <v>159</v>
      </c>
      <c r="C80" s="665" t="s">
        <v>264</v>
      </c>
      <c r="D80" s="588">
        <v>2426</v>
      </c>
      <c r="E80" s="589">
        <v>1171</v>
      </c>
      <c r="F80" s="589">
        <v>1240</v>
      </c>
      <c r="G80" s="589">
        <v>15</v>
      </c>
      <c r="H80" s="589"/>
      <c r="I80" s="589">
        <v>833</v>
      </c>
      <c r="J80" s="589">
        <v>1561</v>
      </c>
      <c r="K80" s="589">
        <v>20</v>
      </c>
      <c r="L80" s="589">
        <v>22</v>
      </c>
      <c r="M80" s="589">
        <v>1</v>
      </c>
      <c r="N80" s="589">
        <v>197</v>
      </c>
      <c r="O80" s="589">
        <v>207</v>
      </c>
      <c r="P80" s="265"/>
      <c r="Q80" s="659">
        <f t="shared" si="15"/>
        <v>833</v>
      </c>
      <c r="R80" s="660">
        <f t="shared" si="16"/>
        <v>1561</v>
      </c>
      <c r="S80" s="660">
        <f t="shared" si="17"/>
        <v>43</v>
      </c>
      <c r="U80" s="265">
        <v>160</v>
      </c>
      <c r="V80" s="265">
        <v>395</v>
      </c>
      <c r="W80" s="265">
        <v>578</v>
      </c>
      <c r="X80" s="265">
        <v>478</v>
      </c>
      <c r="Y80" s="265">
        <v>446</v>
      </c>
      <c r="Z80" s="265">
        <v>191</v>
      </c>
      <c r="AA80" s="265">
        <v>178</v>
      </c>
      <c r="AC80" s="692">
        <f t="shared" si="18"/>
        <v>555</v>
      </c>
      <c r="AD80" s="692">
        <f t="shared" si="19"/>
        <v>1056</v>
      </c>
      <c r="AE80" s="692">
        <f t="shared" si="20"/>
        <v>637</v>
      </c>
    </row>
    <row r="81" spans="1:31" x14ac:dyDescent="0.25">
      <c r="A81" s="655" t="s">
        <v>160</v>
      </c>
      <c r="B81" s="187" t="s">
        <v>161</v>
      </c>
      <c r="C81" s="665" t="s">
        <v>264</v>
      </c>
      <c r="D81" s="588">
        <v>3343</v>
      </c>
      <c r="E81" s="589">
        <v>1656</v>
      </c>
      <c r="F81" s="589">
        <v>1641</v>
      </c>
      <c r="G81" s="589">
        <v>46</v>
      </c>
      <c r="H81" s="589"/>
      <c r="I81" s="589">
        <v>1071</v>
      </c>
      <c r="J81" s="589">
        <v>2290</v>
      </c>
      <c r="K81" s="589">
        <v>44</v>
      </c>
      <c r="L81" s="589">
        <v>23</v>
      </c>
      <c r="M81" s="589">
        <v>0</v>
      </c>
      <c r="N81" s="589">
        <v>124</v>
      </c>
      <c r="O81" s="589">
        <v>227</v>
      </c>
      <c r="P81" s="265"/>
      <c r="Q81" s="659">
        <f t="shared" si="15"/>
        <v>1071</v>
      </c>
      <c r="R81" s="660">
        <f t="shared" si="16"/>
        <v>2290</v>
      </c>
      <c r="S81" s="660">
        <f t="shared" si="17"/>
        <v>67</v>
      </c>
      <c r="U81" s="265">
        <v>284</v>
      </c>
      <c r="V81" s="265">
        <v>484</v>
      </c>
      <c r="W81" s="265">
        <v>752</v>
      </c>
      <c r="X81" s="265">
        <v>658</v>
      </c>
      <c r="Y81" s="265">
        <v>573</v>
      </c>
      <c r="Z81" s="265">
        <v>227</v>
      </c>
      <c r="AA81" s="265">
        <v>365</v>
      </c>
      <c r="AC81" s="692">
        <f t="shared" si="18"/>
        <v>768</v>
      </c>
      <c r="AD81" s="692">
        <f t="shared" si="19"/>
        <v>1410</v>
      </c>
      <c r="AE81" s="692">
        <f t="shared" si="20"/>
        <v>800</v>
      </c>
    </row>
    <row r="82" spans="1:31" x14ac:dyDescent="0.25">
      <c r="A82" s="655" t="s">
        <v>162</v>
      </c>
      <c r="B82" s="187" t="s">
        <v>163</v>
      </c>
      <c r="C82" s="665" t="s">
        <v>264</v>
      </c>
      <c r="D82" s="588">
        <v>76</v>
      </c>
      <c r="E82" s="589">
        <v>34</v>
      </c>
      <c r="F82" s="589">
        <v>42</v>
      </c>
      <c r="G82" s="589">
        <v>0</v>
      </c>
      <c r="H82" s="589"/>
      <c r="I82" s="589">
        <v>31</v>
      </c>
      <c r="J82" s="589">
        <v>37</v>
      </c>
      <c r="K82" s="589">
        <v>1</v>
      </c>
      <c r="L82" s="589">
        <v>2</v>
      </c>
      <c r="M82" s="589">
        <v>0</v>
      </c>
      <c r="N82" s="589">
        <v>7</v>
      </c>
      <c r="O82" s="589">
        <v>12</v>
      </c>
      <c r="P82" s="265"/>
      <c r="Q82" s="659">
        <f t="shared" si="15"/>
        <v>31</v>
      </c>
      <c r="R82" s="660">
        <f t="shared" si="16"/>
        <v>37</v>
      </c>
      <c r="S82" s="660">
        <f t="shared" si="17"/>
        <v>3</v>
      </c>
      <c r="U82" s="265">
        <v>6</v>
      </c>
      <c r="V82" s="265">
        <v>10</v>
      </c>
      <c r="W82" s="265">
        <v>25</v>
      </c>
      <c r="X82" s="265">
        <v>19</v>
      </c>
      <c r="Y82" s="265">
        <v>10</v>
      </c>
      <c r="Z82" s="265">
        <v>2</v>
      </c>
      <c r="AA82" s="265">
        <v>4</v>
      </c>
      <c r="AC82" s="692">
        <f t="shared" si="18"/>
        <v>16</v>
      </c>
      <c r="AD82" s="692">
        <f t="shared" si="19"/>
        <v>44</v>
      </c>
      <c r="AE82" s="692">
        <f t="shared" si="20"/>
        <v>12</v>
      </c>
    </row>
    <row r="83" spans="1:31" x14ac:dyDescent="0.25">
      <c r="A83" s="655" t="s">
        <v>164</v>
      </c>
      <c r="B83" s="187" t="s">
        <v>165</v>
      </c>
      <c r="C83" s="665" t="s">
        <v>266</v>
      </c>
      <c r="D83" s="588">
        <v>132</v>
      </c>
      <c r="E83" s="589">
        <v>60</v>
      </c>
      <c r="F83" s="589">
        <v>71</v>
      </c>
      <c r="G83" s="589">
        <v>1</v>
      </c>
      <c r="H83" s="589"/>
      <c r="I83" s="589">
        <v>104</v>
      </c>
      <c r="J83" s="589">
        <v>44</v>
      </c>
      <c r="K83" s="589">
        <v>1</v>
      </c>
      <c r="L83" s="589">
        <v>4</v>
      </c>
      <c r="M83" s="589">
        <v>0</v>
      </c>
      <c r="N83" s="589">
        <v>6</v>
      </c>
      <c r="O83" s="589">
        <v>5</v>
      </c>
      <c r="P83" s="265"/>
      <c r="Q83" s="659">
        <f t="shared" si="15"/>
        <v>104</v>
      </c>
      <c r="R83" s="660">
        <f t="shared" si="16"/>
        <v>44</v>
      </c>
      <c r="S83" s="660">
        <f t="shared" si="17"/>
        <v>5</v>
      </c>
      <c r="U83" s="265">
        <v>8</v>
      </c>
      <c r="V83" s="265">
        <v>22</v>
      </c>
      <c r="W83" s="265">
        <v>27</v>
      </c>
      <c r="X83" s="265">
        <v>25</v>
      </c>
      <c r="Y83" s="265">
        <v>18</v>
      </c>
      <c r="Z83" s="265">
        <v>13</v>
      </c>
      <c r="AA83" s="265">
        <v>19</v>
      </c>
      <c r="AC83" s="692">
        <f t="shared" si="18"/>
        <v>30</v>
      </c>
      <c r="AD83" s="692">
        <f t="shared" si="19"/>
        <v>52</v>
      </c>
      <c r="AE83" s="692">
        <f t="shared" si="20"/>
        <v>31</v>
      </c>
    </row>
    <row r="84" spans="1:31" x14ac:dyDescent="0.25">
      <c r="A84" s="655" t="s">
        <v>166</v>
      </c>
      <c r="B84" s="187" t="s">
        <v>167</v>
      </c>
      <c r="C84" s="665" t="s">
        <v>268</v>
      </c>
      <c r="D84" s="588">
        <v>147</v>
      </c>
      <c r="E84" s="589">
        <v>81</v>
      </c>
      <c r="F84" s="589">
        <v>65</v>
      </c>
      <c r="G84" s="589">
        <v>1</v>
      </c>
      <c r="H84" s="589"/>
      <c r="I84" s="589">
        <v>136</v>
      </c>
      <c r="J84" s="589">
        <v>16</v>
      </c>
      <c r="K84" s="589">
        <v>3</v>
      </c>
      <c r="L84" s="589">
        <v>0</v>
      </c>
      <c r="M84" s="589">
        <v>0</v>
      </c>
      <c r="N84" s="589">
        <v>1</v>
      </c>
      <c r="O84" s="589">
        <v>4</v>
      </c>
      <c r="P84" s="265"/>
      <c r="Q84" s="659">
        <f t="shared" si="15"/>
        <v>136</v>
      </c>
      <c r="R84" s="660">
        <f t="shared" si="16"/>
        <v>16</v>
      </c>
      <c r="S84" s="660">
        <f t="shared" si="17"/>
        <v>3</v>
      </c>
      <c r="U84" s="265">
        <v>10</v>
      </c>
      <c r="V84" s="265">
        <v>22</v>
      </c>
      <c r="W84" s="265">
        <v>52</v>
      </c>
      <c r="X84" s="265">
        <v>30</v>
      </c>
      <c r="Y84" s="265">
        <v>23</v>
      </c>
      <c r="Z84" s="265">
        <v>7</v>
      </c>
      <c r="AA84" s="265">
        <v>3</v>
      </c>
      <c r="AC84" s="692">
        <f t="shared" si="18"/>
        <v>32</v>
      </c>
      <c r="AD84" s="692">
        <f t="shared" si="19"/>
        <v>82</v>
      </c>
      <c r="AE84" s="692">
        <f t="shared" si="20"/>
        <v>30</v>
      </c>
    </row>
    <row r="85" spans="1:31" x14ac:dyDescent="0.25">
      <c r="A85" s="655" t="s">
        <v>168</v>
      </c>
      <c r="B85" s="187" t="s">
        <v>169</v>
      </c>
      <c r="C85" s="665" t="s">
        <v>266</v>
      </c>
      <c r="D85" s="588">
        <v>138</v>
      </c>
      <c r="E85" s="589">
        <v>66</v>
      </c>
      <c r="F85" s="589">
        <v>69</v>
      </c>
      <c r="G85" s="589">
        <v>3</v>
      </c>
      <c r="H85" s="589"/>
      <c r="I85" s="589">
        <v>68</v>
      </c>
      <c r="J85" s="589">
        <v>46</v>
      </c>
      <c r="K85" s="589">
        <v>0</v>
      </c>
      <c r="L85" s="589">
        <v>1</v>
      </c>
      <c r="M85" s="589">
        <v>1</v>
      </c>
      <c r="N85" s="589">
        <v>27</v>
      </c>
      <c r="O85" s="589">
        <v>6</v>
      </c>
      <c r="P85" s="265"/>
      <c r="Q85" s="659">
        <f t="shared" si="15"/>
        <v>68</v>
      </c>
      <c r="R85" s="660">
        <f t="shared" si="16"/>
        <v>46</v>
      </c>
      <c r="S85" s="660">
        <f t="shared" si="17"/>
        <v>2</v>
      </c>
      <c r="U85" s="265">
        <v>12</v>
      </c>
      <c r="V85" s="265">
        <v>31</v>
      </c>
      <c r="W85" s="265">
        <v>27</v>
      </c>
      <c r="X85" s="265">
        <v>13</v>
      </c>
      <c r="Y85" s="265">
        <v>30</v>
      </c>
      <c r="Z85" s="265">
        <v>6</v>
      </c>
      <c r="AA85" s="265">
        <v>19</v>
      </c>
      <c r="AC85" s="692">
        <f t="shared" si="18"/>
        <v>43</v>
      </c>
      <c r="AD85" s="692">
        <f t="shared" si="19"/>
        <v>40</v>
      </c>
      <c r="AE85" s="692">
        <f t="shared" si="20"/>
        <v>36</v>
      </c>
    </row>
    <row r="86" spans="1:31" x14ac:dyDescent="0.25">
      <c r="A86" s="655" t="s">
        <v>170</v>
      </c>
      <c r="B86" s="187" t="s">
        <v>171</v>
      </c>
      <c r="C86" s="665" t="s">
        <v>267</v>
      </c>
      <c r="D86" s="588">
        <v>501</v>
      </c>
      <c r="E86" s="589">
        <v>252</v>
      </c>
      <c r="F86" s="589">
        <v>244</v>
      </c>
      <c r="G86" s="589">
        <v>5</v>
      </c>
      <c r="H86" s="589"/>
      <c r="I86" s="589">
        <v>393</v>
      </c>
      <c r="J86" s="589">
        <v>125</v>
      </c>
      <c r="K86" s="589">
        <v>2</v>
      </c>
      <c r="L86" s="589">
        <v>21</v>
      </c>
      <c r="M86" s="589">
        <v>3</v>
      </c>
      <c r="N86" s="589">
        <v>24</v>
      </c>
      <c r="O86" s="589">
        <v>15</v>
      </c>
      <c r="P86" s="265"/>
      <c r="Q86" s="659">
        <f t="shared" si="15"/>
        <v>393</v>
      </c>
      <c r="R86" s="660">
        <f t="shared" si="16"/>
        <v>125</v>
      </c>
      <c r="S86" s="660">
        <f t="shared" si="17"/>
        <v>26</v>
      </c>
      <c r="U86" s="265">
        <v>37</v>
      </c>
      <c r="V86" s="265">
        <v>83</v>
      </c>
      <c r="W86" s="265">
        <v>118</v>
      </c>
      <c r="X86" s="265">
        <v>106</v>
      </c>
      <c r="Y86" s="265">
        <v>76</v>
      </c>
      <c r="Z86" s="265">
        <v>27</v>
      </c>
      <c r="AA86" s="265">
        <v>54</v>
      </c>
      <c r="AC86" s="692">
        <f t="shared" si="18"/>
        <v>120</v>
      </c>
      <c r="AD86" s="692">
        <f t="shared" si="19"/>
        <v>224</v>
      </c>
      <c r="AE86" s="692">
        <f t="shared" si="20"/>
        <v>103</v>
      </c>
    </row>
    <row r="87" spans="1:31" x14ac:dyDescent="0.25">
      <c r="A87" s="655" t="s">
        <v>172</v>
      </c>
      <c r="B87" s="187" t="s">
        <v>173</v>
      </c>
      <c r="C87" s="665" t="s">
        <v>267</v>
      </c>
      <c r="D87" s="588">
        <v>302</v>
      </c>
      <c r="E87" s="589">
        <v>162</v>
      </c>
      <c r="F87" s="589">
        <v>132</v>
      </c>
      <c r="G87" s="589">
        <v>8</v>
      </c>
      <c r="H87" s="589"/>
      <c r="I87" s="589">
        <v>272</v>
      </c>
      <c r="J87" s="589">
        <v>7</v>
      </c>
      <c r="K87" s="589">
        <v>0</v>
      </c>
      <c r="L87" s="589">
        <v>8</v>
      </c>
      <c r="M87" s="589">
        <v>0</v>
      </c>
      <c r="N87" s="589">
        <v>18</v>
      </c>
      <c r="O87" s="589">
        <v>7</v>
      </c>
      <c r="P87" s="265"/>
      <c r="Q87" s="659">
        <f t="shared" si="15"/>
        <v>272</v>
      </c>
      <c r="R87" s="660">
        <f t="shared" si="16"/>
        <v>7</v>
      </c>
      <c r="S87" s="660">
        <f t="shared" si="17"/>
        <v>8</v>
      </c>
      <c r="U87" s="265">
        <v>30</v>
      </c>
      <c r="V87" s="265">
        <v>47</v>
      </c>
      <c r="W87" s="265">
        <v>67</v>
      </c>
      <c r="X87" s="265">
        <v>64</v>
      </c>
      <c r="Y87" s="265">
        <v>52</v>
      </c>
      <c r="Z87" s="265">
        <v>13</v>
      </c>
      <c r="AA87" s="265">
        <v>29</v>
      </c>
      <c r="AC87" s="692">
        <f t="shared" si="18"/>
        <v>77</v>
      </c>
      <c r="AD87" s="692">
        <f t="shared" si="19"/>
        <v>131</v>
      </c>
      <c r="AE87" s="692">
        <f t="shared" si="20"/>
        <v>65</v>
      </c>
    </row>
    <row r="88" spans="1:31" x14ac:dyDescent="0.25">
      <c r="A88" s="655" t="s">
        <v>174</v>
      </c>
      <c r="B88" s="187" t="s">
        <v>175</v>
      </c>
      <c r="C88" s="665" t="s">
        <v>268</v>
      </c>
      <c r="D88" s="588">
        <v>314</v>
      </c>
      <c r="E88" s="589">
        <v>170</v>
      </c>
      <c r="F88" s="589">
        <v>142</v>
      </c>
      <c r="G88" s="589">
        <v>2</v>
      </c>
      <c r="H88" s="589"/>
      <c r="I88" s="589">
        <v>305</v>
      </c>
      <c r="J88" s="589">
        <v>12</v>
      </c>
      <c r="K88" s="589">
        <v>0</v>
      </c>
      <c r="L88" s="589">
        <v>0</v>
      </c>
      <c r="M88" s="589">
        <v>0</v>
      </c>
      <c r="N88" s="589">
        <v>3</v>
      </c>
      <c r="O88" s="589">
        <v>2</v>
      </c>
      <c r="P88" s="265"/>
      <c r="Q88" s="659">
        <f t="shared" si="15"/>
        <v>305</v>
      </c>
      <c r="R88" s="660">
        <f t="shared" si="16"/>
        <v>12</v>
      </c>
      <c r="S88" s="660">
        <f t="shared" si="17"/>
        <v>0</v>
      </c>
      <c r="U88" s="265">
        <v>31</v>
      </c>
      <c r="V88" s="265">
        <v>59</v>
      </c>
      <c r="W88" s="265">
        <v>84</v>
      </c>
      <c r="X88" s="265">
        <v>70</v>
      </c>
      <c r="Y88" s="265">
        <v>41</v>
      </c>
      <c r="Z88" s="265">
        <v>9</v>
      </c>
      <c r="AA88" s="265">
        <v>20</v>
      </c>
      <c r="AC88" s="692">
        <f t="shared" si="18"/>
        <v>90</v>
      </c>
      <c r="AD88" s="692">
        <f t="shared" si="19"/>
        <v>154</v>
      </c>
      <c r="AE88" s="692">
        <f t="shared" si="20"/>
        <v>50</v>
      </c>
    </row>
    <row r="89" spans="1:31" x14ac:dyDescent="0.25">
      <c r="A89" s="655" t="s">
        <v>176</v>
      </c>
      <c r="B89" s="187" t="s">
        <v>177</v>
      </c>
      <c r="C89" s="665" t="s">
        <v>266</v>
      </c>
      <c r="D89" s="588">
        <v>288</v>
      </c>
      <c r="E89" s="589">
        <v>142</v>
      </c>
      <c r="F89" s="589">
        <v>140</v>
      </c>
      <c r="G89" s="589">
        <v>6</v>
      </c>
      <c r="H89" s="589"/>
      <c r="I89" s="589">
        <v>55</v>
      </c>
      <c r="J89" s="589">
        <v>228</v>
      </c>
      <c r="K89" s="589">
        <v>2</v>
      </c>
      <c r="L89" s="589">
        <v>0</v>
      </c>
      <c r="M89" s="589">
        <v>0</v>
      </c>
      <c r="N89" s="589">
        <v>16</v>
      </c>
      <c r="O89" s="589">
        <v>19</v>
      </c>
      <c r="P89" s="265"/>
      <c r="Q89" s="659">
        <f t="shared" si="15"/>
        <v>55</v>
      </c>
      <c r="R89" s="660">
        <f t="shared" si="16"/>
        <v>228</v>
      </c>
      <c r="S89" s="660">
        <f t="shared" si="17"/>
        <v>2</v>
      </c>
      <c r="U89" s="265">
        <v>36</v>
      </c>
      <c r="V89" s="265">
        <v>52</v>
      </c>
      <c r="W89" s="265">
        <v>70</v>
      </c>
      <c r="X89" s="265">
        <v>26</v>
      </c>
      <c r="Y89" s="265">
        <v>38</v>
      </c>
      <c r="Z89" s="265">
        <v>18</v>
      </c>
      <c r="AA89" s="265">
        <v>48</v>
      </c>
      <c r="AC89" s="692">
        <f t="shared" si="18"/>
        <v>88</v>
      </c>
      <c r="AD89" s="692">
        <f t="shared" si="19"/>
        <v>96</v>
      </c>
      <c r="AE89" s="692">
        <f t="shared" si="20"/>
        <v>56</v>
      </c>
    </row>
    <row r="90" spans="1:31" x14ac:dyDescent="0.25">
      <c r="A90" s="655" t="s">
        <v>178</v>
      </c>
      <c r="B90" s="187" t="s">
        <v>179</v>
      </c>
      <c r="C90" s="665" t="s">
        <v>265</v>
      </c>
      <c r="D90" s="588">
        <v>977</v>
      </c>
      <c r="E90" s="589">
        <v>453</v>
      </c>
      <c r="F90" s="589">
        <v>494</v>
      </c>
      <c r="G90" s="589">
        <v>30</v>
      </c>
      <c r="H90" s="589"/>
      <c r="I90" s="589">
        <v>795</v>
      </c>
      <c r="J90" s="589">
        <v>143</v>
      </c>
      <c r="K90" s="589">
        <v>1</v>
      </c>
      <c r="L90" s="589">
        <v>1</v>
      </c>
      <c r="M90" s="589">
        <v>0</v>
      </c>
      <c r="N90" s="589">
        <v>63</v>
      </c>
      <c r="O90" s="589">
        <v>34</v>
      </c>
      <c r="P90" s="265"/>
      <c r="Q90" s="659">
        <f t="shared" si="15"/>
        <v>795</v>
      </c>
      <c r="R90" s="660">
        <f t="shared" si="16"/>
        <v>143</v>
      </c>
      <c r="S90" s="660">
        <f t="shared" si="17"/>
        <v>2</v>
      </c>
      <c r="U90" s="265">
        <v>49</v>
      </c>
      <c r="V90" s="265">
        <v>137</v>
      </c>
      <c r="W90" s="265">
        <v>194</v>
      </c>
      <c r="X90" s="265">
        <v>179</v>
      </c>
      <c r="Y90" s="265">
        <v>206</v>
      </c>
      <c r="Z90" s="265">
        <v>63</v>
      </c>
      <c r="AA90" s="265">
        <v>149</v>
      </c>
      <c r="AC90" s="692">
        <f t="shared" si="18"/>
        <v>186</v>
      </c>
      <c r="AD90" s="692">
        <f t="shared" si="19"/>
        <v>373</v>
      </c>
      <c r="AE90" s="692">
        <f t="shared" si="20"/>
        <v>269</v>
      </c>
    </row>
    <row r="91" spans="1:31" x14ac:dyDescent="0.25">
      <c r="A91" s="655" t="s">
        <v>180</v>
      </c>
      <c r="B91" s="187" t="s">
        <v>181</v>
      </c>
      <c r="C91" s="665" t="s">
        <v>264</v>
      </c>
      <c r="D91" s="588">
        <v>1722</v>
      </c>
      <c r="E91" s="589">
        <v>858</v>
      </c>
      <c r="F91" s="589">
        <v>827</v>
      </c>
      <c r="G91" s="589">
        <v>37</v>
      </c>
      <c r="H91" s="589"/>
      <c r="I91" s="589">
        <v>476</v>
      </c>
      <c r="J91" s="589">
        <v>1201</v>
      </c>
      <c r="K91" s="589">
        <v>15</v>
      </c>
      <c r="L91" s="589">
        <v>11</v>
      </c>
      <c r="M91" s="589">
        <v>8</v>
      </c>
      <c r="N91" s="589">
        <v>93</v>
      </c>
      <c r="O91" s="589">
        <v>57</v>
      </c>
      <c r="P91" s="265"/>
      <c r="Q91" s="659">
        <f t="shared" si="15"/>
        <v>476</v>
      </c>
      <c r="R91" s="660">
        <f t="shared" si="16"/>
        <v>1201</v>
      </c>
      <c r="S91" s="660">
        <f t="shared" si="17"/>
        <v>34</v>
      </c>
      <c r="U91" s="265">
        <v>130</v>
      </c>
      <c r="V91" s="265">
        <v>240</v>
      </c>
      <c r="W91" s="265">
        <v>392</v>
      </c>
      <c r="X91" s="265">
        <v>331</v>
      </c>
      <c r="Y91" s="265">
        <v>305</v>
      </c>
      <c r="Z91" s="265">
        <v>116</v>
      </c>
      <c r="AA91" s="265">
        <v>208</v>
      </c>
      <c r="AC91" s="692">
        <f t="shared" si="18"/>
        <v>370</v>
      </c>
      <c r="AD91" s="692">
        <f t="shared" si="19"/>
        <v>723</v>
      </c>
      <c r="AE91" s="692">
        <f t="shared" si="20"/>
        <v>421</v>
      </c>
    </row>
    <row r="92" spans="1:31" x14ac:dyDescent="0.25">
      <c r="A92" s="655" t="s">
        <v>182</v>
      </c>
      <c r="B92" s="187" t="s">
        <v>183</v>
      </c>
      <c r="C92" s="665" t="s">
        <v>266</v>
      </c>
      <c r="D92" s="588">
        <v>125</v>
      </c>
      <c r="E92" s="589">
        <v>60</v>
      </c>
      <c r="F92" s="589">
        <v>64</v>
      </c>
      <c r="G92" s="589">
        <v>1</v>
      </c>
      <c r="H92" s="589"/>
      <c r="I92" s="589">
        <v>84</v>
      </c>
      <c r="J92" s="589">
        <v>14</v>
      </c>
      <c r="K92" s="589">
        <v>0</v>
      </c>
      <c r="L92" s="589">
        <v>0</v>
      </c>
      <c r="M92" s="589">
        <v>0</v>
      </c>
      <c r="N92" s="589">
        <v>29</v>
      </c>
      <c r="O92" s="589">
        <v>1</v>
      </c>
      <c r="P92" s="265"/>
      <c r="Q92" s="659">
        <f t="shared" si="15"/>
        <v>84</v>
      </c>
      <c r="R92" s="660">
        <f t="shared" si="16"/>
        <v>14</v>
      </c>
      <c r="S92" s="660">
        <f t="shared" si="17"/>
        <v>0</v>
      </c>
      <c r="U92" s="265">
        <v>7</v>
      </c>
      <c r="V92" s="265">
        <v>12</v>
      </c>
      <c r="W92" s="265">
        <v>22</v>
      </c>
      <c r="X92" s="265">
        <v>21</v>
      </c>
      <c r="Y92" s="265">
        <v>22</v>
      </c>
      <c r="Z92" s="265">
        <v>6</v>
      </c>
      <c r="AA92" s="265">
        <v>35</v>
      </c>
      <c r="AC92" s="692">
        <f t="shared" si="18"/>
        <v>19</v>
      </c>
      <c r="AD92" s="692">
        <f t="shared" si="19"/>
        <v>43</v>
      </c>
      <c r="AE92" s="692">
        <f t="shared" si="20"/>
        <v>28</v>
      </c>
    </row>
    <row r="93" spans="1:31" x14ac:dyDescent="0.25">
      <c r="A93" s="655" t="s">
        <v>184</v>
      </c>
      <c r="B93" s="187" t="s">
        <v>185</v>
      </c>
      <c r="C93" s="665" t="s">
        <v>266</v>
      </c>
      <c r="D93" s="588">
        <v>224</v>
      </c>
      <c r="E93" s="589">
        <v>94</v>
      </c>
      <c r="F93" s="589">
        <v>124</v>
      </c>
      <c r="G93" s="589">
        <v>6</v>
      </c>
      <c r="H93" s="589"/>
      <c r="I93" s="589">
        <v>110</v>
      </c>
      <c r="J93" s="589">
        <v>73</v>
      </c>
      <c r="K93" s="589">
        <v>1</v>
      </c>
      <c r="L93" s="589">
        <v>0</v>
      </c>
      <c r="M93" s="589">
        <v>0</v>
      </c>
      <c r="N93" s="589">
        <v>57</v>
      </c>
      <c r="O93" s="589">
        <v>1</v>
      </c>
      <c r="P93" s="265"/>
      <c r="Q93" s="659">
        <f t="shared" si="15"/>
        <v>110</v>
      </c>
      <c r="R93" s="660">
        <f t="shared" si="16"/>
        <v>73</v>
      </c>
      <c r="S93" s="660">
        <f t="shared" si="17"/>
        <v>1</v>
      </c>
      <c r="U93" s="265">
        <v>16</v>
      </c>
      <c r="V93" s="265">
        <v>34</v>
      </c>
      <c r="W93" s="265">
        <v>45</v>
      </c>
      <c r="X93" s="265">
        <v>46</v>
      </c>
      <c r="Y93" s="265">
        <v>34</v>
      </c>
      <c r="Z93" s="265">
        <v>11</v>
      </c>
      <c r="AA93" s="265">
        <v>38</v>
      </c>
      <c r="AC93" s="692">
        <f t="shared" si="18"/>
        <v>50</v>
      </c>
      <c r="AD93" s="692">
        <f t="shared" si="19"/>
        <v>91</v>
      </c>
      <c r="AE93" s="692">
        <f t="shared" si="20"/>
        <v>45</v>
      </c>
    </row>
    <row r="94" spans="1:31" x14ac:dyDescent="0.25">
      <c r="A94" s="655" t="s">
        <v>186</v>
      </c>
      <c r="B94" s="187" t="s">
        <v>187</v>
      </c>
      <c r="C94" s="665" t="s">
        <v>264</v>
      </c>
      <c r="D94" s="588">
        <v>354</v>
      </c>
      <c r="E94" s="589">
        <v>185</v>
      </c>
      <c r="F94" s="589">
        <v>168</v>
      </c>
      <c r="G94" s="589">
        <v>1</v>
      </c>
      <c r="H94" s="589"/>
      <c r="I94" s="589">
        <v>207</v>
      </c>
      <c r="J94" s="589">
        <v>130</v>
      </c>
      <c r="K94" s="589">
        <v>5</v>
      </c>
      <c r="L94" s="589">
        <v>5</v>
      </c>
      <c r="M94" s="589">
        <v>1</v>
      </c>
      <c r="N94" s="589">
        <v>33</v>
      </c>
      <c r="O94" s="589">
        <v>41</v>
      </c>
      <c r="P94" s="265"/>
      <c r="Q94" s="659">
        <f t="shared" si="15"/>
        <v>207</v>
      </c>
      <c r="R94" s="660">
        <f t="shared" si="16"/>
        <v>130</v>
      </c>
      <c r="S94" s="660">
        <f t="shared" si="17"/>
        <v>11</v>
      </c>
      <c r="U94" s="265">
        <v>16</v>
      </c>
      <c r="V94" s="265">
        <v>58</v>
      </c>
      <c r="W94" s="265">
        <v>73</v>
      </c>
      <c r="X94" s="265">
        <v>71</v>
      </c>
      <c r="Y94" s="265">
        <v>64</v>
      </c>
      <c r="Z94" s="265">
        <v>33</v>
      </c>
      <c r="AA94" s="265">
        <v>39</v>
      </c>
      <c r="AC94" s="692">
        <f t="shared" si="18"/>
        <v>74</v>
      </c>
      <c r="AD94" s="692">
        <f t="shared" si="19"/>
        <v>144</v>
      </c>
      <c r="AE94" s="692">
        <f t="shared" si="20"/>
        <v>97</v>
      </c>
    </row>
    <row r="95" spans="1:31" x14ac:dyDescent="0.25">
      <c r="A95" s="655" t="s">
        <v>188</v>
      </c>
      <c r="B95" s="187" t="s">
        <v>189</v>
      </c>
      <c r="C95" s="665" t="s">
        <v>267</v>
      </c>
      <c r="D95" s="588">
        <v>5797</v>
      </c>
      <c r="E95" s="589">
        <v>2842</v>
      </c>
      <c r="F95" s="589">
        <v>2845</v>
      </c>
      <c r="G95" s="589">
        <v>110</v>
      </c>
      <c r="H95" s="589"/>
      <c r="I95" s="589">
        <v>3388</v>
      </c>
      <c r="J95" s="589">
        <v>2211</v>
      </c>
      <c r="K95" s="589">
        <v>157</v>
      </c>
      <c r="L95" s="589">
        <v>33</v>
      </c>
      <c r="M95" s="589">
        <v>11</v>
      </c>
      <c r="N95" s="589">
        <v>402</v>
      </c>
      <c r="O95" s="589">
        <v>1697</v>
      </c>
      <c r="P95" s="265"/>
      <c r="Q95" s="659">
        <f t="shared" si="15"/>
        <v>3388</v>
      </c>
      <c r="R95" s="660">
        <f t="shared" si="16"/>
        <v>2211</v>
      </c>
      <c r="S95" s="660">
        <f t="shared" si="17"/>
        <v>201</v>
      </c>
      <c r="U95" s="265">
        <v>285</v>
      </c>
      <c r="V95" s="265">
        <v>606</v>
      </c>
      <c r="W95" s="265">
        <v>1241</v>
      </c>
      <c r="X95" s="265">
        <v>1404</v>
      </c>
      <c r="Y95" s="265">
        <v>1100</v>
      </c>
      <c r="Z95" s="265">
        <v>558</v>
      </c>
      <c r="AA95" s="265">
        <v>603</v>
      </c>
      <c r="AC95" s="692">
        <f t="shared" si="18"/>
        <v>891</v>
      </c>
      <c r="AD95" s="692">
        <f t="shared" si="19"/>
        <v>2645</v>
      </c>
      <c r="AE95" s="692">
        <f t="shared" si="20"/>
        <v>1658</v>
      </c>
    </row>
    <row r="96" spans="1:31" x14ac:dyDescent="0.25">
      <c r="A96" s="655" t="s">
        <v>190</v>
      </c>
      <c r="B96" s="187" t="s">
        <v>191</v>
      </c>
      <c r="C96" s="665" t="s">
        <v>268</v>
      </c>
      <c r="D96" s="588">
        <v>1240</v>
      </c>
      <c r="E96" s="589">
        <v>632</v>
      </c>
      <c r="F96" s="589">
        <v>592</v>
      </c>
      <c r="G96" s="589">
        <v>16</v>
      </c>
      <c r="H96" s="589"/>
      <c r="I96" s="589">
        <v>1093</v>
      </c>
      <c r="J96" s="589">
        <v>185</v>
      </c>
      <c r="K96" s="589">
        <v>1</v>
      </c>
      <c r="L96" s="589">
        <v>6</v>
      </c>
      <c r="M96" s="589">
        <v>1</v>
      </c>
      <c r="N96" s="589">
        <v>40</v>
      </c>
      <c r="O96" s="589">
        <v>65</v>
      </c>
      <c r="P96" s="265"/>
      <c r="Q96" s="659">
        <f t="shared" si="15"/>
        <v>1093</v>
      </c>
      <c r="R96" s="660">
        <f t="shared" si="16"/>
        <v>185</v>
      </c>
      <c r="S96" s="660">
        <f t="shared" si="17"/>
        <v>8</v>
      </c>
      <c r="U96" s="265">
        <v>117</v>
      </c>
      <c r="V96" s="265">
        <v>253</v>
      </c>
      <c r="W96" s="265">
        <v>261</v>
      </c>
      <c r="X96" s="265">
        <v>287</v>
      </c>
      <c r="Y96" s="265">
        <v>169</v>
      </c>
      <c r="Z96" s="265">
        <v>100</v>
      </c>
      <c r="AA96" s="265">
        <v>53</v>
      </c>
      <c r="AC96" s="692">
        <f t="shared" si="18"/>
        <v>370</v>
      </c>
      <c r="AD96" s="692">
        <f t="shared" si="19"/>
        <v>548</v>
      </c>
      <c r="AE96" s="692">
        <f t="shared" si="20"/>
        <v>269</v>
      </c>
    </row>
    <row r="97" spans="1:31" x14ac:dyDescent="0.25">
      <c r="A97" s="655" t="s">
        <v>192</v>
      </c>
      <c r="B97" s="187" t="s">
        <v>193</v>
      </c>
      <c r="C97" s="665" t="s">
        <v>268</v>
      </c>
      <c r="D97" s="588">
        <v>165</v>
      </c>
      <c r="E97" s="589">
        <v>79</v>
      </c>
      <c r="F97" s="589">
        <v>86</v>
      </c>
      <c r="G97" s="589">
        <v>0</v>
      </c>
      <c r="H97" s="589"/>
      <c r="I97" s="589">
        <v>143</v>
      </c>
      <c r="J97" s="589">
        <v>23</v>
      </c>
      <c r="K97" s="589">
        <v>2</v>
      </c>
      <c r="L97" s="589">
        <v>2</v>
      </c>
      <c r="M97" s="589">
        <v>0</v>
      </c>
      <c r="N97" s="589">
        <v>8</v>
      </c>
      <c r="O97" s="589">
        <v>11</v>
      </c>
      <c r="P97" s="265"/>
      <c r="Q97" s="659">
        <f t="shared" si="15"/>
        <v>143</v>
      </c>
      <c r="R97" s="660">
        <f t="shared" si="16"/>
        <v>23</v>
      </c>
      <c r="S97" s="660">
        <f t="shared" si="17"/>
        <v>4</v>
      </c>
      <c r="U97" s="265">
        <v>20</v>
      </c>
      <c r="V97" s="265">
        <v>25</v>
      </c>
      <c r="W97" s="265">
        <v>43</v>
      </c>
      <c r="X97" s="265">
        <v>28</v>
      </c>
      <c r="Y97" s="265">
        <v>20</v>
      </c>
      <c r="Z97" s="265">
        <v>14</v>
      </c>
      <c r="AA97" s="265">
        <v>15</v>
      </c>
      <c r="AC97" s="692">
        <f t="shared" si="18"/>
        <v>45</v>
      </c>
      <c r="AD97" s="692">
        <f t="shared" si="19"/>
        <v>71</v>
      </c>
      <c r="AE97" s="692">
        <f t="shared" si="20"/>
        <v>34</v>
      </c>
    </row>
    <row r="98" spans="1:31" x14ac:dyDescent="0.25">
      <c r="A98" s="655" t="s">
        <v>194</v>
      </c>
      <c r="B98" s="187" t="s">
        <v>195</v>
      </c>
      <c r="C98" s="665" t="s">
        <v>267</v>
      </c>
      <c r="D98" s="588">
        <v>75</v>
      </c>
      <c r="E98" s="589">
        <v>36</v>
      </c>
      <c r="F98" s="589">
        <v>39</v>
      </c>
      <c r="G98" s="589">
        <v>0</v>
      </c>
      <c r="H98" s="589"/>
      <c r="I98" s="589">
        <v>75</v>
      </c>
      <c r="J98" s="589">
        <v>4</v>
      </c>
      <c r="K98" s="589">
        <v>0</v>
      </c>
      <c r="L98" s="589">
        <v>0</v>
      </c>
      <c r="M98" s="589">
        <v>0</v>
      </c>
      <c r="N98" s="589">
        <v>0</v>
      </c>
      <c r="O98" s="589">
        <v>0</v>
      </c>
      <c r="P98" s="265"/>
      <c r="Q98" s="659">
        <f t="shared" si="15"/>
        <v>75</v>
      </c>
      <c r="R98" s="660">
        <f t="shared" si="16"/>
        <v>4</v>
      </c>
      <c r="S98" s="660">
        <f t="shared" si="17"/>
        <v>0</v>
      </c>
      <c r="U98" s="265">
        <v>8</v>
      </c>
      <c r="V98" s="265">
        <v>8</v>
      </c>
      <c r="W98" s="265">
        <v>8</v>
      </c>
      <c r="X98" s="265">
        <v>14</v>
      </c>
      <c r="Y98" s="265">
        <v>22</v>
      </c>
      <c r="Z98" s="265">
        <v>7</v>
      </c>
      <c r="AA98" s="265">
        <v>8</v>
      </c>
      <c r="AC98" s="692">
        <f t="shared" si="18"/>
        <v>16</v>
      </c>
      <c r="AD98" s="692">
        <f t="shared" si="19"/>
        <v>22</v>
      </c>
      <c r="AE98" s="692">
        <f t="shared" si="20"/>
        <v>29</v>
      </c>
    </row>
    <row r="99" spans="1:31" x14ac:dyDescent="0.25">
      <c r="A99" s="655" t="s">
        <v>196</v>
      </c>
      <c r="B99" s="187" t="s">
        <v>197</v>
      </c>
      <c r="C99" s="665" t="s">
        <v>266</v>
      </c>
      <c r="D99" s="588">
        <v>2862</v>
      </c>
      <c r="E99" s="589">
        <v>1343</v>
      </c>
      <c r="F99" s="589">
        <v>1469</v>
      </c>
      <c r="G99" s="589">
        <v>50</v>
      </c>
      <c r="H99" s="589"/>
      <c r="I99" s="589">
        <v>428</v>
      </c>
      <c r="J99" s="589">
        <v>2383</v>
      </c>
      <c r="K99" s="589">
        <v>11</v>
      </c>
      <c r="L99" s="589">
        <v>8</v>
      </c>
      <c r="M99" s="589">
        <v>3</v>
      </c>
      <c r="N99" s="589">
        <v>140</v>
      </c>
      <c r="O99" s="589">
        <v>259</v>
      </c>
      <c r="P99" s="265"/>
      <c r="Q99" s="659">
        <f t="shared" si="15"/>
        <v>428</v>
      </c>
      <c r="R99" s="660">
        <f t="shared" si="16"/>
        <v>2383</v>
      </c>
      <c r="S99" s="660">
        <f t="shared" si="17"/>
        <v>22</v>
      </c>
      <c r="U99" s="265">
        <v>305</v>
      </c>
      <c r="V99" s="265">
        <v>392</v>
      </c>
      <c r="W99" s="265">
        <v>668</v>
      </c>
      <c r="X99" s="265">
        <v>507</v>
      </c>
      <c r="Y99" s="265">
        <v>429</v>
      </c>
      <c r="Z99" s="265">
        <v>210</v>
      </c>
      <c r="AA99" s="265">
        <v>351</v>
      </c>
      <c r="AC99" s="692">
        <f t="shared" si="18"/>
        <v>697</v>
      </c>
      <c r="AD99" s="692">
        <f t="shared" si="19"/>
        <v>1175</v>
      </c>
      <c r="AE99" s="692">
        <f t="shared" si="20"/>
        <v>639</v>
      </c>
    </row>
    <row r="100" spans="1:31" x14ac:dyDescent="0.25">
      <c r="A100" s="655" t="s">
        <v>198</v>
      </c>
      <c r="B100" s="187" t="s">
        <v>272</v>
      </c>
      <c r="C100" s="665" t="s">
        <v>266</v>
      </c>
      <c r="D100" s="588">
        <v>49</v>
      </c>
      <c r="E100" s="589">
        <v>26</v>
      </c>
      <c r="F100" s="589">
        <v>23</v>
      </c>
      <c r="G100" s="589">
        <v>0</v>
      </c>
      <c r="H100" s="589"/>
      <c r="I100" s="589">
        <v>26</v>
      </c>
      <c r="J100" s="589">
        <v>16</v>
      </c>
      <c r="K100" s="589">
        <v>0</v>
      </c>
      <c r="L100" s="589">
        <v>0</v>
      </c>
      <c r="M100" s="589">
        <v>0</v>
      </c>
      <c r="N100" s="589">
        <v>9</v>
      </c>
      <c r="O100" s="589">
        <v>5</v>
      </c>
      <c r="P100" s="265"/>
      <c r="Q100" s="659">
        <f t="shared" si="15"/>
        <v>26</v>
      </c>
      <c r="R100" s="660">
        <f t="shared" si="16"/>
        <v>16</v>
      </c>
      <c r="S100" s="660">
        <f t="shared" si="17"/>
        <v>0</v>
      </c>
      <c r="U100" s="265">
        <v>2</v>
      </c>
      <c r="V100" s="265">
        <v>9</v>
      </c>
      <c r="W100" s="265">
        <v>11</v>
      </c>
      <c r="X100" s="265">
        <v>8</v>
      </c>
      <c r="Y100" s="265">
        <v>6</v>
      </c>
      <c r="Z100" s="265">
        <v>4</v>
      </c>
      <c r="AA100" s="265">
        <v>9</v>
      </c>
      <c r="AC100" s="692">
        <f t="shared" si="18"/>
        <v>11</v>
      </c>
      <c r="AD100" s="692">
        <f t="shared" si="19"/>
        <v>19</v>
      </c>
      <c r="AE100" s="692">
        <f t="shared" si="20"/>
        <v>10</v>
      </c>
    </row>
    <row r="101" spans="1:31" x14ac:dyDescent="0.25">
      <c r="A101" s="655" t="s">
        <v>200</v>
      </c>
      <c r="B101" s="187" t="s">
        <v>201</v>
      </c>
      <c r="C101" s="665" t="s">
        <v>265</v>
      </c>
      <c r="D101" s="588">
        <v>3331</v>
      </c>
      <c r="E101" s="589">
        <v>1617</v>
      </c>
      <c r="F101" s="589">
        <v>1641</v>
      </c>
      <c r="G101" s="589">
        <v>73</v>
      </c>
      <c r="H101" s="589"/>
      <c r="I101" s="589">
        <v>1622</v>
      </c>
      <c r="J101" s="589">
        <v>1282</v>
      </c>
      <c r="K101" s="589">
        <v>11</v>
      </c>
      <c r="L101" s="589">
        <v>8</v>
      </c>
      <c r="M101" s="589">
        <v>4</v>
      </c>
      <c r="N101" s="589">
        <v>591</v>
      </c>
      <c r="O101" s="589">
        <v>173</v>
      </c>
      <c r="P101" s="265"/>
      <c r="Q101" s="659">
        <f t="shared" ref="Q101:Q124" si="21">I101</f>
        <v>1622</v>
      </c>
      <c r="R101" s="660">
        <f t="shared" ref="R101:R124" si="22">J101</f>
        <v>1282</v>
      </c>
      <c r="S101" s="660">
        <f t="shared" ref="S101:S124" si="23">SUM(K101:M101)</f>
        <v>23</v>
      </c>
      <c r="U101" s="265">
        <v>316</v>
      </c>
      <c r="V101" s="265">
        <v>447</v>
      </c>
      <c r="W101" s="265">
        <v>750</v>
      </c>
      <c r="X101" s="265">
        <v>698</v>
      </c>
      <c r="Y101" s="265">
        <v>476</v>
      </c>
      <c r="Z101" s="265">
        <v>201</v>
      </c>
      <c r="AA101" s="265">
        <v>443</v>
      </c>
      <c r="AC101" s="692">
        <f t="shared" ref="AC101:AC124" si="24">U101+V101</f>
        <v>763</v>
      </c>
      <c r="AD101" s="692">
        <f t="shared" ref="AD101:AD124" si="25">W101+X101</f>
        <v>1448</v>
      </c>
      <c r="AE101" s="692">
        <f t="shared" ref="AE101:AE124" si="26">Y101+Z101</f>
        <v>677</v>
      </c>
    </row>
    <row r="102" spans="1:31" x14ac:dyDescent="0.25">
      <c r="A102" s="655" t="s">
        <v>202</v>
      </c>
      <c r="B102" s="187" t="s">
        <v>301</v>
      </c>
      <c r="C102" s="665" t="s">
        <v>265</v>
      </c>
      <c r="D102" s="588">
        <v>2134</v>
      </c>
      <c r="E102" s="589">
        <v>1037</v>
      </c>
      <c r="F102" s="589">
        <v>1043</v>
      </c>
      <c r="G102" s="589">
        <v>54</v>
      </c>
      <c r="H102" s="589"/>
      <c r="I102" s="589">
        <v>1762</v>
      </c>
      <c r="J102" s="589">
        <v>290</v>
      </c>
      <c r="K102" s="589">
        <v>14</v>
      </c>
      <c r="L102" s="589">
        <v>5</v>
      </c>
      <c r="M102" s="589">
        <v>2</v>
      </c>
      <c r="N102" s="589">
        <v>181</v>
      </c>
      <c r="O102" s="589">
        <v>101</v>
      </c>
      <c r="P102" s="265"/>
      <c r="Q102" s="659">
        <f t="shared" si="21"/>
        <v>1762</v>
      </c>
      <c r="R102" s="660">
        <f t="shared" si="22"/>
        <v>290</v>
      </c>
      <c r="S102" s="660">
        <f t="shared" si="23"/>
        <v>21</v>
      </c>
      <c r="U102" s="265">
        <v>115</v>
      </c>
      <c r="V102" s="265">
        <v>264</v>
      </c>
      <c r="W102" s="265">
        <v>468</v>
      </c>
      <c r="X102" s="265">
        <v>427</v>
      </c>
      <c r="Y102" s="265">
        <v>400</v>
      </c>
      <c r="Z102" s="265">
        <v>156</v>
      </c>
      <c r="AA102" s="265">
        <v>304</v>
      </c>
      <c r="AC102" s="692">
        <f t="shared" si="24"/>
        <v>379</v>
      </c>
      <c r="AD102" s="692">
        <f t="shared" si="25"/>
        <v>895</v>
      </c>
      <c r="AE102" s="692">
        <f t="shared" si="26"/>
        <v>556</v>
      </c>
    </row>
    <row r="103" spans="1:31" x14ac:dyDescent="0.25">
      <c r="A103" s="655" t="s">
        <v>204</v>
      </c>
      <c r="B103" s="187" t="s">
        <v>293</v>
      </c>
      <c r="C103" s="665" t="s">
        <v>265</v>
      </c>
      <c r="D103" s="588">
        <v>788</v>
      </c>
      <c r="E103" s="589">
        <v>383</v>
      </c>
      <c r="F103" s="589">
        <v>389</v>
      </c>
      <c r="G103" s="589">
        <v>16</v>
      </c>
      <c r="H103" s="589"/>
      <c r="I103" s="589">
        <v>728</v>
      </c>
      <c r="J103" s="589">
        <v>52</v>
      </c>
      <c r="K103" s="589">
        <v>2</v>
      </c>
      <c r="L103" s="589">
        <v>9</v>
      </c>
      <c r="M103" s="589">
        <v>0</v>
      </c>
      <c r="N103" s="589">
        <v>35</v>
      </c>
      <c r="O103" s="589">
        <v>9</v>
      </c>
      <c r="P103" s="265"/>
      <c r="Q103" s="659">
        <f t="shared" si="21"/>
        <v>728</v>
      </c>
      <c r="R103" s="660">
        <f t="shared" si="22"/>
        <v>52</v>
      </c>
      <c r="S103" s="660">
        <f t="shared" si="23"/>
        <v>11</v>
      </c>
      <c r="U103" s="265">
        <v>59</v>
      </c>
      <c r="V103" s="265">
        <v>129</v>
      </c>
      <c r="W103" s="265">
        <v>176</v>
      </c>
      <c r="X103" s="265">
        <v>173</v>
      </c>
      <c r="Y103" s="265">
        <v>116</v>
      </c>
      <c r="Z103" s="265">
        <v>30</v>
      </c>
      <c r="AA103" s="265">
        <v>105</v>
      </c>
      <c r="AC103" s="692">
        <f t="shared" si="24"/>
        <v>188</v>
      </c>
      <c r="AD103" s="692">
        <f t="shared" si="25"/>
        <v>349</v>
      </c>
      <c r="AE103" s="692">
        <f t="shared" si="26"/>
        <v>146</v>
      </c>
    </row>
    <row r="104" spans="1:31" x14ac:dyDescent="0.25">
      <c r="A104" s="655" t="s">
        <v>206</v>
      </c>
      <c r="B104" s="187" t="s">
        <v>294</v>
      </c>
      <c r="C104" s="665" t="s">
        <v>267</v>
      </c>
      <c r="D104" s="588">
        <v>2868</v>
      </c>
      <c r="E104" s="589">
        <v>1452</v>
      </c>
      <c r="F104" s="589">
        <v>1372</v>
      </c>
      <c r="G104" s="589">
        <v>44</v>
      </c>
      <c r="H104" s="589"/>
      <c r="I104" s="589">
        <v>2613</v>
      </c>
      <c r="J104" s="589">
        <v>227</v>
      </c>
      <c r="K104" s="589">
        <v>15</v>
      </c>
      <c r="L104" s="589">
        <v>6</v>
      </c>
      <c r="M104" s="589">
        <v>0</v>
      </c>
      <c r="N104" s="589">
        <v>115</v>
      </c>
      <c r="O104" s="589">
        <v>410</v>
      </c>
      <c r="P104" s="265"/>
      <c r="Q104" s="659">
        <f t="shared" si="21"/>
        <v>2613</v>
      </c>
      <c r="R104" s="660">
        <f t="shared" si="22"/>
        <v>227</v>
      </c>
      <c r="S104" s="660">
        <f t="shared" si="23"/>
        <v>21</v>
      </c>
      <c r="U104" s="265">
        <v>180</v>
      </c>
      <c r="V104" s="265">
        <v>382</v>
      </c>
      <c r="W104" s="265">
        <v>672</v>
      </c>
      <c r="X104" s="265">
        <v>654</v>
      </c>
      <c r="Y104" s="265">
        <v>520</v>
      </c>
      <c r="Z104" s="265">
        <v>181</v>
      </c>
      <c r="AA104" s="265">
        <v>279</v>
      </c>
      <c r="AC104" s="692">
        <f t="shared" si="24"/>
        <v>562</v>
      </c>
      <c r="AD104" s="692">
        <f t="shared" si="25"/>
        <v>1326</v>
      </c>
      <c r="AE104" s="692">
        <f t="shared" si="26"/>
        <v>701</v>
      </c>
    </row>
    <row r="105" spans="1:31" x14ac:dyDescent="0.25">
      <c r="A105" s="655" t="s">
        <v>208</v>
      </c>
      <c r="B105" s="187" t="s">
        <v>209</v>
      </c>
      <c r="C105" s="665" t="s">
        <v>268</v>
      </c>
      <c r="D105" s="588">
        <v>831</v>
      </c>
      <c r="E105" s="589">
        <v>364</v>
      </c>
      <c r="F105" s="589">
        <v>440</v>
      </c>
      <c r="G105" s="589">
        <v>27</v>
      </c>
      <c r="H105" s="589"/>
      <c r="I105" s="589">
        <v>821</v>
      </c>
      <c r="J105" s="589">
        <v>5</v>
      </c>
      <c r="K105" s="589">
        <v>0</v>
      </c>
      <c r="L105" s="589">
        <v>1</v>
      </c>
      <c r="M105" s="589">
        <v>0</v>
      </c>
      <c r="N105" s="589">
        <v>9</v>
      </c>
      <c r="O105" s="589">
        <v>20</v>
      </c>
      <c r="P105" s="265"/>
      <c r="Q105" s="659">
        <f t="shared" si="21"/>
        <v>821</v>
      </c>
      <c r="R105" s="660">
        <f t="shared" si="22"/>
        <v>5</v>
      </c>
      <c r="S105" s="660">
        <f t="shared" si="23"/>
        <v>1</v>
      </c>
      <c r="U105" s="265">
        <v>44</v>
      </c>
      <c r="V105" s="265">
        <v>143</v>
      </c>
      <c r="W105" s="265">
        <v>180</v>
      </c>
      <c r="X105" s="265">
        <v>170</v>
      </c>
      <c r="Y105" s="265">
        <v>158</v>
      </c>
      <c r="Z105" s="265">
        <v>49</v>
      </c>
      <c r="AA105" s="265">
        <v>87</v>
      </c>
      <c r="AC105" s="692">
        <f t="shared" si="24"/>
        <v>187</v>
      </c>
      <c r="AD105" s="692">
        <f t="shared" si="25"/>
        <v>350</v>
      </c>
      <c r="AE105" s="692">
        <f t="shared" si="26"/>
        <v>207</v>
      </c>
    </row>
    <row r="106" spans="1:31" x14ac:dyDescent="0.25">
      <c r="A106" s="655" t="s">
        <v>210</v>
      </c>
      <c r="B106" s="187" t="s">
        <v>211</v>
      </c>
      <c r="C106" s="665" t="s">
        <v>268</v>
      </c>
      <c r="D106" s="588">
        <v>741</v>
      </c>
      <c r="E106" s="589">
        <v>377</v>
      </c>
      <c r="F106" s="589">
        <v>360</v>
      </c>
      <c r="G106" s="589">
        <v>4</v>
      </c>
      <c r="H106" s="589"/>
      <c r="I106" s="589">
        <v>734</v>
      </c>
      <c r="J106" s="589">
        <v>22</v>
      </c>
      <c r="K106" s="589">
        <v>0</v>
      </c>
      <c r="L106" s="589">
        <v>0</v>
      </c>
      <c r="M106" s="589">
        <v>2</v>
      </c>
      <c r="N106" s="589">
        <v>20</v>
      </c>
      <c r="O106" s="589">
        <v>8</v>
      </c>
      <c r="P106" s="265"/>
      <c r="Q106" s="659">
        <f t="shared" si="21"/>
        <v>734</v>
      </c>
      <c r="R106" s="660">
        <f t="shared" si="22"/>
        <v>22</v>
      </c>
      <c r="S106" s="660">
        <f t="shared" si="23"/>
        <v>2</v>
      </c>
      <c r="U106" s="265">
        <v>50</v>
      </c>
      <c r="V106" s="265">
        <v>124</v>
      </c>
      <c r="W106" s="265">
        <v>183</v>
      </c>
      <c r="X106" s="265">
        <v>180</v>
      </c>
      <c r="Y106" s="265">
        <v>121</v>
      </c>
      <c r="Z106" s="265">
        <v>42</v>
      </c>
      <c r="AA106" s="265">
        <v>41</v>
      </c>
      <c r="AC106" s="692">
        <f t="shared" si="24"/>
        <v>174</v>
      </c>
      <c r="AD106" s="692">
        <f t="shared" si="25"/>
        <v>363</v>
      </c>
      <c r="AE106" s="692">
        <f t="shared" si="26"/>
        <v>163</v>
      </c>
    </row>
    <row r="107" spans="1:31" x14ac:dyDescent="0.25">
      <c r="A107" s="655" t="s">
        <v>212</v>
      </c>
      <c r="B107" s="187" t="s">
        <v>213</v>
      </c>
      <c r="C107" s="665" t="s">
        <v>267</v>
      </c>
      <c r="D107" s="588">
        <v>1058</v>
      </c>
      <c r="E107" s="589">
        <v>515</v>
      </c>
      <c r="F107" s="589">
        <v>529</v>
      </c>
      <c r="G107" s="589">
        <v>14</v>
      </c>
      <c r="H107" s="589"/>
      <c r="I107" s="589">
        <v>961</v>
      </c>
      <c r="J107" s="589">
        <v>57</v>
      </c>
      <c r="K107" s="589">
        <v>1</v>
      </c>
      <c r="L107" s="589">
        <v>2</v>
      </c>
      <c r="M107" s="589">
        <v>0</v>
      </c>
      <c r="N107" s="589">
        <v>79</v>
      </c>
      <c r="O107" s="589">
        <v>141</v>
      </c>
      <c r="P107" s="265"/>
      <c r="Q107" s="659">
        <f t="shared" si="21"/>
        <v>961</v>
      </c>
      <c r="R107" s="660">
        <f t="shared" si="22"/>
        <v>57</v>
      </c>
      <c r="S107" s="660">
        <f t="shared" si="23"/>
        <v>3</v>
      </c>
      <c r="U107" s="265">
        <v>76</v>
      </c>
      <c r="V107" s="265">
        <v>122</v>
      </c>
      <c r="W107" s="265">
        <v>223</v>
      </c>
      <c r="X107" s="265">
        <v>278</v>
      </c>
      <c r="Y107" s="265">
        <v>223</v>
      </c>
      <c r="Z107" s="265">
        <v>60</v>
      </c>
      <c r="AA107" s="265">
        <v>76</v>
      </c>
      <c r="AC107" s="692">
        <f t="shared" si="24"/>
        <v>198</v>
      </c>
      <c r="AD107" s="692">
        <f t="shared" si="25"/>
        <v>501</v>
      </c>
      <c r="AE107" s="692">
        <f t="shared" si="26"/>
        <v>283</v>
      </c>
    </row>
    <row r="108" spans="1:31" x14ac:dyDescent="0.25">
      <c r="A108" s="655" t="s">
        <v>214</v>
      </c>
      <c r="B108" s="187" t="s">
        <v>215</v>
      </c>
      <c r="C108" s="665" t="s">
        <v>268</v>
      </c>
      <c r="D108" s="588">
        <v>1044</v>
      </c>
      <c r="E108" s="589">
        <v>507</v>
      </c>
      <c r="F108" s="589">
        <v>533</v>
      </c>
      <c r="G108" s="589">
        <v>4</v>
      </c>
      <c r="H108" s="589"/>
      <c r="I108" s="589">
        <v>998</v>
      </c>
      <c r="J108" s="589">
        <v>36</v>
      </c>
      <c r="K108" s="589">
        <v>4</v>
      </c>
      <c r="L108" s="589">
        <v>5</v>
      </c>
      <c r="M108" s="589">
        <v>0</v>
      </c>
      <c r="N108" s="589">
        <v>31</v>
      </c>
      <c r="O108" s="589">
        <v>42</v>
      </c>
      <c r="P108" s="265"/>
      <c r="Q108" s="659">
        <f t="shared" si="21"/>
        <v>998</v>
      </c>
      <c r="R108" s="660">
        <f t="shared" si="22"/>
        <v>36</v>
      </c>
      <c r="S108" s="660">
        <f t="shared" si="23"/>
        <v>9</v>
      </c>
      <c r="U108" s="265">
        <v>91</v>
      </c>
      <c r="V108" s="265">
        <v>176</v>
      </c>
      <c r="W108" s="265">
        <v>239</v>
      </c>
      <c r="X108" s="265">
        <v>212</v>
      </c>
      <c r="Y108" s="265">
        <v>193</v>
      </c>
      <c r="Z108" s="265">
        <v>72</v>
      </c>
      <c r="AA108" s="265">
        <v>61</v>
      </c>
      <c r="AC108" s="692">
        <f t="shared" si="24"/>
        <v>267</v>
      </c>
      <c r="AD108" s="692">
        <f t="shared" si="25"/>
        <v>451</v>
      </c>
      <c r="AE108" s="692">
        <f t="shared" si="26"/>
        <v>265</v>
      </c>
    </row>
    <row r="109" spans="1:31" x14ac:dyDescent="0.25">
      <c r="A109" s="655" t="s">
        <v>216</v>
      </c>
      <c r="B109" s="187" t="s">
        <v>217</v>
      </c>
      <c r="C109" s="665" t="s">
        <v>264</v>
      </c>
      <c r="D109" s="588">
        <v>116</v>
      </c>
      <c r="E109" s="589">
        <v>56</v>
      </c>
      <c r="F109" s="589">
        <v>56</v>
      </c>
      <c r="G109" s="589">
        <v>4</v>
      </c>
      <c r="H109" s="589"/>
      <c r="I109" s="589">
        <v>58</v>
      </c>
      <c r="J109" s="589">
        <v>53</v>
      </c>
      <c r="K109" s="589">
        <v>0</v>
      </c>
      <c r="L109" s="589">
        <v>0</v>
      </c>
      <c r="M109" s="589">
        <v>0</v>
      </c>
      <c r="N109" s="589">
        <v>8</v>
      </c>
      <c r="O109" s="589">
        <v>0</v>
      </c>
      <c r="P109" s="265"/>
      <c r="Q109" s="659">
        <f t="shared" si="21"/>
        <v>58</v>
      </c>
      <c r="R109" s="660">
        <f t="shared" si="22"/>
        <v>53</v>
      </c>
      <c r="S109" s="660">
        <f t="shared" si="23"/>
        <v>0</v>
      </c>
      <c r="U109" s="265">
        <v>8</v>
      </c>
      <c r="V109" s="265">
        <v>13</v>
      </c>
      <c r="W109" s="265">
        <v>23</v>
      </c>
      <c r="X109" s="265">
        <v>16</v>
      </c>
      <c r="Y109" s="265">
        <v>24</v>
      </c>
      <c r="Z109" s="265">
        <v>7</v>
      </c>
      <c r="AA109" s="265">
        <v>25</v>
      </c>
      <c r="AC109" s="692">
        <f t="shared" si="24"/>
        <v>21</v>
      </c>
      <c r="AD109" s="692">
        <f t="shared" si="25"/>
        <v>39</v>
      </c>
      <c r="AE109" s="692">
        <f t="shared" si="26"/>
        <v>31</v>
      </c>
    </row>
    <row r="110" spans="1:31" x14ac:dyDescent="0.25">
      <c r="A110" s="655" t="s">
        <v>218</v>
      </c>
      <c r="B110" s="187" t="s">
        <v>219</v>
      </c>
      <c r="C110" s="665" t="s">
        <v>267</v>
      </c>
      <c r="D110" s="588">
        <v>1553</v>
      </c>
      <c r="E110" s="589">
        <v>741</v>
      </c>
      <c r="F110" s="589">
        <v>801</v>
      </c>
      <c r="G110" s="589">
        <v>11</v>
      </c>
      <c r="H110" s="589"/>
      <c r="I110" s="589">
        <v>1133</v>
      </c>
      <c r="J110" s="589">
        <v>380</v>
      </c>
      <c r="K110" s="589">
        <v>10</v>
      </c>
      <c r="L110" s="589">
        <v>5</v>
      </c>
      <c r="M110" s="589">
        <v>2</v>
      </c>
      <c r="N110" s="589">
        <v>139</v>
      </c>
      <c r="O110" s="589">
        <v>126</v>
      </c>
      <c r="P110" s="265"/>
      <c r="Q110" s="659">
        <f t="shared" si="21"/>
        <v>1133</v>
      </c>
      <c r="R110" s="660">
        <f t="shared" si="22"/>
        <v>380</v>
      </c>
      <c r="S110" s="660">
        <f t="shared" si="23"/>
        <v>17</v>
      </c>
      <c r="U110" s="265">
        <v>126</v>
      </c>
      <c r="V110" s="265">
        <v>209</v>
      </c>
      <c r="W110" s="265">
        <v>302</v>
      </c>
      <c r="X110" s="265">
        <v>362</v>
      </c>
      <c r="Y110" s="265">
        <v>293</v>
      </c>
      <c r="Z110" s="265">
        <v>132</v>
      </c>
      <c r="AA110" s="265">
        <v>129</v>
      </c>
      <c r="AC110" s="692">
        <f t="shared" si="24"/>
        <v>335</v>
      </c>
      <c r="AD110" s="692">
        <f t="shared" si="25"/>
        <v>664</v>
      </c>
      <c r="AE110" s="692">
        <f t="shared" si="26"/>
        <v>425</v>
      </c>
    </row>
    <row r="111" spans="1:31" x14ac:dyDescent="0.25">
      <c r="A111" s="655" t="s">
        <v>220</v>
      </c>
      <c r="B111" s="187" t="s">
        <v>221</v>
      </c>
      <c r="C111" s="665" t="s">
        <v>267</v>
      </c>
      <c r="D111" s="588">
        <v>1751</v>
      </c>
      <c r="E111" s="589">
        <v>879</v>
      </c>
      <c r="F111" s="589">
        <v>834</v>
      </c>
      <c r="G111" s="589">
        <v>38</v>
      </c>
      <c r="H111" s="589"/>
      <c r="I111" s="589">
        <v>1086</v>
      </c>
      <c r="J111" s="589">
        <v>593</v>
      </c>
      <c r="K111" s="589">
        <v>15</v>
      </c>
      <c r="L111" s="589">
        <v>5</v>
      </c>
      <c r="M111" s="589">
        <v>1</v>
      </c>
      <c r="N111" s="589">
        <v>213</v>
      </c>
      <c r="O111" s="589">
        <v>187</v>
      </c>
      <c r="P111" s="265"/>
      <c r="Q111" s="659">
        <f t="shared" si="21"/>
        <v>1086</v>
      </c>
      <c r="R111" s="660">
        <f t="shared" si="22"/>
        <v>593</v>
      </c>
      <c r="S111" s="660">
        <f t="shared" si="23"/>
        <v>21</v>
      </c>
      <c r="U111" s="265">
        <v>123</v>
      </c>
      <c r="V111" s="265">
        <v>232</v>
      </c>
      <c r="W111" s="265">
        <v>384</v>
      </c>
      <c r="X111" s="265">
        <v>331</v>
      </c>
      <c r="Y111" s="265">
        <v>293</v>
      </c>
      <c r="Z111" s="265">
        <v>170</v>
      </c>
      <c r="AA111" s="265">
        <v>218</v>
      </c>
      <c r="AC111" s="692">
        <f t="shared" si="24"/>
        <v>355</v>
      </c>
      <c r="AD111" s="692">
        <f t="shared" si="25"/>
        <v>715</v>
      </c>
      <c r="AE111" s="692">
        <f t="shared" si="26"/>
        <v>463</v>
      </c>
    </row>
    <row r="112" spans="1:31" x14ac:dyDescent="0.25">
      <c r="A112" s="655" t="s">
        <v>222</v>
      </c>
      <c r="B112" s="187" t="s">
        <v>223</v>
      </c>
      <c r="C112" s="665" t="s">
        <v>264</v>
      </c>
      <c r="D112" s="588">
        <v>854</v>
      </c>
      <c r="E112" s="589">
        <v>409</v>
      </c>
      <c r="F112" s="589">
        <v>425</v>
      </c>
      <c r="G112" s="589">
        <v>20</v>
      </c>
      <c r="H112" s="589"/>
      <c r="I112" s="589">
        <v>312</v>
      </c>
      <c r="J112" s="589">
        <v>522</v>
      </c>
      <c r="K112" s="589">
        <v>8</v>
      </c>
      <c r="L112" s="589">
        <v>3</v>
      </c>
      <c r="M112" s="589">
        <v>3</v>
      </c>
      <c r="N112" s="589">
        <v>39</v>
      </c>
      <c r="O112" s="589">
        <v>19</v>
      </c>
      <c r="P112" s="265"/>
      <c r="Q112" s="659">
        <f t="shared" si="21"/>
        <v>312</v>
      </c>
      <c r="R112" s="660">
        <f t="shared" si="22"/>
        <v>522</v>
      </c>
      <c r="S112" s="660">
        <f t="shared" si="23"/>
        <v>14</v>
      </c>
      <c r="U112" s="265">
        <v>56</v>
      </c>
      <c r="V112" s="265">
        <v>120</v>
      </c>
      <c r="W112" s="265">
        <v>171</v>
      </c>
      <c r="X112" s="265">
        <v>153</v>
      </c>
      <c r="Y112" s="265">
        <v>154</v>
      </c>
      <c r="Z112" s="265">
        <v>63</v>
      </c>
      <c r="AA112" s="265">
        <v>137</v>
      </c>
      <c r="AC112" s="692">
        <f t="shared" si="24"/>
        <v>176</v>
      </c>
      <c r="AD112" s="692">
        <f t="shared" si="25"/>
        <v>324</v>
      </c>
      <c r="AE112" s="692">
        <f t="shared" si="26"/>
        <v>217</v>
      </c>
    </row>
    <row r="113" spans="1:31" x14ac:dyDescent="0.25">
      <c r="A113" s="655" t="s">
        <v>224</v>
      </c>
      <c r="B113" s="187" t="s">
        <v>225</v>
      </c>
      <c r="C113" s="665" t="s">
        <v>264</v>
      </c>
      <c r="D113" s="588">
        <v>61</v>
      </c>
      <c r="E113" s="589">
        <v>33</v>
      </c>
      <c r="F113" s="589">
        <v>28</v>
      </c>
      <c r="G113" s="589">
        <v>0</v>
      </c>
      <c r="H113" s="589"/>
      <c r="I113" s="589">
        <v>44</v>
      </c>
      <c r="J113" s="589">
        <v>20</v>
      </c>
      <c r="K113" s="589">
        <v>0</v>
      </c>
      <c r="L113" s="589">
        <v>0</v>
      </c>
      <c r="M113" s="589">
        <v>0</v>
      </c>
      <c r="N113" s="589">
        <v>0</v>
      </c>
      <c r="O113" s="589">
        <v>0</v>
      </c>
      <c r="P113" s="265"/>
      <c r="Q113" s="659">
        <f t="shared" si="21"/>
        <v>44</v>
      </c>
      <c r="R113" s="660">
        <f t="shared" si="22"/>
        <v>20</v>
      </c>
      <c r="S113" s="660">
        <f t="shared" si="23"/>
        <v>0</v>
      </c>
      <c r="U113" s="265">
        <v>1</v>
      </c>
      <c r="V113" s="265">
        <v>12</v>
      </c>
      <c r="W113" s="265">
        <v>13</v>
      </c>
      <c r="X113" s="265">
        <v>16</v>
      </c>
      <c r="Y113" s="265">
        <v>13</v>
      </c>
      <c r="Z113" s="265">
        <v>3</v>
      </c>
      <c r="AA113" s="265">
        <v>3</v>
      </c>
      <c r="AC113" s="692">
        <f t="shared" si="24"/>
        <v>13</v>
      </c>
      <c r="AD113" s="692">
        <f t="shared" si="25"/>
        <v>29</v>
      </c>
      <c r="AE113" s="692">
        <f t="shared" si="26"/>
        <v>16</v>
      </c>
    </row>
    <row r="114" spans="1:31" x14ac:dyDescent="0.25">
      <c r="A114" s="655" t="s">
        <v>226</v>
      </c>
      <c r="B114" s="187" t="s">
        <v>227</v>
      </c>
      <c r="C114" s="665" t="s">
        <v>264</v>
      </c>
      <c r="D114" s="588">
        <v>112</v>
      </c>
      <c r="E114" s="589">
        <v>52</v>
      </c>
      <c r="F114" s="589">
        <v>59</v>
      </c>
      <c r="G114" s="589">
        <v>1</v>
      </c>
      <c r="H114" s="589"/>
      <c r="I114" s="589">
        <v>48</v>
      </c>
      <c r="J114" s="589">
        <v>77</v>
      </c>
      <c r="K114" s="589">
        <v>0</v>
      </c>
      <c r="L114" s="589">
        <v>0</v>
      </c>
      <c r="M114" s="589">
        <v>0</v>
      </c>
      <c r="N114" s="589">
        <v>2</v>
      </c>
      <c r="O114" s="589">
        <v>4</v>
      </c>
      <c r="P114" s="265"/>
      <c r="Q114" s="659">
        <f t="shared" si="21"/>
        <v>48</v>
      </c>
      <c r="R114" s="660">
        <f t="shared" si="22"/>
        <v>77</v>
      </c>
      <c r="S114" s="660">
        <f t="shared" si="23"/>
        <v>0</v>
      </c>
      <c r="U114" s="265">
        <v>13</v>
      </c>
      <c r="V114" s="265">
        <v>22</v>
      </c>
      <c r="W114" s="265">
        <v>26</v>
      </c>
      <c r="X114" s="265">
        <v>20</v>
      </c>
      <c r="Y114" s="265">
        <v>21</v>
      </c>
      <c r="Z114" s="265">
        <v>4</v>
      </c>
      <c r="AA114" s="265">
        <v>6</v>
      </c>
      <c r="AC114" s="692">
        <f t="shared" si="24"/>
        <v>35</v>
      </c>
      <c r="AD114" s="692">
        <f t="shared" si="25"/>
        <v>46</v>
      </c>
      <c r="AE114" s="692">
        <f t="shared" si="26"/>
        <v>25</v>
      </c>
    </row>
    <row r="115" spans="1:31" x14ac:dyDescent="0.25">
      <c r="A115" s="655" t="s">
        <v>228</v>
      </c>
      <c r="B115" s="187" t="s">
        <v>229</v>
      </c>
      <c r="C115" s="665" t="s">
        <v>268</v>
      </c>
      <c r="D115" s="588">
        <v>683</v>
      </c>
      <c r="E115" s="589">
        <v>337</v>
      </c>
      <c r="F115" s="589">
        <v>346</v>
      </c>
      <c r="G115" s="589">
        <v>0</v>
      </c>
      <c r="H115" s="589"/>
      <c r="I115" s="589">
        <v>655</v>
      </c>
      <c r="J115" s="589">
        <v>38</v>
      </c>
      <c r="K115" s="589">
        <v>1</v>
      </c>
      <c r="L115" s="589">
        <v>0</v>
      </c>
      <c r="M115" s="589">
        <v>0</v>
      </c>
      <c r="N115" s="589">
        <v>10</v>
      </c>
      <c r="O115" s="589">
        <v>9</v>
      </c>
      <c r="P115" s="265"/>
      <c r="Q115" s="659">
        <f t="shared" si="21"/>
        <v>655</v>
      </c>
      <c r="R115" s="660">
        <f t="shared" si="22"/>
        <v>38</v>
      </c>
      <c r="S115" s="660">
        <f t="shared" si="23"/>
        <v>1</v>
      </c>
      <c r="U115" s="265">
        <v>74</v>
      </c>
      <c r="V115" s="265">
        <v>124</v>
      </c>
      <c r="W115" s="265">
        <v>126</v>
      </c>
      <c r="X115" s="265">
        <v>163</v>
      </c>
      <c r="Y115" s="265">
        <v>133</v>
      </c>
      <c r="Z115" s="265">
        <v>36</v>
      </c>
      <c r="AA115" s="265">
        <v>27</v>
      </c>
      <c r="AC115" s="692">
        <f t="shared" si="24"/>
        <v>198</v>
      </c>
      <c r="AD115" s="692">
        <f t="shared" si="25"/>
        <v>289</v>
      </c>
      <c r="AE115" s="692">
        <f t="shared" si="26"/>
        <v>169</v>
      </c>
    </row>
    <row r="116" spans="1:31" x14ac:dyDescent="0.25">
      <c r="A116" s="655" t="s">
        <v>230</v>
      </c>
      <c r="B116" s="187" t="s">
        <v>231</v>
      </c>
      <c r="C116" s="665" t="s">
        <v>264</v>
      </c>
      <c r="D116" s="588">
        <v>4635</v>
      </c>
      <c r="E116" s="589">
        <v>2359</v>
      </c>
      <c r="F116" s="589">
        <v>2227</v>
      </c>
      <c r="G116" s="589">
        <v>49</v>
      </c>
      <c r="H116" s="589"/>
      <c r="I116" s="589">
        <v>2788</v>
      </c>
      <c r="J116" s="589">
        <v>1808</v>
      </c>
      <c r="K116" s="589">
        <v>152</v>
      </c>
      <c r="L116" s="589">
        <v>43</v>
      </c>
      <c r="M116" s="589">
        <v>30</v>
      </c>
      <c r="N116" s="589">
        <v>244</v>
      </c>
      <c r="O116" s="589">
        <v>452</v>
      </c>
      <c r="P116" s="265"/>
      <c r="Q116" s="659">
        <f t="shared" si="21"/>
        <v>2788</v>
      </c>
      <c r="R116" s="660">
        <f t="shared" si="22"/>
        <v>1808</v>
      </c>
      <c r="S116" s="660">
        <f t="shared" si="23"/>
        <v>225</v>
      </c>
      <c r="U116" s="265">
        <v>300</v>
      </c>
      <c r="V116" s="265">
        <v>646</v>
      </c>
      <c r="W116" s="265">
        <v>1094</v>
      </c>
      <c r="X116" s="265">
        <v>994</v>
      </c>
      <c r="Y116" s="265">
        <v>853</v>
      </c>
      <c r="Z116" s="265">
        <v>374</v>
      </c>
      <c r="AA116" s="265">
        <v>374</v>
      </c>
      <c r="AC116" s="692">
        <f t="shared" si="24"/>
        <v>946</v>
      </c>
      <c r="AD116" s="692">
        <f t="shared" si="25"/>
        <v>2088</v>
      </c>
      <c r="AE116" s="692">
        <f t="shared" si="26"/>
        <v>1227</v>
      </c>
    </row>
    <row r="117" spans="1:31" x14ac:dyDescent="0.25">
      <c r="A117" s="655" t="s">
        <v>232</v>
      </c>
      <c r="B117" s="187" t="s">
        <v>233</v>
      </c>
      <c r="C117" s="665" t="s">
        <v>267</v>
      </c>
      <c r="D117" s="588">
        <v>842</v>
      </c>
      <c r="E117" s="589">
        <v>403</v>
      </c>
      <c r="F117" s="589">
        <v>424</v>
      </c>
      <c r="G117" s="589">
        <v>15</v>
      </c>
      <c r="H117" s="589"/>
      <c r="I117" s="589">
        <v>596</v>
      </c>
      <c r="J117" s="589">
        <v>98</v>
      </c>
      <c r="K117" s="589">
        <v>1</v>
      </c>
      <c r="L117" s="589">
        <v>0</v>
      </c>
      <c r="M117" s="589">
        <v>1</v>
      </c>
      <c r="N117" s="589">
        <v>197</v>
      </c>
      <c r="O117" s="589">
        <v>32</v>
      </c>
      <c r="P117" s="265"/>
      <c r="Q117" s="659">
        <f t="shared" si="21"/>
        <v>596</v>
      </c>
      <c r="R117" s="660">
        <f t="shared" si="22"/>
        <v>98</v>
      </c>
      <c r="S117" s="660">
        <f t="shared" si="23"/>
        <v>2</v>
      </c>
      <c r="U117" s="265">
        <v>93</v>
      </c>
      <c r="V117" s="265">
        <v>138</v>
      </c>
      <c r="W117" s="265">
        <v>181</v>
      </c>
      <c r="X117" s="265">
        <v>171</v>
      </c>
      <c r="Y117" s="265">
        <v>116</v>
      </c>
      <c r="Z117" s="265">
        <v>41</v>
      </c>
      <c r="AA117" s="265">
        <v>102</v>
      </c>
      <c r="AC117" s="692">
        <f t="shared" si="24"/>
        <v>231</v>
      </c>
      <c r="AD117" s="692">
        <f t="shared" si="25"/>
        <v>352</v>
      </c>
      <c r="AE117" s="692">
        <f t="shared" si="26"/>
        <v>157</v>
      </c>
    </row>
    <row r="118" spans="1:31" x14ac:dyDescent="0.25">
      <c r="A118" s="655" t="s">
        <v>234</v>
      </c>
      <c r="B118" s="187" t="s">
        <v>235</v>
      </c>
      <c r="C118" s="665" t="s">
        <v>268</v>
      </c>
      <c r="D118" s="588">
        <v>1165</v>
      </c>
      <c r="E118" s="589">
        <v>579</v>
      </c>
      <c r="F118" s="589">
        <v>554</v>
      </c>
      <c r="G118" s="589">
        <v>32</v>
      </c>
      <c r="H118" s="589"/>
      <c r="I118" s="589">
        <v>957</v>
      </c>
      <c r="J118" s="589">
        <v>55</v>
      </c>
      <c r="K118" s="589">
        <v>0</v>
      </c>
      <c r="L118" s="589">
        <v>1</v>
      </c>
      <c r="M118" s="589">
        <v>0</v>
      </c>
      <c r="N118" s="589">
        <v>194</v>
      </c>
      <c r="O118" s="589">
        <v>14</v>
      </c>
      <c r="P118" s="265"/>
      <c r="Q118" s="659">
        <f t="shared" si="21"/>
        <v>957</v>
      </c>
      <c r="R118" s="660">
        <f t="shared" si="22"/>
        <v>55</v>
      </c>
      <c r="S118" s="660">
        <f t="shared" si="23"/>
        <v>1</v>
      </c>
      <c r="U118" s="265">
        <v>94</v>
      </c>
      <c r="V118" s="265">
        <v>165</v>
      </c>
      <c r="W118" s="265">
        <v>248</v>
      </c>
      <c r="X118" s="265">
        <v>198</v>
      </c>
      <c r="Y118" s="265">
        <v>170</v>
      </c>
      <c r="Z118" s="265">
        <v>77</v>
      </c>
      <c r="AA118" s="265">
        <v>213</v>
      </c>
      <c r="AC118" s="692">
        <f t="shared" si="24"/>
        <v>259</v>
      </c>
      <c r="AD118" s="692">
        <f t="shared" si="25"/>
        <v>446</v>
      </c>
      <c r="AE118" s="692">
        <f t="shared" si="26"/>
        <v>247</v>
      </c>
    </row>
    <row r="119" spans="1:31" x14ac:dyDescent="0.25">
      <c r="A119" s="655" t="s">
        <v>236</v>
      </c>
      <c r="B119" s="187" t="s">
        <v>237</v>
      </c>
      <c r="C119" s="665" t="s">
        <v>266</v>
      </c>
      <c r="D119" s="588">
        <v>240</v>
      </c>
      <c r="E119" s="589">
        <v>122</v>
      </c>
      <c r="F119" s="589">
        <v>113</v>
      </c>
      <c r="G119" s="589">
        <v>5</v>
      </c>
      <c r="H119" s="589"/>
      <c r="I119" s="589">
        <v>142</v>
      </c>
      <c r="J119" s="589">
        <v>90</v>
      </c>
      <c r="K119" s="589">
        <v>1</v>
      </c>
      <c r="L119" s="589">
        <v>0</v>
      </c>
      <c r="M119" s="589">
        <v>0</v>
      </c>
      <c r="N119" s="589">
        <v>34</v>
      </c>
      <c r="O119" s="589">
        <v>14</v>
      </c>
      <c r="P119" s="265"/>
      <c r="Q119" s="659">
        <f t="shared" si="21"/>
        <v>142</v>
      </c>
      <c r="R119" s="660">
        <f t="shared" si="22"/>
        <v>90</v>
      </c>
      <c r="S119" s="660">
        <f t="shared" si="23"/>
        <v>1</v>
      </c>
      <c r="U119" s="265">
        <v>22</v>
      </c>
      <c r="V119" s="265">
        <v>30</v>
      </c>
      <c r="W119" s="265">
        <v>49</v>
      </c>
      <c r="X119" s="265">
        <v>54</v>
      </c>
      <c r="Y119" s="265">
        <v>45</v>
      </c>
      <c r="Z119" s="265">
        <v>15</v>
      </c>
      <c r="AA119" s="265">
        <v>25</v>
      </c>
      <c r="AC119" s="692">
        <f t="shared" si="24"/>
        <v>52</v>
      </c>
      <c r="AD119" s="692">
        <f t="shared" si="25"/>
        <v>103</v>
      </c>
      <c r="AE119" s="692">
        <f t="shared" si="26"/>
        <v>60</v>
      </c>
    </row>
    <row r="120" spans="1:31" x14ac:dyDescent="0.25">
      <c r="A120" s="655" t="s">
        <v>238</v>
      </c>
      <c r="B120" s="187" t="s">
        <v>239</v>
      </c>
      <c r="C120" s="665" t="s">
        <v>264</v>
      </c>
      <c r="D120" s="588">
        <v>97</v>
      </c>
      <c r="E120" s="589">
        <v>48</v>
      </c>
      <c r="F120" s="589">
        <v>49</v>
      </c>
      <c r="G120" s="589">
        <v>0</v>
      </c>
      <c r="H120" s="589"/>
      <c r="I120" s="589">
        <v>59</v>
      </c>
      <c r="J120" s="589">
        <v>44</v>
      </c>
      <c r="K120" s="589">
        <v>1</v>
      </c>
      <c r="L120" s="589">
        <v>5</v>
      </c>
      <c r="M120" s="589">
        <v>0</v>
      </c>
      <c r="N120" s="589">
        <v>3</v>
      </c>
      <c r="O120" s="589">
        <v>10</v>
      </c>
      <c r="P120" s="265"/>
      <c r="Q120" s="659">
        <f t="shared" si="21"/>
        <v>59</v>
      </c>
      <c r="R120" s="660">
        <f t="shared" si="22"/>
        <v>44</v>
      </c>
      <c r="S120" s="660">
        <f t="shared" si="23"/>
        <v>6</v>
      </c>
      <c r="U120" s="265">
        <v>11</v>
      </c>
      <c r="V120" s="265">
        <v>17</v>
      </c>
      <c r="W120" s="265">
        <v>26</v>
      </c>
      <c r="X120" s="265">
        <v>16</v>
      </c>
      <c r="Y120" s="265">
        <v>15</v>
      </c>
      <c r="Z120" s="265">
        <v>5</v>
      </c>
      <c r="AA120" s="265">
        <v>7</v>
      </c>
      <c r="AC120" s="692">
        <f t="shared" si="24"/>
        <v>28</v>
      </c>
      <c r="AD120" s="692">
        <f t="shared" si="25"/>
        <v>42</v>
      </c>
      <c r="AE120" s="692">
        <f t="shared" si="26"/>
        <v>20</v>
      </c>
    </row>
    <row r="121" spans="1:31" x14ac:dyDescent="0.25">
      <c r="A121" s="655" t="s">
        <v>240</v>
      </c>
      <c r="B121" s="187" t="s">
        <v>241</v>
      </c>
      <c r="C121" s="665" t="s">
        <v>267</v>
      </c>
      <c r="D121" s="588">
        <v>933</v>
      </c>
      <c r="E121" s="589">
        <v>490</v>
      </c>
      <c r="F121" s="589">
        <v>430</v>
      </c>
      <c r="G121" s="589">
        <v>13</v>
      </c>
      <c r="H121" s="589"/>
      <c r="I121" s="589">
        <v>645</v>
      </c>
      <c r="J121" s="589">
        <v>271</v>
      </c>
      <c r="K121" s="589">
        <v>6</v>
      </c>
      <c r="L121" s="589">
        <v>0</v>
      </c>
      <c r="M121" s="589">
        <v>2</v>
      </c>
      <c r="N121" s="589">
        <v>99</v>
      </c>
      <c r="O121" s="589">
        <v>123</v>
      </c>
      <c r="P121" s="265"/>
      <c r="Q121" s="659">
        <f t="shared" si="21"/>
        <v>645</v>
      </c>
      <c r="R121" s="660">
        <f t="shared" si="22"/>
        <v>271</v>
      </c>
      <c r="S121" s="660">
        <f t="shared" si="23"/>
        <v>8</v>
      </c>
      <c r="U121" s="265">
        <v>102</v>
      </c>
      <c r="V121" s="265">
        <v>170</v>
      </c>
      <c r="W121" s="265">
        <v>228</v>
      </c>
      <c r="X121" s="265">
        <v>184</v>
      </c>
      <c r="Y121" s="265">
        <v>149</v>
      </c>
      <c r="Z121" s="265">
        <v>51</v>
      </c>
      <c r="AA121" s="265">
        <v>49</v>
      </c>
      <c r="AC121" s="692">
        <f t="shared" si="24"/>
        <v>272</v>
      </c>
      <c r="AD121" s="692">
        <f t="shared" si="25"/>
        <v>412</v>
      </c>
      <c r="AE121" s="692">
        <f t="shared" si="26"/>
        <v>200</v>
      </c>
    </row>
    <row r="122" spans="1:31" x14ac:dyDescent="0.25">
      <c r="A122" s="655" t="s">
        <v>242</v>
      </c>
      <c r="B122" s="187" t="s">
        <v>243</v>
      </c>
      <c r="C122" s="665" t="s">
        <v>268</v>
      </c>
      <c r="D122" s="588">
        <v>1339</v>
      </c>
      <c r="E122" s="589">
        <v>670</v>
      </c>
      <c r="F122" s="589">
        <v>665</v>
      </c>
      <c r="G122" s="589">
        <v>4</v>
      </c>
      <c r="H122" s="589"/>
      <c r="I122" s="589">
        <v>1288</v>
      </c>
      <c r="J122" s="589">
        <v>47</v>
      </c>
      <c r="K122" s="589">
        <v>2</v>
      </c>
      <c r="L122" s="589">
        <v>26</v>
      </c>
      <c r="M122" s="589">
        <v>1</v>
      </c>
      <c r="N122" s="589">
        <v>21</v>
      </c>
      <c r="O122" s="589">
        <v>23</v>
      </c>
      <c r="P122" s="265"/>
      <c r="Q122" s="659">
        <f t="shared" si="21"/>
        <v>1288</v>
      </c>
      <c r="R122" s="660">
        <f t="shared" si="22"/>
        <v>47</v>
      </c>
      <c r="S122" s="660">
        <f t="shared" si="23"/>
        <v>29</v>
      </c>
      <c r="U122" s="265">
        <v>140</v>
      </c>
      <c r="V122" s="265">
        <v>261</v>
      </c>
      <c r="W122" s="265">
        <v>340</v>
      </c>
      <c r="X122" s="265">
        <v>238</v>
      </c>
      <c r="Y122" s="265">
        <v>234</v>
      </c>
      <c r="Z122" s="265">
        <v>72</v>
      </c>
      <c r="AA122" s="265">
        <v>54</v>
      </c>
      <c r="AC122" s="692">
        <f t="shared" si="24"/>
        <v>401</v>
      </c>
      <c r="AD122" s="692">
        <f t="shared" si="25"/>
        <v>578</v>
      </c>
      <c r="AE122" s="692">
        <f t="shared" si="26"/>
        <v>306</v>
      </c>
    </row>
    <row r="123" spans="1:31" x14ac:dyDescent="0.25">
      <c r="A123" s="655" t="s">
        <v>244</v>
      </c>
      <c r="B123" s="187" t="s">
        <v>245</v>
      </c>
      <c r="C123" s="665" t="s">
        <v>268</v>
      </c>
      <c r="D123" s="588">
        <v>610</v>
      </c>
      <c r="E123" s="589">
        <v>318</v>
      </c>
      <c r="F123" s="589">
        <v>287</v>
      </c>
      <c r="G123" s="589">
        <v>5</v>
      </c>
      <c r="H123" s="589"/>
      <c r="I123" s="589">
        <v>581</v>
      </c>
      <c r="J123" s="589">
        <v>48</v>
      </c>
      <c r="K123" s="589">
        <v>0</v>
      </c>
      <c r="L123" s="589">
        <v>0</v>
      </c>
      <c r="M123" s="589">
        <v>0</v>
      </c>
      <c r="N123" s="589">
        <v>14</v>
      </c>
      <c r="O123" s="589">
        <v>13</v>
      </c>
      <c r="P123" s="265"/>
      <c r="Q123" s="659">
        <f t="shared" si="21"/>
        <v>581</v>
      </c>
      <c r="R123" s="660">
        <f t="shared" si="22"/>
        <v>48</v>
      </c>
      <c r="S123" s="660">
        <f t="shared" si="23"/>
        <v>0</v>
      </c>
      <c r="U123" s="265">
        <v>58</v>
      </c>
      <c r="V123" s="265">
        <v>111</v>
      </c>
      <c r="W123" s="265">
        <v>130</v>
      </c>
      <c r="X123" s="265">
        <v>120</v>
      </c>
      <c r="Y123" s="265">
        <v>92</v>
      </c>
      <c r="Z123" s="265">
        <v>48</v>
      </c>
      <c r="AA123" s="265">
        <v>51</v>
      </c>
      <c r="AC123" s="692">
        <f t="shared" si="24"/>
        <v>169</v>
      </c>
      <c r="AD123" s="692">
        <f t="shared" si="25"/>
        <v>250</v>
      </c>
      <c r="AE123" s="692">
        <f t="shared" si="26"/>
        <v>140</v>
      </c>
    </row>
    <row r="124" spans="1:31" x14ac:dyDescent="0.25">
      <c r="A124" s="656" t="s">
        <v>246</v>
      </c>
      <c r="B124" s="426" t="s">
        <v>247</v>
      </c>
      <c r="C124" s="666" t="s">
        <v>264</v>
      </c>
      <c r="D124" s="658">
        <v>826</v>
      </c>
      <c r="E124" s="2269">
        <v>406</v>
      </c>
      <c r="F124" s="2269">
        <v>402</v>
      </c>
      <c r="G124" s="2269">
        <v>18</v>
      </c>
      <c r="H124" s="2269"/>
      <c r="I124" s="993">
        <v>536</v>
      </c>
      <c r="J124" s="993">
        <v>173</v>
      </c>
      <c r="K124" s="993">
        <v>11</v>
      </c>
      <c r="L124" s="993">
        <v>6</v>
      </c>
      <c r="M124" s="993">
        <v>3</v>
      </c>
      <c r="N124" s="993">
        <v>140</v>
      </c>
      <c r="O124" s="993">
        <v>35</v>
      </c>
      <c r="P124" s="265"/>
      <c r="Q124" s="659">
        <f t="shared" si="21"/>
        <v>536</v>
      </c>
      <c r="R124" s="660">
        <f t="shared" si="22"/>
        <v>173</v>
      </c>
      <c r="S124" s="660">
        <f t="shared" si="23"/>
        <v>20</v>
      </c>
      <c r="U124" s="265">
        <v>38</v>
      </c>
      <c r="V124" s="265">
        <v>81</v>
      </c>
      <c r="W124" s="265">
        <v>162</v>
      </c>
      <c r="X124" s="265">
        <v>211</v>
      </c>
      <c r="Y124" s="265">
        <v>177</v>
      </c>
      <c r="Z124" s="265">
        <v>75</v>
      </c>
      <c r="AA124" s="265">
        <v>82</v>
      </c>
      <c r="AC124" s="692">
        <f t="shared" si="24"/>
        <v>119</v>
      </c>
      <c r="AD124" s="692">
        <f t="shared" si="25"/>
        <v>373</v>
      </c>
      <c r="AE124" s="692">
        <f t="shared" si="26"/>
        <v>252</v>
      </c>
    </row>
    <row r="125" spans="1:31" x14ac:dyDescent="0.25">
      <c r="A125" s="649"/>
      <c r="B125" s="649"/>
      <c r="C125" s="667"/>
    </row>
    <row r="126" spans="1:31" ht="63.75" customHeight="1" x14ac:dyDescent="0.25">
      <c r="A126" s="2758" t="s">
        <v>1449</v>
      </c>
      <c r="B126" s="2758"/>
      <c r="C126" s="2758"/>
      <c r="D126" s="2758"/>
      <c r="E126" s="2758"/>
      <c r="F126" s="2758"/>
      <c r="G126" s="2758"/>
      <c r="H126" s="2758"/>
      <c r="I126" s="2758"/>
      <c r="J126" s="2758"/>
      <c r="K126" s="2758"/>
      <c r="L126" s="2758"/>
    </row>
    <row r="127" spans="1:31" x14ac:dyDescent="0.25">
      <c r="A127" s="641"/>
      <c r="B127" s="641"/>
      <c r="C127" s="663"/>
    </row>
    <row r="128" spans="1:31" s="537" customFormat="1" x14ac:dyDescent="0.25">
      <c r="A128" s="2759" t="s">
        <v>248</v>
      </c>
      <c r="B128" s="2759"/>
      <c r="C128" s="2759"/>
      <c r="D128" s="2759"/>
      <c r="E128" s="2759"/>
      <c r="F128" s="2759"/>
      <c r="G128" s="2759"/>
      <c r="H128" s="2759"/>
      <c r="I128" s="2759"/>
      <c r="J128" s="2759"/>
      <c r="K128" s="2759"/>
      <c r="L128" s="2759"/>
      <c r="M128" s="650"/>
      <c r="O128" s="650"/>
    </row>
    <row r="129" spans="1:15" s="537" customFormat="1" x14ac:dyDescent="0.25">
      <c r="A129" s="562" t="s">
        <v>249</v>
      </c>
      <c r="B129" s="563" t="s">
        <v>250</v>
      </c>
      <c r="C129" s="668"/>
      <c r="D129" s="564"/>
      <c r="E129" s="564"/>
      <c r="F129" s="564"/>
      <c r="G129" s="564"/>
      <c r="H129" s="564"/>
      <c r="I129" s="564"/>
      <c r="J129" s="564"/>
      <c r="K129" s="564"/>
      <c r="L129" s="564"/>
      <c r="M129" s="564"/>
      <c r="O129" s="564"/>
    </row>
  </sheetData>
  <autoFilter ref="A3:C3"/>
  <sortState ref="A5:AC124">
    <sortCondition ref="B5:B124"/>
  </sortState>
  <mergeCells count="3">
    <mergeCell ref="A1:M1"/>
    <mergeCell ref="A128:L128"/>
    <mergeCell ref="A126:L126"/>
  </mergeCells>
  <hyperlinks>
    <hyperlink ref="B129" r:id="rId1"/>
  </hyperlinks>
  <pageMargins left="0.7" right="0.7" top="0.75" bottom="0.75" header="0.3" footer="0.3"/>
  <pageSetup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K4" activePane="bottomRight" state="frozen"/>
      <selection pane="topRight" activeCell="C1" sqref="C1"/>
      <selection pane="bottomLeft" activeCell="A4" sqref="A4"/>
      <selection pane="bottomRight" activeCell="K6" sqref="K6"/>
    </sheetView>
  </sheetViews>
  <sheetFormatPr defaultRowHeight="12.75" x14ac:dyDescent="0.2"/>
  <cols>
    <col min="1" max="1" width="12.25" style="18" customWidth="1"/>
    <col min="2" max="2" width="21.5" style="28" customWidth="1"/>
    <col min="3" max="3" width="10.125" style="18" customWidth="1"/>
    <col min="4" max="4" width="9.875" style="18" customWidth="1"/>
    <col min="5" max="5" width="9.875" style="18" bestFit="1" customWidth="1"/>
    <col min="6" max="6" width="2.625" style="18" customWidth="1"/>
    <col min="7" max="7" width="10.125" style="18" customWidth="1"/>
    <col min="8" max="8" width="9.5" style="18" customWidth="1"/>
    <col min="9" max="9" width="9.75" style="18" customWidth="1"/>
    <col min="10" max="10" width="2.625" style="18" customWidth="1"/>
    <col min="11" max="11" width="9.625" style="18" customWidth="1"/>
    <col min="12" max="12" width="10.5" style="18" customWidth="1"/>
    <col min="13" max="13" width="11.375" style="18" customWidth="1"/>
    <col min="14" max="14" width="2.625" style="18" customWidth="1"/>
    <col min="15" max="15" width="10.125" style="18" customWidth="1"/>
    <col min="16" max="16" width="10.25" style="18" customWidth="1"/>
    <col min="17" max="17" width="10.375" style="18" customWidth="1"/>
    <col min="18" max="18" width="2.625" style="18" customWidth="1"/>
    <col min="19" max="19" width="11" style="18" customWidth="1"/>
    <col min="20" max="20" width="10.875" style="18" customWidth="1"/>
    <col min="21" max="21" width="9.875" style="18" customWidth="1"/>
    <col min="22" max="22" width="2.625" style="18" customWidth="1"/>
    <col min="23" max="23" width="9.5" style="18" customWidth="1"/>
    <col min="24" max="24" width="10.375" style="18" customWidth="1"/>
    <col min="25" max="25" width="10.25" style="18" customWidth="1"/>
    <col min="26" max="16384" width="9" style="18"/>
  </cols>
  <sheetData>
    <row r="1" spans="1:25" ht="15.75" x14ac:dyDescent="0.25">
      <c r="C1" s="2776" t="s">
        <v>572</v>
      </c>
      <c r="D1" s="2776"/>
      <c r="E1" s="2776"/>
      <c r="F1" s="2776"/>
      <c r="G1" s="2776"/>
      <c r="H1" s="2776"/>
      <c r="I1" s="2776"/>
      <c r="J1" s="2776"/>
      <c r="K1" s="2776"/>
      <c r="L1" s="2776"/>
      <c r="M1" s="2776"/>
      <c r="O1" s="2773" t="s">
        <v>573</v>
      </c>
      <c r="P1" s="2773"/>
      <c r="Q1" s="2773"/>
      <c r="R1" s="2773"/>
      <c r="S1" s="2773"/>
      <c r="T1" s="2773"/>
      <c r="U1" s="2773"/>
      <c r="V1" s="2773"/>
      <c r="W1" s="2773"/>
      <c r="X1" s="2773"/>
      <c r="Y1" s="2773"/>
    </row>
    <row r="2" spans="1:25" ht="12.75" customHeight="1" x14ac:dyDescent="0.2">
      <c r="C2" s="2772" t="s">
        <v>2</v>
      </c>
      <c r="D2" s="2772"/>
      <c r="E2" s="2772"/>
      <c r="F2" s="37"/>
      <c r="G2" s="2772" t="s">
        <v>445</v>
      </c>
      <c r="H2" s="2772"/>
      <c r="I2" s="2772"/>
      <c r="J2" s="37"/>
      <c r="K2" s="2772" t="s">
        <v>581</v>
      </c>
      <c r="L2" s="2772"/>
      <c r="M2" s="2772"/>
      <c r="N2" s="43"/>
      <c r="O2" s="2772" t="s">
        <v>2</v>
      </c>
      <c r="P2" s="2772"/>
      <c r="Q2" s="2772"/>
      <c r="S2" s="2772" t="s">
        <v>445</v>
      </c>
      <c r="T2" s="2772"/>
      <c r="U2" s="2772"/>
      <c r="X2" s="22"/>
      <c r="Y2" s="30"/>
    </row>
    <row r="3" spans="1:25" s="21" customFormat="1" ht="45" customHeight="1" x14ac:dyDescent="0.25">
      <c r="A3" s="20" t="s">
        <v>305</v>
      </c>
      <c r="B3" s="31" t="s">
        <v>306</v>
      </c>
      <c r="C3" s="23" t="s">
        <v>578</v>
      </c>
      <c r="D3" s="23" t="s">
        <v>579</v>
      </c>
      <c r="E3" s="34" t="s">
        <v>580</v>
      </c>
      <c r="F3" s="38"/>
      <c r="G3" s="35" t="s">
        <v>578</v>
      </c>
      <c r="H3" s="23" t="s">
        <v>579</v>
      </c>
      <c r="I3" s="34" t="s">
        <v>580</v>
      </c>
      <c r="J3" s="38"/>
      <c r="K3" s="23" t="s">
        <v>578</v>
      </c>
      <c r="L3" s="23" t="s">
        <v>579</v>
      </c>
      <c r="M3" s="34" t="s">
        <v>580</v>
      </c>
      <c r="N3" s="38"/>
      <c r="O3" s="23" t="s">
        <v>578</v>
      </c>
      <c r="P3" s="23" t="s">
        <v>579</v>
      </c>
      <c r="Q3" s="34" t="s">
        <v>580</v>
      </c>
      <c r="R3" s="38"/>
      <c r="S3" s="35" t="s">
        <v>578</v>
      </c>
      <c r="T3" s="23" t="s">
        <v>579</v>
      </c>
      <c r="U3" s="34" t="s">
        <v>580</v>
      </c>
      <c r="V3" s="38"/>
      <c r="W3" s="35" t="s">
        <v>578</v>
      </c>
      <c r="X3" s="23" t="s">
        <v>579</v>
      </c>
      <c r="Y3" s="34" t="s">
        <v>580</v>
      </c>
    </row>
    <row r="4" spans="1:25" ht="16.5" customHeight="1" x14ac:dyDescent="0.25">
      <c r="A4" s="16" t="s">
        <v>10</v>
      </c>
      <c r="B4" s="32" t="s">
        <v>11</v>
      </c>
      <c r="C4" s="26" t="e">
        <f t="shared" ref="C4:C35" si="0">VLOOKUP(A4,MedicaidR,7,FALSE)</f>
        <v>#NAME?</v>
      </c>
      <c r="D4" s="26" t="e">
        <f t="shared" ref="D4:D35" si="1">VLOOKUP(A4,Pop,14,FALSE)</f>
        <v>#NAME?</v>
      </c>
      <c r="E4" s="12" t="e">
        <f t="shared" ref="E4:E35" si="2">+C4/D4</f>
        <v>#NAME?</v>
      </c>
      <c r="F4" s="45"/>
      <c r="G4" s="26" t="e">
        <f t="shared" ref="G4:G35" si="3">VLOOKUP(A4,MedicaidR,8,FALSE)</f>
        <v>#NAME?</v>
      </c>
      <c r="H4" s="26" t="e">
        <f t="shared" ref="H4:H35" si="4">VLOOKUP(A4,Pop,15,FALSE)</f>
        <v>#NAME?</v>
      </c>
      <c r="I4" s="12" t="e">
        <f t="shared" ref="I4:I35" si="5">+G4/H4</f>
        <v>#NAME?</v>
      </c>
      <c r="J4" s="45"/>
      <c r="K4" s="26" t="e">
        <f t="shared" ref="K4:K35" si="6">VLOOKUP(A4,MedicaidR,9,FALSE)</f>
        <v>#NAME?</v>
      </c>
      <c r="L4" s="26" t="e">
        <f t="shared" ref="L4:L35" si="7">VLOOKUP(A4,Pop,16,FALSE)</f>
        <v>#NAME?</v>
      </c>
      <c r="M4" s="12" t="e">
        <f t="shared" ref="M4:M35" si="8">+K4/L4</f>
        <v>#NAME?</v>
      </c>
      <c r="N4" s="12"/>
      <c r="O4" s="26" t="e">
        <f t="shared" ref="O4:O35" si="9">VLOOKUP(A4,MedicaidR,3,FALSE)</f>
        <v>#NAME?</v>
      </c>
      <c r="P4" s="26" t="e">
        <f t="shared" ref="P4:P35" si="10">VLOOKUP(A4,Pop,8,FALSE)</f>
        <v>#NAME?</v>
      </c>
      <c r="Q4" s="12" t="e">
        <f t="shared" ref="Q4:Q35" si="11">+O4/P4</f>
        <v>#NAME?</v>
      </c>
      <c r="R4" s="12"/>
      <c r="S4" s="26" t="e">
        <f t="shared" ref="S4:S35" si="12">VLOOKUP(A4,MedicaidR,4,FALSE)</f>
        <v>#NAME?</v>
      </c>
      <c r="T4" s="26" t="e">
        <f t="shared" ref="T4:T35" si="13">VLOOKUP(A4,Pop,9,FALSE)</f>
        <v>#NAME?</v>
      </c>
      <c r="U4" s="12" t="e">
        <f t="shared" ref="U4:U35" si="14">+S4/T4</f>
        <v>#NAME?</v>
      </c>
      <c r="V4" s="12"/>
      <c r="W4" s="44" t="e">
        <f t="shared" ref="W4:W35" si="15">VLOOKUP(A4,MedicaidR,5,FALSE)</f>
        <v>#NAME?</v>
      </c>
      <c r="X4" s="26" t="e">
        <f t="shared" ref="X4:X35" si="16">VLOOKUP(A4,Pop,10,FALSE)</f>
        <v>#NAME?</v>
      </c>
      <c r="Y4" s="12" t="e">
        <f t="shared" ref="Y4:Y35" si="17">+W4/X4</f>
        <v>#NAME?</v>
      </c>
    </row>
    <row r="5" spans="1:25" ht="16.5" customHeight="1" x14ac:dyDescent="0.25">
      <c r="A5" s="16" t="s">
        <v>12</v>
      </c>
      <c r="B5" s="17" t="s">
        <v>13</v>
      </c>
      <c r="C5" s="26" t="e">
        <f t="shared" si="0"/>
        <v>#NAME?</v>
      </c>
      <c r="D5" s="26" t="e">
        <f t="shared" si="1"/>
        <v>#NAME?</v>
      </c>
      <c r="E5" s="12" t="e">
        <f t="shared" si="2"/>
        <v>#NAME?</v>
      </c>
      <c r="F5" s="26"/>
      <c r="G5" s="26" t="e">
        <f t="shared" si="3"/>
        <v>#NAME?</v>
      </c>
      <c r="H5" s="26" t="e">
        <f t="shared" si="4"/>
        <v>#NAME?</v>
      </c>
      <c r="I5" s="12" t="e">
        <f t="shared" si="5"/>
        <v>#NAME?</v>
      </c>
      <c r="J5" s="26"/>
      <c r="K5" s="26" t="e">
        <f t="shared" si="6"/>
        <v>#NAME?</v>
      </c>
      <c r="L5" s="26" t="e">
        <f t="shared" si="7"/>
        <v>#NAME?</v>
      </c>
      <c r="M5" s="12" t="e">
        <f t="shared" si="8"/>
        <v>#NAME?</v>
      </c>
      <c r="N5" s="12"/>
      <c r="O5" s="26" t="e">
        <f t="shared" si="9"/>
        <v>#NAME?</v>
      </c>
      <c r="P5" s="26" t="e">
        <f t="shared" si="10"/>
        <v>#NAME?</v>
      </c>
      <c r="Q5" s="12" t="e">
        <f t="shared" si="11"/>
        <v>#NAME?</v>
      </c>
      <c r="R5" s="12"/>
      <c r="S5" s="26" t="e">
        <f t="shared" si="12"/>
        <v>#NAME?</v>
      </c>
      <c r="T5" s="26" t="e">
        <f t="shared" si="13"/>
        <v>#NAME?</v>
      </c>
      <c r="U5" s="12" t="e">
        <f t="shared" si="14"/>
        <v>#NAME?</v>
      </c>
      <c r="V5" s="12"/>
      <c r="W5" s="44" t="e">
        <f t="shared" si="15"/>
        <v>#NAME?</v>
      </c>
      <c r="X5" s="26" t="e">
        <f t="shared" si="16"/>
        <v>#NAME?</v>
      </c>
      <c r="Y5" s="12" t="e">
        <f t="shared" si="17"/>
        <v>#NAME?</v>
      </c>
    </row>
    <row r="6" spans="1:25" ht="16.5" customHeight="1" x14ac:dyDescent="0.25">
      <c r="A6" s="16" t="s">
        <v>16</v>
      </c>
      <c r="B6" s="32" t="s">
        <v>297</v>
      </c>
      <c r="C6" s="26" t="e">
        <f t="shared" si="0"/>
        <v>#NAME?</v>
      </c>
      <c r="D6" s="26" t="e">
        <f t="shared" si="1"/>
        <v>#NAME?</v>
      </c>
      <c r="E6" s="12" t="e">
        <f t="shared" si="2"/>
        <v>#NAME?</v>
      </c>
      <c r="F6" s="26"/>
      <c r="G6" s="26" t="e">
        <f t="shared" si="3"/>
        <v>#NAME?</v>
      </c>
      <c r="H6" s="26" t="e">
        <f t="shared" si="4"/>
        <v>#NAME?</v>
      </c>
      <c r="I6" s="12" t="e">
        <f t="shared" si="5"/>
        <v>#NAME?</v>
      </c>
      <c r="J6" s="26"/>
      <c r="K6" s="26" t="e">
        <f t="shared" si="6"/>
        <v>#NAME?</v>
      </c>
      <c r="L6" s="26" t="e">
        <f t="shared" si="7"/>
        <v>#NAME?</v>
      </c>
      <c r="M6" s="12" t="e">
        <f t="shared" si="8"/>
        <v>#NAME?</v>
      </c>
      <c r="N6" s="12"/>
      <c r="O6" s="26" t="e">
        <f t="shared" si="9"/>
        <v>#NAME?</v>
      </c>
      <c r="P6" s="26" t="e">
        <f t="shared" si="10"/>
        <v>#NAME?</v>
      </c>
      <c r="Q6" s="12" t="e">
        <f t="shared" si="11"/>
        <v>#NAME?</v>
      </c>
      <c r="R6" s="12"/>
      <c r="S6" s="26" t="e">
        <f t="shared" si="12"/>
        <v>#NAME?</v>
      </c>
      <c r="T6" s="26" t="e">
        <f t="shared" si="13"/>
        <v>#NAME?</v>
      </c>
      <c r="U6" s="12" t="e">
        <f t="shared" si="14"/>
        <v>#NAME?</v>
      </c>
      <c r="V6" s="12"/>
      <c r="W6" s="44" t="e">
        <f t="shared" si="15"/>
        <v>#NAME?</v>
      </c>
      <c r="X6" s="26" t="e">
        <f t="shared" si="16"/>
        <v>#NAME?</v>
      </c>
      <c r="Y6" s="12" t="e">
        <f t="shared" si="17"/>
        <v>#NAME?</v>
      </c>
    </row>
    <row r="7" spans="1:25" ht="16.5" customHeight="1" x14ac:dyDescent="0.25">
      <c r="A7" s="16" t="s">
        <v>18</v>
      </c>
      <c r="B7" s="17" t="s">
        <v>19</v>
      </c>
      <c r="C7" s="26" t="e">
        <f t="shared" si="0"/>
        <v>#NAME?</v>
      </c>
      <c r="D7" s="26" t="e">
        <f t="shared" si="1"/>
        <v>#NAME?</v>
      </c>
      <c r="E7" s="12" t="e">
        <f t="shared" si="2"/>
        <v>#NAME?</v>
      </c>
      <c r="F7" s="26"/>
      <c r="G7" s="26" t="e">
        <f t="shared" si="3"/>
        <v>#NAME?</v>
      </c>
      <c r="H7" s="26" t="e">
        <f t="shared" si="4"/>
        <v>#NAME?</v>
      </c>
      <c r="I7" s="12" t="e">
        <f t="shared" si="5"/>
        <v>#NAME?</v>
      </c>
      <c r="J7" s="26"/>
      <c r="K7" s="26" t="e">
        <f t="shared" si="6"/>
        <v>#NAME?</v>
      </c>
      <c r="L7" s="26" t="e">
        <f t="shared" si="7"/>
        <v>#NAME?</v>
      </c>
      <c r="M7" s="12" t="e">
        <f t="shared" si="8"/>
        <v>#NAME?</v>
      </c>
      <c r="N7" s="12"/>
      <c r="O7" s="26" t="e">
        <f t="shared" si="9"/>
        <v>#NAME?</v>
      </c>
      <c r="P7" s="26" t="e">
        <f t="shared" si="10"/>
        <v>#NAME?</v>
      </c>
      <c r="Q7" s="12" t="e">
        <f t="shared" si="11"/>
        <v>#NAME?</v>
      </c>
      <c r="R7" s="12"/>
      <c r="S7" s="26" t="e">
        <f t="shared" si="12"/>
        <v>#NAME?</v>
      </c>
      <c r="T7" s="26" t="e">
        <f t="shared" si="13"/>
        <v>#NAME?</v>
      </c>
      <c r="U7" s="12" t="e">
        <f t="shared" si="14"/>
        <v>#NAME?</v>
      </c>
      <c r="V7" s="12"/>
      <c r="W7" s="44" t="e">
        <f t="shared" si="15"/>
        <v>#NAME?</v>
      </c>
      <c r="X7" s="26" t="e">
        <f t="shared" si="16"/>
        <v>#NAME?</v>
      </c>
      <c r="Y7" s="12" t="e">
        <f t="shared" si="17"/>
        <v>#NAME?</v>
      </c>
    </row>
    <row r="8" spans="1:25" ht="16.5" customHeight="1" x14ac:dyDescent="0.25">
      <c r="A8" s="16" t="s">
        <v>20</v>
      </c>
      <c r="B8" s="32" t="s">
        <v>21</v>
      </c>
      <c r="C8" s="26" t="e">
        <f t="shared" si="0"/>
        <v>#NAME?</v>
      </c>
      <c r="D8" s="26" t="e">
        <f t="shared" si="1"/>
        <v>#NAME?</v>
      </c>
      <c r="E8" s="12" t="e">
        <f t="shared" si="2"/>
        <v>#NAME?</v>
      </c>
      <c r="F8" s="26"/>
      <c r="G8" s="26" t="e">
        <f t="shared" si="3"/>
        <v>#NAME?</v>
      </c>
      <c r="H8" s="26" t="e">
        <f t="shared" si="4"/>
        <v>#NAME?</v>
      </c>
      <c r="I8" s="12" t="e">
        <f t="shared" si="5"/>
        <v>#NAME?</v>
      </c>
      <c r="J8" s="26"/>
      <c r="K8" s="26" t="e">
        <f t="shared" si="6"/>
        <v>#NAME?</v>
      </c>
      <c r="L8" s="26" t="e">
        <f t="shared" si="7"/>
        <v>#NAME?</v>
      </c>
      <c r="M8" s="12" t="e">
        <f t="shared" si="8"/>
        <v>#NAME?</v>
      </c>
      <c r="N8" s="12"/>
      <c r="O8" s="26" t="e">
        <f t="shared" si="9"/>
        <v>#NAME?</v>
      </c>
      <c r="P8" s="26" t="e">
        <f t="shared" si="10"/>
        <v>#NAME?</v>
      </c>
      <c r="Q8" s="12" t="e">
        <f t="shared" si="11"/>
        <v>#NAME?</v>
      </c>
      <c r="R8" s="12"/>
      <c r="S8" s="26" t="e">
        <f t="shared" si="12"/>
        <v>#NAME?</v>
      </c>
      <c r="T8" s="26" t="e">
        <f t="shared" si="13"/>
        <v>#NAME?</v>
      </c>
      <c r="U8" s="12" t="e">
        <f t="shared" si="14"/>
        <v>#NAME?</v>
      </c>
      <c r="V8" s="12"/>
      <c r="W8" s="44" t="e">
        <f t="shared" si="15"/>
        <v>#NAME?</v>
      </c>
      <c r="X8" s="26" t="e">
        <f t="shared" si="16"/>
        <v>#NAME?</v>
      </c>
      <c r="Y8" s="12" t="e">
        <f t="shared" si="17"/>
        <v>#NAME?</v>
      </c>
    </row>
    <row r="9" spans="1:25" ht="16.5" customHeight="1" x14ac:dyDescent="0.25">
      <c r="A9" s="16" t="s">
        <v>22</v>
      </c>
      <c r="B9" s="17" t="s">
        <v>23</v>
      </c>
      <c r="C9" s="26" t="e">
        <f t="shared" si="0"/>
        <v>#NAME?</v>
      </c>
      <c r="D9" s="26" t="e">
        <f t="shared" si="1"/>
        <v>#NAME?</v>
      </c>
      <c r="E9" s="12" t="e">
        <f t="shared" si="2"/>
        <v>#NAME?</v>
      </c>
      <c r="F9" s="26"/>
      <c r="G9" s="26" t="e">
        <f t="shared" si="3"/>
        <v>#NAME?</v>
      </c>
      <c r="H9" s="26" t="e">
        <f t="shared" si="4"/>
        <v>#NAME?</v>
      </c>
      <c r="I9" s="12" t="e">
        <f t="shared" si="5"/>
        <v>#NAME?</v>
      </c>
      <c r="J9" s="26"/>
      <c r="K9" s="26" t="e">
        <f t="shared" si="6"/>
        <v>#NAME?</v>
      </c>
      <c r="L9" s="26" t="e">
        <f t="shared" si="7"/>
        <v>#NAME?</v>
      </c>
      <c r="M9" s="12" t="e">
        <f t="shared" si="8"/>
        <v>#NAME?</v>
      </c>
      <c r="N9" s="12"/>
      <c r="O9" s="26" t="e">
        <f t="shared" si="9"/>
        <v>#NAME?</v>
      </c>
      <c r="P9" s="26" t="e">
        <f t="shared" si="10"/>
        <v>#NAME?</v>
      </c>
      <c r="Q9" s="12" t="e">
        <f t="shared" si="11"/>
        <v>#NAME?</v>
      </c>
      <c r="R9" s="12"/>
      <c r="S9" s="26" t="e">
        <f t="shared" si="12"/>
        <v>#NAME?</v>
      </c>
      <c r="T9" s="26" t="e">
        <f t="shared" si="13"/>
        <v>#NAME?</v>
      </c>
      <c r="U9" s="12" t="e">
        <f t="shared" si="14"/>
        <v>#NAME?</v>
      </c>
      <c r="V9" s="12"/>
      <c r="W9" s="44" t="e">
        <f t="shared" si="15"/>
        <v>#NAME?</v>
      </c>
      <c r="X9" s="26" t="e">
        <f t="shared" si="16"/>
        <v>#NAME?</v>
      </c>
      <c r="Y9" s="12" t="e">
        <f t="shared" si="17"/>
        <v>#NAME?</v>
      </c>
    </row>
    <row r="10" spans="1:25" ht="16.5" customHeight="1" x14ac:dyDescent="0.25">
      <c r="A10" s="16" t="s">
        <v>24</v>
      </c>
      <c r="B10" s="17" t="s">
        <v>25</v>
      </c>
      <c r="C10" s="26" t="e">
        <f t="shared" si="0"/>
        <v>#NAME?</v>
      </c>
      <c r="D10" s="26" t="e">
        <f t="shared" si="1"/>
        <v>#NAME?</v>
      </c>
      <c r="E10" s="12" t="e">
        <f t="shared" si="2"/>
        <v>#NAME?</v>
      </c>
      <c r="F10" s="26"/>
      <c r="G10" s="26" t="e">
        <f t="shared" si="3"/>
        <v>#NAME?</v>
      </c>
      <c r="H10" s="26" t="e">
        <f t="shared" si="4"/>
        <v>#NAME?</v>
      </c>
      <c r="I10" s="12" t="e">
        <f t="shared" si="5"/>
        <v>#NAME?</v>
      </c>
      <c r="J10" s="26"/>
      <c r="K10" s="26" t="e">
        <f t="shared" si="6"/>
        <v>#NAME?</v>
      </c>
      <c r="L10" s="26" t="e">
        <f t="shared" si="7"/>
        <v>#NAME?</v>
      </c>
      <c r="M10" s="12" t="e">
        <f t="shared" si="8"/>
        <v>#NAME?</v>
      </c>
      <c r="N10" s="12"/>
      <c r="O10" s="26" t="e">
        <f t="shared" si="9"/>
        <v>#NAME?</v>
      </c>
      <c r="P10" s="26" t="e">
        <f t="shared" si="10"/>
        <v>#NAME?</v>
      </c>
      <c r="Q10" s="12" t="e">
        <f t="shared" si="11"/>
        <v>#NAME?</v>
      </c>
      <c r="R10" s="12"/>
      <c r="S10" s="26" t="e">
        <f t="shared" si="12"/>
        <v>#NAME?</v>
      </c>
      <c r="T10" s="26" t="e">
        <f t="shared" si="13"/>
        <v>#NAME?</v>
      </c>
      <c r="U10" s="12" t="e">
        <f t="shared" si="14"/>
        <v>#NAME?</v>
      </c>
      <c r="V10" s="12"/>
      <c r="W10" s="44" t="e">
        <f t="shared" si="15"/>
        <v>#NAME?</v>
      </c>
      <c r="X10" s="26" t="e">
        <f t="shared" si="16"/>
        <v>#NAME?</v>
      </c>
      <c r="Y10" s="12" t="e">
        <f t="shared" si="17"/>
        <v>#NAME?</v>
      </c>
    </row>
    <row r="11" spans="1:25" ht="16.5" customHeight="1" x14ac:dyDescent="0.25">
      <c r="A11" s="16" t="s">
        <v>26</v>
      </c>
      <c r="B11" s="32" t="s">
        <v>298</v>
      </c>
      <c r="C11" s="26" t="e">
        <f t="shared" si="0"/>
        <v>#NAME?</v>
      </c>
      <c r="D11" s="26" t="e">
        <f t="shared" si="1"/>
        <v>#NAME?</v>
      </c>
      <c r="E11" s="12" t="e">
        <f t="shared" si="2"/>
        <v>#NAME?</v>
      </c>
      <c r="F11" s="26"/>
      <c r="G11" s="26" t="e">
        <f t="shared" si="3"/>
        <v>#NAME?</v>
      </c>
      <c r="H11" s="26" t="e">
        <f t="shared" si="4"/>
        <v>#NAME?</v>
      </c>
      <c r="I11" s="12" t="e">
        <f t="shared" si="5"/>
        <v>#NAME?</v>
      </c>
      <c r="J11" s="26"/>
      <c r="K11" s="26" t="e">
        <f t="shared" si="6"/>
        <v>#NAME?</v>
      </c>
      <c r="L11" s="26" t="e">
        <f t="shared" si="7"/>
        <v>#NAME?</v>
      </c>
      <c r="M11" s="12" t="e">
        <f t="shared" si="8"/>
        <v>#NAME?</v>
      </c>
      <c r="N11" s="12"/>
      <c r="O11" s="26" t="e">
        <f t="shared" si="9"/>
        <v>#NAME?</v>
      </c>
      <c r="P11" s="26" t="e">
        <f t="shared" si="10"/>
        <v>#NAME?</v>
      </c>
      <c r="Q11" s="12" t="e">
        <f t="shared" si="11"/>
        <v>#NAME?</v>
      </c>
      <c r="R11" s="12"/>
      <c r="S11" s="26" t="e">
        <f t="shared" si="12"/>
        <v>#NAME?</v>
      </c>
      <c r="T11" s="26" t="e">
        <f t="shared" si="13"/>
        <v>#NAME?</v>
      </c>
      <c r="U11" s="12" t="e">
        <f t="shared" si="14"/>
        <v>#NAME?</v>
      </c>
      <c r="V11" s="12"/>
      <c r="W11" s="44" t="e">
        <f t="shared" si="15"/>
        <v>#NAME?</v>
      </c>
      <c r="X11" s="26" t="e">
        <f t="shared" si="16"/>
        <v>#NAME?</v>
      </c>
      <c r="Y11" s="12" t="e">
        <f t="shared" si="17"/>
        <v>#NAME?</v>
      </c>
    </row>
    <row r="12" spans="1:25" ht="16.5" customHeight="1" x14ac:dyDescent="0.25">
      <c r="A12" s="16" t="s">
        <v>27</v>
      </c>
      <c r="B12" s="32" t="s">
        <v>28</v>
      </c>
      <c r="C12" s="26" t="e">
        <f t="shared" si="0"/>
        <v>#NAME?</v>
      </c>
      <c r="D12" s="26" t="e">
        <f t="shared" si="1"/>
        <v>#NAME?</v>
      </c>
      <c r="E12" s="12" t="e">
        <f t="shared" si="2"/>
        <v>#NAME?</v>
      </c>
      <c r="F12" s="26"/>
      <c r="G12" s="26" t="e">
        <f t="shared" si="3"/>
        <v>#NAME?</v>
      </c>
      <c r="H12" s="26" t="e">
        <f t="shared" si="4"/>
        <v>#NAME?</v>
      </c>
      <c r="I12" s="12" t="e">
        <f t="shared" si="5"/>
        <v>#NAME?</v>
      </c>
      <c r="J12" s="26"/>
      <c r="K12" s="26" t="e">
        <f t="shared" si="6"/>
        <v>#NAME?</v>
      </c>
      <c r="L12" s="26" t="e">
        <f t="shared" si="7"/>
        <v>#NAME?</v>
      </c>
      <c r="M12" s="12" t="e">
        <f t="shared" si="8"/>
        <v>#NAME?</v>
      </c>
      <c r="N12" s="12"/>
      <c r="O12" s="26" t="e">
        <f t="shared" si="9"/>
        <v>#NAME?</v>
      </c>
      <c r="P12" s="26" t="e">
        <f t="shared" si="10"/>
        <v>#NAME?</v>
      </c>
      <c r="Q12" s="12" t="e">
        <f t="shared" si="11"/>
        <v>#NAME?</v>
      </c>
      <c r="R12" s="12"/>
      <c r="S12" s="26" t="e">
        <f t="shared" si="12"/>
        <v>#NAME?</v>
      </c>
      <c r="T12" s="26" t="e">
        <f t="shared" si="13"/>
        <v>#NAME?</v>
      </c>
      <c r="U12" s="12" t="e">
        <f t="shared" si="14"/>
        <v>#NAME?</v>
      </c>
      <c r="V12" s="12"/>
      <c r="W12" s="44" t="e">
        <f t="shared" si="15"/>
        <v>#NAME?</v>
      </c>
      <c r="X12" s="26" t="e">
        <f t="shared" si="16"/>
        <v>#NAME?</v>
      </c>
      <c r="Y12" s="12" t="e">
        <f t="shared" si="17"/>
        <v>#NAME?</v>
      </c>
    </row>
    <row r="13" spans="1:25" ht="16.5" customHeight="1" x14ac:dyDescent="0.25">
      <c r="A13" s="16" t="s">
        <v>29</v>
      </c>
      <c r="B13" s="17" t="s">
        <v>307</v>
      </c>
      <c r="C13" s="26" t="e">
        <f t="shared" si="0"/>
        <v>#NAME?</v>
      </c>
      <c r="D13" s="26" t="e">
        <f t="shared" si="1"/>
        <v>#NAME?</v>
      </c>
      <c r="E13" s="12" t="e">
        <f t="shared" si="2"/>
        <v>#NAME?</v>
      </c>
      <c r="F13" s="26"/>
      <c r="G13" s="26" t="e">
        <f t="shared" si="3"/>
        <v>#NAME?</v>
      </c>
      <c r="H13" s="26" t="e">
        <f t="shared" si="4"/>
        <v>#NAME?</v>
      </c>
      <c r="I13" s="12" t="e">
        <f t="shared" si="5"/>
        <v>#NAME?</v>
      </c>
      <c r="J13" s="26"/>
      <c r="K13" s="26" t="e">
        <f t="shared" si="6"/>
        <v>#NAME?</v>
      </c>
      <c r="L13" s="26" t="e">
        <f t="shared" si="7"/>
        <v>#NAME?</v>
      </c>
      <c r="M13" s="12" t="e">
        <f t="shared" si="8"/>
        <v>#NAME?</v>
      </c>
      <c r="N13" s="12"/>
      <c r="O13" s="26" t="e">
        <f t="shared" si="9"/>
        <v>#NAME?</v>
      </c>
      <c r="P13" s="26" t="e">
        <f t="shared" si="10"/>
        <v>#NAME?</v>
      </c>
      <c r="Q13" s="12" t="e">
        <f t="shared" si="11"/>
        <v>#NAME?</v>
      </c>
      <c r="R13" s="12"/>
      <c r="S13" s="26" t="e">
        <f t="shared" si="12"/>
        <v>#NAME?</v>
      </c>
      <c r="T13" s="26" t="e">
        <f t="shared" si="13"/>
        <v>#NAME?</v>
      </c>
      <c r="U13" s="12" t="e">
        <f t="shared" si="14"/>
        <v>#NAME?</v>
      </c>
      <c r="V13" s="12"/>
      <c r="W13" s="44" t="e">
        <f t="shared" si="15"/>
        <v>#NAME?</v>
      </c>
      <c r="X13" s="26" t="e">
        <f t="shared" si="16"/>
        <v>#NAME?</v>
      </c>
      <c r="Y13" s="12" t="e">
        <f t="shared" si="17"/>
        <v>#NAME?</v>
      </c>
    </row>
    <row r="14" spans="1:25" ht="16.5" customHeight="1" x14ac:dyDescent="0.25">
      <c r="A14" s="16" t="s">
        <v>30</v>
      </c>
      <c r="B14" s="32" t="s">
        <v>31</v>
      </c>
      <c r="C14" s="26" t="e">
        <f t="shared" si="0"/>
        <v>#NAME?</v>
      </c>
      <c r="D14" s="26" t="e">
        <f t="shared" si="1"/>
        <v>#NAME?</v>
      </c>
      <c r="E14" s="12" t="e">
        <f t="shared" si="2"/>
        <v>#NAME?</v>
      </c>
      <c r="F14" s="26"/>
      <c r="G14" s="26" t="e">
        <f t="shared" si="3"/>
        <v>#NAME?</v>
      </c>
      <c r="H14" s="26" t="e">
        <f t="shared" si="4"/>
        <v>#NAME?</v>
      </c>
      <c r="I14" s="12" t="e">
        <f t="shared" si="5"/>
        <v>#NAME?</v>
      </c>
      <c r="J14" s="26"/>
      <c r="K14" s="26" t="e">
        <f t="shared" si="6"/>
        <v>#NAME?</v>
      </c>
      <c r="L14" s="26" t="e">
        <f t="shared" si="7"/>
        <v>#NAME?</v>
      </c>
      <c r="M14" s="12" t="e">
        <f t="shared" si="8"/>
        <v>#NAME?</v>
      </c>
      <c r="N14" s="12"/>
      <c r="O14" s="26" t="e">
        <f t="shared" si="9"/>
        <v>#NAME?</v>
      </c>
      <c r="P14" s="26" t="e">
        <f t="shared" si="10"/>
        <v>#NAME?</v>
      </c>
      <c r="Q14" s="12" t="e">
        <f t="shared" si="11"/>
        <v>#NAME?</v>
      </c>
      <c r="R14" s="12"/>
      <c r="S14" s="26" t="e">
        <f t="shared" si="12"/>
        <v>#NAME?</v>
      </c>
      <c r="T14" s="26" t="e">
        <f t="shared" si="13"/>
        <v>#NAME?</v>
      </c>
      <c r="U14" s="12" t="e">
        <f t="shared" si="14"/>
        <v>#NAME?</v>
      </c>
      <c r="V14" s="12"/>
      <c r="W14" s="44" t="e">
        <f t="shared" si="15"/>
        <v>#NAME?</v>
      </c>
      <c r="X14" s="26" t="e">
        <f t="shared" si="16"/>
        <v>#NAME?</v>
      </c>
      <c r="Y14" s="12" t="e">
        <f t="shared" si="17"/>
        <v>#NAME?</v>
      </c>
    </row>
    <row r="15" spans="1:25" ht="16.5" customHeight="1" x14ac:dyDescent="0.25">
      <c r="A15" s="16" t="s">
        <v>32</v>
      </c>
      <c r="B15" s="17" t="s">
        <v>33</v>
      </c>
      <c r="C15" s="26" t="e">
        <f t="shared" si="0"/>
        <v>#NAME?</v>
      </c>
      <c r="D15" s="26" t="e">
        <f t="shared" si="1"/>
        <v>#NAME?</v>
      </c>
      <c r="E15" s="12" t="e">
        <f t="shared" si="2"/>
        <v>#NAME?</v>
      </c>
      <c r="F15" s="26"/>
      <c r="G15" s="26" t="e">
        <f t="shared" si="3"/>
        <v>#NAME?</v>
      </c>
      <c r="H15" s="26" t="e">
        <f t="shared" si="4"/>
        <v>#NAME?</v>
      </c>
      <c r="I15" s="12" t="e">
        <f t="shared" si="5"/>
        <v>#NAME?</v>
      </c>
      <c r="J15" s="26"/>
      <c r="K15" s="26" t="e">
        <f t="shared" si="6"/>
        <v>#NAME?</v>
      </c>
      <c r="L15" s="26" t="e">
        <f t="shared" si="7"/>
        <v>#NAME?</v>
      </c>
      <c r="M15" s="12" t="e">
        <f t="shared" si="8"/>
        <v>#NAME?</v>
      </c>
      <c r="N15" s="12"/>
      <c r="O15" s="26" t="e">
        <f t="shared" si="9"/>
        <v>#NAME?</v>
      </c>
      <c r="P15" s="26" t="e">
        <f t="shared" si="10"/>
        <v>#NAME?</v>
      </c>
      <c r="Q15" s="12" t="e">
        <f t="shared" si="11"/>
        <v>#NAME?</v>
      </c>
      <c r="R15" s="12"/>
      <c r="S15" s="26" t="e">
        <f t="shared" si="12"/>
        <v>#NAME?</v>
      </c>
      <c r="T15" s="26" t="e">
        <f t="shared" si="13"/>
        <v>#NAME?</v>
      </c>
      <c r="U15" s="12" t="e">
        <f t="shared" si="14"/>
        <v>#NAME?</v>
      </c>
      <c r="V15" s="12"/>
      <c r="W15" s="44" t="e">
        <f t="shared" si="15"/>
        <v>#NAME?</v>
      </c>
      <c r="X15" s="26" t="e">
        <f t="shared" si="16"/>
        <v>#NAME?</v>
      </c>
      <c r="Y15" s="12" t="e">
        <f t="shared" si="17"/>
        <v>#NAME?</v>
      </c>
    </row>
    <row r="16" spans="1:25" ht="16.5" customHeight="1" x14ac:dyDescent="0.25">
      <c r="A16" s="16" t="s">
        <v>36</v>
      </c>
      <c r="B16" s="17" t="s">
        <v>37</v>
      </c>
      <c r="C16" s="26" t="e">
        <f t="shared" si="0"/>
        <v>#NAME?</v>
      </c>
      <c r="D16" s="26" t="e">
        <f t="shared" si="1"/>
        <v>#NAME?</v>
      </c>
      <c r="E16" s="12" t="e">
        <f t="shared" si="2"/>
        <v>#NAME?</v>
      </c>
      <c r="F16" s="26"/>
      <c r="G16" s="26" t="e">
        <f t="shared" si="3"/>
        <v>#NAME?</v>
      </c>
      <c r="H16" s="26" t="e">
        <f t="shared" si="4"/>
        <v>#NAME?</v>
      </c>
      <c r="I16" s="12" t="e">
        <f t="shared" si="5"/>
        <v>#NAME?</v>
      </c>
      <c r="J16" s="26"/>
      <c r="K16" s="26" t="e">
        <f t="shared" si="6"/>
        <v>#NAME?</v>
      </c>
      <c r="L16" s="26" t="e">
        <f t="shared" si="7"/>
        <v>#NAME?</v>
      </c>
      <c r="M16" s="12" t="e">
        <f t="shared" si="8"/>
        <v>#NAME?</v>
      </c>
      <c r="N16" s="12"/>
      <c r="O16" s="26" t="e">
        <f t="shared" si="9"/>
        <v>#NAME?</v>
      </c>
      <c r="P16" s="26" t="e">
        <f t="shared" si="10"/>
        <v>#NAME?</v>
      </c>
      <c r="Q16" s="12" t="e">
        <f t="shared" si="11"/>
        <v>#NAME?</v>
      </c>
      <c r="R16" s="12"/>
      <c r="S16" s="26" t="e">
        <f t="shared" si="12"/>
        <v>#NAME?</v>
      </c>
      <c r="T16" s="26" t="e">
        <f t="shared" si="13"/>
        <v>#NAME?</v>
      </c>
      <c r="U16" s="12" t="e">
        <f t="shared" si="14"/>
        <v>#NAME?</v>
      </c>
      <c r="V16" s="12"/>
      <c r="W16" s="44" t="e">
        <f t="shared" si="15"/>
        <v>#NAME?</v>
      </c>
      <c r="X16" s="26" t="e">
        <f t="shared" si="16"/>
        <v>#NAME?</v>
      </c>
      <c r="Y16" s="12" t="e">
        <f t="shared" si="17"/>
        <v>#NAME?</v>
      </c>
    </row>
    <row r="17" spans="1:25" ht="16.5" customHeight="1" x14ac:dyDescent="0.25">
      <c r="A17" s="16" t="s">
        <v>38</v>
      </c>
      <c r="B17" s="32" t="s">
        <v>39</v>
      </c>
      <c r="C17" s="26" t="e">
        <f t="shared" si="0"/>
        <v>#NAME?</v>
      </c>
      <c r="D17" s="26" t="e">
        <f t="shared" si="1"/>
        <v>#NAME?</v>
      </c>
      <c r="E17" s="12" t="e">
        <f t="shared" si="2"/>
        <v>#NAME?</v>
      </c>
      <c r="F17" s="26"/>
      <c r="G17" s="26" t="e">
        <f t="shared" si="3"/>
        <v>#NAME?</v>
      </c>
      <c r="H17" s="26" t="e">
        <f t="shared" si="4"/>
        <v>#NAME?</v>
      </c>
      <c r="I17" s="12" t="e">
        <f t="shared" si="5"/>
        <v>#NAME?</v>
      </c>
      <c r="J17" s="26"/>
      <c r="K17" s="26" t="e">
        <f t="shared" si="6"/>
        <v>#NAME?</v>
      </c>
      <c r="L17" s="26" t="e">
        <f t="shared" si="7"/>
        <v>#NAME?</v>
      </c>
      <c r="M17" s="12" t="e">
        <f t="shared" si="8"/>
        <v>#NAME?</v>
      </c>
      <c r="N17" s="12"/>
      <c r="O17" s="26" t="e">
        <f t="shared" si="9"/>
        <v>#NAME?</v>
      </c>
      <c r="P17" s="26" t="e">
        <f t="shared" si="10"/>
        <v>#NAME?</v>
      </c>
      <c r="Q17" s="12" t="e">
        <f t="shared" si="11"/>
        <v>#NAME?</v>
      </c>
      <c r="R17" s="12"/>
      <c r="S17" s="26" t="e">
        <f t="shared" si="12"/>
        <v>#NAME?</v>
      </c>
      <c r="T17" s="26" t="e">
        <f t="shared" si="13"/>
        <v>#NAME?</v>
      </c>
      <c r="U17" s="12" t="e">
        <f t="shared" si="14"/>
        <v>#NAME?</v>
      </c>
      <c r="V17" s="12"/>
      <c r="W17" s="44" t="e">
        <f t="shared" si="15"/>
        <v>#NAME?</v>
      </c>
      <c r="X17" s="26" t="e">
        <f t="shared" si="16"/>
        <v>#NAME?</v>
      </c>
      <c r="Y17" s="12" t="e">
        <f t="shared" si="17"/>
        <v>#NAME?</v>
      </c>
    </row>
    <row r="18" spans="1:25" ht="16.5" customHeight="1" x14ac:dyDescent="0.25">
      <c r="A18" s="16" t="s">
        <v>40</v>
      </c>
      <c r="B18" s="32" t="s">
        <v>41</v>
      </c>
      <c r="C18" s="26" t="e">
        <f t="shared" si="0"/>
        <v>#NAME?</v>
      </c>
      <c r="D18" s="26" t="e">
        <f t="shared" si="1"/>
        <v>#NAME?</v>
      </c>
      <c r="E18" s="12" t="e">
        <f t="shared" si="2"/>
        <v>#NAME?</v>
      </c>
      <c r="F18" s="26"/>
      <c r="G18" s="26" t="e">
        <f t="shared" si="3"/>
        <v>#NAME?</v>
      </c>
      <c r="H18" s="26" t="e">
        <f t="shared" si="4"/>
        <v>#NAME?</v>
      </c>
      <c r="I18" s="12" t="e">
        <f t="shared" si="5"/>
        <v>#NAME?</v>
      </c>
      <c r="J18" s="26"/>
      <c r="K18" s="26" t="e">
        <f t="shared" si="6"/>
        <v>#NAME?</v>
      </c>
      <c r="L18" s="26" t="e">
        <f t="shared" si="7"/>
        <v>#NAME?</v>
      </c>
      <c r="M18" s="12" t="e">
        <f t="shared" si="8"/>
        <v>#NAME?</v>
      </c>
      <c r="N18" s="12"/>
      <c r="O18" s="26" t="e">
        <f t="shared" si="9"/>
        <v>#NAME?</v>
      </c>
      <c r="P18" s="26" t="e">
        <f t="shared" si="10"/>
        <v>#NAME?</v>
      </c>
      <c r="Q18" s="12" t="e">
        <f t="shared" si="11"/>
        <v>#NAME?</v>
      </c>
      <c r="R18" s="12"/>
      <c r="S18" s="26" t="e">
        <f t="shared" si="12"/>
        <v>#NAME?</v>
      </c>
      <c r="T18" s="26" t="e">
        <f t="shared" si="13"/>
        <v>#NAME?</v>
      </c>
      <c r="U18" s="12" t="e">
        <f t="shared" si="14"/>
        <v>#NAME?</v>
      </c>
      <c r="V18" s="12"/>
      <c r="W18" s="44" t="e">
        <f t="shared" si="15"/>
        <v>#NAME?</v>
      </c>
      <c r="X18" s="26" t="e">
        <f t="shared" si="16"/>
        <v>#NAME?</v>
      </c>
      <c r="Y18" s="12" t="e">
        <f t="shared" si="17"/>
        <v>#NAME?</v>
      </c>
    </row>
    <row r="19" spans="1:25" ht="16.5" customHeight="1" x14ac:dyDescent="0.25">
      <c r="A19" s="16" t="s">
        <v>42</v>
      </c>
      <c r="B19" s="32" t="s">
        <v>43</v>
      </c>
      <c r="C19" s="26" t="e">
        <f t="shared" si="0"/>
        <v>#NAME?</v>
      </c>
      <c r="D19" s="26" t="e">
        <f t="shared" si="1"/>
        <v>#NAME?</v>
      </c>
      <c r="E19" s="12" t="e">
        <f t="shared" si="2"/>
        <v>#NAME?</v>
      </c>
      <c r="F19" s="26"/>
      <c r="G19" s="26" t="e">
        <f t="shared" si="3"/>
        <v>#NAME?</v>
      </c>
      <c r="H19" s="26" t="e">
        <f t="shared" si="4"/>
        <v>#NAME?</v>
      </c>
      <c r="I19" s="12" t="e">
        <f t="shared" si="5"/>
        <v>#NAME?</v>
      </c>
      <c r="J19" s="26"/>
      <c r="K19" s="26" t="e">
        <f t="shared" si="6"/>
        <v>#NAME?</v>
      </c>
      <c r="L19" s="26" t="e">
        <f t="shared" si="7"/>
        <v>#NAME?</v>
      </c>
      <c r="M19" s="12" t="e">
        <f t="shared" si="8"/>
        <v>#NAME?</v>
      </c>
      <c r="N19" s="12"/>
      <c r="O19" s="26" t="e">
        <f t="shared" si="9"/>
        <v>#NAME?</v>
      </c>
      <c r="P19" s="26" t="e">
        <f t="shared" si="10"/>
        <v>#NAME?</v>
      </c>
      <c r="Q19" s="12" t="e">
        <f t="shared" si="11"/>
        <v>#NAME?</v>
      </c>
      <c r="R19" s="12"/>
      <c r="S19" s="26" t="e">
        <f t="shared" si="12"/>
        <v>#NAME?</v>
      </c>
      <c r="T19" s="26" t="e">
        <f t="shared" si="13"/>
        <v>#NAME?</v>
      </c>
      <c r="U19" s="12" t="e">
        <f t="shared" si="14"/>
        <v>#NAME?</v>
      </c>
      <c r="V19" s="12"/>
      <c r="W19" s="44" t="e">
        <f t="shared" si="15"/>
        <v>#NAME?</v>
      </c>
      <c r="X19" s="26" t="e">
        <f t="shared" si="16"/>
        <v>#NAME?</v>
      </c>
      <c r="Y19" s="12" t="e">
        <f t="shared" si="17"/>
        <v>#NAME?</v>
      </c>
    </row>
    <row r="20" spans="1:25" ht="16.5" customHeight="1" x14ac:dyDescent="0.25">
      <c r="A20" s="16" t="s">
        <v>44</v>
      </c>
      <c r="B20" s="17" t="s">
        <v>45</v>
      </c>
      <c r="C20" s="26" t="e">
        <f t="shared" si="0"/>
        <v>#NAME?</v>
      </c>
      <c r="D20" s="26" t="e">
        <f t="shared" si="1"/>
        <v>#NAME?</v>
      </c>
      <c r="E20" s="12" t="e">
        <f t="shared" si="2"/>
        <v>#NAME?</v>
      </c>
      <c r="F20" s="26"/>
      <c r="G20" s="26" t="e">
        <f t="shared" si="3"/>
        <v>#NAME?</v>
      </c>
      <c r="H20" s="26" t="e">
        <f t="shared" si="4"/>
        <v>#NAME?</v>
      </c>
      <c r="I20" s="12" t="e">
        <f t="shared" si="5"/>
        <v>#NAME?</v>
      </c>
      <c r="J20" s="26"/>
      <c r="K20" s="26" t="e">
        <f t="shared" si="6"/>
        <v>#NAME?</v>
      </c>
      <c r="L20" s="26" t="e">
        <f t="shared" si="7"/>
        <v>#NAME?</v>
      </c>
      <c r="M20" s="12" t="e">
        <f t="shared" si="8"/>
        <v>#NAME?</v>
      </c>
      <c r="N20" s="12"/>
      <c r="O20" s="26" t="e">
        <f t="shared" si="9"/>
        <v>#NAME?</v>
      </c>
      <c r="P20" s="26" t="e">
        <f t="shared" si="10"/>
        <v>#NAME?</v>
      </c>
      <c r="Q20" s="12" t="e">
        <f t="shared" si="11"/>
        <v>#NAME?</v>
      </c>
      <c r="R20" s="12"/>
      <c r="S20" s="26" t="e">
        <f t="shared" si="12"/>
        <v>#NAME?</v>
      </c>
      <c r="T20" s="26" t="e">
        <f t="shared" si="13"/>
        <v>#NAME?</v>
      </c>
      <c r="U20" s="12" t="e">
        <f t="shared" si="14"/>
        <v>#NAME?</v>
      </c>
      <c r="V20" s="12"/>
      <c r="W20" s="44" t="e">
        <f t="shared" si="15"/>
        <v>#NAME?</v>
      </c>
      <c r="X20" s="26" t="e">
        <f t="shared" si="16"/>
        <v>#NAME?</v>
      </c>
      <c r="Y20" s="12" t="e">
        <f t="shared" si="17"/>
        <v>#NAME?</v>
      </c>
    </row>
    <row r="21" spans="1:25" ht="16.5" customHeight="1" x14ac:dyDescent="0.25">
      <c r="A21" s="16" t="s">
        <v>46</v>
      </c>
      <c r="B21" s="32" t="s">
        <v>47</v>
      </c>
      <c r="C21" s="26" t="e">
        <f t="shared" si="0"/>
        <v>#NAME?</v>
      </c>
      <c r="D21" s="26" t="e">
        <f t="shared" si="1"/>
        <v>#NAME?</v>
      </c>
      <c r="E21" s="12" t="e">
        <f t="shared" si="2"/>
        <v>#NAME?</v>
      </c>
      <c r="F21" s="26"/>
      <c r="G21" s="26" t="e">
        <f t="shared" si="3"/>
        <v>#NAME?</v>
      </c>
      <c r="H21" s="26" t="e">
        <f t="shared" si="4"/>
        <v>#NAME?</v>
      </c>
      <c r="I21" s="12" t="e">
        <f t="shared" si="5"/>
        <v>#NAME?</v>
      </c>
      <c r="J21" s="26"/>
      <c r="K21" s="26" t="e">
        <f t="shared" si="6"/>
        <v>#NAME?</v>
      </c>
      <c r="L21" s="26" t="e">
        <f t="shared" si="7"/>
        <v>#NAME?</v>
      </c>
      <c r="M21" s="12" t="e">
        <f t="shared" si="8"/>
        <v>#NAME?</v>
      </c>
      <c r="N21" s="12"/>
      <c r="O21" s="26" t="e">
        <f t="shared" si="9"/>
        <v>#NAME?</v>
      </c>
      <c r="P21" s="26" t="e">
        <f t="shared" si="10"/>
        <v>#NAME?</v>
      </c>
      <c r="Q21" s="12" t="e">
        <f t="shared" si="11"/>
        <v>#NAME?</v>
      </c>
      <c r="R21" s="12"/>
      <c r="S21" s="26" t="e">
        <f t="shared" si="12"/>
        <v>#NAME?</v>
      </c>
      <c r="T21" s="26" t="e">
        <f t="shared" si="13"/>
        <v>#NAME?</v>
      </c>
      <c r="U21" s="12" t="e">
        <f t="shared" si="14"/>
        <v>#NAME?</v>
      </c>
      <c r="V21" s="12"/>
      <c r="W21" s="44" t="e">
        <f t="shared" si="15"/>
        <v>#NAME?</v>
      </c>
      <c r="X21" s="26" t="e">
        <f t="shared" si="16"/>
        <v>#NAME?</v>
      </c>
      <c r="Y21" s="12" t="e">
        <f t="shared" si="17"/>
        <v>#NAME?</v>
      </c>
    </row>
    <row r="22" spans="1:25" ht="16.5" customHeight="1" x14ac:dyDescent="0.25">
      <c r="A22" s="16" t="s">
        <v>48</v>
      </c>
      <c r="B22" s="17" t="s">
        <v>269</v>
      </c>
      <c r="C22" s="26" t="e">
        <f t="shared" si="0"/>
        <v>#NAME?</v>
      </c>
      <c r="D22" s="26" t="e">
        <f t="shared" si="1"/>
        <v>#NAME?</v>
      </c>
      <c r="E22" s="12" t="e">
        <f t="shared" si="2"/>
        <v>#NAME?</v>
      </c>
      <c r="F22" s="26"/>
      <c r="G22" s="26" t="e">
        <f t="shared" si="3"/>
        <v>#NAME?</v>
      </c>
      <c r="H22" s="26" t="e">
        <f t="shared" si="4"/>
        <v>#NAME?</v>
      </c>
      <c r="I22" s="12" t="e">
        <f t="shared" si="5"/>
        <v>#NAME?</v>
      </c>
      <c r="J22" s="26"/>
      <c r="K22" s="26" t="e">
        <f t="shared" si="6"/>
        <v>#NAME?</v>
      </c>
      <c r="L22" s="26" t="e">
        <f t="shared" si="7"/>
        <v>#NAME?</v>
      </c>
      <c r="M22" s="12" t="e">
        <f t="shared" si="8"/>
        <v>#NAME?</v>
      </c>
      <c r="N22" s="12"/>
      <c r="O22" s="26" t="e">
        <f t="shared" si="9"/>
        <v>#NAME?</v>
      </c>
      <c r="P22" s="26" t="e">
        <f t="shared" si="10"/>
        <v>#NAME?</v>
      </c>
      <c r="Q22" s="12" t="e">
        <f t="shared" si="11"/>
        <v>#NAME?</v>
      </c>
      <c r="R22" s="12"/>
      <c r="S22" s="26" t="e">
        <f t="shared" si="12"/>
        <v>#NAME?</v>
      </c>
      <c r="T22" s="26" t="e">
        <f t="shared" si="13"/>
        <v>#NAME?</v>
      </c>
      <c r="U22" s="12" t="e">
        <f t="shared" si="14"/>
        <v>#NAME?</v>
      </c>
      <c r="V22" s="12"/>
      <c r="W22" s="44" t="e">
        <f t="shared" si="15"/>
        <v>#NAME?</v>
      </c>
      <c r="X22" s="26" t="e">
        <f t="shared" si="16"/>
        <v>#NAME?</v>
      </c>
      <c r="Y22" s="12" t="e">
        <f t="shared" si="17"/>
        <v>#NAME?</v>
      </c>
    </row>
    <row r="23" spans="1:25" ht="16.5" customHeight="1" x14ac:dyDescent="0.25">
      <c r="A23" s="16" t="s">
        <v>50</v>
      </c>
      <c r="B23" s="32" t="s">
        <v>51</v>
      </c>
      <c r="C23" s="26" t="e">
        <f t="shared" si="0"/>
        <v>#NAME?</v>
      </c>
      <c r="D23" s="26" t="e">
        <f t="shared" si="1"/>
        <v>#NAME?</v>
      </c>
      <c r="E23" s="12" t="e">
        <f t="shared" si="2"/>
        <v>#NAME?</v>
      </c>
      <c r="F23" s="26"/>
      <c r="G23" s="26" t="e">
        <f t="shared" si="3"/>
        <v>#NAME?</v>
      </c>
      <c r="H23" s="26" t="e">
        <f t="shared" si="4"/>
        <v>#NAME?</v>
      </c>
      <c r="I23" s="12" t="e">
        <f t="shared" si="5"/>
        <v>#NAME?</v>
      </c>
      <c r="J23" s="26"/>
      <c r="K23" s="26" t="e">
        <f t="shared" si="6"/>
        <v>#NAME?</v>
      </c>
      <c r="L23" s="26" t="e">
        <f t="shared" si="7"/>
        <v>#NAME?</v>
      </c>
      <c r="M23" s="12" t="e">
        <f t="shared" si="8"/>
        <v>#NAME?</v>
      </c>
      <c r="N23" s="12"/>
      <c r="O23" s="26" t="e">
        <f t="shared" si="9"/>
        <v>#NAME?</v>
      </c>
      <c r="P23" s="26" t="e">
        <f t="shared" si="10"/>
        <v>#NAME?</v>
      </c>
      <c r="Q23" s="12" t="e">
        <f t="shared" si="11"/>
        <v>#NAME?</v>
      </c>
      <c r="R23" s="12"/>
      <c r="S23" s="26" t="e">
        <f t="shared" si="12"/>
        <v>#NAME?</v>
      </c>
      <c r="T23" s="26" t="e">
        <f t="shared" si="13"/>
        <v>#NAME?</v>
      </c>
      <c r="U23" s="12" t="e">
        <f t="shared" si="14"/>
        <v>#NAME?</v>
      </c>
      <c r="V23" s="12"/>
      <c r="W23" s="44" t="e">
        <f t="shared" si="15"/>
        <v>#NAME?</v>
      </c>
      <c r="X23" s="26" t="e">
        <f t="shared" si="16"/>
        <v>#NAME?</v>
      </c>
      <c r="Y23" s="12" t="e">
        <f t="shared" si="17"/>
        <v>#NAME?</v>
      </c>
    </row>
    <row r="24" spans="1:25" ht="16.5" customHeight="1" x14ac:dyDescent="0.25">
      <c r="A24" s="16" t="s">
        <v>56</v>
      </c>
      <c r="B24" s="17" t="s">
        <v>295</v>
      </c>
      <c r="C24" s="26" t="e">
        <f t="shared" si="0"/>
        <v>#NAME?</v>
      </c>
      <c r="D24" s="26" t="e">
        <f t="shared" si="1"/>
        <v>#NAME?</v>
      </c>
      <c r="E24" s="12" t="e">
        <f t="shared" si="2"/>
        <v>#NAME?</v>
      </c>
      <c r="F24" s="26"/>
      <c r="G24" s="26" t="e">
        <f t="shared" si="3"/>
        <v>#NAME?</v>
      </c>
      <c r="H24" s="26" t="e">
        <f t="shared" si="4"/>
        <v>#NAME?</v>
      </c>
      <c r="I24" s="12" t="e">
        <f t="shared" si="5"/>
        <v>#NAME?</v>
      </c>
      <c r="J24" s="26"/>
      <c r="K24" s="26" t="e">
        <f t="shared" si="6"/>
        <v>#NAME?</v>
      </c>
      <c r="L24" s="26" t="e">
        <f t="shared" si="7"/>
        <v>#NAME?</v>
      </c>
      <c r="M24" s="12" t="e">
        <f t="shared" si="8"/>
        <v>#NAME?</v>
      </c>
      <c r="N24" s="12"/>
      <c r="O24" s="26" t="e">
        <f t="shared" si="9"/>
        <v>#NAME?</v>
      </c>
      <c r="P24" s="26" t="e">
        <f t="shared" si="10"/>
        <v>#NAME?</v>
      </c>
      <c r="Q24" s="12" t="e">
        <f t="shared" si="11"/>
        <v>#NAME?</v>
      </c>
      <c r="R24" s="12"/>
      <c r="S24" s="26" t="e">
        <f t="shared" si="12"/>
        <v>#NAME?</v>
      </c>
      <c r="T24" s="26" t="e">
        <f t="shared" si="13"/>
        <v>#NAME?</v>
      </c>
      <c r="U24" s="12" t="e">
        <f t="shared" si="14"/>
        <v>#NAME?</v>
      </c>
      <c r="V24" s="12"/>
      <c r="W24" s="44" t="e">
        <f t="shared" si="15"/>
        <v>#NAME?</v>
      </c>
      <c r="X24" s="26" t="e">
        <f t="shared" si="16"/>
        <v>#NAME?</v>
      </c>
      <c r="Y24" s="12" t="e">
        <f t="shared" si="17"/>
        <v>#NAME?</v>
      </c>
    </row>
    <row r="25" spans="1:25" ht="16.5" customHeight="1" x14ac:dyDescent="0.25">
      <c r="A25" s="16" t="s">
        <v>58</v>
      </c>
      <c r="B25" s="17" t="s">
        <v>59</v>
      </c>
      <c r="C25" s="26" t="e">
        <f t="shared" si="0"/>
        <v>#NAME?</v>
      </c>
      <c r="D25" s="26" t="e">
        <f t="shared" si="1"/>
        <v>#NAME?</v>
      </c>
      <c r="E25" s="12" t="e">
        <f t="shared" si="2"/>
        <v>#NAME?</v>
      </c>
      <c r="F25" s="26"/>
      <c r="G25" s="26" t="e">
        <f t="shared" si="3"/>
        <v>#NAME?</v>
      </c>
      <c r="H25" s="26" t="e">
        <f t="shared" si="4"/>
        <v>#NAME?</v>
      </c>
      <c r="I25" s="12" t="e">
        <f t="shared" si="5"/>
        <v>#NAME?</v>
      </c>
      <c r="J25" s="26"/>
      <c r="K25" s="26" t="e">
        <f t="shared" si="6"/>
        <v>#NAME?</v>
      </c>
      <c r="L25" s="26" t="e">
        <f t="shared" si="7"/>
        <v>#NAME?</v>
      </c>
      <c r="M25" s="12" t="e">
        <f t="shared" si="8"/>
        <v>#NAME?</v>
      </c>
      <c r="N25" s="12"/>
      <c r="O25" s="26" t="e">
        <f t="shared" si="9"/>
        <v>#NAME?</v>
      </c>
      <c r="P25" s="26" t="e">
        <f t="shared" si="10"/>
        <v>#NAME?</v>
      </c>
      <c r="Q25" s="12" t="e">
        <f t="shared" si="11"/>
        <v>#NAME?</v>
      </c>
      <c r="R25" s="12"/>
      <c r="S25" s="26" t="e">
        <f t="shared" si="12"/>
        <v>#NAME?</v>
      </c>
      <c r="T25" s="26" t="e">
        <f t="shared" si="13"/>
        <v>#NAME?</v>
      </c>
      <c r="U25" s="12" t="e">
        <f t="shared" si="14"/>
        <v>#NAME?</v>
      </c>
      <c r="V25" s="12"/>
      <c r="W25" s="44" t="e">
        <f t="shared" si="15"/>
        <v>#NAME?</v>
      </c>
      <c r="X25" s="26" t="e">
        <f t="shared" si="16"/>
        <v>#NAME?</v>
      </c>
      <c r="Y25" s="12" t="e">
        <f t="shared" si="17"/>
        <v>#NAME?</v>
      </c>
    </row>
    <row r="26" spans="1:25" ht="16.5" customHeight="1" x14ac:dyDescent="0.25">
      <c r="A26" s="16" t="s">
        <v>60</v>
      </c>
      <c r="B26" s="32" t="s">
        <v>61</v>
      </c>
      <c r="C26" s="26" t="e">
        <f t="shared" si="0"/>
        <v>#NAME?</v>
      </c>
      <c r="D26" s="26" t="e">
        <f t="shared" si="1"/>
        <v>#NAME?</v>
      </c>
      <c r="E26" s="12" t="e">
        <f t="shared" si="2"/>
        <v>#NAME?</v>
      </c>
      <c r="F26" s="26"/>
      <c r="G26" s="26" t="e">
        <f t="shared" si="3"/>
        <v>#NAME?</v>
      </c>
      <c r="H26" s="26" t="e">
        <f t="shared" si="4"/>
        <v>#NAME?</v>
      </c>
      <c r="I26" s="12" t="e">
        <f t="shared" si="5"/>
        <v>#NAME?</v>
      </c>
      <c r="J26" s="26"/>
      <c r="K26" s="26" t="e">
        <f t="shared" si="6"/>
        <v>#NAME?</v>
      </c>
      <c r="L26" s="26" t="e">
        <f t="shared" si="7"/>
        <v>#NAME?</v>
      </c>
      <c r="M26" s="12" t="e">
        <f t="shared" si="8"/>
        <v>#NAME?</v>
      </c>
      <c r="N26" s="12"/>
      <c r="O26" s="26" t="e">
        <f t="shared" si="9"/>
        <v>#NAME?</v>
      </c>
      <c r="P26" s="26" t="e">
        <f t="shared" si="10"/>
        <v>#NAME?</v>
      </c>
      <c r="Q26" s="12" t="e">
        <f t="shared" si="11"/>
        <v>#NAME?</v>
      </c>
      <c r="R26" s="12"/>
      <c r="S26" s="26" t="e">
        <f t="shared" si="12"/>
        <v>#NAME?</v>
      </c>
      <c r="T26" s="26" t="e">
        <f t="shared" si="13"/>
        <v>#NAME?</v>
      </c>
      <c r="U26" s="12" t="e">
        <f t="shared" si="14"/>
        <v>#NAME?</v>
      </c>
      <c r="V26" s="12"/>
      <c r="W26" s="44" t="e">
        <f t="shared" si="15"/>
        <v>#NAME?</v>
      </c>
      <c r="X26" s="26" t="e">
        <f t="shared" si="16"/>
        <v>#NAME?</v>
      </c>
      <c r="Y26" s="12" t="e">
        <f t="shared" si="17"/>
        <v>#NAME?</v>
      </c>
    </row>
    <row r="27" spans="1:25" ht="16.5" customHeight="1" x14ac:dyDescent="0.25">
      <c r="A27" s="16" t="s">
        <v>62</v>
      </c>
      <c r="B27" s="17" t="s">
        <v>63</v>
      </c>
      <c r="C27" s="26" t="e">
        <f t="shared" si="0"/>
        <v>#NAME?</v>
      </c>
      <c r="D27" s="26" t="e">
        <f t="shared" si="1"/>
        <v>#NAME?</v>
      </c>
      <c r="E27" s="12" t="e">
        <f t="shared" si="2"/>
        <v>#NAME?</v>
      </c>
      <c r="F27" s="26"/>
      <c r="G27" s="26" t="e">
        <f t="shared" si="3"/>
        <v>#NAME?</v>
      </c>
      <c r="H27" s="26" t="e">
        <f t="shared" si="4"/>
        <v>#NAME?</v>
      </c>
      <c r="I27" s="12" t="e">
        <f t="shared" si="5"/>
        <v>#NAME?</v>
      </c>
      <c r="J27" s="26"/>
      <c r="K27" s="26" t="e">
        <f t="shared" si="6"/>
        <v>#NAME?</v>
      </c>
      <c r="L27" s="26" t="e">
        <f t="shared" si="7"/>
        <v>#NAME?</v>
      </c>
      <c r="M27" s="12" t="e">
        <f t="shared" si="8"/>
        <v>#NAME?</v>
      </c>
      <c r="N27" s="12"/>
      <c r="O27" s="26" t="e">
        <f t="shared" si="9"/>
        <v>#NAME?</v>
      </c>
      <c r="P27" s="26" t="e">
        <f t="shared" si="10"/>
        <v>#NAME?</v>
      </c>
      <c r="Q27" s="12" t="e">
        <f t="shared" si="11"/>
        <v>#NAME?</v>
      </c>
      <c r="R27" s="12"/>
      <c r="S27" s="26" t="e">
        <f t="shared" si="12"/>
        <v>#NAME?</v>
      </c>
      <c r="T27" s="26" t="e">
        <f t="shared" si="13"/>
        <v>#NAME?</v>
      </c>
      <c r="U27" s="12" t="e">
        <f t="shared" si="14"/>
        <v>#NAME?</v>
      </c>
      <c r="V27" s="12"/>
      <c r="W27" s="44" t="e">
        <f t="shared" si="15"/>
        <v>#NAME?</v>
      </c>
      <c r="X27" s="26" t="e">
        <f t="shared" si="16"/>
        <v>#NAME?</v>
      </c>
      <c r="Y27" s="12" t="e">
        <f t="shared" si="17"/>
        <v>#NAME?</v>
      </c>
    </row>
    <row r="28" spans="1:25" ht="16.5" customHeight="1" x14ac:dyDescent="0.25">
      <c r="A28" s="16" t="s">
        <v>64</v>
      </c>
      <c r="B28" s="32" t="s">
        <v>65</v>
      </c>
      <c r="C28" s="26" t="e">
        <f t="shared" si="0"/>
        <v>#NAME?</v>
      </c>
      <c r="D28" s="26" t="e">
        <f t="shared" si="1"/>
        <v>#NAME?</v>
      </c>
      <c r="E28" s="12" t="e">
        <f t="shared" si="2"/>
        <v>#NAME?</v>
      </c>
      <c r="F28" s="26"/>
      <c r="G28" s="26" t="e">
        <f t="shared" si="3"/>
        <v>#NAME?</v>
      </c>
      <c r="H28" s="26" t="e">
        <f t="shared" si="4"/>
        <v>#NAME?</v>
      </c>
      <c r="I28" s="12" t="e">
        <f t="shared" si="5"/>
        <v>#NAME?</v>
      </c>
      <c r="J28" s="26"/>
      <c r="K28" s="26" t="e">
        <f t="shared" si="6"/>
        <v>#NAME?</v>
      </c>
      <c r="L28" s="26" t="e">
        <f t="shared" si="7"/>
        <v>#NAME?</v>
      </c>
      <c r="M28" s="12" t="e">
        <f t="shared" si="8"/>
        <v>#NAME?</v>
      </c>
      <c r="N28" s="12"/>
      <c r="O28" s="26" t="e">
        <f t="shared" si="9"/>
        <v>#NAME?</v>
      </c>
      <c r="P28" s="26" t="e">
        <f t="shared" si="10"/>
        <v>#NAME?</v>
      </c>
      <c r="Q28" s="12" t="e">
        <f t="shared" si="11"/>
        <v>#NAME?</v>
      </c>
      <c r="R28" s="12"/>
      <c r="S28" s="26" t="e">
        <f t="shared" si="12"/>
        <v>#NAME?</v>
      </c>
      <c r="T28" s="26" t="e">
        <f t="shared" si="13"/>
        <v>#NAME?</v>
      </c>
      <c r="U28" s="12" t="e">
        <f t="shared" si="14"/>
        <v>#NAME?</v>
      </c>
      <c r="V28" s="12"/>
      <c r="W28" s="44" t="e">
        <f t="shared" si="15"/>
        <v>#NAME?</v>
      </c>
      <c r="X28" s="26" t="e">
        <f t="shared" si="16"/>
        <v>#NAME?</v>
      </c>
      <c r="Y28" s="12" t="e">
        <f t="shared" si="17"/>
        <v>#NAME?</v>
      </c>
    </row>
    <row r="29" spans="1:25" ht="16.5" customHeight="1" x14ac:dyDescent="0.25">
      <c r="A29" s="16" t="s">
        <v>68</v>
      </c>
      <c r="B29" s="32" t="s">
        <v>69</v>
      </c>
      <c r="C29" s="26" t="e">
        <f t="shared" si="0"/>
        <v>#NAME?</v>
      </c>
      <c r="D29" s="26" t="e">
        <f t="shared" si="1"/>
        <v>#NAME?</v>
      </c>
      <c r="E29" s="12" t="e">
        <f t="shared" si="2"/>
        <v>#NAME?</v>
      </c>
      <c r="F29" s="26"/>
      <c r="G29" s="26" t="e">
        <f t="shared" si="3"/>
        <v>#NAME?</v>
      </c>
      <c r="H29" s="26" t="e">
        <f t="shared" si="4"/>
        <v>#NAME?</v>
      </c>
      <c r="I29" s="12" t="e">
        <f t="shared" si="5"/>
        <v>#NAME?</v>
      </c>
      <c r="J29" s="26"/>
      <c r="K29" s="26" t="e">
        <f t="shared" si="6"/>
        <v>#NAME?</v>
      </c>
      <c r="L29" s="26" t="e">
        <f t="shared" si="7"/>
        <v>#NAME?</v>
      </c>
      <c r="M29" s="12" t="e">
        <f t="shared" si="8"/>
        <v>#NAME?</v>
      </c>
      <c r="N29" s="12"/>
      <c r="O29" s="26" t="e">
        <f t="shared" si="9"/>
        <v>#NAME?</v>
      </c>
      <c r="P29" s="26" t="e">
        <f t="shared" si="10"/>
        <v>#NAME?</v>
      </c>
      <c r="Q29" s="12" t="e">
        <f t="shared" si="11"/>
        <v>#NAME?</v>
      </c>
      <c r="R29" s="12"/>
      <c r="S29" s="26" t="e">
        <f t="shared" si="12"/>
        <v>#NAME?</v>
      </c>
      <c r="T29" s="26" t="e">
        <f t="shared" si="13"/>
        <v>#NAME?</v>
      </c>
      <c r="U29" s="12" t="e">
        <f t="shared" si="14"/>
        <v>#NAME?</v>
      </c>
      <c r="V29" s="12"/>
      <c r="W29" s="44" t="e">
        <f t="shared" si="15"/>
        <v>#NAME?</v>
      </c>
      <c r="X29" s="26" t="e">
        <f t="shared" si="16"/>
        <v>#NAME?</v>
      </c>
      <c r="Y29" s="12" t="e">
        <f t="shared" si="17"/>
        <v>#NAME?</v>
      </c>
    </row>
    <row r="30" spans="1:25" ht="16.5" customHeight="1" x14ac:dyDescent="0.25">
      <c r="A30" s="16" t="s">
        <v>70</v>
      </c>
      <c r="B30" s="32" t="s">
        <v>71</v>
      </c>
      <c r="C30" s="26" t="e">
        <f t="shared" si="0"/>
        <v>#NAME?</v>
      </c>
      <c r="D30" s="26" t="e">
        <f t="shared" si="1"/>
        <v>#NAME?</v>
      </c>
      <c r="E30" s="12" t="e">
        <f t="shared" si="2"/>
        <v>#NAME?</v>
      </c>
      <c r="F30" s="26"/>
      <c r="G30" s="26" t="e">
        <f t="shared" si="3"/>
        <v>#NAME?</v>
      </c>
      <c r="H30" s="26" t="e">
        <f t="shared" si="4"/>
        <v>#NAME?</v>
      </c>
      <c r="I30" s="12" t="e">
        <f t="shared" si="5"/>
        <v>#NAME?</v>
      </c>
      <c r="J30" s="26"/>
      <c r="K30" s="26" t="e">
        <f t="shared" si="6"/>
        <v>#NAME?</v>
      </c>
      <c r="L30" s="26" t="e">
        <f t="shared" si="7"/>
        <v>#NAME?</v>
      </c>
      <c r="M30" s="12" t="e">
        <f t="shared" si="8"/>
        <v>#NAME?</v>
      </c>
      <c r="N30" s="12"/>
      <c r="O30" s="26" t="e">
        <f t="shared" si="9"/>
        <v>#NAME?</v>
      </c>
      <c r="P30" s="26" t="e">
        <f t="shared" si="10"/>
        <v>#NAME?</v>
      </c>
      <c r="Q30" s="12" t="e">
        <f t="shared" si="11"/>
        <v>#NAME?</v>
      </c>
      <c r="R30" s="12"/>
      <c r="S30" s="26" t="e">
        <f t="shared" si="12"/>
        <v>#NAME?</v>
      </c>
      <c r="T30" s="26" t="e">
        <f t="shared" si="13"/>
        <v>#NAME?</v>
      </c>
      <c r="U30" s="12" t="e">
        <f t="shared" si="14"/>
        <v>#NAME?</v>
      </c>
      <c r="V30" s="12"/>
      <c r="W30" s="44" t="e">
        <f t="shared" si="15"/>
        <v>#NAME?</v>
      </c>
      <c r="X30" s="26" t="e">
        <f t="shared" si="16"/>
        <v>#NAME?</v>
      </c>
      <c r="Y30" s="12" t="e">
        <f t="shared" si="17"/>
        <v>#NAME?</v>
      </c>
    </row>
    <row r="31" spans="1:25" ht="16.5" customHeight="1" x14ac:dyDescent="0.25">
      <c r="A31" s="16" t="s">
        <v>72</v>
      </c>
      <c r="B31" s="32" t="s">
        <v>73</v>
      </c>
      <c r="C31" s="26" t="e">
        <f t="shared" si="0"/>
        <v>#NAME?</v>
      </c>
      <c r="D31" s="26" t="e">
        <f t="shared" si="1"/>
        <v>#NAME?</v>
      </c>
      <c r="E31" s="12" t="e">
        <f t="shared" si="2"/>
        <v>#NAME?</v>
      </c>
      <c r="F31" s="26"/>
      <c r="G31" s="26" t="e">
        <f t="shared" si="3"/>
        <v>#NAME?</v>
      </c>
      <c r="H31" s="26" t="e">
        <f t="shared" si="4"/>
        <v>#NAME?</v>
      </c>
      <c r="I31" s="12" t="e">
        <f t="shared" si="5"/>
        <v>#NAME?</v>
      </c>
      <c r="J31" s="26"/>
      <c r="K31" s="26" t="e">
        <f t="shared" si="6"/>
        <v>#NAME?</v>
      </c>
      <c r="L31" s="26" t="e">
        <f t="shared" si="7"/>
        <v>#NAME?</v>
      </c>
      <c r="M31" s="12" t="e">
        <f t="shared" si="8"/>
        <v>#NAME?</v>
      </c>
      <c r="N31" s="12"/>
      <c r="O31" s="26" t="e">
        <f t="shared" si="9"/>
        <v>#NAME?</v>
      </c>
      <c r="P31" s="26" t="e">
        <f t="shared" si="10"/>
        <v>#NAME?</v>
      </c>
      <c r="Q31" s="12" t="e">
        <f t="shared" si="11"/>
        <v>#NAME?</v>
      </c>
      <c r="R31" s="12"/>
      <c r="S31" s="26" t="e">
        <f t="shared" si="12"/>
        <v>#NAME?</v>
      </c>
      <c r="T31" s="26" t="e">
        <f t="shared" si="13"/>
        <v>#NAME?</v>
      </c>
      <c r="U31" s="12" t="e">
        <f t="shared" si="14"/>
        <v>#NAME?</v>
      </c>
      <c r="V31" s="12"/>
      <c r="W31" s="44" t="e">
        <f t="shared" si="15"/>
        <v>#NAME?</v>
      </c>
      <c r="X31" s="26" t="e">
        <f t="shared" si="16"/>
        <v>#NAME?</v>
      </c>
      <c r="Y31" s="12" t="e">
        <f t="shared" si="17"/>
        <v>#NAME?</v>
      </c>
    </row>
    <row r="32" spans="1:25" ht="16.5" customHeight="1" x14ac:dyDescent="0.25">
      <c r="A32" s="16" t="s">
        <v>74</v>
      </c>
      <c r="B32" s="17" t="s">
        <v>302</v>
      </c>
      <c r="C32" s="26" t="e">
        <f t="shared" si="0"/>
        <v>#NAME?</v>
      </c>
      <c r="D32" s="26" t="e">
        <f t="shared" si="1"/>
        <v>#NAME?</v>
      </c>
      <c r="E32" s="12" t="e">
        <f t="shared" si="2"/>
        <v>#NAME?</v>
      </c>
      <c r="F32" s="26"/>
      <c r="G32" s="26" t="e">
        <f t="shared" si="3"/>
        <v>#NAME?</v>
      </c>
      <c r="H32" s="26" t="e">
        <f t="shared" si="4"/>
        <v>#NAME?</v>
      </c>
      <c r="I32" s="12" t="e">
        <f t="shared" si="5"/>
        <v>#NAME?</v>
      </c>
      <c r="J32" s="26"/>
      <c r="K32" s="26" t="e">
        <f t="shared" si="6"/>
        <v>#NAME?</v>
      </c>
      <c r="L32" s="26" t="e">
        <f t="shared" si="7"/>
        <v>#NAME?</v>
      </c>
      <c r="M32" s="12" t="e">
        <f t="shared" si="8"/>
        <v>#NAME?</v>
      </c>
      <c r="N32" s="12"/>
      <c r="O32" s="26" t="e">
        <f t="shared" si="9"/>
        <v>#NAME?</v>
      </c>
      <c r="P32" s="26" t="e">
        <f t="shared" si="10"/>
        <v>#NAME?</v>
      </c>
      <c r="Q32" s="12" t="e">
        <f t="shared" si="11"/>
        <v>#NAME?</v>
      </c>
      <c r="R32" s="12"/>
      <c r="S32" s="26" t="e">
        <f t="shared" si="12"/>
        <v>#NAME?</v>
      </c>
      <c r="T32" s="26" t="e">
        <f t="shared" si="13"/>
        <v>#NAME?</v>
      </c>
      <c r="U32" s="12" t="e">
        <f t="shared" si="14"/>
        <v>#NAME?</v>
      </c>
      <c r="V32" s="12"/>
      <c r="W32" s="44" t="e">
        <f t="shared" si="15"/>
        <v>#NAME?</v>
      </c>
      <c r="X32" s="26" t="e">
        <f t="shared" si="16"/>
        <v>#NAME?</v>
      </c>
      <c r="Y32" s="12" t="e">
        <f t="shared" si="17"/>
        <v>#NAME?</v>
      </c>
    </row>
    <row r="33" spans="1:25" ht="16.5" customHeight="1" x14ac:dyDescent="0.25">
      <c r="A33" s="16" t="s">
        <v>76</v>
      </c>
      <c r="B33" s="17" t="s">
        <v>77</v>
      </c>
      <c r="C33" s="26" t="e">
        <f t="shared" si="0"/>
        <v>#NAME?</v>
      </c>
      <c r="D33" s="26" t="e">
        <f t="shared" si="1"/>
        <v>#NAME?</v>
      </c>
      <c r="E33" s="12" t="e">
        <f t="shared" si="2"/>
        <v>#NAME?</v>
      </c>
      <c r="F33" s="26"/>
      <c r="G33" s="26" t="e">
        <f t="shared" si="3"/>
        <v>#NAME?</v>
      </c>
      <c r="H33" s="26" t="e">
        <f t="shared" si="4"/>
        <v>#NAME?</v>
      </c>
      <c r="I33" s="12" t="e">
        <f t="shared" si="5"/>
        <v>#NAME?</v>
      </c>
      <c r="J33" s="26"/>
      <c r="K33" s="26" t="e">
        <f t="shared" si="6"/>
        <v>#NAME?</v>
      </c>
      <c r="L33" s="26" t="e">
        <f t="shared" si="7"/>
        <v>#NAME?</v>
      </c>
      <c r="M33" s="12" t="e">
        <f t="shared" si="8"/>
        <v>#NAME?</v>
      </c>
      <c r="N33" s="12"/>
      <c r="O33" s="26" t="e">
        <f t="shared" si="9"/>
        <v>#NAME?</v>
      </c>
      <c r="P33" s="26" t="e">
        <f t="shared" si="10"/>
        <v>#NAME?</v>
      </c>
      <c r="Q33" s="12" t="e">
        <f t="shared" si="11"/>
        <v>#NAME?</v>
      </c>
      <c r="R33" s="12"/>
      <c r="S33" s="26" t="e">
        <f t="shared" si="12"/>
        <v>#NAME?</v>
      </c>
      <c r="T33" s="26" t="e">
        <f t="shared" si="13"/>
        <v>#NAME?</v>
      </c>
      <c r="U33" s="12" t="e">
        <f t="shared" si="14"/>
        <v>#NAME?</v>
      </c>
      <c r="V33" s="12"/>
      <c r="W33" s="44" t="e">
        <f t="shared" si="15"/>
        <v>#NAME?</v>
      </c>
      <c r="X33" s="26" t="e">
        <f t="shared" si="16"/>
        <v>#NAME?</v>
      </c>
      <c r="Y33" s="12" t="e">
        <f t="shared" si="17"/>
        <v>#NAME?</v>
      </c>
    </row>
    <row r="34" spans="1:25" ht="16.5" customHeight="1" x14ac:dyDescent="0.25">
      <c r="A34" s="16" t="s">
        <v>78</v>
      </c>
      <c r="B34" s="32" t="s">
        <v>79</v>
      </c>
      <c r="C34" s="26" t="e">
        <f t="shared" si="0"/>
        <v>#NAME?</v>
      </c>
      <c r="D34" s="26" t="e">
        <f t="shared" si="1"/>
        <v>#NAME?</v>
      </c>
      <c r="E34" s="12" t="e">
        <f t="shared" si="2"/>
        <v>#NAME?</v>
      </c>
      <c r="F34" s="26"/>
      <c r="G34" s="26" t="e">
        <f t="shared" si="3"/>
        <v>#NAME?</v>
      </c>
      <c r="H34" s="26" t="e">
        <f t="shared" si="4"/>
        <v>#NAME?</v>
      </c>
      <c r="I34" s="12" t="e">
        <f t="shared" si="5"/>
        <v>#NAME?</v>
      </c>
      <c r="J34" s="26"/>
      <c r="K34" s="26" t="e">
        <f t="shared" si="6"/>
        <v>#NAME?</v>
      </c>
      <c r="L34" s="26" t="e">
        <f t="shared" si="7"/>
        <v>#NAME?</v>
      </c>
      <c r="M34" s="12" t="e">
        <f t="shared" si="8"/>
        <v>#NAME?</v>
      </c>
      <c r="N34" s="12"/>
      <c r="O34" s="26" t="e">
        <f t="shared" si="9"/>
        <v>#NAME?</v>
      </c>
      <c r="P34" s="26" t="e">
        <f t="shared" si="10"/>
        <v>#NAME?</v>
      </c>
      <c r="Q34" s="12" t="e">
        <f t="shared" si="11"/>
        <v>#NAME?</v>
      </c>
      <c r="R34" s="12"/>
      <c r="S34" s="26" t="e">
        <f t="shared" si="12"/>
        <v>#NAME?</v>
      </c>
      <c r="T34" s="26" t="e">
        <f t="shared" si="13"/>
        <v>#NAME?</v>
      </c>
      <c r="U34" s="12" t="e">
        <f t="shared" si="14"/>
        <v>#NAME?</v>
      </c>
      <c r="V34" s="12"/>
      <c r="W34" s="44" t="e">
        <f t="shared" si="15"/>
        <v>#NAME?</v>
      </c>
      <c r="X34" s="26" t="e">
        <f t="shared" si="16"/>
        <v>#NAME?</v>
      </c>
      <c r="Y34" s="12" t="e">
        <f t="shared" si="17"/>
        <v>#NAME?</v>
      </c>
    </row>
    <row r="35" spans="1:25" ht="16.5" customHeight="1" x14ac:dyDescent="0.25">
      <c r="A35" s="16" t="s">
        <v>80</v>
      </c>
      <c r="B35" s="17" t="s">
        <v>81</v>
      </c>
      <c r="C35" s="26" t="e">
        <f t="shared" si="0"/>
        <v>#NAME?</v>
      </c>
      <c r="D35" s="26" t="e">
        <f t="shared" si="1"/>
        <v>#NAME?</v>
      </c>
      <c r="E35" s="12" t="e">
        <f t="shared" si="2"/>
        <v>#NAME?</v>
      </c>
      <c r="F35" s="26"/>
      <c r="G35" s="26" t="e">
        <f t="shared" si="3"/>
        <v>#NAME?</v>
      </c>
      <c r="H35" s="26" t="e">
        <f t="shared" si="4"/>
        <v>#NAME?</v>
      </c>
      <c r="I35" s="12" t="e">
        <f t="shared" si="5"/>
        <v>#NAME?</v>
      </c>
      <c r="J35" s="26"/>
      <c r="K35" s="26" t="e">
        <f t="shared" si="6"/>
        <v>#NAME?</v>
      </c>
      <c r="L35" s="26" t="e">
        <f t="shared" si="7"/>
        <v>#NAME?</v>
      </c>
      <c r="M35" s="12" t="e">
        <f t="shared" si="8"/>
        <v>#NAME?</v>
      </c>
      <c r="N35" s="12"/>
      <c r="O35" s="26" t="e">
        <f t="shared" si="9"/>
        <v>#NAME?</v>
      </c>
      <c r="P35" s="26" t="e">
        <f t="shared" si="10"/>
        <v>#NAME?</v>
      </c>
      <c r="Q35" s="12" t="e">
        <f t="shared" si="11"/>
        <v>#NAME?</v>
      </c>
      <c r="R35" s="12"/>
      <c r="S35" s="26" t="e">
        <f t="shared" si="12"/>
        <v>#NAME?</v>
      </c>
      <c r="T35" s="26" t="e">
        <f t="shared" si="13"/>
        <v>#NAME?</v>
      </c>
      <c r="U35" s="12" t="e">
        <f t="shared" si="14"/>
        <v>#NAME?</v>
      </c>
      <c r="V35" s="12"/>
      <c r="W35" s="44" t="e">
        <f t="shared" si="15"/>
        <v>#NAME?</v>
      </c>
      <c r="X35" s="26" t="e">
        <f t="shared" si="16"/>
        <v>#NAME?</v>
      </c>
      <c r="Y35" s="12" t="e">
        <f t="shared" si="17"/>
        <v>#NAME?</v>
      </c>
    </row>
    <row r="36" spans="1:25" ht="16.5" customHeight="1" x14ac:dyDescent="0.25">
      <c r="A36" s="16" t="s">
        <v>84</v>
      </c>
      <c r="B36" s="32" t="s">
        <v>308</v>
      </c>
      <c r="C36" s="26" t="e">
        <f t="shared" ref="C36:C67" si="18">VLOOKUP(A36,MedicaidR,7,FALSE)</f>
        <v>#NAME?</v>
      </c>
      <c r="D36" s="26" t="e">
        <f t="shared" ref="D36:D67" si="19">VLOOKUP(A36,Pop,14,FALSE)</f>
        <v>#NAME?</v>
      </c>
      <c r="E36" s="12" t="e">
        <f t="shared" ref="E36:E67" si="20">+C36/D36</f>
        <v>#NAME?</v>
      </c>
      <c r="F36" s="26"/>
      <c r="G36" s="26" t="e">
        <f t="shared" ref="G36:G67" si="21">VLOOKUP(A36,MedicaidR,8,FALSE)</f>
        <v>#NAME?</v>
      </c>
      <c r="H36" s="26" t="e">
        <f t="shared" ref="H36:H67" si="22">VLOOKUP(A36,Pop,15,FALSE)</f>
        <v>#NAME?</v>
      </c>
      <c r="I36" s="12" t="e">
        <f t="shared" ref="I36:I67" si="23">+G36/H36</f>
        <v>#NAME?</v>
      </c>
      <c r="J36" s="26"/>
      <c r="K36" s="26" t="e">
        <f t="shared" ref="K36:K67" si="24">VLOOKUP(A36,MedicaidR,9,FALSE)</f>
        <v>#NAME?</v>
      </c>
      <c r="L36" s="26" t="e">
        <f t="shared" ref="L36:L67" si="25">VLOOKUP(A36,Pop,16,FALSE)</f>
        <v>#NAME?</v>
      </c>
      <c r="M36" s="12" t="e">
        <f t="shared" ref="M36:M67" si="26">+K36/L36</f>
        <v>#NAME?</v>
      </c>
      <c r="N36" s="12"/>
      <c r="O36" s="26" t="e">
        <f t="shared" ref="O36:O67" si="27">VLOOKUP(A36,MedicaidR,3,FALSE)</f>
        <v>#NAME?</v>
      </c>
      <c r="P36" s="26" t="e">
        <f t="shared" ref="P36:P67" si="28">VLOOKUP(A36,Pop,8,FALSE)</f>
        <v>#NAME?</v>
      </c>
      <c r="Q36" s="12" t="e">
        <f t="shared" ref="Q36:Q67" si="29">+O36/P36</f>
        <v>#NAME?</v>
      </c>
      <c r="R36" s="12"/>
      <c r="S36" s="26" t="e">
        <f t="shared" ref="S36:S67" si="30">VLOOKUP(A36,MedicaidR,4,FALSE)</f>
        <v>#NAME?</v>
      </c>
      <c r="T36" s="26" t="e">
        <f t="shared" ref="T36:T67" si="31">VLOOKUP(A36,Pop,9,FALSE)</f>
        <v>#NAME?</v>
      </c>
      <c r="U36" s="12" t="e">
        <f t="shared" ref="U36:U67" si="32">+S36/T36</f>
        <v>#NAME?</v>
      </c>
      <c r="V36" s="12"/>
      <c r="W36" s="44" t="e">
        <f t="shared" ref="W36:W67" si="33">VLOOKUP(A36,MedicaidR,5,FALSE)</f>
        <v>#NAME?</v>
      </c>
      <c r="X36" s="26" t="e">
        <f t="shared" ref="X36:X67" si="34">VLOOKUP(A36,Pop,10,FALSE)</f>
        <v>#NAME?</v>
      </c>
      <c r="Y36" s="12" t="e">
        <f t="shared" ref="Y36:Y67" si="35">+W36/X36</f>
        <v>#NAME?</v>
      </c>
    </row>
    <row r="37" spans="1:25" ht="16.5" customHeight="1" x14ac:dyDescent="0.25">
      <c r="A37" s="16" t="s">
        <v>86</v>
      </c>
      <c r="B37" s="17" t="s">
        <v>87</v>
      </c>
      <c r="C37" s="26" t="e">
        <f t="shared" si="18"/>
        <v>#NAME?</v>
      </c>
      <c r="D37" s="26" t="e">
        <f t="shared" si="19"/>
        <v>#NAME?</v>
      </c>
      <c r="E37" s="12" t="e">
        <f t="shared" si="20"/>
        <v>#NAME?</v>
      </c>
      <c r="F37" s="26"/>
      <c r="G37" s="26" t="e">
        <f t="shared" si="21"/>
        <v>#NAME?</v>
      </c>
      <c r="H37" s="26" t="e">
        <f t="shared" si="22"/>
        <v>#NAME?</v>
      </c>
      <c r="I37" s="12" t="e">
        <f t="shared" si="23"/>
        <v>#NAME?</v>
      </c>
      <c r="J37" s="26"/>
      <c r="K37" s="26" t="e">
        <f t="shared" si="24"/>
        <v>#NAME?</v>
      </c>
      <c r="L37" s="26" t="e">
        <f t="shared" si="25"/>
        <v>#NAME?</v>
      </c>
      <c r="M37" s="12" t="e">
        <f t="shared" si="26"/>
        <v>#NAME?</v>
      </c>
      <c r="N37" s="12"/>
      <c r="O37" s="26" t="e">
        <f t="shared" si="27"/>
        <v>#NAME?</v>
      </c>
      <c r="P37" s="26" t="e">
        <f t="shared" si="28"/>
        <v>#NAME?</v>
      </c>
      <c r="Q37" s="12" t="e">
        <f t="shared" si="29"/>
        <v>#NAME?</v>
      </c>
      <c r="R37" s="12"/>
      <c r="S37" s="26" t="e">
        <f t="shared" si="30"/>
        <v>#NAME?</v>
      </c>
      <c r="T37" s="26" t="e">
        <f t="shared" si="31"/>
        <v>#NAME?</v>
      </c>
      <c r="U37" s="12" t="e">
        <f t="shared" si="32"/>
        <v>#NAME?</v>
      </c>
      <c r="V37" s="12"/>
      <c r="W37" s="44" t="e">
        <f t="shared" si="33"/>
        <v>#NAME?</v>
      </c>
      <c r="X37" s="26" t="e">
        <f t="shared" si="34"/>
        <v>#NAME?</v>
      </c>
      <c r="Y37" s="12" t="e">
        <f t="shared" si="35"/>
        <v>#NAME?</v>
      </c>
    </row>
    <row r="38" spans="1:25" ht="16.5" customHeight="1" x14ac:dyDescent="0.25">
      <c r="A38" s="16" t="s">
        <v>92</v>
      </c>
      <c r="B38" s="17" t="s">
        <v>93</v>
      </c>
      <c r="C38" s="26" t="e">
        <f t="shared" si="18"/>
        <v>#NAME?</v>
      </c>
      <c r="D38" s="26" t="e">
        <f t="shared" si="19"/>
        <v>#NAME?</v>
      </c>
      <c r="E38" s="12" t="e">
        <f t="shared" si="20"/>
        <v>#NAME?</v>
      </c>
      <c r="F38" s="26"/>
      <c r="G38" s="26" t="e">
        <f t="shared" si="21"/>
        <v>#NAME?</v>
      </c>
      <c r="H38" s="26" t="e">
        <f t="shared" si="22"/>
        <v>#NAME?</v>
      </c>
      <c r="I38" s="12" t="e">
        <f t="shared" si="23"/>
        <v>#NAME?</v>
      </c>
      <c r="J38" s="26"/>
      <c r="K38" s="26" t="e">
        <f t="shared" si="24"/>
        <v>#NAME?</v>
      </c>
      <c r="L38" s="26" t="e">
        <f t="shared" si="25"/>
        <v>#NAME?</v>
      </c>
      <c r="M38" s="12" t="e">
        <f t="shared" si="26"/>
        <v>#NAME?</v>
      </c>
      <c r="N38" s="12"/>
      <c r="O38" s="26" t="e">
        <f t="shared" si="27"/>
        <v>#NAME?</v>
      </c>
      <c r="P38" s="26" t="e">
        <f t="shared" si="28"/>
        <v>#NAME?</v>
      </c>
      <c r="Q38" s="12" t="e">
        <f t="shared" si="29"/>
        <v>#NAME?</v>
      </c>
      <c r="R38" s="12"/>
      <c r="S38" s="26" t="e">
        <f t="shared" si="30"/>
        <v>#NAME?</v>
      </c>
      <c r="T38" s="26" t="e">
        <f t="shared" si="31"/>
        <v>#NAME?</v>
      </c>
      <c r="U38" s="12" t="e">
        <f t="shared" si="32"/>
        <v>#NAME?</v>
      </c>
      <c r="V38" s="12"/>
      <c r="W38" s="44" t="e">
        <f t="shared" si="33"/>
        <v>#NAME?</v>
      </c>
      <c r="X38" s="26" t="e">
        <f t="shared" si="34"/>
        <v>#NAME?</v>
      </c>
      <c r="Y38" s="12" t="e">
        <f t="shared" si="35"/>
        <v>#NAME?</v>
      </c>
    </row>
    <row r="39" spans="1:25" ht="16.5" customHeight="1" x14ac:dyDescent="0.25">
      <c r="A39" s="16" t="s">
        <v>94</v>
      </c>
      <c r="B39" s="17" t="s">
        <v>95</v>
      </c>
      <c r="C39" s="26" t="e">
        <f t="shared" si="18"/>
        <v>#NAME?</v>
      </c>
      <c r="D39" s="26" t="e">
        <f t="shared" si="19"/>
        <v>#NAME?</v>
      </c>
      <c r="E39" s="12" t="e">
        <f t="shared" si="20"/>
        <v>#NAME?</v>
      </c>
      <c r="F39" s="26"/>
      <c r="G39" s="26" t="e">
        <f t="shared" si="21"/>
        <v>#NAME?</v>
      </c>
      <c r="H39" s="26" t="e">
        <f t="shared" si="22"/>
        <v>#NAME?</v>
      </c>
      <c r="I39" s="12" t="e">
        <f t="shared" si="23"/>
        <v>#NAME?</v>
      </c>
      <c r="J39" s="26"/>
      <c r="K39" s="26" t="e">
        <f t="shared" si="24"/>
        <v>#NAME?</v>
      </c>
      <c r="L39" s="26" t="e">
        <f t="shared" si="25"/>
        <v>#NAME?</v>
      </c>
      <c r="M39" s="12" t="e">
        <f t="shared" si="26"/>
        <v>#NAME?</v>
      </c>
      <c r="N39" s="12"/>
      <c r="O39" s="26" t="e">
        <f t="shared" si="27"/>
        <v>#NAME?</v>
      </c>
      <c r="P39" s="26" t="e">
        <f t="shared" si="28"/>
        <v>#NAME?</v>
      </c>
      <c r="Q39" s="12" t="e">
        <f t="shared" si="29"/>
        <v>#NAME?</v>
      </c>
      <c r="R39" s="12"/>
      <c r="S39" s="26" t="e">
        <f t="shared" si="30"/>
        <v>#NAME?</v>
      </c>
      <c r="T39" s="26" t="e">
        <f t="shared" si="31"/>
        <v>#NAME?</v>
      </c>
      <c r="U39" s="12" t="e">
        <f t="shared" si="32"/>
        <v>#NAME?</v>
      </c>
      <c r="V39" s="12"/>
      <c r="W39" s="44" t="e">
        <f t="shared" si="33"/>
        <v>#NAME?</v>
      </c>
      <c r="X39" s="26" t="e">
        <f t="shared" si="34"/>
        <v>#NAME?</v>
      </c>
      <c r="Y39" s="12" t="e">
        <f t="shared" si="35"/>
        <v>#NAME?</v>
      </c>
    </row>
    <row r="40" spans="1:25" ht="16.5" customHeight="1" x14ac:dyDescent="0.25">
      <c r="A40" s="16" t="s">
        <v>96</v>
      </c>
      <c r="B40" s="17" t="s">
        <v>97</v>
      </c>
      <c r="C40" s="26" t="e">
        <f t="shared" si="18"/>
        <v>#NAME?</v>
      </c>
      <c r="D40" s="26" t="e">
        <f t="shared" si="19"/>
        <v>#NAME?</v>
      </c>
      <c r="E40" s="12" t="e">
        <f t="shared" si="20"/>
        <v>#NAME?</v>
      </c>
      <c r="F40" s="26"/>
      <c r="G40" s="26" t="e">
        <f t="shared" si="21"/>
        <v>#NAME?</v>
      </c>
      <c r="H40" s="26" t="e">
        <f t="shared" si="22"/>
        <v>#NAME?</v>
      </c>
      <c r="I40" s="12" t="e">
        <f t="shared" si="23"/>
        <v>#NAME?</v>
      </c>
      <c r="J40" s="26"/>
      <c r="K40" s="26" t="e">
        <f t="shared" si="24"/>
        <v>#NAME?</v>
      </c>
      <c r="L40" s="26" t="e">
        <f t="shared" si="25"/>
        <v>#NAME?</v>
      </c>
      <c r="M40" s="12" t="e">
        <f t="shared" si="26"/>
        <v>#NAME?</v>
      </c>
      <c r="N40" s="12"/>
      <c r="O40" s="26" t="e">
        <f t="shared" si="27"/>
        <v>#NAME?</v>
      </c>
      <c r="P40" s="26" t="e">
        <f t="shared" si="28"/>
        <v>#NAME?</v>
      </c>
      <c r="Q40" s="12" t="e">
        <f t="shared" si="29"/>
        <v>#NAME?</v>
      </c>
      <c r="R40" s="12"/>
      <c r="S40" s="26" t="e">
        <f t="shared" si="30"/>
        <v>#NAME?</v>
      </c>
      <c r="T40" s="26" t="e">
        <f t="shared" si="31"/>
        <v>#NAME?</v>
      </c>
      <c r="U40" s="12" t="e">
        <f t="shared" si="32"/>
        <v>#NAME?</v>
      </c>
      <c r="V40" s="12"/>
      <c r="W40" s="44" t="e">
        <f t="shared" si="33"/>
        <v>#NAME?</v>
      </c>
      <c r="X40" s="26" t="e">
        <f t="shared" si="34"/>
        <v>#NAME?</v>
      </c>
      <c r="Y40" s="12" t="e">
        <f t="shared" si="35"/>
        <v>#NAME?</v>
      </c>
    </row>
    <row r="41" spans="1:25" ht="16.5" customHeight="1" x14ac:dyDescent="0.25">
      <c r="A41" s="16" t="s">
        <v>98</v>
      </c>
      <c r="B41" s="32" t="s">
        <v>99</v>
      </c>
      <c r="C41" s="26" t="e">
        <f t="shared" si="18"/>
        <v>#NAME?</v>
      </c>
      <c r="D41" s="26" t="e">
        <f t="shared" si="19"/>
        <v>#NAME?</v>
      </c>
      <c r="E41" s="12" t="e">
        <f t="shared" si="20"/>
        <v>#NAME?</v>
      </c>
      <c r="F41" s="26"/>
      <c r="G41" s="26" t="e">
        <f t="shared" si="21"/>
        <v>#NAME?</v>
      </c>
      <c r="H41" s="26" t="e">
        <f t="shared" si="22"/>
        <v>#NAME?</v>
      </c>
      <c r="I41" s="12" t="e">
        <f t="shared" si="23"/>
        <v>#NAME?</v>
      </c>
      <c r="J41" s="26"/>
      <c r="K41" s="26" t="e">
        <f t="shared" si="24"/>
        <v>#NAME?</v>
      </c>
      <c r="L41" s="26" t="e">
        <f t="shared" si="25"/>
        <v>#NAME?</v>
      </c>
      <c r="M41" s="12" t="e">
        <f t="shared" si="26"/>
        <v>#NAME?</v>
      </c>
      <c r="N41" s="12"/>
      <c r="O41" s="26" t="e">
        <f t="shared" si="27"/>
        <v>#NAME?</v>
      </c>
      <c r="P41" s="26" t="e">
        <f t="shared" si="28"/>
        <v>#NAME?</v>
      </c>
      <c r="Q41" s="12" t="e">
        <f t="shared" si="29"/>
        <v>#NAME?</v>
      </c>
      <c r="R41" s="12"/>
      <c r="S41" s="26" t="e">
        <f t="shared" si="30"/>
        <v>#NAME?</v>
      </c>
      <c r="T41" s="26" t="e">
        <f t="shared" si="31"/>
        <v>#NAME?</v>
      </c>
      <c r="U41" s="12" t="e">
        <f t="shared" si="32"/>
        <v>#NAME?</v>
      </c>
      <c r="V41" s="12"/>
      <c r="W41" s="44" t="e">
        <f t="shared" si="33"/>
        <v>#NAME?</v>
      </c>
      <c r="X41" s="26" t="e">
        <f t="shared" si="34"/>
        <v>#NAME?</v>
      </c>
      <c r="Y41" s="12" t="e">
        <f t="shared" si="35"/>
        <v>#NAME?</v>
      </c>
    </row>
    <row r="42" spans="1:25" ht="16.5" customHeight="1" x14ac:dyDescent="0.25">
      <c r="A42" s="16" t="s">
        <v>100</v>
      </c>
      <c r="B42" s="32" t="s">
        <v>101</v>
      </c>
      <c r="C42" s="26" t="e">
        <f t="shared" si="18"/>
        <v>#NAME?</v>
      </c>
      <c r="D42" s="26" t="e">
        <f t="shared" si="19"/>
        <v>#NAME?</v>
      </c>
      <c r="E42" s="12" t="e">
        <f t="shared" si="20"/>
        <v>#NAME?</v>
      </c>
      <c r="F42" s="26"/>
      <c r="G42" s="26" t="e">
        <f t="shared" si="21"/>
        <v>#NAME?</v>
      </c>
      <c r="H42" s="26" t="e">
        <f t="shared" si="22"/>
        <v>#NAME?</v>
      </c>
      <c r="I42" s="12" t="e">
        <f t="shared" si="23"/>
        <v>#NAME?</v>
      </c>
      <c r="J42" s="26"/>
      <c r="K42" s="26" t="e">
        <f t="shared" si="24"/>
        <v>#NAME?</v>
      </c>
      <c r="L42" s="26" t="e">
        <f t="shared" si="25"/>
        <v>#NAME?</v>
      </c>
      <c r="M42" s="12" t="e">
        <f t="shared" si="26"/>
        <v>#NAME?</v>
      </c>
      <c r="N42" s="12"/>
      <c r="O42" s="26" t="e">
        <f t="shared" si="27"/>
        <v>#NAME?</v>
      </c>
      <c r="P42" s="26" t="e">
        <f t="shared" si="28"/>
        <v>#NAME?</v>
      </c>
      <c r="Q42" s="12" t="e">
        <f t="shared" si="29"/>
        <v>#NAME?</v>
      </c>
      <c r="R42" s="12"/>
      <c r="S42" s="26" t="e">
        <f t="shared" si="30"/>
        <v>#NAME?</v>
      </c>
      <c r="T42" s="26" t="e">
        <f t="shared" si="31"/>
        <v>#NAME?</v>
      </c>
      <c r="U42" s="12" t="e">
        <f t="shared" si="32"/>
        <v>#NAME?</v>
      </c>
      <c r="V42" s="12"/>
      <c r="W42" s="44" t="e">
        <f t="shared" si="33"/>
        <v>#NAME?</v>
      </c>
      <c r="X42" s="26" t="e">
        <f t="shared" si="34"/>
        <v>#NAME?</v>
      </c>
      <c r="Y42" s="12" t="e">
        <f t="shared" si="35"/>
        <v>#NAME?</v>
      </c>
    </row>
    <row r="43" spans="1:25" ht="16.5" customHeight="1" x14ac:dyDescent="0.25">
      <c r="A43" s="16" t="s">
        <v>102</v>
      </c>
      <c r="B43" s="32" t="s">
        <v>103</v>
      </c>
      <c r="C43" s="26" t="e">
        <f t="shared" si="18"/>
        <v>#NAME?</v>
      </c>
      <c r="D43" s="26" t="e">
        <f t="shared" si="19"/>
        <v>#NAME?</v>
      </c>
      <c r="E43" s="12" t="e">
        <f t="shared" si="20"/>
        <v>#NAME?</v>
      </c>
      <c r="F43" s="26"/>
      <c r="G43" s="26" t="e">
        <f t="shared" si="21"/>
        <v>#NAME?</v>
      </c>
      <c r="H43" s="26" t="e">
        <f t="shared" si="22"/>
        <v>#NAME?</v>
      </c>
      <c r="I43" s="12" t="e">
        <f t="shared" si="23"/>
        <v>#NAME?</v>
      </c>
      <c r="J43" s="26"/>
      <c r="K43" s="26" t="e">
        <f t="shared" si="24"/>
        <v>#NAME?</v>
      </c>
      <c r="L43" s="26" t="e">
        <f t="shared" si="25"/>
        <v>#NAME?</v>
      </c>
      <c r="M43" s="12" t="e">
        <f t="shared" si="26"/>
        <v>#NAME?</v>
      </c>
      <c r="N43" s="12"/>
      <c r="O43" s="26" t="e">
        <f t="shared" si="27"/>
        <v>#NAME?</v>
      </c>
      <c r="P43" s="26" t="e">
        <f t="shared" si="28"/>
        <v>#NAME?</v>
      </c>
      <c r="Q43" s="12" t="e">
        <f t="shared" si="29"/>
        <v>#NAME?</v>
      </c>
      <c r="R43" s="12"/>
      <c r="S43" s="26" t="e">
        <f t="shared" si="30"/>
        <v>#NAME?</v>
      </c>
      <c r="T43" s="26" t="e">
        <f t="shared" si="31"/>
        <v>#NAME?</v>
      </c>
      <c r="U43" s="12" t="e">
        <f t="shared" si="32"/>
        <v>#NAME?</v>
      </c>
      <c r="V43" s="12"/>
      <c r="W43" s="44" t="e">
        <f t="shared" si="33"/>
        <v>#NAME?</v>
      </c>
      <c r="X43" s="26" t="e">
        <f t="shared" si="34"/>
        <v>#NAME?</v>
      </c>
      <c r="Y43" s="12" t="e">
        <f t="shared" si="35"/>
        <v>#NAME?</v>
      </c>
    </row>
    <row r="44" spans="1:25" ht="16.5" customHeight="1" x14ac:dyDescent="0.25">
      <c r="A44" s="16" t="s">
        <v>104</v>
      </c>
      <c r="B44" s="17" t="s">
        <v>309</v>
      </c>
      <c r="C44" s="26" t="e">
        <f t="shared" si="18"/>
        <v>#NAME?</v>
      </c>
      <c r="D44" s="26" t="e">
        <f t="shared" si="19"/>
        <v>#NAME?</v>
      </c>
      <c r="E44" s="12" t="e">
        <f t="shared" si="20"/>
        <v>#NAME?</v>
      </c>
      <c r="F44" s="26"/>
      <c r="G44" s="26" t="e">
        <f t="shared" si="21"/>
        <v>#NAME?</v>
      </c>
      <c r="H44" s="26" t="e">
        <f t="shared" si="22"/>
        <v>#NAME?</v>
      </c>
      <c r="I44" s="12" t="e">
        <f t="shared" si="23"/>
        <v>#NAME?</v>
      </c>
      <c r="J44" s="26"/>
      <c r="K44" s="26" t="e">
        <f t="shared" si="24"/>
        <v>#NAME?</v>
      </c>
      <c r="L44" s="26" t="e">
        <f t="shared" si="25"/>
        <v>#NAME?</v>
      </c>
      <c r="M44" s="12" t="e">
        <f t="shared" si="26"/>
        <v>#NAME?</v>
      </c>
      <c r="N44" s="12"/>
      <c r="O44" s="26" t="e">
        <f t="shared" si="27"/>
        <v>#NAME?</v>
      </c>
      <c r="P44" s="26" t="e">
        <f t="shared" si="28"/>
        <v>#NAME?</v>
      </c>
      <c r="Q44" s="12" t="e">
        <f t="shared" si="29"/>
        <v>#NAME?</v>
      </c>
      <c r="R44" s="12"/>
      <c r="S44" s="26" t="e">
        <f t="shared" si="30"/>
        <v>#NAME?</v>
      </c>
      <c r="T44" s="26" t="e">
        <f t="shared" si="31"/>
        <v>#NAME?</v>
      </c>
      <c r="U44" s="12" t="e">
        <f t="shared" si="32"/>
        <v>#NAME?</v>
      </c>
      <c r="V44" s="12"/>
      <c r="W44" s="44" t="e">
        <f t="shared" si="33"/>
        <v>#NAME?</v>
      </c>
      <c r="X44" s="26" t="e">
        <f t="shared" si="34"/>
        <v>#NAME?</v>
      </c>
      <c r="Y44" s="12" t="e">
        <f t="shared" si="35"/>
        <v>#NAME?</v>
      </c>
    </row>
    <row r="45" spans="1:25" ht="16.5" customHeight="1" x14ac:dyDescent="0.25">
      <c r="A45" s="16" t="s">
        <v>108</v>
      </c>
      <c r="B45" s="17" t="s">
        <v>109</v>
      </c>
      <c r="C45" s="26" t="e">
        <f t="shared" si="18"/>
        <v>#NAME?</v>
      </c>
      <c r="D45" s="26" t="e">
        <f t="shared" si="19"/>
        <v>#NAME?</v>
      </c>
      <c r="E45" s="12" t="e">
        <f t="shared" si="20"/>
        <v>#NAME?</v>
      </c>
      <c r="F45" s="26"/>
      <c r="G45" s="26" t="e">
        <f t="shared" si="21"/>
        <v>#NAME?</v>
      </c>
      <c r="H45" s="26" t="e">
        <f t="shared" si="22"/>
        <v>#NAME?</v>
      </c>
      <c r="I45" s="12" t="e">
        <f t="shared" si="23"/>
        <v>#NAME?</v>
      </c>
      <c r="J45" s="26"/>
      <c r="K45" s="26" t="e">
        <f t="shared" si="24"/>
        <v>#NAME?</v>
      </c>
      <c r="L45" s="26" t="e">
        <f t="shared" si="25"/>
        <v>#NAME?</v>
      </c>
      <c r="M45" s="12" t="e">
        <f t="shared" si="26"/>
        <v>#NAME?</v>
      </c>
      <c r="N45" s="12"/>
      <c r="O45" s="26" t="e">
        <f t="shared" si="27"/>
        <v>#NAME?</v>
      </c>
      <c r="P45" s="26" t="e">
        <f t="shared" si="28"/>
        <v>#NAME?</v>
      </c>
      <c r="Q45" s="12" t="e">
        <f t="shared" si="29"/>
        <v>#NAME?</v>
      </c>
      <c r="R45" s="12"/>
      <c r="S45" s="26" t="e">
        <f t="shared" si="30"/>
        <v>#NAME?</v>
      </c>
      <c r="T45" s="26" t="e">
        <f t="shared" si="31"/>
        <v>#NAME?</v>
      </c>
      <c r="U45" s="12" t="e">
        <f t="shared" si="32"/>
        <v>#NAME?</v>
      </c>
      <c r="V45" s="12"/>
      <c r="W45" s="44" t="e">
        <f t="shared" si="33"/>
        <v>#NAME?</v>
      </c>
      <c r="X45" s="26" t="e">
        <f t="shared" si="34"/>
        <v>#NAME?</v>
      </c>
      <c r="Y45" s="12" t="e">
        <f t="shared" si="35"/>
        <v>#NAME?</v>
      </c>
    </row>
    <row r="46" spans="1:25" ht="16.5" customHeight="1" x14ac:dyDescent="0.25">
      <c r="A46" s="16" t="s">
        <v>110</v>
      </c>
      <c r="B46" s="17" t="s">
        <v>111</v>
      </c>
      <c r="C46" s="26" t="e">
        <f t="shared" si="18"/>
        <v>#NAME?</v>
      </c>
      <c r="D46" s="26" t="e">
        <f t="shared" si="19"/>
        <v>#NAME?</v>
      </c>
      <c r="E46" s="12" t="e">
        <f t="shared" si="20"/>
        <v>#NAME?</v>
      </c>
      <c r="F46" s="26"/>
      <c r="G46" s="26" t="e">
        <f t="shared" si="21"/>
        <v>#NAME?</v>
      </c>
      <c r="H46" s="26" t="e">
        <f t="shared" si="22"/>
        <v>#NAME?</v>
      </c>
      <c r="I46" s="12" t="e">
        <f t="shared" si="23"/>
        <v>#NAME?</v>
      </c>
      <c r="J46" s="26"/>
      <c r="K46" s="26" t="e">
        <f t="shared" si="24"/>
        <v>#NAME?</v>
      </c>
      <c r="L46" s="26" t="e">
        <f t="shared" si="25"/>
        <v>#NAME?</v>
      </c>
      <c r="M46" s="12" t="e">
        <f t="shared" si="26"/>
        <v>#NAME?</v>
      </c>
      <c r="N46" s="12"/>
      <c r="O46" s="26" t="e">
        <f t="shared" si="27"/>
        <v>#NAME?</v>
      </c>
      <c r="P46" s="26" t="e">
        <f t="shared" si="28"/>
        <v>#NAME?</v>
      </c>
      <c r="Q46" s="12" t="e">
        <f t="shared" si="29"/>
        <v>#NAME?</v>
      </c>
      <c r="R46" s="12"/>
      <c r="S46" s="26" t="e">
        <f t="shared" si="30"/>
        <v>#NAME?</v>
      </c>
      <c r="T46" s="26" t="e">
        <f t="shared" si="31"/>
        <v>#NAME?</v>
      </c>
      <c r="U46" s="12" t="e">
        <f t="shared" si="32"/>
        <v>#NAME?</v>
      </c>
      <c r="V46" s="12"/>
      <c r="W46" s="44" t="e">
        <f t="shared" si="33"/>
        <v>#NAME?</v>
      </c>
      <c r="X46" s="26" t="e">
        <f t="shared" si="34"/>
        <v>#NAME?</v>
      </c>
      <c r="Y46" s="12" t="e">
        <f t="shared" si="35"/>
        <v>#NAME?</v>
      </c>
    </row>
    <row r="47" spans="1:25" ht="16.5" customHeight="1" x14ac:dyDescent="0.25">
      <c r="A47" s="16" t="s">
        <v>112</v>
      </c>
      <c r="B47" s="32" t="s">
        <v>300</v>
      </c>
      <c r="C47" s="26" t="e">
        <f t="shared" si="18"/>
        <v>#NAME?</v>
      </c>
      <c r="D47" s="26" t="e">
        <f t="shared" si="19"/>
        <v>#NAME?</v>
      </c>
      <c r="E47" s="12" t="e">
        <f t="shared" si="20"/>
        <v>#NAME?</v>
      </c>
      <c r="F47" s="26"/>
      <c r="G47" s="26" t="e">
        <f t="shared" si="21"/>
        <v>#NAME?</v>
      </c>
      <c r="H47" s="26" t="e">
        <f t="shared" si="22"/>
        <v>#NAME?</v>
      </c>
      <c r="I47" s="12" t="e">
        <f t="shared" si="23"/>
        <v>#NAME?</v>
      </c>
      <c r="J47" s="26"/>
      <c r="K47" s="26" t="e">
        <f t="shared" si="24"/>
        <v>#NAME?</v>
      </c>
      <c r="L47" s="26" t="e">
        <f t="shared" si="25"/>
        <v>#NAME?</v>
      </c>
      <c r="M47" s="12" t="e">
        <f t="shared" si="26"/>
        <v>#NAME?</v>
      </c>
      <c r="N47" s="12"/>
      <c r="O47" s="26" t="e">
        <f t="shared" si="27"/>
        <v>#NAME?</v>
      </c>
      <c r="P47" s="26" t="e">
        <f t="shared" si="28"/>
        <v>#NAME?</v>
      </c>
      <c r="Q47" s="12" t="e">
        <f t="shared" si="29"/>
        <v>#NAME?</v>
      </c>
      <c r="R47" s="12"/>
      <c r="S47" s="26" t="e">
        <f t="shared" si="30"/>
        <v>#NAME?</v>
      </c>
      <c r="T47" s="26" t="e">
        <f t="shared" si="31"/>
        <v>#NAME?</v>
      </c>
      <c r="U47" s="12" t="e">
        <f t="shared" si="32"/>
        <v>#NAME?</v>
      </c>
      <c r="V47" s="12"/>
      <c r="W47" s="44" t="e">
        <f t="shared" si="33"/>
        <v>#NAME?</v>
      </c>
      <c r="X47" s="26" t="e">
        <f t="shared" si="34"/>
        <v>#NAME?</v>
      </c>
      <c r="Y47" s="12" t="e">
        <f t="shared" si="35"/>
        <v>#NAME?</v>
      </c>
    </row>
    <row r="48" spans="1:25" ht="16.5" customHeight="1" x14ac:dyDescent="0.25">
      <c r="A48" s="16" t="s">
        <v>114</v>
      </c>
      <c r="B48" s="32" t="s">
        <v>115</v>
      </c>
      <c r="C48" s="26" t="e">
        <f t="shared" si="18"/>
        <v>#NAME?</v>
      </c>
      <c r="D48" s="26" t="e">
        <f t="shared" si="19"/>
        <v>#NAME?</v>
      </c>
      <c r="E48" s="12" t="e">
        <f t="shared" si="20"/>
        <v>#NAME?</v>
      </c>
      <c r="F48" s="26"/>
      <c r="G48" s="26" t="e">
        <f t="shared" si="21"/>
        <v>#NAME?</v>
      </c>
      <c r="H48" s="26" t="e">
        <f t="shared" si="22"/>
        <v>#NAME?</v>
      </c>
      <c r="I48" s="12" t="e">
        <f t="shared" si="23"/>
        <v>#NAME?</v>
      </c>
      <c r="J48" s="26"/>
      <c r="K48" s="26" t="e">
        <f t="shared" si="24"/>
        <v>#NAME?</v>
      </c>
      <c r="L48" s="26" t="e">
        <f t="shared" si="25"/>
        <v>#NAME?</v>
      </c>
      <c r="M48" s="12" t="e">
        <f t="shared" si="26"/>
        <v>#NAME?</v>
      </c>
      <c r="N48" s="12"/>
      <c r="O48" s="26" t="e">
        <f t="shared" si="27"/>
        <v>#NAME?</v>
      </c>
      <c r="P48" s="26" t="e">
        <f t="shared" si="28"/>
        <v>#NAME?</v>
      </c>
      <c r="Q48" s="12" t="e">
        <f t="shared" si="29"/>
        <v>#NAME?</v>
      </c>
      <c r="R48" s="12"/>
      <c r="S48" s="26" t="e">
        <f t="shared" si="30"/>
        <v>#NAME?</v>
      </c>
      <c r="T48" s="26" t="e">
        <f t="shared" si="31"/>
        <v>#NAME?</v>
      </c>
      <c r="U48" s="12" t="e">
        <f t="shared" si="32"/>
        <v>#NAME?</v>
      </c>
      <c r="V48" s="12"/>
      <c r="W48" s="44" t="e">
        <f t="shared" si="33"/>
        <v>#NAME?</v>
      </c>
      <c r="X48" s="26" t="e">
        <f t="shared" si="34"/>
        <v>#NAME?</v>
      </c>
      <c r="Y48" s="12" t="e">
        <f t="shared" si="35"/>
        <v>#NAME?</v>
      </c>
    </row>
    <row r="49" spans="1:25" ht="16.5" customHeight="1" x14ac:dyDescent="0.25">
      <c r="A49" s="16" t="s">
        <v>118</v>
      </c>
      <c r="B49" s="17" t="s">
        <v>119</v>
      </c>
      <c r="C49" s="26" t="e">
        <f t="shared" si="18"/>
        <v>#NAME?</v>
      </c>
      <c r="D49" s="26" t="e">
        <f t="shared" si="19"/>
        <v>#NAME?</v>
      </c>
      <c r="E49" s="12" t="e">
        <f t="shared" si="20"/>
        <v>#NAME?</v>
      </c>
      <c r="F49" s="26"/>
      <c r="G49" s="26" t="e">
        <f t="shared" si="21"/>
        <v>#NAME?</v>
      </c>
      <c r="H49" s="26" t="e">
        <f t="shared" si="22"/>
        <v>#NAME?</v>
      </c>
      <c r="I49" s="12" t="e">
        <f t="shared" si="23"/>
        <v>#NAME?</v>
      </c>
      <c r="J49" s="26"/>
      <c r="K49" s="26" t="e">
        <f t="shared" si="24"/>
        <v>#NAME?</v>
      </c>
      <c r="L49" s="26" t="e">
        <f t="shared" si="25"/>
        <v>#NAME?</v>
      </c>
      <c r="M49" s="12" t="e">
        <f t="shared" si="26"/>
        <v>#NAME?</v>
      </c>
      <c r="N49" s="12"/>
      <c r="O49" s="26" t="e">
        <f t="shared" si="27"/>
        <v>#NAME?</v>
      </c>
      <c r="P49" s="26" t="e">
        <f t="shared" si="28"/>
        <v>#NAME?</v>
      </c>
      <c r="Q49" s="12" t="e">
        <f t="shared" si="29"/>
        <v>#NAME?</v>
      </c>
      <c r="R49" s="12"/>
      <c r="S49" s="26" t="e">
        <f t="shared" si="30"/>
        <v>#NAME?</v>
      </c>
      <c r="T49" s="26" t="e">
        <f t="shared" si="31"/>
        <v>#NAME?</v>
      </c>
      <c r="U49" s="12" t="e">
        <f t="shared" si="32"/>
        <v>#NAME?</v>
      </c>
      <c r="V49" s="12"/>
      <c r="W49" s="44" t="e">
        <f t="shared" si="33"/>
        <v>#NAME?</v>
      </c>
      <c r="X49" s="26" t="e">
        <f t="shared" si="34"/>
        <v>#NAME?</v>
      </c>
      <c r="Y49" s="12" t="e">
        <f t="shared" si="35"/>
        <v>#NAME?</v>
      </c>
    </row>
    <row r="50" spans="1:25" ht="16.5" customHeight="1" x14ac:dyDescent="0.25">
      <c r="A50" s="16" t="s">
        <v>120</v>
      </c>
      <c r="B50" s="17" t="s">
        <v>121</v>
      </c>
      <c r="C50" s="26" t="e">
        <f t="shared" si="18"/>
        <v>#NAME?</v>
      </c>
      <c r="D50" s="26" t="e">
        <f t="shared" si="19"/>
        <v>#NAME?</v>
      </c>
      <c r="E50" s="12" t="e">
        <f t="shared" si="20"/>
        <v>#NAME?</v>
      </c>
      <c r="F50" s="26"/>
      <c r="G50" s="26" t="e">
        <f t="shared" si="21"/>
        <v>#NAME?</v>
      </c>
      <c r="H50" s="26" t="e">
        <f t="shared" si="22"/>
        <v>#NAME?</v>
      </c>
      <c r="I50" s="12" t="e">
        <f t="shared" si="23"/>
        <v>#NAME?</v>
      </c>
      <c r="J50" s="26"/>
      <c r="K50" s="26" t="e">
        <f t="shared" si="24"/>
        <v>#NAME?</v>
      </c>
      <c r="L50" s="26" t="e">
        <f t="shared" si="25"/>
        <v>#NAME?</v>
      </c>
      <c r="M50" s="12" t="e">
        <f t="shared" si="26"/>
        <v>#NAME?</v>
      </c>
      <c r="N50" s="12"/>
      <c r="O50" s="26" t="e">
        <f t="shared" si="27"/>
        <v>#NAME?</v>
      </c>
      <c r="P50" s="26" t="e">
        <f t="shared" si="28"/>
        <v>#NAME?</v>
      </c>
      <c r="Q50" s="12" t="e">
        <f t="shared" si="29"/>
        <v>#NAME?</v>
      </c>
      <c r="R50" s="12"/>
      <c r="S50" s="26" t="e">
        <f t="shared" si="30"/>
        <v>#NAME?</v>
      </c>
      <c r="T50" s="26" t="e">
        <f t="shared" si="31"/>
        <v>#NAME?</v>
      </c>
      <c r="U50" s="12" t="e">
        <f t="shared" si="32"/>
        <v>#NAME?</v>
      </c>
      <c r="V50" s="12"/>
      <c r="W50" s="44" t="e">
        <f t="shared" si="33"/>
        <v>#NAME?</v>
      </c>
      <c r="X50" s="26" t="e">
        <f t="shared" si="34"/>
        <v>#NAME?</v>
      </c>
      <c r="Y50" s="12" t="e">
        <f t="shared" si="35"/>
        <v>#NAME?</v>
      </c>
    </row>
    <row r="51" spans="1:25" ht="16.5" customHeight="1" x14ac:dyDescent="0.25">
      <c r="A51" s="16" t="s">
        <v>122</v>
      </c>
      <c r="B51" s="32" t="s">
        <v>271</v>
      </c>
      <c r="C51" s="26" t="e">
        <f t="shared" si="18"/>
        <v>#NAME?</v>
      </c>
      <c r="D51" s="26" t="e">
        <f t="shared" si="19"/>
        <v>#NAME?</v>
      </c>
      <c r="E51" s="12" t="e">
        <f t="shared" si="20"/>
        <v>#NAME?</v>
      </c>
      <c r="F51" s="26"/>
      <c r="G51" s="26" t="e">
        <f t="shared" si="21"/>
        <v>#NAME?</v>
      </c>
      <c r="H51" s="26" t="e">
        <f t="shared" si="22"/>
        <v>#NAME?</v>
      </c>
      <c r="I51" s="12" t="e">
        <f t="shared" si="23"/>
        <v>#NAME?</v>
      </c>
      <c r="J51" s="26"/>
      <c r="K51" s="26" t="e">
        <f t="shared" si="24"/>
        <v>#NAME?</v>
      </c>
      <c r="L51" s="26" t="e">
        <f t="shared" si="25"/>
        <v>#NAME?</v>
      </c>
      <c r="M51" s="12" t="e">
        <f t="shared" si="26"/>
        <v>#NAME?</v>
      </c>
      <c r="N51" s="12"/>
      <c r="O51" s="26" t="e">
        <f t="shared" si="27"/>
        <v>#NAME?</v>
      </c>
      <c r="P51" s="26" t="e">
        <f t="shared" si="28"/>
        <v>#NAME?</v>
      </c>
      <c r="Q51" s="12" t="e">
        <f t="shared" si="29"/>
        <v>#NAME?</v>
      </c>
      <c r="R51" s="12"/>
      <c r="S51" s="26" t="e">
        <f t="shared" si="30"/>
        <v>#NAME?</v>
      </c>
      <c r="T51" s="26" t="e">
        <f t="shared" si="31"/>
        <v>#NAME?</v>
      </c>
      <c r="U51" s="12" t="e">
        <f t="shared" si="32"/>
        <v>#NAME?</v>
      </c>
      <c r="V51" s="12"/>
      <c r="W51" s="44" t="e">
        <f t="shared" si="33"/>
        <v>#NAME?</v>
      </c>
      <c r="X51" s="26" t="e">
        <f t="shared" si="34"/>
        <v>#NAME?</v>
      </c>
      <c r="Y51" s="12" t="e">
        <f t="shared" si="35"/>
        <v>#NAME?</v>
      </c>
    </row>
    <row r="52" spans="1:25" ht="16.5" customHeight="1" x14ac:dyDescent="0.25">
      <c r="A52" s="16" t="s">
        <v>124</v>
      </c>
      <c r="B52" s="17" t="s">
        <v>125</v>
      </c>
      <c r="C52" s="26" t="e">
        <f t="shared" si="18"/>
        <v>#NAME?</v>
      </c>
      <c r="D52" s="26" t="e">
        <f t="shared" si="19"/>
        <v>#NAME?</v>
      </c>
      <c r="E52" s="12" t="e">
        <f t="shared" si="20"/>
        <v>#NAME?</v>
      </c>
      <c r="F52" s="26"/>
      <c r="G52" s="26" t="e">
        <f t="shared" si="21"/>
        <v>#NAME?</v>
      </c>
      <c r="H52" s="26" t="e">
        <f t="shared" si="22"/>
        <v>#NAME?</v>
      </c>
      <c r="I52" s="12" t="e">
        <f t="shared" si="23"/>
        <v>#NAME?</v>
      </c>
      <c r="J52" s="26"/>
      <c r="K52" s="26" t="e">
        <f t="shared" si="24"/>
        <v>#NAME?</v>
      </c>
      <c r="L52" s="26" t="e">
        <f t="shared" si="25"/>
        <v>#NAME?</v>
      </c>
      <c r="M52" s="12" t="e">
        <f t="shared" si="26"/>
        <v>#NAME?</v>
      </c>
      <c r="N52" s="12"/>
      <c r="O52" s="26" t="e">
        <f t="shared" si="27"/>
        <v>#NAME?</v>
      </c>
      <c r="P52" s="26" t="e">
        <f t="shared" si="28"/>
        <v>#NAME?</v>
      </c>
      <c r="Q52" s="12" t="e">
        <f t="shared" si="29"/>
        <v>#NAME?</v>
      </c>
      <c r="R52" s="12"/>
      <c r="S52" s="26" t="e">
        <f t="shared" si="30"/>
        <v>#NAME?</v>
      </c>
      <c r="T52" s="26" t="e">
        <f t="shared" si="31"/>
        <v>#NAME?</v>
      </c>
      <c r="U52" s="12" t="e">
        <f t="shared" si="32"/>
        <v>#NAME?</v>
      </c>
      <c r="V52" s="12"/>
      <c r="W52" s="44" t="e">
        <f t="shared" si="33"/>
        <v>#NAME?</v>
      </c>
      <c r="X52" s="26" t="e">
        <f t="shared" si="34"/>
        <v>#NAME?</v>
      </c>
      <c r="Y52" s="12" t="e">
        <f t="shared" si="35"/>
        <v>#NAME?</v>
      </c>
    </row>
    <row r="53" spans="1:25" ht="16.5" customHeight="1" x14ac:dyDescent="0.25">
      <c r="A53" s="16" t="s">
        <v>126</v>
      </c>
      <c r="B53" s="17" t="s">
        <v>127</v>
      </c>
      <c r="C53" s="26" t="e">
        <f t="shared" si="18"/>
        <v>#NAME?</v>
      </c>
      <c r="D53" s="26" t="e">
        <f t="shared" si="19"/>
        <v>#NAME?</v>
      </c>
      <c r="E53" s="12" t="e">
        <f t="shared" si="20"/>
        <v>#NAME?</v>
      </c>
      <c r="F53" s="26"/>
      <c r="G53" s="26" t="e">
        <f t="shared" si="21"/>
        <v>#NAME?</v>
      </c>
      <c r="H53" s="26" t="e">
        <f t="shared" si="22"/>
        <v>#NAME?</v>
      </c>
      <c r="I53" s="12" t="e">
        <f t="shared" si="23"/>
        <v>#NAME?</v>
      </c>
      <c r="J53" s="26"/>
      <c r="K53" s="26" t="e">
        <f t="shared" si="24"/>
        <v>#NAME?</v>
      </c>
      <c r="L53" s="26" t="e">
        <f t="shared" si="25"/>
        <v>#NAME?</v>
      </c>
      <c r="M53" s="12" t="e">
        <f t="shared" si="26"/>
        <v>#NAME?</v>
      </c>
      <c r="N53" s="12"/>
      <c r="O53" s="26" t="e">
        <f t="shared" si="27"/>
        <v>#NAME?</v>
      </c>
      <c r="P53" s="26" t="e">
        <f t="shared" si="28"/>
        <v>#NAME?</v>
      </c>
      <c r="Q53" s="12" t="e">
        <f t="shared" si="29"/>
        <v>#NAME?</v>
      </c>
      <c r="R53" s="12"/>
      <c r="S53" s="26" t="e">
        <f t="shared" si="30"/>
        <v>#NAME?</v>
      </c>
      <c r="T53" s="26" t="e">
        <f t="shared" si="31"/>
        <v>#NAME?</v>
      </c>
      <c r="U53" s="12" t="e">
        <f t="shared" si="32"/>
        <v>#NAME?</v>
      </c>
      <c r="V53" s="12"/>
      <c r="W53" s="44" t="e">
        <f t="shared" si="33"/>
        <v>#NAME?</v>
      </c>
      <c r="X53" s="26" t="e">
        <f t="shared" si="34"/>
        <v>#NAME?</v>
      </c>
      <c r="Y53" s="12" t="e">
        <f t="shared" si="35"/>
        <v>#NAME?</v>
      </c>
    </row>
    <row r="54" spans="1:25" ht="16.5" customHeight="1" x14ac:dyDescent="0.25">
      <c r="A54" s="16" t="s">
        <v>128</v>
      </c>
      <c r="B54" s="32" t="s">
        <v>129</v>
      </c>
      <c r="C54" s="26" t="e">
        <f t="shared" si="18"/>
        <v>#NAME?</v>
      </c>
      <c r="D54" s="26" t="e">
        <f t="shared" si="19"/>
        <v>#NAME?</v>
      </c>
      <c r="E54" s="12" t="e">
        <f t="shared" si="20"/>
        <v>#NAME?</v>
      </c>
      <c r="F54" s="26"/>
      <c r="G54" s="26" t="e">
        <f t="shared" si="21"/>
        <v>#NAME?</v>
      </c>
      <c r="H54" s="26" t="e">
        <f t="shared" si="22"/>
        <v>#NAME?</v>
      </c>
      <c r="I54" s="12" t="e">
        <f t="shared" si="23"/>
        <v>#NAME?</v>
      </c>
      <c r="J54" s="26"/>
      <c r="K54" s="26" t="e">
        <f t="shared" si="24"/>
        <v>#NAME?</v>
      </c>
      <c r="L54" s="26" t="e">
        <f t="shared" si="25"/>
        <v>#NAME?</v>
      </c>
      <c r="M54" s="12" t="e">
        <f t="shared" si="26"/>
        <v>#NAME?</v>
      </c>
      <c r="N54" s="12"/>
      <c r="O54" s="26" t="e">
        <f t="shared" si="27"/>
        <v>#NAME?</v>
      </c>
      <c r="P54" s="26" t="e">
        <f t="shared" si="28"/>
        <v>#NAME?</v>
      </c>
      <c r="Q54" s="12" t="e">
        <f t="shared" si="29"/>
        <v>#NAME?</v>
      </c>
      <c r="R54" s="12"/>
      <c r="S54" s="26" t="e">
        <f t="shared" si="30"/>
        <v>#NAME?</v>
      </c>
      <c r="T54" s="26" t="e">
        <f t="shared" si="31"/>
        <v>#NAME?</v>
      </c>
      <c r="U54" s="12" t="e">
        <f t="shared" si="32"/>
        <v>#NAME?</v>
      </c>
      <c r="V54" s="12"/>
      <c r="W54" s="44" t="e">
        <f t="shared" si="33"/>
        <v>#NAME?</v>
      </c>
      <c r="X54" s="26" t="e">
        <f t="shared" si="34"/>
        <v>#NAME?</v>
      </c>
      <c r="Y54" s="12" t="e">
        <f t="shared" si="35"/>
        <v>#NAME?</v>
      </c>
    </row>
    <row r="55" spans="1:25" ht="16.5" customHeight="1" x14ac:dyDescent="0.25">
      <c r="A55" s="16" t="s">
        <v>130</v>
      </c>
      <c r="B55" s="32" t="s">
        <v>131</v>
      </c>
      <c r="C55" s="26" t="e">
        <f t="shared" si="18"/>
        <v>#NAME?</v>
      </c>
      <c r="D55" s="26" t="e">
        <f t="shared" si="19"/>
        <v>#NAME?</v>
      </c>
      <c r="E55" s="12" t="e">
        <f t="shared" si="20"/>
        <v>#NAME?</v>
      </c>
      <c r="F55" s="26"/>
      <c r="G55" s="26" t="e">
        <f t="shared" si="21"/>
        <v>#NAME?</v>
      </c>
      <c r="H55" s="26" t="e">
        <f t="shared" si="22"/>
        <v>#NAME?</v>
      </c>
      <c r="I55" s="12" t="e">
        <f t="shared" si="23"/>
        <v>#NAME?</v>
      </c>
      <c r="J55" s="26"/>
      <c r="K55" s="26" t="e">
        <f t="shared" si="24"/>
        <v>#NAME?</v>
      </c>
      <c r="L55" s="26" t="e">
        <f t="shared" si="25"/>
        <v>#NAME?</v>
      </c>
      <c r="M55" s="12" t="e">
        <f t="shared" si="26"/>
        <v>#NAME?</v>
      </c>
      <c r="N55" s="12"/>
      <c r="O55" s="26" t="e">
        <f t="shared" si="27"/>
        <v>#NAME?</v>
      </c>
      <c r="P55" s="26" t="e">
        <f t="shared" si="28"/>
        <v>#NAME?</v>
      </c>
      <c r="Q55" s="12" t="e">
        <f t="shared" si="29"/>
        <v>#NAME?</v>
      </c>
      <c r="R55" s="12"/>
      <c r="S55" s="26" t="e">
        <f t="shared" si="30"/>
        <v>#NAME?</v>
      </c>
      <c r="T55" s="26" t="e">
        <f t="shared" si="31"/>
        <v>#NAME?</v>
      </c>
      <c r="U55" s="12" t="e">
        <f t="shared" si="32"/>
        <v>#NAME?</v>
      </c>
      <c r="V55" s="12"/>
      <c r="W55" s="44" t="e">
        <f t="shared" si="33"/>
        <v>#NAME?</v>
      </c>
      <c r="X55" s="26" t="e">
        <f t="shared" si="34"/>
        <v>#NAME?</v>
      </c>
      <c r="Y55" s="12" t="e">
        <f t="shared" si="35"/>
        <v>#NAME?</v>
      </c>
    </row>
    <row r="56" spans="1:25" ht="16.5" customHeight="1" x14ac:dyDescent="0.25">
      <c r="A56" s="16" t="s">
        <v>132</v>
      </c>
      <c r="B56" s="17" t="s">
        <v>133</v>
      </c>
      <c r="C56" s="26" t="e">
        <f t="shared" si="18"/>
        <v>#NAME?</v>
      </c>
      <c r="D56" s="26" t="e">
        <f t="shared" si="19"/>
        <v>#NAME?</v>
      </c>
      <c r="E56" s="12" t="e">
        <f t="shared" si="20"/>
        <v>#NAME?</v>
      </c>
      <c r="F56" s="26"/>
      <c r="G56" s="26" t="e">
        <f t="shared" si="21"/>
        <v>#NAME?</v>
      </c>
      <c r="H56" s="26" t="e">
        <f t="shared" si="22"/>
        <v>#NAME?</v>
      </c>
      <c r="I56" s="12" t="e">
        <f t="shared" si="23"/>
        <v>#NAME?</v>
      </c>
      <c r="J56" s="26"/>
      <c r="K56" s="26" t="e">
        <f t="shared" si="24"/>
        <v>#NAME?</v>
      </c>
      <c r="L56" s="26" t="e">
        <f t="shared" si="25"/>
        <v>#NAME?</v>
      </c>
      <c r="M56" s="12" t="e">
        <f t="shared" si="26"/>
        <v>#NAME?</v>
      </c>
      <c r="N56" s="12"/>
      <c r="O56" s="26" t="e">
        <f t="shared" si="27"/>
        <v>#NAME?</v>
      </c>
      <c r="P56" s="26" t="e">
        <f t="shared" si="28"/>
        <v>#NAME?</v>
      </c>
      <c r="Q56" s="12" t="e">
        <f t="shared" si="29"/>
        <v>#NAME?</v>
      </c>
      <c r="R56" s="12"/>
      <c r="S56" s="26" t="e">
        <f t="shared" si="30"/>
        <v>#NAME?</v>
      </c>
      <c r="T56" s="26" t="e">
        <f t="shared" si="31"/>
        <v>#NAME?</v>
      </c>
      <c r="U56" s="12" t="e">
        <f t="shared" si="32"/>
        <v>#NAME?</v>
      </c>
      <c r="V56" s="12"/>
      <c r="W56" s="44" t="e">
        <f t="shared" si="33"/>
        <v>#NAME?</v>
      </c>
      <c r="X56" s="26" t="e">
        <f t="shared" si="34"/>
        <v>#NAME?</v>
      </c>
      <c r="Y56" s="12" t="e">
        <f t="shared" si="35"/>
        <v>#NAME?</v>
      </c>
    </row>
    <row r="57" spans="1:25" ht="16.5" customHeight="1" x14ac:dyDescent="0.25">
      <c r="A57" s="16" t="s">
        <v>134</v>
      </c>
      <c r="B57" s="32" t="s">
        <v>135</v>
      </c>
      <c r="C57" s="26" t="e">
        <f t="shared" si="18"/>
        <v>#NAME?</v>
      </c>
      <c r="D57" s="26" t="e">
        <f t="shared" si="19"/>
        <v>#NAME?</v>
      </c>
      <c r="E57" s="12" t="e">
        <f t="shared" si="20"/>
        <v>#NAME?</v>
      </c>
      <c r="F57" s="26"/>
      <c r="G57" s="26" t="e">
        <f t="shared" si="21"/>
        <v>#NAME?</v>
      </c>
      <c r="H57" s="26" t="e">
        <f t="shared" si="22"/>
        <v>#NAME?</v>
      </c>
      <c r="I57" s="12" t="e">
        <f t="shared" si="23"/>
        <v>#NAME?</v>
      </c>
      <c r="J57" s="26"/>
      <c r="K57" s="26" t="e">
        <f t="shared" si="24"/>
        <v>#NAME?</v>
      </c>
      <c r="L57" s="26" t="e">
        <f t="shared" si="25"/>
        <v>#NAME?</v>
      </c>
      <c r="M57" s="12" t="e">
        <f t="shared" si="26"/>
        <v>#NAME?</v>
      </c>
      <c r="N57" s="12"/>
      <c r="O57" s="26" t="e">
        <f t="shared" si="27"/>
        <v>#NAME?</v>
      </c>
      <c r="P57" s="26" t="e">
        <f t="shared" si="28"/>
        <v>#NAME?</v>
      </c>
      <c r="Q57" s="12" t="e">
        <f t="shared" si="29"/>
        <v>#NAME?</v>
      </c>
      <c r="R57" s="12"/>
      <c r="S57" s="26" t="e">
        <f t="shared" si="30"/>
        <v>#NAME?</v>
      </c>
      <c r="T57" s="26" t="e">
        <f t="shared" si="31"/>
        <v>#NAME?</v>
      </c>
      <c r="U57" s="12" t="e">
        <f t="shared" si="32"/>
        <v>#NAME?</v>
      </c>
      <c r="V57" s="12"/>
      <c r="W57" s="44" t="e">
        <f t="shared" si="33"/>
        <v>#NAME?</v>
      </c>
      <c r="X57" s="26" t="e">
        <f t="shared" si="34"/>
        <v>#NAME?</v>
      </c>
      <c r="Y57" s="12" t="e">
        <f t="shared" si="35"/>
        <v>#NAME?</v>
      </c>
    </row>
    <row r="58" spans="1:25" ht="16.5" customHeight="1" x14ac:dyDescent="0.25">
      <c r="A58" s="16" t="s">
        <v>136</v>
      </c>
      <c r="B58" s="17" t="s">
        <v>137</v>
      </c>
      <c r="C58" s="26" t="e">
        <f t="shared" si="18"/>
        <v>#NAME?</v>
      </c>
      <c r="D58" s="26" t="e">
        <f t="shared" si="19"/>
        <v>#NAME?</v>
      </c>
      <c r="E58" s="12" t="e">
        <f t="shared" si="20"/>
        <v>#NAME?</v>
      </c>
      <c r="F58" s="26"/>
      <c r="G58" s="26" t="e">
        <f t="shared" si="21"/>
        <v>#NAME?</v>
      </c>
      <c r="H58" s="26" t="e">
        <f t="shared" si="22"/>
        <v>#NAME?</v>
      </c>
      <c r="I58" s="12" t="e">
        <f t="shared" si="23"/>
        <v>#NAME?</v>
      </c>
      <c r="J58" s="26"/>
      <c r="K58" s="26" t="e">
        <f t="shared" si="24"/>
        <v>#NAME?</v>
      </c>
      <c r="L58" s="26" t="e">
        <f t="shared" si="25"/>
        <v>#NAME?</v>
      </c>
      <c r="M58" s="12" t="e">
        <f t="shared" si="26"/>
        <v>#NAME?</v>
      </c>
      <c r="N58" s="12"/>
      <c r="O58" s="26" t="e">
        <f t="shared" si="27"/>
        <v>#NAME?</v>
      </c>
      <c r="P58" s="26" t="e">
        <f t="shared" si="28"/>
        <v>#NAME?</v>
      </c>
      <c r="Q58" s="12" t="e">
        <f t="shared" si="29"/>
        <v>#NAME?</v>
      </c>
      <c r="R58" s="12"/>
      <c r="S58" s="26" t="e">
        <f t="shared" si="30"/>
        <v>#NAME?</v>
      </c>
      <c r="T58" s="26" t="e">
        <f t="shared" si="31"/>
        <v>#NAME?</v>
      </c>
      <c r="U58" s="12" t="e">
        <f t="shared" si="32"/>
        <v>#NAME?</v>
      </c>
      <c r="V58" s="12"/>
      <c r="W58" s="44" t="e">
        <f t="shared" si="33"/>
        <v>#NAME?</v>
      </c>
      <c r="X58" s="26" t="e">
        <f t="shared" si="34"/>
        <v>#NAME?</v>
      </c>
      <c r="Y58" s="12" t="e">
        <f t="shared" si="35"/>
        <v>#NAME?</v>
      </c>
    </row>
    <row r="59" spans="1:25" ht="16.5" customHeight="1" x14ac:dyDescent="0.25">
      <c r="A59" s="16" t="s">
        <v>140</v>
      </c>
      <c r="B59" s="17" t="s">
        <v>141</v>
      </c>
      <c r="C59" s="26" t="e">
        <f t="shared" si="18"/>
        <v>#NAME?</v>
      </c>
      <c r="D59" s="26" t="e">
        <f t="shared" si="19"/>
        <v>#NAME?</v>
      </c>
      <c r="E59" s="12" t="e">
        <f t="shared" si="20"/>
        <v>#NAME?</v>
      </c>
      <c r="F59" s="26"/>
      <c r="G59" s="26" t="e">
        <f t="shared" si="21"/>
        <v>#NAME?</v>
      </c>
      <c r="H59" s="26" t="e">
        <f t="shared" si="22"/>
        <v>#NAME?</v>
      </c>
      <c r="I59" s="12" t="e">
        <f t="shared" si="23"/>
        <v>#NAME?</v>
      </c>
      <c r="J59" s="26"/>
      <c r="K59" s="26" t="e">
        <f t="shared" si="24"/>
        <v>#NAME?</v>
      </c>
      <c r="L59" s="26" t="e">
        <f t="shared" si="25"/>
        <v>#NAME?</v>
      </c>
      <c r="M59" s="12" t="e">
        <f t="shared" si="26"/>
        <v>#NAME?</v>
      </c>
      <c r="N59" s="12"/>
      <c r="O59" s="26" t="e">
        <f t="shared" si="27"/>
        <v>#NAME?</v>
      </c>
      <c r="P59" s="26" t="e">
        <f t="shared" si="28"/>
        <v>#NAME?</v>
      </c>
      <c r="Q59" s="12" t="e">
        <f t="shared" si="29"/>
        <v>#NAME?</v>
      </c>
      <c r="R59" s="12"/>
      <c r="S59" s="26" t="e">
        <f t="shared" si="30"/>
        <v>#NAME?</v>
      </c>
      <c r="T59" s="26" t="e">
        <f t="shared" si="31"/>
        <v>#NAME?</v>
      </c>
      <c r="U59" s="12" t="e">
        <f t="shared" si="32"/>
        <v>#NAME?</v>
      </c>
      <c r="V59" s="12"/>
      <c r="W59" s="44" t="e">
        <f t="shared" si="33"/>
        <v>#NAME?</v>
      </c>
      <c r="X59" s="26" t="e">
        <f t="shared" si="34"/>
        <v>#NAME?</v>
      </c>
      <c r="Y59" s="12" t="e">
        <f t="shared" si="35"/>
        <v>#NAME?</v>
      </c>
    </row>
    <row r="60" spans="1:25" ht="16.5" customHeight="1" x14ac:dyDescent="0.25">
      <c r="A60" s="16" t="s">
        <v>146</v>
      </c>
      <c r="B60" s="17" t="s">
        <v>147</v>
      </c>
      <c r="C60" s="26" t="e">
        <f t="shared" si="18"/>
        <v>#NAME?</v>
      </c>
      <c r="D60" s="26" t="e">
        <f t="shared" si="19"/>
        <v>#NAME?</v>
      </c>
      <c r="E60" s="12" t="e">
        <f t="shared" si="20"/>
        <v>#NAME?</v>
      </c>
      <c r="F60" s="26"/>
      <c r="G60" s="26" t="e">
        <f t="shared" si="21"/>
        <v>#NAME?</v>
      </c>
      <c r="H60" s="26" t="e">
        <f t="shared" si="22"/>
        <v>#NAME?</v>
      </c>
      <c r="I60" s="12" t="e">
        <f t="shared" si="23"/>
        <v>#NAME?</v>
      </c>
      <c r="J60" s="26"/>
      <c r="K60" s="26" t="e">
        <f t="shared" si="24"/>
        <v>#NAME?</v>
      </c>
      <c r="L60" s="26" t="e">
        <f t="shared" si="25"/>
        <v>#NAME?</v>
      </c>
      <c r="M60" s="12" t="e">
        <f t="shared" si="26"/>
        <v>#NAME?</v>
      </c>
      <c r="N60" s="12"/>
      <c r="O60" s="26" t="e">
        <f t="shared" si="27"/>
        <v>#NAME?</v>
      </c>
      <c r="P60" s="26" t="e">
        <f t="shared" si="28"/>
        <v>#NAME?</v>
      </c>
      <c r="Q60" s="12" t="e">
        <f t="shared" si="29"/>
        <v>#NAME?</v>
      </c>
      <c r="R60" s="12"/>
      <c r="S60" s="26" t="e">
        <f t="shared" si="30"/>
        <v>#NAME?</v>
      </c>
      <c r="T60" s="26" t="e">
        <f t="shared" si="31"/>
        <v>#NAME?</v>
      </c>
      <c r="U60" s="12" t="e">
        <f t="shared" si="32"/>
        <v>#NAME?</v>
      </c>
      <c r="V60" s="12"/>
      <c r="W60" s="44" t="e">
        <f t="shared" si="33"/>
        <v>#NAME?</v>
      </c>
      <c r="X60" s="26" t="e">
        <f t="shared" si="34"/>
        <v>#NAME?</v>
      </c>
      <c r="Y60" s="12" t="e">
        <f t="shared" si="35"/>
        <v>#NAME?</v>
      </c>
    </row>
    <row r="61" spans="1:25" ht="16.5" customHeight="1" x14ac:dyDescent="0.25">
      <c r="A61" s="16" t="s">
        <v>148</v>
      </c>
      <c r="B61" s="32" t="s">
        <v>149</v>
      </c>
      <c r="C61" s="26" t="e">
        <f t="shared" si="18"/>
        <v>#NAME?</v>
      </c>
      <c r="D61" s="26" t="e">
        <f t="shared" si="19"/>
        <v>#NAME?</v>
      </c>
      <c r="E61" s="12" t="e">
        <f t="shared" si="20"/>
        <v>#NAME?</v>
      </c>
      <c r="F61" s="26"/>
      <c r="G61" s="26" t="e">
        <f t="shared" si="21"/>
        <v>#NAME?</v>
      </c>
      <c r="H61" s="26" t="e">
        <f t="shared" si="22"/>
        <v>#NAME?</v>
      </c>
      <c r="I61" s="12" t="e">
        <f t="shared" si="23"/>
        <v>#NAME?</v>
      </c>
      <c r="J61" s="26"/>
      <c r="K61" s="26" t="e">
        <f t="shared" si="24"/>
        <v>#NAME?</v>
      </c>
      <c r="L61" s="26" t="e">
        <f t="shared" si="25"/>
        <v>#NAME?</v>
      </c>
      <c r="M61" s="12" t="e">
        <f t="shared" si="26"/>
        <v>#NAME?</v>
      </c>
      <c r="N61" s="12"/>
      <c r="O61" s="26" t="e">
        <f t="shared" si="27"/>
        <v>#NAME?</v>
      </c>
      <c r="P61" s="26" t="e">
        <f t="shared" si="28"/>
        <v>#NAME?</v>
      </c>
      <c r="Q61" s="12" t="e">
        <f t="shared" si="29"/>
        <v>#NAME?</v>
      </c>
      <c r="R61" s="12"/>
      <c r="S61" s="26" t="e">
        <f t="shared" si="30"/>
        <v>#NAME?</v>
      </c>
      <c r="T61" s="26" t="e">
        <f t="shared" si="31"/>
        <v>#NAME?</v>
      </c>
      <c r="U61" s="12" t="e">
        <f t="shared" si="32"/>
        <v>#NAME?</v>
      </c>
      <c r="V61" s="12"/>
      <c r="W61" s="44" t="e">
        <f t="shared" si="33"/>
        <v>#NAME?</v>
      </c>
      <c r="X61" s="26" t="e">
        <f t="shared" si="34"/>
        <v>#NAME?</v>
      </c>
      <c r="Y61" s="12" t="e">
        <f t="shared" si="35"/>
        <v>#NAME?</v>
      </c>
    </row>
    <row r="62" spans="1:25" ht="16.5" customHeight="1" x14ac:dyDescent="0.25">
      <c r="A62" s="16" t="s">
        <v>150</v>
      </c>
      <c r="B62" s="32" t="s">
        <v>151</v>
      </c>
      <c r="C62" s="26" t="e">
        <f t="shared" si="18"/>
        <v>#NAME?</v>
      </c>
      <c r="D62" s="26" t="e">
        <f t="shared" si="19"/>
        <v>#NAME?</v>
      </c>
      <c r="E62" s="12" t="e">
        <f t="shared" si="20"/>
        <v>#NAME?</v>
      </c>
      <c r="F62" s="26"/>
      <c r="G62" s="26" t="e">
        <f t="shared" si="21"/>
        <v>#NAME?</v>
      </c>
      <c r="H62" s="26" t="e">
        <f t="shared" si="22"/>
        <v>#NAME?</v>
      </c>
      <c r="I62" s="12" t="e">
        <f t="shared" si="23"/>
        <v>#NAME?</v>
      </c>
      <c r="J62" s="26"/>
      <c r="K62" s="26" t="e">
        <f t="shared" si="24"/>
        <v>#NAME?</v>
      </c>
      <c r="L62" s="26" t="e">
        <f t="shared" si="25"/>
        <v>#NAME?</v>
      </c>
      <c r="M62" s="12" t="e">
        <f t="shared" si="26"/>
        <v>#NAME?</v>
      </c>
      <c r="N62" s="12"/>
      <c r="O62" s="26" t="e">
        <f t="shared" si="27"/>
        <v>#NAME?</v>
      </c>
      <c r="P62" s="26" t="e">
        <f t="shared" si="28"/>
        <v>#NAME?</v>
      </c>
      <c r="Q62" s="12" t="e">
        <f t="shared" si="29"/>
        <v>#NAME?</v>
      </c>
      <c r="R62" s="12"/>
      <c r="S62" s="26" t="e">
        <f t="shared" si="30"/>
        <v>#NAME?</v>
      </c>
      <c r="T62" s="26" t="e">
        <f t="shared" si="31"/>
        <v>#NAME?</v>
      </c>
      <c r="U62" s="12" t="e">
        <f t="shared" si="32"/>
        <v>#NAME?</v>
      </c>
      <c r="V62" s="12"/>
      <c r="W62" s="44" t="e">
        <f t="shared" si="33"/>
        <v>#NAME?</v>
      </c>
      <c r="X62" s="26" t="e">
        <f t="shared" si="34"/>
        <v>#NAME?</v>
      </c>
      <c r="Y62" s="12" t="e">
        <f t="shared" si="35"/>
        <v>#NAME?</v>
      </c>
    </row>
    <row r="63" spans="1:25" ht="16.5" customHeight="1" x14ac:dyDescent="0.25">
      <c r="A63" s="16" t="s">
        <v>152</v>
      </c>
      <c r="B63" s="17" t="s">
        <v>153</v>
      </c>
      <c r="C63" s="26" t="e">
        <f t="shared" si="18"/>
        <v>#NAME?</v>
      </c>
      <c r="D63" s="26" t="e">
        <f t="shared" si="19"/>
        <v>#NAME?</v>
      </c>
      <c r="E63" s="12" t="e">
        <f t="shared" si="20"/>
        <v>#NAME?</v>
      </c>
      <c r="F63" s="26"/>
      <c r="G63" s="26" t="e">
        <f t="shared" si="21"/>
        <v>#NAME?</v>
      </c>
      <c r="H63" s="26" t="e">
        <f t="shared" si="22"/>
        <v>#NAME?</v>
      </c>
      <c r="I63" s="12" t="e">
        <f t="shared" si="23"/>
        <v>#NAME?</v>
      </c>
      <c r="J63" s="26"/>
      <c r="K63" s="26" t="e">
        <f t="shared" si="24"/>
        <v>#NAME?</v>
      </c>
      <c r="L63" s="26" t="e">
        <f t="shared" si="25"/>
        <v>#NAME?</v>
      </c>
      <c r="M63" s="12" t="e">
        <f t="shared" si="26"/>
        <v>#NAME?</v>
      </c>
      <c r="N63" s="12"/>
      <c r="O63" s="26" t="e">
        <f t="shared" si="27"/>
        <v>#NAME?</v>
      </c>
      <c r="P63" s="26" t="e">
        <f t="shared" si="28"/>
        <v>#NAME?</v>
      </c>
      <c r="Q63" s="12" t="e">
        <f t="shared" si="29"/>
        <v>#NAME?</v>
      </c>
      <c r="R63" s="12"/>
      <c r="S63" s="26" t="e">
        <f t="shared" si="30"/>
        <v>#NAME?</v>
      </c>
      <c r="T63" s="26" t="e">
        <f t="shared" si="31"/>
        <v>#NAME?</v>
      </c>
      <c r="U63" s="12" t="e">
        <f t="shared" si="32"/>
        <v>#NAME?</v>
      </c>
      <c r="V63" s="12"/>
      <c r="W63" s="44" t="e">
        <f t="shared" si="33"/>
        <v>#NAME?</v>
      </c>
      <c r="X63" s="26" t="e">
        <f t="shared" si="34"/>
        <v>#NAME?</v>
      </c>
      <c r="Y63" s="12" t="e">
        <f t="shared" si="35"/>
        <v>#NAME?</v>
      </c>
    </row>
    <row r="64" spans="1:25" ht="16.5" customHeight="1" x14ac:dyDescent="0.25">
      <c r="A64" s="16" t="s">
        <v>154</v>
      </c>
      <c r="B64" s="32" t="s">
        <v>155</v>
      </c>
      <c r="C64" s="26" t="e">
        <f t="shared" si="18"/>
        <v>#NAME?</v>
      </c>
      <c r="D64" s="26" t="e">
        <f t="shared" si="19"/>
        <v>#NAME?</v>
      </c>
      <c r="E64" s="12" t="e">
        <f t="shared" si="20"/>
        <v>#NAME?</v>
      </c>
      <c r="F64" s="26"/>
      <c r="G64" s="26" t="e">
        <f t="shared" si="21"/>
        <v>#NAME?</v>
      </c>
      <c r="H64" s="26" t="e">
        <f t="shared" si="22"/>
        <v>#NAME?</v>
      </c>
      <c r="I64" s="12" t="e">
        <f t="shared" si="23"/>
        <v>#NAME?</v>
      </c>
      <c r="J64" s="26"/>
      <c r="K64" s="26" t="e">
        <f t="shared" si="24"/>
        <v>#NAME?</v>
      </c>
      <c r="L64" s="26" t="e">
        <f t="shared" si="25"/>
        <v>#NAME?</v>
      </c>
      <c r="M64" s="12" t="e">
        <f t="shared" si="26"/>
        <v>#NAME?</v>
      </c>
      <c r="N64" s="12"/>
      <c r="O64" s="26" t="e">
        <f t="shared" si="27"/>
        <v>#NAME?</v>
      </c>
      <c r="P64" s="26" t="e">
        <f t="shared" si="28"/>
        <v>#NAME?</v>
      </c>
      <c r="Q64" s="12" t="e">
        <f t="shared" si="29"/>
        <v>#NAME?</v>
      </c>
      <c r="R64" s="12"/>
      <c r="S64" s="26" t="e">
        <f t="shared" si="30"/>
        <v>#NAME?</v>
      </c>
      <c r="T64" s="26" t="e">
        <f t="shared" si="31"/>
        <v>#NAME?</v>
      </c>
      <c r="U64" s="12" t="e">
        <f t="shared" si="32"/>
        <v>#NAME?</v>
      </c>
      <c r="V64" s="12"/>
      <c r="W64" s="44" t="e">
        <f t="shared" si="33"/>
        <v>#NAME?</v>
      </c>
      <c r="X64" s="26" t="e">
        <f t="shared" si="34"/>
        <v>#NAME?</v>
      </c>
      <c r="Y64" s="12" t="e">
        <f t="shared" si="35"/>
        <v>#NAME?</v>
      </c>
    </row>
    <row r="65" spans="1:25" ht="16.5" customHeight="1" x14ac:dyDescent="0.25">
      <c r="A65" s="16" t="s">
        <v>156</v>
      </c>
      <c r="B65" s="17" t="s">
        <v>157</v>
      </c>
      <c r="C65" s="26" t="e">
        <f t="shared" si="18"/>
        <v>#NAME?</v>
      </c>
      <c r="D65" s="26" t="e">
        <f t="shared" si="19"/>
        <v>#NAME?</v>
      </c>
      <c r="E65" s="12" t="e">
        <f t="shared" si="20"/>
        <v>#NAME?</v>
      </c>
      <c r="F65" s="26"/>
      <c r="G65" s="26" t="e">
        <f t="shared" si="21"/>
        <v>#NAME?</v>
      </c>
      <c r="H65" s="26" t="e">
        <f t="shared" si="22"/>
        <v>#NAME?</v>
      </c>
      <c r="I65" s="12" t="e">
        <f t="shared" si="23"/>
        <v>#NAME?</v>
      </c>
      <c r="J65" s="26"/>
      <c r="K65" s="26" t="e">
        <f t="shared" si="24"/>
        <v>#NAME?</v>
      </c>
      <c r="L65" s="26" t="e">
        <f t="shared" si="25"/>
        <v>#NAME?</v>
      </c>
      <c r="M65" s="12" t="e">
        <f t="shared" si="26"/>
        <v>#NAME?</v>
      </c>
      <c r="N65" s="12"/>
      <c r="O65" s="26" t="e">
        <f t="shared" si="27"/>
        <v>#NAME?</v>
      </c>
      <c r="P65" s="26" t="e">
        <f t="shared" si="28"/>
        <v>#NAME?</v>
      </c>
      <c r="Q65" s="12" t="e">
        <f t="shared" si="29"/>
        <v>#NAME?</v>
      </c>
      <c r="R65" s="12"/>
      <c r="S65" s="26" t="e">
        <f t="shared" si="30"/>
        <v>#NAME?</v>
      </c>
      <c r="T65" s="26" t="e">
        <f t="shared" si="31"/>
        <v>#NAME?</v>
      </c>
      <c r="U65" s="12" t="e">
        <f t="shared" si="32"/>
        <v>#NAME?</v>
      </c>
      <c r="V65" s="12"/>
      <c r="W65" s="44" t="e">
        <f t="shared" si="33"/>
        <v>#NAME?</v>
      </c>
      <c r="X65" s="26" t="e">
        <f t="shared" si="34"/>
        <v>#NAME?</v>
      </c>
      <c r="Y65" s="12" t="e">
        <f t="shared" si="35"/>
        <v>#NAME?</v>
      </c>
    </row>
    <row r="66" spans="1:25" ht="16.5" customHeight="1" x14ac:dyDescent="0.25">
      <c r="A66" s="16" t="s">
        <v>162</v>
      </c>
      <c r="B66" s="32" t="s">
        <v>163</v>
      </c>
      <c r="C66" s="26" t="e">
        <f t="shared" si="18"/>
        <v>#NAME?</v>
      </c>
      <c r="D66" s="26" t="e">
        <f t="shared" si="19"/>
        <v>#NAME?</v>
      </c>
      <c r="E66" s="12" t="e">
        <f t="shared" si="20"/>
        <v>#NAME?</v>
      </c>
      <c r="F66" s="26"/>
      <c r="G66" s="26" t="e">
        <f t="shared" si="21"/>
        <v>#NAME?</v>
      </c>
      <c r="H66" s="26" t="e">
        <f t="shared" si="22"/>
        <v>#NAME?</v>
      </c>
      <c r="I66" s="12" t="e">
        <f t="shared" si="23"/>
        <v>#NAME?</v>
      </c>
      <c r="J66" s="26"/>
      <c r="K66" s="26" t="e">
        <f t="shared" si="24"/>
        <v>#NAME?</v>
      </c>
      <c r="L66" s="26" t="e">
        <f t="shared" si="25"/>
        <v>#NAME?</v>
      </c>
      <c r="M66" s="12" t="e">
        <f t="shared" si="26"/>
        <v>#NAME?</v>
      </c>
      <c r="N66" s="12"/>
      <c r="O66" s="26" t="e">
        <f t="shared" si="27"/>
        <v>#NAME?</v>
      </c>
      <c r="P66" s="26" t="e">
        <f t="shared" si="28"/>
        <v>#NAME?</v>
      </c>
      <c r="Q66" s="12" t="e">
        <f t="shared" si="29"/>
        <v>#NAME?</v>
      </c>
      <c r="R66" s="12"/>
      <c r="S66" s="26" t="e">
        <f t="shared" si="30"/>
        <v>#NAME?</v>
      </c>
      <c r="T66" s="26" t="e">
        <f t="shared" si="31"/>
        <v>#NAME?</v>
      </c>
      <c r="U66" s="12" t="e">
        <f t="shared" si="32"/>
        <v>#NAME?</v>
      </c>
      <c r="V66" s="12"/>
      <c r="W66" s="44" t="e">
        <f t="shared" si="33"/>
        <v>#NAME?</v>
      </c>
      <c r="X66" s="26" t="e">
        <f t="shared" si="34"/>
        <v>#NAME?</v>
      </c>
      <c r="Y66" s="12" t="e">
        <f t="shared" si="35"/>
        <v>#NAME?</v>
      </c>
    </row>
    <row r="67" spans="1:25" ht="16.5" customHeight="1" x14ac:dyDescent="0.25">
      <c r="A67" s="16" t="s">
        <v>164</v>
      </c>
      <c r="B67" s="32" t="s">
        <v>165</v>
      </c>
      <c r="C67" s="26" t="e">
        <f t="shared" si="18"/>
        <v>#NAME?</v>
      </c>
      <c r="D67" s="26" t="e">
        <f t="shared" si="19"/>
        <v>#NAME?</v>
      </c>
      <c r="E67" s="12" t="e">
        <f t="shared" si="20"/>
        <v>#NAME?</v>
      </c>
      <c r="F67" s="26"/>
      <c r="G67" s="26" t="e">
        <f t="shared" si="21"/>
        <v>#NAME?</v>
      </c>
      <c r="H67" s="26" t="e">
        <f t="shared" si="22"/>
        <v>#NAME?</v>
      </c>
      <c r="I67" s="12" t="e">
        <f t="shared" si="23"/>
        <v>#NAME?</v>
      </c>
      <c r="J67" s="26"/>
      <c r="K67" s="26" t="e">
        <f t="shared" si="24"/>
        <v>#NAME?</v>
      </c>
      <c r="L67" s="26" t="e">
        <f t="shared" si="25"/>
        <v>#NAME?</v>
      </c>
      <c r="M67" s="12" t="e">
        <f t="shared" si="26"/>
        <v>#NAME?</v>
      </c>
      <c r="N67" s="12"/>
      <c r="O67" s="26" t="e">
        <f t="shared" si="27"/>
        <v>#NAME?</v>
      </c>
      <c r="P67" s="26" t="e">
        <f t="shared" si="28"/>
        <v>#NAME?</v>
      </c>
      <c r="Q67" s="12" t="e">
        <f t="shared" si="29"/>
        <v>#NAME?</v>
      </c>
      <c r="R67" s="12"/>
      <c r="S67" s="26" t="e">
        <f t="shared" si="30"/>
        <v>#NAME?</v>
      </c>
      <c r="T67" s="26" t="e">
        <f t="shared" si="31"/>
        <v>#NAME?</v>
      </c>
      <c r="U67" s="12" t="e">
        <f t="shared" si="32"/>
        <v>#NAME?</v>
      </c>
      <c r="V67" s="12"/>
      <c r="W67" s="44" t="e">
        <f t="shared" si="33"/>
        <v>#NAME?</v>
      </c>
      <c r="X67" s="26" t="e">
        <f t="shared" si="34"/>
        <v>#NAME?</v>
      </c>
      <c r="Y67" s="12" t="e">
        <f t="shared" si="35"/>
        <v>#NAME?</v>
      </c>
    </row>
    <row r="68" spans="1:25" ht="16.5" customHeight="1" x14ac:dyDescent="0.25">
      <c r="A68" s="16" t="s">
        <v>168</v>
      </c>
      <c r="B68" s="32" t="s">
        <v>169</v>
      </c>
      <c r="C68" s="26" t="e">
        <f t="shared" ref="C68:C99" si="36">VLOOKUP(A68,MedicaidR,7,FALSE)</f>
        <v>#NAME?</v>
      </c>
      <c r="D68" s="26" t="e">
        <f t="shared" ref="D68:D99" si="37">VLOOKUP(A68,Pop,14,FALSE)</f>
        <v>#NAME?</v>
      </c>
      <c r="E68" s="12" t="e">
        <f t="shared" ref="E68:E99" si="38">+C68/D68</f>
        <v>#NAME?</v>
      </c>
      <c r="F68" s="26"/>
      <c r="G68" s="26" t="e">
        <f t="shared" ref="G68:G99" si="39">VLOOKUP(A68,MedicaidR,8,FALSE)</f>
        <v>#NAME?</v>
      </c>
      <c r="H68" s="26" t="e">
        <f t="shared" ref="H68:H99" si="40">VLOOKUP(A68,Pop,15,FALSE)</f>
        <v>#NAME?</v>
      </c>
      <c r="I68" s="12" t="e">
        <f t="shared" ref="I68:I99" si="41">+G68/H68</f>
        <v>#NAME?</v>
      </c>
      <c r="J68" s="26"/>
      <c r="K68" s="26" t="e">
        <f t="shared" ref="K68:K99" si="42">VLOOKUP(A68,MedicaidR,9,FALSE)</f>
        <v>#NAME?</v>
      </c>
      <c r="L68" s="26" t="e">
        <f t="shared" ref="L68:L99" si="43">VLOOKUP(A68,Pop,16,FALSE)</f>
        <v>#NAME?</v>
      </c>
      <c r="M68" s="12" t="e">
        <f t="shared" ref="M68:M99" si="44">+K68/L68</f>
        <v>#NAME?</v>
      </c>
      <c r="N68" s="12"/>
      <c r="O68" s="26" t="e">
        <f t="shared" ref="O68:O99" si="45">VLOOKUP(A68,MedicaidR,3,FALSE)</f>
        <v>#NAME?</v>
      </c>
      <c r="P68" s="26" t="e">
        <f t="shared" ref="P68:P99" si="46">VLOOKUP(A68,Pop,8,FALSE)</f>
        <v>#NAME?</v>
      </c>
      <c r="Q68" s="12" t="e">
        <f t="shared" ref="Q68:Q99" si="47">+O68/P68</f>
        <v>#NAME?</v>
      </c>
      <c r="R68" s="12"/>
      <c r="S68" s="26" t="e">
        <f t="shared" ref="S68:S99" si="48">VLOOKUP(A68,MedicaidR,4,FALSE)</f>
        <v>#NAME?</v>
      </c>
      <c r="T68" s="26" t="e">
        <f t="shared" ref="T68:T99" si="49">VLOOKUP(A68,Pop,9,FALSE)</f>
        <v>#NAME?</v>
      </c>
      <c r="U68" s="12" t="e">
        <f t="shared" ref="U68:U99" si="50">+S68/T68</f>
        <v>#NAME?</v>
      </c>
      <c r="V68" s="12"/>
      <c r="W68" s="44" t="e">
        <f t="shared" ref="W68:W99" si="51">VLOOKUP(A68,MedicaidR,5,FALSE)</f>
        <v>#NAME?</v>
      </c>
      <c r="X68" s="26" t="e">
        <f t="shared" ref="X68:X99" si="52">VLOOKUP(A68,Pop,10,FALSE)</f>
        <v>#NAME?</v>
      </c>
      <c r="Y68" s="12" t="e">
        <f t="shared" ref="Y68:Y99" si="53">+W68/X68</f>
        <v>#NAME?</v>
      </c>
    </row>
    <row r="69" spans="1:25" ht="16.5" customHeight="1" x14ac:dyDescent="0.25">
      <c r="A69" s="16" t="s">
        <v>170</v>
      </c>
      <c r="B69" s="32" t="s">
        <v>171</v>
      </c>
      <c r="C69" s="26" t="e">
        <f t="shared" si="36"/>
        <v>#NAME?</v>
      </c>
      <c r="D69" s="26" t="e">
        <f t="shared" si="37"/>
        <v>#NAME?</v>
      </c>
      <c r="E69" s="12" t="e">
        <f t="shared" si="38"/>
        <v>#NAME?</v>
      </c>
      <c r="F69" s="26"/>
      <c r="G69" s="26" t="e">
        <f t="shared" si="39"/>
        <v>#NAME?</v>
      </c>
      <c r="H69" s="26" t="e">
        <f t="shared" si="40"/>
        <v>#NAME?</v>
      </c>
      <c r="I69" s="12" t="e">
        <f t="shared" si="41"/>
        <v>#NAME?</v>
      </c>
      <c r="J69" s="26"/>
      <c r="K69" s="26" t="e">
        <f t="shared" si="42"/>
        <v>#NAME?</v>
      </c>
      <c r="L69" s="26" t="e">
        <f t="shared" si="43"/>
        <v>#NAME?</v>
      </c>
      <c r="M69" s="12" t="e">
        <f t="shared" si="44"/>
        <v>#NAME?</v>
      </c>
      <c r="N69" s="12"/>
      <c r="O69" s="26" t="e">
        <f t="shared" si="45"/>
        <v>#NAME?</v>
      </c>
      <c r="P69" s="26" t="e">
        <f t="shared" si="46"/>
        <v>#NAME?</v>
      </c>
      <c r="Q69" s="12" t="e">
        <f t="shared" si="47"/>
        <v>#NAME?</v>
      </c>
      <c r="R69" s="12"/>
      <c r="S69" s="26" t="e">
        <f t="shared" si="48"/>
        <v>#NAME?</v>
      </c>
      <c r="T69" s="26" t="e">
        <f t="shared" si="49"/>
        <v>#NAME?</v>
      </c>
      <c r="U69" s="12" t="e">
        <f t="shared" si="50"/>
        <v>#NAME?</v>
      </c>
      <c r="V69" s="12"/>
      <c r="W69" s="44" t="e">
        <f t="shared" si="51"/>
        <v>#NAME?</v>
      </c>
      <c r="X69" s="26" t="e">
        <f t="shared" si="52"/>
        <v>#NAME?</v>
      </c>
      <c r="Y69" s="12" t="e">
        <f t="shared" si="53"/>
        <v>#NAME?</v>
      </c>
    </row>
    <row r="70" spans="1:25" ht="16.5" customHeight="1" x14ac:dyDescent="0.25">
      <c r="A70" s="16" t="s">
        <v>172</v>
      </c>
      <c r="B70" s="32" t="s">
        <v>173</v>
      </c>
      <c r="C70" s="26" t="e">
        <f t="shared" si="36"/>
        <v>#NAME?</v>
      </c>
      <c r="D70" s="26" t="e">
        <f t="shared" si="37"/>
        <v>#NAME?</v>
      </c>
      <c r="E70" s="12" t="e">
        <f t="shared" si="38"/>
        <v>#NAME?</v>
      </c>
      <c r="F70" s="26"/>
      <c r="G70" s="26" t="e">
        <f t="shared" si="39"/>
        <v>#NAME?</v>
      </c>
      <c r="H70" s="26" t="e">
        <f t="shared" si="40"/>
        <v>#NAME?</v>
      </c>
      <c r="I70" s="12" t="e">
        <f t="shared" si="41"/>
        <v>#NAME?</v>
      </c>
      <c r="J70" s="26"/>
      <c r="K70" s="26" t="e">
        <f t="shared" si="42"/>
        <v>#NAME?</v>
      </c>
      <c r="L70" s="26" t="e">
        <f t="shared" si="43"/>
        <v>#NAME?</v>
      </c>
      <c r="M70" s="12" t="e">
        <f t="shared" si="44"/>
        <v>#NAME?</v>
      </c>
      <c r="N70" s="12"/>
      <c r="O70" s="26" t="e">
        <f t="shared" si="45"/>
        <v>#NAME?</v>
      </c>
      <c r="P70" s="26" t="e">
        <f t="shared" si="46"/>
        <v>#NAME?</v>
      </c>
      <c r="Q70" s="12" t="e">
        <f t="shared" si="47"/>
        <v>#NAME?</v>
      </c>
      <c r="R70" s="12"/>
      <c r="S70" s="26" t="e">
        <f t="shared" si="48"/>
        <v>#NAME?</v>
      </c>
      <c r="T70" s="26" t="e">
        <f t="shared" si="49"/>
        <v>#NAME?</v>
      </c>
      <c r="U70" s="12" t="e">
        <f t="shared" si="50"/>
        <v>#NAME?</v>
      </c>
      <c r="V70" s="12"/>
      <c r="W70" s="44" t="e">
        <f t="shared" si="51"/>
        <v>#NAME?</v>
      </c>
      <c r="X70" s="26" t="e">
        <f t="shared" si="52"/>
        <v>#NAME?</v>
      </c>
      <c r="Y70" s="12" t="e">
        <f t="shared" si="53"/>
        <v>#NAME?</v>
      </c>
    </row>
    <row r="71" spans="1:25" ht="16.5" customHeight="1" x14ac:dyDescent="0.25">
      <c r="A71" s="16" t="s">
        <v>174</v>
      </c>
      <c r="B71" s="17" t="s">
        <v>175</v>
      </c>
      <c r="C71" s="26" t="e">
        <f t="shared" si="36"/>
        <v>#NAME?</v>
      </c>
      <c r="D71" s="26" t="e">
        <f t="shared" si="37"/>
        <v>#NAME?</v>
      </c>
      <c r="E71" s="12" t="e">
        <f t="shared" si="38"/>
        <v>#NAME?</v>
      </c>
      <c r="F71" s="26"/>
      <c r="G71" s="26" t="e">
        <f t="shared" si="39"/>
        <v>#NAME?</v>
      </c>
      <c r="H71" s="26" t="e">
        <f t="shared" si="40"/>
        <v>#NAME?</v>
      </c>
      <c r="I71" s="12" t="e">
        <f t="shared" si="41"/>
        <v>#NAME?</v>
      </c>
      <c r="J71" s="26"/>
      <c r="K71" s="26" t="e">
        <f t="shared" si="42"/>
        <v>#NAME?</v>
      </c>
      <c r="L71" s="26" t="e">
        <f t="shared" si="43"/>
        <v>#NAME?</v>
      </c>
      <c r="M71" s="12" t="e">
        <f t="shared" si="44"/>
        <v>#NAME?</v>
      </c>
      <c r="N71" s="12"/>
      <c r="O71" s="26" t="e">
        <f t="shared" si="45"/>
        <v>#NAME?</v>
      </c>
      <c r="P71" s="26" t="e">
        <f t="shared" si="46"/>
        <v>#NAME?</v>
      </c>
      <c r="Q71" s="12" t="e">
        <f t="shared" si="47"/>
        <v>#NAME?</v>
      </c>
      <c r="R71" s="12"/>
      <c r="S71" s="26" t="e">
        <f t="shared" si="48"/>
        <v>#NAME?</v>
      </c>
      <c r="T71" s="26" t="e">
        <f t="shared" si="49"/>
        <v>#NAME?</v>
      </c>
      <c r="U71" s="12" t="e">
        <f t="shared" si="50"/>
        <v>#NAME?</v>
      </c>
      <c r="V71" s="12"/>
      <c r="W71" s="44" t="e">
        <f t="shared" si="51"/>
        <v>#NAME?</v>
      </c>
      <c r="X71" s="26" t="e">
        <f t="shared" si="52"/>
        <v>#NAME?</v>
      </c>
      <c r="Y71" s="12" t="e">
        <f t="shared" si="53"/>
        <v>#NAME?</v>
      </c>
    </row>
    <row r="72" spans="1:25" ht="16.5" customHeight="1" x14ac:dyDescent="0.25">
      <c r="A72" s="16" t="s">
        <v>178</v>
      </c>
      <c r="B72" s="32" t="s">
        <v>179</v>
      </c>
      <c r="C72" s="26" t="e">
        <f t="shared" si="36"/>
        <v>#NAME?</v>
      </c>
      <c r="D72" s="26" t="e">
        <f t="shared" si="37"/>
        <v>#NAME?</v>
      </c>
      <c r="E72" s="12" t="e">
        <f t="shared" si="38"/>
        <v>#NAME?</v>
      </c>
      <c r="F72" s="26"/>
      <c r="G72" s="26" t="e">
        <f t="shared" si="39"/>
        <v>#NAME?</v>
      </c>
      <c r="H72" s="26" t="e">
        <f t="shared" si="40"/>
        <v>#NAME?</v>
      </c>
      <c r="I72" s="12" t="e">
        <f t="shared" si="41"/>
        <v>#NAME?</v>
      </c>
      <c r="J72" s="26"/>
      <c r="K72" s="26" t="e">
        <f t="shared" si="42"/>
        <v>#NAME?</v>
      </c>
      <c r="L72" s="26" t="e">
        <f t="shared" si="43"/>
        <v>#NAME?</v>
      </c>
      <c r="M72" s="12" t="e">
        <f t="shared" si="44"/>
        <v>#NAME?</v>
      </c>
      <c r="N72" s="12"/>
      <c r="O72" s="26" t="e">
        <f t="shared" si="45"/>
        <v>#NAME?</v>
      </c>
      <c r="P72" s="26" t="e">
        <f t="shared" si="46"/>
        <v>#NAME?</v>
      </c>
      <c r="Q72" s="12" t="e">
        <f t="shared" si="47"/>
        <v>#NAME?</v>
      </c>
      <c r="R72" s="12"/>
      <c r="S72" s="26" t="e">
        <f t="shared" si="48"/>
        <v>#NAME?</v>
      </c>
      <c r="T72" s="26" t="e">
        <f t="shared" si="49"/>
        <v>#NAME?</v>
      </c>
      <c r="U72" s="12" t="e">
        <f t="shared" si="50"/>
        <v>#NAME?</v>
      </c>
      <c r="V72" s="12"/>
      <c r="W72" s="44" t="e">
        <f t="shared" si="51"/>
        <v>#NAME?</v>
      </c>
      <c r="X72" s="26" t="e">
        <f t="shared" si="52"/>
        <v>#NAME?</v>
      </c>
      <c r="Y72" s="12" t="e">
        <f t="shared" si="53"/>
        <v>#NAME?</v>
      </c>
    </row>
    <row r="73" spans="1:25" ht="16.5" customHeight="1" x14ac:dyDescent="0.25">
      <c r="A73" s="16" t="s">
        <v>182</v>
      </c>
      <c r="B73" s="32" t="s">
        <v>183</v>
      </c>
      <c r="C73" s="26" t="e">
        <f t="shared" si="36"/>
        <v>#NAME?</v>
      </c>
      <c r="D73" s="26" t="e">
        <f t="shared" si="37"/>
        <v>#NAME?</v>
      </c>
      <c r="E73" s="12" t="e">
        <f t="shared" si="38"/>
        <v>#NAME?</v>
      </c>
      <c r="F73" s="26"/>
      <c r="G73" s="26" t="e">
        <f t="shared" si="39"/>
        <v>#NAME?</v>
      </c>
      <c r="H73" s="26" t="e">
        <f t="shared" si="40"/>
        <v>#NAME?</v>
      </c>
      <c r="I73" s="12" t="e">
        <f t="shared" si="41"/>
        <v>#NAME?</v>
      </c>
      <c r="J73" s="26"/>
      <c r="K73" s="26" t="e">
        <f t="shared" si="42"/>
        <v>#NAME?</v>
      </c>
      <c r="L73" s="26" t="e">
        <f t="shared" si="43"/>
        <v>#NAME?</v>
      </c>
      <c r="M73" s="12" t="e">
        <f t="shared" si="44"/>
        <v>#NAME?</v>
      </c>
      <c r="N73" s="12"/>
      <c r="O73" s="26" t="e">
        <f t="shared" si="45"/>
        <v>#NAME?</v>
      </c>
      <c r="P73" s="26" t="e">
        <f t="shared" si="46"/>
        <v>#NAME?</v>
      </c>
      <c r="Q73" s="12" t="e">
        <f t="shared" si="47"/>
        <v>#NAME?</v>
      </c>
      <c r="R73" s="12"/>
      <c r="S73" s="26" t="e">
        <f t="shared" si="48"/>
        <v>#NAME?</v>
      </c>
      <c r="T73" s="26" t="e">
        <f t="shared" si="49"/>
        <v>#NAME?</v>
      </c>
      <c r="U73" s="12" t="e">
        <f t="shared" si="50"/>
        <v>#NAME?</v>
      </c>
      <c r="V73" s="12"/>
      <c r="W73" s="44" t="e">
        <f t="shared" si="51"/>
        <v>#NAME?</v>
      </c>
      <c r="X73" s="26" t="e">
        <f t="shared" si="52"/>
        <v>#NAME?</v>
      </c>
      <c r="Y73" s="12" t="e">
        <f t="shared" si="53"/>
        <v>#NAME?</v>
      </c>
    </row>
    <row r="74" spans="1:25" ht="16.5" customHeight="1" x14ac:dyDescent="0.25">
      <c r="A74" s="16" t="s">
        <v>184</v>
      </c>
      <c r="B74" s="32" t="s">
        <v>185</v>
      </c>
      <c r="C74" s="26" t="e">
        <f t="shared" si="36"/>
        <v>#NAME?</v>
      </c>
      <c r="D74" s="26" t="e">
        <f t="shared" si="37"/>
        <v>#NAME?</v>
      </c>
      <c r="E74" s="12" t="e">
        <f t="shared" si="38"/>
        <v>#NAME?</v>
      </c>
      <c r="F74" s="26"/>
      <c r="G74" s="26" t="e">
        <f t="shared" si="39"/>
        <v>#NAME?</v>
      </c>
      <c r="H74" s="26" t="e">
        <f t="shared" si="40"/>
        <v>#NAME?</v>
      </c>
      <c r="I74" s="12" t="e">
        <f t="shared" si="41"/>
        <v>#NAME?</v>
      </c>
      <c r="J74" s="26"/>
      <c r="K74" s="26" t="e">
        <f t="shared" si="42"/>
        <v>#NAME?</v>
      </c>
      <c r="L74" s="26" t="e">
        <f t="shared" si="43"/>
        <v>#NAME?</v>
      </c>
      <c r="M74" s="12" t="e">
        <f t="shared" si="44"/>
        <v>#NAME?</v>
      </c>
      <c r="N74" s="12"/>
      <c r="O74" s="26" t="e">
        <f t="shared" si="45"/>
        <v>#NAME?</v>
      </c>
      <c r="P74" s="26" t="e">
        <f t="shared" si="46"/>
        <v>#NAME?</v>
      </c>
      <c r="Q74" s="12" t="e">
        <f t="shared" si="47"/>
        <v>#NAME?</v>
      </c>
      <c r="R74" s="12"/>
      <c r="S74" s="26" t="e">
        <f t="shared" si="48"/>
        <v>#NAME?</v>
      </c>
      <c r="T74" s="26" t="e">
        <f t="shared" si="49"/>
        <v>#NAME?</v>
      </c>
      <c r="U74" s="12" t="e">
        <f t="shared" si="50"/>
        <v>#NAME?</v>
      </c>
      <c r="V74" s="12"/>
      <c r="W74" s="44" t="e">
        <f t="shared" si="51"/>
        <v>#NAME?</v>
      </c>
      <c r="X74" s="26" t="e">
        <f t="shared" si="52"/>
        <v>#NAME?</v>
      </c>
      <c r="Y74" s="12" t="e">
        <f t="shared" si="53"/>
        <v>#NAME?</v>
      </c>
    </row>
    <row r="75" spans="1:25" ht="16.5" customHeight="1" x14ac:dyDescent="0.25">
      <c r="A75" s="16" t="s">
        <v>186</v>
      </c>
      <c r="B75" s="17" t="s">
        <v>187</v>
      </c>
      <c r="C75" s="26" t="e">
        <f t="shared" si="36"/>
        <v>#NAME?</v>
      </c>
      <c r="D75" s="26" t="e">
        <f t="shared" si="37"/>
        <v>#NAME?</v>
      </c>
      <c r="E75" s="12" t="e">
        <f t="shared" si="38"/>
        <v>#NAME?</v>
      </c>
      <c r="F75" s="26"/>
      <c r="G75" s="26" t="e">
        <f t="shared" si="39"/>
        <v>#NAME?</v>
      </c>
      <c r="H75" s="26" t="e">
        <f t="shared" si="40"/>
        <v>#NAME?</v>
      </c>
      <c r="I75" s="12" t="e">
        <f t="shared" si="41"/>
        <v>#NAME?</v>
      </c>
      <c r="J75" s="26"/>
      <c r="K75" s="26" t="e">
        <f t="shared" si="42"/>
        <v>#NAME?</v>
      </c>
      <c r="L75" s="26" t="e">
        <f t="shared" si="43"/>
        <v>#NAME?</v>
      </c>
      <c r="M75" s="12" t="e">
        <f t="shared" si="44"/>
        <v>#NAME?</v>
      </c>
      <c r="N75" s="12"/>
      <c r="O75" s="26" t="e">
        <f t="shared" si="45"/>
        <v>#NAME?</v>
      </c>
      <c r="P75" s="26" t="e">
        <f t="shared" si="46"/>
        <v>#NAME?</v>
      </c>
      <c r="Q75" s="12" t="e">
        <f t="shared" si="47"/>
        <v>#NAME?</v>
      </c>
      <c r="R75" s="12"/>
      <c r="S75" s="26" t="e">
        <f t="shared" si="48"/>
        <v>#NAME?</v>
      </c>
      <c r="T75" s="26" t="e">
        <f t="shared" si="49"/>
        <v>#NAME?</v>
      </c>
      <c r="U75" s="12" t="e">
        <f t="shared" si="50"/>
        <v>#NAME?</v>
      </c>
      <c r="V75" s="12"/>
      <c r="W75" s="44" t="e">
        <f t="shared" si="51"/>
        <v>#NAME?</v>
      </c>
      <c r="X75" s="26" t="e">
        <f t="shared" si="52"/>
        <v>#NAME?</v>
      </c>
      <c r="Y75" s="12" t="e">
        <f t="shared" si="53"/>
        <v>#NAME?</v>
      </c>
    </row>
    <row r="76" spans="1:25" ht="16.5" customHeight="1" x14ac:dyDescent="0.25">
      <c r="A76" s="16" t="s">
        <v>188</v>
      </c>
      <c r="B76" s="17" t="s">
        <v>189</v>
      </c>
      <c r="C76" s="26" t="e">
        <f t="shared" si="36"/>
        <v>#NAME?</v>
      </c>
      <c r="D76" s="26" t="e">
        <f t="shared" si="37"/>
        <v>#NAME?</v>
      </c>
      <c r="E76" s="12" t="e">
        <f t="shared" si="38"/>
        <v>#NAME?</v>
      </c>
      <c r="F76" s="26"/>
      <c r="G76" s="26" t="e">
        <f t="shared" si="39"/>
        <v>#NAME?</v>
      </c>
      <c r="H76" s="26" t="e">
        <f t="shared" si="40"/>
        <v>#NAME?</v>
      </c>
      <c r="I76" s="12" t="e">
        <f t="shared" si="41"/>
        <v>#NAME?</v>
      </c>
      <c r="J76" s="26"/>
      <c r="K76" s="26" t="e">
        <f t="shared" si="42"/>
        <v>#NAME?</v>
      </c>
      <c r="L76" s="26" t="e">
        <f t="shared" si="43"/>
        <v>#NAME?</v>
      </c>
      <c r="M76" s="12" t="e">
        <f t="shared" si="44"/>
        <v>#NAME?</v>
      </c>
      <c r="N76" s="12"/>
      <c r="O76" s="26" t="e">
        <f t="shared" si="45"/>
        <v>#NAME?</v>
      </c>
      <c r="P76" s="26" t="e">
        <f t="shared" si="46"/>
        <v>#NAME?</v>
      </c>
      <c r="Q76" s="12" t="e">
        <f t="shared" si="47"/>
        <v>#NAME?</v>
      </c>
      <c r="R76" s="12"/>
      <c r="S76" s="26" t="e">
        <f t="shared" si="48"/>
        <v>#NAME?</v>
      </c>
      <c r="T76" s="26" t="e">
        <f t="shared" si="49"/>
        <v>#NAME?</v>
      </c>
      <c r="U76" s="12" t="e">
        <f t="shared" si="50"/>
        <v>#NAME?</v>
      </c>
      <c r="V76" s="12"/>
      <c r="W76" s="44" t="e">
        <f t="shared" si="51"/>
        <v>#NAME?</v>
      </c>
      <c r="X76" s="26" t="e">
        <f t="shared" si="52"/>
        <v>#NAME?</v>
      </c>
      <c r="Y76" s="12" t="e">
        <f t="shared" si="53"/>
        <v>#NAME?</v>
      </c>
    </row>
    <row r="77" spans="1:25" ht="16.5" customHeight="1" x14ac:dyDescent="0.25">
      <c r="A77" s="16" t="s">
        <v>190</v>
      </c>
      <c r="B77" s="32" t="s">
        <v>191</v>
      </c>
      <c r="C77" s="26" t="e">
        <f t="shared" si="36"/>
        <v>#NAME?</v>
      </c>
      <c r="D77" s="26" t="e">
        <f t="shared" si="37"/>
        <v>#NAME?</v>
      </c>
      <c r="E77" s="12" t="e">
        <f t="shared" si="38"/>
        <v>#NAME?</v>
      </c>
      <c r="F77" s="26"/>
      <c r="G77" s="26" t="e">
        <f t="shared" si="39"/>
        <v>#NAME?</v>
      </c>
      <c r="H77" s="26" t="e">
        <f t="shared" si="40"/>
        <v>#NAME?</v>
      </c>
      <c r="I77" s="12" t="e">
        <f t="shared" si="41"/>
        <v>#NAME?</v>
      </c>
      <c r="J77" s="26"/>
      <c r="K77" s="26" t="e">
        <f t="shared" si="42"/>
        <v>#NAME?</v>
      </c>
      <c r="L77" s="26" t="e">
        <f t="shared" si="43"/>
        <v>#NAME?</v>
      </c>
      <c r="M77" s="12" t="e">
        <f t="shared" si="44"/>
        <v>#NAME?</v>
      </c>
      <c r="N77" s="12"/>
      <c r="O77" s="26" t="e">
        <f t="shared" si="45"/>
        <v>#NAME?</v>
      </c>
      <c r="P77" s="26" t="e">
        <f t="shared" si="46"/>
        <v>#NAME?</v>
      </c>
      <c r="Q77" s="12" t="e">
        <f t="shared" si="47"/>
        <v>#NAME?</v>
      </c>
      <c r="R77" s="12"/>
      <c r="S77" s="26" t="e">
        <f t="shared" si="48"/>
        <v>#NAME?</v>
      </c>
      <c r="T77" s="26" t="e">
        <f t="shared" si="49"/>
        <v>#NAME?</v>
      </c>
      <c r="U77" s="12" t="e">
        <f t="shared" si="50"/>
        <v>#NAME?</v>
      </c>
      <c r="V77" s="12"/>
      <c r="W77" s="44" t="e">
        <f t="shared" si="51"/>
        <v>#NAME?</v>
      </c>
      <c r="X77" s="26" t="e">
        <f t="shared" si="52"/>
        <v>#NAME?</v>
      </c>
      <c r="Y77" s="12" t="e">
        <f t="shared" si="53"/>
        <v>#NAME?</v>
      </c>
    </row>
    <row r="78" spans="1:25" ht="16.5" customHeight="1" x14ac:dyDescent="0.25">
      <c r="A78" s="16" t="s">
        <v>194</v>
      </c>
      <c r="B78" s="17" t="s">
        <v>195</v>
      </c>
      <c r="C78" s="26" t="e">
        <f t="shared" si="36"/>
        <v>#NAME?</v>
      </c>
      <c r="D78" s="26" t="e">
        <f t="shared" si="37"/>
        <v>#NAME?</v>
      </c>
      <c r="E78" s="12" t="e">
        <f t="shared" si="38"/>
        <v>#NAME?</v>
      </c>
      <c r="F78" s="26"/>
      <c r="G78" s="26" t="e">
        <f t="shared" si="39"/>
        <v>#NAME?</v>
      </c>
      <c r="H78" s="26" t="e">
        <f t="shared" si="40"/>
        <v>#NAME?</v>
      </c>
      <c r="I78" s="12" t="e">
        <f t="shared" si="41"/>
        <v>#NAME?</v>
      </c>
      <c r="J78" s="26"/>
      <c r="K78" s="26" t="e">
        <f t="shared" si="42"/>
        <v>#NAME?</v>
      </c>
      <c r="L78" s="26" t="e">
        <f t="shared" si="43"/>
        <v>#NAME?</v>
      </c>
      <c r="M78" s="12" t="e">
        <f t="shared" si="44"/>
        <v>#NAME?</v>
      </c>
      <c r="N78" s="12"/>
      <c r="O78" s="26" t="e">
        <f t="shared" si="45"/>
        <v>#NAME?</v>
      </c>
      <c r="P78" s="26" t="e">
        <f t="shared" si="46"/>
        <v>#NAME?</v>
      </c>
      <c r="Q78" s="12" t="e">
        <f t="shared" si="47"/>
        <v>#NAME?</v>
      </c>
      <c r="R78" s="12"/>
      <c r="S78" s="26" t="e">
        <f t="shared" si="48"/>
        <v>#NAME?</v>
      </c>
      <c r="T78" s="26" t="e">
        <f t="shared" si="49"/>
        <v>#NAME?</v>
      </c>
      <c r="U78" s="12" t="e">
        <f t="shared" si="50"/>
        <v>#NAME?</v>
      </c>
      <c r="V78" s="12"/>
      <c r="W78" s="44" t="e">
        <f t="shared" si="51"/>
        <v>#NAME?</v>
      </c>
      <c r="X78" s="26" t="e">
        <f t="shared" si="52"/>
        <v>#NAME?</v>
      </c>
      <c r="Y78" s="12" t="e">
        <f t="shared" si="53"/>
        <v>#NAME?</v>
      </c>
    </row>
    <row r="79" spans="1:25" ht="16.5" customHeight="1" x14ac:dyDescent="0.25">
      <c r="A79" s="16" t="s">
        <v>198</v>
      </c>
      <c r="B79" s="32" t="s">
        <v>199</v>
      </c>
      <c r="C79" s="26" t="e">
        <f t="shared" si="36"/>
        <v>#NAME?</v>
      </c>
      <c r="D79" s="26" t="e">
        <f t="shared" si="37"/>
        <v>#NAME?</v>
      </c>
      <c r="E79" s="12" t="e">
        <f t="shared" si="38"/>
        <v>#NAME?</v>
      </c>
      <c r="F79" s="26"/>
      <c r="G79" s="26" t="e">
        <f t="shared" si="39"/>
        <v>#NAME?</v>
      </c>
      <c r="H79" s="26" t="e">
        <f t="shared" si="40"/>
        <v>#NAME?</v>
      </c>
      <c r="I79" s="12" t="e">
        <f t="shared" si="41"/>
        <v>#NAME?</v>
      </c>
      <c r="J79" s="26"/>
      <c r="K79" s="26" t="e">
        <f t="shared" si="42"/>
        <v>#NAME?</v>
      </c>
      <c r="L79" s="26" t="e">
        <f t="shared" si="43"/>
        <v>#NAME?</v>
      </c>
      <c r="M79" s="12" t="e">
        <f t="shared" si="44"/>
        <v>#NAME?</v>
      </c>
      <c r="N79" s="12"/>
      <c r="O79" s="26" t="e">
        <f t="shared" si="45"/>
        <v>#NAME?</v>
      </c>
      <c r="P79" s="26" t="e">
        <f t="shared" si="46"/>
        <v>#NAME?</v>
      </c>
      <c r="Q79" s="12" t="e">
        <f t="shared" si="47"/>
        <v>#NAME?</v>
      </c>
      <c r="R79" s="12"/>
      <c r="S79" s="26" t="e">
        <f t="shared" si="48"/>
        <v>#NAME?</v>
      </c>
      <c r="T79" s="26" t="e">
        <f t="shared" si="49"/>
        <v>#NAME?</v>
      </c>
      <c r="U79" s="12" t="e">
        <f t="shared" si="50"/>
        <v>#NAME?</v>
      </c>
      <c r="V79" s="12"/>
      <c r="W79" s="44" t="e">
        <f t="shared" si="51"/>
        <v>#NAME?</v>
      </c>
      <c r="X79" s="26" t="e">
        <f t="shared" si="52"/>
        <v>#NAME?</v>
      </c>
      <c r="Y79" s="12" t="e">
        <f t="shared" si="53"/>
        <v>#NAME?</v>
      </c>
    </row>
    <row r="80" spans="1:25" ht="16.5" customHeight="1" x14ac:dyDescent="0.25">
      <c r="A80" s="16" t="s">
        <v>202</v>
      </c>
      <c r="B80" s="17" t="s">
        <v>203</v>
      </c>
      <c r="C80" s="26" t="e">
        <f t="shared" si="36"/>
        <v>#NAME?</v>
      </c>
      <c r="D80" s="26" t="e">
        <f t="shared" si="37"/>
        <v>#NAME?</v>
      </c>
      <c r="E80" s="12" t="e">
        <f t="shared" si="38"/>
        <v>#NAME?</v>
      </c>
      <c r="F80" s="26"/>
      <c r="G80" s="26" t="e">
        <f t="shared" si="39"/>
        <v>#NAME?</v>
      </c>
      <c r="H80" s="26" t="e">
        <f t="shared" si="40"/>
        <v>#NAME?</v>
      </c>
      <c r="I80" s="12" t="e">
        <f t="shared" si="41"/>
        <v>#NAME?</v>
      </c>
      <c r="J80" s="26"/>
      <c r="K80" s="26" t="e">
        <f t="shared" si="42"/>
        <v>#NAME?</v>
      </c>
      <c r="L80" s="26" t="e">
        <f t="shared" si="43"/>
        <v>#NAME?</v>
      </c>
      <c r="M80" s="12" t="e">
        <f t="shared" si="44"/>
        <v>#NAME?</v>
      </c>
      <c r="N80" s="12"/>
      <c r="O80" s="26" t="e">
        <f t="shared" si="45"/>
        <v>#NAME?</v>
      </c>
      <c r="P80" s="26" t="e">
        <f t="shared" si="46"/>
        <v>#NAME?</v>
      </c>
      <c r="Q80" s="12" t="e">
        <f t="shared" si="47"/>
        <v>#NAME?</v>
      </c>
      <c r="R80" s="12"/>
      <c r="S80" s="26" t="e">
        <f t="shared" si="48"/>
        <v>#NAME?</v>
      </c>
      <c r="T80" s="26" t="e">
        <f t="shared" si="49"/>
        <v>#NAME?</v>
      </c>
      <c r="U80" s="12" t="e">
        <f t="shared" si="50"/>
        <v>#NAME?</v>
      </c>
      <c r="V80" s="12"/>
      <c r="W80" s="44" t="e">
        <f t="shared" si="51"/>
        <v>#NAME?</v>
      </c>
      <c r="X80" s="26" t="e">
        <f t="shared" si="52"/>
        <v>#NAME?</v>
      </c>
      <c r="Y80" s="12" t="e">
        <f t="shared" si="53"/>
        <v>#NAME?</v>
      </c>
    </row>
    <row r="81" spans="1:25" ht="16.5" customHeight="1" x14ac:dyDescent="0.25">
      <c r="A81" s="16" t="s">
        <v>204</v>
      </c>
      <c r="B81" s="17" t="s">
        <v>205</v>
      </c>
      <c r="C81" s="26" t="e">
        <f t="shared" si="36"/>
        <v>#NAME?</v>
      </c>
      <c r="D81" s="26" t="e">
        <f t="shared" si="37"/>
        <v>#NAME?</v>
      </c>
      <c r="E81" s="12" t="e">
        <f t="shared" si="38"/>
        <v>#NAME?</v>
      </c>
      <c r="F81" s="26"/>
      <c r="G81" s="26" t="e">
        <f t="shared" si="39"/>
        <v>#NAME?</v>
      </c>
      <c r="H81" s="26" t="e">
        <f t="shared" si="40"/>
        <v>#NAME?</v>
      </c>
      <c r="I81" s="12" t="e">
        <f t="shared" si="41"/>
        <v>#NAME?</v>
      </c>
      <c r="J81" s="26"/>
      <c r="K81" s="26" t="e">
        <f t="shared" si="42"/>
        <v>#NAME?</v>
      </c>
      <c r="L81" s="26" t="e">
        <f t="shared" si="43"/>
        <v>#NAME?</v>
      </c>
      <c r="M81" s="12" t="e">
        <f t="shared" si="44"/>
        <v>#NAME?</v>
      </c>
      <c r="N81" s="12"/>
      <c r="O81" s="26" t="e">
        <f t="shared" si="45"/>
        <v>#NAME?</v>
      </c>
      <c r="P81" s="26" t="e">
        <f t="shared" si="46"/>
        <v>#NAME?</v>
      </c>
      <c r="Q81" s="12" t="e">
        <f t="shared" si="47"/>
        <v>#NAME?</v>
      </c>
      <c r="R81" s="12"/>
      <c r="S81" s="26" t="e">
        <f t="shared" si="48"/>
        <v>#NAME?</v>
      </c>
      <c r="T81" s="26" t="e">
        <f t="shared" si="49"/>
        <v>#NAME?</v>
      </c>
      <c r="U81" s="12" t="e">
        <f t="shared" si="50"/>
        <v>#NAME?</v>
      </c>
      <c r="V81" s="12"/>
      <c r="W81" s="44" t="e">
        <f t="shared" si="51"/>
        <v>#NAME?</v>
      </c>
      <c r="X81" s="26" t="e">
        <f t="shared" si="52"/>
        <v>#NAME?</v>
      </c>
      <c r="Y81" s="12" t="e">
        <f t="shared" si="53"/>
        <v>#NAME?</v>
      </c>
    </row>
    <row r="82" spans="1:25" ht="16.5" customHeight="1" x14ac:dyDescent="0.25">
      <c r="A82" s="16" t="s">
        <v>206</v>
      </c>
      <c r="B82" s="17" t="s">
        <v>207</v>
      </c>
      <c r="C82" s="26" t="e">
        <f t="shared" si="36"/>
        <v>#NAME?</v>
      </c>
      <c r="D82" s="26" t="e">
        <f t="shared" si="37"/>
        <v>#NAME?</v>
      </c>
      <c r="E82" s="12" t="e">
        <f t="shared" si="38"/>
        <v>#NAME?</v>
      </c>
      <c r="F82" s="26"/>
      <c r="G82" s="26" t="e">
        <f t="shared" si="39"/>
        <v>#NAME?</v>
      </c>
      <c r="H82" s="26" t="e">
        <f t="shared" si="40"/>
        <v>#NAME?</v>
      </c>
      <c r="I82" s="12" t="e">
        <f t="shared" si="41"/>
        <v>#NAME?</v>
      </c>
      <c r="J82" s="26"/>
      <c r="K82" s="26" t="e">
        <f t="shared" si="42"/>
        <v>#NAME?</v>
      </c>
      <c r="L82" s="26" t="e">
        <f t="shared" si="43"/>
        <v>#NAME?</v>
      </c>
      <c r="M82" s="12" t="e">
        <f t="shared" si="44"/>
        <v>#NAME?</v>
      </c>
      <c r="N82" s="12"/>
      <c r="O82" s="26" t="e">
        <f t="shared" si="45"/>
        <v>#NAME?</v>
      </c>
      <c r="P82" s="26" t="e">
        <f t="shared" si="46"/>
        <v>#NAME?</v>
      </c>
      <c r="Q82" s="12" t="e">
        <f t="shared" si="47"/>
        <v>#NAME?</v>
      </c>
      <c r="R82" s="12"/>
      <c r="S82" s="26" t="e">
        <f t="shared" si="48"/>
        <v>#NAME?</v>
      </c>
      <c r="T82" s="26" t="e">
        <f t="shared" si="49"/>
        <v>#NAME?</v>
      </c>
      <c r="U82" s="12" t="e">
        <f t="shared" si="50"/>
        <v>#NAME?</v>
      </c>
      <c r="V82" s="12"/>
      <c r="W82" s="44" t="e">
        <f t="shared" si="51"/>
        <v>#NAME?</v>
      </c>
      <c r="X82" s="26" t="e">
        <f t="shared" si="52"/>
        <v>#NAME?</v>
      </c>
      <c r="Y82" s="12" t="e">
        <f t="shared" si="53"/>
        <v>#NAME?</v>
      </c>
    </row>
    <row r="83" spans="1:25" ht="16.5" customHeight="1" x14ac:dyDescent="0.25">
      <c r="A83" s="16" t="s">
        <v>208</v>
      </c>
      <c r="B83" s="32" t="s">
        <v>209</v>
      </c>
      <c r="C83" s="26" t="e">
        <f t="shared" si="36"/>
        <v>#NAME?</v>
      </c>
      <c r="D83" s="26" t="e">
        <f t="shared" si="37"/>
        <v>#NAME?</v>
      </c>
      <c r="E83" s="12" t="e">
        <f t="shared" si="38"/>
        <v>#NAME?</v>
      </c>
      <c r="F83" s="26"/>
      <c r="G83" s="26" t="e">
        <f t="shared" si="39"/>
        <v>#NAME?</v>
      </c>
      <c r="H83" s="26" t="e">
        <f t="shared" si="40"/>
        <v>#NAME?</v>
      </c>
      <c r="I83" s="12" t="e">
        <f t="shared" si="41"/>
        <v>#NAME?</v>
      </c>
      <c r="J83" s="26"/>
      <c r="K83" s="26" t="e">
        <f t="shared" si="42"/>
        <v>#NAME?</v>
      </c>
      <c r="L83" s="26" t="e">
        <f t="shared" si="43"/>
        <v>#NAME?</v>
      </c>
      <c r="M83" s="12" t="e">
        <f t="shared" si="44"/>
        <v>#NAME?</v>
      </c>
      <c r="N83" s="12"/>
      <c r="O83" s="26" t="e">
        <f t="shared" si="45"/>
        <v>#NAME?</v>
      </c>
      <c r="P83" s="26" t="e">
        <f t="shared" si="46"/>
        <v>#NAME?</v>
      </c>
      <c r="Q83" s="12" t="e">
        <f t="shared" si="47"/>
        <v>#NAME?</v>
      </c>
      <c r="R83" s="12"/>
      <c r="S83" s="26" t="e">
        <f t="shared" si="48"/>
        <v>#NAME?</v>
      </c>
      <c r="T83" s="26" t="e">
        <f t="shared" si="49"/>
        <v>#NAME?</v>
      </c>
      <c r="U83" s="12" t="e">
        <f t="shared" si="50"/>
        <v>#NAME?</v>
      </c>
      <c r="V83" s="12"/>
      <c r="W83" s="44" t="e">
        <f t="shared" si="51"/>
        <v>#NAME?</v>
      </c>
      <c r="X83" s="26" t="e">
        <f t="shared" si="52"/>
        <v>#NAME?</v>
      </c>
      <c r="Y83" s="12" t="e">
        <f t="shared" si="53"/>
        <v>#NAME?</v>
      </c>
    </row>
    <row r="84" spans="1:25" ht="16.5" customHeight="1" x14ac:dyDescent="0.25">
      <c r="A84" s="16" t="s">
        <v>210</v>
      </c>
      <c r="B84" s="32" t="s">
        <v>211</v>
      </c>
      <c r="C84" s="26" t="e">
        <f t="shared" si="36"/>
        <v>#NAME?</v>
      </c>
      <c r="D84" s="26" t="e">
        <f t="shared" si="37"/>
        <v>#NAME?</v>
      </c>
      <c r="E84" s="12" t="e">
        <f t="shared" si="38"/>
        <v>#NAME?</v>
      </c>
      <c r="F84" s="26"/>
      <c r="G84" s="26" t="e">
        <f t="shared" si="39"/>
        <v>#NAME?</v>
      </c>
      <c r="H84" s="26" t="e">
        <f t="shared" si="40"/>
        <v>#NAME?</v>
      </c>
      <c r="I84" s="12" t="e">
        <f t="shared" si="41"/>
        <v>#NAME?</v>
      </c>
      <c r="J84" s="26"/>
      <c r="K84" s="26" t="e">
        <f t="shared" si="42"/>
        <v>#NAME?</v>
      </c>
      <c r="L84" s="26" t="e">
        <f t="shared" si="43"/>
        <v>#NAME?</v>
      </c>
      <c r="M84" s="12" t="e">
        <f t="shared" si="44"/>
        <v>#NAME?</v>
      </c>
      <c r="N84" s="12"/>
      <c r="O84" s="26" t="e">
        <f t="shared" si="45"/>
        <v>#NAME?</v>
      </c>
      <c r="P84" s="26" t="e">
        <f t="shared" si="46"/>
        <v>#NAME?</v>
      </c>
      <c r="Q84" s="12" t="e">
        <f t="shared" si="47"/>
        <v>#NAME?</v>
      </c>
      <c r="R84" s="12"/>
      <c r="S84" s="26" t="e">
        <f t="shared" si="48"/>
        <v>#NAME?</v>
      </c>
      <c r="T84" s="26" t="e">
        <f t="shared" si="49"/>
        <v>#NAME?</v>
      </c>
      <c r="U84" s="12" t="e">
        <f t="shared" si="50"/>
        <v>#NAME?</v>
      </c>
      <c r="V84" s="12"/>
      <c r="W84" s="44" t="e">
        <f t="shared" si="51"/>
        <v>#NAME?</v>
      </c>
      <c r="X84" s="26" t="e">
        <f t="shared" si="52"/>
        <v>#NAME?</v>
      </c>
      <c r="Y84" s="12" t="e">
        <f t="shared" si="53"/>
        <v>#NAME?</v>
      </c>
    </row>
    <row r="85" spans="1:25" ht="16.5" customHeight="1" x14ac:dyDescent="0.25">
      <c r="A85" s="16" t="s">
        <v>212</v>
      </c>
      <c r="B85" s="17" t="s">
        <v>213</v>
      </c>
      <c r="C85" s="26" t="e">
        <f t="shared" si="36"/>
        <v>#NAME?</v>
      </c>
      <c r="D85" s="26" t="e">
        <f t="shared" si="37"/>
        <v>#NAME?</v>
      </c>
      <c r="E85" s="12" t="e">
        <f t="shared" si="38"/>
        <v>#NAME?</v>
      </c>
      <c r="F85" s="26"/>
      <c r="G85" s="26" t="e">
        <f t="shared" si="39"/>
        <v>#NAME?</v>
      </c>
      <c r="H85" s="26" t="e">
        <f t="shared" si="40"/>
        <v>#NAME?</v>
      </c>
      <c r="I85" s="12" t="e">
        <f t="shared" si="41"/>
        <v>#NAME?</v>
      </c>
      <c r="J85" s="26"/>
      <c r="K85" s="26" t="e">
        <f t="shared" si="42"/>
        <v>#NAME?</v>
      </c>
      <c r="L85" s="26" t="e">
        <f t="shared" si="43"/>
        <v>#NAME?</v>
      </c>
      <c r="M85" s="12" t="e">
        <f t="shared" si="44"/>
        <v>#NAME?</v>
      </c>
      <c r="N85" s="12"/>
      <c r="O85" s="26" t="e">
        <f t="shared" si="45"/>
        <v>#NAME?</v>
      </c>
      <c r="P85" s="26" t="e">
        <f t="shared" si="46"/>
        <v>#NAME?</v>
      </c>
      <c r="Q85" s="12" t="e">
        <f t="shared" si="47"/>
        <v>#NAME?</v>
      </c>
      <c r="R85" s="12"/>
      <c r="S85" s="26" t="e">
        <f t="shared" si="48"/>
        <v>#NAME?</v>
      </c>
      <c r="T85" s="26" t="e">
        <f t="shared" si="49"/>
        <v>#NAME?</v>
      </c>
      <c r="U85" s="12" t="e">
        <f t="shared" si="50"/>
        <v>#NAME?</v>
      </c>
      <c r="V85" s="12"/>
      <c r="W85" s="44" t="e">
        <f t="shared" si="51"/>
        <v>#NAME?</v>
      </c>
      <c r="X85" s="26" t="e">
        <f t="shared" si="52"/>
        <v>#NAME?</v>
      </c>
      <c r="Y85" s="12" t="e">
        <f t="shared" si="53"/>
        <v>#NAME?</v>
      </c>
    </row>
    <row r="86" spans="1:25" ht="16.5" customHeight="1" x14ac:dyDescent="0.25">
      <c r="A86" s="16" t="s">
        <v>214</v>
      </c>
      <c r="B86" s="32" t="s">
        <v>215</v>
      </c>
      <c r="C86" s="26" t="e">
        <f t="shared" si="36"/>
        <v>#NAME?</v>
      </c>
      <c r="D86" s="26" t="e">
        <f t="shared" si="37"/>
        <v>#NAME?</v>
      </c>
      <c r="E86" s="12" t="e">
        <f t="shared" si="38"/>
        <v>#NAME?</v>
      </c>
      <c r="F86" s="26"/>
      <c r="G86" s="26" t="e">
        <f t="shared" si="39"/>
        <v>#NAME?</v>
      </c>
      <c r="H86" s="26" t="e">
        <f t="shared" si="40"/>
        <v>#NAME?</v>
      </c>
      <c r="I86" s="12" t="e">
        <f t="shared" si="41"/>
        <v>#NAME?</v>
      </c>
      <c r="J86" s="26"/>
      <c r="K86" s="26" t="e">
        <f t="shared" si="42"/>
        <v>#NAME?</v>
      </c>
      <c r="L86" s="26" t="e">
        <f t="shared" si="43"/>
        <v>#NAME?</v>
      </c>
      <c r="M86" s="12" t="e">
        <f t="shared" si="44"/>
        <v>#NAME?</v>
      </c>
      <c r="N86" s="12"/>
      <c r="O86" s="26" t="e">
        <f t="shared" si="45"/>
        <v>#NAME?</v>
      </c>
      <c r="P86" s="26" t="e">
        <f t="shared" si="46"/>
        <v>#NAME?</v>
      </c>
      <c r="Q86" s="12" t="e">
        <f t="shared" si="47"/>
        <v>#NAME?</v>
      </c>
      <c r="R86" s="12"/>
      <c r="S86" s="26" t="e">
        <f t="shared" si="48"/>
        <v>#NAME?</v>
      </c>
      <c r="T86" s="26" t="e">
        <f t="shared" si="49"/>
        <v>#NAME?</v>
      </c>
      <c r="U86" s="12" t="e">
        <f t="shared" si="50"/>
        <v>#NAME?</v>
      </c>
      <c r="V86" s="12"/>
      <c r="W86" s="44" t="e">
        <f t="shared" si="51"/>
        <v>#NAME?</v>
      </c>
      <c r="X86" s="26" t="e">
        <f t="shared" si="52"/>
        <v>#NAME?</v>
      </c>
      <c r="Y86" s="12" t="e">
        <f t="shared" si="53"/>
        <v>#NAME?</v>
      </c>
    </row>
    <row r="87" spans="1:25" ht="16.5" customHeight="1" x14ac:dyDescent="0.25">
      <c r="A87" s="16" t="s">
        <v>216</v>
      </c>
      <c r="B87" s="32" t="s">
        <v>217</v>
      </c>
      <c r="C87" s="26" t="e">
        <f t="shared" si="36"/>
        <v>#NAME?</v>
      </c>
      <c r="D87" s="26" t="e">
        <f t="shared" si="37"/>
        <v>#NAME?</v>
      </c>
      <c r="E87" s="12" t="e">
        <f t="shared" si="38"/>
        <v>#NAME?</v>
      </c>
      <c r="F87" s="26"/>
      <c r="G87" s="26" t="e">
        <f t="shared" si="39"/>
        <v>#NAME?</v>
      </c>
      <c r="H87" s="26" t="e">
        <f t="shared" si="40"/>
        <v>#NAME?</v>
      </c>
      <c r="I87" s="12" t="e">
        <f t="shared" si="41"/>
        <v>#NAME?</v>
      </c>
      <c r="J87" s="26"/>
      <c r="K87" s="26" t="e">
        <f t="shared" si="42"/>
        <v>#NAME?</v>
      </c>
      <c r="L87" s="26" t="e">
        <f t="shared" si="43"/>
        <v>#NAME?</v>
      </c>
      <c r="M87" s="12" t="e">
        <f t="shared" si="44"/>
        <v>#NAME?</v>
      </c>
      <c r="N87" s="12"/>
      <c r="O87" s="26" t="e">
        <f t="shared" si="45"/>
        <v>#NAME?</v>
      </c>
      <c r="P87" s="26" t="e">
        <f t="shared" si="46"/>
        <v>#NAME?</v>
      </c>
      <c r="Q87" s="12" t="e">
        <f t="shared" si="47"/>
        <v>#NAME?</v>
      </c>
      <c r="R87" s="12"/>
      <c r="S87" s="26" t="e">
        <f t="shared" si="48"/>
        <v>#NAME?</v>
      </c>
      <c r="T87" s="26" t="e">
        <f t="shared" si="49"/>
        <v>#NAME?</v>
      </c>
      <c r="U87" s="12" t="e">
        <f t="shared" si="50"/>
        <v>#NAME?</v>
      </c>
      <c r="V87" s="12"/>
      <c r="W87" s="44" t="e">
        <f t="shared" si="51"/>
        <v>#NAME?</v>
      </c>
      <c r="X87" s="26" t="e">
        <f t="shared" si="52"/>
        <v>#NAME?</v>
      </c>
      <c r="Y87" s="12" t="e">
        <f t="shared" si="53"/>
        <v>#NAME?</v>
      </c>
    </row>
    <row r="88" spans="1:25" ht="16.5" customHeight="1" x14ac:dyDescent="0.25">
      <c r="A88" s="16" t="s">
        <v>218</v>
      </c>
      <c r="B88" s="17" t="s">
        <v>219</v>
      </c>
      <c r="C88" s="26" t="e">
        <f t="shared" si="36"/>
        <v>#NAME?</v>
      </c>
      <c r="D88" s="26" t="e">
        <f t="shared" si="37"/>
        <v>#NAME?</v>
      </c>
      <c r="E88" s="12" t="e">
        <f t="shared" si="38"/>
        <v>#NAME?</v>
      </c>
      <c r="F88" s="26"/>
      <c r="G88" s="26" t="e">
        <f t="shared" si="39"/>
        <v>#NAME?</v>
      </c>
      <c r="H88" s="26" t="e">
        <f t="shared" si="40"/>
        <v>#NAME?</v>
      </c>
      <c r="I88" s="12" t="e">
        <f t="shared" si="41"/>
        <v>#NAME?</v>
      </c>
      <c r="J88" s="26"/>
      <c r="K88" s="26" t="e">
        <f t="shared" si="42"/>
        <v>#NAME?</v>
      </c>
      <c r="L88" s="26" t="e">
        <f t="shared" si="43"/>
        <v>#NAME?</v>
      </c>
      <c r="M88" s="12" t="e">
        <f t="shared" si="44"/>
        <v>#NAME?</v>
      </c>
      <c r="N88" s="12"/>
      <c r="O88" s="26" t="e">
        <f t="shared" si="45"/>
        <v>#NAME?</v>
      </c>
      <c r="P88" s="26" t="e">
        <f t="shared" si="46"/>
        <v>#NAME?</v>
      </c>
      <c r="Q88" s="12" t="e">
        <f t="shared" si="47"/>
        <v>#NAME?</v>
      </c>
      <c r="R88" s="12"/>
      <c r="S88" s="26" t="e">
        <f t="shared" si="48"/>
        <v>#NAME?</v>
      </c>
      <c r="T88" s="26" t="e">
        <f t="shared" si="49"/>
        <v>#NAME?</v>
      </c>
      <c r="U88" s="12" t="e">
        <f t="shared" si="50"/>
        <v>#NAME?</v>
      </c>
      <c r="V88" s="12"/>
      <c r="W88" s="44" t="e">
        <f t="shared" si="51"/>
        <v>#NAME?</v>
      </c>
      <c r="X88" s="26" t="e">
        <f t="shared" si="52"/>
        <v>#NAME?</v>
      </c>
      <c r="Y88" s="12" t="e">
        <f t="shared" si="53"/>
        <v>#NAME?</v>
      </c>
    </row>
    <row r="89" spans="1:25" ht="16.5" customHeight="1" x14ac:dyDescent="0.25">
      <c r="A89" s="16" t="s">
        <v>220</v>
      </c>
      <c r="B89" s="17" t="s">
        <v>221</v>
      </c>
      <c r="C89" s="26" t="e">
        <f t="shared" si="36"/>
        <v>#NAME?</v>
      </c>
      <c r="D89" s="26" t="e">
        <f t="shared" si="37"/>
        <v>#NAME?</v>
      </c>
      <c r="E89" s="12" t="e">
        <f t="shared" si="38"/>
        <v>#NAME?</v>
      </c>
      <c r="F89" s="26"/>
      <c r="G89" s="26" t="e">
        <f t="shared" si="39"/>
        <v>#NAME?</v>
      </c>
      <c r="H89" s="26" t="e">
        <f t="shared" si="40"/>
        <v>#NAME?</v>
      </c>
      <c r="I89" s="12" t="e">
        <f t="shared" si="41"/>
        <v>#NAME?</v>
      </c>
      <c r="J89" s="26"/>
      <c r="K89" s="26" t="e">
        <f t="shared" si="42"/>
        <v>#NAME?</v>
      </c>
      <c r="L89" s="26" t="e">
        <f t="shared" si="43"/>
        <v>#NAME?</v>
      </c>
      <c r="M89" s="12" t="e">
        <f t="shared" si="44"/>
        <v>#NAME?</v>
      </c>
      <c r="N89" s="12"/>
      <c r="O89" s="26" t="e">
        <f t="shared" si="45"/>
        <v>#NAME?</v>
      </c>
      <c r="P89" s="26" t="e">
        <f t="shared" si="46"/>
        <v>#NAME?</v>
      </c>
      <c r="Q89" s="12" t="e">
        <f t="shared" si="47"/>
        <v>#NAME?</v>
      </c>
      <c r="R89" s="12"/>
      <c r="S89" s="26" t="e">
        <f t="shared" si="48"/>
        <v>#NAME?</v>
      </c>
      <c r="T89" s="26" t="e">
        <f t="shared" si="49"/>
        <v>#NAME?</v>
      </c>
      <c r="U89" s="12" t="e">
        <f t="shared" si="50"/>
        <v>#NAME?</v>
      </c>
      <c r="V89" s="12"/>
      <c r="W89" s="44" t="e">
        <f t="shared" si="51"/>
        <v>#NAME?</v>
      </c>
      <c r="X89" s="26" t="e">
        <f t="shared" si="52"/>
        <v>#NAME?</v>
      </c>
      <c r="Y89" s="12" t="e">
        <f t="shared" si="53"/>
        <v>#NAME?</v>
      </c>
    </row>
    <row r="90" spans="1:25" ht="16.5" customHeight="1" x14ac:dyDescent="0.25">
      <c r="A90" s="16" t="s">
        <v>224</v>
      </c>
      <c r="B90" s="17" t="s">
        <v>225</v>
      </c>
      <c r="C90" s="26" t="e">
        <f t="shared" si="36"/>
        <v>#NAME?</v>
      </c>
      <c r="D90" s="26" t="e">
        <f t="shared" si="37"/>
        <v>#NAME?</v>
      </c>
      <c r="E90" s="12" t="e">
        <f t="shared" si="38"/>
        <v>#NAME?</v>
      </c>
      <c r="F90" s="26"/>
      <c r="G90" s="26" t="e">
        <f t="shared" si="39"/>
        <v>#NAME?</v>
      </c>
      <c r="H90" s="26" t="e">
        <f t="shared" si="40"/>
        <v>#NAME?</v>
      </c>
      <c r="I90" s="12" t="e">
        <f t="shared" si="41"/>
        <v>#NAME?</v>
      </c>
      <c r="J90" s="26"/>
      <c r="K90" s="26" t="e">
        <f t="shared" si="42"/>
        <v>#NAME?</v>
      </c>
      <c r="L90" s="26" t="e">
        <f t="shared" si="43"/>
        <v>#NAME?</v>
      </c>
      <c r="M90" s="12" t="e">
        <f t="shared" si="44"/>
        <v>#NAME?</v>
      </c>
      <c r="N90" s="12"/>
      <c r="O90" s="26" t="e">
        <f t="shared" si="45"/>
        <v>#NAME?</v>
      </c>
      <c r="P90" s="26" t="e">
        <f t="shared" si="46"/>
        <v>#NAME?</v>
      </c>
      <c r="Q90" s="12" t="e">
        <f t="shared" si="47"/>
        <v>#NAME?</v>
      </c>
      <c r="R90" s="12"/>
      <c r="S90" s="26" t="e">
        <f t="shared" si="48"/>
        <v>#NAME?</v>
      </c>
      <c r="T90" s="26" t="e">
        <f t="shared" si="49"/>
        <v>#NAME?</v>
      </c>
      <c r="U90" s="12" t="e">
        <f t="shared" si="50"/>
        <v>#NAME?</v>
      </c>
      <c r="V90" s="12"/>
      <c r="W90" s="44" t="e">
        <f t="shared" si="51"/>
        <v>#NAME?</v>
      </c>
      <c r="X90" s="26" t="e">
        <f t="shared" si="52"/>
        <v>#NAME?</v>
      </c>
      <c r="Y90" s="12" t="e">
        <f t="shared" si="53"/>
        <v>#NAME?</v>
      </c>
    </row>
    <row r="91" spans="1:25" ht="16.5" customHeight="1" x14ac:dyDescent="0.25">
      <c r="A91" s="16" t="s">
        <v>226</v>
      </c>
      <c r="B91" s="32" t="s">
        <v>227</v>
      </c>
      <c r="C91" s="26" t="e">
        <f t="shared" si="36"/>
        <v>#NAME?</v>
      </c>
      <c r="D91" s="26" t="e">
        <f t="shared" si="37"/>
        <v>#NAME?</v>
      </c>
      <c r="E91" s="12" t="e">
        <f t="shared" si="38"/>
        <v>#NAME?</v>
      </c>
      <c r="F91" s="26"/>
      <c r="G91" s="26" t="e">
        <f t="shared" si="39"/>
        <v>#NAME?</v>
      </c>
      <c r="H91" s="26" t="e">
        <f t="shared" si="40"/>
        <v>#NAME?</v>
      </c>
      <c r="I91" s="12" t="e">
        <f t="shared" si="41"/>
        <v>#NAME?</v>
      </c>
      <c r="J91" s="26"/>
      <c r="K91" s="26" t="e">
        <f t="shared" si="42"/>
        <v>#NAME?</v>
      </c>
      <c r="L91" s="26" t="e">
        <f t="shared" si="43"/>
        <v>#NAME?</v>
      </c>
      <c r="M91" s="12" t="e">
        <f t="shared" si="44"/>
        <v>#NAME?</v>
      </c>
      <c r="N91" s="12"/>
      <c r="O91" s="26" t="e">
        <f t="shared" si="45"/>
        <v>#NAME?</v>
      </c>
      <c r="P91" s="26" t="e">
        <f t="shared" si="46"/>
        <v>#NAME?</v>
      </c>
      <c r="Q91" s="12" t="e">
        <f t="shared" si="47"/>
        <v>#NAME?</v>
      </c>
      <c r="R91" s="12"/>
      <c r="S91" s="26" t="e">
        <f t="shared" si="48"/>
        <v>#NAME?</v>
      </c>
      <c r="T91" s="26" t="e">
        <f t="shared" si="49"/>
        <v>#NAME?</v>
      </c>
      <c r="U91" s="12" t="e">
        <f t="shared" si="50"/>
        <v>#NAME?</v>
      </c>
      <c r="V91" s="12"/>
      <c r="W91" s="44" t="e">
        <f t="shared" si="51"/>
        <v>#NAME?</v>
      </c>
      <c r="X91" s="26" t="e">
        <f t="shared" si="52"/>
        <v>#NAME?</v>
      </c>
      <c r="Y91" s="12" t="e">
        <f t="shared" si="53"/>
        <v>#NAME?</v>
      </c>
    </row>
    <row r="92" spans="1:25" ht="16.5" customHeight="1" x14ac:dyDescent="0.25">
      <c r="A92" s="16" t="s">
        <v>228</v>
      </c>
      <c r="B92" s="32" t="s">
        <v>229</v>
      </c>
      <c r="C92" s="26" t="e">
        <f t="shared" si="36"/>
        <v>#NAME?</v>
      </c>
      <c r="D92" s="26" t="e">
        <f t="shared" si="37"/>
        <v>#NAME?</v>
      </c>
      <c r="E92" s="12" t="e">
        <f t="shared" si="38"/>
        <v>#NAME?</v>
      </c>
      <c r="F92" s="26"/>
      <c r="G92" s="26" t="e">
        <f t="shared" si="39"/>
        <v>#NAME?</v>
      </c>
      <c r="H92" s="26" t="e">
        <f t="shared" si="40"/>
        <v>#NAME?</v>
      </c>
      <c r="I92" s="12" t="e">
        <f t="shared" si="41"/>
        <v>#NAME?</v>
      </c>
      <c r="J92" s="26"/>
      <c r="K92" s="26" t="e">
        <f t="shared" si="42"/>
        <v>#NAME?</v>
      </c>
      <c r="L92" s="26" t="e">
        <f t="shared" si="43"/>
        <v>#NAME?</v>
      </c>
      <c r="M92" s="12" t="e">
        <f t="shared" si="44"/>
        <v>#NAME?</v>
      </c>
      <c r="N92" s="12"/>
      <c r="O92" s="26" t="e">
        <f t="shared" si="45"/>
        <v>#NAME?</v>
      </c>
      <c r="P92" s="26" t="e">
        <f t="shared" si="46"/>
        <v>#NAME?</v>
      </c>
      <c r="Q92" s="12" t="e">
        <f t="shared" si="47"/>
        <v>#NAME?</v>
      </c>
      <c r="R92" s="12"/>
      <c r="S92" s="26" t="e">
        <f t="shared" si="48"/>
        <v>#NAME?</v>
      </c>
      <c r="T92" s="26" t="e">
        <f t="shared" si="49"/>
        <v>#NAME?</v>
      </c>
      <c r="U92" s="12" t="e">
        <f t="shared" si="50"/>
        <v>#NAME?</v>
      </c>
      <c r="V92" s="12"/>
      <c r="W92" s="44" t="e">
        <f t="shared" si="51"/>
        <v>#NAME?</v>
      </c>
      <c r="X92" s="26" t="e">
        <f t="shared" si="52"/>
        <v>#NAME?</v>
      </c>
      <c r="Y92" s="12" t="e">
        <f t="shared" si="53"/>
        <v>#NAME?</v>
      </c>
    </row>
    <row r="93" spans="1:25" ht="16.5" customHeight="1" x14ac:dyDescent="0.25">
      <c r="A93" s="16" t="s">
        <v>232</v>
      </c>
      <c r="B93" s="32" t="s">
        <v>233</v>
      </c>
      <c r="C93" s="26" t="e">
        <f t="shared" si="36"/>
        <v>#NAME?</v>
      </c>
      <c r="D93" s="26" t="e">
        <f t="shared" si="37"/>
        <v>#NAME?</v>
      </c>
      <c r="E93" s="12" t="e">
        <f t="shared" si="38"/>
        <v>#NAME?</v>
      </c>
      <c r="F93" s="26"/>
      <c r="G93" s="26" t="e">
        <f t="shared" si="39"/>
        <v>#NAME?</v>
      </c>
      <c r="H93" s="26" t="e">
        <f t="shared" si="40"/>
        <v>#NAME?</v>
      </c>
      <c r="I93" s="12" t="e">
        <f t="shared" si="41"/>
        <v>#NAME?</v>
      </c>
      <c r="J93" s="26"/>
      <c r="K93" s="26" t="e">
        <f t="shared" si="42"/>
        <v>#NAME?</v>
      </c>
      <c r="L93" s="26" t="e">
        <f t="shared" si="43"/>
        <v>#NAME?</v>
      </c>
      <c r="M93" s="12" t="e">
        <f t="shared" si="44"/>
        <v>#NAME?</v>
      </c>
      <c r="N93" s="12"/>
      <c r="O93" s="26" t="e">
        <f t="shared" si="45"/>
        <v>#NAME?</v>
      </c>
      <c r="P93" s="26" t="e">
        <f t="shared" si="46"/>
        <v>#NAME?</v>
      </c>
      <c r="Q93" s="12" t="e">
        <f t="shared" si="47"/>
        <v>#NAME?</v>
      </c>
      <c r="R93" s="12"/>
      <c r="S93" s="26" t="e">
        <f t="shared" si="48"/>
        <v>#NAME?</v>
      </c>
      <c r="T93" s="26" t="e">
        <f t="shared" si="49"/>
        <v>#NAME?</v>
      </c>
      <c r="U93" s="12" t="e">
        <f t="shared" si="50"/>
        <v>#NAME?</v>
      </c>
      <c r="V93" s="12"/>
      <c r="W93" s="44" t="e">
        <f t="shared" si="51"/>
        <v>#NAME?</v>
      </c>
      <c r="X93" s="26" t="e">
        <f t="shared" si="52"/>
        <v>#NAME?</v>
      </c>
      <c r="Y93" s="12" t="e">
        <f t="shared" si="53"/>
        <v>#NAME?</v>
      </c>
    </row>
    <row r="94" spans="1:25" ht="16.5" customHeight="1" x14ac:dyDescent="0.25">
      <c r="A94" s="16" t="s">
        <v>234</v>
      </c>
      <c r="B94" s="32" t="s">
        <v>235</v>
      </c>
      <c r="C94" s="26" t="e">
        <f t="shared" si="36"/>
        <v>#NAME?</v>
      </c>
      <c r="D94" s="26" t="e">
        <f t="shared" si="37"/>
        <v>#NAME?</v>
      </c>
      <c r="E94" s="12" t="e">
        <f t="shared" si="38"/>
        <v>#NAME?</v>
      </c>
      <c r="F94" s="26"/>
      <c r="G94" s="26" t="e">
        <f t="shared" si="39"/>
        <v>#NAME?</v>
      </c>
      <c r="H94" s="26" t="e">
        <f t="shared" si="40"/>
        <v>#NAME?</v>
      </c>
      <c r="I94" s="12" t="e">
        <f t="shared" si="41"/>
        <v>#NAME?</v>
      </c>
      <c r="J94" s="26"/>
      <c r="K94" s="26" t="e">
        <f t="shared" si="42"/>
        <v>#NAME?</v>
      </c>
      <c r="L94" s="26" t="e">
        <f t="shared" si="43"/>
        <v>#NAME?</v>
      </c>
      <c r="M94" s="12" t="e">
        <f t="shared" si="44"/>
        <v>#NAME?</v>
      </c>
      <c r="N94" s="12"/>
      <c r="O94" s="26" t="e">
        <f t="shared" si="45"/>
        <v>#NAME?</v>
      </c>
      <c r="P94" s="26" t="e">
        <f t="shared" si="46"/>
        <v>#NAME?</v>
      </c>
      <c r="Q94" s="12" t="e">
        <f t="shared" si="47"/>
        <v>#NAME?</v>
      </c>
      <c r="R94" s="12"/>
      <c r="S94" s="26" t="e">
        <f t="shared" si="48"/>
        <v>#NAME?</v>
      </c>
      <c r="T94" s="26" t="e">
        <f t="shared" si="49"/>
        <v>#NAME?</v>
      </c>
      <c r="U94" s="12" t="e">
        <f t="shared" si="50"/>
        <v>#NAME?</v>
      </c>
      <c r="V94" s="12"/>
      <c r="W94" s="44" t="e">
        <f t="shared" si="51"/>
        <v>#NAME?</v>
      </c>
      <c r="X94" s="26" t="e">
        <f t="shared" si="52"/>
        <v>#NAME?</v>
      </c>
      <c r="Y94" s="12" t="e">
        <f t="shared" si="53"/>
        <v>#NAME?</v>
      </c>
    </row>
    <row r="95" spans="1:25" ht="16.5" customHeight="1" x14ac:dyDescent="0.25">
      <c r="A95" s="16" t="s">
        <v>236</v>
      </c>
      <c r="B95" s="32" t="s">
        <v>237</v>
      </c>
      <c r="C95" s="26" t="e">
        <f t="shared" si="36"/>
        <v>#NAME?</v>
      </c>
      <c r="D95" s="26" t="e">
        <f t="shared" si="37"/>
        <v>#NAME?</v>
      </c>
      <c r="E95" s="12" t="e">
        <f t="shared" si="38"/>
        <v>#NAME?</v>
      </c>
      <c r="F95" s="26"/>
      <c r="G95" s="26" t="e">
        <f t="shared" si="39"/>
        <v>#NAME?</v>
      </c>
      <c r="H95" s="26" t="e">
        <f t="shared" si="40"/>
        <v>#NAME?</v>
      </c>
      <c r="I95" s="12" t="e">
        <f t="shared" si="41"/>
        <v>#NAME?</v>
      </c>
      <c r="J95" s="26"/>
      <c r="K95" s="26" t="e">
        <f t="shared" si="42"/>
        <v>#NAME?</v>
      </c>
      <c r="L95" s="26" t="e">
        <f t="shared" si="43"/>
        <v>#NAME?</v>
      </c>
      <c r="M95" s="12" t="e">
        <f t="shared" si="44"/>
        <v>#NAME?</v>
      </c>
      <c r="N95" s="12"/>
      <c r="O95" s="26" t="e">
        <f t="shared" si="45"/>
        <v>#NAME?</v>
      </c>
      <c r="P95" s="26" t="e">
        <f t="shared" si="46"/>
        <v>#NAME?</v>
      </c>
      <c r="Q95" s="12" t="e">
        <f t="shared" si="47"/>
        <v>#NAME?</v>
      </c>
      <c r="R95" s="12"/>
      <c r="S95" s="26" t="e">
        <f t="shared" si="48"/>
        <v>#NAME?</v>
      </c>
      <c r="T95" s="26" t="e">
        <f t="shared" si="49"/>
        <v>#NAME?</v>
      </c>
      <c r="U95" s="12" t="e">
        <f t="shared" si="50"/>
        <v>#NAME?</v>
      </c>
      <c r="V95" s="12"/>
      <c r="W95" s="44" t="e">
        <f t="shared" si="51"/>
        <v>#NAME?</v>
      </c>
      <c r="X95" s="26" t="e">
        <f t="shared" si="52"/>
        <v>#NAME?</v>
      </c>
      <c r="Y95" s="12" t="e">
        <f t="shared" si="53"/>
        <v>#NAME?</v>
      </c>
    </row>
    <row r="96" spans="1:25" ht="16.5" customHeight="1" x14ac:dyDescent="0.25">
      <c r="A96" s="16" t="s">
        <v>242</v>
      </c>
      <c r="B96" s="32" t="s">
        <v>243</v>
      </c>
      <c r="C96" s="26" t="e">
        <f t="shared" si="36"/>
        <v>#NAME?</v>
      </c>
      <c r="D96" s="26" t="e">
        <f t="shared" si="37"/>
        <v>#NAME?</v>
      </c>
      <c r="E96" s="12" t="e">
        <f t="shared" si="38"/>
        <v>#NAME?</v>
      </c>
      <c r="F96" s="26"/>
      <c r="G96" s="26" t="e">
        <f t="shared" si="39"/>
        <v>#NAME?</v>
      </c>
      <c r="H96" s="26" t="e">
        <f t="shared" si="40"/>
        <v>#NAME?</v>
      </c>
      <c r="I96" s="12" t="e">
        <f t="shared" si="41"/>
        <v>#NAME?</v>
      </c>
      <c r="J96" s="26"/>
      <c r="K96" s="26" t="e">
        <f t="shared" si="42"/>
        <v>#NAME?</v>
      </c>
      <c r="L96" s="26" t="e">
        <f t="shared" si="43"/>
        <v>#NAME?</v>
      </c>
      <c r="M96" s="12" t="e">
        <f t="shared" si="44"/>
        <v>#NAME?</v>
      </c>
      <c r="N96" s="12"/>
      <c r="O96" s="26" t="e">
        <f t="shared" si="45"/>
        <v>#NAME?</v>
      </c>
      <c r="P96" s="26" t="e">
        <f t="shared" si="46"/>
        <v>#NAME?</v>
      </c>
      <c r="Q96" s="12" t="e">
        <f t="shared" si="47"/>
        <v>#NAME?</v>
      </c>
      <c r="R96" s="12"/>
      <c r="S96" s="26" t="e">
        <f t="shared" si="48"/>
        <v>#NAME?</v>
      </c>
      <c r="T96" s="26" t="e">
        <f t="shared" si="49"/>
        <v>#NAME?</v>
      </c>
      <c r="U96" s="12" t="e">
        <f t="shared" si="50"/>
        <v>#NAME?</v>
      </c>
      <c r="V96" s="12"/>
      <c r="W96" s="44" t="e">
        <f t="shared" si="51"/>
        <v>#NAME?</v>
      </c>
      <c r="X96" s="26" t="e">
        <f t="shared" si="52"/>
        <v>#NAME?</v>
      </c>
      <c r="Y96" s="12" t="e">
        <f t="shared" si="53"/>
        <v>#NAME?</v>
      </c>
    </row>
    <row r="97" spans="1:25" ht="16.5" customHeight="1" x14ac:dyDescent="0.25">
      <c r="A97" s="16" t="s">
        <v>244</v>
      </c>
      <c r="B97" s="32" t="s">
        <v>245</v>
      </c>
      <c r="C97" s="26" t="e">
        <f t="shared" si="36"/>
        <v>#NAME?</v>
      </c>
      <c r="D97" s="26" t="e">
        <f t="shared" si="37"/>
        <v>#NAME?</v>
      </c>
      <c r="E97" s="12" t="e">
        <f t="shared" si="38"/>
        <v>#NAME?</v>
      </c>
      <c r="F97" s="26"/>
      <c r="G97" s="26" t="e">
        <f t="shared" si="39"/>
        <v>#NAME?</v>
      </c>
      <c r="H97" s="26" t="e">
        <f t="shared" si="40"/>
        <v>#NAME?</v>
      </c>
      <c r="I97" s="12" t="e">
        <f t="shared" si="41"/>
        <v>#NAME?</v>
      </c>
      <c r="J97" s="26"/>
      <c r="K97" s="26" t="e">
        <f t="shared" si="42"/>
        <v>#NAME?</v>
      </c>
      <c r="L97" s="26" t="e">
        <f t="shared" si="43"/>
        <v>#NAME?</v>
      </c>
      <c r="M97" s="12" t="e">
        <f t="shared" si="44"/>
        <v>#NAME?</v>
      </c>
      <c r="N97" s="12"/>
      <c r="O97" s="26" t="e">
        <f t="shared" si="45"/>
        <v>#NAME?</v>
      </c>
      <c r="P97" s="26" t="e">
        <f t="shared" si="46"/>
        <v>#NAME?</v>
      </c>
      <c r="Q97" s="12" t="e">
        <f t="shared" si="47"/>
        <v>#NAME?</v>
      </c>
      <c r="R97" s="12"/>
      <c r="S97" s="26" t="e">
        <f t="shared" si="48"/>
        <v>#NAME?</v>
      </c>
      <c r="T97" s="26" t="e">
        <f t="shared" si="49"/>
        <v>#NAME?</v>
      </c>
      <c r="U97" s="12" t="e">
        <f t="shared" si="50"/>
        <v>#NAME?</v>
      </c>
      <c r="V97" s="12"/>
      <c r="W97" s="44" t="e">
        <f t="shared" si="51"/>
        <v>#NAME?</v>
      </c>
      <c r="X97" s="26" t="e">
        <f t="shared" si="52"/>
        <v>#NAME?</v>
      </c>
      <c r="Y97" s="12" t="e">
        <f t="shared" si="53"/>
        <v>#NAME?</v>
      </c>
    </row>
    <row r="98" spans="1:25" ht="16.5" customHeight="1" x14ac:dyDescent="0.25">
      <c r="A98" s="16" t="s">
        <v>246</v>
      </c>
      <c r="B98" s="17" t="s">
        <v>310</v>
      </c>
      <c r="C98" s="26" t="e">
        <f t="shared" si="36"/>
        <v>#NAME?</v>
      </c>
      <c r="D98" s="26" t="e">
        <f t="shared" si="37"/>
        <v>#NAME?</v>
      </c>
      <c r="E98" s="12" t="e">
        <f t="shared" si="38"/>
        <v>#NAME?</v>
      </c>
      <c r="F98" s="26"/>
      <c r="G98" s="26" t="e">
        <f t="shared" si="39"/>
        <v>#NAME?</v>
      </c>
      <c r="H98" s="26" t="e">
        <f t="shared" si="40"/>
        <v>#NAME?</v>
      </c>
      <c r="I98" s="12" t="e">
        <f t="shared" si="41"/>
        <v>#NAME?</v>
      </c>
      <c r="J98" s="26"/>
      <c r="K98" s="26" t="e">
        <f t="shared" si="42"/>
        <v>#NAME?</v>
      </c>
      <c r="L98" s="26" t="e">
        <f t="shared" si="43"/>
        <v>#NAME?</v>
      </c>
      <c r="M98" s="12" t="e">
        <f t="shared" si="44"/>
        <v>#NAME?</v>
      </c>
      <c r="N98" s="12"/>
      <c r="O98" s="26" t="e">
        <f t="shared" si="45"/>
        <v>#NAME?</v>
      </c>
      <c r="P98" s="26" t="e">
        <f t="shared" si="46"/>
        <v>#NAME?</v>
      </c>
      <c r="Q98" s="12" t="e">
        <f t="shared" si="47"/>
        <v>#NAME?</v>
      </c>
      <c r="R98" s="12"/>
      <c r="S98" s="26" t="e">
        <f t="shared" si="48"/>
        <v>#NAME?</v>
      </c>
      <c r="T98" s="26" t="e">
        <f t="shared" si="49"/>
        <v>#NAME?</v>
      </c>
      <c r="U98" s="12" t="e">
        <f t="shared" si="50"/>
        <v>#NAME?</v>
      </c>
      <c r="V98" s="12"/>
      <c r="W98" s="44" t="e">
        <f t="shared" si="51"/>
        <v>#NAME?</v>
      </c>
      <c r="X98" s="26" t="e">
        <f t="shared" si="52"/>
        <v>#NAME?</v>
      </c>
      <c r="Y98" s="12" t="e">
        <f t="shared" si="53"/>
        <v>#NAME?</v>
      </c>
    </row>
    <row r="99" spans="1:25" ht="16.5" customHeight="1" x14ac:dyDescent="0.25">
      <c r="A99" s="16" t="s">
        <v>14</v>
      </c>
      <c r="B99" s="17" t="s">
        <v>15</v>
      </c>
      <c r="C99" s="26" t="e">
        <f t="shared" si="36"/>
        <v>#NAME?</v>
      </c>
      <c r="D99" s="26" t="e">
        <f t="shared" si="37"/>
        <v>#NAME?</v>
      </c>
      <c r="E99" s="12" t="e">
        <f t="shared" si="38"/>
        <v>#NAME?</v>
      </c>
      <c r="F99" s="26"/>
      <c r="G99" s="26" t="e">
        <f t="shared" si="39"/>
        <v>#NAME?</v>
      </c>
      <c r="H99" s="26" t="e">
        <f t="shared" si="40"/>
        <v>#NAME?</v>
      </c>
      <c r="I99" s="12" t="e">
        <f t="shared" si="41"/>
        <v>#NAME?</v>
      </c>
      <c r="J99" s="26"/>
      <c r="K99" s="26" t="e">
        <f t="shared" si="42"/>
        <v>#NAME?</v>
      </c>
      <c r="L99" s="26" t="e">
        <f t="shared" si="43"/>
        <v>#NAME?</v>
      </c>
      <c r="M99" s="12" t="e">
        <f t="shared" si="44"/>
        <v>#NAME?</v>
      </c>
      <c r="N99" s="12"/>
      <c r="O99" s="26" t="e">
        <f t="shared" si="45"/>
        <v>#NAME?</v>
      </c>
      <c r="P99" s="26" t="e">
        <f t="shared" si="46"/>
        <v>#NAME?</v>
      </c>
      <c r="Q99" s="12" t="e">
        <f t="shared" si="47"/>
        <v>#NAME?</v>
      </c>
      <c r="R99" s="12"/>
      <c r="S99" s="26" t="e">
        <f t="shared" si="48"/>
        <v>#NAME?</v>
      </c>
      <c r="T99" s="26" t="e">
        <f t="shared" si="49"/>
        <v>#NAME?</v>
      </c>
      <c r="U99" s="12" t="e">
        <f t="shared" si="50"/>
        <v>#NAME?</v>
      </c>
      <c r="V99" s="12"/>
      <c r="W99" s="44" t="e">
        <f t="shared" si="51"/>
        <v>#NAME?</v>
      </c>
      <c r="X99" s="26" t="e">
        <f t="shared" si="52"/>
        <v>#NAME?</v>
      </c>
      <c r="Y99" s="12" t="e">
        <f t="shared" si="53"/>
        <v>#NAME?</v>
      </c>
    </row>
    <row r="100" spans="1:25" ht="16.5" customHeight="1" x14ac:dyDescent="0.25">
      <c r="A100" s="16" t="s">
        <v>34</v>
      </c>
      <c r="B100" s="32" t="s">
        <v>35</v>
      </c>
      <c r="C100" s="26" t="e">
        <f t="shared" ref="C100:C123" si="54">VLOOKUP(A100,MedicaidR,7,FALSE)</f>
        <v>#NAME?</v>
      </c>
      <c r="D100" s="26" t="e">
        <f t="shared" ref="D100:D123" si="55">VLOOKUP(A100,Pop,14,FALSE)</f>
        <v>#NAME?</v>
      </c>
      <c r="E100" s="12" t="e">
        <f t="shared" ref="E100:E123" si="56">+C100/D100</f>
        <v>#NAME?</v>
      </c>
      <c r="F100" s="26"/>
      <c r="G100" s="26" t="e">
        <f t="shared" ref="G100:G123" si="57">VLOOKUP(A100,MedicaidR,8,FALSE)</f>
        <v>#NAME?</v>
      </c>
      <c r="H100" s="26" t="e">
        <f t="shared" ref="H100:H123" si="58">VLOOKUP(A100,Pop,15,FALSE)</f>
        <v>#NAME?</v>
      </c>
      <c r="I100" s="12" t="e">
        <f t="shared" ref="I100:I123" si="59">+G100/H100</f>
        <v>#NAME?</v>
      </c>
      <c r="J100" s="26"/>
      <c r="K100" s="26" t="e">
        <f t="shared" ref="K100:K123" si="60">VLOOKUP(A100,MedicaidR,9,FALSE)</f>
        <v>#NAME?</v>
      </c>
      <c r="L100" s="26" t="e">
        <f t="shared" ref="L100:L123" si="61">VLOOKUP(A100,Pop,16,FALSE)</f>
        <v>#NAME?</v>
      </c>
      <c r="M100" s="12" t="e">
        <f t="shared" ref="M100:M123" si="62">+K100/L100</f>
        <v>#NAME?</v>
      </c>
      <c r="N100" s="12"/>
      <c r="O100" s="26" t="e">
        <f t="shared" ref="O100:O123" si="63">VLOOKUP(A100,MedicaidR,3,FALSE)</f>
        <v>#NAME?</v>
      </c>
      <c r="P100" s="26" t="e">
        <f t="shared" ref="P100:P123" si="64">VLOOKUP(A100,Pop,8,FALSE)</f>
        <v>#NAME?</v>
      </c>
      <c r="Q100" s="12" t="e">
        <f t="shared" ref="Q100:Q123" si="65">+O100/P100</f>
        <v>#NAME?</v>
      </c>
      <c r="R100" s="12"/>
      <c r="S100" s="26" t="e">
        <f t="shared" ref="S100:S123" si="66">VLOOKUP(A100,MedicaidR,4,FALSE)</f>
        <v>#NAME?</v>
      </c>
      <c r="T100" s="26" t="e">
        <f t="shared" ref="T100:T123" si="67">VLOOKUP(A100,Pop,9,FALSE)</f>
        <v>#NAME?</v>
      </c>
      <c r="U100" s="12" t="e">
        <f t="shared" ref="U100:U123" si="68">+S100/T100</f>
        <v>#NAME?</v>
      </c>
      <c r="V100" s="12"/>
      <c r="W100" s="44" t="e">
        <f t="shared" ref="W100:W123" si="69">VLOOKUP(A100,MedicaidR,5,FALSE)</f>
        <v>#NAME?</v>
      </c>
      <c r="X100" s="26" t="e">
        <f t="shared" ref="X100:X123" si="70">VLOOKUP(A100,Pop,10,FALSE)</f>
        <v>#NAME?</v>
      </c>
      <c r="Y100" s="12" t="e">
        <f t="shared" ref="Y100:Y123" si="71">+W100/X100</f>
        <v>#NAME?</v>
      </c>
    </row>
    <row r="101" spans="1:25" ht="16.5" customHeight="1" x14ac:dyDescent="0.25">
      <c r="A101" s="16" t="s">
        <v>52</v>
      </c>
      <c r="B101" s="32" t="s">
        <v>53</v>
      </c>
      <c r="C101" s="26" t="e">
        <f t="shared" si="54"/>
        <v>#NAME?</v>
      </c>
      <c r="D101" s="26" t="e">
        <f t="shared" si="55"/>
        <v>#NAME?</v>
      </c>
      <c r="E101" s="12" t="e">
        <f t="shared" si="56"/>
        <v>#NAME?</v>
      </c>
      <c r="F101" s="26"/>
      <c r="G101" s="26" t="e">
        <f t="shared" si="57"/>
        <v>#NAME?</v>
      </c>
      <c r="H101" s="26" t="e">
        <f t="shared" si="58"/>
        <v>#NAME?</v>
      </c>
      <c r="I101" s="12" t="e">
        <f t="shared" si="59"/>
        <v>#NAME?</v>
      </c>
      <c r="J101" s="26"/>
      <c r="K101" s="26" t="e">
        <f t="shared" si="60"/>
        <v>#NAME?</v>
      </c>
      <c r="L101" s="26" t="e">
        <f t="shared" si="61"/>
        <v>#NAME?</v>
      </c>
      <c r="M101" s="12" t="e">
        <f t="shared" si="62"/>
        <v>#NAME?</v>
      </c>
      <c r="N101" s="12"/>
      <c r="O101" s="26" t="e">
        <f t="shared" si="63"/>
        <v>#NAME?</v>
      </c>
      <c r="P101" s="26" t="e">
        <f t="shared" si="64"/>
        <v>#NAME?</v>
      </c>
      <c r="Q101" s="12" t="e">
        <f t="shared" si="65"/>
        <v>#NAME?</v>
      </c>
      <c r="R101" s="12"/>
      <c r="S101" s="26" t="e">
        <f t="shared" si="66"/>
        <v>#NAME?</v>
      </c>
      <c r="T101" s="26" t="e">
        <f t="shared" si="67"/>
        <v>#NAME?</v>
      </c>
      <c r="U101" s="12" t="e">
        <f t="shared" si="68"/>
        <v>#NAME?</v>
      </c>
      <c r="V101" s="12"/>
      <c r="W101" s="44" t="e">
        <f t="shared" si="69"/>
        <v>#NAME?</v>
      </c>
      <c r="X101" s="26" t="e">
        <f t="shared" si="70"/>
        <v>#NAME?</v>
      </c>
      <c r="Y101" s="12" t="e">
        <f t="shared" si="71"/>
        <v>#NAME?</v>
      </c>
    </row>
    <row r="102" spans="1:25" ht="16.5" customHeight="1" x14ac:dyDescent="0.25">
      <c r="A102" s="16" t="s">
        <v>54</v>
      </c>
      <c r="B102" s="17" t="s">
        <v>55</v>
      </c>
      <c r="C102" s="26" t="e">
        <f t="shared" si="54"/>
        <v>#NAME?</v>
      </c>
      <c r="D102" s="26" t="e">
        <f t="shared" si="55"/>
        <v>#NAME?</v>
      </c>
      <c r="E102" s="12" t="e">
        <f t="shared" si="56"/>
        <v>#NAME?</v>
      </c>
      <c r="F102" s="26"/>
      <c r="G102" s="26" t="e">
        <f t="shared" si="57"/>
        <v>#NAME?</v>
      </c>
      <c r="H102" s="26" t="e">
        <f t="shared" si="58"/>
        <v>#NAME?</v>
      </c>
      <c r="I102" s="12" t="e">
        <f t="shared" si="59"/>
        <v>#NAME?</v>
      </c>
      <c r="J102" s="26"/>
      <c r="K102" s="26" t="e">
        <f t="shared" si="60"/>
        <v>#NAME?</v>
      </c>
      <c r="L102" s="26" t="e">
        <f t="shared" si="61"/>
        <v>#NAME?</v>
      </c>
      <c r="M102" s="12" t="e">
        <f t="shared" si="62"/>
        <v>#NAME?</v>
      </c>
      <c r="N102" s="12"/>
      <c r="O102" s="26" t="e">
        <f t="shared" si="63"/>
        <v>#NAME?</v>
      </c>
      <c r="P102" s="26" t="e">
        <f t="shared" si="64"/>
        <v>#NAME?</v>
      </c>
      <c r="Q102" s="12" t="e">
        <f t="shared" si="65"/>
        <v>#NAME?</v>
      </c>
      <c r="R102" s="12"/>
      <c r="S102" s="26" t="e">
        <f t="shared" si="66"/>
        <v>#NAME?</v>
      </c>
      <c r="T102" s="26" t="e">
        <f t="shared" si="67"/>
        <v>#NAME?</v>
      </c>
      <c r="U102" s="12" t="e">
        <f t="shared" si="68"/>
        <v>#NAME?</v>
      </c>
      <c r="V102" s="12"/>
      <c r="W102" s="44" t="e">
        <f t="shared" si="69"/>
        <v>#NAME?</v>
      </c>
      <c r="X102" s="26" t="e">
        <f t="shared" si="70"/>
        <v>#NAME?</v>
      </c>
      <c r="Y102" s="12" t="e">
        <f t="shared" si="71"/>
        <v>#NAME?</v>
      </c>
    </row>
    <row r="103" spans="1:25" ht="16.5" customHeight="1" x14ac:dyDescent="0.25">
      <c r="A103" s="16" t="s">
        <v>66</v>
      </c>
      <c r="B103" s="32" t="s">
        <v>67</v>
      </c>
      <c r="C103" s="26" t="e">
        <f t="shared" si="54"/>
        <v>#NAME?</v>
      </c>
      <c r="D103" s="26" t="e">
        <f t="shared" si="55"/>
        <v>#NAME?</v>
      </c>
      <c r="E103" s="12" t="e">
        <f t="shared" si="56"/>
        <v>#NAME?</v>
      </c>
      <c r="F103" s="26"/>
      <c r="G103" s="26" t="e">
        <f t="shared" si="57"/>
        <v>#NAME?</v>
      </c>
      <c r="H103" s="26" t="e">
        <f t="shared" si="58"/>
        <v>#NAME?</v>
      </c>
      <c r="I103" s="12" t="e">
        <f t="shared" si="59"/>
        <v>#NAME?</v>
      </c>
      <c r="J103" s="26"/>
      <c r="K103" s="26" t="e">
        <f t="shared" si="60"/>
        <v>#NAME?</v>
      </c>
      <c r="L103" s="26" t="e">
        <f t="shared" si="61"/>
        <v>#NAME?</v>
      </c>
      <c r="M103" s="12" t="e">
        <f t="shared" si="62"/>
        <v>#NAME?</v>
      </c>
      <c r="N103" s="12"/>
      <c r="O103" s="26" t="e">
        <f t="shared" si="63"/>
        <v>#NAME?</v>
      </c>
      <c r="P103" s="26" t="e">
        <f t="shared" si="64"/>
        <v>#NAME?</v>
      </c>
      <c r="Q103" s="12" t="e">
        <f t="shared" si="65"/>
        <v>#NAME?</v>
      </c>
      <c r="R103" s="12"/>
      <c r="S103" s="26" t="e">
        <f t="shared" si="66"/>
        <v>#NAME?</v>
      </c>
      <c r="T103" s="26" t="e">
        <f t="shared" si="67"/>
        <v>#NAME?</v>
      </c>
      <c r="U103" s="12" t="e">
        <f t="shared" si="68"/>
        <v>#NAME?</v>
      </c>
      <c r="V103" s="12"/>
      <c r="W103" s="44" t="e">
        <f t="shared" si="69"/>
        <v>#NAME?</v>
      </c>
      <c r="X103" s="26" t="e">
        <f t="shared" si="70"/>
        <v>#NAME?</v>
      </c>
      <c r="Y103" s="12" t="e">
        <f t="shared" si="71"/>
        <v>#NAME?</v>
      </c>
    </row>
    <row r="104" spans="1:25" ht="16.5" customHeight="1" x14ac:dyDescent="0.25">
      <c r="A104" s="16" t="s">
        <v>82</v>
      </c>
      <c r="B104" s="32" t="s">
        <v>311</v>
      </c>
      <c r="C104" s="26" t="e">
        <f t="shared" si="54"/>
        <v>#NAME?</v>
      </c>
      <c r="D104" s="26" t="e">
        <f t="shared" si="55"/>
        <v>#NAME?</v>
      </c>
      <c r="E104" s="12" t="e">
        <f t="shared" si="56"/>
        <v>#NAME?</v>
      </c>
      <c r="F104" s="26"/>
      <c r="G104" s="26" t="e">
        <f t="shared" si="57"/>
        <v>#NAME?</v>
      </c>
      <c r="H104" s="26" t="e">
        <f t="shared" si="58"/>
        <v>#NAME?</v>
      </c>
      <c r="I104" s="12" t="e">
        <f t="shared" si="59"/>
        <v>#NAME?</v>
      </c>
      <c r="J104" s="26"/>
      <c r="K104" s="26" t="e">
        <f t="shared" si="60"/>
        <v>#NAME?</v>
      </c>
      <c r="L104" s="26" t="e">
        <f t="shared" si="61"/>
        <v>#NAME?</v>
      </c>
      <c r="M104" s="12" t="e">
        <f t="shared" si="62"/>
        <v>#NAME?</v>
      </c>
      <c r="N104" s="12"/>
      <c r="O104" s="26" t="e">
        <f t="shared" si="63"/>
        <v>#NAME?</v>
      </c>
      <c r="P104" s="26" t="e">
        <f t="shared" si="64"/>
        <v>#NAME?</v>
      </c>
      <c r="Q104" s="12" t="e">
        <f t="shared" si="65"/>
        <v>#NAME?</v>
      </c>
      <c r="R104" s="12"/>
      <c r="S104" s="26" t="e">
        <f t="shared" si="66"/>
        <v>#NAME?</v>
      </c>
      <c r="T104" s="26" t="e">
        <f t="shared" si="67"/>
        <v>#NAME?</v>
      </c>
      <c r="U104" s="12" t="e">
        <f t="shared" si="68"/>
        <v>#NAME?</v>
      </c>
      <c r="V104" s="12"/>
      <c r="W104" s="44" t="e">
        <f t="shared" si="69"/>
        <v>#NAME?</v>
      </c>
      <c r="X104" s="26" t="e">
        <f t="shared" si="70"/>
        <v>#NAME?</v>
      </c>
      <c r="Y104" s="12" t="e">
        <f t="shared" si="71"/>
        <v>#NAME?</v>
      </c>
    </row>
    <row r="105" spans="1:25" ht="16.5" customHeight="1" x14ac:dyDescent="0.25">
      <c r="A105" s="16" t="s">
        <v>88</v>
      </c>
      <c r="B105" s="32" t="s">
        <v>89</v>
      </c>
      <c r="C105" s="26" t="e">
        <f t="shared" si="54"/>
        <v>#NAME?</v>
      </c>
      <c r="D105" s="26" t="e">
        <f t="shared" si="55"/>
        <v>#NAME?</v>
      </c>
      <c r="E105" s="12" t="e">
        <f t="shared" si="56"/>
        <v>#NAME?</v>
      </c>
      <c r="F105" s="26"/>
      <c r="G105" s="26" t="e">
        <f t="shared" si="57"/>
        <v>#NAME?</v>
      </c>
      <c r="H105" s="26" t="e">
        <f t="shared" si="58"/>
        <v>#NAME?</v>
      </c>
      <c r="I105" s="12" t="e">
        <f t="shared" si="59"/>
        <v>#NAME?</v>
      </c>
      <c r="J105" s="26"/>
      <c r="K105" s="26" t="e">
        <f t="shared" si="60"/>
        <v>#NAME?</v>
      </c>
      <c r="L105" s="26" t="e">
        <f t="shared" si="61"/>
        <v>#NAME?</v>
      </c>
      <c r="M105" s="12" t="e">
        <f t="shared" si="62"/>
        <v>#NAME?</v>
      </c>
      <c r="N105" s="12"/>
      <c r="O105" s="26" t="e">
        <f t="shared" si="63"/>
        <v>#NAME?</v>
      </c>
      <c r="P105" s="26" t="e">
        <f t="shared" si="64"/>
        <v>#NAME?</v>
      </c>
      <c r="Q105" s="12" t="e">
        <f t="shared" si="65"/>
        <v>#NAME?</v>
      </c>
      <c r="R105" s="12"/>
      <c r="S105" s="26" t="e">
        <f t="shared" si="66"/>
        <v>#NAME?</v>
      </c>
      <c r="T105" s="26" t="e">
        <f t="shared" si="67"/>
        <v>#NAME?</v>
      </c>
      <c r="U105" s="12" t="e">
        <f t="shared" si="68"/>
        <v>#NAME?</v>
      </c>
      <c r="V105" s="12"/>
      <c r="W105" s="44" t="e">
        <f t="shared" si="69"/>
        <v>#NAME?</v>
      </c>
      <c r="X105" s="26" t="e">
        <f t="shared" si="70"/>
        <v>#NAME?</v>
      </c>
      <c r="Y105" s="12" t="e">
        <f t="shared" si="71"/>
        <v>#NAME?</v>
      </c>
    </row>
    <row r="106" spans="1:25" ht="16.5" customHeight="1" x14ac:dyDescent="0.25">
      <c r="A106" s="16" t="s">
        <v>90</v>
      </c>
      <c r="B106" s="32" t="s">
        <v>91</v>
      </c>
      <c r="C106" s="26" t="e">
        <f t="shared" si="54"/>
        <v>#NAME?</v>
      </c>
      <c r="D106" s="26" t="e">
        <f t="shared" si="55"/>
        <v>#NAME?</v>
      </c>
      <c r="E106" s="12" t="e">
        <f t="shared" si="56"/>
        <v>#NAME?</v>
      </c>
      <c r="F106" s="26"/>
      <c r="G106" s="26" t="e">
        <f t="shared" si="57"/>
        <v>#NAME?</v>
      </c>
      <c r="H106" s="26" t="e">
        <f t="shared" si="58"/>
        <v>#NAME?</v>
      </c>
      <c r="I106" s="12" t="e">
        <f t="shared" si="59"/>
        <v>#NAME?</v>
      </c>
      <c r="J106" s="26"/>
      <c r="K106" s="26" t="e">
        <f t="shared" si="60"/>
        <v>#NAME?</v>
      </c>
      <c r="L106" s="26" t="e">
        <f t="shared" si="61"/>
        <v>#NAME?</v>
      </c>
      <c r="M106" s="12" t="e">
        <f t="shared" si="62"/>
        <v>#NAME?</v>
      </c>
      <c r="N106" s="12"/>
      <c r="O106" s="26" t="e">
        <f t="shared" si="63"/>
        <v>#NAME?</v>
      </c>
      <c r="P106" s="26" t="e">
        <f t="shared" si="64"/>
        <v>#NAME?</v>
      </c>
      <c r="Q106" s="12" t="e">
        <f t="shared" si="65"/>
        <v>#NAME?</v>
      </c>
      <c r="R106" s="12"/>
      <c r="S106" s="26" t="e">
        <f t="shared" si="66"/>
        <v>#NAME?</v>
      </c>
      <c r="T106" s="26" t="e">
        <f t="shared" si="67"/>
        <v>#NAME?</v>
      </c>
      <c r="U106" s="12" t="e">
        <f t="shared" si="68"/>
        <v>#NAME?</v>
      </c>
      <c r="V106" s="12"/>
      <c r="W106" s="44" t="e">
        <f t="shared" si="69"/>
        <v>#NAME?</v>
      </c>
      <c r="X106" s="26" t="e">
        <f t="shared" si="70"/>
        <v>#NAME?</v>
      </c>
      <c r="Y106" s="12" t="e">
        <f t="shared" si="71"/>
        <v>#NAME?</v>
      </c>
    </row>
    <row r="107" spans="1:25" ht="16.5" customHeight="1" x14ac:dyDescent="0.25">
      <c r="A107" s="16" t="s">
        <v>106</v>
      </c>
      <c r="B107" s="17" t="s">
        <v>107</v>
      </c>
      <c r="C107" s="26" t="e">
        <f t="shared" si="54"/>
        <v>#NAME?</v>
      </c>
      <c r="D107" s="26" t="e">
        <f t="shared" si="55"/>
        <v>#NAME?</v>
      </c>
      <c r="E107" s="12" t="e">
        <f t="shared" si="56"/>
        <v>#NAME?</v>
      </c>
      <c r="F107" s="26"/>
      <c r="G107" s="26" t="e">
        <f t="shared" si="57"/>
        <v>#NAME?</v>
      </c>
      <c r="H107" s="26" t="e">
        <f t="shared" si="58"/>
        <v>#NAME?</v>
      </c>
      <c r="I107" s="12" t="e">
        <f t="shared" si="59"/>
        <v>#NAME?</v>
      </c>
      <c r="J107" s="26"/>
      <c r="K107" s="26" t="e">
        <f t="shared" si="60"/>
        <v>#NAME?</v>
      </c>
      <c r="L107" s="26" t="e">
        <f t="shared" si="61"/>
        <v>#NAME?</v>
      </c>
      <c r="M107" s="12" t="e">
        <f t="shared" si="62"/>
        <v>#NAME?</v>
      </c>
      <c r="N107" s="12"/>
      <c r="O107" s="26" t="e">
        <f t="shared" si="63"/>
        <v>#NAME?</v>
      </c>
      <c r="P107" s="26" t="e">
        <f t="shared" si="64"/>
        <v>#NAME?</v>
      </c>
      <c r="Q107" s="12" t="e">
        <f t="shared" si="65"/>
        <v>#NAME?</v>
      </c>
      <c r="R107" s="12"/>
      <c r="S107" s="26" t="e">
        <f t="shared" si="66"/>
        <v>#NAME?</v>
      </c>
      <c r="T107" s="26" t="e">
        <f t="shared" si="67"/>
        <v>#NAME?</v>
      </c>
      <c r="U107" s="12" t="e">
        <f t="shared" si="68"/>
        <v>#NAME?</v>
      </c>
      <c r="V107" s="12"/>
      <c r="W107" s="44" t="e">
        <f t="shared" si="69"/>
        <v>#NAME?</v>
      </c>
      <c r="X107" s="26" t="e">
        <f t="shared" si="70"/>
        <v>#NAME?</v>
      </c>
      <c r="Y107" s="12" t="e">
        <f t="shared" si="71"/>
        <v>#NAME?</v>
      </c>
    </row>
    <row r="108" spans="1:25" ht="16.5" customHeight="1" x14ac:dyDescent="0.25">
      <c r="A108" s="16" t="s">
        <v>116</v>
      </c>
      <c r="B108" s="32" t="s">
        <v>117</v>
      </c>
      <c r="C108" s="26" t="e">
        <f t="shared" si="54"/>
        <v>#NAME?</v>
      </c>
      <c r="D108" s="26" t="e">
        <f t="shared" si="55"/>
        <v>#NAME?</v>
      </c>
      <c r="E108" s="12" t="e">
        <f t="shared" si="56"/>
        <v>#NAME?</v>
      </c>
      <c r="F108" s="26"/>
      <c r="G108" s="26" t="e">
        <f t="shared" si="57"/>
        <v>#NAME?</v>
      </c>
      <c r="H108" s="26" t="e">
        <f t="shared" si="58"/>
        <v>#NAME?</v>
      </c>
      <c r="I108" s="12" t="e">
        <f t="shared" si="59"/>
        <v>#NAME?</v>
      </c>
      <c r="J108" s="26"/>
      <c r="K108" s="26" t="e">
        <f t="shared" si="60"/>
        <v>#NAME?</v>
      </c>
      <c r="L108" s="26" t="e">
        <f t="shared" si="61"/>
        <v>#NAME?</v>
      </c>
      <c r="M108" s="12" t="e">
        <f t="shared" si="62"/>
        <v>#NAME?</v>
      </c>
      <c r="N108" s="12"/>
      <c r="O108" s="26" t="e">
        <f t="shared" si="63"/>
        <v>#NAME?</v>
      </c>
      <c r="P108" s="26" t="e">
        <f t="shared" si="64"/>
        <v>#NAME?</v>
      </c>
      <c r="Q108" s="12" t="e">
        <f t="shared" si="65"/>
        <v>#NAME?</v>
      </c>
      <c r="R108" s="12"/>
      <c r="S108" s="26" t="e">
        <f t="shared" si="66"/>
        <v>#NAME?</v>
      </c>
      <c r="T108" s="26" t="e">
        <f t="shared" si="67"/>
        <v>#NAME?</v>
      </c>
      <c r="U108" s="12" t="e">
        <f t="shared" si="68"/>
        <v>#NAME?</v>
      </c>
      <c r="V108" s="12"/>
      <c r="W108" s="44" t="e">
        <f t="shared" si="69"/>
        <v>#NAME?</v>
      </c>
      <c r="X108" s="26" t="e">
        <f t="shared" si="70"/>
        <v>#NAME?</v>
      </c>
      <c r="Y108" s="12" t="e">
        <f t="shared" si="71"/>
        <v>#NAME?</v>
      </c>
    </row>
    <row r="109" spans="1:25" ht="16.5" customHeight="1" x14ac:dyDescent="0.25">
      <c r="A109" s="16" t="s">
        <v>138</v>
      </c>
      <c r="B109" s="32" t="s">
        <v>139</v>
      </c>
      <c r="C109" s="26" t="e">
        <f t="shared" si="54"/>
        <v>#NAME?</v>
      </c>
      <c r="D109" s="26" t="e">
        <f t="shared" si="55"/>
        <v>#NAME?</v>
      </c>
      <c r="E109" s="12" t="e">
        <f t="shared" si="56"/>
        <v>#NAME?</v>
      </c>
      <c r="F109" s="26"/>
      <c r="G109" s="26" t="e">
        <f t="shared" si="57"/>
        <v>#NAME?</v>
      </c>
      <c r="H109" s="26" t="e">
        <f t="shared" si="58"/>
        <v>#NAME?</v>
      </c>
      <c r="I109" s="12" t="e">
        <f t="shared" si="59"/>
        <v>#NAME?</v>
      </c>
      <c r="J109" s="26"/>
      <c r="K109" s="26" t="e">
        <f t="shared" si="60"/>
        <v>#NAME?</v>
      </c>
      <c r="L109" s="26" t="e">
        <f t="shared" si="61"/>
        <v>#NAME?</v>
      </c>
      <c r="M109" s="12" t="e">
        <f t="shared" si="62"/>
        <v>#NAME?</v>
      </c>
      <c r="N109" s="12"/>
      <c r="O109" s="26" t="e">
        <f t="shared" si="63"/>
        <v>#NAME?</v>
      </c>
      <c r="P109" s="26" t="e">
        <f t="shared" si="64"/>
        <v>#NAME?</v>
      </c>
      <c r="Q109" s="12" t="e">
        <f t="shared" si="65"/>
        <v>#NAME?</v>
      </c>
      <c r="R109" s="12"/>
      <c r="S109" s="26" t="e">
        <f t="shared" si="66"/>
        <v>#NAME?</v>
      </c>
      <c r="T109" s="26" t="e">
        <f t="shared" si="67"/>
        <v>#NAME?</v>
      </c>
      <c r="U109" s="12" t="e">
        <f t="shared" si="68"/>
        <v>#NAME?</v>
      </c>
      <c r="V109" s="12"/>
      <c r="W109" s="44" t="e">
        <f t="shared" si="69"/>
        <v>#NAME?</v>
      </c>
      <c r="X109" s="26" t="e">
        <f t="shared" si="70"/>
        <v>#NAME?</v>
      </c>
      <c r="Y109" s="12" t="e">
        <f t="shared" si="71"/>
        <v>#NAME?</v>
      </c>
    </row>
    <row r="110" spans="1:25" ht="16.5" customHeight="1" x14ac:dyDescent="0.25">
      <c r="A110" s="16" t="s">
        <v>142</v>
      </c>
      <c r="B110" s="17" t="s">
        <v>143</v>
      </c>
      <c r="C110" s="26" t="e">
        <f t="shared" si="54"/>
        <v>#NAME?</v>
      </c>
      <c r="D110" s="26" t="e">
        <f t="shared" si="55"/>
        <v>#NAME?</v>
      </c>
      <c r="E110" s="12" t="e">
        <f t="shared" si="56"/>
        <v>#NAME?</v>
      </c>
      <c r="F110" s="26"/>
      <c r="G110" s="26" t="e">
        <f t="shared" si="57"/>
        <v>#NAME?</v>
      </c>
      <c r="H110" s="26" t="e">
        <f t="shared" si="58"/>
        <v>#NAME?</v>
      </c>
      <c r="I110" s="12" t="e">
        <f t="shared" si="59"/>
        <v>#NAME?</v>
      </c>
      <c r="J110" s="26"/>
      <c r="K110" s="26" t="e">
        <f t="shared" si="60"/>
        <v>#NAME?</v>
      </c>
      <c r="L110" s="26" t="e">
        <f t="shared" si="61"/>
        <v>#NAME?</v>
      </c>
      <c r="M110" s="12" t="e">
        <f t="shared" si="62"/>
        <v>#NAME?</v>
      </c>
      <c r="N110" s="12"/>
      <c r="O110" s="26" t="e">
        <f t="shared" si="63"/>
        <v>#NAME?</v>
      </c>
      <c r="P110" s="26" t="e">
        <f t="shared" si="64"/>
        <v>#NAME?</v>
      </c>
      <c r="Q110" s="12" t="e">
        <f t="shared" si="65"/>
        <v>#NAME?</v>
      </c>
      <c r="R110" s="12"/>
      <c r="S110" s="26" t="e">
        <f t="shared" si="66"/>
        <v>#NAME?</v>
      </c>
      <c r="T110" s="26" t="e">
        <f t="shared" si="67"/>
        <v>#NAME?</v>
      </c>
      <c r="U110" s="12" t="e">
        <f t="shared" si="68"/>
        <v>#NAME?</v>
      </c>
      <c r="V110" s="12"/>
      <c r="W110" s="44" t="e">
        <f t="shared" si="69"/>
        <v>#NAME?</v>
      </c>
      <c r="X110" s="26" t="e">
        <f t="shared" si="70"/>
        <v>#NAME?</v>
      </c>
      <c r="Y110" s="12" t="e">
        <f t="shared" si="71"/>
        <v>#NAME?</v>
      </c>
    </row>
    <row r="111" spans="1:25" ht="16.5" customHeight="1" x14ac:dyDescent="0.25">
      <c r="A111" s="16" t="s">
        <v>144</v>
      </c>
      <c r="B111" s="17" t="s">
        <v>145</v>
      </c>
      <c r="C111" s="26" t="e">
        <f t="shared" si="54"/>
        <v>#NAME?</v>
      </c>
      <c r="D111" s="26" t="e">
        <f t="shared" si="55"/>
        <v>#NAME?</v>
      </c>
      <c r="E111" s="12" t="e">
        <f t="shared" si="56"/>
        <v>#NAME?</v>
      </c>
      <c r="F111" s="26"/>
      <c r="G111" s="26" t="e">
        <f t="shared" si="57"/>
        <v>#NAME?</v>
      </c>
      <c r="H111" s="26" t="e">
        <f t="shared" si="58"/>
        <v>#NAME?</v>
      </c>
      <c r="I111" s="12" t="e">
        <f t="shared" si="59"/>
        <v>#NAME?</v>
      </c>
      <c r="J111" s="26"/>
      <c r="K111" s="26" t="e">
        <f t="shared" si="60"/>
        <v>#NAME?</v>
      </c>
      <c r="L111" s="26" t="e">
        <f t="shared" si="61"/>
        <v>#NAME?</v>
      </c>
      <c r="M111" s="12" t="e">
        <f t="shared" si="62"/>
        <v>#NAME?</v>
      </c>
      <c r="N111" s="12"/>
      <c r="O111" s="26" t="e">
        <f t="shared" si="63"/>
        <v>#NAME?</v>
      </c>
      <c r="P111" s="26" t="e">
        <f t="shared" si="64"/>
        <v>#NAME?</v>
      </c>
      <c r="Q111" s="12" t="e">
        <f t="shared" si="65"/>
        <v>#NAME?</v>
      </c>
      <c r="R111" s="12"/>
      <c r="S111" s="26" t="e">
        <f t="shared" si="66"/>
        <v>#NAME?</v>
      </c>
      <c r="T111" s="26" t="e">
        <f t="shared" si="67"/>
        <v>#NAME?</v>
      </c>
      <c r="U111" s="12" t="e">
        <f t="shared" si="68"/>
        <v>#NAME?</v>
      </c>
      <c r="V111" s="12"/>
      <c r="W111" s="44" t="e">
        <f t="shared" si="69"/>
        <v>#NAME?</v>
      </c>
      <c r="X111" s="26" t="e">
        <f t="shared" si="70"/>
        <v>#NAME?</v>
      </c>
      <c r="Y111" s="12" t="e">
        <f t="shared" si="71"/>
        <v>#NAME?</v>
      </c>
    </row>
    <row r="112" spans="1:25" ht="16.5" customHeight="1" x14ac:dyDescent="0.25">
      <c r="A112" s="16" t="s">
        <v>158</v>
      </c>
      <c r="B112" s="17" t="s">
        <v>159</v>
      </c>
      <c r="C112" s="26" t="e">
        <f t="shared" si="54"/>
        <v>#NAME?</v>
      </c>
      <c r="D112" s="26" t="e">
        <f t="shared" si="55"/>
        <v>#NAME?</v>
      </c>
      <c r="E112" s="12" t="e">
        <f t="shared" si="56"/>
        <v>#NAME?</v>
      </c>
      <c r="F112" s="26"/>
      <c r="G112" s="26" t="e">
        <f t="shared" si="57"/>
        <v>#NAME?</v>
      </c>
      <c r="H112" s="26" t="e">
        <f t="shared" si="58"/>
        <v>#NAME?</v>
      </c>
      <c r="I112" s="12" t="e">
        <f t="shared" si="59"/>
        <v>#NAME?</v>
      </c>
      <c r="J112" s="26"/>
      <c r="K112" s="26" t="e">
        <f t="shared" si="60"/>
        <v>#NAME?</v>
      </c>
      <c r="L112" s="26" t="e">
        <f t="shared" si="61"/>
        <v>#NAME?</v>
      </c>
      <c r="M112" s="12" t="e">
        <f t="shared" si="62"/>
        <v>#NAME?</v>
      </c>
      <c r="N112" s="12"/>
      <c r="O112" s="26" t="e">
        <f t="shared" si="63"/>
        <v>#NAME?</v>
      </c>
      <c r="P112" s="26" t="e">
        <f t="shared" si="64"/>
        <v>#NAME?</v>
      </c>
      <c r="Q112" s="12" t="e">
        <f t="shared" si="65"/>
        <v>#NAME?</v>
      </c>
      <c r="R112" s="12"/>
      <c r="S112" s="26" t="e">
        <f t="shared" si="66"/>
        <v>#NAME?</v>
      </c>
      <c r="T112" s="26" t="e">
        <f t="shared" si="67"/>
        <v>#NAME?</v>
      </c>
      <c r="U112" s="12" t="e">
        <f t="shared" si="68"/>
        <v>#NAME?</v>
      </c>
      <c r="V112" s="12"/>
      <c r="W112" s="44" t="e">
        <f t="shared" si="69"/>
        <v>#NAME?</v>
      </c>
      <c r="X112" s="26" t="e">
        <f t="shared" si="70"/>
        <v>#NAME?</v>
      </c>
      <c r="Y112" s="12" t="e">
        <f t="shared" si="71"/>
        <v>#NAME?</v>
      </c>
    </row>
    <row r="113" spans="1:25" ht="16.5" customHeight="1" x14ac:dyDescent="0.25">
      <c r="A113" s="16" t="s">
        <v>160</v>
      </c>
      <c r="B113" s="17" t="s">
        <v>161</v>
      </c>
      <c r="C113" s="26" t="e">
        <f t="shared" si="54"/>
        <v>#NAME?</v>
      </c>
      <c r="D113" s="26" t="e">
        <f t="shared" si="55"/>
        <v>#NAME?</v>
      </c>
      <c r="E113" s="12" t="e">
        <f t="shared" si="56"/>
        <v>#NAME?</v>
      </c>
      <c r="F113" s="26"/>
      <c r="G113" s="26" t="e">
        <f t="shared" si="57"/>
        <v>#NAME?</v>
      </c>
      <c r="H113" s="26" t="e">
        <f t="shared" si="58"/>
        <v>#NAME?</v>
      </c>
      <c r="I113" s="12" t="e">
        <f t="shared" si="59"/>
        <v>#NAME?</v>
      </c>
      <c r="J113" s="26"/>
      <c r="K113" s="26" t="e">
        <f t="shared" si="60"/>
        <v>#NAME?</v>
      </c>
      <c r="L113" s="26" t="e">
        <f t="shared" si="61"/>
        <v>#NAME?</v>
      </c>
      <c r="M113" s="12" t="e">
        <f t="shared" si="62"/>
        <v>#NAME?</v>
      </c>
      <c r="N113" s="12"/>
      <c r="O113" s="26" t="e">
        <f t="shared" si="63"/>
        <v>#NAME?</v>
      </c>
      <c r="P113" s="26" t="e">
        <f t="shared" si="64"/>
        <v>#NAME?</v>
      </c>
      <c r="Q113" s="12" t="e">
        <f t="shared" si="65"/>
        <v>#NAME?</v>
      </c>
      <c r="R113" s="12"/>
      <c r="S113" s="26" t="e">
        <f t="shared" si="66"/>
        <v>#NAME?</v>
      </c>
      <c r="T113" s="26" t="e">
        <f t="shared" si="67"/>
        <v>#NAME?</v>
      </c>
      <c r="U113" s="12" t="e">
        <f t="shared" si="68"/>
        <v>#NAME?</v>
      </c>
      <c r="V113" s="12"/>
      <c r="W113" s="44" t="e">
        <f t="shared" si="69"/>
        <v>#NAME?</v>
      </c>
      <c r="X113" s="26" t="e">
        <f t="shared" si="70"/>
        <v>#NAME?</v>
      </c>
      <c r="Y113" s="12" t="e">
        <f t="shared" si="71"/>
        <v>#NAME?</v>
      </c>
    </row>
    <row r="114" spans="1:25" ht="16.5" customHeight="1" x14ac:dyDescent="0.25">
      <c r="A114" s="16" t="s">
        <v>166</v>
      </c>
      <c r="B114" s="32" t="s">
        <v>167</v>
      </c>
      <c r="C114" s="26" t="e">
        <f t="shared" si="54"/>
        <v>#NAME?</v>
      </c>
      <c r="D114" s="26" t="e">
        <f t="shared" si="55"/>
        <v>#NAME?</v>
      </c>
      <c r="E114" s="12" t="e">
        <f t="shared" si="56"/>
        <v>#NAME?</v>
      </c>
      <c r="F114" s="26"/>
      <c r="G114" s="26" t="e">
        <f t="shared" si="57"/>
        <v>#NAME?</v>
      </c>
      <c r="H114" s="26" t="e">
        <f t="shared" si="58"/>
        <v>#NAME?</v>
      </c>
      <c r="I114" s="12" t="e">
        <f t="shared" si="59"/>
        <v>#NAME?</v>
      </c>
      <c r="J114" s="26"/>
      <c r="K114" s="26" t="e">
        <f t="shared" si="60"/>
        <v>#NAME?</v>
      </c>
      <c r="L114" s="26" t="e">
        <f t="shared" si="61"/>
        <v>#NAME?</v>
      </c>
      <c r="M114" s="12" t="e">
        <f t="shared" si="62"/>
        <v>#NAME?</v>
      </c>
      <c r="N114" s="12"/>
      <c r="O114" s="26" t="e">
        <f t="shared" si="63"/>
        <v>#NAME?</v>
      </c>
      <c r="P114" s="26" t="e">
        <f t="shared" si="64"/>
        <v>#NAME?</v>
      </c>
      <c r="Q114" s="12" t="e">
        <f t="shared" si="65"/>
        <v>#NAME?</v>
      </c>
      <c r="R114" s="12"/>
      <c r="S114" s="26" t="e">
        <f t="shared" si="66"/>
        <v>#NAME?</v>
      </c>
      <c r="T114" s="26" t="e">
        <f t="shared" si="67"/>
        <v>#NAME?</v>
      </c>
      <c r="U114" s="12" t="e">
        <f t="shared" si="68"/>
        <v>#NAME?</v>
      </c>
      <c r="V114" s="12"/>
      <c r="W114" s="44" t="e">
        <f t="shared" si="69"/>
        <v>#NAME?</v>
      </c>
      <c r="X114" s="26" t="e">
        <f t="shared" si="70"/>
        <v>#NAME?</v>
      </c>
      <c r="Y114" s="12" t="e">
        <f t="shared" si="71"/>
        <v>#NAME?</v>
      </c>
    </row>
    <row r="115" spans="1:25" ht="16.5" customHeight="1" x14ac:dyDescent="0.25">
      <c r="A115" s="16" t="s">
        <v>176</v>
      </c>
      <c r="B115" s="32" t="s">
        <v>177</v>
      </c>
      <c r="C115" s="26" t="e">
        <f t="shared" si="54"/>
        <v>#NAME?</v>
      </c>
      <c r="D115" s="26" t="e">
        <f t="shared" si="55"/>
        <v>#NAME?</v>
      </c>
      <c r="E115" s="12" t="e">
        <f t="shared" si="56"/>
        <v>#NAME?</v>
      </c>
      <c r="F115" s="26"/>
      <c r="G115" s="26" t="e">
        <f t="shared" si="57"/>
        <v>#NAME?</v>
      </c>
      <c r="H115" s="26" t="e">
        <f t="shared" si="58"/>
        <v>#NAME?</v>
      </c>
      <c r="I115" s="12" t="e">
        <f t="shared" si="59"/>
        <v>#NAME?</v>
      </c>
      <c r="J115" s="26"/>
      <c r="K115" s="26" t="e">
        <f t="shared" si="60"/>
        <v>#NAME?</v>
      </c>
      <c r="L115" s="26" t="e">
        <f t="shared" si="61"/>
        <v>#NAME?</v>
      </c>
      <c r="M115" s="12" t="e">
        <f t="shared" si="62"/>
        <v>#NAME?</v>
      </c>
      <c r="N115" s="12"/>
      <c r="O115" s="26" t="e">
        <f t="shared" si="63"/>
        <v>#NAME?</v>
      </c>
      <c r="P115" s="26" t="e">
        <f t="shared" si="64"/>
        <v>#NAME?</v>
      </c>
      <c r="Q115" s="12" t="e">
        <f t="shared" si="65"/>
        <v>#NAME?</v>
      </c>
      <c r="R115" s="12"/>
      <c r="S115" s="26" t="e">
        <f t="shared" si="66"/>
        <v>#NAME?</v>
      </c>
      <c r="T115" s="26" t="e">
        <f t="shared" si="67"/>
        <v>#NAME?</v>
      </c>
      <c r="U115" s="12" t="e">
        <f t="shared" si="68"/>
        <v>#NAME?</v>
      </c>
      <c r="V115" s="12"/>
      <c r="W115" s="44" t="e">
        <f t="shared" si="69"/>
        <v>#NAME?</v>
      </c>
      <c r="X115" s="26" t="e">
        <f t="shared" si="70"/>
        <v>#NAME?</v>
      </c>
      <c r="Y115" s="12" t="e">
        <f t="shared" si="71"/>
        <v>#NAME?</v>
      </c>
    </row>
    <row r="116" spans="1:25" ht="16.5" customHeight="1" x14ac:dyDescent="0.25">
      <c r="A116" s="16" t="s">
        <v>180</v>
      </c>
      <c r="B116" s="32" t="s">
        <v>181</v>
      </c>
      <c r="C116" s="26" t="e">
        <f t="shared" si="54"/>
        <v>#NAME?</v>
      </c>
      <c r="D116" s="26" t="e">
        <f t="shared" si="55"/>
        <v>#NAME?</v>
      </c>
      <c r="E116" s="12" t="e">
        <f t="shared" si="56"/>
        <v>#NAME?</v>
      </c>
      <c r="F116" s="26"/>
      <c r="G116" s="26" t="e">
        <f t="shared" si="57"/>
        <v>#NAME?</v>
      </c>
      <c r="H116" s="26" t="e">
        <f t="shared" si="58"/>
        <v>#NAME?</v>
      </c>
      <c r="I116" s="12" t="e">
        <f t="shared" si="59"/>
        <v>#NAME?</v>
      </c>
      <c r="J116" s="26"/>
      <c r="K116" s="26" t="e">
        <f t="shared" si="60"/>
        <v>#NAME?</v>
      </c>
      <c r="L116" s="26" t="e">
        <f t="shared" si="61"/>
        <v>#NAME?</v>
      </c>
      <c r="M116" s="12" t="e">
        <f t="shared" si="62"/>
        <v>#NAME?</v>
      </c>
      <c r="N116" s="12"/>
      <c r="O116" s="26" t="e">
        <f t="shared" si="63"/>
        <v>#NAME?</v>
      </c>
      <c r="P116" s="26" t="e">
        <f t="shared" si="64"/>
        <v>#NAME?</v>
      </c>
      <c r="Q116" s="12" t="e">
        <f t="shared" si="65"/>
        <v>#NAME?</v>
      </c>
      <c r="R116" s="12"/>
      <c r="S116" s="26" t="e">
        <f t="shared" si="66"/>
        <v>#NAME?</v>
      </c>
      <c r="T116" s="26" t="e">
        <f t="shared" si="67"/>
        <v>#NAME?</v>
      </c>
      <c r="U116" s="12" t="e">
        <f t="shared" si="68"/>
        <v>#NAME?</v>
      </c>
      <c r="V116" s="12"/>
      <c r="W116" s="44" t="e">
        <f t="shared" si="69"/>
        <v>#NAME?</v>
      </c>
      <c r="X116" s="26" t="e">
        <f t="shared" si="70"/>
        <v>#NAME?</v>
      </c>
      <c r="Y116" s="12" t="e">
        <f t="shared" si="71"/>
        <v>#NAME?</v>
      </c>
    </row>
    <row r="117" spans="1:25" ht="16.5" customHeight="1" x14ac:dyDescent="0.25">
      <c r="A117" s="16" t="s">
        <v>192</v>
      </c>
      <c r="B117" s="17" t="s">
        <v>193</v>
      </c>
      <c r="C117" s="26" t="e">
        <f t="shared" si="54"/>
        <v>#NAME?</v>
      </c>
      <c r="D117" s="26" t="e">
        <f t="shared" si="55"/>
        <v>#NAME?</v>
      </c>
      <c r="E117" s="12" t="e">
        <f t="shared" si="56"/>
        <v>#NAME?</v>
      </c>
      <c r="F117" s="26"/>
      <c r="G117" s="26" t="e">
        <f t="shared" si="57"/>
        <v>#NAME?</v>
      </c>
      <c r="H117" s="26" t="e">
        <f t="shared" si="58"/>
        <v>#NAME?</v>
      </c>
      <c r="I117" s="12" t="e">
        <f t="shared" si="59"/>
        <v>#NAME?</v>
      </c>
      <c r="J117" s="26"/>
      <c r="K117" s="26" t="e">
        <f t="shared" si="60"/>
        <v>#NAME?</v>
      </c>
      <c r="L117" s="26" t="e">
        <f t="shared" si="61"/>
        <v>#NAME?</v>
      </c>
      <c r="M117" s="12" t="e">
        <f t="shared" si="62"/>
        <v>#NAME?</v>
      </c>
      <c r="N117" s="12"/>
      <c r="O117" s="26" t="e">
        <f t="shared" si="63"/>
        <v>#NAME?</v>
      </c>
      <c r="P117" s="26" t="e">
        <f t="shared" si="64"/>
        <v>#NAME?</v>
      </c>
      <c r="Q117" s="12" t="e">
        <f t="shared" si="65"/>
        <v>#NAME?</v>
      </c>
      <c r="R117" s="12"/>
      <c r="S117" s="26" t="e">
        <f t="shared" si="66"/>
        <v>#NAME?</v>
      </c>
      <c r="T117" s="26" t="e">
        <f t="shared" si="67"/>
        <v>#NAME?</v>
      </c>
      <c r="U117" s="12" t="e">
        <f t="shared" si="68"/>
        <v>#NAME?</v>
      </c>
      <c r="V117" s="12"/>
      <c r="W117" s="44" t="e">
        <f t="shared" si="69"/>
        <v>#NAME?</v>
      </c>
      <c r="X117" s="26" t="e">
        <f t="shared" si="70"/>
        <v>#NAME?</v>
      </c>
      <c r="Y117" s="12" t="e">
        <f t="shared" si="71"/>
        <v>#NAME?</v>
      </c>
    </row>
    <row r="118" spans="1:25" ht="16.5" customHeight="1" x14ac:dyDescent="0.25">
      <c r="A118" s="16" t="s">
        <v>196</v>
      </c>
      <c r="B118" s="32" t="s">
        <v>312</v>
      </c>
      <c r="C118" s="26" t="e">
        <f t="shared" si="54"/>
        <v>#NAME?</v>
      </c>
      <c r="D118" s="26" t="e">
        <f t="shared" si="55"/>
        <v>#NAME?</v>
      </c>
      <c r="E118" s="12" t="e">
        <f t="shared" si="56"/>
        <v>#NAME?</v>
      </c>
      <c r="F118" s="26"/>
      <c r="G118" s="26" t="e">
        <f t="shared" si="57"/>
        <v>#NAME?</v>
      </c>
      <c r="H118" s="26" t="e">
        <f t="shared" si="58"/>
        <v>#NAME?</v>
      </c>
      <c r="I118" s="12" t="e">
        <f t="shared" si="59"/>
        <v>#NAME?</v>
      </c>
      <c r="J118" s="26"/>
      <c r="K118" s="26" t="e">
        <f t="shared" si="60"/>
        <v>#NAME?</v>
      </c>
      <c r="L118" s="26" t="e">
        <f t="shared" si="61"/>
        <v>#NAME?</v>
      </c>
      <c r="M118" s="12" t="e">
        <f t="shared" si="62"/>
        <v>#NAME?</v>
      </c>
      <c r="N118" s="12"/>
      <c r="O118" s="26" t="e">
        <f t="shared" si="63"/>
        <v>#NAME?</v>
      </c>
      <c r="P118" s="26" t="e">
        <f t="shared" si="64"/>
        <v>#NAME?</v>
      </c>
      <c r="Q118" s="12" t="e">
        <f t="shared" si="65"/>
        <v>#NAME?</v>
      </c>
      <c r="R118" s="12"/>
      <c r="S118" s="26" t="e">
        <f t="shared" si="66"/>
        <v>#NAME?</v>
      </c>
      <c r="T118" s="26" t="e">
        <f t="shared" si="67"/>
        <v>#NAME?</v>
      </c>
      <c r="U118" s="12" t="e">
        <f t="shared" si="68"/>
        <v>#NAME?</v>
      </c>
      <c r="V118" s="12"/>
      <c r="W118" s="44" t="e">
        <f t="shared" si="69"/>
        <v>#NAME?</v>
      </c>
      <c r="X118" s="26" t="e">
        <f t="shared" si="70"/>
        <v>#NAME?</v>
      </c>
      <c r="Y118" s="12" t="e">
        <f t="shared" si="71"/>
        <v>#NAME?</v>
      </c>
    </row>
    <row r="119" spans="1:25" ht="16.5" customHeight="1" x14ac:dyDescent="0.25">
      <c r="A119" s="16" t="s">
        <v>200</v>
      </c>
      <c r="B119" s="32" t="s">
        <v>313</v>
      </c>
      <c r="C119" s="26" t="e">
        <f t="shared" si="54"/>
        <v>#NAME?</v>
      </c>
      <c r="D119" s="26" t="e">
        <f t="shared" si="55"/>
        <v>#NAME?</v>
      </c>
      <c r="E119" s="12" t="e">
        <f t="shared" si="56"/>
        <v>#NAME?</v>
      </c>
      <c r="F119" s="26"/>
      <c r="G119" s="26" t="e">
        <f t="shared" si="57"/>
        <v>#NAME?</v>
      </c>
      <c r="H119" s="26" t="e">
        <f t="shared" si="58"/>
        <v>#NAME?</v>
      </c>
      <c r="I119" s="12" t="e">
        <f t="shared" si="59"/>
        <v>#NAME?</v>
      </c>
      <c r="J119" s="26"/>
      <c r="K119" s="26" t="e">
        <f t="shared" si="60"/>
        <v>#NAME?</v>
      </c>
      <c r="L119" s="26" t="e">
        <f t="shared" si="61"/>
        <v>#NAME?</v>
      </c>
      <c r="M119" s="12" t="e">
        <f t="shared" si="62"/>
        <v>#NAME?</v>
      </c>
      <c r="N119" s="12"/>
      <c r="O119" s="26" t="e">
        <f t="shared" si="63"/>
        <v>#NAME?</v>
      </c>
      <c r="P119" s="26" t="e">
        <f t="shared" si="64"/>
        <v>#NAME?</v>
      </c>
      <c r="Q119" s="12" t="e">
        <f t="shared" si="65"/>
        <v>#NAME?</v>
      </c>
      <c r="R119" s="12"/>
      <c r="S119" s="26" t="e">
        <f t="shared" si="66"/>
        <v>#NAME?</v>
      </c>
      <c r="T119" s="26" t="e">
        <f t="shared" si="67"/>
        <v>#NAME?</v>
      </c>
      <c r="U119" s="12" t="e">
        <f t="shared" si="68"/>
        <v>#NAME?</v>
      </c>
      <c r="V119" s="12"/>
      <c r="W119" s="44" t="e">
        <f t="shared" si="69"/>
        <v>#NAME?</v>
      </c>
      <c r="X119" s="26" t="e">
        <f t="shared" si="70"/>
        <v>#NAME?</v>
      </c>
      <c r="Y119" s="12" t="e">
        <f t="shared" si="71"/>
        <v>#NAME?</v>
      </c>
    </row>
    <row r="120" spans="1:25" ht="16.5" customHeight="1" x14ac:dyDescent="0.25">
      <c r="A120" s="16" t="s">
        <v>222</v>
      </c>
      <c r="B120" s="17" t="s">
        <v>223</v>
      </c>
      <c r="C120" s="26" t="e">
        <f t="shared" si="54"/>
        <v>#NAME?</v>
      </c>
      <c r="D120" s="26" t="e">
        <f t="shared" si="55"/>
        <v>#NAME?</v>
      </c>
      <c r="E120" s="12" t="e">
        <f t="shared" si="56"/>
        <v>#NAME?</v>
      </c>
      <c r="F120" s="26"/>
      <c r="G120" s="26" t="e">
        <f t="shared" si="57"/>
        <v>#NAME?</v>
      </c>
      <c r="H120" s="26" t="e">
        <f t="shared" si="58"/>
        <v>#NAME?</v>
      </c>
      <c r="I120" s="12" t="e">
        <f t="shared" si="59"/>
        <v>#NAME?</v>
      </c>
      <c r="J120" s="26"/>
      <c r="K120" s="26" t="e">
        <f t="shared" si="60"/>
        <v>#NAME?</v>
      </c>
      <c r="L120" s="26" t="e">
        <f t="shared" si="61"/>
        <v>#NAME?</v>
      </c>
      <c r="M120" s="12" t="e">
        <f t="shared" si="62"/>
        <v>#NAME?</v>
      </c>
      <c r="N120" s="12"/>
      <c r="O120" s="26" t="e">
        <f t="shared" si="63"/>
        <v>#NAME?</v>
      </c>
      <c r="P120" s="26" t="e">
        <f t="shared" si="64"/>
        <v>#NAME?</v>
      </c>
      <c r="Q120" s="12" t="e">
        <f t="shared" si="65"/>
        <v>#NAME?</v>
      </c>
      <c r="R120" s="12"/>
      <c r="S120" s="26" t="e">
        <f t="shared" si="66"/>
        <v>#NAME?</v>
      </c>
      <c r="T120" s="26" t="e">
        <f t="shared" si="67"/>
        <v>#NAME?</v>
      </c>
      <c r="U120" s="12" t="e">
        <f t="shared" si="68"/>
        <v>#NAME?</v>
      </c>
      <c r="V120" s="12"/>
      <c r="W120" s="44" t="e">
        <f t="shared" si="69"/>
        <v>#NAME?</v>
      </c>
      <c r="X120" s="26" t="e">
        <f t="shared" si="70"/>
        <v>#NAME?</v>
      </c>
      <c r="Y120" s="12" t="e">
        <f t="shared" si="71"/>
        <v>#NAME?</v>
      </c>
    </row>
    <row r="121" spans="1:25" ht="16.5" customHeight="1" x14ac:dyDescent="0.25">
      <c r="A121" s="16" t="s">
        <v>230</v>
      </c>
      <c r="B121" s="17" t="s">
        <v>231</v>
      </c>
      <c r="C121" s="26" t="e">
        <f t="shared" si="54"/>
        <v>#NAME?</v>
      </c>
      <c r="D121" s="26" t="e">
        <f t="shared" si="55"/>
        <v>#NAME?</v>
      </c>
      <c r="E121" s="12" t="e">
        <f t="shared" si="56"/>
        <v>#NAME?</v>
      </c>
      <c r="F121" s="26"/>
      <c r="G121" s="26" t="e">
        <f t="shared" si="57"/>
        <v>#NAME?</v>
      </c>
      <c r="H121" s="26" t="e">
        <f t="shared" si="58"/>
        <v>#NAME?</v>
      </c>
      <c r="I121" s="12" t="e">
        <f t="shared" si="59"/>
        <v>#NAME?</v>
      </c>
      <c r="J121" s="26"/>
      <c r="K121" s="26" t="e">
        <f t="shared" si="60"/>
        <v>#NAME?</v>
      </c>
      <c r="L121" s="26" t="e">
        <f t="shared" si="61"/>
        <v>#NAME?</v>
      </c>
      <c r="M121" s="12" t="e">
        <f t="shared" si="62"/>
        <v>#NAME?</v>
      </c>
      <c r="N121" s="12"/>
      <c r="O121" s="26" t="e">
        <f t="shared" si="63"/>
        <v>#NAME?</v>
      </c>
      <c r="P121" s="26" t="e">
        <f t="shared" si="64"/>
        <v>#NAME?</v>
      </c>
      <c r="Q121" s="12" t="e">
        <f t="shared" si="65"/>
        <v>#NAME?</v>
      </c>
      <c r="R121" s="12"/>
      <c r="S121" s="26" t="e">
        <f t="shared" si="66"/>
        <v>#NAME?</v>
      </c>
      <c r="T121" s="26" t="e">
        <f t="shared" si="67"/>
        <v>#NAME?</v>
      </c>
      <c r="U121" s="12" t="e">
        <f t="shared" si="68"/>
        <v>#NAME?</v>
      </c>
      <c r="V121" s="12"/>
      <c r="W121" s="44" t="e">
        <f t="shared" si="69"/>
        <v>#NAME?</v>
      </c>
      <c r="X121" s="26" t="e">
        <f t="shared" si="70"/>
        <v>#NAME?</v>
      </c>
      <c r="Y121" s="12" t="e">
        <f t="shared" si="71"/>
        <v>#NAME?</v>
      </c>
    </row>
    <row r="122" spans="1:25" ht="16.5" customHeight="1" x14ac:dyDescent="0.25">
      <c r="A122" s="16" t="s">
        <v>238</v>
      </c>
      <c r="B122" s="17" t="s">
        <v>239</v>
      </c>
      <c r="C122" s="26" t="e">
        <f t="shared" si="54"/>
        <v>#NAME?</v>
      </c>
      <c r="D122" s="26" t="e">
        <f t="shared" si="55"/>
        <v>#NAME?</v>
      </c>
      <c r="E122" s="12" t="e">
        <f t="shared" si="56"/>
        <v>#NAME?</v>
      </c>
      <c r="F122" s="26"/>
      <c r="G122" s="26" t="e">
        <f t="shared" si="57"/>
        <v>#NAME?</v>
      </c>
      <c r="H122" s="26" t="e">
        <f t="shared" si="58"/>
        <v>#NAME?</v>
      </c>
      <c r="I122" s="12" t="e">
        <f t="shared" si="59"/>
        <v>#NAME?</v>
      </c>
      <c r="J122" s="26"/>
      <c r="K122" s="26" t="e">
        <f t="shared" si="60"/>
        <v>#NAME?</v>
      </c>
      <c r="L122" s="26" t="e">
        <f t="shared" si="61"/>
        <v>#NAME?</v>
      </c>
      <c r="M122" s="12" t="e">
        <f t="shared" si="62"/>
        <v>#NAME?</v>
      </c>
      <c r="N122" s="12"/>
      <c r="O122" s="26" t="e">
        <f t="shared" si="63"/>
        <v>#NAME?</v>
      </c>
      <c r="P122" s="26" t="e">
        <f t="shared" si="64"/>
        <v>#NAME?</v>
      </c>
      <c r="Q122" s="12" t="e">
        <f t="shared" si="65"/>
        <v>#NAME?</v>
      </c>
      <c r="R122" s="12"/>
      <c r="S122" s="26" t="e">
        <f t="shared" si="66"/>
        <v>#NAME?</v>
      </c>
      <c r="T122" s="26" t="e">
        <f t="shared" si="67"/>
        <v>#NAME?</v>
      </c>
      <c r="U122" s="12" t="e">
        <f t="shared" si="68"/>
        <v>#NAME?</v>
      </c>
      <c r="V122" s="12"/>
      <c r="W122" s="44" t="e">
        <f t="shared" si="69"/>
        <v>#NAME?</v>
      </c>
      <c r="X122" s="26" t="e">
        <f t="shared" si="70"/>
        <v>#NAME?</v>
      </c>
      <c r="Y122" s="12" t="e">
        <f t="shared" si="71"/>
        <v>#NAME?</v>
      </c>
    </row>
    <row r="123" spans="1:25" ht="16.5" customHeight="1" x14ac:dyDescent="0.25">
      <c r="A123" s="16" t="s">
        <v>240</v>
      </c>
      <c r="B123" s="32" t="s">
        <v>241</v>
      </c>
      <c r="C123" s="26" t="e">
        <f t="shared" si="54"/>
        <v>#NAME?</v>
      </c>
      <c r="D123" s="26" t="e">
        <f t="shared" si="55"/>
        <v>#NAME?</v>
      </c>
      <c r="E123" s="12" t="e">
        <f t="shared" si="56"/>
        <v>#NAME?</v>
      </c>
      <c r="F123" s="26"/>
      <c r="G123" s="26" t="e">
        <f t="shared" si="57"/>
        <v>#NAME?</v>
      </c>
      <c r="H123" s="26" t="e">
        <f t="shared" si="58"/>
        <v>#NAME?</v>
      </c>
      <c r="I123" s="12" t="e">
        <f t="shared" si="59"/>
        <v>#NAME?</v>
      </c>
      <c r="J123" s="26"/>
      <c r="K123" s="26" t="e">
        <f t="shared" si="60"/>
        <v>#NAME?</v>
      </c>
      <c r="L123" s="26" t="e">
        <f t="shared" si="61"/>
        <v>#NAME?</v>
      </c>
      <c r="M123" s="12" t="e">
        <f t="shared" si="62"/>
        <v>#NAME?</v>
      </c>
      <c r="N123" s="12"/>
      <c r="O123" s="26" t="e">
        <f t="shared" si="63"/>
        <v>#NAME?</v>
      </c>
      <c r="P123" s="26" t="e">
        <f t="shared" si="64"/>
        <v>#NAME?</v>
      </c>
      <c r="Q123" s="12" t="e">
        <f t="shared" si="65"/>
        <v>#NAME?</v>
      </c>
      <c r="R123" s="12"/>
      <c r="S123" s="26" t="e">
        <f t="shared" si="66"/>
        <v>#NAME?</v>
      </c>
      <c r="T123" s="26" t="e">
        <f t="shared" si="67"/>
        <v>#NAME?</v>
      </c>
      <c r="U123" s="12" t="e">
        <f t="shared" si="68"/>
        <v>#NAME?</v>
      </c>
      <c r="V123" s="12"/>
      <c r="W123" s="44" t="e">
        <f t="shared" si="69"/>
        <v>#NAME?</v>
      </c>
      <c r="X123" s="26" t="e">
        <f t="shared" si="70"/>
        <v>#NAME?</v>
      </c>
      <c r="Y123" s="12" t="e">
        <f t="shared" si="71"/>
        <v>#NAME?</v>
      </c>
    </row>
    <row r="124" spans="1:25" x14ac:dyDescent="0.2">
      <c r="C124" s="28" t="e">
        <f>SUM(C4:C123)</f>
        <v>#NAME?</v>
      </c>
      <c r="D124" s="28"/>
      <c r="E124" s="28"/>
      <c r="F124" s="28"/>
      <c r="G124" s="28"/>
      <c r="H124" s="28"/>
      <c r="I124" s="28"/>
      <c r="J124" s="28"/>
      <c r="K124" s="28"/>
      <c r="L124" s="28"/>
    </row>
    <row r="125" spans="1:25" x14ac:dyDescent="0.2">
      <c r="C125" s="28" t="e">
        <f>+C124/12</f>
        <v>#NAME?</v>
      </c>
      <c r="D125" s="28"/>
      <c r="E125" s="28"/>
      <c r="F125" s="28"/>
      <c r="G125" s="28"/>
      <c r="H125" s="28"/>
      <c r="I125" s="28"/>
      <c r="J125" s="28"/>
      <c r="K125" s="28"/>
      <c r="L125" s="28"/>
    </row>
    <row r="126" spans="1:25" ht="12.75" customHeight="1" x14ac:dyDescent="0.2">
      <c r="A126" s="2774" t="s">
        <v>570</v>
      </c>
      <c r="B126" s="2774"/>
      <c r="C126" s="2775"/>
      <c r="D126" s="19"/>
      <c r="E126" s="19"/>
      <c r="F126" s="19"/>
      <c r="G126" s="19"/>
      <c r="H126" s="19"/>
      <c r="I126" s="19"/>
      <c r="J126" s="19"/>
      <c r="K126" s="19"/>
      <c r="L126" s="19"/>
    </row>
    <row r="127" spans="1:25" x14ac:dyDescent="0.2">
      <c r="A127" s="18" t="s">
        <v>571</v>
      </c>
    </row>
  </sheetData>
  <autoFilter ref="A3:Y127"/>
  <mergeCells count="8">
    <mergeCell ref="S2:U2"/>
    <mergeCell ref="O1:Y1"/>
    <mergeCell ref="A126:C126"/>
    <mergeCell ref="C2:E2"/>
    <mergeCell ref="G2:I2"/>
    <mergeCell ref="K2:M2"/>
    <mergeCell ref="C1:M1"/>
    <mergeCell ref="O2:Q2"/>
  </mergeCells>
  <conditionalFormatting sqref="Q4:R123 E4:E123">
    <cfRule type="cellIs" dxfId="5" priority="21" stopIfTrue="1" operator="greaterThan">
      <formula>"&gt;1"</formula>
    </cfRule>
  </conditionalFormatting>
  <conditionalFormatting sqref="Y4:Y123 M4:N123 U4:V123 Q4:R123 I4:I123 E4:E123">
    <cfRule type="cellIs" dxfId="4" priority="19" stopIfTrue="1" operator="greaterThan">
      <formula>1</formula>
    </cfRule>
  </conditionalFormatting>
  <pageMargins left="0.75" right="0.75" top="1" bottom="1" header="0.5" footer="0.5"/>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3" sqref="E3"/>
    </sheetView>
  </sheetViews>
  <sheetFormatPr defaultRowHeight="12.75" x14ac:dyDescent="0.2"/>
  <cols>
    <col min="1" max="1" width="12.25" style="18" customWidth="1"/>
    <col min="2" max="2" width="23.625" style="28" customWidth="1"/>
    <col min="3" max="4" width="9.875" style="18" customWidth="1"/>
    <col min="5" max="5" width="9.75" style="18" customWidth="1"/>
    <col min="6" max="6" width="2.25" style="18" customWidth="1"/>
    <col min="7" max="7" width="10.25" style="18" customWidth="1"/>
    <col min="8" max="8" width="9.875" style="18" customWidth="1"/>
    <col min="9" max="9" width="9.625" style="18" customWidth="1"/>
    <col min="10" max="10" width="2.625" style="18" customWidth="1"/>
    <col min="11" max="11" width="9.625" style="18" customWidth="1"/>
    <col min="12" max="12" width="9.75" style="18" customWidth="1"/>
    <col min="13" max="13" width="10" style="18" customWidth="1"/>
    <col min="14" max="14" width="2.625" style="40" customWidth="1"/>
    <col min="15" max="15" width="10" style="18" bestFit="1" customWidth="1"/>
    <col min="16" max="17" width="10" style="18" customWidth="1"/>
    <col min="18" max="18" width="3.5" style="18" customWidth="1"/>
    <col min="19" max="19" width="9.75" style="18" customWidth="1"/>
    <col min="20" max="20" width="10.25" style="18" customWidth="1"/>
    <col min="21" max="21" width="10.375" style="18" customWidth="1"/>
    <col min="22" max="22" width="2.625" style="18" customWidth="1"/>
    <col min="23" max="23" width="10.25" style="18" customWidth="1"/>
    <col min="24" max="24" width="10.5" style="18" customWidth="1"/>
    <col min="25" max="25" width="10.25" style="18" customWidth="1"/>
    <col min="26" max="16384" width="9" style="18"/>
  </cols>
  <sheetData>
    <row r="1" spans="1:25" ht="15.75" x14ac:dyDescent="0.25">
      <c r="C1" s="2777" t="s">
        <v>574</v>
      </c>
      <c r="D1" s="2777"/>
      <c r="E1" s="2777"/>
      <c r="F1" s="2777"/>
      <c r="G1" s="2777"/>
      <c r="H1" s="2777"/>
      <c r="I1" s="2777"/>
      <c r="J1" s="2777"/>
      <c r="K1" s="2777"/>
      <c r="L1" s="2777"/>
      <c r="M1" s="2777"/>
      <c r="N1" s="37"/>
      <c r="O1" s="2773" t="s">
        <v>575</v>
      </c>
      <c r="P1" s="2773"/>
      <c r="Q1" s="2773"/>
      <c r="R1" s="2773"/>
      <c r="S1" s="2773"/>
      <c r="T1" s="2773"/>
      <c r="U1" s="2773"/>
      <c r="V1" s="2773"/>
      <c r="W1" s="2773"/>
      <c r="X1" s="2773"/>
      <c r="Y1" s="2773"/>
    </row>
    <row r="2" spans="1:25" x14ac:dyDescent="0.2">
      <c r="C2" s="2778" t="s">
        <v>2</v>
      </c>
      <c r="D2" s="2778"/>
      <c r="E2" s="2778"/>
      <c r="F2" s="33"/>
      <c r="G2" s="2778" t="s">
        <v>445</v>
      </c>
      <c r="H2" s="2778"/>
      <c r="I2" s="2778"/>
      <c r="J2" s="24"/>
      <c r="K2" s="2778" t="s">
        <v>447</v>
      </c>
      <c r="L2" s="2778"/>
      <c r="M2" s="2778"/>
      <c r="N2" s="24"/>
      <c r="O2" s="2778" t="s">
        <v>2</v>
      </c>
      <c r="P2" s="2778"/>
      <c r="Q2" s="2778"/>
      <c r="R2" s="24"/>
      <c r="S2" s="2778" t="s">
        <v>445</v>
      </c>
      <c r="T2" s="2778"/>
      <c r="U2" s="2778"/>
      <c r="V2" s="24"/>
      <c r="W2" s="2778" t="s">
        <v>447</v>
      </c>
      <c r="X2" s="2778"/>
      <c r="Y2" s="2778"/>
    </row>
    <row r="3" spans="1:25" s="21" customFormat="1" ht="71.25" customHeight="1" x14ac:dyDescent="0.25">
      <c r="A3" s="20" t="s">
        <v>305</v>
      </c>
      <c r="B3" s="31" t="s">
        <v>306</v>
      </c>
      <c r="C3" s="23" t="s">
        <v>578</v>
      </c>
      <c r="D3" s="23" t="s">
        <v>579</v>
      </c>
      <c r="E3" s="34" t="s">
        <v>580</v>
      </c>
      <c r="F3" s="38"/>
      <c r="G3" s="35" t="s">
        <v>578</v>
      </c>
      <c r="H3" s="23" t="s">
        <v>579</v>
      </c>
      <c r="I3" s="34" t="s">
        <v>580</v>
      </c>
      <c r="J3" s="38"/>
      <c r="K3" s="35" t="s">
        <v>578</v>
      </c>
      <c r="L3" s="23" t="s">
        <v>579</v>
      </c>
      <c r="M3" s="34" t="s">
        <v>580</v>
      </c>
      <c r="N3" s="38"/>
      <c r="O3" s="23" t="s">
        <v>578</v>
      </c>
      <c r="P3" s="23" t="s">
        <v>579</v>
      </c>
      <c r="Q3" s="34" t="s">
        <v>580</v>
      </c>
      <c r="R3" s="41"/>
      <c r="S3" s="23" t="s">
        <v>578</v>
      </c>
      <c r="T3" s="23" t="s">
        <v>579</v>
      </c>
      <c r="U3" s="34" t="s">
        <v>580</v>
      </c>
      <c r="V3" s="38"/>
      <c r="W3" s="23" t="s">
        <v>578</v>
      </c>
      <c r="X3" s="23" t="s">
        <v>579</v>
      </c>
      <c r="Y3" s="34" t="s">
        <v>580</v>
      </c>
    </row>
    <row r="4" spans="1:25" ht="16.5" customHeight="1" x14ac:dyDescent="0.25">
      <c r="A4" s="16" t="s">
        <v>10</v>
      </c>
      <c r="B4" s="17" t="s">
        <v>11</v>
      </c>
      <c r="C4" s="25">
        <f t="shared" ref="C4:C35" si="0">VLOOKUP(A4,SNAPClient_Demo,10,FALSE)</f>
        <v>3993</v>
      </c>
      <c r="D4" s="25" t="e">
        <f t="shared" ref="D4:D35" si="1">VLOOKUP(A4,Pop,14,FALSE)</f>
        <v>#NAME?</v>
      </c>
      <c r="E4" s="27" t="e">
        <f t="shared" ref="E4:E35" si="2">+C4/D4</f>
        <v>#NAME?</v>
      </c>
      <c r="F4" s="27"/>
      <c r="G4" s="25">
        <f t="shared" ref="G4:G35" si="3">VLOOKUP(A4,SNAPClient_Demo,11,FALSE)</f>
        <v>3016</v>
      </c>
      <c r="H4" s="25" t="e">
        <f t="shared" ref="H4:H35" si="4">VLOOKUP(A4,Pop,15,FALSE)</f>
        <v>#NAME?</v>
      </c>
      <c r="I4" s="27" t="e">
        <f t="shared" ref="I4:I35" si="5">+G4/H4</f>
        <v>#NAME?</v>
      </c>
      <c r="J4" s="27"/>
      <c r="K4" s="25">
        <f t="shared" ref="K4:K35" si="6">VLOOKUP(A4,SNAPClient_Demo,12,FALSE)</f>
        <v>0</v>
      </c>
      <c r="L4" s="25" t="e">
        <f t="shared" ref="L4:L35" si="7">VLOOKUP(A4,Pop,16,FALSE)</f>
        <v>#NAME?</v>
      </c>
      <c r="M4" s="27" t="e">
        <f t="shared" ref="M4:M35" si="8">+K4/L4</f>
        <v>#NAME?</v>
      </c>
      <c r="N4" s="39"/>
      <c r="O4" s="36" t="str">
        <f t="shared" ref="O4:O35" si="9">VLOOKUP(A4,SNAPClient_Demo,3,FALSE)</f>
        <v>Eastern</v>
      </c>
      <c r="P4" s="26" t="e">
        <f t="shared" ref="P4:P35" si="10">VLOOKUP(A4,Pop,8,FALSE)</f>
        <v>#NAME?</v>
      </c>
      <c r="Q4" s="27" t="e">
        <f t="shared" ref="Q4:Q35" si="11">+O4/P4</f>
        <v>#VALUE!</v>
      </c>
      <c r="R4" s="27"/>
      <c r="S4" s="26">
        <f t="shared" ref="S4:S35" si="12">VLOOKUP(A4,SNAPClient_Demo,4,FALSE)</f>
        <v>7009</v>
      </c>
      <c r="T4" s="26" t="e">
        <f t="shared" ref="T4:T35" si="13">VLOOKUP(A4,Pop,9,FALSE)</f>
        <v>#NAME?</v>
      </c>
      <c r="U4" s="27" t="e">
        <f t="shared" ref="U4:U35" si="14">+S4/T4</f>
        <v>#NAME?</v>
      </c>
      <c r="V4" s="27"/>
      <c r="W4" s="26">
        <f t="shared" ref="W4:W35" si="15">VLOOKUP(A4,SNAPClient_Demo,5,FALSE)</f>
        <v>3285</v>
      </c>
      <c r="X4" s="26" t="e">
        <f t="shared" ref="X4:X35" si="16">VLOOKUP(A4,Pop,10,FALSE)</f>
        <v>#NAME?</v>
      </c>
      <c r="Y4" s="27" t="e">
        <f t="shared" ref="Y4:Y35" si="17">+W4/X4</f>
        <v>#NAME?</v>
      </c>
    </row>
    <row r="5" spans="1:25" ht="16.5" customHeight="1" x14ac:dyDescent="0.25">
      <c r="A5" s="16" t="s">
        <v>12</v>
      </c>
      <c r="B5" s="17" t="s">
        <v>13</v>
      </c>
      <c r="C5" s="25">
        <f t="shared" si="0"/>
        <v>4088</v>
      </c>
      <c r="D5" s="25" t="e">
        <f t="shared" si="1"/>
        <v>#NAME?</v>
      </c>
      <c r="E5" s="27" t="e">
        <f t="shared" si="2"/>
        <v>#NAME?</v>
      </c>
      <c r="F5" s="27"/>
      <c r="G5" s="25">
        <f t="shared" si="3"/>
        <v>3128</v>
      </c>
      <c r="H5" s="25" t="e">
        <f t="shared" si="4"/>
        <v>#NAME?</v>
      </c>
      <c r="I5" s="27" t="e">
        <f t="shared" si="5"/>
        <v>#NAME?</v>
      </c>
      <c r="J5" s="27"/>
      <c r="K5" s="25">
        <f t="shared" si="6"/>
        <v>0</v>
      </c>
      <c r="L5" s="25" t="e">
        <f t="shared" si="7"/>
        <v>#NAME?</v>
      </c>
      <c r="M5" s="27" t="e">
        <f t="shared" si="8"/>
        <v>#NAME?</v>
      </c>
      <c r="N5" s="39"/>
      <c r="O5" s="36" t="str">
        <f t="shared" si="9"/>
        <v>Piedmont</v>
      </c>
      <c r="P5" s="26" t="e">
        <f t="shared" si="10"/>
        <v>#NAME?</v>
      </c>
      <c r="Q5" s="27" t="e">
        <f t="shared" si="11"/>
        <v>#VALUE!</v>
      </c>
      <c r="R5" s="27"/>
      <c r="S5" s="26">
        <f t="shared" si="12"/>
        <v>7216</v>
      </c>
      <c r="T5" s="26" t="e">
        <f t="shared" si="13"/>
        <v>#NAME?</v>
      </c>
      <c r="U5" s="27" t="e">
        <f t="shared" si="14"/>
        <v>#NAME?</v>
      </c>
      <c r="V5" s="27"/>
      <c r="W5" s="26">
        <f t="shared" si="15"/>
        <v>3363</v>
      </c>
      <c r="X5" s="26" t="e">
        <f t="shared" si="16"/>
        <v>#NAME?</v>
      </c>
      <c r="Y5" s="27" t="e">
        <f t="shared" si="17"/>
        <v>#NAME?</v>
      </c>
    </row>
    <row r="6" spans="1:25" ht="16.5" customHeight="1" x14ac:dyDescent="0.25">
      <c r="A6" s="16" t="s">
        <v>16</v>
      </c>
      <c r="B6" s="17" t="s">
        <v>297</v>
      </c>
      <c r="C6" s="25">
        <f t="shared" si="0"/>
        <v>2746</v>
      </c>
      <c r="D6" s="25" t="e">
        <f t="shared" si="1"/>
        <v>#NAME?</v>
      </c>
      <c r="E6" s="27" t="e">
        <f t="shared" si="2"/>
        <v>#NAME?</v>
      </c>
      <c r="F6" s="27"/>
      <c r="G6" s="25">
        <f t="shared" si="3"/>
        <v>2116</v>
      </c>
      <c r="H6" s="25" t="e">
        <f t="shared" si="4"/>
        <v>#NAME?</v>
      </c>
      <c r="I6" s="27" t="e">
        <f t="shared" si="5"/>
        <v>#NAME?</v>
      </c>
      <c r="J6" s="27"/>
      <c r="K6" s="25">
        <f t="shared" si="6"/>
        <v>0</v>
      </c>
      <c r="L6" s="25" t="e">
        <f t="shared" si="7"/>
        <v>#NAME?</v>
      </c>
      <c r="M6" s="27" t="e">
        <f t="shared" si="8"/>
        <v>#NAME?</v>
      </c>
      <c r="N6" s="39"/>
      <c r="O6" s="36" t="str">
        <f t="shared" si="9"/>
        <v>Piedmont</v>
      </c>
      <c r="P6" s="26" t="e">
        <f t="shared" si="10"/>
        <v>#NAME?</v>
      </c>
      <c r="Q6" s="27" t="e">
        <f t="shared" si="11"/>
        <v>#VALUE!</v>
      </c>
      <c r="R6" s="27"/>
      <c r="S6" s="26">
        <f t="shared" si="12"/>
        <v>4862</v>
      </c>
      <c r="T6" s="26" t="e">
        <f t="shared" si="13"/>
        <v>#NAME?</v>
      </c>
      <c r="U6" s="27" t="e">
        <f t="shared" si="14"/>
        <v>#NAME?</v>
      </c>
      <c r="V6" s="27"/>
      <c r="W6" s="26">
        <f t="shared" si="15"/>
        <v>1947</v>
      </c>
      <c r="X6" s="26" t="e">
        <f t="shared" si="16"/>
        <v>#NAME?</v>
      </c>
      <c r="Y6" s="27" t="e">
        <f t="shared" si="17"/>
        <v>#NAME?</v>
      </c>
    </row>
    <row r="7" spans="1:25" ht="16.5" customHeight="1" x14ac:dyDescent="0.25">
      <c r="A7" s="16" t="s">
        <v>18</v>
      </c>
      <c r="B7" s="17" t="s">
        <v>19</v>
      </c>
      <c r="C7" s="25">
        <f t="shared" si="0"/>
        <v>1211</v>
      </c>
      <c r="D7" s="25" t="e">
        <f t="shared" si="1"/>
        <v>#NAME?</v>
      </c>
      <c r="E7" s="27" t="e">
        <f t="shared" si="2"/>
        <v>#NAME?</v>
      </c>
      <c r="F7" s="27"/>
      <c r="G7" s="25">
        <f t="shared" si="3"/>
        <v>920</v>
      </c>
      <c r="H7" s="25" t="e">
        <f t="shared" si="4"/>
        <v>#NAME?</v>
      </c>
      <c r="I7" s="27" t="e">
        <f t="shared" si="5"/>
        <v>#NAME?</v>
      </c>
      <c r="J7" s="27"/>
      <c r="K7" s="25">
        <f t="shared" si="6"/>
        <v>0</v>
      </c>
      <c r="L7" s="25" t="e">
        <f t="shared" si="7"/>
        <v>#NAME?</v>
      </c>
      <c r="M7" s="27" t="e">
        <f t="shared" si="8"/>
        <v>#NAME?</v>
      </c>
      <c r="N7" s="39"/>
      <c r="O7" s="36" t="str">
        <f t="shared" si="9"/>
        <v>Central</v>
      </c>
      <c r="P7" s="26" t="e">
        <f t="shared" si="10"/>
        <v>#NAME?</v>
      </c>
      <c r="Q7" s="27" t="e">
        <f t="shared" si="11"/>
        <v>#VALUE!</v>
      </c>
      <c r="R7" s="27"/>
      <c r="S7" s="26">
        <f t="shared" si="12"/>
        <v>2131</v>
      </c>
      <c r="T7" s="26" t="e">
        <f t="shared" si="13"/>
        <v>#NAME?</v>
      </c>
      <c r="U7" s="27" t="e">
        <f t="shared" si="14"/>
        <v>#NAME?</v>
      </c>
      <c r="V7" s="27"/>
      <c r="W7" s="26">
        <f t="shared" si="15"/>
        <v>860</v>
      </c>
      <c r="X7" s="26" t="e">
        <f t="shared" si="16"/>
        <v>#NAME?</v>
      </c>
      <c r="Y7" s="27" t="e">
        <f t="shared" si="17"/>
        <v>#NAME?</v>
      </c>
    </row>
    <row r="8" spans="1:25" ht="16.5" customHeight="1" x14ac:dyDescent="0.25">
      <c r="A8" s="16" t="s">
        <v>20</v>
      </c>
      <c r="B8" s="17" t="s">
        <v>21</v>
      </c>
      <c r="C8" s="25">
        <f t="shared" si="0"/>
        <v>2781</v>
      </c>
      <c r="D8" s="25" t="e">
        <f t="shared" si="1"/>
        <v>#NAME?</v>
      </c>
      <c r="E8" s="27" t="e">
        <f t="shared" si="2"/>
        <v>#NAME?</v>
      </c>
      <c r="F8" s="27"/>
      <c r="G8" s="25">
        <f t="shared" si="3"/>
        <v>2132</v>
      </c>
      <c r="H8" s="25" t="e">
        <f t="shared" si="4"/>
        <v>#NAME?</v>
      </c>
      <c r="I8" s="27" t="e">
        <f t="shared" si="5"/>
        <v>#NAME?</v>
      </c>
      <c r="J8" s="27"/>
      <c r="K8" s="25">
        <f t="shared" si="6"/>
        <v>0</v>
      </c>
      <c r="L8" s="25" t="e">
        <f t="shared" si="7"/>
        <v>#NAME?</v>
      </c>
      <c r="M8" s="27" t="e">
        <f t="shared" si="8"/>
        <v>#NAME?</v>
      </c>
      <c r="N8" s="39"/>
      <c r="O8" s="36" t="str">
        <f t="shared" si="9"/>
        <v>Piedmont</v>
      </c>
      <c r="P8" s="26" t="e">
        <f t="shared" si="10"/>
        <v>#NAME?</v>
      </c>
      <c r="Q8" s="27" t="e">
        <f t="shared" si="11"/>
        <v>#VALUE!</v>
      </c>
      <c r="R8" s="27"/>
      <c r="S8" s="26">
        <f t="shared" si="12"/>
        <v>4913</v>
      </c>
      <c r="T8" s="26" t="e">
        <f t="shared" si="13"/>
        <v>#NAME?</v>
      </c>
      <c r="U8" s="27" t="e">
        <f t="shared" si="14"/>
        <v>#NAME?</v>
      </c>
      <c r="V8" s="27"/>
      <c r="W8" s="26">
        <f t="shared" si="15"/>
        <v>2146</v>
      </c>
      <c r="X8" s="26" t="e">
        <f t="shared" si="16"/>
        <v>#NAME?</v>
      </c>
      <c r="Y8" s="27" t="e">
        <f t="shared" si="17"/>
        <v>#NAME?</v>
      </c>
    </row>
    <row r="9" spans="1:25" ht="16.5" customHeight="1" x14ac:dyDescent="0.25">
      <c r="A9" s="16" t="s">
        <v>22</v>
      </c>
      <c r="B9" s="17" t="s">
        <v>23</v>
      </c>
      <c r="C9" s="25">
        <f t="shared" si="0"/>
        <v>1815</v>
      </c>
      <c r="D9" s="25" t="e">
        <f t="shared" si="1"/>
        <v>#NAME?</v>
      </c>
      <c r="E9" s="27" t="e">
        <f t="shared" si="2"/>
        <v>#NAME?</v>
      </c>
      <c r="F9" s="27"/>
      <c r="G9" s="25">
        <f t="shared" si="3"/>
        <v>1391</v>
      </c>
      <c r="H9" s="25" t="e">
        <f t="shared" si="4"/>
        <v>#NAME?</v>
      </c>
      <c r="I9" s="27" t="e">
        <f t="shared" si="5"/>
        <v>#NAME?</v>
      </c>
      <c r="J9" s="27"/>
      <c r="K9" s="25">
        <f t="shared" si="6"/>
        <v>0</v>
      </c>
      <c r="L9" s="25" t="e">
        <f t="shared" si="7"/>
        <v>#NAME?</v>
      </c>
      <c r="M9" s="27" t="e">
        <f t="shared" si="8"/>
        <v>#NAME?</v>
      </c>
      <c r="N9" s="39"/>
      <c r="O9" s="36" t="str">
        <f t="shared" si="9"/>
        <v>Piedmont</v>
      </c>
      <c r="P9" s="26" t="e">
        <f t="shared" si="10"/>
        <v>#NAME?</v>
      </c>
      <c r="Q9" s="27" t="e">
        <f t="shared" si="11"/>
        <v>#VALUE!</v>
      </c>
      <c r="R9" s="27"/>
      <c r="S9" s="26">
        <f t="shared" si="12"/>
        <v>3206</v>
      </c>
      <c r="T9" s="26" t="e">
        <f t="shared" si="13"/>
        <v>#NAME?</v>
      </c>
      <c r="U9" s="27" t="e">
        <f t="shared" si="14"/>
        <v>#NAME?</v>
      </c>
      <c r="V9" s="27"/>
      <c r="W9" s="26">
        <f t="shared" si="15"/>
        <v>1282</v>
      </c>
      <c r="X9" s="26" t="e">
        <f t="shared" si="16"/>
        <v>#NAME?</v>
      </c>
      <c r="Y9" s="27" t="e">
        <f t="shared" si="17"/>
        <v>#NAME?</v>
      </c>
    </row>
    <row r="10" spans="1:25" ht="16.5" customHeight="1" x14ac:dyDescent="0.25">
      <c r="A10" s="16" t="s">
        <v>24</v>
      </c>
      <c r="B10" s="17" t="s">
        <v>25</v>
      </c>
      <c r="C10" s="25">
        <f t="shared" si="0"/>
        <v>5457</v>
      </c>
      <c r="D10" s="25" t="e">
        <f t="shared" si="1"/>
        <v>#NAME?</v>
      </c>
      <c r="E10" s="27" t="e">
        <f t="shared" si="2"/>
        <v>#NAME?</v>
      </c>
      <c r="F10" s="27"/>
      <c r="G10" s="25">
        <f t="shared" si="3"/>
        <v>4134</v>
      </c>
      <c r="H10" s="25" t="e">
        <f t="shared" si="4"/>
        <v>#NAME?</v>
      </c>
      <c r="I10" s="27" t="e">
        <f t="shared" si="5"/>
        <v>#NAME?</v>
      </c>
      <c r="J10" s="27"/>
      <c r="K10" s="25">
        <f t="shared" si="6"/>
        <v>0</v>
      </c>
      <c r="L10" s="25" t="e">
        <f t="shared" si="7"/>
        <v>#NAME?</v>
      </c>
      <c r="M10" s="27" t="e">
        <f t="shared" si="8"/>
        <v>#NAME?</v>
      </c>
      <c r="N10" s="39"/>
      <c r="O10" s="36" t="str">
        <f t="shared" si="9"/>
        <v>Northern</v>
      </c>
      <c r="P10" s="26" t="e">
        <f t="shared" si="10"/>
        <v>#NAME?</v>
      </c>
      <c r="Q10" s="27" t="e">
        <f t="shared" si="11"/>
        <v>#VALUE!</v>
      </c>
      <c r="R10" s="27"/>
      <c r="S10" s="26">
        <f t="shared" si="12"/>
        <v>9591</v>
      </c>
      <c r="T10" s="26" t="e">
        <f t="shared" si="13"/>
        <v>#NAME?</v>
      </c>
      <c r="U10" s="27" t="e">
        <f t="shared" si="14"/>
        <v>#NAME?</v>
      </c>
      <c r="V10" s="27"/>
      <c r="W10" s="26">
        <f t="shared" si="15"/>
        <v>4374</v>
      </c>
      <c r="X10" s="26" t="e">
        <f t="shared" si="16"/>
        <v>#NAME?</v>
      </c>
      <c r="Y10" s="27" t="e">
        <f t="shared" si="17"/>
        <v>#NAME?</v>
      </c>
    </row>
    <row r="11" spans="1:25" ht="16.5" customHeight="1" x14ac:dyDescent="0.25">
      <c r="A11" s="16" t="s">
        <v>26</v>
      </c>
      <c r="B11" s="17" t="s">
        <v>298</v>
      </c>
      <c r="C11" s="25">
        <f t="shared" si="0"/>
        <v>11055</v>
      </c>
      <c r="D11" s="25" t="e">
        <f t="shared" si="1"/>
        <v>#NAME?</v>
      </c>
      <c r="E11" s="27" t="e">
        <f t="shared" si="2"/>
        <v>#NAME?</v>
      </c>
      <c r="F11" s="27"/>
      <c r="G11" s="25">
        <f t="shared" si="3"/>
        <v>8094</v>
      </c>
      <c r="H11" s="25" t="e">
        <f t="shared" si="4"/>
        <v>#NAME?</v>
      </c>
      <c r="I11" s="27" t="e">
        <f t="shared" si="5"/>
        <v>#NAME?</v>
      </c>
      <c r="J11" s="27"/>
      <c r="K11" s="25">
        <f t="shared" si="6"/>
        <v>0</v>
      </c>
      <c r="L11" s="25" t="e">
        <f t="shared" si="7"/>
        <v>#NAME?</v>
      </c>
      <c r="M11" s="27" t="e">
        <f t="shared" si="8"/>
        <v>#NAME?</v>
      </c>
      <c r="N11" s="39"/>
      <c r="O11" s="36" t="str">
        <f t="shared" si="9"/>
        <v>Piedmont</v>
      </c>
      <c r="P11" s="26" t="e">
        <f t="shared" si="10"/>
        <v>#NAME?</v>
      </c>
      <c r="Q11" s="27" t="e">
        <f t="shared" si="11"/>
        <v>#VALUE!</v>
      </c>
      <c r="R11" s="27"/>
      <c r="S11" s="26">
        <f t="shared" si="12"/>
        <v>19149</v>
      </c>
      <c r="T11" s="26" t="e">
        <f t="shared" si="13"/>
        <v>#NAME?</v>
      </c>
      <c r="U11" s="27" t="e">
        <f t="shared" si="14"/>
        <v>#NAME?</v>
      </c>
      <c r="V11" s="27"/>
      <c r="W11" s="26">
        <f t="shared" si="15"/>
        <v>7989</v>
      </c>
      <c r="X11" s="26" t="e">
        <f t="shared" si="16"/>
        <v>#NAME?</v>
      </c>
      <c r="Y11" s="27" t="e">
        <f t="shared" si="17"/>
        <v>#NAME?</v>
      </c>
    </row>
    <row r="12" spans="1:25" ht="16.5" customHeight="1" x14ac:dyDescent="0.25">
      <c r="A12" s="16" t="s">
        <v>27</v>
      </c>
      <c r="B12" s="17" t="s">
        <v>28</v>
      </c>
      <c r="C12" s="25">
        <f t="shared" si="0"/>
        <v>268</v>
      </c>
      <c r="D12" s="25" t="e">
        <f t="shared" si="1"/>
        <v>#NAME?</v>
      </c>
      <c r="E12" s="27" t="e">
        <f t="shared" si="2"/>
        <v>#NAME?</v>
      </c>
      <c r="F12" s="27"/>
      <c r="G12" s="25">
        <f t="shared" si="3"/>
        <v>209</v>
      </c>
      <c r="H12" s="25" t="e">
        <f t="shared" si="4"/>
        <v>#NAME?</v>
      </c>
      <c r="I12" s="27" t="e">
        <f t="shared" si="5"/>
        <v>#NAME?</v>
      </c>
      <c r="J12" s="27"/>
      <c r="K12" s="25">
        <f t="shared" si="6"/>
        <v>0</v>
      </c>
      <c r="L12" s="25" t="e">
        <f t="shared" si="7"/>
        <v>#NAME?</v>
      </c>
      <c r="M12" s="27" t="e">
        <f t="shared" si="8"/>
        <v>#NAME?</v>
      </c>
      <c r="N12" s="39"/>
      <c r="O12" s="36" t="str">
        <f t="shared" si="9"/>
        <v>Piedmont</v>
      </c>
      <c r="P12" s="26" t="e">
        <f t="shared" si="10"/>
        <v>#NAME?</v>
      </c>
      <c r="Q12" s="27" t="e">
        <f t="shared" si="11"/>
        <v>#VALUE!</v>
      </c>
      <c r="R12" s="27"/>
      <c r="S12" s="26">
        <f t="shared" si="12"/>
        <v>477</v>
      </c>
      <c r="T12" s="26" t="e">
        <f t="shared" si="13"/>
        <v>#NAME?</v>
      </c>
      <c r="U12" s="27" t="e">
        <f t="shared" si="14"/>
        <v>#NAME?</v>
      </c>
      <c r="V12" s="27"/>
      <c r="W12" s="26">
        <f t="shared" si="15"/>
        <v>199</v>
      </c>
      <c r="X12" s="26" t="e">
        <f t="shared" si="16"/>
        <v>#NAME?</v>
      </c>
      <c r="Y12" s="27" t="e">
        <f t="shared" si="17"/>
        <v>#NAME?</v>
      </c>
    </row>
    <row r="13" spans="1:25" ht="16.5" customHeight="1" x14ac:dyDescent="0.25">
      <c r="A13" s="16" t="s">
        <v>29</v>
      </c>
      <c r="B13" s="17" t="s">
        <v>307</v>
      </c>
      <c r="C13" s="25">
        <f t="shared" si="0"/>
        <v>4523</v>
      </c>
      <c r="D13" s="25" t="e">
        <f t="shared" si="1"/>
        <v>#NAME?</v>
      </c>
      <c r="E13" s="27" t="e">
        <f t="shared" si="2"/>
        <v>#NAME?</v>
      </c>
      <c r="F13" s="27"/>
      <c r="G13" s="25">
        <f t="shared" si="3"/>
        <v>3628</v>
      </c>
      <c r="H13" s="25" t="e">
        <f t="shared" si="4"/>
        <v>#NAME?</v>
      </c>
      <c r="I13" s="27" t="e">
        <f t="shared" si="5"/>
        <v>#NAME?</v>
      </c>
      <c r="J13" s="27"/>
      <c r="K13" s="25">
        <f t="shared" si="6"/>
        <v>0</v>
      </c>
      <c r="L13" s="25" t="e">
        <f t="shared" si="7"/>
        <v>#NAME?</v>
      </c>
      <c r="M13" s="27" t="e">
        <f t="shared" si="8"/>
        <v>#NAME?</v>
      </c>
      <c r="N13" s="39"/>
      <c r="O13" s="36" t="str">
        <f t="shared" si="9"/>
        <v>Piedmont</v>
      </c>
      <c r="P13" s="26" t="e">
        <f t="shared" si="10"/>
        <v>#NAME?</v>
      </c>
      <c r="Q13" s="27" t="e">
        <f t="shared" si="11"/>
        <v>#VALUE!</v>
      </c>
      <c r="R13" s="27"/>
      <c r="S13" s="26">
        <f t="shared" si="12"/>
        <v>8151</v>
      </c>
      <c r="T13" s="26" t="e">
        <f t="shared" si="13"/>
        <v>#NAME?</v>
      </c>
      <c r="U13" s="27" t="e">
        <f t="shared" si="14"/>
        <v>#NAME?</v>
      </c>
      <c r="V13" s="27"/>
      <c r="W13" s="26">
        <f t="shared" si="15"/>
        <v>3471</v>
      </c>
      <c r="X13" s="26" t="e">
        <f t="shared" si="16"/>
        <v>#NAME?</v>
      </c>
      <c r="Y13" s="27" t="e">
        <f t="shared" si="17"/>
        <v>#NAME?</v>
      </c>
    </row>
    <row r="14" spans="1:25" ht="16.5" customHeight="1" x14ac:dyDescent="0.25">
      <c r="A14" s="16" t="s">
        <v>30</v>
      </c>
      <c r="B14" s="32" t="s">
        <v>31</v>
      </c>
      <c r="C14" s="25">
        <f t="shared" si="0"/>
        <v>413</v>
      </c>
      <c r="D14" s="25" t="e">
        <f t="shared" si="1"/>
        <v>#NAME?</v>
      </c>
      <c r="E14" s="27" t="e">
        <f t="shared" si="2"/>
        <v>#NAME?</v>
      </c>
      <c r="F14" s="27"/>
      <c r="G14" s="25">
        <f t="shared" si="3"/>
        <v>320</v>
      </c>
      <c r="H14" s="25" t="e">
        <f t="shared" si="4"/>
        <v>#NAME?</v>
      </c>
      <c r="I14" s="27" t="e">
        <f t="shared" si="5"/>
        <v>#NAME?</v>
      </c>
      <c r="J14" s="27"/>
      <c r="K14" s="25">
        <f t="shared" si="6"/>
        <v>0</v>
      </c>
      <c r="L14" s="25" t="e">
        <f t="shared" si="7"/>
        <v>#NAME?</v>
      </c>
      <c r="M14" s="27" t="e">
        <f t="shared" si="8"/>
        <v>#NAME?</v>
      </c>
      <c r="N14" s="39"/>
      <c r="O14" s="36" t="str">
        <f t="shared" si="9"/>
        <v>Western</v>
      </c>
      <c r="P14" s="26" t="e">
        <f t="shared" si="10"/>
        <v>#NAME?</v>
      </c>
      <c r="Q14" s="27" t="e">
        <f t="shared" si="11"/>
        <v>#VALUE!</v>
      </c>
      <c r="R14" s="27"/>
      <c r="S14" s="26">
        <f t="shared" si="12"/>
        <v>733</v>
      </c>
      <c r="T14" s="26" t="e">
        <f t="shared" si="13"/>
        <v>#NAME?</v>
      </c>
      <c r="U14" s="27" t="e">
        <f t="shared" si="14"/>
        <v>#NAME?</v>
      </c>
      <c r="V14" s="27"/>
      <c r="W14" s="26">
        <f t="shared" si="15"/>
        <v>265</v>
      </c>
      <c r="X14" s="26" t="e">
        <f t="shared" si="16"/>
        <v>#NAME?</v>
      </c>
      <c r="Y14" s="27" t="e">
        <f t="shared" si="17"/>
        <v>#NAME?</v>
      </c>
    </row>
    <row r="15" spans="1:25" ht="16.5" customHeight="1" x14ac:dyDescent="0.25">
      <c r="A15" s="16" t="s">
        <v>32</v>
      </c>
      <c r="B15" s="17" t="s">
        <v>33</v>
      </c>
      <c r="C15" s="25">
        <f t="shared" si="0"/>
        <v>1390</v>
      </c>
      <c r="D15" s="25" t="e">
        <f t="shared" si="1"/>
        <v>#NAME?</v>
      </c>
      <c r="E15" s="27" t="e">
        <f t="shared" si="2"/>
        <v>#NAME?</v>
      </c>
      <c r="F15" s="27"/>
      <c r="G15" s="25">
        <f t="shared" si="3"/>
        <v>1108</v>
      </c>
      <c r="H15" s="25" t="e">
        <f t="shared" si="4"/>
        <v>#NAME?</v>
      </c>
      <c r="I15" s="27" t="e">
        <f t="shared" si="5"/>
        <v>#NAME?</v>
      </c>
      <c r="J15" s="27"/>
      <c r="K15" s="25">
        <f t="shared" si="6"/>
        <v>0</v>
      </c>
      <c r="L15" s="25" t="e">
        <f t="shared" si="7"/>
        <v>#NAME?</v>
      </c>
      <c r="M15" s="27" t="e">
        <f t="shared" si="8"/>
        <v>#NAME?</v>
      </c>
      <c r="N15" s="39"/>
      <c r="O15" s="36" t="str">
        <f t="shared" si="9"/>
        <v>Piedmont</v>
      </c>
      <c r="P15" s="26" t="e">
        <f t="shared" si="10"/>
        <v>#NAME?</v>
      </c>
      <c r="Q15" s="27" t="e">
        <f t="shared" si="11"/>
        <v>#VALUE!</v>
      </c>
      <c r="R15" s="27"/>
      <c r="S15" s="26">
        <f t="shared" si="12"/>
        <v>2498</v>
      </c>
      <c r="T15" s="26" t="e">
        <f t="shared" si="13"/>
        <v>#NAME?</v>
      </c>
      <c r="U15" s="27" t="e">
        <f t="shared" si="14"/>
        <v>#NAME?</v>
      </c>
      <c r="V15" s="27"/>
      <c r="W15" s="26">
        <f t="shared" si="15"/>
        <v>1112</v>
      </c>
      <c r="X15" s="26" t="e">
        <f t="shared" si="16"/>
        <v>#NAME?</v>
      </c>
      <c r="Y15" s="27" t="e">
        <f t="shared" si="17"/>
        <v>#NAME?</v>
      </c>
    </row>
    <row r="16" spans="1:25" ht="16.5" customHeight="1" x14ac:dyDescent="0.25">
      <c r="A16" s="16" t="s">
        <v>36</v>
      </c>
      <c r="B16" s="17" t="s">
        <v>37</v>
      </c>
      <c r="C16" s="25">
        <f t="shared" si="0"/>
        <v>2438</v>
      </c>
      <c r="D16" s="25" t="e">
        <f t="shared" si="1"/>
        <v>#NAME?</v>
      </c>
      <c r="E16" s="27" t="e">
        <f t="shared" si="2"/>
        <v>#NAME?</v>
      </c>
      <c r="F16" s="27"/>
      <c r="G16" s="25">
        <f t="shared" si="3"/>
        <v>1887</v>
      </c>
      <c r="H16" s="25" t="e">
        <f t="shared" si="4"/>
        <v>#NAME?</v>
      </c>
      <c r="I16" s="27" t="e">
        <f t="shared" si="5"/>
        <v>#NAME?</v>
      </c>
      <c r="J16" s="27"/>
      <c r="K16" s="25">
        <f t="shared" si="6"/>
        <v>0</v>
      </c>
      <c r="L16" s="25" t="e">
        <f t="shared" si="7"/>
        <v>#NAME?</v>
      </c>
      <c r="M16" s="27" t="e">
        <f t="shared" si="8"/>
        <v>#NAME?</v>
      </c>
      <c r="N16" s="39"/>
      <c r="O16" s="36" t="str">
        <f t="shared" si="9"/>
        <v>Eastern</v>
      </c>
      <c r="P16" s="26" t="e">
        <f t="shared" si="10"/>
        <v>#NAME?</v>
      </c>
      <c r="Q16" s="27" t="e">
        <f t="shared" si="11"/>
        <v>#VALUE!</v>
      </c>
      <c r="R16" s="27"/>
      <c r="S16" s="26">
        <f t="shared" si="12"/>
        <v>4325</v>
      </c>
      <c r="T16" s="26" t="e">
        <f t="shared" si="13"/>
        <v>#NAME?</v>
      </c>
      <c r="U16" s="27" t="e">
        <f t="shared" si="14"/>
        <v>#NAME?</v>
      </c>
      <c r="V16" s="27"/>
      <c r="W16" s="26">
        <f t="shared" si="15"/>
        <v>1586</v>
      </c>
      <c r="X16" s="26" t="e">
        <f t="shared" si="16"/>
        <v>#NAME?</v>
      </c>
      <c r="Y16" s="27" t="e">
        <f t="shared" si="17"/>
        <v>#NAME?</v>
      </c>
    </row>
    <row r="17" spans="1:25" ht="16.5" customHeight="1" x14ac:dyDescent="0.25">
      <c r="A17" s="16" t="s">
        <v>38</v>
      </c>
      <c r="B17" s="32" t="s">
        <v>39</v>
      </c>
      <c r="C17" s="25">
        <f t="shared" si="0"/>
        <v>3230</v>
      </c>
      <c r="D17" s="25" t="e">
        <f t="shared" si="1"/>
        <v>#NAME?</v>
      </c>
      <c r="E17" s="27" t="e">
        <f t="shared" si="2"/>
        <v>#NAME?</v>
      </c>
      <c r="F17" s="27"/>
      <c r="G17" s="25">
        <f t="shared" si="3"/>
        <v>2619</v>
      </c>
      <c r="H17" s="25" t="e">
        <f t="shared" si="4"/>
        <v>#NAME?</v>
      </c>
      <c r="I17" s="27" t="e">
        <f t="shared" si="5"/>
        <v>#NAME?</v>
      </c>
      <c r="J17" s="27"/>
      <c r="K17" s="25">
        <f t="shared" si="6"/>
        <v>0</v>
      </c>
      <c r="L17" s="25" t="e">
        <f t="shared" si="7"/>
        <v>#NAME?</v>
      </c>
      <c r="M17" s="27" t="e">
        <f t="shared" si="8"/>
        <v>#NAME?</v>
      </c>
      <c r="N17" s="39"/>
      <c r="O17" s="36" t="str">
        <f t="shared" si="9"/>
        <v>Western</v>
      </c>
      <c r="P17" s="26" t="e">
        <f t="shared" si="10"/>
        <v>#NAME?</v>
      </c>
      <c r="Q17" s="27" t="e">
        <f t="shared" si="11"/>
        <v>#VALUE!</v>
      </c>
      <c r="R17" s="27"/>
      <c r="S17" s="26">
        <f t="shared" si="12"/>
        <v>5849</v>
      </c>
      <c r="T17" s="26" t="e">
        <f t="shared" si="13"/>
        <v>#NAME?</v>
      </c>
      <c r="U17" s="27" t="e">
        <f t="shared" si="14"/>
        <v>#NAME?</v>
      </c>
      <c r="V17" s="27"/>
      <c r="W17" s="26">
        <f t="shared" si="15"/>
        <v>1892</v>
      </c>
      <c r="X17" s="26" t="e">
        <f t="shared" si="16"/>
        <v>#NAME?</v>
      </c>
      <c r="Y17" s="27" t="e">
        <f t="shared" si="17"/>
        <v>#NAME?</v>
      </c>
    </row>
    <row r="18" spans="1:25" ht="16.5" customHeight="1" x14ac:dyDescent="0.25">
      <c r="A18" s="16" t="s">
        <v>40</v>
      </c>
      <c r="B18" s="32" t="s">
        <v>41</v>
      </c>
      <c r="C18" s="25">
        <f t="shared" si="0"/>
        <v>2010</v>
      </c>
      <c r="D18" s="25" t="e">
        <f t="shared" si="1"/>
        <v>#NAME?</v>
      </c>
      <c r="E18" s="27" t="e">
        <f t="shared" si="2"/>
        <v>#NAME?</v>
      </c>
      <c r="F18" s="27"/>
      <c r="G18" s="25">
        <f t="shared" si="3"/>
        <v>1589</v>
      </c>
      <c r="H18" s="25" t="e">
        <f t="shared" si="4"/>
        <v>#NAME?</v>
      </c>
      <c r="I18" s="27" t="e">
        <f t="shared" si="5"/>
        <v>#NAME?</v>
      </c>
      <c r="J18" s="27"/>
      <c r="K18" s="25">
        <f t="shared" si="6"/>
        <v>0</v>
      </c>
      <c r="L18" s="25" t="e">
        <f t="shared" si="7"/>
        <v>#NAME?</v>
      </c>
      <c r="M18" s="27" t="e">
        <f t="shared" si="8"/>
        <v>#NAME?</v>
      </c>
      <c r="N18" s="39"/>
      <c r="O18" s="36" t="str">
        <f t="shared" si="9"/>
        <v>Central</v>
      </c>
      <c r="P18" s="26" t="e">
        <f t="shared" si="10"/>
        <v>#NAME?</v>
      </c>
      <c r="Q18" s="27" t="e">
        <f t="shared" si="11"/>
        <v>#VALUE!</v>
      </c>
      <c r="R18" s="27"/>
      <c r="S18" s="26">
        <f t="shared" si="12"/>
        <v>3599</v>
      </c>
      <c r="T18" s="26" t="e">
        <f t="shared" si="13"/>
        <v>#NAME?</v>
      </c>
      <c r="U18" s="27" t="e">
        <f t="shared" si="14"/>
        <v>#NAME?</v>
      </c>
      <c r="V18" s="27"/>
      <c r="W18" s="26">
        <f t="shared" si="15"/>
        <v>1398</v>
      </c>
      <c r="X18" s="26" t="e">
        <f t="shared" si="16"/>
        <v>#NAME?</v>
      </c>
      <c r="Y18" s="27" t="e">
        <f t="shared" si="17"/>
        <v>#NAME?</v>
      </c>
    </row>
    <row r="19" spans="1:25" ht="16.5" customHeight="1" x14ac:dyDescent="0.25">
      <c r="A19" s="16" t="s">
        <v>42</v>
      </c>
      <c r="B19" s="17" t="s">
        <v>43</v>
      </c>
      <c r="C19" s="25">
        <f t="shared" si="0"/>
        <v>5304</v>
      </c>
      <c r="D19" s="25" t="e">
        <f t="shared" si="1"/>
        <v>#NAME?</v>
      </c>
      <c r="E19" s="27" t="e">
        <f t="shared" si="2"/>
        <v>#NAME?</v>
      </c>
      <c r="F19" s="27"/>
      <c r="G19" s="25">
        <f t="shared" si="3"/>
        <v>3907</v>
      </c>
      <c r="H19" s="25" t="e">
        <f t="shared" si="4"/>
        <v>#NAME?</v>
      </c>
      <c r="I19" s="27" t="e">
        <f t="shared" si="5"/>
        <v>#NAME?</v>
      </c>
      <c r="J19" s="27"/>
      <c r="K19" s="25">
        <f t="shared" si="6"/>
        <v>0</v>
      </c>
      <c r="L19" s="25" t="e">
        <f t="shared" si="7"/>
        <v>#NAME?</v>
      </c>
      <c r="M19" s="27" t="e">
        <f t="shared" si="8"/>
        <v>#NAME?</v>
      </c>
      <c r="N19" s="39"/>
      <c r="O19" s="36" t="str">
        <f t="shared" si="9"/>
        <v>Piedmont</v>
      </c>
      <c r="P19" s="26" t="e">
        <f t="shared" si="10"/>
        <v>#NAME?</v>
      </c>
      <c r="Q19" s="27" t="e">
        <f t="shared" si="11"/>
        <v>#VALUE!</v>
      </c>
      <c r="R19" s="27"/>
      <c r="S19" s="26">
        <f t="shared" si="12"/>
        <v>9211</v>
      </c>
      <c r="T19" s="26" t="e">
        <f t="shared" si="13"/>
        <v>#NAME?</v>
      </c>
      <c r="U19" s="27" t="e">
        <f t="shared" si="14"/>
        <v>#NAME?</v>
      </c>
      <c r="V19" s="27"/>
      <c r="W19" s="26">
        <f t="shared" si="15"/>
        <v>3884</v>
      </c>
      <c r="X19" s="26" t="e">
        <f t="shared" si="16"/>
        <v>#NAME?</v>
      </c>
      <c r="Y19" s="27" t="e">
        <f t="shared" si="17"/>
        <v>#NAME?</v>
      </c>
    </row>
    <row r="20" spans="1:25" ht="16.5" customHeight="1" x14ac:dyDescent="0.25">
      <c r="A20" s="16" t="s">
        <v>44</v>
      </c>
      <c r="B20" s="17" t="s">
        <v>45</v>
      </c>
      <c r="C20" s="25">
        <f t="shared" si="0"/>
        <v>3191</v>
      </c>
      <c r="D20" s="25" t="e">
        <f t="shared" si="1"/>
        <v>#NAME?</v>
      </c>
      <c r="E20" s="27" t="e">
        <f t="shared" si="2"/>
        <v>#NAME?</v>
      </c>
      <c r="F20" s="27"/>
      <c r="G20" s="25">
        <f t="shared" si="3"/>
        <v>2282</v>
      </c>
      <c r="H20" s="25" t="e">
        <f t="shared" si="4"/>
        <v>#NAME?</v>
      </c>
      <c r="I20" s="27" t="e">
        <f t="shared" si="5"/>
        <v>#NAME?</v>
      </c>
      <c r="J20" s="27"/>
      <c r="K20" s="25">
        <f t="shared" si="6"/>
        <v>0</v>
      </c>
      <c r="L20" s="25" t="e">
        <f t="shared" si="7"/>
        <v>#NAME?</v>
      </c>
      <c r="M20" s="27" t="e">
        <f t="shared" si="8"/>
        <v>#NAME?</v>
      </c>
      <c r="N20" s="39"/>
      <c r="O20" s="36" t="str">
        <f t="shared" si="9"/>
        <v>Central</v>
      </c>
      <c r="P20" s="26" t="e">
        <f t="shared" si="10"/>
        <v>#NAME?</v>
      </c>
      <c r="Q20" s="27" t="e">
        <f t="shared" si="11"/>
        <v>#VALUE!</v>
      </c>
      <c r="R20" s="27"/>
      <c r="S20" s="26">
        <f t="shared" si="12"/>
        <v>5473</v>
      </c>
      <c r="T20" s="26" t="e">
        <f t="shared" si="13"/>
        <v>#NAME?</v>
      </c>
      <c r="U20" s="27" t="e">
        <f t="shared" si="14"/>
        <v>#NAME?</v>
      </c>
      <c r="V20" s="27"/>
      <c r="W20" s="26">
        <f t="shared" si="15"/>
        <v>2431</v>
      </c>
      <c r="X20" s="26" t="e">
        <f t="shared" si="16"/>
        <v>#NAME?</v>
      </c>
      <c r="Y20" s="27" t="e">
        <f t="shared" si="17"/>
        <v>#NAME?</v>
      </c>
    </row>
    <row r="21" spans="1:25" ht="16.5" customHeight="1" x14ac:dyDescent="0.25">
      <c r="A21" s="16" t="s">
        <v>46</v>
      </c>
      <c r="B21" s="32" t="s">
        <v>47</v>
      </c>
      <c r="C21" s="25">
        <f t="shared" si="0"/>
        <v>3276</v>
      </c>
      <c r="D21" s="25" t="e">
        <f t="shared" si="1"/>
        <v>#NAME?</v>
      </c>
      <c r="E21" s="27" t="e">
        <f t="shared" si="2"/>
        <v>#NAME?</v>
      </c>
      <c r="F21" s="27"/>
      <c r="G21" s="25">
        <f t="shared" si="3"/>
        <v>2711</v>
      </c>
      <c r="H21" s="25" t="e">
        <f t="shared" si="4"/>
        <v>#NAME?</v>
      </c>
      <c r="I21" s="27" t="e">
        <f t="shared" si="5"/>
        <v>#NAME?</v>
      </c>
      <c r="J21" s="27"/>
      <c r="K21" s="25">
        <f t="shared" si="6"/>
        <v>0</v>
      </c>
      <c r="L21" s="25" t="e">
        <f t="shared" si="7"/>
        <v>#NAME?</v>
      </c>
      <c r="M21" s="27" t="e">
        <f t="shared" si="8"/>
        <v>#NAME?</v>
      </c>
      <c r="N21" s="39"/>
      <c r="O21" s="36" t="str">
        <f t="shared" si="9"/>
        <v>Western</v>
      </c>
      <c r="P21" s="26" t="e">
        <f t="shared" si="10"/>
        <v>#NAME?</v>
      </c>
      <c r="Q21" s="27" t="e">
        <f t="shared" si="11"/>
        <v>#VALUE!</v>
      </c>
      <c r="R21" s="27"/>
      <c r="S21" s="26">
        <f t="shared" si="12"/>
        <v>5987</v>
      </c>
      <c r="T21" s="26" t="e">
        <f t="shared" si="13"/>
        <v>#NAME?</v>
      </c>
      <c r="U21" s="27" t="e">
        <f t="shared" si="14"/>
        <v>#NAME?</v>
      </c>
      <c r="V21" s="27"/>
      <c r="W21" s="26">
        <f t="shared" si="15"/>
        <v>2212</v>
      </c>
      <c r="X21" s="26" t="e">
        <f t="shared" si="16"/>
        <v>#NAME?</v>
      </c>
      <c r="Y21" s="27" t="e">
        <f t="shared" si="17"/>
        <v>#NAME?</v>
      </c>
    </row>
    <row r="22" spans="1:25" ht="16.5" customHeight="1" x14ac:dyDescent="0.25">
      <c r="A22" s="16" t="s">
        <v>48</v>
      </c>
      <c r="B22" s="17" t="s">
        <v>269</v>
      </c>
      <c r="C22" s="25">
        <f t="shared" si="0"/>
        <v>657</v>
      </c>
      <c r="D22" s="25" t="e">
        <f t="shared" si="1"/>
        <v>#NAME?</v>
      </c>
      <c r="E22" s="27" t="e">
        <f t="shared" si="2"/>
        <v>#NAME?</v>
      </c>
      <c r="F22" s="27"/>
      <c r="G22" s="25">
        <f t="shared" si="3"/>
        <v>533</v>
      </c>
      <c r="H22" s="25" t="e">
        <f t="shared" si="4"/>
        <v>#NAME?</v>
      </c>
      <c r="I22" s="27" t="e">
        <f t="shared" si="5"/>
        <v>#NAME?</v>
      </c>
      <c r="J22" s="27"/>
      <c r="K22" s="25">
        <f t="shared" si="6"/>
        <v>0</v>
      </c>
      <c r="L22" s="25" t="e">
        <f t="shared" si="7"/>
        <v>#NAME?</v>
      </c>
      <c r="M22" s="27" t="e">
        <f t="shared" si="8"/>
        <v>#NAME?</v>
      </c>
      <c r="N22" s="39"/>
      <c r="O22" s="36" t="str">
        <f t="shared" si="9"/>
        <v>Central</v>
      </c>
      <c r="P22" s="26" t="e">
        <f t="shared" si="10"/>
        <v>#NAME?</v>
      </c>
      <c r="Q22" s="27" t="e">
        <f t="shared" si="11"/>
        <v>#VALUE!</v>
      </c>
      <c r="R22" s="27"/>
      <c r="S22" s="26">
        <f t="shared" si="12"/>
        <v>1190</v>
      </c>
      <c r="T22" s="26" t="e">
        <f t="shared" si="13"/>
        <v>#NAME?</v>
      </c>
      <c r="U22" s="27" t="e">
        <f t="shared" si="14"/>
        <v>#NAME?</v>
      </c>
      <c r="V22" s="27"/>
      <c r="W22" s="26">
        <f t="shared" si="15"/>
        <v>435</v>
      </c>
      <c r="X22" s="26" t="e">
        <f t="shared" si="16"/>
        <v>#NAME?</v>
      </c>
      <c r="Y22" s="27" t="e">
        <f t="shared" si="17"/>
        <v>#NAME?</v>
      </c>
    </row>
    <row r="23" spans="1:25" ht="16.5" customHeight="1" x14ac:dyDescent="0.25">
      <c r="A23" s="16" t="s">
        <v>50</v>
      </c>
      <c r="B23" s="32" t="s">
        <v>51</v>
      </c>
      <c r="C23" s="25">
        <f t="shared" si="0"/>
        <v>1542</v>
      </c>
      <c r="D23" s="25" t="e">
        <f t="shared" si="1"/>
        <v>#NAME?</v>
      </c>
      <c r="E23" s="27" t="e">
        <f t="shared" si="2"/>
        <v>#NAME?</v>
      </c>
      <c r="F23" s="27"/>
      <c r="G23" s="25">
        <f t="shared" si="3"/>
        <v>1184</v>
      </c>
      <c r="H23" s="25" t="e">
        <f t="shared" si="4"/>
        <v>#NAME?</v>
      </c>
      <c r="I23" s="27" t="e">
        <f t="shared" si="5"/>
        <v>#NAME?</v>
      </c>
      <c r="J23" s="27"/>
      <c r="K23" s="25">
        <f t="shared" si="6"/>
        <v>0</v>
      </c>
      <c r="L23" s="25" t="e">
        <f t="shared" si="7"/>
        <v>#NAME?</v>
      </c>
      <c r="M23" s="27" t="e">
        <f t="shared" si="8"/>
        <v>#NAME?</v>
      </c>
      <c r="N23" s="39"/>
      <c r="O23" s="36" t="str">
        <f t="shared" si="9"/>
        <v>Piedmont</v>
      </c>
      <c r="P23" s="26" t="e">
        <f t="shared" si="10"/>
        <v>#NAME?</v>
      </c>
      <c r="Q23" s="27" t="e">
        <f t="shared" si="11"/>
        <v>#VALUE!</v>
      </c>
      <c r="R23" s="27"/>
      <c r="S23" s="26">
        <f t="shared" si="12"/>
        <v>2726</v>
      </c>
      <c r="T23" s="26" t="e">
        <f t="shared" si="13"/>
        <v>#NAME?</v>
      </c>
      <c r="U23" s="27" t="e">
        <f t="shared" si="14"/>
        <v>#NAME?</v>
      </c>
      <c r="V23" s="27"/>
      <c r="W23" s="26">
        <f t="shared" si="15"/>
        <v>1049</v>
      </c>
      <c r="X23" s="26" t="e">
        <f t="shared" si="16"/>
        <v>#NAME?</v>
      </c>
      <c r="Y23" s="27" t="e">
        <f t="shared" si="17"/>
        <v>#NAME?</v>
      </c>
    </row>
    <row r="24" spans="1:25" ht="16.5" customHeight="1" x14ac:dyDescent="0.25">
      <c r="A24" s="16" t="s">
        <v>56</v>
      </c>
      <c r="B24" s="17" t="s">
        <v>295</v>
      </c>
      <c r="C24" s="25">
        <f t="shared" si="0"/>
        <v>24277</v>
      </c>
      <c r="D24" s="25" t="e">
        <f t="shared" si="1"/>
        <v>#NAME?</v>
      </c>
      <c r="E24" s="27" t="e">
        <f t="shared" si="2"/>
        <v>#NAME?</v>
      </c>
      <c r="F24" s="27"/>
      <c r="G24" s="25">
        <f t="shared" si="3"/>
        <v>17031</v>
      </c>
      <c r="H24" s="25" t="e">
        <f t="shared" si="4"/>
        <v>#NAME?</v>
      </c>
      <c r="I24" s="27" t="e">
        <f t="shared" si="5"/>
        <v>#NAME?</v>
      </c>
      <c r="J24" s="27"/>
      <c r="K24" s="25">
        <f t="shared" si="6"/>
        <v>0</v>
      </c>
      <c r="L24" s="25" t="e">
        <f t="shared" si="7"/>
        <v>#NAME?</v>
      </c>
      <c r="M24" s="27" t="e">
        <f t="shared" si="8"/>
        <v>#NAME?</v>
      </c>
      <c r="N24" s="39"/>
      <c r="O24" s="36" t="str">
        <f t="shared" si="9"/>
        <v>Central</v>
      </c>
      <c r="P24" s="26" t="e">
        <f t="shared" si="10"/>
        <v>#NAME?</v>
      </c>
      <c r="Q24" s="27" t="e">
        <f t="shared" si="11"/>
        <v>#VALUE!</v>
      </c>
      <c r="R24" s="27"/>
      <c r="S24" s="26">
        <f t="shared" si="12"/>
        <v>41308</v>
      </c>
      <c r="T24" s="26" t="e">
        <f t="shared" si="13"/>
        <v>#NAME?</v>
      </c>
      <c r="U24" s="27" t="e">
        <f t="shared" si="14"/>
        <v>#NAME?</v>
      </c>
      <c r="V24" s="27"/>
      <c r="W24" s="26">
        <f t="shared" si="15"/>
        <v>20767</v>
      </c>
      <c r="X24" s="26" t="e">
        <f t="shared" si="16"/>
        <v>#NAME?</v>
      </c>
      <c r="Y24" s="27" t="e">
        <f t="shared" si="17"/>
        <v>#NAME?</v>
      </c>
    </row>
    <row r="25" spans="1:25" ht="16.5" customHeight="1" x14ac:dyDescent="0.25">
      <c r="A25" s="16" t="s">
        <v>58</v>
      </c>
      <c r="B25" s="17" t="s">
        <v>59</v>
      </c>
      <c r="C25" s="25">
        <f t="shared" si="0"/>
        <v>418</v>
      </c>
      <c r="D25" s="25" t="e">
        <f t="shared" si="1"/>
        <v>#NAME?</v>
      </c>
      <c r="E25" s="27" t="e">
        <f t="shared" si="2"/>
        <v>#NAME?</v>
      </c>
      <c r="F25" s="27"/>
      <c r="G25" s="25">
        <f t="shared" si="3"/>
        <v>305</v>
      </c>
      <c r="H25" s="25" t="e">
        <f t="shared" si="4"/>
        <v>#NAME?</v>
      </c>
      <c r="I25" s="27" t="e">
        <f t="shared" si="5"/>
        <v>#NAME?</v>
      </c>
      <c r="J25" s="27"/>
      <c r="K25" s="25">
        <f t="shared" si="6"/>
        <v>0</v>
      </c>
      <c r="L25" s="25" t="e">
        <f t="shared" si="7"/>
        <v>#NAME?</v>
      </c>
      <c r="M25" s="27" t="e">
        <f t="shared" si="8"/>
        <v>#NAME?</v>
      </c>
      <c r="N25" s="39"/>
      <c r="O25" s="36" t="str">
        <f t="shared" si="9"/>
        <v>Northern</v>
      </c>
      <c r="P25" s="26" t="e">
        <f t="shared" si="10"/>
        <v>#NAME?</v>
      </c>
      <c r="Q25" s="27" t="e">
        <f t="shared" si="11"/>
        <v>#VALUE!</v>
      </c>
      <c r="R25" s="27"/>
      <c r="S25" s="26">
        <f t="shared" si="12"/>
        <v>723</v>
      </c>
      <c r="T25" s="26" t="e">
        <f t="shared" si="13"/>
        <v>#NAME?</v>
      </c>
      <c r="U25" s="27" t="e">
        <f t="shared" si="14"/>
        <v>#NAME?</v>
      </c>
      <c r="V25" s="27"/>
      <c r="W25" s="26">
        <f t="shared" si="15"/>
        <v>291</v>
      </c>
      <c r="X25" s="26" t="e">
        <f t="shared" si="16"/>
        <v>#NAME?</v>
      </c>
      <c r="Y25" s="27" t="e">
        <f t="shared" si="17"/>
        <v>#NAME?</v>
      </c>
    </row>
    <row r="26" spans="1:25" ht="16.5" customHeight="1" x14ac:dyDescent="0.25">
      <c r="A26" s="16" t="s">
        <v>60</v>
      </c>
      <c r="B26" s="17" t="s">
        <v>61</v>
      </c>
      <c r="C26" s="25">
        <f t="shared" si="0"/>
        <v>439</v>
      </c>
      <c r="D26" s="25" t="e">
        <f t="shared" si="1"/>
        <v>#NAME?</v>
      </c>
      <c r="E26" s="27" t="e">
        <f t="shared" si="2"/>
        <v>#NAME?</v>
      </c>
      <c r="F26" s="27"/>
      <c r="G26" s="25">
        <f t="shared" si="3"/>
        <v>377</v>
      </c>
      <c r="H26" s="25" t="e">
        <f t="shared" si="4"/>
        <v>#NAME?</v>
      </c>
      <c r="I26" s="27" t="e">
        <f t="shared" si="5"/>
        <v>#NAME?</v>
      </c>
      <c r="J26" s="27"/>
      <c r="K26" s="25">
        <f t="shared" si="6"/>
        <v>0</v>
      </c>
      <c r="L26" s="25" t="e">
        <f t="shared" si="7"/>
        <v>#NAME?</v>
      </c>
      <c r="M26" s="27" t="e">
        <f t="shared" si="8"/>
        <v>#NAME?</v>
      </c>
      <c r="N26" s="39"/>
      <c r="O26" s="36" t="str">
        <f t="shared" si="9"/>
        <v>Piedmont</v>
      </c>
      <c r="P26" s="26" t="e">
        <f t="shared" si="10"/>
        <v>#NAME?</v>
      </c>
      <c r="Q26" s="27" t="e">
        <f t="shared" si="11"/>
        <v>#VALUE!</v>
      </c>
      <c r="R26" s="27"/>
      <c r="S26" s="26">
        <f t="shared" si="12"/>
        <v>816</v>
      </c>
      <c r="T26" s="26" t="e">
        <f t="shared" si="13"/>
        <v>#NAME?</v>
      </c>
      <c r="U26" s="27" t="e">
        <f t="shared" si="14"/>
        <v>#NAME?</v>
      </c>
      <c r="V26" s="27"/>
      <c r="W26" s="26">
        <f t="shared" si="15"/>
        <v>307</v>
      </c>
      <c r="X26" s="26" t="e">
        <f t="shared" si="16"/>
        <v>#NAME?</v>
      </c>
      <c r="Y26" s="27" t="e">
        <f t="shared" si="17"/>
        <v>#NAME?</v>
      </c>
    </row>
    <row r="27" spans="1:25" ht="16.5" customHeight="1" x14ac:dyDescent="0.25">
      <c r="A27" s="16" t="s">
        <v>62</v>
      </c>
      <c r="B27" s="17" t="s">
        <v>63</v>
      </c>
      <c r="C27" s="25">
        <f t="shared" si="0"/>
        <v>3859</v>
      </c>
      <c r="D27" s="25" t="e">
        <f t="shared" si="1"/>
        <v>#NAME?</v>
      </c>
      <c r="E27" s="27" t="e">
        <f t="shared" si="2"/>
        <v>#NAME?</v>
      </c>
      <c r="F27" s="27"/>
      <c r="G27" s="25">
        <f t="shared" si="3"/>
        <v>2871</v>
      </c>
      <c r="H27" s="25" t="e">
        <f t="shared" si="4"/>
        <v>#NAME?</v>
      </c>
      <c r="I27" s="27" t="e">
        <f t="shared" si="5"/>
        <v>#NAME?</v>
      </c>
      <c r="J27" s="27"/>
      <c r="K27" s="25">
        <f t="shared" si="6"/>
        <v>0</v>
      </c>
      <c r="L27" s="25" t="e">
        <f t="shared" si="7"/>
        <v>#NAME?</v>
      </c>
      <c r="M27" s="27" t="e">
        <f t="shared" si="8"/>
        <v>#NAME?</v>
      </c>
      <c r="N27" s="39"/>
      <c r="O27" s="36" t="str">
        <f t="shared" si="9"/>
        <v>Northern</v>
      </c>
      <c r="P27" s="26" t="e">
        <f t="shared" si="10"/>
        <v>#NAME?</v>
      </c>
      <c r="Q27" s="27" t="e">
        <f t="shared" si="11"/>
        <v>#VALUE!</v>
      </c>
      <c r="R27" s="27"/>
      <c r="S27" s="26">
        <f t="shared" si="12"/>
        <v>6730</v>
      </c>
      <c r="T27" s="26" t="e">
        <f t="shared" si="13"/>
        <v>#NAME?</v>
      </c>
      <c r="U27" s="27" t="e">
        <f t="shared" si="14"/>
        <v>#NAME?</v>
      </c>
      <c r="V27" s="27"/>
      <c r="W27" s="26">
        <f t="shared" si="15"/>
        <v>3203</v>
      </c>
      <c r="X27" s="26" t="e">
        <f t="shared" si="16"/>
        <v>#NAME?</v>
      </c>
      <c r="Y27" s="27" t="e">
        <f t="shared" si="17"/>
        <v>#NAME?</v>
      </c>
    </row>
    <row r="28" spans="1:25" ht="16.5" customHeight="1" x14ac:dyDescent="0.25">
      <c r="A28" s="16" t="s">
        <v>64</v>
      </c>
      <c r="B28" s="17" t="s">
        <v>65</v>
      </c>
      <c r="C28" s="25">
        <f t="shared" si="0"/>
        <v>1431</v>
      </c>
      <c r="D28" s="25" t="e">
        <f t="shared" si="1"/>
        <v>#NAME?</v>
      </c>
      <c r="E28" s="27" t="e">
        <f t="shared" si="2"/>
        <v>#NAME?</v>
      </c>
      <c r="F28" s="27"/>
      <c r="G28" s="25">
        <f t="shared" si="3"/>
        <v>1044</v>
      </c>
      <c r="H28" s="25" t="e">
        <f t="shared" si="4"/>
        <v>#NAME?</v>
      </c>
      <c r="I28" s="27" t="e">
        <f t="shared" si="5"/>
        <v>#NAME?</v>
      </c>
      <c r="J28" s="27"/>
      <c r="K28" s="25">
        <f t="shared" si="6"/>
        <v>0</v>
      </c>
      <c r="L28" s="25" t="e">
        <f t="shared" si="7"/>
        <v>#NAME?</v>
      </c>
      <c r="M28" s="27" t="e">
        <f t="shared" si="8"/>
        <v>#NAME?</v>
      </c>
      <c r="N28" s="39"/>
      <c r="O28" s="36" t="str">
        <f t="shared" si="9"/>
        <v>Central</v>
      </c>
      <c r="P28" s="26" t="e">
        <f t="shared" si="10"/>
        <v>#NAME?</v>
      </c>
      <c r="Q28" s="27" t="e">
        <f t="shared" si="11"/>
        <v>#VALUE!</v>
      </c>
      <c r="R28" s="27"/>
      <c r="S28" s="26">
        <f t="shared" si="12"/>
        <v>2475</v>
      </c>
      <c r="T28" s="26" t="e">
        <f t="shared" si="13"/>
        <v>#NAME?</v>
      </c>
      <c r="U28" s="27" t="e">
        <f t="shared" si="14"/>
        <v>#NAME?</v>
      </c>
      <c r="V28" s="27"/>
      <c r="W28" s="26">
        <f t="shared" si="15"/>
        <v>994</v>
      </c>
      <c r="X28" s="26" t="e">
        <f t="shared" si="16"/>
        <v>#NAME?</v>
      </c>
      <c r="Y28" s="27" t="e">
        <f t="shared" si="17"/>
        <v>#NAME?</v>
      </c>
    </row>
    <row r="29" spans="1:25" ht="16.5" customHeight="1" x14ac:dyDescent="0.25">
      <c r="A29" s="16" t="s">
        <v>68</v>
      </c>
      <c r="B29" s="17" t="s">
        <v>69</v>
      </c>
      <c r="C29" s="25">
        <f t="shared" si="0"/>
        <v>2193</v>
      </c>
      <c r="D29" s="25" t="e">
        <f t="shared" si="1"/>
        <v>#NAME?</v>
      </c>
      <c r="E29" s="27" t="e">
        <f t="shared" si="2"/>
        <v>#NAME?</v>
      </c>
      <c r="F29" s="27"/>
      <c r="G29" s="25">
        <f t="shared" si="3"/>
        <v>1889</v>
      </c>
      <c r="H29" s="25" t="e">
        <f t="shared" si="4"/>
        <v>#NAME?</v>
      </c>
      <c r="I29" s="27" t="e">
        <f t="shared" si="5"/>
        <v>#NAME?</v>
      </c>
      <c r="J29" s="27"/>
      <c r="K29" s="25">
        <f t="shared" si="6"/>
        <v>0</v>
      </c>
      <c r="L29" s="25" t="e">
        <f t="shared" si="7"/>
        <v>#NAME?</v>
      </c>
      <c r="M29" s="27" t="e">
        <f t="shared" si="8"/>
        <v>#NAME?</v>
      </c>
      <c r="N29" s="39"/>
      <c r="O29" s="36" t="str">
        <f t="shared" si="9"/>
        <v>Western</v>
      </c>
      <c r="P29" s="26" t="e">
        <f t="shared" si="10"/>
        <v>#NAME?</v>
      </c>
      <c r="Q29" s="27" t="e">
        <f t="shared" si="11"/>
        <v>#VALUE!</v>
      </c>
      <c r="R29" s="27"/>
      <c r="S29" s="26">
        <f t="shared" si="12"/>
        <v>4082</v>
      </c>
      <c r="T29" s="26" t="e">
        <f t="shared" si="13"/>
        <v>#NAME?</v>
      </c>
      <c r="U29" s="27" t="e">
        <f t="shared" si="14"/>
        <v>#NAME?</v>
      </c>
      <c r="V29" s="27"/>
      <c r="W29" s="26">
        <f t="shared" si="15"/>
        <v>1375</v>
      </c>
      <c r="X29" s="26" t="e">
        <f t="shared" si="16"/>
        <v>#NAME?</v>
      </c>
      <c r="Y29" s="27" t="e">
        <f t="shared" si="17"/>
        <v>#NAME?</v>
      </c>
    </row>
    <row r="30" spans="1:25" ht="16.5" customHeight="1" x14ac:dyDescent="0.25">
      <c r="A30" s="16" t="s">
        <v>70</v>
      </c>
      <c r="B30" s="32" t="s">
        <v>71</v>
      </c>
      <c r="C30" s="25">
        <f t="shared" si="0"/>
        <v>3199</v>
      </c>
      <c r="D30" s="25" t="e">
        <f t="shared" si="1"/>
        <v>#NAME?</v>
      </c>
      <c r="E30" s="27" t="e">
        <f t="shared" si="2"/>
        <v>#NAME?</v>
      </c>
      <c r="F30" s="27"/>
      <c r="G30" s="25">
        <f t="shared" si="3"/>
        <v>2274</v>
      </c>
      <c r="H30" s="25" t="e">
        <f t="shared" si="4"/>
        <v>#NAME?</v>
      </c>
      <c r="I30" s="27" t="e">
        <f t="shared" si="5"/>
        <v>#NAME?</v>
      </c>
      <c r="J30" s="27"/>
      <c r="K30" s="25">
        <f t="shared" si="6"/>
        <v>0</v>
      </c>
      <c r="L30" s="25" t="e">
        <f t="shared" si="7"/>
        <v>#NAME?</v>
      </c>
      <c r="M30" s="27" t="e">
        <f t="shared" si="8"/>
        <v>#NAME?</v>
      </c>
      <c r="N30" s="39"/>
      <c r="O30" s="36" t="str">
        <f t="shared" si="9"/>
        <v>Eastern</v>
      </c>
      <c r="P30" s="26" t="e">
        <f t="shared" si="10"/>
        <v>#NAME?</v>
      </c>
      <c r="Q30" s="27" t="e">
        <f t="shared" si="11"/>
        <v>#VALUE!</v>
      </c>
      <c r="R30" s="27"/>
      <c r="S30" s="26">
        <f t="shared" si="12"/>
        <v>5473</v>
      </c>
      <c r="T30" s="26" t="e">
        <f t="shared" si="13"/>
        <v>#NAME?</v>
      </c>
      <c r="U30" s="27" t="e">
        <f t="shared" si="14"/>
        <v>#NAME?</v>
      </c>
      <c r="V30" s="27"/>
      <c r="W30" s="26">
        <f t="shared" si="15"/>
        <v>2340</v>
      </c>
      <c r="X30" s="26" t="e">
        <f t="shared" si="16"/>
        <v>#NAME?</v>
      </c>
      <c r="Y30" s="27" t="e">
        <f t="shared" si="17"/>
        <v>#NAME?</v>
      </c>
    </row>
    <row r="31" spans="1:25" ht="16.5" customHeight="1" x14ac:dyDescent="0.25">
      <c r="A31" s="16" t="s">
        <v>72</v>
      </c>
      <c r="B31" s="32" t="s">
        <v>73</v>
      </c>
      <c r="C31" s="25">
        <f t="shared" si="0"/>
        <v>1628</v>
      </c>
      <c r="D31" s="25" t="e">
        <f t="shared" si="1"/>
        <v>#NAME?</v>
      </c>
      <c r="E31" s="27" t="e">
        <f t="shared" si="2"/>
        <v>#NAME?</v>
      </c>
      <c r="F31" s="27"/>
      <c r="G31" s="25">
        <f t="shared" si="3"/>
        <v>1111</v>
      </c>
      <c r="H31" s="25" t="e">
        <f t="shared" si="4"/>
        <v>#NAME?</v>
      </c>
      <c r="I31" s="27" t="e">
        <f t="shared" si="5"/>
        <v>#NAME?</v>
      </c>
      <c r="J31" s="27"/>
      <c r="K31" s="25">
        <f t="shared" si="6"/>
        <v>0</v>
      </c>
      <c r="L31" s="25" t="e">
        <f t="shared" si="7"/>
        <v>#NAME?</v>
      </c>
      <c r="M31" s="27" t="e">
        <f t="shared" si="8"/>
        <v>#NAME?</v>
      </c>
      <c r="N31" s="39"/>
      <c r="O31" s="36" t="str">
        <f t="shared" si="9"/>
        <v>Central</v>
      </c>
      <c r="P31" s="26" t="e">
        <f t="shared" si="10"/>
        <v>#NAME?</v>
      </c>
      <c r="Q31" s="27" t="e">
        <f t="shared" si="11"/>
        <v>#VALUE!</v>
      </c>
      <c r="R31" s="27"/>
      <c r="S31" s="26">
        <f t="shared" si="12"/>
        <v>2739</v>
      </c>
      <c r="T31" s="26" t="e">
        <f t="shared" si="13"/>
        <v>#NAME?</v>
      </c>
      <c r="U31" s="27" t="e">
        <f t="shared" si="14"/>
        <v>#NAME?</v>
      </c>
      <c r="V31" s="27"/>
      <c r="W31" s="26">
        <f t="shared" si="15"/>
        <v>1206</v>
      </c>
      <c r="X31" s="26" t="e">
        <f t="shared" si="16"/>
        <v>#NAME?</v>
      </c>
      <c r="Y31" s="27" t="e">
        <f t="shared" si="17"/>
        <v>#NAME?</v>
      </c>
    </row>
    <row r="32" spans="1:25" ht="16.5" customHeight="1" x14ac:dyDescent="0.25">
      <c r="A32" s="16" t="s">
        <v>74</v>
      </c>
      <c r="B32" s="17" t="s">
        <v>302</v>
      </c>
      <c r="C32" s="25">
        <f t="shared" si="0"/>
        <v>35538</v>
      </c>
      <c r="D32" s="25" t="e">
        <f t="shared" si="1"/>
        <v>#NAME?</v>
      </c>
      <c r="E32" s="27" t="e">
        <f t="shared" si="2"/>
        <v>#NAME?</v>
      </c>
      <c r="F32" s="27"/>
      <c r="G32" s="25">
        <f t="shared" si="3"/>
        <v>27754</v>
      </c>
      <c r="H32" s="25" t="e">
        <f t="shared" si="4"/>
        <v>#NAME?</v>
      </c>
      <c r="I32" s="27" t="e">
        <f t="shared" si="5"/>
        <v>#NAME?</v>
      </c>
      <c r="J32" s="27"/>
      <c r="K32" s="25">
        <f t="shared" si="6"/>
        <v>0</v>
      </c>
      <c r="L32" s="25" t="e">
        <f t="shared" si="7"/>
        <v>#NAME?</v>
      </c>
      <c r="M32" s="27" t="e">
        <f t="shared" si="8"/>
        <v>#NAME?</v>
      </c>
      <c r="N32" s="39"/>
      <c r="O32" s="36" t="str">
        <f t="shared" si="9"/>
        <v>Northern</v>
      </c>
      <c r="P32" s="26" t="e">
        <f t="shared" si="10"/>
        <v>#NAME?</v>
      </c>
      <c r="Q32" s="27" t="e">
        <f t="shared" si="11"/>
        <v>#VALUE!</v>
      </c>
      <c r="R32" s="27"/>
      <c r="S32" s="26">
        <f t="shared" si="12"/>
        <v>63292</v>
      </c>
      <c r="T32" s="26" t="e">
        <f t="shared" si="13"/>
        <v>#NAME?</v>
      </c>
      <c r="U32" s="27" t="e">
        <f t="shared" si="14"/>
        <v>#NAME?</v>
      </c>
      <c r="V32" s="27"/>
      <c r="W32" s="26">
        <f t="shared" si="15"/>
        <v>32779</v>
      </c>
      <c r="X32" s="26" t="e">
        <f t="shared" si="16"/>
        <v>#NAME?</v>
      </c>
      <c r="Y32" s="27" t="e">
        <f t="shared" si="17"/>
        <v>#NAME?</v>
      </c>
    </row>
    <row r="33" spans="1:25" ht="16.5" customHeight="1" x14ac:dyDescent="0.25">
      <c r="A33" s="16" t="s">
        <v>76</v>
      </c>
      <c r="B33" s="17" t="s">
        <v>77</v>
      </c>
      <c r="C33" s="25">
        <f t="shared" si="0"/>
        <v>2613</v>
      </c>
      <c r="D33" s="25" t="e">
        <f t="shared" si="1"/>
        <v>#NAME?</v>
      </c>
      <c r="E33" s="27" t="e">
        <f t="shared" si="2"/>
        <v>#NAME?</v>
      </c>
      <c r="F33" s="27"/>
      <c r="G33" s="25">
        <f t="shared" si="3"/>
        <v>1946</v>
      </c>
      <c r="H33" s="25" t="e">
        <f t="shared" si="4"/>
        <v>#NAME?</v>
      </c>
      <c r="I33" s="27" t="e">
        <f t="shared" si="5"/>
        <v>#NAME?</v>
      </c>
      <c r="J33" s="27"/>
      <c r="K33" s="25">
        <f t="shared" si="6"/>
        <v>0</v>
      </c>
      <c r="L33" s="25" t="e">
        <f t="shared" si="7"/>
        <v>#NAME?</v>
      </c>
      <c r="M33" s="27" t="e">
        <f t="shared" si="8"/>
        <v>#NAME?</v>
      </c>
      <c r="N33" s="39"/>
      <c r="O33" s="36" t="str">
        <f t="shared" si="9"/>
        <v>Northern</v>
      </c>
      <c r="P33" s="26" t="e">
        <f t="shared" si="10"/>
        <v>#NAME?</v>
      </c>
      <c r="Q33" s="27" t="e">
        <f t="shared" si="11"/>
        <v>#VALUE!</v>
      </c>
      <c r="R33" s="27"/>
      <c r="S33" s="26">
        <f t="shared" si="12"/>
        <v>4559</v>
      </c>
      <c r="T33" s="26" t="e">
        <f t="shared" si="13"/>
        <v>#NAME?</v>
      </c>
      <c r="U33" s="27" t="e">
        <f t="shared" si="14"/>
        <v>#NAME?</v>
      </c>
      <c r="V33" s="27"/>
      <c r="W33" s="26">
        <f t="shared" si="15"/>
        <v>2056</v>
      </c>
      <c r="X33" s="26" t="e">
        <f t="shared" si="16"/>
        <v>#NAME?</v>
      </c>
      <c r="Y33" s="27" t="e">
        <f t="shared" si="17"/>
        <v>#NAME?</v>
      </c>
    </row>
    <row r="34" spans="1:25" ht="16.5" customHeight="1" x14ac:dyDescent="0.25">
      <c r="A34" s="16" t="s">
        <v>78</v>
      </c>
      <c r="B34" s="32" t="s">
        <v>79</v>
      </c>
      <c r="C34" s="25">
        <f t="shared" si="0"/>
        <v>1374</v>
      </c>
      <c r="D34" s="25" t="e">
        <f t="shared" si="1"/>
        <v>#NAME?</v>
      </c>
      <c r="E34" s="27" t="e">
        <f t="shared" si="2"/>
        <v>#NAME?</v>
      </c>
      <c r="F34" s="27"/>
      <c r="G34" s="25">
        <f t="shared" si="3"/>
        <v>1184</v>
      </c>
      <c r="H34" s="25" t="e">
        <f t="shared" si="4"/>
        <v>#NAME?</v>
      </c>
      <c r="I34" s="27" t="e">
        <f t="shared" si="5"/>
        <v>#NAME?</v>
      </c>
      <c r="J34" s="27"/>
      <c r="K34" s="25">
        <f t="shared" si="6"/>
        <v>0</v>
      </c>
      <c r="L34" s="25" t="e">
        <f t="shared" si="7"/>
        <v>#NAME?</v>
      </c>
      <c r="M34" s="27" t="e">
        <f t="shared" si="8"/>
        <v>#NAME?</v>
      </c>
      <c r="N34" s="39"/>
      <c r="O34" s="36" t="str">
        <f t="shared" si="9"/>
        <v>Western</v>
      </c>
      <c r="P34" s="26" t="e">
        <f t="shared" si="10"/>
        <v>#NAME?</v>
      </c>
      <c r="Q34" s="27" t="e">
        <f t="shared" si="11"/>
        <v>#VALUE!</v>
      </c>
      <c r="R34" s="27"/>
      <c r="S34" s="26">
        <f t="shared" si="12"/>
        <v>2558</v>
      </c>
      <c r="T34" s="26" t="e">
        <f t="shared" si="13"/>
        <v>#NAME?</v>
      </c>
      <c r="U34" s="27" t="e">
        <f t="shared" si="14"/>
        <v>#NAME?</v>
      </c>
      <c r="V34" s="27"/>
      <c r="W34" s="26">
        <f t="shared" si="15"/>
        <v>1047</v>
      </c>
      <c r="X34" s="26" t="e">
        <f t="shared" si="16"/>
        <v>#NAME?</v>
      </c>
      <c r="Y34" s="27" t="e">
        <f t="shared" si="17"/>
        <v>#NAME?</v>
      </c>
    </row>
    <row r="35" spans="1:25" ht="16.5" customHeight="1" x14ac:dyDescent="0.25">
      <c r="A35" s="16" t="s">
        <v>80</v>
      </c>
      <c r="B35" s="17" t="s">
        <v>81</v>
      </c>
      <c r="C35" s="25">
        <f t="shared" si="0"/>
        <v>1306</v>
      </c>
      <c r="D35" s="25" t="e">
        <f t="shared" si="1"/>
        <v>#NAME?</v>
      </c>
      <c r="E35" s="27" t="e">
        <f t="shared" si="2"/>
        <v>#NAME?</v>
      </c>
      <c r="F35" s="27"/>
      <c r="G35" s="25">
        <f t="shared" si="3"/>
        <v>993</v>
      </c>
      <c r="H35" s="25" t="e">
        <f t="shared" si="4"/>
        <v>#NAME?</v>
      </c>
      <c r="I35" s="27" t="e">
        <f t="shared" si="5"/>
        <v>#NAME?</v>
      </c>
      <c r="J35" s="27"/>
      <c r="K35" s="25">
        <f t="shared" si="6"/>
        <v>0</v>
      </c>
      <c r="L35" s="25" t="e">
        <f t="shared" si="7"/>
        <v>#NAME?</v>
      </c>
      <c r="M35" s="27" t="e">
        <f t="shared" si="8"/>
        <v>#NAME?</v>
      </c>
      <c r="N35" s="39"/>
      <c r="O35" s="36" t="str">
        <f t="shared" si="9"/>
        <v>Central</v>
      </c>
      <c r="P35" s="26" t="e">
        <f t="shared" si="10"/>
        <v>#NAME?</v>
      </c>
      <c r="Q35" s="27" t="e">
        <f t="shared" si="11"/>
        <v>#VALUE!</v>
      </c>
      <c r="R35" s="27"/>
      <c r="S35" s="26">
        <f t="shared" si="12"/>
        <v>2299</v>
      </c>
      <c r="T35" s="26" t="e">
        <f t="shared" si="13"/>
        <v>#NAME?</v>
      </c>
      <c r="U35" s="27" t="e">
        <f t="shared" si="14"/>
        <v>#NAME?</v>
      </c>
      <c r="V35" s="27"/>
      <c r="W35" s="26">
        <f t="shared" si="15"/>
        <v>1042</v>
      </c>
      <c r="X35" s="26" t="e">
        <f t="shared" si="16"/>
        <v>#NAME?</v>
      </c>
      <c r="Y35" s="27" t="e">
        <f t="shared" si="17"/>
        <v>#NAME?</v>
      </c>
    </row>
    <row r="36" spans="1:25" ht="16.5" customHeight="1" x14ac:dyDescent="0.25">
      <c r="A36" s="16" t="s">
        <v>84</v>
      </c>
      <c r="B36" s="32" t="s">
        <v>308</v>
      </c>
      <c r="C36" s="25">
        <f t="shared" ref="C36:C67" si="18">VLOOKUP(A36,SNAPClient_Demo,10,FALSE)</f>
        <v>4958</v>
      </c>
      <c r="D36" s="25" t="e">
        <f t="shared" ref="D36:D67" si="19">VLOOKUP(A36,Pop,14,FALSE)</f>
        <v>#NAME?</v>
      </c>
      <c r="E36" s="27" t="e">
        <f t="shared" ref="E36:E67" si="20">+C36/D36</f>
        <v>#NAME?</v>
      </c>
      <c r="F36" s="27"/>
      <c r="G36" s="25">
        <f t="shared" ref="G36:G67" si="21">VLOOKUP(A36,SNAPClient_Demo,11,FALSE)</f>
        <v>3826</v>
      </c>
      <c r="H36" s="25" t="e">
        <f t="shared" ref="H36:H67" si="22">VLOOKUP(A36,Pop,15,FALSE)</f>
        <v>#NAME?</v>
      </c>
      <c r="I36" s="27" t="e">
        <f t="shared" ref="I36:I67" si="23">+G36/H36</f>
        <v>#NAME?</v>
      </c>
      <c r="J36" s="27"/>
      <c r="K36" s="25">
        <f t="shared" ref="K36:K67" si="24">VLOOKUP(A36,SNAPClient_Demo,12,FALSE)</f>
        <v>0</v>
      </c>
      <c r="L36" s="25" t="e">
        <f t="shared" ref="L36:L67" si="25">VLOOKUP(A36,Pop,16,FALSE)</f>
        <v>#NAME?</v>
      </c>
      <c r="M36" s="27" t="e">
        <f t="shared" ref="M36:M67" si="26">+K36/L36</f>
        <v>#NAME?</v>
      </c>
      <c r="N36" s="39"/>
      <c r="O36" s="36" t="str">
        <f t="shared" ref="O36:O67" si="27">VLOOKUP(A36,SNAPClient_Demo,3,FALSE)</f>
        <v>Piedmont</v>
      </c>
      <c r="P36" s="26" t="e">
        <f t="shared" ref="P36:P67" si="28">VLOOKUP(A36,Pop,8,FALSE)</f>
        <v>#NAME?</v>
      </c>
      <c r="Q36" s="27" t="e">
        <f t="shared" ref="Q36:Q67" si="29">+O36/P36</f>
        <v>#VALUE!</v>
      </c>
      <c r="R36" s="27"/>
      <c r="S36" s="26">
        <f t="shared" ref="S36:S67" si="30">VLOOKUP(A36,SNAPClient_Demo,4,FALSE)</f>
        <v>8784</v>
      </c>
      <c r="T36" s="26" t="e">
        <f t="shared" ref="T36:T67" si="31">VLOOKUP(A36,Pop,9,FALSE)</f>
        <v>#NAME?</v>
      </c>
      <c r="U36" s="27" t="e">
        <f t="shared" ref="U36:U67" si="32">+S36/T36</f>
        <v>#NAME?</v>
      </c>
      <c r="V36" s="27"/>
      <c r="W36" s="26">
        <f t="shared" ref="W36:W67" si="33">VLOOKUP(A36,SNAPClient_Demo,5,FALSE)</f>
        <v>3722</v>
      </c>
      <c r="X36" s="26" t="e">
        <f t="shared" ref="X36:X67" si="34">VLOOKUP(A36,Pop,10,FALSE)</f>
        <v>#NAME?</v>
      </c>
      <c r="Y36" s="27" t="e">
        <f t="shared" ref="Y36:Y67" si="35">+W36/X36</f>
        <v>#NAME?</v>
      </c>
    </row>
    <row r="37" spans="1:25" ht="16.5" customHeight="1" x14ac:dyDescent="0.25">
      <c r="A37" s="16" t="s">
        <v>86</v>
      </c>
      <c r="B37" s="17" t="s">
        <v>87</v>
      </c>
      <c r="C37" s="25">
        <f t="shared" si="18"/>
        <v>4281</v>
      </c>
      <c r="D37" s="25" t="e">
        <f t="shared" si="19"/>
        <v>#NAME?</v>
      </c>
      <c r="E37" s="27" t="e">
        <f t="shared" si="20"/>
        <v>#NAME?</v>
      </c>
      <c r="F37" s="27"/>
      <c r="G37" s="25">
        <f t="shared" si="21"/>
        <v>3205</v>
      </c>
      <c r="H37" s="25" t="e">
        <f t="shared" si="22"/>
        <v>#NAME?</v>
      </c>
      <c r="I37" s="27" t="e">
        <f t="shared" si="23"/>
        <v>#NAME?</v>
      </c>
      <c r="J37" s="27"/>
      <c r="K37" s="25">
        <f t="shared" si="24"/>
        <v>0</v>
      </c>
      <c r="L37" s="25" t="e">
        <f t="shared" si="25"/>
        <v>#NAME?</v>
      </c>
      <c r="M37" s="27" t="e">
        <f t="shared" si="26"/>
        <v>#NAME?</v>
      </c>
      <c r="N37" s="39"/>
      <c r="O37" s="36" t="str">
        <f t="shared" si="27"/>
        <v>Northern</v>
      </c>
      <c r="P37" s="26" t="e">
        <f t="shared" si="28"/>
        <v>#NAME?</v>
      </c>
      <c r="Q37" s="27" t="e">
        <f t="shared" si="29"/>
        <v>#VALUE!</v>
      </c>
      <c r="R37" s="27"/>
      <c r="S37" s="26">
        <f t="shared" si="30"/>
        <v>7486</v>
      </c>
      <c r="T37" s="26" t="e">
        <f t="shared" si="31"/>
        <v>#NAME?</v>
      </c>
      <c r="U37" s="27" t="e">
        <f t="shared" si="32"/>
        <v>#NAME?</v>
      </c>
      <c r="V37" s="27"/>
      <c r="W37" s="26">
        <f t="shared" si="33"/>
        <v>3651</v>
      </c>
      <c r="X37" s="26" t="e">
        <f t="shared" si="34"/>
        <v>#NAME?</v>
      </c>
      <c r="Y37" s="27" t="e">
        <f t="shared" si="35"/>
        <v>#NAME?</v>
      </c>
    </row>
    <row r="38" spans="1:25" ht="16.5" customHeight="1" x14ac:dyDescent="0.25">
      <c r="A38" s="16" t="s">
        <v>92</v>
      </c>
      <c r="B38" s="17" t="s">
        <v>93</v>
      </c>
      <c r="C38" s="25">
        <f t="shared" si="18"/>
        <v>1608</v>
      </c>
      <c r="D38" s="25" t="e">
        <f t="shared" si="19"/>
        <v>#NAME?</v>
      </c>
      <c r="E38" s="27" t="e">
        <f t="shared" si="20"/>
        <v>#NAME?</v>
      </c>
      <c r="F38" s="27"/>
      <c r="G38" s="25">
        <f t="shared" si="21"/>
        <v>1312</v>
      </c>
      <c r="H38" s="25" t="e">
        <f t="shared" si="22"/>
        <v>#NAME?</v>
      </c>
      <c r="I38" s="27" t="e">
        <f t="shared" si="23"/>
        <v>#NAME?</v>
      </c>
      <c r="J38" s="27"/>
      <c r="K38" s="25">
        <f t="shared" si="24"/>
        <v>0</v>
      </c>
      <c r="L38" s="25" t="e">
        <f t="shared" si="25"/>
        <v>#NAME?</v>
      </c>
      <c r="M38" s="27" t="e">
        <f t="shared" si="26"/>
        <v>#NAME?</v>
      </c>
      <c r="N38" s="39"/>
      <c r="O38" s="36" t="str">
        <f t="shared" si="27"/>
        <v>Western</v>
      </c>
      <c r="P38" s="26" t="e">
        <f t="shared" si="28"/>
        <v>#NAME?</v>
      </c>
      <c r="Q38" s="27" t="e">
        <f t="shared" si="29"/>
        <v>#VALUE!</v>
      </c>
      <c r="R38" s="27"/>
      <c r="S38" s="26">
        <f t="shared" si="30"/>
        <v>2920</v>
      </c>
      <c r="T38" s="26" t="e">
        <f t="shared" si="31"/>
        <v>#NAME?</v>
      </c>
      <c r="U38" s="27" t="e">
        <f t="shared" si="32"/>
        <v>#NAME?</v>
      </c>
      <c r="V38" s="27"/>
      <c r="W38" s="26">
        <f t="shared" si="33"/>
        <v>1134</v>
      </c>
      <c r="X38" s="26" t="e">
        <f t="shared" si="34"/>
        <v>#NAME?</v>
      </c>
      <c r="Y38" s="27" t="e">
        <f t="shared" si="35"/>
        <v>#NAME?</v>
      </c>
    </row>
    <row r="39" spans="1:25" ht="16.5" customHeight="1" x14ac:dyDescent="0.25">
      <c r="A39" s="16" t="s">
        <v>94</v>
      </c>
      <c r="B39" s="17" t="s">
        <v>95</v>
      </c>
      <c r="C39" s="25">
        <f t="shared" si="18"/>
        <v>2647</v>
      </c>
      <c r="D39" s="25" t="e">
        <f t="shared" si="19"/>
        <v>#NAME?</v>
      </c>
      <c r="E39" s="27" t="e">
        <f t="shared" si="20"/>
        <v>#NAME?</v>
      </c>
      <c r="F39" s="27"/>
      <c r="G39" s="25">
        <f t="shared" si="21"/>
        <v>2077</v>
      </c>
      <c r="H39" s="25" t="e">
        <f t="shared" si="22"/>
        <v>#NAME?</v>
      </c>
      <c r="I39" s="27" t="e">
        <f t="shared" si="23"/>
        <v>#NAME?</v>
      </c>
      <c r="J39" s="27"/>
      <c r="K39" s="25">
        <f t="shared" si="24"/>
        <v>0</v>
      </c>
      <c r="L39" s="25" t="e">
        <f t="shared" si="25"/>
        <v>#NAME?</v>
      </c>
      <c r="M39" s="27" t="e">
        <f t="shared" si="26"/>
        <v>#NAME?</v>
      </c>
      <c r="N39" s="39"/>
      <c r="O39" s="36" t="str">
        <f t="shared" si="27"/>
        <v>Eastern</v>
      </c>
      <c r="P39" s="26" t="e">
        <f t="shared" si="28"/>
        <v>#NAME?</v>
      </c>
      <c r="Q39" s="27" t="e">
        <f t="shared" si="29"/>
        <v>#VALUE!</v>
      </c>
      <c r="R39" s="27"/>
      <c r="S39" s="26">
        <f t="shared" si="30"/>
        <v>4724</v>
      </c>
      <c r="T39" s="26" t="e">
        <f t="shared" si="31"/>
        <v>#NAME?</v>
      </c>
      <c r="U39" s="27" t="e">
        <f t="shared" si="32"/>
        <v>#NAME?</v>
      </c>
      <c r="V39" s="27"/>
      <c r="W39" s="26">
        <f t="shared" si="33"/>
        <v>1878</v>
      </c>
      <c r="X39" s="26" t="e">
        <f t="shared" si="34"/>
        <v>#NAME?</v>
      </c>
      <c r="Y39" s="27" t="e">
        <f t="shared" si="35"/>
        <v>#NAME?</v>
      </c>
    </row>
    <row r="40" spans="1:25" ht="16.5" customHeight="1" x14ac:dyDescent="0.25">
      <c r="A40" s="16" t="s">
        <v>96</v>
      </c>
      <c r="B40" s="17" t="s">
        <v>97</v>
      </c>
      <c r="C40" s="25">
        <f t="shared" si="18"/>
        <v>889</v>
      </c>
      <c r="D40" s="25" t="e">
        <f t="shared" si="19"/>
        <v>#NAME?</v>
      </c>
      <c r="E40" s="27" t="e">
        <f t="shared" si="20"/>
        <v>#NAME?</v>
      </c>
      <c r="F40" s="27"/>
      <c r="G40" s="25">
        <f t="shared" si="21"/>
        <v>665</v>
      </c>
      <c r="H40" s="25" t="e">
        <f t="shared" si="22"/>
        <v>#NAME?</v>
      </c>
      <c r="I40" s="27" t="e">
        <f t="shared" si="23"/>
        <v>#NAME?</v>
      </c>
      <c r="J40" s="27"/>
      <c r="K40" s="25">
        <f t="shared" si="24"/>
        <v>0</v>
      </c>
      <c r="L40" s="25" t="e">
        <f t="shared" si="25"/>
        <v>#NAME?</v>
      </c>
      <c r="M40" s="27" t="e">
        <f t="shared" si="26"/>
        <v>#NAME?</v>
      </c>
      <c r="N40" s="39"/>
      <c r="O40" s="36" t="str">
        <f t="shared" si="27"/>
        <v>Central</v>
      </c>
      <c r="P40" s="26" t="e">
        <f t="shared" si="28"/>
        <v>#NAME?</v>
      </c>
      <c r="Q40" s="27" t="e">
        <f t="shared" si="29"/>
        <v>#VALUE!</v>
      </c>
      <c r="R40" s="27"/>
      <c r="S40" s="26">
        <f t="shared" si="30"/>
        <v>1554</v>
      </c>
      <c r="T40" s="26" t="e">
        <f t="shared" si="31"/>
        <v>#NAME?</v>
      </c>
      <c r="U40" s="27" t="e">
        <f t="shared" si="32"/>
        <v>#NAME?</v>
      </c>
      <c r="V40" s="27"/>
      <c r="W40" s="26">
        <f t="shared" si="33"/>
        <v>633</v>
      </c>
      <c r="X40" s="26" t="e">
        <f t="shared" si="34"/>
        <v>#NAME?</v>
      </c>
      <c r="Y40" s="27" t="e">
        <f t="shared" si="35"/>
        <v>#NAME?</v>
      </c>
    </row>
    <row r="41" spans="1:25" ht="16.5" customHeight="1" x14ac:dyDescent="0.25">
      <c r="A41" s="16" t="s">
        <v>98</v>
      </c>
      <c r="B41" s="17" t="s">
        <v>99</v>
      </c>
      <c r="C41" s="25">
        <f t="shared" si="18"/>
        <v>1793</v>
      </c>
      <c r="D41" s="25" t="e">
        <f t="shared" si="19"/>
        <v>#NAME?</v>
      </c>
      <c r="E41" s="27" t="e">
        <f t="shared" si="20"/>
        <v>#NAME?</v>
      </c>
      <c r="F41" s="27"/>
      <c r="G41" s="25">
        <f t="shared" si="21"/>
        <v>1439</v>
      </c>
      <c r="H41" s="25" t="e">
        <f t="shared" si="22"/>
        <v>#NAME?</v>
      </c>
      <c r="I41" s="27" t="e">
        <f t="shared" si="23"/>
        <v>#NAME?</v>
      </c>
      <c r="J41" s="27"/>
      <c r="K41" s="25">
        <f t="shared" si="24"/>
        <v>0</v>
      </c>
      <c r="L41" s="25" t="e">
        <f t="shared" si="25"/>
        <v>#NAME?</v>
      </c>
      <c r="M41" s="27" t="e">
        <f t="shared" si="26"/>
        <v>#NAME?</v>
      </c>
      <c r="N41" s="39"/>
      <c r="O41" s="36" t="str">
        <f t="shared" si="27"/>
        <v>Western</v>
      </c>
      <c r="P41" s="26" t="e">
        <f t="shared" si="28"/>
        <v>#NAME?</v>
      </c>
      <c r="Q41" s="27" t="e">
        <f t="shared" si="29"/>
        <v>#VALUE!</v>
      </c>
      <c r="R41" s="27"/>
      <c r="S41" s="26">
        <f t="shared" si="30"/>
        <v>3232</v>
      </c>
      <c r="T41" s="26" t="e">
        <f t="shared" si="31"/>
        <v>#NAME?</v>
      </c>
      <c r="U41" s="27" t="e">
        <f t="shared" si="32"/>
        <v>#NAME?</v>
      </c>
      <c r="V41" s="27"/>
      <c r="W41" s="26">
        <f t="shared" si="33"/>
        <v>1227</v>
      </c>
      <c r="X41" s="26" t="e">
        <f t="shared" si="34"/>
        <v>#NAME?</v>
      </c>
      <c r="Y41" s="27" t="e">
        <f t="shared" si="35"/>
        <v>#NAME?</v>
      </c>
    </row>
    <row r="42" spans="1:25" ht="16.5" customHeight="1" x14ac:dyDescent="0.25">
      <c r="A42" s="16" t="s">
        <v>100</v>
      </c>
      <c r="B42" s="17" t="s">
        <v>101</v>
      </c>
      <c r="C42" s="25">
        <f t="shared" si="18"/>
        <v>1472</v>
      </c>
      <c r="D42" s="25" t="e">
        <f t="shared" si="19"/>
        <v>#NAME?</v>
      </c>
      <c r="E42" s="27" t="e">
        <f t="shared" si="20"/>
        <v>#NAME?</v>
      </c>
      <c r="F42" s="27"/>
      <c r="G42" s="25">
        <f t="shared" si="21"/>
        <v>1181</v>
      </c>
      <c r="H42" s="25" t="e">
        <f t="shared" si="22"/>
        <v>#NAME?</v>
      </c>
      <c r="I42" s="27" t="e">
        <f t="shared" si="23"/>
        <v>#NAME?</v>
      </c>
      <c r="J42" s="27"/>
      <c r="K42" s="25">
        <f t="shared" si="24"/>
        <v>0</v>
      </c>
      <c r="L42" s="25" t="e">
        <f t="shared" si="25"/>
        <v>#NAME?</v>
      </c>
      <c r="M42" s="27" t="e">
        <f t="shared" si="26"/>
        <v>#NAME?</v>
      </c>
      <c r="N42" s="39"/>
      <c r="O42" s="36" t="str">
        <f t="shared" si="27"/>
        <v>Northern</v>
      </c>
      <c r="P42" s="26" t="e">
        <f t="shared" si="28"/>
        <v>#NAME?</v>
      </c>
      <c r="Q42" s="27" t="e">
        <f t="shared" si="29"/>
        <v>#VALUE!</v>
      </c>
      <c r="R42" s="27"/>
      <c r="S42" s="26">
        <f t="shared" si="30"/>
        <v>2653</v>
      </c>
      <c r="T42" s="26" t="e">
        <f t="shared" si="31"/>
        <v>#NAME?</v>
      </c>
      <c r="U42" s="27" t="e">
        <f t="shared" si="32"/>
        <v>#NAME?</v>
      </c>
      <c r="V42" s="27"/>
      <c r="W42" s="26">
        <f t="shared" si="33"/>
        <v>1249</v>
      </c>
      <c r="X42" s="26" t="e">
        <f t="shared" si="34"/>
        <v>#NAME?</v>
      </c>
      <c r="Y42" s="27" t="e">
        <f t="shared" si="35"/>
        <v>#NAME?</v>
      </c>
    </row>
    <row r="43" spans="1:25" ht="16.5" customHeight="1" x14ac:dyDescent="0.25">
      <c r="A43" s="16" t="s">
        <v>102</v>
      </c>
      <c r="B43" s="32" t="s">
        <v>103</v>
      </c>
      <c r="C43" s="25">
        <f t="shared" si="18"/>
        <v>3202</v>
      </c>
      <c r="D43" s="25" t="e">
        <f t="shared" si="19"/>
        <v>#NAME?</v>
      </c>
      <c r="E43" s="27" t="e">
        <f t="shared" si="20"/>
        <v>#NAME?</v>
      </c>
      <c r="F43" s="27"/>
      <c r="G43" s="25">
        <f t="shared" si="21"/>
        <v>2328</v>
      </c>
      <c r="H43" s="25" t="e">
        <f t="shared" si="22"/>
        <v>#NAME?</v>
      </c>
      <c r="I43" s="27" t="e">
        <f t="shared" si="23"/>
        <v>#NAME?</v>
      </c>
      <c r="J43" s="27"/>
      <c r="K43" s="25">
        <f t="shared" si="24"/>
        <v>0</v>
      </c>
      <c r="L43" s="25" t="e">
        <f t="shared" si="25"/>
        <v>#NAME?</v>
      </c>
      <c r="M43" s="27" t="e">
        <f t="shared" si="26"/>
        <v>#NAME?</v>
      </c>
      <c r="N43" s="39"/>
      <c r="O43" s="36" t="str">
        <f t="shared" si="27"/>
        <v>Eastern</v>
      </c>
      <c r="P43" s="26" t="e">
        <f t="shared" si="28"/>
        <v>#NAME?</v>
      </c>
      <c r="Q43" s="27" t="e">
        <f t="shared" si="29"/>
        <v>#VALUE!</v>
      </c>
      <c r="R43" s="27"/>
      <c r="S43" s="26">
        <f t="shared" si="30"/>
        <v>5530</v>
      </c>
      <c r="T43" s="26" t="e">
        <f t="shared" si="31"/>
        <v>#NAME?</v>
      </c>
      <c r="U43" s="27" t="e">
        <f t="shared" si="32"/>
        <v>#NAME?</v>
      </c>
      <c r="V43" s="27"/>
      <c r="W43" s="26">
        <f t="shared" si="33"/>
        <v>2329</v>
      </c>
      <c r="X43" s="26" t="e">
        <f t="shared" si="34"/>
        <v>#NAME?</v>
      </c>
      <c r="Y43" s="27" t="e">
        <f t="shared" si="35"/>
        <v>#NAME?</v>
      </c>
    </row>
    <row r="44" spans="1:25" ht="16.5" customHeight="1" x14ac:dyDescent="0.25">
      <c r="A44" s="16" t="s">
        <v>104</v>
      </c>
      <c r="B44" s="32" t="s">
        <v>309</v>
      </c>
      <c r="C44" s="25">
        <f t="shared" si="18"/>
        <v>4613</v>
      </c>
      <c r="D44" s="25" t="e">
        <f t="shared" si="19"/>
        <v>#NAME?</v>
      </c>
      <c r="E44" s="27" t="e">
        <f t="shared" si="20"/>
        <v>#NAME?</v>
      </c>
      <c r="F44" s="27"/>
      <c r="G44" s="25">
        <f t="shared" si="21"/>
        <v>3424</v>
      </c>
      <c r="H44" s="25" t="e">
        <f t="shared" si="22"/>
        <v>#NAME?</v>
      </c>
      <c r="I44" s="27" t="e">
        <f t="shared" si="23"/>
        <v>#NAME?</v>
      </c>
      <c r="J44" s="27"/>
      <c r="K44" s="25">
        <f t="shared" si="24"/>
        <v>0</v>
      </c>
      <c r="L44" s="25" t="e">
        <f t="shared" si="25"/>
        <v>#NAME?</v>
      </c>
      <c r="M44" s="27" t="e">
        <f t="shared" si="26"/>
        <v>#NAME?</v>
      </c>
      <c r="N44" s="39"/>
      <c r="O44" s="36" t="str">
        <f t="shared" si="27"/>
        <v>Piedmont</v>
      </c>
      <c r="P44" s="26" t="e">
        <f t="shared" si="28"/>
        <v>#NAME?</v>
      </c>
      <c r="Q44" s="27" t="e">
        <f t="shared" si="29"/>
        <v>#VALUE!</v>
      </c>
      <c r="R44" s="27"/>
      <c r="S44" s="26">
        <f t="shared" si="30"/>
        <v>8037</v>
      </c>
      <c r="T44" s="26" t="e">
        <f t="shared" si="31"/>
        <v>#NAME?</v>
      </c>
      <c r="U44" s="27" t="e">
        <f t="shared" si="32"/>
        <v>#NAME?</v>
      </c>
      <c r="V44" s="27"/>
      <c r="W44" s="26">
        <f t="shared" si="33"/>
        <v>3145</v>
      </c>
      <c r="X44" s="26" t="e">
        <f t="shared" si="34"/>
        <v>#NAME?</v>
      </c>
      <c r="Y44" s="27" t="e">
        <f t="shared" si="35"/>
        <v>#NAME?</v>
      </c>
    </row>
    <row r="45" spans="1:25" ht="16.5" customHeight="1" x14ac:dyDescent="0.25">
      <c r="A45" s="16" t="s">
        <v>108</v>
      </c>
      <c r="B45" s="17" t="s">
        <v>109</v>
      </c>
      <c r="C45" s="25">
        <f t="shared" si="18"/>
        <v>4185</v>
      </c>
      <c r="D45" s="25" t="e">
        <f t="shared" si="19"/>
        <v>#NAME?</v>
      </c>
      <c r="E45" s="27" t="e">
        <f t="shared" si="20"/>
        <v>#NAME?</v>
      </c>
      <c r="F45" s="27"/>
      <c r="G45" s="25">
        <f t="shared" si="21"/>
        <v>2980</v>
      </c>
      <c r="H45" s="25" t="e">
        <f t="shared" si="22"/>
        <v>#NAME?</v>
      </c>
      <c r="I45" s="27" t="e">
        <f t="shared" si="23"/>
        <v>#NAME?</v>
      </c>
      <c r="J45" s="27"/>
      <c r="K45" s="25">
        <f t="shared" si="24"/>
        <v>0</v>
      </c>
      <c r="L45" s="25" t="e">
        <f t="shared" si="25"/>
        <v>#NAME?</v>
      </c>
      <c r="M45" s="27" t="e">
        <f t="shared" si="26"/>
        <v>#NAME?</v>
      </c>
      <c r="N45" s="39"/>
      <c r="O45" s="36" t="str">
        <f t="shared" si="27"/>
        <v>Central</v>
      </c>
      <c r="P45" s="26" t="e">
        <f t="shared" si="28"/>
        <v>#NAME?</v>
      </c>
      <c r="Q45" s="27" t="e">
        <f t="shared" si="29"/>
        <v>#VALUE!</v>
      </c>
      <c r="R45" s="27"/>
      <c r="S45" s="26">
        <f t="shared" si="30"/>
        <v>7165</v>
      </c>
      <c r="T45" s="26" t="e">
        <f t="shared" si="31"/>
        <v>#NAME?</v>
      </c>
      <c r="U45" s="27" t="e">
        <f t="shared" si="32"/>
        <v>#NAME?</v>
      </c>
      <c r="V45" s="27"/>
      <c r="W45" s="26">
        <f t="shared" si="33"/>
        <v>3140</v>
      </c>
      <c r="X45" s="26" t="e">
        <f t="shared" si="34"/>
        <v>#NAME?</v>
      </c>
      <c r="Y45" s="27" t="e">
        <f t="shared" si="35"/>
        <v>#NAME?</v>
      </c>
    </row>
    <row r="46" spans="1:25" ht="16.5" customHeight="1" x14ac:dyDescent="0.25">
      <c r="A46" s="16" t="s">
        <v>110</v>
      </c>
      <c r="B46" s="17" t="s">
        <v>111</v>
      </c>
      <c r="C46" s="25">
        <f t="shared" si="18"/>
        <v>26218</v>
      </c>
      <c r="D46" s="25" t="e">
        <f t="shared" si="19"/>
        <v>#NAME?</v>
      </c>
      <c r="E46" s="27" t="e">
        <f t="shared" si="20"/>
        <v>#NAME?</v>
      </c>
      <c r="F46" s="27"/>
      <c r="G46" s="25">
        <f t="shared" si="21"/>
        <v>18157</v>
      </c>
      <c r="H46" s="25" t="e">
        <f t="shared" si="22"/>
        <v>#NAME?</v>
      </c>
      <c r="I46" s="27" t="e">
        <f t="shared" si="23"/>
        <v>#NAME?</v>
      </c>
      <c r="J46" s="27"/>
      <c r="K46" s="25">
        <f t="shared" si="24"/>
        <v>0</v>
      </c>
      <c r="L46" s="25" t="e">
        <f t="shared" si="25"/>
        <v>#NAME?</v>
      </c>
      <c r="M46" s="27" t="e">
        <f t="shared" si="26"/>
        <v>#NAME?</v>
      </c>
      <c r="N46" s="39"/>
      <c r="O46" s="36" t="str">
        <f t="shared" si="27"/>
        <v>Central</v>
      </c>
      <c r="P46" s="26" t="e">
        <f t="shared" si="28"/>
        <v>#NAME?</v>
      </c>
      <c r="Q46" s="27" t="e">
        <f t="shared" si="29"/>
        <v>#VALUE!</v>
      </c>
      <c r="R46" s="27"/>
      <c r="S46" s="26">
        <f t="shared" si="30"/>
        <v>44375</v>
      </c>
      <c r="T46" s="26" t="e">
        <f t="shared" si="31"/>
        <v>#NAME?</v>
      </c>
      <c r="U46" s="27" t="e">
        <f t="shared" si="32"/>
        <v>#NAME?</v>
      </c>
      <c r="V46" s="27"/>
      <c r="W46" s="26">
        <f t="shared" si="33"/>
        <v>20853</v>
      </c>
      <c r="X46" s="26" t="e">
        <f t="shared" si="34"/>
        <v>#NAME?</v>
      </c>
      <c r="Y46" s="27" t="e">
        <f t="shared" si="35"/>
        <v>#NAME?</v>
      </c>
    </row>
    <row r="47" spans="1:25" ht="16.5" customHeight="1" x14ac:dyDescent="0.25">
      <c r="A47" s="16" t="s">
        <v>112</v>
      </c>
      <c r="B47" s="32" t="s">
        <v>300</v>
      </c>
      <c r="C47" s="25">
        <f t="shared" si="18"/>
        <v>10501</v>
      </c>
      <c r="D47" s="25" t="e">
        <f t="shared" si="19"/>
        <v>#NAME?</v>
      </c>
      <c r="E47" s="27" t="e">
        <f t="shared" si="20"/>
        <v>#NAME?</v>
      </c>
      <c r="F47" s="27"/>
      <c r="G47" s="25">
        <f t="shared" si="21"/>
        <v>8222</v>
      </c>
      <c r="H47" s="25" t="e">
        <f t="shared" si="22"/>
        <v>#NAME?</v>
      </c>
      <c r="I47" s="27" t="e">
        <f t="shared" si="23"/>
        <v>#NAME?</v>
      </c>
      <c r="J47" s="27"/>
      <c r="K47" s="25">
        <f t="shared" si="24"/>
        <v>0</v>
      </c>
      <c r="L47" s="25" t="e">
        <f t="shared" si="25"/>
        <v>#NAME?</v>
      </c>
      <c r="M47" s="27" t="e">
        <f t="shared" si="26"/>
        <v>#NAME?</v>
      </c>
      <c r="N47" s="39"/>
      <c r="O47" s="36" t="str">
        <f t="shared" si="27"/>
        <v>Piedmont</v>
      </c>
      <c r="P47" s="26" t="e">
        <f t="shared" si="28"/>
        <v>#NAME?</v>
      </c>
      <c r="Q47" s="27" t="e">
        <f t="shared" si="29"/>
        <v>#VALUE!</v>
      </c>
      <c r="R47" s="27"/>
      <c r="S47" s="26">
        <f t="shared" si="30"/>
        <v>18723</v>
      </c>
      <c r="T47" s="26" t="e">
        <f t="shared" si="31"/>
        <v>#NAME?</v>
      </c>
      <c r="U47" s="27" t="e">
        <f t="shared" si="32"/>
        <v>#NAME?</v>
      </c>
      <c r="V47" s="27"/>
      <c r="W47" s="26">
        <f t="shared" si="33"/>
        <v>7487</v>
      </c>
      <c r="X47" s="26" t="e">
        <f t="shared" si="34"/>
        <v>#NAME?</v>
      </c>
      <c r="Y47" s="27" t="e">
        <f t="shared" si="35"/>
        <v>#NAME?</v>
      </c>
    </row>
    <row r="48" spans="1:25" ht="16.5" customHeight="1" x14ac:dyDescent="0.25">
      <c r="A48" s="16" t="s">
        <v>114</v>
      </c>
      <c r="B48" s="32" t="s">
        <v>115</v>
      </c>
      <c r="C48" s="25">
        <f t="shared" si="18"/>
        <v>125</v>
      </c>
      <c r="D48" s="25" t="e">
        <f t="shared" si="19"/>
        <v>#NAME?</v>
      </c>
      <c r="E48" s="27" t="e">
        <f t="shared" si="20"/>
        <v>#NAME?</v>
      </c>
      <c r="F48" s="27"/>
      <c r="G48" s="25">
        <f t="shared" si="21"/>
        <v>90</v>
      </c>
      <c r="H48" s="25" t="e">
        <f t="shared" si="22"/>
        <v>#NAME?</v>
      </c>
      <c r="I48" s="27" t="e">
        <f t="shared" si="23"/>
        <v>#NAME?</v>
      </c>
      <c r="J48" s="27"/>
      <c r="K48" s="25">
        <f t="shared" si="24"/>
        <v>0</v>
      </c>
      <c r="L48" s="25" t="e">
        <f t="shared" si="25"/>
        <v>#NAME?</v>
      </c>
      <c r="M48" s="27" t="e">
        <f t="shared" si="26"/>
        <v>#NAME?</v>
      </c>
      <c r="N48" s="39"/>
      <c r="O48" s="36" t="str">
        <f t="shared" si="27"/>
        <v>Piedmont</v>
      </c>
      <c r="P48" s="26" t="e">
        <f t="shared" si="28"/>
        <v>#NAME?</v>
      </c>
      <c r="Q48" s="27" t="e">
        <f t="shared" si="29"/>
        <v>#VALUE!</v>
      </c>
      <c r="R48" s="27"/>
      <c r="S48" s="26">
        <f t="shared" si="30"/>
        <v>215</v>
      </c>
      <c r="T48" s="26" t="e">
        <f t="shared" si="31"/>
        <v>#NAME?</v>
      </c>
      <c r="U48" s="27" t="e">
        <f t="shared" si="32"/>
        <v>#NAME?</v>
      </c>
      <c r="V48" s="27"/>
      <c r="W48" s="26">
        <f t="shared" si="33"/>
        <v>72</v>
      </c>
      <c r="X48" s="26" t="e">
        <f t="shared" si="34"/>
        <v>#NAME?</v>
      </c>
      <c r="Y48" s="27" t="e">
        <f t="shared" si="35"/>
        <v>#NAME?</v>
      </c>
    </row>
    <row r="49" spans="1:25" ht="16.5" customHeight="1" x14ac:dyDescent="0.25">
      <c r="A49" s="16" t="s">
        <v>118</v>
      </c>
      <c r="B49" s="17" t="s">
        <v>119</v>
      </c>
      <c r="C49" s="25">
        <f t="shared" si="18"/>
        <v>2768</v>
      </c>
      <c r="D49" s="25" t="e">
        <f t="shared" si="19"/>
        <v>#NAME?</v>
      </c>
      <c r="E49" s="27" t="e">
        <f t="shared" si="20"/>
        <v>#NAME?</v>
      </c>
      <c r="F49" s="27"/>
      <c r="G49" s="25">
        <f t="shared" si="21"/>
        <v>1993</v>
      </c>
      <c r="H49" s="25" t="e">
        <f t="shared" si="22"/>
        <v>#NAME?</v>
      </c>
      <c r="I49" s="27" t="e">
        <f t="shared" si="23"/>
        <v>#NAME?</v>
      </c>
      <c r="J49" s="27"/>
      <c r="K49" s="25">
        <f t="shared" si="24"/>
        <v>0</v>
      </c>
      <c r="L49" s="25" t="e">
        <f t="shared" si="25"/>
        <v>#NAME?</v>
      </c>
      <c r="M49" s="27" t="e">
        <f t="shared" si="26"/>
        <v>#NAME?</v>
      </c>
      <c r="N49" s="39"/>
      <c r="O49" s="36" t="str">
        <f t="shared" si="27"/>
        <v>Eastern</v>
      </c>
      <c r="P49" s="26" t="e">
        <f t="shared" si="28"/>
        <v>#NAME?</v>
      </c>
      <c r="Q49" s="27" t="e">
        <f t="shared" si="29"/>
        <v>#VALUE!</v>
      </c>
      <c r="R49" s="27"/>
      <c r="S49" s="26">
        <f t="shared" si="30"/>
        <v>4761</v>
      </c>
      <c r="T49" s="26" t="e">
        <f t="shared" si="31"/>
        <v>#NAME?</v>
      </c>
      <c r="U49" s="27" t="e">
        <f t="shared" si="32"/>
        <v>#NAME?</v>
      </c>
      <c r="V49" s="27"/>
      <c r="W49" s="26">
        <f t="shared" si="33"/>
        <v>1999</v>
      </c>
      <c r="X49" s="26" t="e">
        <f t="shared" si="34"/>
        <v>#NAME?</v>
      </c>
      <c r="Y49" s="27" t="e">
        <f t="shared" si="35"/>
        <v>#NAME?</v>
      </c>
    </row>
    <row r="50" spans="1:25" ht="16.5" customHeight="1" x14ac:dyDescent="0.25">
      <c r="A50" s="16" t="s">
        <v>120</v>
      </c>
      <c r="B50" s="17" t="s">
        <v>121</v>
      </c>
      <c r="C50" s="25">
        <f t="shared" si="18"/>
        <v>3558</v>
      </c>
      <c r="D50" s="25" t="e">
        <f t="shared" si="19"/>
        <v>#NAME?</v>
      </c>
      <c r="E50" s="27" t="e">
        <f t="shared" si="20"/>
        <v>#NAME?</v>
      </c>
      <c r="F50" s="27"/>
      <c r="G50" s="25">
        <f t="shared" si="21"/>
        <v>2523</v>
      </c>
      <c r="H50" s="25" t="e">
        <f t="shared" si="22"/>
        <v>#NAME?</v>
      </c>
      <c r="I50" s="27" t="e">
        <f t="shared" si="23"/>
        <v>#NAME?</v>
      </c>
      <c r="J50" s="27"/>
      <c r="K50" s="25">
        <f t="shared" si="24"/>
        <v>0</v>
      </c>
      <c r="L50" s="25" t="e">
        <f t="shared" si="25"/>
        <v>#NAME?</v>
      </c>
      <c r="M50" s="27" t="e">
        <f t="shared" si="26"/>
        <v>#NAME?</v>
      </c>
      <c r="N50" s="39"/>
      <c r="O50" s="36" t="str">
        <f t="shared" si="27"/>
        <v>Eastern</v>
      </c>
      <c r="P50" s="26" t="e">
        <f t="shared" si="28"/>
        <v>#NAME?</v>
      </c>
      <c r="Q50" s="27" t="e">
        <f t="shared" si="29"/>
        <v>#VALUE!</v>
      </c>
      <c r="R50" s="27"/>
      <c r="S50" s="26">
        <f t="shared" si="30"/>
        <v>6081</v>
      </c>
      <c r="T50" s="26" t="e">
        <f t="shared" si="31"/>
        <v>#NAME?</v>
      </c>
      <c r="U50" s="27" t="e">
        <f t="shared" si="32"/>
        <v>#NAME?</v>
      </c>
      <c r="V50" s="27"/>
      <c r="W50" s="26">
        <f t="shared" si="33"/>
        <v>2942</v>
      </c>
      <c r="X50" s="26" t="e">
        <f t="shared" si="34"/>
        <v>#NAME?</v>
      </c>
      <c r="Y50" s="27" t="e">
        <f t="shared" si="35"/>
        <v>#NAME?</v>
      </c>
    </row>
    <row r="51" spans="1:25" ht="16.5" customHeight="1" x14ac:dyDescent="0.25">
      <c r="A51" s="16" t="s">
        <v>122</v>
      </c>
      <c r="B51" s="17" t="s">
        <v>271</v>
      </c>
      <c r="C51" s="25">
        <f t="shared" si="18"/>
        <v>809</v>
      </c>
      <c r="D51" s="25" t="e">
        <f t="shared" si="19"/>
        <v>#NAME?</v>
      </c>
      <c r="E51" s="27" t="e">
        <f t="shared" si="20"/>
        <v>#NAME?</v>
      </c>
      <c r="F51" s="27"/>
      <c r="G51" s="25">
        <f t="shared" si="21"/>
        <v>613</v>
      </c>
      <c r="H51" s="25" t="e">
        <f t="shared" si="22"/>
        <v>#NAME?</v>
      </c>
      <c r="I51" s="27" t="e">
        <f t="shared" si="23"/>
        <v>#NAME?</v>
      </c>
      <c r="J51" s="27"/>
      <c r="K51" s="25">
        <f t="shared" si="24"/>
        <v>0</v>
      </c>
      <c r="L51" s="25" t="e">
        <f t="shared" si="25"/>
        <v>#NAME?</v>
      </c>
      <c r="M51" s="27" t="e">
        <f t="shared" si="26"/>
        <v>#NAME?</v>
      </c>
      <c r="N51" s="39"/>
      <c r="O51" s="36" t="str">
        <f t="shared" si="27"/>
        <v>Central</v>
      </c>
      <c r="P51" s="26" t="e">
        <f t="shared" si="28"/>
        <v>#NAME?</v>
      </c>
      <c r="Q51" s="27" t="e">
        <f t="shared" si="29"/>
        <v>#VALUE!</v>
      </c>
      <c r="R51" s="27"/>
      <c r="S51" s="26">
        <f t="shared" si="30"/>
        <v>1422</v>
      </c>
      <c r="T51" s="26" t="e">
        <f t="shared" si="31"/>
        <v>#NAME?</v>
      </c>
      <c r="U51" s="27" t="e">
        <f t="shared" si="32"/>
        <v>#NAME?</v>
      </c>
      <c r="V51" s="27"/>
      <c r="W51" s="26">
        <f t="shared" si="33"/>
        <v>598</v>
      </c>
      <c r="X51" s="26" t="e">
        <f t="shared" si="34"/>
        <v>#NAME?</v>
      </c>
      <c r="Y51" s="27" t="e">
        <f t="shared" si="35"/>
        <v>#NAME?</v>
      </c>
    </row>
    <row r="52" spans="1:25" ht="16.5" customHeight="1" x14ac:dyDescent="0.25">
      <c r="A52" s="16" t="s">
        <v>124</v>
      </c>
      <c r="B52" s="17" t="s">
        <v>125</v>
      </c>
      <c r="C52" s="25">
        <f t="shared" si="18"/>
        <v>1945</v>
      </c>
      <c r="D52" s="25" t="e">
        <f t="shared" si="19"/>
        <v>#NAME?</v>
      </c>
      <c r="E52" s="27" t="e">
        <f t="shared" si="20"/>
        <v>#NAME?</v>
      </c>
      <c r="F52" s="27"/>
      <c r="G52" s="25">
        <f t="shared" si="21"/>
        <v>1451</v>
      </c>
      <c r="H52" s="25" t="e">
        <f t="shared" si="22"/>
        <v>#NAME?</v>
      </c>
      <c r="I52" s="27" t="e">
        <f t="shared" si="23"/>
        <v>#NAME?</v>
      </c>
      <c r="J52" s="27"/>
      <c r="K52" s="25">
        <f t="shared" si="24"/>
        <v>0</v>
      </c>
      <c r="L52" s="25" t="e">
        <f t="shared" si="25"/>
        <v>#NAME?</v>
      </c>
      <c r="M52" s="27" t="e">
        <f t="shared" si="26"/>
        <v>#NAME?</v>
      </c>
      <c r="N52" s="39"/>
      <c r="O52" s="36" t="str">
        <f t="shared" si="27"/>
        <v>Northern</v>
      </c>
      <c r="P52" s="26" t="e">
        <f t="shared" si="28"/>
        <v>#NAME?</v>
      </c>
      <c r="Q52" s="27" t="e">
        <f t="shared" si="29"/>
        <v>#VALUE!</v>
      </c>
      <c r="R52" s="27"/>
      <c r="S52" s="26">
        <f t="shared" si="30"/>
        <v>3396</v>
      </c>
      <c r="T52" s="26" t="e">
        <f t="shared" si="31"/>
        <v>#NAME?</v>
      </c>
      <c r="U52" s="27" t="e">
        <f t="shared" si="32"/>
        <v>#NAME?</v>
      </c>
      <c r="V52" s="27"/>
      <c r="W52" s="26">
        <f t="shared" si="33"/>
        <v>1596</v>
      </c>
      <c r="X52" s="26" t="e">
        <f t="shared" si="34"/>
        <v>#NAME?</v>
      </c>
      <c r="Y52" s="27" t="e">
        <f t="shared" si="35"/>
        <v>#NAME?</v>
      </c>
    </row>
    <row r="53" spans="1:25" ht="16.5" customHeight="1" x14ac:dyDescent="0.25">
      <c r="A53" s="16" t="s">
        <v>126</v>
      </c>
      <c r="B53" s="17" t="s">
        <v>127</v>
      </c>
      <c r="C53" s="25">
        <f t="shared" si="18"/>
        <v>1198</v>
      </c>
      <c r="D53" s="25" t="e">
        <f t="shared" si="19"/>
        <v>#NAME?</v>
      </c>
      <c r="E53" s="27" t="e">
        <f t="shared" si="20"/>
        <v>#NAME?</v>
      </c>
      <c r="F53" s="27"/>
      <c r="G53" s="25">
        <f t="shared" si="21"/>
        <v>823</v>
      </c>
      <c r="H53" s="25" t="e">
        <f t="shared" si="22"/>
        <v>#NAME?</v>
      </c>
      <c r="I53" s="27" t="e">
        <f t="shared" si="23"/>
        <v>#NAME?</v>
      </c>
      <c r="J53" s="27"/>
      <c r="K53" s="25">
        <f t="shared" si="24"/>
        <v>0</v>
      </c>
      <c r="L53" s="25" t="e">
        <f t="shared" si="25"/>
        <v>#NAME?</v>
      </c>
      <c r="M53" s="27" t="e">
        <f t="shared" si="26"/>
        <v>#NAME?</v>
      </c>
      <c r="N53" s="39"/>
      <c r="O53" s="36" t="str">
        <f t="shared" si="27"/>
        <v>Central</v>
      </c>
      <c r="P53" s="26" t="e">
        <f t="shared" si="28"/>
        <v>#NAME?</v>
      </c>
      <c r="Q53" s="27" t="e">
        <f t="shared" si="29"/>
        <v>#VALUE!</v>
      </c>
      <c r="R53" s="27"/>
      <c r="S53" s="26">
        <f t="shared" si="30"/>
        <v>2021</v>
      </c>
      <c r="T53" s="26" t="e">
        <f t="shared" si="31"/>
        <v>#NAME?</v>
      </c>
      <c r="U53" s="27" t="e">
        <f t="shared" si="32"/>
        <v>#NAME?</v>
      </c>
      <c r="V53" s="27"/>
      <c r="W53" s="26">
        <f t="shared" si="33"/>
        <v>912</v>
      </c>
      <c r="X53" s="26" t="e">
        <f t="shared" si="34"/>
        <v>#NAME?</v>
      </c>
      <c r="Y53" s="27" t="e">
        <f t="shared" si="35"/>
        <v>#NAME?</v>
      </c>
    </row>
    <row r="54" spans="1:25" ht="16.5" customHeight="1" x14ac:dyDescent="0.25">
      <c r="A54" s="16" t="s">
        <v>128</v>
      </c>
      <c r="B54" s="17" t="s">
        <v>129</v>
      </c>
      <c r="C54" s="25">
        <f t="shared" si="18"/>
        <v>1171</v>
      </c>
      <c r="D54" s="25" t="e">
        <f t="shared" si="19"/>
        <v>#NAME?</v>
      </c>
      <c r="E54" s="27" t="e">
        <f t="shared" si="20"/>
        <v>#NAME?</v>
      </c>
      <c r="F54" s="27"/>
      <c r="G54" s="25">
        <f t="shared" si="21"/>
        <v>792</v>
      </c>
      <c r="H54" s="25" t="e">
        <f t="shared" si="22"/>
        <v>#NAME?</v>
      </c>
      <c r="I54" s="27" t="e">
        <f t="shared" si="23"/>
        <v>#NAME?</v>
      </c>
      <c r="J54" s="27"/>
      <c r="K54" s="25">
        <f t="shared" si="24"/>
        <v>0</v>
      </c>
      <c r="L54" s="25" t="e">
        <f t="shared" si="25"/>
        <v>#NAME?</v>
      </c>
      <c r="M54" s="27" t="e">
        <f t="shared" si="26"/>
        <v>#NAME?</v>
      </c>
      <c r="N54" s="39"/>
      <c r="O54" s="36" t="str">
        <f t="shared" si="27"/>
        <v>Central</v>
      </c>
      <c r="P54" s="26" t="e">
        <f t="shared" si="28"/>
        <v>#NAME?</v>
      </c>
      <c r="Q54" s="27" t="e">
        <f t="shared" si="29"/>
        <v>#VALUE!</v>
      </c>
      <c r="R54" s="27"/>
      <c r="S54" s="26">
        <f t="shared" si="30"/>
        <v>1963</v>
      </c>
      <c r="T54" s="26" t="e">
        <f t="shared" si="31"/>
        <v>#NAME?</v>
      </c>
      <c r="U54" s="27" t="e">
        <f t="shared" si="32"/>
        <v>#NAME?</v>
      </c>
      <c r="V54" s="27"/>
      <c r="W54" s="26">
        <f t="shared" si="33"/>
        <v>824</v>
      </c>
      <c r="X54" s="26" t="e">
        <f t="shared" si="34"/>
        <v>#NAME?</v>
      </c>
      <c r="Y54" s="27" t="e">
        <f t="shared" si="35"/>
        <v>#NAME?</v>
      </c>
    </row>
    <row r="55" spans="1:25" ht="16.5" customHeight="1" x14ac:dyDescent="0.25">
      <c r="A55" s="16" t="s">
        <v>130</v>
      </c>
      <c r="B55" s="32" t="s">
        <v>131</v>
      </c>
      <c r="C55" s="25">
        <f t="shared" si="18"/>
        <v>3858</v>
      </c>
      <c r="D55" s="25" t="e">
        <f t="shared" si="19"/>
        <v>#NAME?</v>
      </c>
      <c r="E55" s="27" t="e">
        <f t="shared" si="20"/>
        <v>#NAME?</v>
      </c>
      <c r="F55" s="27"/>
      <c r="G55" s="25">
        <f t="shared" si="21"/>
        <v>3288</v>
      </c>
      <c r="H55" s="25" t="e">
        <f t="shared" si="22"/>
        <v>#NAME?</v>
      </c>
      <c r="I55" s="27" t="e">
        <f t="shared" si="23"/>
        <v>#NAME?</v>
      </c>
      <c r="J55" s="27"/>
      <c r="K55" s="25">
        <f t="shared" si="24"/>
        <v>0</v>
      </c>
      <c r="L55" s="25" t="e">
        <f t="shared" si="25"/>
        <v>#NAME?</v>
      </c>
      <c r="M55" s="27" t="e">
        <f t="shared" si="26"/>
        <v>#NAME?</v>
      </c>
      <c r="N55" s="39"/>
      <c r="O55" s="36" t="str">
        <f t="shared" si="27"/>
        <v>Western</v>
      </c>
      <c r="P55" s="26" t="e">
        <f t="shared" si="28"/>
        <v>#NAME?</v>
      </c>
      <c r="Q55" s="27" t="e">
        <f t="shared" si="29"/>
        <v>#VALUE!</v>
      </c>
      <c r="R55" s="27"/>
      <c r="S55" s="26">
        <f t="shared" si="30"/>
        <v>7146</v>
      </c>
      <c r="T55" s="26" t="e">
        <f t="shared" si="31"/>
        <v>#NAME?</v>
      </c>
      <c r="U55" s="27" t="e">
        <f t="shared" si="32"/>
        <v>#NAME?</v>
      </c>
      <c r="V55" s="27"/>
      <c r="W55" s="26">
        <f t="shared" si="33"/>
        <v>2379</v>
      </c>
      <c r="X55" s="26" t="e">
        <f t="shared" si="34"/>
        <v>#NAME?</v>
      </c>
      <c r="Y55" s="27" t="e">
        <f t="shared" si="35"/>
        <v>#NAME?</v>
      </c>
    </row>
    <row r="56" spans="1:25" ht="16.5" customHeight="1" x14ac:dyDescent="0.25">
      <c r="A56" s="16" t="s">
        <v>132</v>
      </c>
      <c r="B56" s="17" t="s">
        <v>133</v>
      </c>
      <c r="C56" s="25">
        <f t="shared" si="18"/>
        <v>7741</v>
      </c>
      <c r="D56" s="25" t="e">
        <f t="shared" si="19"/>
        <v>#NAME?</v>
      </c>
      <c r="E56" s="27" t="e">
        <f t="shared" si="20"/>
        <v>#NAME?</v>
      </c>
      <c r="F56" s="27"/>
      <c r="G56" s="25">
        <f t="shared" si="21"/>
        <v>5743</v>
      </c>
      <c r="H56" s="25" t="e">
        <f t="shared" si="22"/>
        <v>#NAME?</v>
      </c>
      <c r="I56" s="27" t="e">
        <f t="shared" si="23"/>
        <v>#NAME?</v>
      </c>
      <c r="J56" s="27"/>
      <c r="K56" s="25">
        <f t="shared" si="24"/>
        <v>0</v>
      </c>
      <c r="L56" s="25" t="e">
        <f t="shared" si="25"/>
        <v>#NAME?</v>
      </c>
      <c r="M56" s="27" t="e">
        <f t="shared" si="26"/>
        <v>#NAME?</v>
      </c>
      <c r="N56" s="39"/>
      <c r="O56" s="36" t="str">
        <f t="shared" si="27"/>
        <v>Northern</v>
      </c>
      <c r="P56" s="26" t="e">
        <f t="shared" si="28"/>
        <v>#NAME?</v>
      </c>
      <c r="Q56" s="27" t="e">
        <f t="shared" si="29"/>
        <v>#VALUE!</v>
      </c>
      <c r="R56" s="27"/>
      <c r="S56" s="26">
        <f t="shared" si="30"/>
        <v>13484</v>
      </c>
      <c r="T56" s="26" t="e">
        <f t="shared" si="31"/>
        <v>#NAME?</v>
      </c>
      <c r="U56" s="27" t="e">
        <f t="shared" si="32"/>
        <v>#NAME?</v>
      </c>
      <c r="V56" s="27"/>
      <c r="W56" s="26">
        <f t="shared" si="33"/>
        <v>7022</v>
      </c>
      <c r="X56" s="26" t="e">
        <f t="shared" si="34"/>
        <v>#NAME?</v>
      </c>
      <c r="Y56" s="27" t="e">
        <f t="shared" si="35"/>
        <v>#NAME?</v>
      </c>
    </row>
    <row r="57" spans="1:25" ht="16.5" customHeight="1" x14ac:dyDescent="0.25">
      <c r="A57" s="16" t="s">
        <v>134</v>
      </c>
      <c r="B57" s="17" t="s">
        <v>135</v>
      </c>
      <c r="C57" s="25">
        <f t="shared" si="18"/>
        <v>2912</v>
      </c>
      <c r="D57" s="25" t="e">
        <f t="shared" si="19"/>
        <v>#NAME?</v>
      </c>
      <c r="E57" s="27" t="e">
        <f t="shared" si="20"/>
        <v>#NAME?</v>
      </c>
      <c r="F57" s="27"/>
      <c r="G57" s="25">
        <f t="shared" si="21"/>
        <v>2259</v>
      </c>
      <c r="H57" s="25" t="e">
        <f t="shared" si="22"/>
        <v>#NAME?</v>
      </c>
      <c r="I57" s="27" t="e">
        <f t="shared" si="23"/>
        <v>#NAME?</v>
      </c>
      <c r="J57" s="27"/>
      <c r="K57" s="25">
        <f t="shared" si="24"/>
        <v>0</v>
      </c>
      <c r="L57" s="25" t="e">
        <f t="shared" si="25"/>
        <v>#NAME?</v>
      </c>
      <c r="M57" s="27" t="e">
        <f t="shared" si="26"/>
        <v>#NAME?</v>
      </c>
      <c r="N57" s="39"/>
      <c r="O57" s="36" t="str">
        <f t="shared" si="27"/>
        <v>Northern</v>
      </c>
      <c r="P57" s="26" t="e">
        <f t="shared" si="28"/>
        <v>#NAME?</v>
      </c>
      <c r="Q57" s="27" t="e">
        <f t="shared" si="29"/>
        <v>#VALUE!</v>
      </c>
      <c r="R57" s="27"/>
      <c r="S57" s="26">
        <f t="shared" si="30"/>
        <v>5171</v>
      </c>
      <c r="T57" s="26" t="e">
        <f t="shared" si="31"/>
        <v>#NAME?</v>
      </c>
      <c r="U57" s="27" t="e">
        <f t="shared" si="32"/>
        <v>#NAME?</v>
      </c>
      <c r="V57" s="27"/>
      <c r="W57" s="26">
        <f t="shared" si="33"/>
        <v>2220</v>
      </c>
      <c r="X57" s="26" t="e">
        <f t="shared" si="34"/>
        <v>#NAME?</v>
      </c>
      <c r="Y57" s="27" t="e">
        <f t="shared" si="35"/>
        <v>#NAME?</v>
      </c>
    </row>
    <row r="58" spans="1:25" ht="16.5" customHeight="1" x14ac:dyDescent="0.25">
      <c r="A58" s="16" t="s">
        <v>136</v>
      </c>
      <c r="B58" s="32" t="s">
        <v>137</v>
      </c>
      <c r="C58" s="25">
        <f t="shared" si="18"/>
        <v>1540</v>
      </c>
      <c r="D58" s="25" t="e">
        <f t="shared" si="19"/>
        <v>#NAME?</v>
      </c>
      <c r="E58" s="27" t="e">
        <f t="shared" si="20"/>
        <v>#NAME?</v>
      </c>
      <c r="F58" s="27"/>
      <c r="G58" s="25">
        <f t="shared" si="21"/>
        <v>1172</v>
      </c>
      <c r="H58" s="25" t="e">
        <f t="shared" si="22"/>
        <v>#NAME?</v>
      </c>
      <c r="I58" s="27" t="e">
        <f t="shared" si="23"/>
        <v>#NAME?</v>
      </c>
      <c r="J58" s="27"/>
      <c r="K58" s="25">
        <f t="shared" si="24"/>
        <v>0</v>
      </c>
      <c r="L58" s="25" t="e">
        <f t="shared" si="25"/>
        <v>#NAME?</v>
      </c>
      <c r="M58" s="27" t="e">
        <f t="shared" si="26"/>
        <v>#NAME?</v>
      </c>
      <c r="N58" s="39"/>
      <c r="O58" s="36" t="str">
        <f t="shared" si="27"/>
        <v>Central</v>
      </c>
      <c r="P58" s="26" t="e">
        <f t="shared" si="28"/>
        <v>#NAME?</v>
      </c>
      <c r="Q58" s="27" t="e">
        <f t="shared" si="29"/>
        <v>#VALUE!</v>
      </c>
      <c r="R58" s="27"/>
      <c r="S58" s="26">
        <f t="shared" si="30"/>
        <v>2712</v>
      </c>
      <c r="T58" s="26" t="e">
        <f t="shared" si="31"/>
        <v>#NAME?</v>
      </c>
      <c r="U58" s="27" t="e">
        <f t="shared" si="32"/>
        <v>#NAME?</v>
      </c>
      <c r="V58" s="27"/>
      <c r="W58" s="26">
        <f t="shared" si="33"/>
        <v>1102</v>
      </c>
      <c r="X58" s="26" t="e">
        <f t="shared" si="34"/>
        <v>#NAME?</v>
      </c>
      <c r="Y58" s="27" t="e">
        <f t="shared" si="35"/>
        <v>#NAME?</v>
      </c>
    </row>
    <row r="59" spans="1:25" ht="16.5" customHeight="1" x14ac:dyDescent="0.25">
      <c r="A59" s="16" t="s">
        <v>140</v>
      </c>
      <c r="B59" s="17" t="s">
        <v>141</v>
      </c>
      <c r="C59" s="25">
        <f t="shared" si="18"/>
        <v>905</v>
      </c>
      <c r="D59" s="25" t="e">
        <f t="shared" si="19"/>
        <v>#NAME?</v>
      </c>
      <c r="E59" s="27" t="e">
        <f t="shared" si="20"/>
        <v>#NAME?</v>
      </c>
      <c r="F59" s="27"/>
      <c r="G59" s="25">
        <f t="shared" si="21"/>
        <v>724</v>
      </c>
      <c r="H59" s="25" t="e">
        <f t="shared" si="22"/>
        <v>#NAME?</v>
      </c>
      <c r="I59" s="27" t="e">
        <f t="shared" si="23"/>
        <v>#NAME?</v>
      </c>
      <c r="J59" s="27"/>
      <c r="K59" s="25">
        <f t="shared" si="24"/>
        <v>0</v>
      </c>
      <c r="L59" s="25" t="e">
        <f t="shared" si="25"/>
        <v>#NAME?</v>
      </c>
      <c r="M59" s="27" t="e">
        <f t="shared" si="26"/>
        <v>#NAME?</v>
      </c>
      <c r="N59" s="39"/>
      <c r="O59" s="36" t="str">
        <f t="shared" si="27"/>
        <v>Northern</v>
      </c>
      <c r="P59" s="26" t="e">
        <f t="shared" si="28"/>
        <v>#NAME?</v>
      </c>
      <c r="Q59" s="27" t="e">
        <f t="shared" si="29"/>
        <v>#VALUE!</v>
      </c>
      <c r="R59" s="27"/>
      <c r="S59" s="26">
        <f t="shared" si="30"/>
        <v>1629</v>
      </c>
      <c r="T59" s="26" t="e">
        <f t="shared" si="31"/>
        <v>#NAME?</v>
      </c>
      <c r="U59" s="27" t="e">
        <f t="shared" si="32"/>
        <v>#NAME?</v>
      </c>
      <c r="V59" s="27"/>
      <c r="W59" s="26">
        <f t="shared" si="33"/>
        <v>678</v>
      </c>
      <c r="X59" s="26" t="e">
        <f t="shared" si="34"/>
        <v>#NAME?</v>
      </c>
      <c r="Y59" s="27" t="e">
        <f t="shared" si="35"/>
        <v>#NAME?</v>
      </c>
    </row>
    <row r="60" spans="1:25" ht="16.5" customHeight="1" x14ac:dyDescent="0.25">
      <c r="A60" s="16" t="s">
        <v>146</v>
      </c>
      <c r="B60" s="17" t="s">
        <v>147</v>
      </c>
      <c r="C60" s="25">
        <f t="shared" si="18"/>
        <v>648</v>
      </c>
      <c r="D60" s="25" t="e">
        <f t="shared" si="19"/>
        <v>#NAME?</v>
      </c>
      <c r="E60" s="27" t="e">
        <f t="shared" si="20"/>
        <v>#NAME?</v>
      </c>
      <c r="F60" s="27"/>
      <c r="G60" s="25">
        <f t="shared" si="21"/>
        <v>489</v>
      </c>
      <c r="H60" s="25" t="e">
        <f t="shared" si="22"/>
        <v>#NAME?</v>
      </c>
      <c r="I60" s="27" t="e">
        <f t="shared" si="23"/>
        <v>#NAME?</v>
      </c>
      <c r="J60" s="27"/>
      <c r="K60" s="25">
        <f t="shared" si="24"/>
        <v>0</v>
      </c>
      <c r="L60" s="25" t="e">
        <f t="shared" si="25"/>
        <v>#NAME?</v>
      </c>
      <c r="M60" s="27" t="e">
        <f t="shared" si="26"/>
        <v>#NAME?</v>
      </c>
      <c r="N60" s="39"/>
      <c r="O60" s="36" t="str">
        <f t="shared" si="27"/>
        <v>Eastern</v>
      </c>
      <c r="P60" s="26" t="e">
        <f t="shared" si="28"/>
        <v>#NAME?</v>
      </c>
      <c r="Q60" s="27" t="e">
        <f t="shared" si="29"/>
        <v>#VALUE!</v>
      </c>
      <c r="R60" s="27"/>
      <c r="S60" s="26">
        <f t="shared" si="30"/>
        <v>1137</v>
      </c>
      <c r="T60" s="26" t="e">
        <f t="shared" si="31"/>
        <v>#NAME?</v>
      </c>
      <c r="U60" s="27" t="e">
        <f t="shared" si="32"/>
        <v>#NAME?</v>
      </c>
      <c r="V60" s="27"/>
      <c r="W60" s="26">
        <f t="shared" si="33"/>
        <v>414</v>
      </c>
      <c r="X60" s="26" t="e">
        <f t="shared" si="34"/>
        <v>#NAME?</v>
      </c>
      <c r="Y60" s="27" t="e">
        <f t="shared" si="35"/>
        <v>#NAME?</v>
      </c>
    </row>
    <row r="61" spans="1:25" ht="16.5" customHeight="1" x14ac:dyDescent="0.25">
      <c r="A61" s="16" t="s">
        <v>148</v>
      </c>
      <c r="B61" s="17" t="s">
        <v>149</v>
      </c>
      <c r="C61" s="25">
        <f t="shared" si="18"/>
        <v>3581</v>
      </c>
      <c r="D61" s="25" t="e">
        <f t="shared" si="19"/>
        <v>#NAME?</v>
      </c>
      <c r="E61" s="27" t="e">
        <f t="shared" si="20"/>
        <v>#NAME?</v>
      </c>
      <c r="F61" s="27"/>
      <c r="G61" s="25">
        <f t="shared" si="21"/>
        <v>2637</v>
      </c>
      <c r="H61" s="25" t="e">
        <f t="shared" si="22"/>
        <v>#NAME?</v>
      </c>
      <c r="I61" s="27" t="e">
        <f t="shared" si="23"/>
        <v>#NAME?</v>
      </c>
      <c r="J61" s="27"/>
      <c r="K61" s="25">
        <f t="shared" si="24"/>
        <v>0</v>
      </c>
      <c r="L61" s="25" t="e">
        <f t="shared" si="25"/>
        <v>#NAME?</v>
      </c>
      <c r="M61" s="27" t="e">
        <f t="shared" si="26"/>
        <v>#NAME?</v>
      </c>
      <c r="N61" s="39"/>
      <c r="O61" s="36" t="str">
        <f t="shared" si="27"/>
        <v>Piedmont</v>
      </c>
      <c r="P61" s="26" t="e">
        <f t="shared" si="28"/>
        <v>#NAME?</v>
      </c>
      <c r="Q61" s="27" t="e">
        <f t="shared" si="29"/>
        <v>#VALUE!</v>
      </c>
      <c r="R61" s="27"/>
      <c r="S61" s="26">
        <f t="shared" si="30"/>
        <v>6218</v>
      </c>
      <c r="T61" s="26" t="e">
        <f t="shared" si="31"/>
        <v>#NAME?</v>
      </c>
      <c r="U61" s="27" t="e">
        <f t="shared" si="32"/>
        <v>#NAME?</v>
      </c>
      <c r="V61" s="27"/>
      <c r="W61" s="26">
        <f t="shared" si="33"/>
        <v>2520</v>
      </c>
      <c r="X61" s="26" t="e">
        <f t="shared" si="34"/>
        <v>#NAME?</v>
      </c>
      <c r="Y61" s="27" t="e">
        <f t="shared" si="35"/>
        <v>#NAME?</v>
      </c>
    </row>
    <row r="62" spans="1:25" ht="16.5" customHeight="1" x14ac:dyDescent="0.25">
      <c r="A62" s="16" t="s">
        <v>150</v>
      </c>
      <c r="B62" s="32" t="s">
        <v>151</v>
      </c>
      <c r="C62" s="25">
        <f t="shared" si="18"/>
        <v>1143</v>
      </c>
      <c r="D62" s="25" t="e">
        <f t="shared" si="19"/>
        <v>#NAME?</v>
      </c>
      <c r="E62" s="27" t="e">
        <f t="shared" si="20"/>
        <v>#NAME?</v>
      </c>
      <c r="F62" s="27"/>
      <c r="G62" s="25">
        <f t="shared" si="21"/>
        <v>881</v>
      </c>
      <c r="H62" s="25" t="e">
        <f t="shared" si="22"/>
        <v>#NAME?</v>
      </c>
      <c r="I62" s="27" t="e">
        <f t="shared" si="23"/>
        <v>#NAME?</v>
      </c>
      <c r="J62" s="27"/>
      <c r="K62" s="25">
        <f t="shared" si="24"/>
        <v>0</v>
      </c>
      <c r="L62" s="25" t="e">
        <f t="shared" si="25"/>
        <v>#NAME?</v>
      </c>
      <c r="M62" s="27" t="e">
        <f t="shared" si="26"/>
        <v>#NAME?</v>
      </c>
      <c r="N62" s="39"/>
      <c r="O62" s="36" t="str">
        <f t="shared" si="27"/>
        <v>Central</v>
      </c>
      <c r="P62" s="26" t="e">
        <f t="shared" si="28"/>
        <v>#NAME?</v>
      </c>
      <c r="Q62" s="27" t="e">
        <f t="shared" si="29"/>
        <v>#VALUE!</v>
      </c>
      <c r="R62" s="27"/>
      <c r="S62" s="26">
        <f t="shared" si="30"/>
        <v>2024</v>
      </c>
      <c r="T62" s="26" t="e">
        <f t="shared" si="31"/>
        <v>#NAME?</v>
      </c>
      <c r="U62" s="27" t="e">
        <f t="shared" si="32"/>
        <v>#NAME?</v>
      </c>
      <c r="V62" s="27"/>
      <c r="W62" s="26">
        <f t="shared" si="33"/>
        <v>804</v>
      </c>
      <c r="X62" s="26" t="e">
        <f t="shared" si="34"/>
        <v>#NAME?</v>
      </c>
      <c r="Y62" s="27" t="e">
        <f t="shared" si="35"/>
        <v>#NAME?</v>
      </c>
    </row>
    <row r="63" spans="1:25" ht="16.5" customHeight="1" x14ac:dyDescent="0.25">
      <c r="A63" s="16" t="s">
        <v>152</v>
      </c>
      <c r="B63" s="17" t="s">
        <v>153</v>
      </c>
      <c r="C63" s="25">
        <f t="shared" si="18"/>
        <v>4878</v>
      </c>
      <c r="D63" s="25" t="e">
        <f t="shared" si="19"/>
        <v>#NAME?</v>
      </c>
      <c r="E63" s="27" t="e">
        <f t="shared" si="20"/>
        <v>#NAME?</v>
      </c>
      <c r="F63" s="27"/>
      <c r="G63" s="25">
        <f t="shared" si="21"/>
        <v>3701</v>
      </c>
      <c r="H63" s="25" t="e">
        <f t="shared" si="22"/>
        <v>#NAME?</v>
      </c>
      <c r="I63" s="27" t="e">
        <f t="shared" si="23"/>
        <v>#NAME?</v>
      </c>
      <c r="J63" s="27"/>
      <c r="K63" s="25">
        <f t="shared" si="24"/>
        <v>0</v>
      </c>
      <c r="L63" s="25" t="e">
        <f t="shared" si="25"/>
        <v>#NAME?</v>
      </c>
      <c r="M63" s="27" t="e">
        <f t="shared" si="26"/>
        <v>#NAME?</v>
      </c>
      <c r="N63" s="39"/>
      <c r="O63" s="36" t="str">
        <f t="shared" si="27"/>
        <v>Western</v>
      </c>
      <c r="P63" s="26" t="e">
        <f t="shared" si="28"/>
        <v>#NAME?</v>
      </c>
      <c r="Q63" s="27" t="e">
        <f t="shared" si="29"/>
        <v>#VALUE!</v>
      </c>
      <c r="R63" s="27"/>
      <c r="S63" s="26">
        <f t="shared" si="30"/>
        <v>8579</v>
      </c>
      <c r="T63" s="26" t="e">
        <f t="shared" si="31"/>
        <v>#NAME?</v>
      </c>
      <c r="U63" s="27" t="e">
        <f t="shared" si="32"/>
        <v>#NAME?</v>
      </c>
      <c r="V63" s="27"/>
      <c r="W63" s="26">
        <f t="shared" si="33"/>
        <v>3548</v>
      </c>
      <c r="X63" s="26" t="e">
        <f t="shared" si="34"/>
        <v>#NAME?</v>
      </c>
      <c r="Y63" s="27" t="e">
        <f t="shared" si="35"/>
        <v>#NAME?</v>
      </c>
    </row>
    <row r="64" spans="1:25" ht="16.5" customHeight="1" x14ac:dyDescent="0.25">
      <c r="A64" s="16" t="s">
        <v>154</v>
      </c>
      <c r="B64" s="32" t="s">
        <v>155</v>
      </c>
      <c r="C64" s="25">
        <f t="shared" si="18"/>
        <v>1332</v>
      </c>
      <c r="D64" s="25" t="e">
        <f t="shared" si="19"/>
        <v>#NAME?</v>
      </c>
      <c r="E64" s="27" t="e">
        <f t="shared" si="20"/>
        <v>#NAME?</v>
      </c>
      <c r="F64" s="27"/>
      <c r="G64" s="25">
        <f t="shared" si="21"/>
        <v>1078</v>
      </c>
      <c r="H64" s="25" t="e">
        <f t="shared" si="22"/>
        <v>#NAME?</v>
      </c>
      <c r="I64" s="27" t="e">
        <f t="shared" si="23"/>
        <v>#NAME?</v>
      </c>
      <c r="J64" s="27"/>
      <c r="K64" s="25">
        <f t="shared" si="24"/>
        <v>0</v>
      </c>
      <c r="L64" s="25" t="e">
        <f t="shared" si="25"/>
        <v>#NAME?</v>
      </c>
      <c r="M64" s="27" t="e">
        <f t="shared" si="26"/>
        <v>#NAME?</v>
      </c>
      <c r="N64" s="39"/>
      <c r="O64" s="36" t="str">
        <f t="shared" si="27"/>
        <v>Piedmont</v>
      </c>
      <c r="P64" s="26" t="e">
        <f t="shared" si="28"/>
        <v>#NAME?</v>
      </c>
      <c r="Q64" s="27" t="e">
        <f t="shared" si="29"/>
        <v>#VALUE!</v>
      </c>
      <c r="R64" s="27"/>
      <c r="S64" s="26">
        <f t="shared" si="30"/>
        <v>2410</v>
      </c>
      <c r="T64" s="26" t="e">
        <f t="shared" si="31"/>
        <v>#NAME?</v>
      </c>
      <c r="U64" s="27" t="e">
        <f t="shared" si="32"/>
        <v>#NAME?</v>
      </c>
      <c r="V64" s="27"/>
      <c r="W64" s="26">
        <f t="shared" si="33"/>
        <v>971</v>
      </c>
      <c r="X64" s="26" t="e">
        <f t="shared" si="34"/>
        <v>#NAME?</v>
      </c>
      <c r="Y64" s="27" t="e">
        <f t="shared" si="35"/>
        <v>#NAME?</v>
      </c>
    </row>
    <row r="65" spans="1:25" ht="16.5" customHeight="1" x14ac:dyDescent="0.25">
      <c r="A65" s="16" t="s">
        <v>156</v>
      </c>
      <c r="B65" s="17" t="s">
        <v>157</v>
      </c>
      <c r="C65" s="25">
        <f t="shared" si="18"/>
        <v>930</v>
      </c>
      <c r="D65" s="25" t="e">
        <f t="shared" si="19"/>
        <v>#NAME?</v>
      </c>
      <c r="E65" s="27" t="e">
        <f t="shared" si="20"/>
        <v>#NAME?</v>
      </c>
      <c r="F65" s="27"/>
      <c r="G65" s="25">
        <f t="shared" si="21"/>
        <v>690</v>
      </c>
      <c r="H65" s="25" t="e">
        <f t="shared" si="22"/>
        <v>#NAME?</v>
      </c>
      <c r="I65" s="27" t="e">
        <f t="shared" si="23"/>
        <v>#NAME?</v>
      </c>
      <c r="J65" s="27"/>
      <c r="K65" s="25">
        <f t="shared" si="24"/>
        <v>0</v>
      </c>
      <c r="L65" s="25" t="e">
        <f t="shared" si="25"/>
        <v>#NAME?</v>
      </c>
      <c r="M65" s="27" t="e">
        <f t="shared" si="26"/>
        <v>#NAME?</v>
      </c>
      <c r="N65" s="39"/>
      <c r="O65" s="36" t="str">
        <f t="shared" si="27"/>
        <v>Central</v>
      </c>
      <c r="P65" s="26" t="e">
        <f t="shared" si="28"/>
        <v>#NAME?</v>
      </c>
      <c r="Q65" s="27" t="e">
        <f t="shared" si="29"/>
        <v>#VALUE!</v>
      </c>
      <c r="R65" s="27"/>
      <c r="S65" s="26">
        <f t="shared" si="30"/>
        <v>1620</v>
      </c>
      <c r="T65" s="26" t="e">
        <f t="shared" si="31"/>
        <v>#NAME?</v>
      </c>
      <c r="U65" s="27" t="e">
        <f t="shared" si="32"/>
        <v>#NAME?</v>
      </c>
      <c r="V65" s="27"/>
      <c r="W65" s="26">
        <f t="shared" si="33"/>
        <v>749</v>
      </c>
      <c r="X65" s="26" t="e">
        <f t="shared" si="34"/>
        <v>#NAME?</v>
      </c>
      <c r="Y65" s="27" t="e">
        <f t="shared" si="35"/>
        <v>#NAME?</v>
      </c>
    </row>
    <row r="66" spans="1:25" ht="16.5" customHeight="1" x14ac:dyDescent="0.25">
      <c r="A66" s="16" t="s">
        <v>162</v>
      </c>
      <c r="B66" s="32" t="s">
        <v>163</v>
      </c>
      <c r="C66" s="25">
        <f t="shared" si="18"/>
        <v>1731</v>
      </c>
      <c r="D66" s="25" t="e">
        <f t="shared" si="19"/>
        <v>#NAME?</v>
      </c>
      <c r="E66" s="27" t="e">
        <f t="shared" si="20"/>
        <v>#NAME?</v>
      </c>
      <c r="F66" s="27"/>
      <c r="G66" s="25">
        <f t="shared" si="21"/>
        <v>1303</v>
      </c>
      <c r="H66" s="25" t="e">
        <f t="shared" si="22"/>
        <v>#NAME?</v>
      </c>
      <c r="I66" s="27" t="e">
        <f t="shared" si="23"/>
        <v>#NAME?</v>
      </c>
      <c r="J66" s="27"/>
      <c r="K66" s="25">
        <f t="shared" si="24"/>
        <v>0</v>
      </c>
      <c r="L66" s="25" t="e">
        <f t="shared" si="25"/>
        <v>#NAME?</v>
      </c>
      <c r="M66" s="27" t="e">
        <f t="shared" si="26"/>
        <v>#NAME?</v>
      </c>
      <c r="N66" s="39"/>
      <c r="O66" s="36" t="str">
        <f t="shared" si="27"/>
        <v>Eastern</v>
      </c>
      <c r="P66" s="26" t="e">
        <f t="shared" si="28"/>
        <v>#NAME?</v>
      </c>
      <c r="Q66" s="27" t="e">
        <f t="shared" si="29"/>
        <v>#VALUE!</v>
      </c>
      <c r="R66" s="27"/>
      <c r="S66" s="26">
        <f t="shared" si="30"/>
        <v>3034</v>
      </c>
      <c r="T66" s="26" t="e">
        <f t="shared" si="31"/>
        <v>#NAME?</v>
      </c>
      <c r="U66" s="27" t="e">
        <f t="shared" si="32"/>
        <v>#NAME?</v>
      </c>
      <c r="V66" s="27"/>
      <c r="W66" s="26">
        <f t="shared" si="33"/>
        <v>1178</v>
      </c>
      <c r="X66" s="26" t="e">
        <f t="shared" si="34"/>
        <v>#NAME?</v>
      </c>
      <c r="Y66" s="27" t="e">
        <f t="shared" si="35"/>
        <v>#NAME?</v>
      </c>
    </row>
    <row r="67" spans="1:25" ht="16.5" customHeight="1" x14ac:dyDescent="0.25">
      <c r="A67" s="16" t="s">
        <v>164</v>
      </c>
      <c r="B67" s="17" t="s">
        <v>165</v>
      </c>
      <c r="C67" s="25">
        <f t="shared" si="18"/>
        <v>1205</v>
      </c>
      <c r="D67" s="25" t="e">
        <f t="shared" si="19"/>
        <v>#NAME?</v>
      </c>
      <c r="E67" s="27" t="e">
        <f t="shared" si="20"/>
        <v>#NAME?</v>
      </c>
      <c r="F67" s="27"/>
      <c r="G67" s="25">
        <f t="shared" si="21"/>
        <v>917</v>
      </c>
      <c r="H67" s="25" t="e">
        <f t="shared" si="22"/>
        <v>#NAME?</v>
      </c>
      <c r="I67" s="27" t="e">
        <f t="shared" si="23"/>
        <v>#NAME?</v>
      </c>
      <c r="J67" s="27"/>
      <c r="K67" s="25">
        <f t="shared" si="24"/>
        <v>0</v>
      </c>
      <c r="L67" s="25" t="e">
        <f t="shared" si="25"/>
        <v>#NAME?</v>
      </c>
      <c r="M67" s="27" t="e">
        <f t="shared" si="26"/>
        <v>#NAME?</v>
      </c>
      <c r="N67" s="39"/>
      <c r="O67" s="36" t="str">
        <f t="shared" si="27"/>
        <v>Central</v>
      </c>
      <c r="P67" s="26" t="e">
        <f t="shared" si="28"/>
        <v>#NAME?</v>
      </c>
      <c r="Q67" s="27" t="e">
        <f t="shared" si="29"/>
        <v>#VALUE!</v>
      </c>
      <c r="R67" s="27"/>
      <c r="S67" s="26">
        <f t="shared" si="30"/>
        <v>2122</v>
      </c>
      <c r="T67" s="26" t="e">
        <f t="shared" si="31"/>
        <v>#NAME?</v>
      </c>
      <c r="U67" s="27" t="e">
        <f t="shared" si="32"/>
        <v>#NAME?</v>
      </c>
      <c r="V67" s="27"/>
      <c r="W67" s="26">
        <f t="shared" si="33"/>
        <v>859</v>
      </c>
      <c r="X67" s="26" t="e">
        <f t="shared" si="34"/>
        <v>#NAME?</v>
      </c>
      <c r="Y67" s="27" t="e">
        <f t="shared" si="35"/>
        <v>#NAME?</v>
      </c>
    </row>
    <row r="68" spans="1:25" ht="16.5" customHeight="1" x14ac:dyDescent="0.25">
      <c r="A68" s="16" t="s">
        <v>168</v>
      </c>
      <c r="B68" s="32" t="s">
        <v>169</v>
      </c>
      <c r="C68" s="25">
        <f t="shared" ref="C68:C99" si="36">VLOOKUP(A68,SNAPClient_Demo,10,FALSE)</f>
        <v>2254</v>
      </c>
      <c r="D68" s="25" t="e">
        <f t="shared" ref="D68:D99" si="37">VLOOKUP(A68,Pop,14,FALSE)</f>
        <v>#NAME?</v>
      </c>
      <c r="E68" s="27" t="e">
        <f t="shared" ref="E68:E99" si="38">+C68/D68</f>
        <v>#NAME?</v>
      </c>
      <c r="F68" s="27"/>
      <c r="G68" s="25">
        <f t="shared" ref="G68:G99" si="39">VLOOKUP(A68,SNAPClient_Demo,11,FALSE)</f>
        <v>1634</v>
      </c>
      <c r="H68" s="25" t="e">
        <f t="shared" ref="H68:H99" si="40">VLOOKUP(A68,Pop,15,FALSE)</f>
        <v>#NAME?</v>
      </c>
      <c r="I68" s="27" t="e">
        <f t="shared" ref="I68:I99" si="41">+G68/H68</f>
        <v>#NAME?</v>
      </c>
      <c r="J68" s="27"/>
      <c r="K68" s="25">
        <f t="shared" ref="K68:K99" si="42">VLOOKUP(A68,SNAPClient_Demo,12,FALSE)</f>
        <v>0</v>
      </c>
      <c r="L68" s="25" t="e">
        <f t="shared" ref="L68:L99" si="43">VLOOKUP(A68,Pop,16,FALSE)</f>
        <v>#NAME?</v>
      </c>
      <c r="M68" s="27" t="e">
        <f t="shared" ref="M68:M99" si="44">+K68/L68</f>
        <v>#NAME?</v>
      </c>
      <c r="N68" s="39"/>
      <c r="O68" s="36" t="str">
        <f t="shared" ref="O68:O99" si="45">VLOOKUP(A68,SNAPClient_Demo,3,FALSE)</f>
        <v>Central</v>
      </c>
      <c r="P68" s="26" t="e">
        <f t="shared" ref="P68:P99" si="46">VLOOKUP(A68,Pop,8,FALSE)</f>
        <v>#NAME?</v>
      </c>
      <c r="Q68" s="27" t="e">
        <f t="shared" ref="Q68:Q99" si="47">+O68/P68</f>
        <v>#VALUE!</v>
      </c>
      <c r="R68" s="27"/>
      <c r="S68" s="26">
        <f t="shared" ref="S68:S99" si="48">VLOOKUP(A68,SNAPClient_Demo,4,FALSE)</f>
        <v>3888</v>
      </c>
      <c r="T68" s="26" t="e">
        <f t="shared" ref="T68:T99" si="49">VLOOKUP(A68,Pop,9,FALSE)</f>
        <v>#NAME?</v>
      </c>
      <c r="U68" s="27" t="e">
        <f t="shared" ref="U68:U99" si="50">+S68/T68</f>
        <v>#NAME?</v>
      </c>
      <c r="V68" s="27"/>
      <c r="W68" s="26">
        <f t="shared" ref="W68:W99" si="51">VLOOKUP(A68,SNAPClient_Demo,5,FALSE)</f>
        <v>1654</v>
      </c>
      <c r="X68" s="26" t="e">
        <f t="shared" ref="X68:X99" si="52">VLOOKUP(A68,Pop,10,FALSE)</f>
        <v>#NAME?</v>
      </c>
      <c r="Y68" s="27" t="e">
        <f t="shared" ref="Y68:Y99" si="53">+W68/X68</f>
        <v>#NAME?</v>
      </c>
    </row>
    <row r="69" spans="1:25" ht="16.5" customHeight="1" x14ac:dyDescent="0.25">
      <c r="A69" s="16" t="s">
        <v>170</v>
      </c>
      <c r="B69" s="17" t="s">
        <v>171</v>
      </c>
      <c r="C69" s="25">
        <f t="shared" si="36"/>
        <v>2438</v>
      </c>
      <c r="D69" s="25" t="e">
        <f t="shared" si="37"/>
        <v>#NAME?</v>
      </c>
      <c r="E69" s="27" t="e">
        <f t="shared" si="38"/>
        <v>#NAME?</v>
      </c>
      <c r="F69" s="27"/>
      <c r="G69" s="25">
        <f t="shared" si="39"/>
        <v>1701</v>
      </c>
      <c r="H69" s="25" t="e">
        <f t="shared" si="40"/>
        <v>#NAME?</v>
      </c>
      <c r="I69" s="27" t="e">
        <f t="shared" si="41"/>
        <v>#NAME?</v>
      </c>
      <c r="J69" s="27"/>
      <c r="K69" s="25">
        <f t="shared" si="42"/>
        <v>1</v>
      </c>
      <c r="L69" s="25" t="e">
        <f t="shared" si="43"/>
        <v>#NAME?</v>
      </c>
      <c r="M69" s="27" t="e">
        <f t="shared" si="44"/>
        <v>#NAME?</v>
      </c>
      <c r="N69" s="39"/>
      <c r="O69" s="36" t="str">
        <f t="shared" si="45"/>
        <v>Northern</v>
      </c>
      <c r="P69" s="26" t="e">
        <f t="shared" si="46"/>
        <v>#NAME?</v>
      </c>
      <c r="Q69" s="27" t="e">
        <f t="shared" si="47"/>
        <v>#VALUE!</v>
      </c>
      <c r="R69" s="27"/>
      <c r="S69" s="26">
        <f t="shared" si="48"/>
        <v>4140</v>
      </c>
      <c r="T69" s="26" t="e">
        <f t="shared" si="49"/>
        <v>#NAME?</v>
      </c>
      <c r="U69" s="27" t="e">
        <f t="shared" si="50"/>
        <v>#NAME?</v>
      </c>
      <c r="V69" s="27"/>
      <c r="W69" s="26">
        <f t="shared" si="51"/>
        <v>1819</v>
      </c>
      <c r="X69" s="26" t="e">
        <f t="shared" si="52"/>
        <v>#NAME?</v>
      </c>
      <c r="Y69" s="27" t="e">
        <f t="shared" si="53"/>
        <v>#NAME?</v>
      </c>
    </row>
    <row r="70" spans="1:25" ht="16.5" customHeight="1" x14ac:dyDescent="0.25">
      <c r="A70" s="16" t="s">
        <v>172</v>
      </c>
      <c r="B70" s="17" t="s">
        <v>173</v>
      </c>
      <c r="C70" s="25">
        <f t="shared" si="36"/>
        <v>2234</v>
      </c>
      <c r="D70" s="25" t="e">
        <f t="shared" si="37"/>
        <v>#NAME?</v>
      </c>
      <c r="E70" s="27" t="e">
        <f t="shared" si="38"/>
        <v>#NAME?</v>
      </c>
      <c r="F70" s="27"/>
      <c r="G70" s="25">
        <f t="shared" si="39"/>
        <v>1862</v>
      </c>
      <c r="H70" s="25" t="e">
        <f t="shared" si="40"/>
        <v>#NAME?</v>
      </c>
      <c r="I70" s="27" t="e">
        <f t="shared" si="41"/>
        <v>#NAME?</v>
      </c>
      <c r="J70" s="27"/>
      <c r="K70" s="25">
        <f t="shared" si="42"/>
        <v>0</v>
      </c>
      <c r="L70" s="25" t="e">
        <f t="shared" si="43"/>
        <v>#NAME?</v>
      </c>
      <c r="M70" s="27" t="e">
        <f t="shared" si="44"/>
        <v>#NAME?</v>
      </c>
      <c r="N70" s="39"/>
      <c r="O70" s="36" t="str">
        <f t="shared" si="45"/>
        <v>Northern</v>
      </c>
      <c r="P70" s="26" t="e">
        <f t="shared" si="46"/>
        <v>#NAME?</v>
      </c>
      <c r="Q70" s="27" t="e">
        <f t="shared" si="47"/>
        <v>#VALUE!</v>
      </c>
      <c r="R70" s="27"/>
      <c r="S70" s="26">
        <f t="shared" si="48"/>
        <v>4096</v>
      </c>
      <c r="T70" s="26" t="e">
        <f t="shared" si="49"/>
        <v>#NAME?</v>
      </c>
      <c r="U70" s="27" t="e">
        <f t="shared" si="50"/>
        <v>#NAME?</v>
      </c>
      <c r="V70" s="27"/>
      <c r="W70" s="26">
        <f t="shared" si="51"/>
        <v>1621</v>
      </c>
      <c r="X70" s="26" t="e">
        <f t="shared" si="52"/>
        <v>#NAME?</v>
      </c>
      <c r="Y70" s="27" t="e">
        <f t="shared" si="53"/>
        <v>#NAME?</v>
      </c>
    </row>
    <row r="71" spans="1:25" ht="16.5" customHeight="1" x14ac:dyDescent="0.25">
      <c r="A71" s="16" t="s">
        <v>174</v>
      </c>
      <c r="B71" s="17" t="s">
        <v>175</v>
      </c>
      <c r="C71" s="25">
        <f t="shared" si="36"/>
        <v>1994</v>
      </c>
      <c r="D71" s="25" t="e">
        <f t="shared" si="37"/>
        <v>#NAME?</v>
      </c>
      <c r="E71" s="27" t="e">
        <f t="shared" si="38"/>
        <v>#NAME?</v>
      </c>
      <c r="F71" s="27"/>
      <c r="G71" s="25">
        <f t="shared" si="39"/>
        <v>1704</v>
      </c>
      <c r="H71" s="25" t="e">
        <f t="shared" si="40"/>
        <v>#NAME?</v>
      </c>
      <c r="I71" s="27" t="e">
        <f t="shared" si="41"/>
        <v>#NAME?</v>
      </c>
      <c r="J71" s="27"/>
      <c r="K71" s="25">
        <f t="shared" si="42"/>
        <v>0</v>
      </c>
      <c r="L71" s="25" t="e">
        <f t="shared" si="43"/>
        <v>#NAME?</v>
      </c>
      <c r="M71" s="27" t="e">
        <f t="shared" si="44"/>
        <v>#NAME?</v>
      </c>
      <c r="N71" s="39"/>
      <c r="O71" s="36" t="str">
        <f t="shared" si="45"/>
        <v>Western</v>
      </c>
      <c r="P71" s="26" t="e">
        <f t="shared" si="46"/>
        <v>#NAME?</v>
      </c>
      <c r="Q71" s="27" t="e">
        <f t="shared" si="47"/>
        <v>#VALUE!</v>
      </c>
      <c r="R71" s="27"/>
      <c r="S71" s="26">
        <f t="shared" si="48"/>
        <v>3698</v>
      </c>
      <c r="T71" s="26" t="e">
        <f t="shared" si="49"/>
        <v>#NAME?</v>
      </c>
      <c r="U71" s="27" t="e">
        <f t="shared" si="50"/>
        <v>#NAME?</v>
      </c>
      <c r="V71" s="27"/>
      <c r="W71" s="26">
        <f t="shared" si="51"/>
        <v>1334</v>
      </c>
      <c r="X71" s="26" t="e">
        <f t="shared" si="52"/>
        <v>#NAME?</v>
      </c>
      <c r="Y71" s="27" t="e">
        <f t="shared" si="53"/>
        <v>#NAME?</v>
      </c>
    </row>
    <row r="72" spans="1:25" ht="16.5" customHeight="1" x14ac:dyDescent="0.25">
      <c r="A72" s="16" t="s">
        <v>178</v>
      </c>
      <c r="B72" s="32" t="s">
        <v>179</v>
      </c>
      <c r="C72" s="25">
        <f t="shared" si="36"/>
        <v>6674</v>
      </c>
      <c r="D72" s="25" t="e">
        <f t="shared" si="37"/>
        <v>#NAME?</v>
      </c>
      <c r="E72" s="27" t="e">
        <f t="shared" si="38"/>
        <v>#NAME?</v>
      </c>
      <c r="F72" s="27"/>
      <c r="G72" s="25">
        <f t="shared" si="39"/>
        <v>5063</v>
      </c>
      <c r="H72" s="25" t="e">
        <f t="shared" si="40"/>
        <v>#NAME?</v>
      </c>
      <c r="I72" s="27" t="e">
        <f t="shared" si="41"/>
        <v>#NAME?</v>
      </c>
      <c r="J72" s="27"/>
      <c r="K72" s="25">
        <f t="shared" si="42"/>
        <v>0</v>
      </c>
      <c r="L72" s="25" t="e">
        <f t="shared" si="43"/>
        <v>#NAME?</v>
      </c>
      <c r="M72" s="27" t="e">
        <f t="shared" si="44"/>
        <v>#NAME?</v>
      </c>
      <c r="N72" s="39"/>
      <c r="O72" s="36" t="str">
        <f t="shared" si="45"/>
        <v>Piedmont</v>
      </c>
      <c r="P72" s="26" t="e">
        <f t="shared" si="46"/>
        <v>#NAME?</v>
      </c>
      <c r="Q72" s="27" t="e">
        <f t="shared" si="47"/>
        <v>#VALUE!</v>
      </c>
      <c r="R72" s="27"/>
      <c r="S72" s="26">
        <f t="shared" si="48"/>
        <v>11737</v>
      </c>
      <c r="T72" s="26" t="e">
        <f t="shared" si="49"/>
        <v>#NAME?</v>
      </c>
      <c r="U72" s="27" t="e">
        <f t="shared" si="50"/>
        <v>#NAME?</v>
      </c>
      <c r="V72" s="27"/>
      <c r="W72" s="26">
        <f t="shared" si="51"/>
        <v>4715</v>
      </c>
      <c r="X72" s="26" t="e">
        <f t="shared" si="52"/>
        <v>#NAME?</v>
      </c>
      <c r="Y72" s="27" t="e">
        <f t="shared" si="53"/>
        <v>#NAME?</v>
      </c>
    </row>
    <row r="73" spans="1:25" ht="16.5" customHeight="1" x14ac:dyDescent="0.25">
      <c r="A73" s="16" t="s">
        <v>182</v>
      </c>
      <c r="B73" s="17" t="s">
        <v>183</v>
      </c>
      <c r="C73" s="25">
        <f t="shared" si="36"/>
        <v>950</v>
      </c>
      <c r="D73" s="25" t="e">
        <f t="shared" si="37"/>
        <v>#NAME?</v>
      </c>
      <c r="E73" s="27" t="e">
        <f t="shared" si="38"/>
        <v>#NAME?</v>
      </c>
      <c r="F73" s="27"/>
      <c r="G73" s="25">
        <f t="shared" si="39"/>
        <v>703</v>
      </c>
      <c r="H73" s="25" t="e">
        <f t="shared" si="40"/>
        <v>#NAME?</v>
      </c>
      <c r="I73" s="27" t="e">
        <f t="shared" si="41"/>
        <v>#NAME?</v>
      </c>
      <c r="J73" s="27"/>
      <c r="K73" s="25">
        <f t="shared" si="42"/>
        <v>0</v>
      </c>
      <c r="L73" s="25" t="e">
        <f t="shared" si="43"/>
        <v>#NAME?</v>
      </c>
      <c r="M73" s="27" t="e">
        <f t="shared" si="44"/>
        <v>#NAME?</v>
      </c>
      <c r="N73" s="39"/>
      <c r="O73" s="36" t="str">
        <f t="shared" si="45"/>
        <v>Central</v>
      </c>
      <c r="P73" s="26" t="e">
        <f t="shared" si="46"/>
        <v>#NAME?</v>
      </c>
      <c r="Q73" s="27" t="e">
        <f t="shared" si="47"/>
        <v>#VALUE!</v>
      </c>
      <c r="R73" s="27"/>
      <c r="S73" s="26">
        <f t="shared" si="48"/>
        <v>1653</v>
      </c>
      <c r="T73" s="26" t="e">
        <f t="shared" si="49"/>
        <v>#NAME?</v>
      </c>
      <c r="U73" s="27" t="e">
        <f t="shared" si="50"/>
        <v>#NAME?</v>
      </c>
      <c r="V73" s="27"/>
      <c r="W73" s="26">
        <f t="shared" si="51"/>
        <v>680</v>
      </c>
      <c r="X73" s="26" t="e">
        <f t="shared" si="52"/>
        <v>#NAME?</v>
      </c>
      <c r="Y73" s="27" t="e">
        <f t="shared" si="53"/>
        <v>#NAME?</v>
      </c>
    </row>
    <row r="74" spans="1:25" ht="16.5" customHeight="1" x14ac:dyDescent="0.25">
      <c r="A74" s="16" t="s">
        <v>184</v>
      </c>
      <c r="B74" s="17" t="s">
        <v>185</v>
      </c>
      <c r="C74" s="25">
        <f t="shared" si="36"/>
        <v>2453</v>
      </c>
      <c r="D74" s="25" t="e">
        <f t="shared" si="37"/>
        <v>#NAME?</v>
      </c>
      <c r="E74" s="27" t="e">
        <f t="shared" si="38"/>
        <v>#NAME?</v>
      </c>
      <c r="F74" s="27"/>
      <c r="G74" s="25">
        <f t="shared" si="39"/>
        <v>1813</v>
      </c>
      <c r="H74" s="25" t="e">
        <f t="shared" si="40"/>
        <v>#NAME?</v>
      </c>
      <c r="I74" s="27" t="e">
        <f t="shared" si="41"/>
        <v>#NAME?</v>
      </c>
      <c r="J74" s="27"/>
      <c r="K74" s="25">
        <f t="shared" si="42"/>
        <v>0</v>
      </c>
      <c r="L74" s="25" t="e">
        <f t="shared" si="43"/>
        <v>#NAME?</v>
      </c>
      <c r="M74" s="27" t="e">
        <f t="shared" si="44"/>
        <v>#NAME?</v>
      </c>
      <c r="N74" s="39"/>
      <c r="O74" s="36" t="str">
        <f t="shared" si="45"/>
        <v>Central</v>
      </c>
      <c r="P74" s="26" t="e">
        <f t="shared" si="46"/>
        <v>#NAME?</v>
      </c>
      <c r="Q74" s="27" t="e">
        <f t="shared" si="47"/>
        <v>#VALUE!</v>
      </c>
      <c r="R74" s="27"/>
      <c r="S74" s="26">
        <f t="shared" si="48"/>
        <v>4266</v>
      </c>
      <c r="T74" s="26" t="e">
        <f t="shared" si="49"/>
        <v>#NAME?</v>
      </c>
      <c r="U74" s="27" t="e">
        <f t="shared" si="50"/>
        <v>#NAME?</v>
      </c>
      <c r="V74" s="27"/>
      <c r="W74" s="26">
        <f t="shared" si="51"/>
        <v>1731</v>
      </c>
      <c r="X74" s="26" t="e">
        <f t="shared" si="52"/>
        <v>#NAME?</v>
      </c>
      <c r="Y74" s="27" t="e">
        <f t="shared" si="53"/>
        <v>#NAME?</v>
      </c>
    </row>
    <row r="75" spans="1:25" ht="16.5" customHeight="1" x14ac:dyDescent="0.25">
      <c r="A75" s="16" t="s">
        <v>186</v>
      </c>
      <c r="B75" s="17" t="s">
        <v>187</v>
      </c>
      <c r="C75" s="25">
        <f t="shared" si="36"/>
        <v>2637</v>
      </c>
      <c r="D75" s="25" t="e">
        <f t="shared" si="37"/>
        <v>#NAME?</v>
      </c>
      <c r="E75" s="27" t="e">
        <f t="shared" si="38"/>
        <v>#NAME?</v>
      </c>
      <c r="F75" s="27"/>
      <c r="G75" s="25">
        <f t="shared" si="39"/>
        <v>1837</v>
      </c>
      <c r="H75" s="25" t="e">
        <f t="shared" si="40"/>
        <v>#NAME?</v>
      </c>
      <c r="I75" s="27" t="e">
        <f t="shared" si="41"/>
        <v>#NAME?</v>
      </c>
      <c r="J75" s="27"/>
      <c r="K75" s="25">
        <f t="shared" si="42"/>
        <v>0</v>
      </c>
      <c r="L75" s="25" t="e">
        <f t="shared" si="43"/>
        <v>#NAME?</v>
      </c>
      <c r="M75" s="27" t="e">
        <f t="shared" si="44"/>
        <v>#NAME?</v>
      </c>
      <c r="N75" s="39"/>
      <c r="O75" s="36" t="str">
        <f t="shared" si="45"/>
        <v>Eastern</v>
      </c>
      <c r="P75" s="26" t="e">
        <f t="shared" si="46"/>
        <v>#NAME?</v>
      </c>
      <c r="Q75" s="27" t="e">
        <f t="shared" si="47"/>
        <v>#VALUE!</v>
      </c>
      <c r="R75" s="27"/>
      <c r="S75" s="26">
        <f t="shared" si="48"/>
        <v>4474</v>
      </c>
      <c r="T75" s="26" t="e">
        <f t="shared" si="49"/>
        <v>#NAME?</v>
      </c>
      <c r="U75" s="27" t="e">
        <f t="shared" si="50"/>
        <v>#NAME?</v>
      </c>
      <c r="V75" s="27"/>
      <c r="W75" s="26">
        <f t="shared" si="51"/>
        <v>2127</v>
      </c>
      <c r="X75" s="26" t="e">
        <f t="shared" si="52"/>
        <v>#NAME?</v>
      </c>
      <c r="Y75" s="27" t="e">
        <f t="shared" si="53"/>
        <v>#NAME?</v>
      </c>
    </row>
    <row r="76" spans="1:25" ht="16.5" customHeight="1" x14ac:dyDescent="0.25">
      <c r="A76" s="16" t="s">
        <v>188</v>
      </c>
      <c r="B76" s="17" t="s">
        <v>189</v>
      </c>
      <c r="C76" s="25">
        <f t="shared" si="36"/>
        <v>21566</v>
      </c>
      <c r="D76" s="25" t="e">
        <f t="shared" si="37"/>
        <v>#NAME?</v>
      </c>
      <c r="E76" s="27" t="e">
        <f t="shared" si="38"/>
        <v>#NAME?</v>
      </c>
      <c r="F76" s="27"/>
      <c r="G76" s="25">
        <f t="shared" si="39"/>
        <v>15968</v>
      </c>
      <c r="H76" s="25" t="e">
        <f t="shared" si="40"/>
        <v>#NAME?</v>
      </c>
      <c r="I76" s="27" t="e">
        <f t="shared" si="41"/>
        <v>#NAME?</v>
      </c>
      <c r="J76" s="27"/>
      <c r="K76" s="25">
        <f t="shared" si="42"/>
        <v>1</v>
      </c>
      <c r="L76" s="25" t="e">
        <f t="shared" si="43"/>
        <v>#NAME?</v>
      </c>
      <c r="M76" s="27" t="e">
        <f t="shared" si="44"/>
        <v>#NAME?</v>
      </c>
      <c r="N76" s="39"/>
      <c r="O76" s="36" t="str">
        <f t="shared" si="45"/>
        <v>Northern</v>
      </c>
      <c r="P76" s="26" t="e">
        <f t="shared" si="46"/>
        <v>#NAME?</v>
      </c>
      <c r="Q76" s="27" t="e">
        <f t="shared" si="47"/>
        <v>#VALUE!</v>
      </c>
      <c r="R76" s="27"/>
      <c r="S76" s="26">
        <f t="shared" si="48"/>
        <v>37535</v>
      </c>
      <c r="T76" s="26" t="e">
        <f t="shared" si="49"/>
        <v>#NAME?</v>
      </c>
      <c r="U76" s="27" t="e">
        <f t="shared" si="50"/>
        <v>#NAME?</v>
      </c>
      <c r="V76" s="27"/>
      <c r="W76" s="26">
        <f t="shared" si="51"/>
        <v>20310</v>
      </c>
      <c r="X76" s="26" t="e">
        <f t="shared" si="52"/>
        <v>#NAME?</v>
      </c>
      <c r="Y76" s="27" t="e">
        <f t="shared" si="53"/>
        <v>#NAME?</v>
      </c>
    </row>
    <row r="77" spans="1:25" ht="16.5" customHeight="1" x14ac:dyDescent="0.25">
      <c r="A77" s="16" t="s">
        <v>190</v>
      </c>
      <c r="B77" s="17" t="s">
        <v>191</v>
      </c>
      <c r="C77" s="25">
        <f t="shared" si="36"/>
        <v>3954</v>
      </c>
      <c r="D77" s="25" t="e">
        <f t="shared" si="37"/>
        <v>#NAME?</v>
      </c>
      <c r="E77" s="27" t="e">
        <f t="shared" si="38"/>
        <v>#NAME?</v>
      </c>
      <c r="F77" s="27"/>
      <c r="G77" s="25">
        <f t="shared" si="39"/>
        <v>3106</v>
      </c>
      <c r="H77" s="25" t="e">
        <f t="shared" si="40"/>
        <v>#NAME?</v>
      </c>
      <c r="I77" s="27" t="e">
        <f t="shared" si="41"/>
        <v>#NAME?</v>
      </c>
      <c r="J77" s="27"/>
      <c r="K77" s="25">
        <f t="shared" si="42"/>
        <v>0</v>
      </c>
      <c r="L77" s="25" t="e">
        <f t="shared" si="43"/>
        <v>#NAME?</v>
      </c>
      <c r="M77" s="27" t="e">
        <f t="shared" si="44"/>
        <v>#NAME?</v>
      </c>
      <c r="N77" s="39"/>
      <c r="O77" s="36" t="str">
        <f t="shared" si="45"/>
        <v>Western</v>
      </c>
      <c r="P77" s="26" t="e">
        <f t="shared" si="46"/>
        <v>#NAME?</v>
      </c>
      <c r="Q77" s="27" t="e">
        <f t="shared" si="47"/>
        <v>#VALUE!</v>
      </c>
      <c r="R77" s="27"/>
      <c r="S77" s="26">
        <f t="shared" si="48"/>
        <v>7060</v>
      </c>
      <c r="T77" s="26" t="e">
        <f t="shared" si="49"/>
        <v>#NAME?</v>
      </c>
      <c r="U77" s="27" t="e">
        <f t="shared" si="50"/>
        <v>#NAME?</v>
      </c>
      <c r="V77" s="27"/>
      <c r="W77" s="26">
        <f t="shared" si="51"/>
        <v>2610</v>
      </c>
      <c r="X77" s="26" t="e">
        <f t="shared" si="52"/>
        <v>#NAME?</v>
      </c>
      <c r="Y77" s="27" t="e">
        <f t="shared" si="53"/>
        <v>#NAME?</v>
      </c>
    </row>
    <row r="78" spans="1:25" ht="16.5" customHeight="1" x14ac:dyDescent="0.25">
      <c r="A78" s="16" t="s">
        <v>194</v>
      </c>
      <c r="B78" s="17" t="s">
        <v>195</v>
      </c>
      <c r="C78" s="25">
        <f t="shared" si="36"/>
        <v>338</v>
      </c>
      <c r="D78" s="25" t="e">
        <f t="shared" si="37"/>
        <v>#NAME?</v>
      </c>
      <c r="E78" s="27" t="e">
        <f t="shared" si="38"/>
        <v>#NAME?</v>
      </c>
      <c r="F78" s="27"/>
      <c r="G78" s="25">
        <f t="shared" si="39"/>
        <v>243</v>
      </c>
      <c r="H78" s="25" t="e">
        <f t="shared" si="40"/>
        <v>#NAME?</v>
      </c>
      <c r="I78" s="27" t="e">
        <f t="shared" si="41"/>
        <v>#NAME?</v>
      </c>
      <c r="J78" s="27"/>
      <c r="K78" s="25">
        <f t="shared" si="42"/>
        <v>0</v>
      </c>
      <c r="L78" s="25" t="e">
        <f t="shared" si="43"/>
        <v>#NAME?</v>
      </c>
      <c r="M78" s="27" t="e">
        <f t="shared" si="44"/>
        <v>#NAME?</v>
      </c>
      <c r="N78" s="39"/>
      <c r="O78" s="36" t="str">
        <f t="shared" si="45"/>
        <v>Northern</v>
      </c>
      <c r="P78" s="26" t="e">
        <f t="shared" si="46"/>
        <v>#NAME?</v>
      </c>
      <c r="Q78" s="27" t="e">
        <f t="shared" si="47"/>
        <v>#VALUE!</v>
      </c>
      <c r="R78" s="27"/>
      <c r="S78" s="26">
        <f t="shared" si="48"/>
        <v>581</v>
      </c>
      <c r="T78" s="26" t="e">
        <f t="shared" si="49"/>
        <v>#NAME?</v>
      </c>
      <c r="U78" s="27" t="e">
        <f t="shared" si="50"/>
        <v>#NAME?</v>
      </c>
      <c r="V78" s="27"/>
      <c r="W78" s="26">
        <f t="shared" si="51"/>
        <v>247</v>
      </c>
      <c r="X78" s="26" t="e">
        <f t="shared" si="52"/>
        <v>#NAME?</v>
      </c>
      <c r="Y78" s="27" t="e">
        <f t="shared" si="53"/>
        <v>#NAME?</v>
      </c>
    </row>
    <row r="79" spans="1:25" ht="16.5" customHeight="1" x14ac:dyDescent="0.25">
      <c r="A79" s="16" t="s">
        <v>198</v>
      </c>
      <c r="B79" s="32" t="s">
        <v>199</v>
      </c>
      <c r="C79" s="25">
        <f t="shared" si="36"/>
        <v>1147</v>
      </c>
      <c r="D79" s="25" t="e">
        <f t="shared" si="37"/>
        <v>#NAME?</v>
      </c>
      <c r="E79" s="27" t="e">
        <f t="shared" si="38"/>
        <v>#NAME?</v>
      </c>
      <c r="F79" s="27"/>
      <c r="G79" s="25">
        <f t="shared" si="39"/>
        <v>780</v>
      </c>
      <c r="H79" s="25" t="e">
        <f t="shared" si="40"/>
        <v>#NAME?</v>
      </c>
      <c r="I79" s="27" t="e">
        <f t="shared" si="41"/>
        <v>#NAME?</v>
      </c>
      <c r="J79" s="27"/>
      <c r="K79" s="25">
        <f t="shared" si="42"/>
        <v>0</v>
      </c>
      <c r="L79" s="25" t="e">
        <f t="shared" si="43"/>
        <v>#NAME?</v>
      </c>
      <c r="M79" s="27" t="e">
        <f t="shared" si="44"/>
        <v>#NAME?</v>
      </c>
      <c r="N79" s="39"/>
      <c r="O79" s="36" t="str">
        <f t="shared" si="45"/>
        <v>Central</v>
      </c>
      <c r="P79" s="26" t="e">
        <f t="shared" si="46"/>
        <v>#NAME?</v>
      </c>
      <c r="Q79" s="27" t="e">
        <f t="shared" si="47"/>
        <v>#VALUE!</v>
      </c>
      <c r="R79" s="27"/>
      <c r="S79" s="26">
        <f t="shared" si="48"/>
        <v>1927</v>
      </c>
      <c r="T79" s="26" t="e">
        <f t="shared" si="49"/>
        <v>#NAME?</v>
      </c>
      <c r="U79" s="27" t="e">
        <f t="shared" si="50"/>
        <v>#NAME?</v>
      </c>
      <c r="V79" s="27"/>
      <c r="W79" s="26">
        <f t="shared" si="51"/>
        <v>777</v>
      </c>
      <c r="X79" s="26" t="e">
        <f t="shared" si="52"/>
        <v>#NAME?</v>
      </c>
      <c r="Y79" s="27" t="e">
        <f t="shared" si="53"/>
        <v>#NAME?</v>
      </c>
    </row>
    <row r="80" spans="1:25" ht="16.5" customHeight="1" x14ac:dyDescent="0.25">
      <c r="A80" s="16" t="s">
        <v>202</v>
      </c>
      <c r="B80" s="17" t="s">
        <v>203</v>
      </c>
      <c r="C80" s="25">
        <f t="shared" si="36"/>
        <v>5938</v>
      </c>
      <c r="D80" s="25" t="e">
        <f t="shared" si="37"/>
        <v>#NAME?</v>
      </c>
      <c r="E80" s="27" t="e">
        <f t="shared" si="38"/>
        <v>#NAME?</v>
      </c>
      <c r="F80" s="27"/>
      <c r="G80" s="25">
        <f t="shared" si="39"/>
        <v>4396</v>
      </c>
      <c r="H80" s="25" t="e">
        <f t="shared" si="40"/>
        <v>#NAME?</v>
      </c>
      <c r="I80" s="27" t="e">
        <f t="shared" si="41"/>
        <v>#NAME?</v>
      </c>
      <c r="J80" s="27"/>
      <c r="K80" s="25">
        <f t="shared" si="42"/>
        <v>0</v>
      </c>
      <c r="L80" s="25" t="e">
        <f t="shared" si="43"/>
        <v>#NAME?</v>
      </c>
      <c r="M80" s="27" t="e">
        <f t="shared" si="44"/>
        <v>#NAME?</v>
      </c>
      <c r="N80" s="39"/>
      <c r="O80" s="36" t="str">
        <f t="shared" si="45"/>
        <v>Piedmont</v>
      </c>
      <c r="P80" s="26" t="e">
        <f t="shared" si="46"/>
        <v>#NAME?</v>
      </c>
      <c r="Q80" s="27" t="e">
        <f t="shared" si="47"/>
        <v>#VALUE!</v>
      </c>
      <c r="R80" s="27"/>
      <c r="S80" s="26">
        <f t="shared" si="48"/>
        <v>10334</v>
      </c>
      <c r="T80" s="26" t="e">
        <f t="shared" si="49"/>
        <v>#NAME?</v>
      </c>
      <c r="U80" s="27" t="e">
        <f t="shared" si="50"/>
        <v>#NAME?</v>
      </c>
      <c r="V80" s="27"/>
      <c r="W80" s="26">
        <f t="shared" si="51"/>
        <v>4478</v>
      </c>
      <c r="X80" s="26" t="e">
        <f t="shared" si="52"/>
        <v>#NAME?</v>
      </c>
      <c r="Y80" s="27" t="e">
        <f t="shared" si="53"/>
        <v>#NAME?</v>
      </c>
    </row>
    <row r="81" spans="1:25" ht="16.5" customHeight="1" x14ac:dyDescent="0.25">
      <c r="A81" s="16" t="s">
        <v>204</v>
      </c>
      <c r="B81" s="17" t="s">
        <v>205</v>
      </c>
      <c r="C81" s="25">
        <f t="shared" si="36"/>
        <v>3098</v>
      </c>
      <c r="D81" s="25" t="e">
        <f t="shared" si="37"/>
        <v>#NAME?</v>
      </c>
      <c r="E81" s="27" t="e">
        <f t="shared" si="38"/>
        <v>#NAME?</v>
      </c>
      <c r="F81" s="27"/>
      <c r="G81" s="25">
        <f t="shared" si="39"/>
        <v>2253</v>
      </c>
      <c r="H81" s="25" t="e">
        <f t="shared" si="40"/>
        <v>#NAME?</v>
      </c>
      <c r="I81" s="27" t="e">
        <f t="shared" si="41"/>
        <v>#NAME?</v>
      </c>
      <c r="J81" s="27"/>
      <c r="K81" s="25">
        <f t="shared" si="42"/>
        <v>0</v>
      </c>
      <c r="L81" s="25" t="e">
        <f t="shared" si="43"/>
        <v>#NAME?</v>
      </c>
      <c r="M81" s="27" t="e">
        <f t="shared" si="44"/>
        <v>#NAME?</v>
      </c>
      <c r="N81" s="39"/>
      <c r="O81" s="36" t="str">
        <f t="shared" si="45"/>
        <v>Piedmont</v>
      </c>
      <c r="P81" s="26" t="e">
        <f t="shared" si="46"/>
        <v>#NAME?</v>
      </c>
      <c r="Q81" s="27" t="e">
        <f t="shared" si="47"/>
        <v>#VALUE!</v>
      </c>
      <c r="R81" s="27"/>
      <c r="S81" s="26">
        <f t="shared" si="48"/>
        <v>5351</v>
      </c>
      <c r="T81" s="26" t="e">
        <f t="shared" si="49"/>
        <v>#NAME?</v>
      </c>
      <c r="U81" s="27" t="e">
        <f t="shared" si="50"/>
        <v>#NAME?</v>
      </c>
      <c r="V81" s="27"/>
      <c r="W81" s="26">
        <f t="shared" si="51"/>
        <v>2194</v>
      </c>
      <c r="X81" s="26" t="e">
        <f t="shared" si="52"/>
        <v>#NAME?</v>
      </c>
      <c r="Y81" s="27" t="e">
        <f t="shared" si="53"/>
        <v>#NAME?</v>
      </c>
    </row>
    <row r="82" spans="1:25" ht="16.5" customHeight="1" x14ac:dyDescent="0.25">
      <c r="A82" s="16" t="s">
        <v>206</v>
      </c>
      <c r="B82" s="32" t="s">
        <v>207</v>
      </c>
      <c r="C82" s="25">
        <f t="shared" si="36"/>
        <v>8383</v>
      </c>
      <c r="D82" s="25" t="e">
        <f t="shared" si="37"/>
        <v>#NAME?</v>
      </c>
      <c r="E82" s="27" t="e">
        <f t="shared" si="38"/>
        <v>#NAME?</v>
      </c>
      <c r="F82" s="27"/>
      <c r="G82" s="25">
        <f t="shared" si="39"/>
        <v>6413</v>
      </c>
      <c r="H82" s="25" t="e">
        <f t="shared" si="40"/>
        <v>#NAME?</v>
      </c>
      <c r="I82" s="27" t="e">
        <f t="shared" si="41"/>
        <v>#NAME?</v>
      </c>
      <c r="J82" s="27"/>
      <c r="K82" s="25">
        <f t="shared" si="42"/>
        <v>0</v>
      </c>
      <c r="L82" s="25" t="e">
        <f t="shared" si="43"/>
        <v>#NAME?</v>
      </c>
      <c r="M82" s="27" t="e">
        <f t="shared" si="44"/>
        <v>#NAME?</v>
      </c>
      <c r="N82" s="39"/>
      <c r="O82" s="36" t="str">
        <f t="shared" si="45"/>
        <v>Northern</v>
      </c>
      <c r="P82" s="26" t="e">
        <f t="shared" si="46"/>
        <v>#NAME?</v>
      </c>
      <c r="Q82" s="27" t="e">
        <f t="shared" si="47"/>
        <v>#VALUE!</v>
      </c>
      <c r="R82" s="27"/>
      <c r="S82" s="26">
        <f t="shared" si="48"/>
        <v>14796</v>
      </c>
      <c r="T82" s="26" t="e">
        <f t="shared" si="49"/>
        <v>#NAME?</v>
      </c>
      <c r="U82" s="27" t="e">
        <f t="shared" si="50"/>
        <v>#NAME?</v>
      </c>
      <c r="V82" s="27"/>
      <c r="W82" s="26">
        <f t="shared" si="51"/>
        <v>7166</v>
      </c>
      <c r="X82" s="26" t="e">
        <f t="shared" si="52"/>
        <v>#NAME?</v>
      </c>
      <c r="Y82" s="27" t="e">
        <f t="shared" si="53"/>
        <v>#NAME?</v>
      </c>
    </row>
    <row r="83" spans="1:25" ht="16.5" customHeight="1" x14ac:dyDescent="0.25">
      <c r="A83" s="16" t="s">
        <v>208</v>
      </c>
      <c r="B83" s="32" t="s">
        <v>209</v>
      </c>
      <c r="C83" s="25">
        <f t="shared" si="36"/>
        <v>3807</v>
      </c>
      <c r="D83" s="25" t="e">
        <f t="shared" si="37"/>
        <v>#NAME?</v>
      </c>
      <c r="E83" s="27" t="e">
        <f t="shared" si="38"/>
        <v>#NAME?</v>
      </c>
      <c r="F83" s="27"/>
      <c r="G83" s="25">
        <f t="shared" si="39"/>
        <v>3076</v>
      </c>
      <c r="H83" s="25" t="e">
        <f t="shared" si="40"/>
        <v>#NAME?</v>
      </c>
      <c r="I83" s="27" t="e">
        <f t="shared" si="41"/>
        <v>#NAME?</v>
      </c>
      <c r="J83" s="27"/>
      <c r="K83" s="25">
        <f t="shared" si="42"/>
        <v>0</v>
      </c>
      <c r="L83" s="25" t="e">
        <f t="shared" si="43"/>
        <v>#NAME?</v>
      </c>
      <c r="M83" s="27" t="e">
        <f t="shared" si="44"/>
        <v>#NAME?</v>
      </c>
      <c r="N83" s="39"/>
      <c r="O83" s="36" t="str">
        <f t="shared" si="45"/>
        <v>Western</v>
      </c>
      <c r="P83" s="26" t="e">
        <f t="shared" si="46"/>
        <v>#NAME?</v>
      </c>
      <c r="Q83" s="27" t="e">
        <f t="shared" si="47"/>
        <v>#VALUE!</v>
      </c>
      <c r="R83" s="27"/>
      <c r="S83" s="26">
        <f t="shared" si="48"/>
        <v>6883</v>
      </c>
      <c r="T83" s="26" t="e">
        <f t="shared" si="49"/>
        <v>#NAME?</v>
      </c>
      <c r="U83" s="27" t="e">
        <f t="shared" si="50"/>
        <v>#NAME?</v>
      </c>
      <c r="V83" s="27"/>
      <c r="W83" s="26">
        <f t="shared" si="51"/>
        <v>2359</v>
      </c>
      <c r="X83" s="26" t="e">
        <f t="shared" si="52"/>
        <v>#NAME?</v>
      </c>
      <c r="Y83" s="27" t="e">
        <f t="shared" si="53"/>
        <v>#NAME?</v>
      </c>
    </row>
    <row r="84" spans="1:25" ht="16.5" customHeight="1" x14ac:dyDescent="0.25">
      <c r="A84" s="16" t="s">
        <v>210</v>
      </c>
      <c r="B84" s="32" t="s">
        <v>211</v>
      </c>
      <c r="C84" s="25">
        <f t="shared" si="36"/>
        <v>2564</v>
      </c>
      <c r="D84" s="25" t="e">
        <f t="shared" si="37"/>
        <v>#NAME?</v>
      </c>
      <c r="E84" s="27" t="e">
        <f t="shared" si="38"/>
        <v>#NAME?</v>
      </c>
      <c r="F84" s="27"/>
      <c r="G84" s="25">
        <f t="shared" si="39"/>
        <v>2187</v>
      </c>
      <c r="H84" s="25" t="e">
        <f t="shared" si="40"/>
        <v>#NAME?</v>
      </c>
      <c r="I84" s="27" t="e">
        <f t="shared" si="41"/>
        <v>#NAME?</v>
      </c>
      <c r="J84" s="27"/>
      <c r="K84" s="25">
        <f t="shared" si="42"/>
        <v>0</v>
      </c>
      <c r="L84" s="25" t="e">
        <f t="shared" si="43"/>
        <v>#NAME?</v>
      </c>
      <c r="M84" s="27" t="e">
        <f t="shared" si="44"/>
        <v>#NAME?</v>
      </c>
      <c r="N84" s="39"/>
      <c r="O84" s="36" t="str">
        <f t="shared" si="45"/>
        <v>Western</v>
      </c>
      <c r="P84" s="26" t="e">
        <f t="shared" si="46"/>
        <v>#NAME?</v>
      </c>
      <c r="Q84" s="27" t="e">
        <f t="shared" si="47"/>
        <v>#VALUE!</v>
      </c>
      <c r="R84" s="27"/>
      <c r="S84" s="26">
        <f t="shared" si="48"/>
        <v>4751</v>
      </c>
      <c r="T84" s="26" t="e">
        <f t="shared" si="49"/>
        <v>#NAME?</v>
      </c>
      <c r="U84" s="27" t="e">
        <f t="shared" si="50"/>
        <v>#NAME?</v>
      </c>
      <c r="V84" s="27"/>
      <c r="W84" s="26">
        <f t="shared" si="51"/>
        <v>1695</v>
      </c>
      <c r="X84" s="26" t="e">
        <f t="shared" si="52"/>
        <v>#NAME?</v>
      </c>
      <c r="Y84" s="27" t="e">
        <f t="shared" si="53"/>
        <v>#NAME?</v>
      </c>
    </row>
    <row r="85" spans="1:25" ht="16.5" customHeight="1" x14ac:dyDescent="0.25">
      <c r="A85" s="16" t="s">
        <v>212</v>
      </c>
      <c r="B85" s="32" t="s">
        <v>213</v>
      </c>
      <c r="C85" s="25">
        <f t="shared" si="36"/>
        <v>3575</v>
      </c>
      <c r="D85" s="25" t="e">
        <f t="shared" si="37"/>
        <v>#NAME?</v>
      </c>
      <c r="E85" s="27" t="e">
        <f t="shared" si="38"/>
        <v>#NAME?</v>
      </c>
      <c r="F85" s="27"/>
      <c r="G85" s="25">
        <f t="shared" si="39"/>
        <v>2719</v>
      </c>
      <c r="H85" s="25" t="e">
        <f t="shared" si="40"/>
        <v>#NAME?</v>
      </c>
      <c r="I85" s="27" t="e">
        <f t="shared" si="41"/>
        <v>#NAME?</v>
      </c>
      <c r="J85" s="27"/>
      <c r="K85" s="25">
        <f t="shared" si="42"/>
        <v>0</v>
      </c>
      <c r="L85" s="25" t="e">
        <f t="shared" si="43"/>
        <v>#NAME?</v>
      </c>
      <c r="M85" s="27" t="e">
        <f t="shared" si="44"/>
        <v>#NAME?</v>
      </c>
      <c r="N85" s="39"/>
      <c r="O85" s="36" t="str">
        <f t="shared" si="45"/>
        <v>Northern</v>
      </c>
      <c r="P85" s="26" t="e">
        <f t="shared" si="46"/>
        <v>#NAME?</v>
      </c>
      <c r="Q85" s="27" t="e">
        <f t="shared" si="47"/>
        <v>#VALUE!</v>
      </c>
      <c r="R85" s="27"/>
      <c r="S85" s="26">
        <f t="shared" si="48"/>
        <v>6294</v>
      </c>
      <c r="T85" s="26" t="e">
        <f t="shared" si="49"/>
        <v>#NAME?</v>
      </c>
      <c r="U85" s="27" t="e">
        <f t="shared" si="50"/>
        <v>#NAME?</v>
      </c>
      <c r="V85" s="27"/>
      <c r="W85" s="26">
        <f t="shared" si="51"/>
        <v>2893</v>
      </c>
      <c r="X85" s="26" t="e">
        <f t="shared" si="52"/>
        <v>#NAME?</v>
      </c>
      <c r="Y85" s="27" t="e">
        <f t="shared" si="53"/>
        <v>#NAME?</v>
      </c>
    </row>
    <row r="86" spans="1:25" ht="16.5" customHeight="1" x14ac:dyDescent="0.25">
      <c r="A86" s="16" t="s">
        <v>214</v>
      </c>
      <c r="B86" s="32" t="s">
        <v>215</v>
      </c>
      <c r="C86" s="25">
        <f t="shared" si="36"/>
        <v>4180</v>
      </c>
      <c r="D86" s="25" t="e">
        <f t="shared" si="37"/>
        <v>#NAME?</v>
      </c>
      <c r="E86" s="27" t="e">
        <f t="shared" si="38"/>
        <v>#NAME?</v>
      </c>
      <c r="F86" s="27"/>
      <c r="G86" s="25">
        <f t="shared" si="39"/>
        <v>3390</v>
      </c>
      <c r="H86" s="25" t="e">
        <f t="shared" si="40"/>
        <v>#NAME?</v>
      </c>
      <c r="I86" s="27" t="e">
        <f t="shared" si="41"/>
        <v>#NAME?</v>
      </c>
      <c r="J86" s="27"/>
      <c r="K86" s="25">
        <f t="shared" si="42"/>
        <v>0</v>
      </c>
      <c r="L86" s="25" t="e">
        <f t="shared" si="43"/>
        <v>#NAME?</v>
      </c>
      <c r="M86" s="27" t="e">
        <f t="shared" si="44"/>
        <v>#NAME?</v>
      </c>
      <c r="N86" s="39"/>
      <c r="O86" s="36" t="str">
        <f t="shared" si="45"/>
        <v>Western</v>
      </c>
      <c r="P86" s="26" t="e">
        <f t="shared" si="46"/>
        <v>#NAME?</v>
      </c>
      <c r="Q86" s="27" t="e">
        <f t="shared" si="47"/>
        <v>#VALUE!</v>
      </c>
      <c r="R86" s="27"/>
      <c r="S86" s="26">
        <f t="shared" si="48"/>
        <v>7570</v>
      </c>
      <c r="T86" s="26" t="e">
        <f t="shared" si="49"/>
        <v>#NAME?</v>
      </c>
      <c r="U86" s="27" t="e">
        <f t="shared" si="50"/>
        <v>#NAME?</v>
      </c>
      <c r="V86" s="27"/>
      <c r="W86" s="26">
        <f t="shared" si="51"/>
        <v>2681</v>
      </c>
      <c r="X86" s="26" t="e">
        <f t="shared" si="52"/>
        <v>#NAME?</v>
      </c>
      <c r="Y86" s="27" t="e">
        <f t="shared" si="53"/>
        <v>#NAME?</v>
      </c>
    </row>
    <row r="87" spans="1:25" ht="16.5" customHeight="1" x14ac:dyDescent="0.25">
      <c r="A87" s="16" t="s">
        <v>216</v>
      </c>
      <c r="B87" s="32" t="s">
        <v>217</v>
      </c>
      <c r="C87" s="25">
        <f t="shared" si="36"/>
        <v>2057</v>
      </c>
      <c r="D87" s="25" t="e">
        <f t="shared" si="37"/>
        <v>#NAME?</v>
      </c>
      <c r="E87" s="27" t="e">
        <f t="shared" si="38"/>
        <v>#NAME?</v>
      </c>
      <c r="F87" s="27"/>
      <c r="G87" s="25">
        <f t="shared" si="39"/>
        <v>1449</v>
      </c>
      <c r="H87" s="25" t="e">
        <f t="shared" si="40"/>
        <v>#NAME?</v>
      </c>
      <c r="I87" s="27" t="e">
        <f t="shared" si="41"/>
        <v>#NAME?</v>
      </c>
      <c r="J87" s="27"/>
      <c r="K87" s="25">
        <f t="shared" si="42"/>
        <v>0</v>
      </c>
      <c r="L87" s="25" t="e">
        <f t="shared" si="43"/>
        <v>#NAME?</v>
      </c>
      <c r="M87" s="27" t="e">
        <f t="shared" si="44"/>
        <v>#NAME?</v>
      </c>
      <c r="N87" s="39"/>
      <c r="O87" s="36" t="str">
        <f t="shared" si="45"/>
        <v>Eastern</v>
      </c>
      <c r="P87" s="26" t="e">
        <f t="shared" si="46"/>
        <v>#NAME?</v>
      </c>
      <c r="Q87" s="27" t="e">
        <f t="shared" si="47"/>
        <v>#VALUE!</v>
      </c>
      <c r="R87" s="27"/>
      <c r="S87" s="26">
        <f t="shared" si="48"/>
        <v>3506</v>
      </c>
      <c r="T87" s="26" t="e">
        <f t="shared" si="49"/>
        <v>#NAME?</v>
      </c>
      <c r="U87" s="27" t="e">
        <f t="shared" si="50"/>
        <v>#NAME?</v>
      </c>
      <c r="V87" s="27"/>
      <c r="W87" s="26">
        <f t="shared" si="51"/>
        <v>1407</v>
      </c>
      <c r="X87" s="26" t="e">
        <f t="shared" si="52"/>
        <v>#NAME?</v>
      </c>
      <c r="Y87" s="27" t="e">
        <f t="shared" si="53"/>
        <v>#NAME?</v>
      </c>
    </row>
    <row r="88" spans="1:25" ht="16.5" customHeight="1" x14ac:dyDescent="0.25">
      <c r="A88" s="16" t="s">
        <v>218</v>
      </c>
      <c r="B88" s="17" t="s">
        <v>219</v>
      </c>
      <c r="C88" s="25">
        <f t="shared" si="36"/>
        <v>8971</v>
      </c>
      <c r="D88" s="25" t="e">
        <f t="shared" si="37"/>
        <v>#NAME?</v>
      </c>
      <c r="E88" s="27" t="e">
        <f t="shared" si="38"/>
        <v>#NAME?</v>
      </c>
      <c r="F88" s="27"/>
      <c r="G88" s="25">
        <f t="shared" si="39"/>
        <v>6498</v>
      </c>
      <c r="H88" s="25" t="e">
        <f t="shared" si="40"/>
        <v>#NAME?</v>
      </c>
      <c r="I88" s="27" t="e">
        <f t="shared" si="41"/>
        <v>#NAME?</v>
      </c>
      <c r="J88" s="27"/>
      <c r="K88" s="25">
        <f t="shared" si="42"/>
        <v>0</v>
      </c>
      <c r="L88" s="25" t="e">
        <f t="shared" si="43"/>
        <v>#NAME?</v>
      </c>
      <c r="M88" s="27" t="e">
        <f t="shared" si="44"/>
        <v>#NAME?</v>
      </c>
      <c r="N88" s="39"/>
      <c r="O88" s="36" t="str">
        <f t="shared" si="45"/>
        <v>Northern</v>
      </c>
      <c r="P88" s="26" t="e">
        <f t="shared" si="46"/>
        <v>#NAME?</v>
      </c>
      <c r="Q88" s="27" t="e">
        <f t="shared" si="47"/>
        <v>#VALUE!</v>
      </c>
      <c r="R88" s="27"/>
      <c r="S88" s="26">
        <f t="shared" si="48"/>
        <v>15469</v>
      </c>
      <c r="T88" s="26" t="e">
        <f t="shared" si="49"/>
        <v>#NAME?</v>
      </c>
      <c r="U88" s="27" t="e">
        <f t="shared" si="50"/>
        <v>#NAME?</v>
      </c>
      <c r="V88" s="27"/>
      <c r="W88" s="26">
        <f t="shared" si="51"/>
        <v>7693</v>
      </c>
      <c r="X88" s="26" t="e">
        <f t="shared" si="52"/>
        <v>#NAME?</v>
      </c>
      <c r="Y88" s="27" t="e">
        <f t="shared" si="53"/>
        <v>#NAME?</v>
      </c>
    </row>
    <row r="89" spans="1:25" ht="16.5" customHeight="1" x14ac:dyDescent="0.25">
      <c r="A89" s="16" t="s">
        <v>220</v>
      </c>
      <c r="B89" s="17" t="s">
        <v>221</v>
      </c>
      <c r="C89" s="25">
        <f t="shared" si="36"/>
        <v>7288</v>
      </c>
      <c r="D89" s="25" t="e">
        <f t="shared" si="37"/>
        <v>#NAME?</v>
      </c>
      <c r="E89" s="27" t="e">
        <f t="shared" si="38"/>
        <v>#NAME?</v>
      </c>
      <c r="F89" s="27"/>
      <c r="G89" s="25">
        <f t="shared" si="39"/>
        <v>5106</v>
      </c>
      <c r="H89" s="25" t="e">
        <f t="shared" si="40"/>
        <v>#NAME?</v>
      </c>
      <c r="I89" s="27" t="e">
        <f t="shared" si="41"/>
        <v>#NAME?</v>
      </c>
      <c r="J89" s="27"/>
      <c r="K89" s="25">
        <f t="shared" si="42"/>
        <v>0</v>
      </c>
      <c r="L89" s="25" t="e">
        <f t="shared" si="43"/>
        <v>#NAME?</v>
      </c>
      <c r="M89" s="27" t="e">
        <f t="shared" si="44"/>
        <v>#NAME?</v>
      </c>
      <c r="N89" s="39"/>
      <c r="O89" s="36" t="str">
        <f t="shared" si="45"/>
        <v>Northern</v>
      </c>
      <c r="P89" s="26" t="e">
        <f t="shared" si="46"/>
        <v>#NAME?</v>
      </c>
      <c r="Q89" s="27" t="e">
        <f t="shared" si="47"/>
        <v>#VALUE!</v>
      </c>
      <c r="R89" s="27"/>
      <c r="S89" s="26">
        <f t="shared" si="48"/>
        <v>12394</v>
      </c>
      <c r="T89" s="26" t="e">
        <f t="shared" si="49"/>
        <v>#NAME?</v>
      </c>
      <c r="U89" s="27" t="e">
        <f t="shared" si="50"/>
        <v>#NAME?</v>
      </c>
      <c r="V89" s="27"/>
      <c r="W89" s="26">
        <f t="shared" si="51"/>
        <v>6466</v>
      </c>
      <c r="X89" s="26" t="e">
        <f t="shared" si="52"/>
        <v>#NAME?</v>
      </c>
      <c r="Y89" s="27" t="e">
        <f t="shared" si="53"/>
        <v>#NAME?</v>
      </c>
    </row>
    <row r="90" spans="1:25" ht="16.5" customHeight="1" x14ac:dyDescent="0.25">
      <c r="A90" s="16" t="s">
        <v>224</v>
      </c>
      <c r="B90" s="17" t="s">
        <v>225</v>
      </c>
      <c r="C90" s="25">
        <f t="shared" si="36"/>
        <v>672</v>
      </c>
      <c r="D90" s="25" t="e">
        <f t="shared" si="37"/>
        <v>#NAME?</v>
      </c>
      <c r="E90" s="27" t="e">
        <f t="shared" si="38"/>
        <v>#NAME?</v>
      </c>
      <c r="F90" s="27"/>
      <c r="G90" s="25">
        <f t="shared" si="39"/>
        <v>538</v>
      </c>
      <c r="H90" s="25" t="e">
        <f t="shared" si="40"/>
        <v>#NAME?</v>
      </c>
      <c r="I90" s="27" t="e">
        <f t="shared" si="41"/>
        <v>#NAME?</v>
      </c>
      <c r="J90" s="27"/>
      <c r="K90" s="25">
        <f t="shared" si="42"/>
        <v>0</v>
      </c>
      <c r="L90" s="25" t="e">
        <f t="shared" si="43"/>
        <v>#NAME?</v>
      </c>
      <c r="M90" s="27" t="e">
        <f t="shared" si="44"/>
        <v>#NAME?</v>
      </c>
      <c r="N90" s="39"/>
      <c r="O90" s="36" t="str">
        <f t="shared" si="45"/>
        <v>Eastern</v>
      </c>
      <c r="P90" s="26" t="e">
        <f t="shared" si="46"/>
        <v>#NAME?</v>
      </c>
      <c r="Q90" s="27" t="e">
        <f t="shared" si="47"/>
        <v>#VALUE!</v>
      </c>
      <c r="R90" s="27"/>
      <c r="S90" s="26">
        <f t="shared" si="48"/>
        <v>1210</v>
      </c>
      <c r="T90" s="26" t="e">
        <f t="shared" si="49"/>
        <v>#NAME?</v>
      </c>
      <c r="U90" s="27" t="e">
        <f t="shared" si="50"/>
        <v>#NAME?</v>
      </c>
      <c r="V90" s="27"/>
      <c r="W90" s="26">
        <f t="shared" si="51"/>
        <v>454</v>
      </c>
      <c r="X90" s="26" t="e">
        <f t="shared" si="52"/>
        <v>#NAME?</v>
      </c>
      <c r="Y90" s="27" t="e">
        <f t="shared" si="53"/>
        <v>#NAME?</v>
      </c>
    </row>
    <row r="91" spans="1:25" ht="16.5" customHeight="1" x14ac:dyDescent="0.25">
      <c r="A91" s="16" t="s">
        <v>226</v>
      </c>
      <c r="B91" s="32" t="s">
        <v>227</v>
      </c>
      <c r="C91" s="25">
        <f t="shared" si="36"/>
        <v>1387</v>
      </c>
      <c r="D91" s="25" t="e">
        <f t="shared" si="37"/>
        <v>#NAME?</v>
      </c>
      <c r="E91" s="27" t="e">
        <f t="shared" si="38"/>
        <v>#NAME?</v>
      </c>
      <c r="F91" s="27"/>
      <c r="G91" s="25">
        <f t="shared" si="39"/>
        <v>1014</v>
      </c>
      <c r="H91" s="25" t="e">
        <f t="shared" si="40"/>
        <v>#NAME?</v>
      </c>
      <c r="I91" s="27" t="e">
        <f t="shared" si="41"/>
        <v>#NAME?</v>
      </c>
      <c r="J91" s="27"/>
      <c r="K91" s="25">
        <f t="shared" si="42"/>
        <v>0</v>
      </c>
      <c r="L91" s="25" t="e">
        <f t="shared" si="43"/>
        <v>#NAME?</v>
      </c>
      <c r="M91" s="27" t="e">
        <f t="shared" si="44"/>
        <v>#NAME?</v>
      </c>
      <c r="N91" s="39"/>
      <c r="O91" s="36" t="str">
        <f t="shared" si="45"/>
        <v>Eastern</v>
      </c>
      <c r="P91" s="26" t="e">
        <f t="shared" si="46"/>
        <v>#NAME?</v>
      </c>
      <c r="Q91" s="27" t="e">
        <f t="shared" si="47"/>
        <v>#VALUE!</v>
      </c>
      <c r="R91" s="27"/>
      <c r="S91" s="26">
        <f t="shared" si="48"/>
        <v>2401</v>
      </c>
      <c r="T91" s="26" t="e">
        <f t="shared" si="49"/>
        <v>#NAME?</v>
      </c>
      <c r="U91" s="27" t="e">
        <f t="shared" si="50"/>
        <v>#NAME?</v>
      </c>
      <c r="V91" s="27"/>
      <c r="W91" s="26">
        <f t="shared" si="51"/>
        <v>1015</v>
      </c>
      <c r="X91" s="26" t="e">
        <f t="shared" si="52"/>
        <v>#NAME?</v>
      </c>
      <c r="Y91" s="27" t="e">
        <f t="shared" si="53"/>
        <v>#NAME?</v>
      </c>
    </row>
    <row r="92" spans="1:25" ht="16.5" customHeight="1" x14ac:dyDescent="0.25">
      <c r="A92" s="16" t="s">
        <v>228</v>
      </c>
      <c r="B92" s="32" t="s">
        <v>229</v>
      </c>
      <c r="C92" s="25">
        <f t="shared" si="36"/>
        <v>5865</v>
      </c>
      <c r="D92" s="25" t="e">
        <f t="shared" si="37"/>
        <v>#NAME?</v>
      </c>
      <c r="E92" s="27" t="e">
        <f t="shared" si="38"/>
        <v>#NAME?</v>
      </c>
      <c r="F92" s="27"/>
      <c r="G92" s="25">
        <f t="shared" si="39"/>
        <v>4552</v>
      </c>
      <c r="H92" s="25" t="e">
        <f t="shared" si="40"/>
        <v>#NAME?</v>
      </c>
      <c r="I92" s="27" t="e">
        <f t="shared" si="41"/>
        <v>#NAME?</v>
      </c>
      <c r="J92" s="27"/>
      <c r="K92" s="25">
        <f t="shared" si="42"/>
        <v>0</v>
      </c>
      <c r="L92" s="25" t="e">
        <f t="shared" si="43"/>
        <v>#NAME?</v>
      </c>
      <c r="M92" s="27" t="e">
        <f t="shared" si="44"/>
        <v>#NAME?</v>
      </c>
      <c r="N92" s="39"/>
      <c r="O92" s="36" t="str">
        <f t="shared" si="45"/>
        <v>Western</v>
      </c>
      <c r="P92" s="26" t="e">
        <f t="shared" si="46"/>
        <v>#NAME?</v>
      </c>
      <c r="Q92" s="27" t="e">
        <f t="shared" si="47"/>
        <v>#VALUE!</v>
      </c>
      <c r="R92" s="27"/>
      <c r="S92" s="26">
        <f t="shared" si="48"/>
        <v>10417</v>
      </c>
      <c r="T92" s="26" t="e">
        <f t="shared" si="49"/>
        <v>#NAME?</v>
      </c>
      <c r="U92" s="27" t="e">
        <f t="shared" si="50"/>
        <v>#NAME?</v>
      </c>
      <c r="V92" s="27"/>
      <c r="W92" s="26">
        <f t="shared" si="51"/>
        <v>3812</v>
      </c>
      <c r="X92" s="26" t="e">
        <f t="shared" si="52"/>
        <v>#NAME?</v>
      </c>
      <c r="Y92" s="27" t="e">
        <f t="shared" si="53"/>
        <v>#NAME?</v>
      </c>
    </row>
    <row r="93" spans="1:25" ht="16.5" customHeight="1" x14ac:dyDescent="0.25">
      <c r="A93" s="16" t="s">
        <v>232</v>
      </c>
      <c r="B93" s="32" t="s">
        <v>233</v>
      </c>
      <c r="C93" s="25">
        <f t="shared" si="36"/>
        <v>3214</v>
      </c>
      <c r="D93" s="25" t="e">
        <f t="shared" si="37"/>
        <v>#NAME?</v>
      </c>
      <c r="E93" s="27" t="e">
        <f t="shared" si="38"/>
        <v>#NAME?</v>
      </c>
      <c r="F93" s="27"/>
      <c r="G93" s="25">
        <f t="shared" si="39"/>
        <v>2473</v>
      </c>
      <c r="H93" s="25" t="e">
        <f t="shared" si="40"/>
        <v>#NAME?</v>
      </c>
      <c r="I93" s="27" t="e">
        <f t="shared" si="41"/>
        <v>#NAME?</v>
      </c>
      <c r="J93" s="27"/>
      <c r="K93" s="25">
        <f t="shared" si="42"/>
        <v>0</v>
      </c>
      <c r="L93" s="25" t="e">
        <f t="shared" si="43"/>
        <v>#NAME?</v>
      </c>
      <c r="M93" s="27" t="e">
        <f t="shared" si="44"/>
        <v>#NAME?</v>
      </c>
      <c r="N93" s="39"/>
      <c r="O93" s="36" t="str">
        <f t="shared" si="45"/>
        <v>Northern</v>
      </c>
      <c r="P93" s="26" t="e">
        <f t="shared" si="46"/>
        <v>#NAME?</v>
      </c>
      <c r="Q93" s="27" t="e">
        <f t="shared" si="47"/>
        <v>#VALUE!</v>
      </c>
      <c r="R93" s="27"/>
      <c r="S93" s="26">
        <f t="shared" si="48"/>
        <v>5687</v>
      </c>
      <c r="T93" s="26" t="e">
        <f t="shared" si="49"/>
        <v>#NAME?</v>
      </c>
      <c r="U93" s="27" t="e">
        <f t="shared" si="50"/>
        <v>#NAME?</v>
      </c>
      <c r="V93" s="27"/>
      <c r="W93" s="26">
        <f t="shared" si="51"/>
        <v>2533</v>
      </c>
      <c r="X93" s="26" t="e">
        <f t="shared" si="52"/>
        <v>#NAME?</v>
      </c>
      <c r="Y93" s="27" t="e">
        <f t="shared" si="53"/>
        <v>#NAME?</v>
      </c>
    </row>
    <row r="94" spans="1:25" ht="16.5" customHeight="1" x14ac:dyDescent="0.25">
      <c r="A94" s="16" t="s">
        <v>234</v>
      </c>
      <c r="B94" s="17" t="s">
        <v>235</v>
      </c>
      <c r="C94" s="25">
        <f t="shared" si="36"/>
        <v>5368</v>
      </c>
      <c r="D94" s="25" t="e">
        <f t="shared" si="37"/>
        <v>#NAME?</v>
      </c>
      <c r="E94" s="27" t="e">
        <f t="shared" si="38"/>
        <v>#NAME?</v>
      </c>
      <c r="F94" s="27"/>
      <c r="G94" s="25">
        <f t="shared" si="39"/>
        <v>4176</v>
      </c>
      <c r="H94" s="25" t="e">
        <f t="shared" si="40"/>
        <v>#NAME?</v>
      </c>
      <c r="I94" s="27" t="e">
        <f t="shared" si="41"/>
        <v>#NAME?</v>
      </c>
      <c r="J94" s="27"/>
      <c r="K94" s="25">
        <f t="shared" si="42"/>
        <v>0</v>
      </c>
      <c r="L94" s="25" t="e">
        <f t="shared" si="43"/>
        <v>#NAME?</v>
      </c>
      <c r="M94" s="27" t="e">
        <f t="shared" si="44"/>
        <v>#NAME?</v>
      </c>
      <c r="N94" s="39"/>
      <c r="O94" s="36" t="str">
        <f t="shared" si="45"/>
        <v>Western</v>
      </c>
      <c r="P94" s="26" t="e">
        <f t="shared" si="46"/>
        <v>#NAME?</v>
      </c>
      <c r="Q94" s="27" t="e">
        <f t="shared" si="47"/>
        <v>#VALUE!</v>
      </c>
      <c r="R94" s="27"/>
      <c r="S94" s="26">
        <f t="shared" si="48"/>
        <v>9544</v>
      </c>
      <c r="T94" s="26" t="e">
        <f t="shared" si="49"/>
        <v>#NAME?</v>
      </c>
      <c r="U94" s="27" t="e">
        <f t="shared" si="50"/>
        <v>#NAME?</v>
      </c>
      <c r="V94" s="27"/>
      <c r="W94" s="26">
        <f t="shared" si="51"/>
        <v>3634</v>
      </c>
      <c r="X94" s="26" t="e">
        <f t="shared" si="52"/>
        <v>#NAME?</v>
      </c>
      <c r="Y94" s="27" t="e">
        <f t="shared" si="53"/>
        <v>#NAME?</v>
      </c>
    </row>
    <row r="95" spans="1:25" ht="16.5" customHeight="1" x14ac:dyDescent="0.25">
      <c r="A95" s="16" t="s">
        <v>236</v>
      </c>
      <c r="B95" s="32" t="s">
        <v>237</v>
      </c>
      <c r="C95" s="25">
        <f t="shared" si="36"/>
        <v>2350</v>
      </c>
      <c r="D95" s="25" t="e">
        <f t="shared" si="37"/>
        <v>#NAME?</v>
      </c>
      <c r="E95" s="27" t="e">
        <f t="shared" si="38"/>
        <v>#NAME?</v>
      </c>
      <c r="F95" s="27"/>
      <c r="G95" s="25">
        <f t="shared" si="39"/>
        <v>1786</v>
      </c>
      <c r="H95" s="25" t="e">
        <f t="shared" si="40"/>
        <v>#NAME?</v>
      </c>
      <c r="I95" s="27" t="e">
        <f t="shared" si="41"/>
        <v>#NAME?</v>
      </c>
      <c r="J95" s="27"/>
      <c r="K95" s="25">
        <f t="shared" si="42"/>
        <v>0</v>
      </c>
      <c r="L95" s="25" t="e">
        <f t="shared" si="43"/>
        <v>#NAME?</v>
      </c>
      <c r="M95" s="27" t="e">
        <f t="shared" si="44"/>
        <v>#NAME?</v>
      </c>
      <c r="N95" s="39"/>
      <c r="O95" s="36" t="str">
        <f t="shared" si="45"/>
        <v>Central</v>
      </c>
      <c r="P95" s="26" t="e">
        <f t="shared" si="46"/>
        <v>#NAME?</v>
      </c>
      <c r="Q95" s="27" t="e">
        <f t="shared" si="47"/>
        <v>#VALUE!</v>
      </c>
      <c r="R95" s="27"/>
      <c r="S95" s="26">
        <f t="shared" si="48"/>
        <v>4136</v>
      </c>
      <c r="T95" s="26" t="e">
        <f t="shared" si="49"/>
        <v>#NAME?</v>
      </c>
      <c r="U95" s="27" t="e">
        <f t="shared" si="50"/>
        <v>#NAME?</v>
      </c>
      <c r="V95" s="27"/>
      <c r="W95" s="26">
        <f t="shared" si="51"/>
        <v>1745</v>
      </c>
      <c r="X95" s="26" t="e">
        <f t="shared" si="52"/>
        <v>#NAME?</v>
      </c>
      <c r="Y95" s="27" t="e">
        <f t="shared" si="53"/>
        <v>#NAME?</v>
      </c>
    </row>
    <row r="96" spans="1:25" ht="16.5" customHeight="1" x14ac:dyDescent="0.25">
      <c r="A96" s="16" t="s">
        <v>242</v>
      </c>
      <c r="B96" s="32" t="s">
        <v>243</v>
      </c>
      <c r="C96" s="25">
        <f t="shared" si="36"/>
        <v>5792</v>
      </c>
      <c r="D96" s="25" t="e">
        <f t="shared" si="37"/>
        <v>#NAME?</v>
      </c>
      <c r="E96" s="27" t="e">
        <f t="shared" si="38"/>
        <v>#NAME?</v>
      </c>
      <c r="F96" s="27"/>
      <c r="G96" s="25">
        <f t="shared" si="39"/>
        <v>4498</v>
      </c>
      <c r="H96" s="25" t="e">
        <f t="shared" si="40"/>
        <v>#NAME?</v>
      </c>
      <c r="I96" s="27" t="e">
        <f t="shared" si="41"/>
        <v>#NAME?</v>
      </c>
      <c r="J96" s="27"/>
      <c r="K96" s="25">
        <f t="shared" si="42"/>
        <v>0</v>
      </c>
      <c r="L96" s="25" t="e">
        <f t="shared" si="43"/>
        <v>#NAME?</v>
      </c>
      <c r="M96" s="27" t="e">
        <f t="shared" si="44"/>
        <v>#NAME?</v>
      </c>
      <c r="N96" s="39"/>
      <c r="O96" s="36" t="str">
        <f t="shared" si="45"/>
        <v>Western</v>
      </c>
      <c r="P96" s="26" t="e">
        <f t="shared" si="46"/>
        <v>#NAME?</v>
      </c>
      <c r="Q96" s="27" t="e">
        <f t="shared" si="47"/>
        <v>#VALUE!</v>
      </c>
      <c r="R96" s="27"/>
      <c r="S96" s="26">
        <f t="shared" si="48"/>
        <v>10290</v>
      </c>
      <c r="T96" s="26" t="e">
        <f t="shared" si="49"/>
        <v>#NAME?</v>
      </c>
      <c r="U96" s="27" t="e">
        <f t="shared" si="50"/>
        <v>#NAME?</v>
      </c>
      <c r="V96" s="27"/>
      <c r="W96" s="26">
        <f t="shared" si="51"/>
        <v>3827</v>
      </c>
      <c r="X96" s="26" t="e">
        <f t="shared" si="52"/>
        <v>#NAME?</v>
      </c>
      <c r="Y96" s="27" t="e">
        <f t="shared" si="53"/>
        <v>#NAME?</v>
      </c>
    </row>
    <row r="97" spans="1:25" ht="16.5" customHeight="1" x14ac:dyDescent="0.25">
      <c r="A97" s="16" t="s">
        <v>244</v>
      </c>
      <c r="B97" s="32" t="s">
        <v>245</v>
      </c>
      <c r="C97" s="25">
        <f t="shared" si="36"/>
        <v>2994</v>
      </c>
      <c r="D97" s="25" t="e">
        <f t="shared" si="37"/>
        <v>#NAME?</v>
      </c>
      <c r="E97" s="27" t="e">
        <f t="shared" si="38"/>
        <v>#NAME?</v>
      </c>
      <c r="F97" s="27"/>
      <c r="G97" s="25">
        <f t="shared" si="39"/>
        <v>2289</v>
      </c>
      <c r="H97" s="25" t="e">
        <f t="shared" si="40"/>
        <v>#NAME?</v>
      </c>
      <c r="I97" s="27" t="e">
        <f t="shared" si="41"/>
        <v>#NAME?</v>
      </c>
      <c r="J97" s="27"/>
      <c r="K97" s="25">
        <f t="shared" si="42"/>
        <v>0</v>
      </c>
      <c r="L97" s="25" t="e">
        <f t="shared" si="43"/>
        <v>#NAME?</v>
      </c>
      <c r="M97" s="27" t="e">
        <f t="shared" si="44"/>
        <v>#NAME?</v>
      </c>
      <c r="N97" s="39"/>
      <c r="O97" s="36" t="str">
        <f t="shared" si="45"/>
        <v>Western</v>
      </c>
      <c r="P97" s="26" t="e">
        <f t="shared" si="46"/>
        <v>#NAME?</v>
      </c>
      <c r="Q97" s="27" t="e">
        <f t="shared" si="47"/>
        <v>#VALUE!</v>
      </c>
      <c r="R97" s="27"/>
      <c r="S97" s="26">
        <f t="shared" si="48"/>
        <v>5283</v>
      </c>
      <c r="T97" s="26" t="e">
        <f t="shared" si="49"/>
        <v>#NAME?</v>
      </c>
      <c r="U97" s="27" t="e">
        <f t="shared" si="50"/>
        <v>#NAME?</v>
      </c>
      <c r="V97" s="27"/>
      <c r="W97" s="26">
        <f t="shared" si="51"/>
        <v>1996</v>
      </c>
      <c r="X97" s="26" t="e">
        <f t="shared" si="52"/>
        <v>#NAME?</v>
      </c>
      <c r="Y97" s="27" t="e">
        <f t="shared" si="53"/>
        <v>#NAME?</v>
      </c>
    </row>
    <row r="98" spans="1:25" ht="16.5" customHeight="1" x14ac:dyDescent="0.25">
      <c r="A98" s="16" t="s">
        <v>246</v>
      </c>
      <c r="B98" s="17" t="s">
        <v>310</v>
      </c>
      <c r="C98" s="25">
        <f t="shared" si="36"/>
        <v>2713</v>
      </c>
      <c r="D98" s="25" t="e">
        <f t="shared" si="37"/>
        <v>#NAME?</v>
      </c>
      <c r="E98" s="27" t="e">
        <f t="shared" si="38"/>
        <v>#NAME?</v>
      </c>
      <c r="F98" s="27"/>
      <c r="G98" s="25">
        <f t="shared" si="39"/>
        <v>1829</v>
      </c>
      <c r="H98" s="25" t="e">
        <f t="shared" si="40"/>
        <v>#NAME?</v>
      </c>
      <c r="I98" s="27" t="e">
        <f t="shared" si="41"/>
        <v>#NAME?</v>
      </c>
      <c r="J98" s="27"/>
      <c r="K98" s="25">
        <f t="shared" si="42"/>
        <v>0</v>
      </c>
      <c r="L98" s="25" t="e">
        <f t="shared" si="43"/>
        <v>#NAME?</v>
      </c>
      <c r="M98" s="27" t="e">
        <f t="shared" si="44"/>
        <v>#NAME?</v>
      </c>
      <c r="N98" s="39"/>
      <c r="O98" s="36" t="str">
        <f t="shared" si="45"/>
        <v>Eastern</v>
      </c>
      <c r="P98" s="26" t="e">
        <f t="shared" si="46"/>
        <v>#NAME?</v>
      </c>
      <c r="Q98" s="27" t="e">
        <f t="shared" si="47"/>
        <v>#VALUE!</v>
      </c>
      <c r="R98" s="27"/>
      <c r="S98" s="26">
        <f t="shared" si="48"/>
        <v>4542</v>
      </c>
      <c r="T98" s="26" t="e">
        <f t="shared" si="49"/>
        <v>#NAME?</v>
      </c>
      <c r="U98" s="27" t="e">
        <f t="shared" si="50"/>
        <v>#NAME?</v>
      </c>
      <c r="V98" s="27"/>
      <c r="W98" s="26">
        <f t="shared" si="51"/>
        <v>2217</v>
      </c>
      <c r="X98" s="26" t="e">
        <f t="shared" si="52"/>
        <v>#NAME?</v>
      </c>
      <c r="Y98" s="27" t="e">
        <f t="shared" si="53"/>
        <v>#NAME?</v>
      </c>
    </row>
    <row r="99" spans="1:25" ht="16.5" customHeight="1" x14ac:dyDescent="0.25">
      <c r="A99" s="16" t="s">
        <v>14</v>
      </c>
      <c r="B99" s="17" t="s">
        <v>15</v>
      </c>
      <c r="C99" s="25">
        <f t="shared" si="36"/>
        <v>7615</v>
      </c>
      <c r="D99" s="25" t="e">
        <f t="shared" si="37"/>
        <v>#NAME?</v>
      </c>
      <c r="E99" s="27" t="e">
        <f t="shared" si="38"/>
        <v>#NAME?</v>
      </c>
      <c r="F99" s="27"/>
      <c r="G99" s="25">
        <f t="shared" si="39"/>
        <v>5842</v>
      </c>
      <c r="H99" s="25" t="e">
        <f t="shared" si="40"/>
        <v>#NAME?</v>
      </c>
      <c r="I99" s="27" t="e">
        <f t="shared" si="41"/>
        <v>#NAME?</v>
      </c>
      <c r="J99" s="27"/>
      <c r="K99" s="25">
        <f t="shared" si="42"/>
        <v>0</v>
      </c>
      <c r="L99" s="25" t="e">
        <f t="shared" si="43"/>
        <v>#NAME?</v>
      </c>
      <c r="M99" s="27" t="e">
        <f t="shared" si="44"/>
        <v>#NAME?</v>
      </c>
      <c r="N99" s="39"/>
      <c r="O99" s="36" t="str">
        <f t="shared" si="45"/>
        <v>Northern</v>
      </c>
      <c r="P99" s="26" t="e">
        <f t="shared" si="46"/>
        <v>#NAME?</v>
      </c>
      <c r="Q99" s="27" t="e">
        <f t="shared" si="47"/>
        <v>#VALUE!</v>
      </c>
      <c r="R99" s="27"/>
      <c r="S99" s="26">
        <f t="shared" si="48"/>
        <v>13457</v>
      </c>
      <c r="T99" s="26" t="e">
        <f t="shared" si="49"/>
        <v>#NAME?</v>
      </c>
      <c r="U99" s="27" t="e">
        <f t="shared" si="50"/>
        <v>#NAME?</v>
      </c>
      <c r="V99" s="27"/>
      <c r="W99" s="26">
        <f t="shared" si="51"/>
        <v>6928</v>
      </c>
      <c r="X99" s="26" t="e">
        <f t="shared" si="52"/>
        <v>#NAME?</v>
      </c>
      <c r="Y99" s="27" t="e">
        <f t="shared" si="53"/>
        <v>#NAME?</v>
      </c>
    </row>
    <row r="100" spans="1:25" ht="16.5" customHeight="1" x14ac:dyDescent="0.25">
      <c r="A100" s="16" t="s">
        <v>34</v>
      </c>
      <c r="B100" s="17" t="s">
        <v>35</v>
      </c>
      <c r="C100" s="25">
        <f t="shared" ref="C100:C123" si="54">VLOOKUP(A100,SNAPClient_Demo,10,FALSE)</f>
        <v>3088</v>
      </c>
      <c r="D100" s="25" t="e">
        <f t="shared" ref="D100:D123" si="55">VLOOKUP(A100,Pop,14,FALSE)</f>
        <v>#NAME?</v>
      </c>
      <c r="E100" s="27" t="e">
        <f t="shared" ref="E100:E123" si="56">+C100/D100</f>
        <v>#NAME?</v>
      </c>
      <c r="F100" s="27"/>
      <c r="G100" s="25">
        <f t="shared" ref="G100:G123" si="57">VLOOKUP(A100,SNAPClient_Demo,11,FALSE)</f>
        <v>2438</v>
      </c>
      <c r="H100" s="25" t="e">
        <f t="shared" ref="H100:H123" si="58">VLOOKUP(A100,Pop,15,FALSE)</f>
        <v>#NAME?</v>
      </c>
      <c r="I100" s="27" t="e">
        <f t="shared" ref="I100:I123" si="59">+G100/H100</f>
        <v>#NAME?</v>
      </c>
      <c r="J100" s="27"/>
      <c r="K100" s="25">
        <f t="shared" ref="K100:K123" si="60">VLOOKUP(A100,SNAPClient_Demo,12,FALSE)</f>
        <v>0</v>
      </c>
      <c r="L100" s="25" t="e">
        <f t="shared" ref="L100:L123" si="61">VLOOKUP(A100,Pop,16,FALSE)</f>
        <v>#NAME?</v>
      </c>
      <c r="M100" s="27" t="e">
        <f t="shared" ref="M100:M123" si="62">+K100/L100</f>
        <v>#NAME?</v>
      </c>
      <c r="N100" s="39"/>
      <c r="O100" s="36" t="str">
        <f t="shared" ref="O100:O123" si="63">VLOOKUP(A100,SNAPClient_Demo,3,FALSE)</f>
        <v>Western</v>
      </c>
      <c r="P100" s="26" t="e">
        <f t="shared" ref="P100:P123" si="64">VLOOKUP(A100,Pop,8,FALSE)</f>
        <v>#NAME?</v>
      </c>
      <c r="Q100" s="27" t="e">
        <f t="shared" ref="Q100:Q123" si="65">+O100/P100</f>
        <v>#VALUE!</v>
      </c>
      <c r="R100" s="27"/>
      <c r="S100" s="26">
        <f t="shared" ref="S100:S123" si="66">VLOOKUP(A100,SNAPClient_Demo,4,FALSE)</f>
        <v>5526</v>
      </c>
      <c r="T100" s="26" t="e">
        <f t="shared" ref="T100:T123" si="67">VLOOKUP(A100,Pop,9,FALSE)</f>
        <v>#NAME?</v>
      </c>
      <c r="U100" s="27" t="e">
        <f t="shared" ref="U100:U123" si="68">+S100/T100</f>
        <v>#NAME?</v>
      </c>
      <c r="V100" s="27"/>
      <c r="W100" s="26">
        <f t="shared" ref="W100:W123" si="69">VLOOKUP(A100,SNAPClient_Demo,5,FALSE)</f>
        <v>2082</v>
      </c>
      <c r="X100" s="26" t="e">
        <f t="shared" ref="X100:X123" si="70">VLOOKUP(A100,Pop,10,FALSE)</f>
        <v>#NAME?</v>
      </c>
      <c r="Y100" s="27" t="e">
        <f t="shared" ref="Y100:Y123" si="71">+W100/X100</f>
        <v>#NAME?</v>
      </c>
    </row>
    <row r="101" spans="1:25" ht="16.5" customHeight="1" x14ac:dyDescent="0.25">
      <c r="A101" s="16" t="s">
        <v>52</v>
      </c>
      <c r="B101" s="17" t="s">
        <v>53</v>
      </c>
      <c r="C101" s="25">
        <f t="shared" si="54"/>
        <v>3238</v>
      </c>
      <c r="D101" s="25" t="e">
        <f t="shared" si="55"/>
        <v>#NAME?</v>
      </c>
      <c r="E101" s="27" t="e">
        <f t="shared" si="56"/>
        <v>#NAME?</v>
      </c>
      <c r="F101" s="27"/>
      <c r="G101" s="25">
        <f t="shared" si="57"/>
        <v>2795</v>
      </c>
      <c r="H101" s="25" t="e">
        <f t="shared" si="58"/>
        <v>#NAME?</v>
      </c>
      <c r="I101" s="27" t="e">
        <f t="shared" si="59"/>
        <v>#NAME?</v>
      </c>
      <c r="J101" s="27"/>
      <c r="K101" s="25">
        <f t="shared" si="60"/>
        <v>0</v>
      </c>
      <c r="L101" s="25" t="e">
        <f t="shared" si="61"/>
        <v>#NAME?</v>
      </c>
      <c r="M101" s="27" t="e">
        <f t="shared" si="62"/>
        <v>#NAME?</v>
      </c>
      <c r="N101" s="39"/>
      <c r="O101" s="36" t="str">
        <f t="shared" si="63"/>
        <v>Piedmont</v>
      </c>
      <c r="P101" s="26" t="e">
        <f t="shared" si="64"/>
        <v>#NAME?</v>
      </c>
      <c r="Q101" s="27" t="e">
        <f t="shared" si="65"/>
        <v>#VALUE!</v>
      </c>
      <c r="R101" s="27"/>
      <c r="S101" s="26">
        <f t="shared" si="66"/>
        <v>6033</v>
      </c>
      <c r="T101" s="26" t="e">
        <f t="shared" si="67"/>
        <v>#NAME?</v>
      </c>
      <c r="U101" s="27" t="e">
        <f t="shared" si="68"/>
        <v>#NAME?</v>
      </c>
      <c r="V101" s="27"/>
      <c r="W101" s="26">
        <f t="shared" si="69"/>
        <v>2463</v>
      </c>
      <c r="X101" s="26" t="e">
        <f t="shared" si="70"/>
        <v>#NAME?</v>
      </c>
      <c r="Y101" s="27" t="e">
        <f t="shared" si="71"/>
        <v>#NAME?</v>
      </c>
    </row>
    <row r="102" spans="1:25" ht="16.5" customHeight="1" x14ac:dyDescent="0.25">
      <c r="A102" s="16" t="s">
        <v>54</v>
      </c>
      <c r="B102" s="17" t="s">
        <v>55</v>
      </c>
      <c r="C102" s="25">
        <f t="shared" si="54"/>
        <v>17535</v>
      </c>
      <c r="D102" s="25" t="e">
        <f t="shared" si="55"/>
        <v>#NAME?</v>
      </c>
      <c r="E102" s="27" t="e">
        <f t="shared" si="56"/>
        <v>#NAME?</v>
      </c>
      <c r="F102" s="27"/>
      <c r="G102" s="25">
        <f t="shared" si="57"/>
        <v>11455</v>
      </c>
      <c r="H102" s="25" t="e">
        <f t="shared" si="58"/>
        <v>#NAME?</v>
      </c>
      <c r="I102" s="27" t="e">
        <f t="shared" si="59"/>
        <v>#NAME?</v>
      </c>
      <c r="J102" s="27"/>
      <c r="K102" s="25">
        <f t="shared" si="60"/>
        <v>0</v>
      </c>
      <c r="L102" s="25" t="e">
        <f t="shared" si="61"/>
        <v>#NAME?</v>
      </c>
      <c r="M102" s="27" t="e">
        <f t="shared" si="62"/>
        <v>#NAME?</v>
      </c>
      <c r="N102" s="39"/>
      <c r="O102" s="36" t="str">
        <f t="shared" si="63"/>
        <v>Eastern</v>
      </c>
      <c r="P102" s="26" t="e">
        <f t="shared" si="64"/>
        <v>#NAME?</v>
      </c>
      <c r="Q102" s="27" t="e">
        <f t="shared" si="65"/>
        <v>#VALUE!</v>
      </c>
      <c r="R102" s="27"/>
      <c r="S102" s="26">
        <f t="shared" si="66"/>
        <v>28990</v>
      </c>
      <c r="T102" s="26" t="e">
        <f t="shared" si="67"/>
        <v>#NAME?</v>
      </c>
      <c r="U102" s="27" t="e">
        <f t="shared" si="68"/>
        <v>#NAME?</v>
      </c>
      <c r="V102" s="27"/>
      <c r="W102" s="26">
        <f t="shared" si="69"/>
        <v>13777</v>
      </c>
      <c r="X102" s="26" t="e">
        <f t="shared" si="70"/>
        <v>#NAME?</v>
      </c>
      <c r="Y102" s="27" t="e">
        <f t="shared" si="71"/>
        <v>#NAME?</v>
      </c>
    </row>
    <row r="103" spans="1:25" ht="16.5" customHeight="1" x14ac:dyDescent="0.25">
      <c r="A103" s="16" t="s">
        <v>66</v>
      </c>
      <c r="B103" s="32" t="s">
        <v>67</v>
      </c>
      <c r="C103" s="25">
        <f t="shared" si="54"/>
        <v>8821</v>
      </c>
      <c r="D103" s="25" t="e">
        <f t="shared" si="55"/>
        <v>#NAME?</v>
      </c>
      <c r="E103" s="27" t="e">
        <f t="shared" si="56"/>
        <v>#NAME?</v>
      </c>
      <c r="F103" s="27"/>
      <c r="G103" s="25">
        <f t="shared" si="57"/>
        <v>6533</v>
      </c>
      <c r="H103" s="25" t="e">
        <f t="shared" si="58"/>
        <v>#NAME?</v>
      </c>
      <c r="I103" s="27" t="e">
        <f t="shared" si="59"/>
        <v>#NAME?</v>
      </c>
      <c r="J103" s="27"/>
      <c r="K103" s="25">
        <f t="shared" si="60"/>
        <v>0</v>
      </c>
      <c r="L103" s="25" t="e">
        <f t="shared" si="61"/>
        <v>#NAME?</v>
      </c>
      <c r="M103" s="27" t="e">
        <f t="shared" si="62"/>
        <v>#NAME?</v>
      </c>
      <c r="N103" s="39"/>
      <c r="O103" s="36" t="str">
        <f t="shared" si="63"/>
        <v>Piedmont</v>
      </c>
      <c r="P103" s="26" t="e">
        <f t="shared" si="64"/>
        <v>#NAME?</v>
      </c>
      <c r="Q103" s="27" t="e">
        <f t="shared" si="65"/>
        <v>#VALUE!</v>
      </c>
      <c r="R103" s="27"/>
      <c r="S103" s="26">
        <f t="shared" si="66"/>
        <v>15354</v>
      </c>
      <c r="T103" s="26" t="e">
        <f t="shared" si="67"/>
        <v>#NAME?</v>
      </c>
      <c r="U103" s="27" t="e">
        <f t="shared" si="68"/>
        <v>#NAME?</v>
      </c>
      <c r="V103" s="27"/>
      <c r="W103" s="26">
        <f t="shared" si="69"/>
        <v>6012</v>
      </c>
      <c r="X103" s="26" t="e">
        <f t="shared" si="70"/>
        <v>#NAME?</v>
      </c>
      <c r="Y103" s="27" t="e">
        <f t="shared" si="71"/>
        <v>#NAME?</v>
      </c>
    </row>
    <row r="104" spans="1:25" ht="16.5" customHeight="1" x14ac:dyDescent="0.25">
      <c r="A104" s="16" t="s">
        <v>82</v>
      </c>
      <c r="B104" s="32" t="s">
        <v>311</v>
      </c>
      <c r="C104" s="25">
        <f t="shared" si="54"/>
        <v>1920</v>
      </c>
      <c r="D104" s="25" t="e">
        <f t="shared" si="55"/>
        <v>#NAME?</v>
      </c>
      <c r="E104" s="27" t="e">
        <f t="shared" si="56"/>
        <v>#NAME?</v>
      </c>
      <c r="F104" s="27"/>
      <c r="G104" s="25">
        <f t="shared" si="57"/>
        <v>1347</v>
      </c>
      <c r="H104" s="25" t="e">
        <f t="shared" si="58"/>
        <v>#NAME?</v>
      </c>
      <c r="I104" s="27" t="e">
        <f t="shared" si="59"/>
        <v>#NAME?</v>
      </c>
      <c r="J104" s="27"/>
      <c r="K104" s="25">
        <f t="shared" si="60"/>
        <v>0</v>
      </c>
      <c r="L104" s="25" t="e">
        <f t="shared" si="61"/>
        <v>#NAME?</v>
      </c>
      <c r="M104" s="27" t="e">
        <f t="shared" si="62"/>
        <v>#NAME?</v>
      </c>
      <c r="N104" s="39"/>
      <c r="O104" s="36" t="str">
        <f t="shared" si="63"/>
        <v>Eastern</v>
      </c>
      <c r="P104" s="26" t="e">
        <f t="shared" si="64"/>
        <v>#NAME?</v>
      </c>
      <c r="Q104" s="27" t="e">
        <f t="shared" si="65"/>
        <v>#VALUE!</v>
      </c>
      <c r="R104" s="27"/>
      <c r="S104" s="26">
        <f t="shared" si="66"/>
        <v>3267</v>
      </c>
      <c r="T104" s="26" t="e">
        <f t="shared" si="67"/>
        <v>#NAME?</v>
      </c>
      <c r="U104" s="27" t="e">
        <f t="shared" si="68"/>
        <v>#NAME?</v>
      </c>
      <c r="V104" s="27"/>
      <c r="W104" s="26">
        <f t="shared" si="69"/>
        <v>1394</v>
      </c>
      <c r="X104" s="26" t="e">
        <f t="shared" si="70"/>
        <v>#NAME?</v>
      </c>
      <c r="Y104" s="27" t="e">
        <f t="shared" si="71"/>
        <v>#NAME?</v>
      </c>
    </row>
    <row r="105" spans="1:25" ht="16.5" customHeight="1" x14ac:dyDescent="0.25">
      <c r="A105" s="16" t="s">
        <v>88</v>
      </c>
      <c r="B105" s="17" t="s">
        <v>89</v>
      </c>
      <c r="C105" s="25">
        <f t="shared" si="54"/>
        <v>3404</v>
      </c>
      <c r="D105" s="25" t="e">
        <f t="shared" si="55"/>
        <v>#NAME?</v>
      </c>
      <c r="E105" s="27" t="e">
        <f t="shared" si="56"/>
        <v>#NAME?</v>
      </c>
      <c r="F105" s="27"/>
      <c r="G105" s="25">
        <f t="shared" si="57"/>
        <v>2551</v>
      </c>
      <c r="H105" s="25" t="e">
        <f t="shared" si="58"/>
        <v>#NAME?</v>
      </c>
      <c r="I105" s="27" t="e">
        <f t="shared" si="59"/>
        <v>#NAME?</v>
      </c>
      <c r="J105" s="27"/>
      <c r="K105" s="25">
        <f t="shared" si="60"/>
        <v>0</v>
      </c>
      <c r="L105" s="25" t="e">
        <f t="shared" si="61"/>
        <v>#NAME?</v>
      </c>
      <c r="M105" s="27" t="e">
        <f t="shared" si="62"/>
        <v>#NAME?</v>
      </c>
      <c r="N105" s="39"/>
      <c r="O105" s="36" t="str">
        <f t="shared" si="63"/>
        <v>Northern</v>
      </c>
      <c r="P105" s="26" t="e">
        <f t="shared" si="64"/>
        <v>#NAME?</v>
      </c>
      <c r="Q105" s="27" t="e">
        <f t="shared" si="65"/>
        <v>#VALUE!</v>
      </c>
      <c r="R105" s="27"/>
      <c r="S105" s="26">
        <f t="shared" si="66"/>
        <v>5955</v>
      </c>
      <c r="T105" s="26" t="e">
        <f t="shared" si="67"/>
        <v>#NAME?</v>
      </c>
      <c r="U105" s="27" t="e">
        <f t="shared" si="68"/>
        <v>#NAME?</v>
      </c>
      <c r="V105" s="27"/>
      <c r="W105" s="26">
        <f t="shared" si="69"/>
        <v>2764</v>
      </c>
      <c r="X105" s="26" t="e">
        <f t="shared" si="70"/>
        <v>#NAME?</v>
      </c>
      <c r="Y105" s="27" t="e">
        <f t="shared" si="71"/>
        <v>#NAME?</v>
      </c>
    </row>
    <row r="106" spans="1:25" ht="16.5" customHeight="1" x14ac:dyDescent="0.25">
      <c r="A106" s="16" t="s">
        <v>90</v>
      </c>
      <c r="B106" s="17" t="s">
        <v>91</v>
      </c>
      <c r="C106" s="25">
        <f t="shared" si="54"/>
        <v>1340</v>
      </c>
      <c r="D106" s="25" t="e">
        <f t="shared" si="55"/>
        <v>#NAME?</v>
      </c>
      <c r="E106" s="27" t="e">
        <f t="shared" si="56"/>
        <v>#NAME?</v>
      </c>
      <c r="F106" s="27"/>
      <c r="G106" s="25">
        <f t="shared" si="57"/>
        <v>1044</v>
      </c>
      <c r="H106" s="25" t="e">
        <f t="shared" si="58"/>
        <v>#NAME?</v>
      </c>
      <c r="I106" s="27" t="e">
        <f t="shared" si="59"/>
        <v>#NAME?</v>
      </c>
      <c r="J106" s="27"/>
      <c r="K106" s="25">
        <f t="shared" si="60"/>
        <v>0</v>
      </c>
      <c r="L106" s="25" t="e">
        <f t="shared" si="61"/>
        <v>#NAME?</v>
      </c>
      <c r="M106" s="27" t="e">
        <f t="shared" si="62"/>
        <v>#NAME?</v>
      </c>
      <c r="N106" s="39"/>
      <c r="O106" s="36" t="str">
        <f t="shared" si="63"/>
        <v>Western</v>
      </c>
      <c r="P106" s="26" t="e">
        <f t="shared" si="64"/>
        <v>#NAME?</v>
      </c>
      <c r="Q106" s="27" t="e">
        <f t="shared" si="65"/>
        <v>#VALUE!</v>
      </c>
      <c r="R106" s="27"/>
      <c r="S106" s="26">
        <f t="shared" si="66"/>
        <v>2384</v>
      </c>
      <c r="T106" s="26" t="e">
        <f t="shared" si="67"/>
        <v>#NAME?</v>
      </c>
      <c r="U106" s="27" t="e">
        <f t="shared" si="68"/>
        <v>#NAME?</v>
      </c>
      <c r="V106" s="27"/>
      <c r="W106" s="26">
        <f t="shared" si="69"/>
        <v>984</v>
      </c>
      <c r="X106" s="26" t="e">
        <f t="shared" si="70"/>
        <v>#NAME?</v>
      </c>
      <c r="Y106" s="27" t="e">
        <f t="shared" si="71"/>
        <v>#NAME?</v>
      </c>
    </row>
    <row r="107" spans="1:25" ht="16.5" customHeight="1" x14ac:dyDescent="0.25">
      <c r="A107" s="16" t="s">
        <v>106</v>
      </c>
      <c r="B107" s="17" t="s">
        <v>107</v>
      </c>
      <c r="C107" s="25">
        <f t="shared" si="54"/>
        <v>16703</v>
      </c>
      <c r="D107" s="25" t="e">
        <f t="shared" si="55"/>
        <v>#NAME?</v>
      </c>
      <c r="E107" s="27" t="e">
        <f t="shared" si="56"/>
        <v>#NAME?</v>
      </c>
      <c r="F107" s="27"/>
      <c r="G107" s="25">
        <f t="shared" si="57"/>
        <v>11623</v>
      </c>
      <c r="H107" s="25" t="e">
        <f t="shared" si="58"/>
        <v>#NAME?</v>
      </c>
      <c r="I107" s="27" t="e">
        <f t="shared" si="59"/>
        <v>#NAME?</v>
      </c>
      <c r="J107" s="27"/>
      <c r="K107" s="25">
        <f t="shared" si="60"/>
        <v>1</v>
      </c>
      <c r="L107" s="25" t="e">
        <f t="shared" si="61"/>
        <v>#NAME?</v>
      </c>
      <c r="M107" s="27" t="e">
        <f t="shared" si="62"/>
        <v>#NAME?</v>
      </c>
      <c r="N107" s="39"/>
      <c r="O107" s="36" t="str">
        <f t="shared" si="63"/>
        <v>Eastern</v>
      </c>
      <c r="P107" s="26" t="e">
        <f t="shared" si="64"/>
        <v>#NAME?</v>
      </c>
      <c r="Q107" s="27" t="e">
        <f t="shared" si="65"/>
        <v>#VALUE!</v>
      </c>
      <c r="R107" s="27"/>
      <c r="S107" s="26">
        <f t="shared" si="66"/>
        <v>28327</v>
      </c>
      <c r="T107" s="26" t="e">
        <f t="shared" si="67"/>
        <v>#NAME?</v>
      </c>
      <c r="U107" s="27" t="e">
        <f t="shared" si="68"/>
        <v>#NAME?</v>
      </c>
      <c r="V107" s="27"/>
      <c r="W107" s="26">
        <f t="shared" si="69"/>
        <v>12638</v>
      </c>
      <c r="X107" s="26" t="e">
        <f t="shared" si="70"/>
        <v>#NAME?</v>
      </c>
      <c r="Y107" s="27" t="e">
        <f t="shared" si="71"/>
        <v>#NAME?</v>
      </c>
    </row>
    <row r="108" spans="1:25" ht="16.5" customHeight="1" x14ac:dyDescent="0.25">
      <c r="A108" s="16" t="s">
        <v>116</v>
      </c>
      <c r="B108" s="32" t="s">
        <v>117</v>
      </c>
      <c r="C108" s="25">
        <f t="shared" si="54"/>
        <v>5363</v>
      </c>
      <c r="D108" s="25" t="e">
        <f t="shared" si="55"/>
        <v>#NAME?</v>
      </c>
      <c r="E108" s="27" t="e">
        <f t="shared" si="56"/>
        <v>#NAME?</v>
      </c>
      <c r="F108" s="27"/>
      <c r="G108" s="25">
        <f t="shared" si="57"/>
        <v>3824</v>
      </c>
      <c r="H108" s="25" t="e">
        <f t="shared" si="58"/>
        <v>#NAME?</v>
      </c>
      <c r="I108" s="27" t="e">
        <f t="shared" si="59"/>
        <v>#NAME?</v>
      </c>
      <c r="J108" s="27"/>
      <c r="K108" s="25">
        <f t="shared" si="60"/>
        <v>0</v>
      </c>
      <c r="L108" s="25" t="e">
        <f t="shared" si="61"/>
        <v>#NAME?</v>
      </c>
      <c r="M108" s="27" t="e">
        <f t="shared" si="62"/>
        <v>#NAME?</v>
      </c>
      <c r="N108" s="39"/>
      <c r="O108" s="36" t="str">
        <f t="shared" si="63"/>
        <v>Central</v>
      </c>
      <c r="P108" s="26" t="e">
        <f t="shared" si="64"/>
        <v>#NAME?</v>
      </c>
      <c r="Q108" s="27" t="e">
        <f t="shared" si="65"/>
        <v>#VALUE!</v>
      </c>
      <c r="R108" s="27"/>
      <c r="S108" s="26">
        <f t="shared" si="66"/>
        <v>9187</v>
      </c>
      <c r="T108" s="26" t="e">
        <f t="shared" si="67"/>
        <v>#NAME?</v>
      </c>
      <c r="U108" s="27" t="e">
        <f t="shared" si="68"/>
        <v>#NAME?</v>
      </c>
      <c r="V108" s="27"/>
      <c r="W108" s="26">
        <f t="shared" si="69"/>
        <v>4132</v>
      </c>
      <c r="X108" s="26" t="e">
        <f t="shared" si="70"/>
        <v>#NAME?</v>
      </c>
      <c r="Y108" s="27" t="e">
        <f t="shared" si="71"/>
        <v>#NAME?</v>
      </c>
    </row>
    <row r="109" spans="1:25" ht="16.5" customHeight="1" x14ac:dyDescent="0.25">
      <c r="A109" s="16" t="s">
        <v>138</v>
      </c>
      <c r="B109" s="17" t="s">
        <v>139</v>
      </c>
      <c r="C109" s="25">
        <f t="shared" si="54"/>
        <v>9144</v>
      </c>
      <c r="D109" s="25" t="e">
        <f t="shared" si="55"/>
        <v>#NAME?</v>
      </c>
      <c r="E109" s="27" t="e">
        <f t="shared" si="56"/>
        <v>#NAME?</v>
      </c>
      <c r="F109" s="27"/>
      <c r="G109" s="25">
        <f t="shared" si="57"/>
        <v>6400</v>
      </c>
      <c r="H109" s="25" t="e">
        <f t="shared" si="58"/>
        <v>#NAME?</v>
      </c>
      <c r="I109" s="27" t="e">
        <f t="shared" si="59"/>
        <v>#NAME?</v>
      </c>
      <c r="J109" s="27"/>
      <c r="K109" s="25">
        <f t="shared" si="60"/>
        <v>0</v>
      </c>
      <c r="L109" s="25" t="e">
        <f t="shared" si="61"/>
        <v>#NAME?</v>
      </c>
      <c r="M109" s="27" t="e">
        <f t="shared" si="62"/>
        <v>#NAME?</v>
      </c>
      <c r="N109" s="39"/>
      <c r="O109" s="36" t="str">
        <f t="shared" si="63"/>
        <v>Piedmont</v>
      </c>
      <c r="P109" s="26" t="e">
        <f t="shared" si="64"/>
        <v>#NAME?</v>
      </c>
      <c r="Q109" s="27" t="e">
        <f t="shared" si="65"/>
        <v>#VALUE!</v>
      </c>
      <c r="R109" s="27"/>
      <c r="S109" s="26">
        <f t="shared" si="66"/>
        <v>15544</v>
      </c>
      <c r="T109" s="26" t="e">
        <f t="shared" si="67"/>
        <v>#NAME?</v>
      </c>
      <c r="U109" s="27" t="e">
        <f t="shared" si="68"/>
        <v>#NAME?</v>
      </c>
      <c r="V109" s="27"/>
      <c r="W109" s="26">
        <f t="shared" si="69"/>
        <v>6910</v>
      </c>
      <c r="X109" s="26" t="e">
        <f t="shared" si="70"/>
        <v>#NAME?</v>
      </c>
      <c r="Y109" s="27" t="e">
        <f t="shared" si="71"/>
        <v>#NAME?</v>
      </c>
    </row>
    <row r="110" spans="1:25" ht="16.5" customHeight="1" x14ac:dyDescent="0.25">
      <c r="A110" s="16" t="s">
        <v>142</v>
      </c>
      <c r="B110" s="32" t="s">
        <v>143</v>
      </c>
      <c r="C110" s="25">
        <f t="shared" si="54"/>
        <v>3012</v>
      </c>
      <c r="D110" s="25" t="e">
        <f t="shared" si="55"/>
        <v>#NAME?</v>
      </c>
      <c r="E110" s="27" t="e">
        <f t="shared" si="56"/>
        <v>#NAME?</v>
      </c>
      <c r="F110" s="27"/>
      <c r="G110" s="25">
        <f t="shared" si="57"/>
        <v>2377</v>
      </c>
      <c r="H110" s="25" t="e">
        <f t="shared" si="58"/>
        <v>#NAME?</v>
      </c>
      <c r="I110" s="27" t="e">
        <f t="shared" si="59"/>
        <v>#NAME?</v>
      </c>
      <c r="J110" s="27"/>
      <c r="K110" s="25">
        <f t="shared" si="60"/>
        <v>0</v>
      </c>
      <c r="L110" s="25" t="e">
        <f t="shared" si="61"/>
        <v>#NAME?</v>
      </c>
      <c r="M110" s="27" t="e">
        <f t="shared" si="62"/>
        <v>#NAME?</v>
      </c>
      <c r="N110" s="39"/>
      <c r="O110" s="36" t="str">
        <f t="shared" si="63"/>
        <v>Northern</v>
      </c>
      <c r="P110" s="26" t="e">
        <f t="shared" si="64"/>
        <v>#NAME?</v>
      </c>
      <c r="Q110" s="27" t="e">
        <f t="shared" si="65"/>
        <v>#VALUE!</v>
      </c>
      <c r="R110" s="27"/>
      <c r="S110" s="26">
        <f t="shared" si="66"/>
        <v>5389</v>
      </c>
      <c r="T110" s="26" t="e">
        <f t="shared" si="67"/>
        <v>#NAME?</v>
      </c>
      <c r="U110" s="27" t="e">
        <f t="shared" si="68"/>
        <v>#NAME?</v>
      </c>
      <c r="V110" s="27"/>
      <c r="W110" s="26">
        <f t="shared" si="69"/>
        <v>3351</v>
      </c>
      <c r="X110" s="26" t="e">
        <f t="shared" si="70"/>
        <v>#NAME?</v>
      </c>
      <c r="Y110" s="27" t="e">
        <f t="shared" si="71"/>
        <v>#NAME?</v>
      </c>
    </row>
    <row r="111" spans="1:25" ht="16.5" customHeight="1" x14ac:dyDescent="0.25">
      <c r="A111" s="16" t="s">
        <v>144</v>
      </c>
      <c r="B111" s="17" t="s">
        <v>145</v>
      </c>
      <c r="C111" s="25">
        <f t="shared" si="54"/>
        <v>997</v>
      </c>
      <c r="D111" s="25" t="e">
        <f t="shared" si="55"/>
        <v>#NAME?</v>
      </c>
      <c r="E111" s="27" t="e">
        <f t="shared" si="56"/>
        <v>#NAME?</v>
      </c>
      <c r="F111" s="27"/>
      <c r="G111" s="25">
        <f t="shared" si="57"/>
        <v>752</v>
      </c>
      <c r="H111" s="25" t="e">
        <f t="shared" si="58"/>
        <v>#NAME?</v>
      </c>
      <c r="I111" s="27" t="e">
        <f t="shared" si="59"/>
        <v>#NAME?</v>
      </c>
      <c r="J111" s="27"/>
      <c r="K111" s="25">
        <f t="shared" si="60"/>
        <v>0</v>
      </c>
      <c r="L111" s="25" t="e">
        <f t="shared" si="61"/>
        <v>#NAME?</v>
      </c>
      <c r="M111" s="27" t="e">
        <f t="shared" si="62"/>
        <v>#NAME?</v>
      </c>
      <c r="N111" s="39"/>
      <c r="O111" s="36" t="str">
        <f t="shared" si="63"/>
        <v>Northern</v>
      </c>
      <c r="P111" s="26" t="e">
        <f t="shared" si="64"/>
        <v>#NAME?</v>
      </c>
      <c r="Q111" s="27" t="e">
        <f t="shared" si="65"/>
        <v>#VALUE!</v>
      </c>
      <c r="R111" s="27"/>
      <c r="S111" s="26">
        <f t="shared" si="66"/>
        <v>1749</v>
      </c>
      <c r="T111" s="26" t="e">
        <f t="shared" si="67"/>
        <v>#NAME?</v>
      </c>
      <c r="U111" s="27" t="e">
        <f t="shared" si="68"/>
        <v>#NAME?</v>
      </c>
      <c r="V111" s="27"/>
      <c r="W111" s="26">
        <f t="shared" si="69"/>
        <v>1048</v>
      </c>
      <c r="X111" s="26" t="e">
        <f t="shared" si="70"/>
        <v>#NAME?</v>
      </c>
      <c r="Y111" s="27" t="e">
        <f t="shared" si="71"/>
        <v>#NAME?</v>
      </c>
    </row>
    <row r="112" spans="1:25" ht="16.5" customHeight="1" x14ac:dyDescent="0.25">
      <c r="A112" s="16" t="s">
        <v>158</v>
      </c>
      <c r="B112" s="17" t="s">
        <v>159</v>
      </c>
      <c r="C112" s="25">
        <f t="shared" si="54"/>
        <v>25930</v>
      </c>
      <c r="D112" s="25" t="e">
        <f t="shared" si="55"/>
        <v>#NAME?</v>
      </c>
      <c r="E112" s="27" t="e">
        <f t="shared" si="56"/>
        <v>#NAME?</v>
      </c>
      <c r="F112" s="27"/>
      <c r="G112" s="25">
        <f t="shared" si="57"/>
        <v>17408</v>
      </c>
      <c r="H112" s="25" t="e">
        <f t="shared" si="58"/>
        <v>#NAME?</v>
      </c>
      <c r="I112" s="27" t="e">
        <f t="shared" si="59"/>
        <v>#NAME?</v>
      </c>
      <c r="J112" s="27"/>
      <c r="K112" s="25">
        <f t="shared" si="60"/>
        <v>0</v>
      </c>
      <c r="L112" s="25" t="e">
        <f t="shared" si="61"/>
        <v>#NAME?</v>
      </c>
      <c r="M112" s="27" t="e">
        <f t="shared" si="62"/>
        <v>#NAME?</v>
      </c>
      <c r="N112" s="39"/>
      <c r="O112" s="36" t="str">
        <f t="shared" si="63"/>
        <v>Eastern</v>
      </c>
      <c r="P112" s="26" t="e">
        <f t="shared" si="64"/>
        <v>#NAME?</v>
      </c>
      <c r="Q112" s="27" t="e">
        <f t="shared" si="65"/>
        <v>#VALUE!</v>
      </c>
      <c r="R112" s="27"/>
      <c r="S112" s="26">
        <f t="shared" si="66"/>
        <v>43338</v>
      </c>
      <c r="T112" s="26" t="e">
        <f t="shared" si="67"/>
        <v>#NAME?</v>
      </c>
      <c r="U112" s="27" t="e">
        <f t="shared" si="68"/>
        <v>#NAME?</v>
      </c>
      <c r="V112" s="27"/>
      <c r="W112" s="26">
        <f t="shared" si="69"/>
        <v>20228</v>
      </c>
      <c r="X112" s="26" t="e">
        <f t="shared" si="70"/>
        <v>#NAME?</v>
      </c>
      <c r="Y112" s="27" t="e">
        <f t="shared" si="71"/>
        <v>#NAME?</v>
      </c>
    </row>
    <row r="113" spans="1:25" ht="16.5" customHeight="1" x14ac:dyDescent="0.25">
      <c r="A113" s="16" t="s">
        <v>160</v>
      </c>
      <c r="B113" s="17" t="s">
        <v>161</v>
      </c>
      <c r="C113" s="25">
        <f t="shared" si="54"/>
        <v>32071</v>
      </c>
      <c r="D113" s="25" t="e">
        <f t="shared" si="55"/>
        <v>#NAME?</v>
      </c>
      <c r="E113" s="27" t="e">
        <f t="shared" si="56"/>
        <v>#NAME?</v>
      </c>
      <c r="F113" s="27"/>
      <c r="G113" s="25">
        <f t="shared" si="57"/>
        <v>22000</v>
      </c>
      <c r="H113" s="25" t="e">
        <f t="shared" si="58"/>
        <v>#NAME?</v>
      </c>
      <c r="I113" s="27" t="e">
        <f t="shared" si="59"/>
        <v>#NAME?</v>
      </c>
      <c r="J113" s="27"/>
      <c r="K113" s="25">
        <f t="shared" si="60"/>
        <v>2</v>
      </c>
      <c r="L113" s="25" t="e">
        <f t="shared" si="61"/>
        <v>#NAME?</v>
      </c>
      <c r="M113" s="27" t="e">
        <f t="shared" si="62"/>
        <v>#NAME?</v>
      </c>
      <c r="N113" s="39"/>
      <c r="O113" s="36" t="str">
        <f t="shared" si="63"/>
        <v>Eastern</v>
      </c>
      <c r="P113" s="26" t="e">
        <f t="shared" si="64"/>
        <v>#NAME?</v>
      </c>
      <c r="Q113" s="27" t="e">
        <f t="shared" si="65"/>
        <v>#VALUE!</v>
      </c>
      <c r="R113" s="27"/>
      <c r="S113" s="26">
        <f t="shared" si="66"/>
        <v>54073</v>
      </c>
      <c r="T113" s="26" t="e">
        <f t="shared" si="67"/>
        <v>#NAME?</v>
      </c>
      <c r="U113" s="27" t="e">
        <f t="shared" si="68"/>
        <v>#NAME?</v>
      </c>
      <c r="V113" s="27"/>
      <c r="W113" s="26">
        <f t="shared" si="69"/>
        <v>24535</v>
      </c>
      <c r="X113" s="26" t="e">
        <f t="shared" si="70"/>
        <v>#NAME?</v>
      </c>
      <c r="Y113" s="27" t="e">
        <f t="shared" si="71"/>
        <v>#NAME?</v>
      </c>
    </row>
    <row r="114" spans="1:25" ht="16.5" customHeight="1" x14ac:dyDescent="0.25">
      <c r="A114" s="16" t="s">
        <v>166</v>
      </c>
      <c r="B114" s="32" t="s">
        <v>167</v>
      </c>
      <c r="C114" s="25">
        <f t="shared" si="54"/>
        <v>786</v>
      </c>
      <c r="D114" s="25" t="e">
        <f t="shared" si="55"/>
        <v>#NAME?</v>
      </c>
      <c r="E114" s="27" t="e">
        <f t="shared" si="56"/>
        <v>#NAME?</v>
      </c>
      <c r="F114" s="27"/>
      <c r="G114" s="25">
        <f t="shared" si="57"/>
        <v>543</v>
      </c>
      <c r="H114" s="25" t="e">
        <f t="shared" si="58"/>
        <v>#NAME?</v>
      </c>
      <c r="I114" s="27" t="e">
        <f t="shared" si="59"/>
        <v>#NAME?</v>
      </c>
      <c r="J114" s="27"/>
      <c r="K114" s="25">
        <f t="shared" si="60"/>
        <v>0</v>
      </c>
      <c r="L114" s="25" t="e">
        <f t="shared" si="61"/>
        <v>#NAME?</v>
      </c>
      <c r="M114" s="27" t="e">
        <f t="shared" si="62"/>
        <v>#NAME?</v>
      </c>
      <c r="N114" s="39"/>
      <c r="O114" s="36" t="str">
        <f t="shared" si="63"/>
        <v>Western</v>
      </c>
      <c r="P114" s="26" t="e">
        <f t="shared" si="64"/>
        <v>#NAME?</v>
      </c>
      <c r="Q114" s="27" t="e">
        <f t="shared" si="65"/>
        <v>#VALUE!</v>
      </c>
      <c r="R114" s="27"/>
      <c r="S114" s="26">
        <f t="shared" si="66"/>
        <v>1329</v>
      </c>
      <c r="T114" s="26" t="e">
        <f t="shared" si="67"/>
        <v>#NAME?</v>
      </c>
      <c r="U114" s="27" t="e">
        <f t="shared" si="68"/>
        <v>#NAME?</v>
      </c>
      <c r="V114" s="27"/>
      <c r="W114" s="26">
        <f t="shared" si="69"/>
        <v>452</v>
      </c>
      <c r="X114" s="26" t="e">
        <f t="shared" si="70"/>
        <v>#NAME?</v>
      </c>
      <c r="Y114" s="27" t="e">
        <f t="shared" si="71"/>
        <v>#NAME?</v>
      </c>
    </row>
    <row r="115" spans="1:25" ht="16.5" customHeight="1" x14ac:dyDescent="0.25">
      <c r="A115" s="16" t="s">
        <v>176</v>
      </c>
      <c r="B115" s="32" t="s">
        <v>177</v>
      </c>
      <c r="C115" s="25">
        <f t="shared" si="54"/>
        <v>7529</v>
      </c>
      <c r="D115" s="25" t="e">
        <f t="shared" si="55"/>
        <v>#NAME?</v>
      </c>
      <c r="E115" s="27" t="e">
        <f t="shared" si="56"/>
        <v>#NAME?</v>
      </c>
      <c r="F115" s="27"/>
      <c r="G115" s="25">
        <f t="shared" si="57"/>
        <v>5706</v>
      </c>
      <c r="H115" s="25" t="e">
        <f t="shared" si="58"/>
        <v>#NAME?</v>
      </c>
      <c r="I115" s="27" t="e">
        <f t="shared" si="59"/>
        <v>#NAME?</v>
      </c>
      <c r="J115" s="27"/>
      <c r="K115" s="25">
        <f t="shared" si="60"/>
        <v>0</v>
      </c>
      <c r="L115" s="25" t="e">
        <f t="shared" si="61"/>
        <v>#NAME?</v>
      </c>
      <c r="M115" s="27" t="e">
        <f t="shared" si="62"/>
        <v>#NAME?</v>
      </c>
      <c r="N115" s="39"/>
      <c r="O115" s="36" t="str">
        <f t="shared" si="63"/>
        <v>Central</v>
      </c>
      <c r="P115" s="26" t="e">
        <f t="shared" si="64"/>
        <v>#NAME?</v>
      </c>
      <c r="Q115" s="27" t="e">
        <f t="shared" si="65"/>
        <v>#VALUE!</v>
      </c>
      <c r="R115" s="27"/>
      <c r="S115" s="26">
        <f t="shared" si="66"/>
        <v>13235</v>
      </c>
      <c r="T115" s="26" t="e">
        <f t="shared" si="67"/>
        <v>#NAME?</v>
      </c>
      <c r="U115" s="27" t="e">
        <f t="shared" si="68"/>
        <v>#NAME?</v>
      </c>
      <c r="V115" s="27"/>
      <c r="W115" s="26">
        <f t="shared" si="69"/>
        <v>5208</v>
      </c>
      <c r="X115" s="26" t="e">
        <f t="shared" si="70"/>
        <v>#NAME?</v>
      </c>
      <c r="Y115" s="27" t="e">
        <f t="shared" si="71"/>
        <v>#NAME?</v>
      </c>
    </row>
    <row r="116" spans="1:25" ht="16.5" customHeight="1" x14ac:dyDescent="0.25">
      <c r="A116" s="16" t="s">
        <v>180</v>
      </c>
      <c r="B116" s="17" t="s">
        <v>181</v>
      </c>
      <c r="C116" s="25">
        <f t="shared" si="54"/>
        <v>16639</v>
      </c>
      <c r="D116" s="25" t="e">
        <f t="shared" si="55"/>
        <v>#NAME?</v>
      </c>
      <c r="E116" s="27" t="e">
        <f t="shared" si="56"/>
        <v>#NAME?</v>
      </c>
      <c r="F116" s="27"/>
      <c r="G116" s="25">
        <f t="shared" si="57"/>
        <v>11704</v>
      </c>
      <c r="H116" s="25" t="e">
        <f t="shared" si="58"/>
        <v>#NAME?</v>
      </c>
      <c r="I116" s="27" t="e">
        <f t="shared" si="59"/>
        <v>#NAME?</v>
      </c>
      <c r="J116" s="27"/>
      <c r="K116" s="25">
        <f t="shared" si="60"/>
        <v>0</v>
      </c>
      <c r="L116" s="25" t="e">
        <f t="shared" si="61"/>
        <v>#NAME?</v>
      </c>
      <c r="M116" s="27" t="e">
        <f t="shared" si="62"/>
        <v>#NAME?</v>
      </c>
      <c r="N116" s="39"/>
      <c r="O116" s="36" t="str">
        <f t="shared" si="63"/>
        <v>Eastern</v>
      </c>
      <c r="P116" s="26" t="e">
        <f t="shared" si="64"/>
        <v>#NAME?</v>
      </c>
      <c r="Q116" s="27" t="e">
        <f t="shared" si="65"/>
        <v>#VALUE!</v>
      </c>
      <c r="R116" s="27"/>
      <c r="S116" s="26">
        <f t="shared" si="66"/>
        <v>28343</v>
      </c>
      <c r="T116" s="26" t="e">
        <f t="shared" si="67"/>
        <v>#NAME?</v>
      </c>
      <c r="U116" s="27" t="e">
        <f t="shared" si="68"/>
        <v>#NAME?</v>
      </c>
      <c r="V116" s="27"/>
      <c r="W116" s="26">
        <f t="shared" si="69"/>
        <v>12658</v>
      </c>
      <c r="X116" s="26" t="e">
        <f t="shared" si="70"/>
        <v>#NAME?</v>
      </c>
      <c r="Y116" s="27" t="e">
        <f t="shared" si="71"/>
        <v>#NAME?</v>
      </c>
    </row>
    <row r="117" spans="1:25" ht="16.5" customHeight="1" x14ac:dyDescent="0.25">
      <c r="A117" s="16" t="s">
        <v>192</v>
      </c>
      <c r="B117" s="17" t="s">
        <v>193</v>
      </c>
      <c r="C117" s="25">
        <f t="shared" si="54"/>
        <v>1227</v>
      </c>
      <c r="D117" s="25" t="e">
        <f t="shared" si="55"/>
        <v>#NAME?</v>
      </c>
      <c r="E117" s="27" t="e">
        <f t="shared" si="56"/>
        <v>#NAME?</v>
      </c>
      <c r="F117" s="27"/>
      <c r="G117" s="25">
        <f t="shared" si="57"/>
        <v>912</v>
      </c>
      <c r="H117" s="25" t="e">
        <f t="shared" si="58"/>
        <v>#NAME?</v>
      </c>
      <c r="I117" s="27" t="e">
        <f t="shared" si="59"/>
        <v>#NAME?</v>
      </c>
      <c r="J117" s="27"/>
      <c r="K117" s="25">
        <f t="shared" si="60"/>
        <v>0</v>
      </c>
      <c r="L117" s="25" t="e">
        <f t="shared" si="61"/>
        <v>#NAME?</v>
      </c>
      <c r="M117" s="27" t="e">
        <f t="shared" si="62"/>
        <v>#NAME?</v>
      </c>
      <c r="N117" s="39"/>
      <c r="O117" s="36" t="str">
        <f t="shared" si="63"/>
        <v>Western</v>
      </c>
      <c r="P117" s="26" t="e">
        <f t="shared" si="64"/>
        <v>#NAME?</v>
      </c>
      <c r="Q117" s="27" t="e">
        <f t="shared" si="65"/>
        <v>#VALUE!</v>
      </c>
      <c r="R117" s="27"/>
      <c r="S117" s="26">
        <f t="shared" si="66"/>
        <v>2139</v>
      </c>
      <c r="T117" s="26" t="e">
        <f t="shared" si="67"/>
        <v>#NAME?</v>
      </c>
      <c r="U117" s="27" t="e">
        <f t="shared" si="68"/>
        <v>#NAME?</v>
      </c>
      <c r="V117" s="27"/>
      <c r="W117" s="26">
        <f t="shared" si="69"/>
        <v>898</v>
      </c>
      <c r="X117" s="26" t="e">
        <f t="shared" si="70"/>
        <v>#NAME?</v>
      </c>
      <c r="Y117" s="27" t="e">
        <f t="shared" si="71"/>
        <v>#NAME?</v>
      </c>
    </row>
    <row r="118" spans="1:25" ht="16.5" customHeight="1" x14ac:dyDescent="0.25">
      <c r="A118" s="16" t="s">
        <v>196</v>
      </c>
      <c r="B118" s="32" t="s">
        <v>312</v>
      </c>
      <c r="C118" s="25">
        <f t="shared" si="54"/>
        <v>32691</v>
      </c>
      <c r="D118" s="25" t="e">
        <f t="shared" si="55"/>
        <v>#NAME?</v>
      </c>
      <c r="E118" s="27" t="e">
        <f t="shared" si="56"/>
        <v>#NAME?</v>
      </c>
      <c r="F118" s="27"/>
      <c r="G118" s="25">
        <f t="shared" si="57"/>
        <v>24285</v>
      </c>
      <c r="H118" s="25" t="e">
        <f t="shared" si="58"/>
        <v>#NAME?</v>
      </c>
      <c r="I118" s="27" t="e">
        <f t="shared" si="59"/>
        <v>#NAME?</v>
      </c>
      <c r="J118" s="27"/>
      <c r="K118" s="25">
        <f t="shared" si="60"/>
        <v>0</v>
      </c>
      <c r="L118" s="25" t="e">
        <f t="shared" si="61"/>
        <v>#NAME?</v>
      </c>
      <c r="M118" s="27" t="e">
        <f t="shared" si="62"/>
        <v>#NAME?</v>
      </c>
      <c r="N118" s="39"/>
      <c r="O118" s="36" t="str">
        <f t="shared" si="63"/>
        <v>Central</v>
      </c>
      <c r="P118" s="26" t="e">
        <f t="shared" si="64"/>
        <v>#NAME?</v>
      </c>
      <c r="Q118" s="27" t="e">
        <f t="shared" si="65"/>
        <v>#VALUE!</v>
      </c>
      <c r="R118" s="27"/>
      <c r="S118" s="26">
        <f t="shared" si="66"/>
        <v>56976</v>
      </c>
      <c r="T118" s="26" t="e">
        <f t="shared" si="67"/>
        <v>#NAME?</v>
      </c>
      <c r="U118" s="27" t="e">
        <f t="shared" si="68"/>
        <v>#NAME?</v>
      </c>
      <c r="V118" s="27"/>
      <c r="W118" s="26">
        <f t="shared" si="69"/>
        <v>24532</v>
      </c>
      <c r="X118" s="26" t="e">
        <f t="shared" si="70"/>
        <v>#NAME?</v>
      </c>
      <c r="Y118" s="27" t="e">
        <f t="shared" si="71"/>
        <v>#NAME?</v>
      </c>
    </row>
    <row r="119" spans="1:25" ht="16.5" customHeight="1" x14ac:dyDescent="0.25">
      <c r="A119" s="16" t="s">
        <v>200</v>
      </c>
      <c r="B119" s="32" t="s">
        <v>313</v>
      </c>
      <c r="C119" s="25">
        <f t="shared" si="54"/>
        <v>16261</v>
      </c>
      <c r="D119" s="25" t="e">
        <f t="shared" si="55"/>
        <v>#NAME?</v>
      </c>
      <c r="E119" s="27" t="e">
        <f t="shared" si="56"/>
        <v>#NAME?</v>
      </c>
      <c r="F119" s="27"/>
      <c r="G119" s="25">
        <f t="shared" si="57"/>
        <v>12205</v>
      </c>
      <c r="H119" s="25" t="e">
        <f t="shared" si="58"/>
        <v>#NAME?</v>
      </c>
      <c r="I119" s="27" t="e">
        <f t="shared" si="59"/>
        <v>#NAME?</v>
      </c>
      <c r="J119" s="27"/>
      <c r="K119" s="25">
        <f t="shared" si="60"/>
        <v>0</v>
      </c>
      <c r="L119" s="25" t="e">
        <f t="shared" si="61"/>
        <v>#NAME?</v>
      </c>
      <c r="M119" s="27" t="e">
        <f t="shared" si="62"/>
        <v>#NAME?</v>
      </c>
      <c r="N119" s="39"/>
      <c r="O119" s="36" t="str">
        <f t="shared" si="63"/>
        <v>Piedmont</v>
      </c>
      <c r="P119" s="26" t="e">
        <f t="shared" si="64"/>
        <v>#NAME?</v>
      </c>
      <c r="Q119" s="27" t="e">
        <f t="shared" si="65"/>
        <v>#VALUE!</v>
      </c>
      <c r="R119" s="27"/>
      <c r="S119" s="26">
        <f t="shared" si="66"/>
        <v>28466</v>
      </c>
      <c r="T119" s="26" t="e">
        <f t="shared" si="67"/>
        <v>#NAME?</v>
      </c>
      <c r="U119" s="27" t="e">
        <f t="shared" si="68"/>
        <v>#NAME?</v>
      </c>
      <c r="V119" s="27"/>
      <c r="W119" s="26">
        <f t="shared" si="69"/>
        <v>12359</v>
      </c>
      <c r="X119" s="26" t="e">
        <f t="shared" si="70"/>
        <v>#NAME?</v>
      </c>
      <c r="Y119" s="27" t="e">
        <f t="shared" si="71"/>
        <v>#NAME?</v>
      </c>
    </row>
    <row r="120" spans="1:25" ht="16.5" customHeight="1" x14ac:dyDescent="0.25">
      <c r="A120" s="16" t="s">
        <v>222</v>
      </c>
      <c r="B120" s="17" t="s">
        <v>223</v>
      </c>
      <c r="C120" s="25">
        <f t="shared" si="54"/>
        <v>8999</v>
      </c>
      <c r="D120" s="25" t="e">
        <f t="shared" si="55"/>
        <v>#NAME?</v>
      </c>
      <c r="E120" s="27" t="e">
        <f t="shared" si="56"/>
        <v>#NAME?</v>
      </c>
      <c r="F120" s="27"/>
      <c r="G120" s="25">
        <f t="shared" si="57"/>
        <v>6346</v>
      </c>
      <c r="H120" s="25" t="e">
        <f t="shared" si="58"/>
        <v>#NAME?</v>
      </c>
      <c r="I120" s="27" t="e">
        <f t="shared" si="59"/>
        <v>#NAME?</v>
      </c>
      <c r="J120" s="27"/>
      <c r="K120" s="25">
        <f t="shared" si="60"/>
        <v>0</v>
      </c>
      <c r="L120" s="25" t="e">
        <f t="shared" si="61"/>
        <v>#NAME?</v>
      </c>
      <c r="M120" s="27" t="e">
        <f t="shared" si="62"/>
        <v>#NAME?</v>
      </c>
      <c r="N120" s="39"/>
      <c r="O120" s="36" t="str">
        <f t="shared" si="63"/>
        <v>Eastern</v>
      </c>
      <c r="P120" s="26" t="e">
        <f t="shared" si="64"/>
        <v>#NAME?</v>
      </c>
      <c r="Q120" s="27" t="e">
        <f t="shared" si="65"/>
        <v>#VALUE!</v>
      </c>
      <c r="R120" s="27"/>
      <c r="S120" s="26">
        <f t="shared" si="66"/>
        <v>15345</v>
      </c>
      <c r="T120" s="26" t="e">
        <f t="shared" si="67"/>
        <v>#NAME?</v>
      </c>
      <c r="U120" s="27" t="e">
        <f t="shared" si="68"/>
        <v>#NAME?</v>
      </c>
      <c r="V120" s="27"/>
      <c r="W120" s="26">
        <f t="shared" si="69"/>
        <v>6801</v>
      </c>
      <c r="X120" s="26" t="e">
        <f t="shared" si="70"/>
        <v>#NAME?</v>
      </c>
      <c r="Y120" s="27" t="e">
        <f t="shared" si="71"/>
        <v>#NAME?</v>
      </c>
    </row>
    <row r="121" spans="1:25" ht="16.5" customHeight="1" x14ac:dyDescent="0.25">
      <c r="A121" s="16" t="s">
        <v>230</v>
      </c>
      <c r="B121" s="17" t="s">
        <v>231</v>
      </c>
      <c r="C121" s="25">
        <f t="shared" si="54"/>
        <v>25380</v>
      </c>
      <c r="D121" s="25" t="e">
        <f t="shared" si="55"/>
        <v>#NAME?</v>
      </c>
      <c r="E121" s="27" t="e">
        <f t="shared" si="56"/>
        <v>#NAME?</v>
      </c>
      <c r="F121" s="27"/>
      <c r="G121" s="25">
        <f t="shared" si="57"/>
        <v>17331</v>
      </c>
      <c r="H121" s="25" t="e">
        <f t="shared" si="58"/>
        <v>#NAME?</v>
      </c>
      <c r="I121" s="27" t="e">
        <f t="shared" si="59"/>
        <v>#NAME?</v>
      </c>
      <c r="J121" s="27"/>
      <c r="K121" s="25">
        <f t="shared" si="60"/>
        <v>0</v>
      </c>
      <c r="L121" s="25" t="e">
        <f t="shared" si="61"/>
        <v>#NAME?</v>
      </c>
      <c r="M121" s="27" t="e">
        <f t="shared" si="62"/>
        <v>#NAME?</v>
      </c>
      <c r="N121" s="39"/>
      <c r="O121" s="36" t="str">
        <f t="shared" si="63"/>
        <v>Eastern</v>
      </c>
      <c r="P121" s="26" t="e">
        <f t="shared" si="64"/>
        <v>#NAME?</v>
      </c>
      <c r="Q121" s="27" t="e">
        <f t="shared" si="65"/>
        <v>#VALUE!</v>
      </c>
      <c r="R121" s="27"/>
      <c r="S121" s="26">
        <f t="shared" si="66"/>
        <v>42711</v>
      </c>
      <c r="T121" s="26" t="e">
        <f t="shared" si="67"/>
        <v>#NAME?</v>
      </c>
      <c r="U121" s="27" t="e">
        <f t="shared" si="68"/>
        <v>#NAME?</v>
      </c>
      <c r="V121" s="27"/>
      <c r="W121" s="26">
        <f t="shared" si="69"/>
        <v>19840</v>
      </c>
      <c r="X121" s="26" t="e">
        <f t="shared" si="70"/>
        <v>#NAME?</v>
      </c>
      <c r="Y121" s="27" t="e">
        <f t="shared" si="71"/>
        <v>#NAME?</v>
      </c>
    </row>
    <row r="122" spans="1:25" ht="16.5" customHeight="1" x14ac:dyDescent="0.25">
      <c r="A122" s="16" t="s">
        <v>238</v>
      </c>
      <c r="B122" s="17" t="s">
        <v>239</v>
      </c>
      <c r="C122" s="25">
        <f t="shared" si="54"/>
        <v>988</v>
      </c>
      <c r="D122" s="25" t="e">
        <f t="shared" si="55"/>
        <v>#NAME?</v>
      </c>
      <c r="E122" s="27" t="e">
        <f t="shared" si="56"/>
        <v>#NAME?</v>
      </c>
      <c r="F122" s="27"/>
      <c r="G122" s="25">
        <f t="shared" si="57"/>
        <v>824</v>
      </c>
      <c r="H122" s="25" t="e">
        <f t="shared" si="58"/>
        <v>#NAME?</v>
      </c>
      <c r="I122" s="27" t="e">
        <f t="shared" si="59"/>
        <v>#NAME?</v>
      </c>
      <c r="J122" s="27"/>
      <c r="K122" s="25">
        <f t="shared" si="60"/>
        <v>0</v>
      </c>
      <c r="L122" s="25" t="e">
        <f t="shared" si="61"/>
        <v>#NAME?</v>
      </c>
      <c r="M122" s="27" t="e">
        <f t="shared" si="62"/>
        <v>#NAME?</v>
      </c>
      <c r="N122" s="39"/>
      <c r="O122" s="36" t="str">
        <f t="shared" si="63"/>
        <v>Eastern</v>
      </c>
      <c r="P122" s="26" t="e">
        <f t="shared" si="64"/>
        <v>#NAME?</v>
      </c>
      <c r="Q122" s="27" t="e">
        <f t="shared" si="65"/>
        <v>#VALUE!</v>
      </c>
      <c r="R122" s="27"/>
      <c r="S122" s="26">
        <f t="shared" si="66"/>
        <v>1812</v>
      </c>
      <c r="T122" s="26" t="e">
        <f t="shared" si="67"/>
        <v>#NAME?</v>
      </c>
      <c r="U122" s="27" t="e">
        <f t="shared" si="68"/>
        <v>#NAME?</v>
      </c>
      <c r="V122" s="27"/>
      <c r="W122" s="26">
        <f t="shared" si="69"/>
        <v>818</v>
      </c>
      <c r="X122" s="26" t="e">
        <f t="shared" si="70"/>
        <v>#NAME?</v>
      </c>
      <c r="Y122" s="27" t="e">
        <f t="shared" si="71"/>
        <v>#NAME?</v>
      </c>
    </row>
    <row r="123" spans="1:25" ht="16.5" customHeight="1" x14ac:dyDescent="0.25">
      <c r="A123" s="16" t="s">
        <v>240</v>
      </c>
      <c r="B123" s="32" t="s">
        <v>241</v>
      </c>
      <c r="C123" s="25">
        <f t="shared" si="54"/>
        <v>2925</v>
      </c>
      <c r="D123" s="25" t="e">
        <f t="shared" si="55"/>
        <v>#NAME?</v>
      </c>
      <c r="E123" s="27" t="e">
        <f t="shared" si="56"/>
        <v>#NAME?</v>
      </c>
      <c r="F123" s="27"/>
      <c r="G123" s="25">
        <f t="shared" si="57"/>
        <v>2433</v>
      </c>
      <c r="H123" s="25" t="e">
        <f t="shared" si="58"/>
        <v>#NAME?</v>
      </c>
      <c r="I123" s="27" t="e">
        <f t="shared" si="59"/>
        <v>#NAME?</v>
      </c>
      <c r="J123" s="27"/>
      <c r="K123" s="25">
        <f t="shared" si="60"/>
        <v>0</v>
      </c>
      <c r="L123" s="25" t="e">
        <f t="shared" si="61"/>
        <v>#NAME?</v>
      </c>
      <c r="M123" s="27" t="e">
        <f t="shared" si="62"/>
        <v>#NAME?</v>
      </c>
      <c r="N123" s="39"/>
      <c r="O123" s="36" t="str">
        <f t="shared" si="63"/>
        <v>Northern</v>
      </c>
      <c r="P123" s="26" t="e">
        <f t="shared" si="64"/>
        <v>#NAME?</v>
      </c>
      <c r="Q123" s="27" t="e">
        <f t="shared" si="65"/>
        <v>#VALUE!</v>
      </c>
      <c r="R123" s="27"/>
      <c r="S123" s="26">
        <f t="shared" si="66"/>
        <v>5358</v>
      </c>
      <c r="T123" s="26" t="e">
        <f t="shared" si="67"/>
        <v>#NAME?</v>
      </c>
      <c r="U123" s="27" t="e">
        <f t="shared" si="68"/>
        <v>#NAME?</v>
      </c>
      <c r="V123" s="27"/>
      <c r="W123" s="26">
        <f t="shared" si="69"/>
        <v>2612</v>
      </c>
      <c r="X123" s="26" t="e">
        <f t="shared" si="70"/>
        <v>#NAME?</v>
      </c>
      <c r="Y123" s="27" t="e">
        <f t="shared" si="71"/>
        <v>#NAME?</v>
      </c>
    </row>
    <row r="124" spans="1:25" x14ac:dyDescent="0.2">
      <c r="C124" s="28">
        <f>SUM(C4:C123)</f>
        <v>632469</v>
      </c>
      <c r="D124" s="28"/>
      <c r="E124" s="28"/>
      <c r="F124" s="28"/>
      <c r="G124" s="28"/>
      <c r="H124" s="28"/>
      <c r="I124" s="28"/>
      <c r="J124" s="28"/>
      <c r="K124" s="28"/>
      <c r="L124" s="28"/>
    </row>
    <row r="125" spans="1:25" x14ac:dyDescent="0.2">
      <c r="C125" s="28">
        <f>+C124/12</f>
        <v>52705.75</v>
      </c>
      <c r="D125" s="28"/>
      <c r="E125" s="28"/>
      <c r="F125" s="28"/>
      <c r="G125" s="28"/>
      <c r="H125" s="28"/>
      <c r="I125" s="28"/>
      <c r="J125" s="28"/>
      <c r="K125" s="28"/>
      <c r="L125" s="28"/>
    </row>
    <row r="126" spans="1:25" ht="12.75" customHeight="1" x14ac:dyDescent="0.2">
      <c r="A126" s="2774" t="s">
        <v>570</v>
      </c>
      <c r="B126" s="2774"/>
      <c r="C126" s="2775"/>
      <c r="D126" s="19"/>
      <c r="E126" s="19"/>
      <c r="F126" s="19"/>
      <c r="G126" s="19"/>
      <c r="H126" s="19"/>
      <c r="I126" s="19"/>
      <c r="J126" s="19"/>
      <c r="K126" s="19"/>
      <c r="L126" s="19"/>
    </row>
    <row r="127" spans="1:25" x14ac:dyDescent="0.2">
      <c r="A127" s="18" t="s">
        <v>571</v>
      </c>
    </row>
  </sheetData>
  <mergeCells count="9">
    <mergeCell ref="C1:M1"/>
    <mergeCell ref="W2:Y2"/>
    <mergeCell ref="O1:Y1"/>
    <mergeCell ref="A126:C126"/>
    <mergeCell ref="C2:E2"/>
    <mergeCell ref="G2:I2"/>
    <mergeCell ref="K2:M2"/>
    <mergeCell ref="O2:Q2"/>
    <mergeCell ref="S2:U2"/>
  </mergeCells>
  <conditionalFormatting sqref="Q4:R123 E4:F123">
    <cfRule type="cellIs" dxfId="3" priority="20" stopIfTrue="1" operator="greaterThan">
      <formula>"&gt;1"</formula>
    </cfRule>
  </conditionalFormatting>
  <conditionalFormatting sqref="Y4:Y123 M4:N123 U4:V123 Q4:R123 I4:J123 E4:F123">
    <cfRule type="cellIs" dxfId="2" priority="19" stopIfTrue="1" operator="greaterThan">
      <formula>1</formula>
    </cfRule>
  </conditionalFormatting>
  <pageMargins left="0.75" right="0.75" top="1" bottom="1" header="0.5" footer="0.5"/>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7" sqref="E7"/>
    </sheetView>
  </sheetViews>
  <sheetFormatPr defaultRowHeight="12.75" x14ac:dyDescent="0.2"/>
  <cols>
    <col min="1" max="1" width="12.25" style="18" customWidth="1"/>
    <col min="2" max="2" width="21.5" style="18" customWidth="1"/>
    <col min="3" max="3" width="10.5" style="18" customWidth="1"/>
    <col min="4" max="4" width="10.625" style="18" customWidth="1"/>
    <col min="5" max="5" width="9.75" style="18" customWidth="1"/>
    <col min="6" max="6" width="2.625" style="18" customWidth="1"/>
    <col min="7" max="7" width="10.25" style="18" customWidth="1"/>
    <col min="8" max="8" width="10.125" style="18" customWidth="1"/>
    <col min="9" max="9" width="10.875" style="18" customWidth="1"/>
    <col min="10" max="10" width="2.625" style="18" customWidth="1"/>
    <col min="11" max="11" width="11.625" style="18" customWidth="1"/>
    <col min="12" max="12" width="11.375" style="18" customWidth="1"/>
    <col min="13" max="13" width="10.25" style="18" customWidth="1"/>
    <col min="14" max="14" width="2.625" style="18" customWidth="1"/>
    <col min="15" max="15" width="10.125" style="18" customWidth="1"/>
    <col min="16" max="17" width="10" style="18" customWidth="1"/>
    <col min="18" max="18" width="2.625" style="18" customWidth="1"/>
    <col min="19" max="19" width="10.625" style="18" customWidth="1"/>
    <col min="20" max="20" width="10.5" style="18" customWidth="1"/>
    <col min="21" max="21" width="10.125" style="18" customWidth="1"/>
    <col min="22" max="22" width="2.625" style="18" customWidth="1"/>
    <col min="23" max="23" width="10.125" style="18" customWidth="1"/>
    <col min="24" max="24" width="11.5" style="18" customWidth="1"/>
    <col min="25" max="25" width="11" style="18" customWidth="1"/>
    <col min="26" max="16384" width="9" style="18"/>
  </cols>
  <sheetData>
    <row r="1" spans="1:25" ht="15.75" x14ac:dyDescent="0.25">
      <c r="C1" s="2776" t="s">
        <v>576</v>
      </c>
      <c r="D1" s="2776"/>
      <c r="E1" s="2776"/>
      <c r="F1" s="2776"/>
      <c r="G1" s="2776"/>
      <c r="H1" s="2776"/>
      <c r="I1" s="2776"/>
      <c r="J1" s="2776"/>
      <c r="K1" s="2776"/>
      <c r="L1" s="2776"/>
      <c r="M1" s="2776"/>
      <c r="O1" s="2776" t="s">
        <v>577</v>
      </c>
      <c r="P1" s="2776"/>
      <c r="Q1" s="2776"/>
      <c r="R1" s="2776"/>
      <c r="S1" s="2776"/>
      <c r="T1" s="2776"/>
      <c r="U1" s="2776"/>
      <c r="V1" s="2776"/>
      <c r="W1" s="2776"/>
      <c r="X1" s="2776"/>
      <c r="Y1" s="2776"/>
    </row>
    <row r="2" spans="1:25" x14ac:dyDescent="0.2">
      <c r="C2" s="2772" t="s">
        <v>2</v>
      </c>
      <c r="D2" s="2772"/>
      <c r="E2" s="2772"/>
      <c r="G2" s="2772" t="s">
        <v>445</v>
      </c>
      <c r="H2" s="2772"/>
      <c r="I2" s="2772"/>
      <c r="K2" s="2772" t="s">
        <v>447</v>
      </c>
      <c r="L2" s="2772"/>
      <c r="M2" s="2772"/>
      <c r="N2" s="46"/>
      <c r="O2" s="2772" t="s">
        <v>2</v>
      </c>
      <c r="P2" s="2772"/>
      <c r="Q2" s="2772"/>
      <c r="S2" s="2772" t="s">
        <v>445</v>
      </c>
      <c r="T2" s="2772"/>
      <c r="U2" s="2772"/>
      <c r="W2" s="2772" t="s">
        <v>447</v>
      </c>
      <c r="X2" s="2772"/>
      <c r="Y2" s="2772"/>
    </row>
    <row r="3" spans="1:25" s="21" customFormat="1" ht="71.25" customHeight="1" x14ac:dyDescent="0.25">
      <c r="A3" s="20" t="s">
        <v>305</v>
      </c>
      <c r="B3" s="20" t="s">
        <v>306</v>
      </c>
      <c r="C3" s="23" t="s">
        <v>578</v>
      </c>
      <c r="D3" s="23" t="s">
        <v>579</v>
      </c>
      <c r="E3" s="34" t="s">
        <v>580</v>
      </c>
      <c r="F3" s="38"/>
      <c r="G3" s="23" t="s">
        <v>578</v>
      </c>
      <c r="H3" s="23" t="s">
        <v>579</v>
      </c>
      <c r="I3" s="34" t="s">
        <v>580</v>
      </c>
      <c r="J3" s="38"/>
      <c r="K3" s="23" t="s">
        <v>578</v>
      </c>
      <c r="L3" s="23" t="s">
        <v>579</v>
      </c>
      <c r="M3" s="34" t="s">
        <v>580</v>
      </c>
      <c r="N3" s="38"/>
      <c r="O3" s="23" t="s">
        <v>578</v>
      </c>
      <c r="P3" s="23" t="s">
        <v>579</v>
      </c>
      <c r="Q3" s="34" t="s">
        <v>580</v>
      </c>
      <c r="R3" s="38"/>
      <c r="S3" s="23" t="s">
        <v>578</v>
      </c>
      <c r="T3" s="23" t="s">
        <v>579</v>
      </c>
      <c r="U3" s="34" t="s">
        <v>580</v>
      </c>
      <c r="V3" s="38"/>
      <c r="W3" s="23" t="s">
        <v>578</v>
      </c>
      <c r="X3" s="23" t="s">
        <v>579</v>
      </c>
      <c r="Y3" s="34" t="s">
        <v>580</v>
      </c>
    </row>
    <row r="4" spans="1:25" ht="16.5" customHeight="1" x14ac:dyDescent="0.25">
      <c r="A4" s="16" t="s">
        <v>10</v>
      </c>
      <c r="B4" s="16" t="s">
        <v>11</v>
      </c>
      <c r="C4" s="25">
        <f t="shared" ref="C4:C35" si="0">VLOOKUP(A4,TANFClient_Demo,7,FALSE)</f>
        <v>34</v>
      </c>
      <c r="D4" s="25" t="e">
        <f t="shared" ref="D4:D35" si="1">VLOOKUP(A4,Pop,14,FALSE)</f>
        <v>#NAME?</v>
      </c>
      <c r="E4" s="27" t="e">
        <f t="shared" ref="E4:E35" si="2">+C4/D4</f>
        <v>#NAME?</v>
      </c>
      <c r="F4" s="42"/>
      <c r="G4" s="25">
        <f t="shared" ref="G4:G35" si="3">VLOOKUP(A4,TANFClient_Demo,8,FALSE)</f>
        <v>0</v>
      </c>
      <c r="H4" s="25" t="e">
        <f t="shared" ref="H4:H35" si="4">VLOOKUP(A4,Pop,15,FALSE)</f>
        <v>#NAME?</v>
      </c>
      <c r="I4" s="27" t="e">
        <f t="shared" ref="I4:I35" si="5">+G4/H4</f>
        <v>#NAME?</v>
      </c>
      <c r="J4" s="42"/>
      <c r="K4" s="25">
        <f t="shared" ref="K4:K35" si="6">VLOOKUP(A4,TANFClient_Demo,9,FALSE)</f>
        <v>0</v>
      </c>
      <c r="L4" s="25" t="e">
        <f t="shared" ref="L4:L35" si="7">VLOOKUP(A4,Pop,16,FALSE)</f>
        <v>#NAME?</v>
      </c>
      <c r="M4" s="27" t="e">
        <f t="shared" ref="M4:M35" si="8">+K4/L4</f>
        <v>#NAME?</v>
      </c>
      <c r="N4" s="27"/>
      <c r="O4" s="26" t="str">
        <f t="shared" ref="O4:O35" si="9">VLOOKUP(A4,TANFClient_Demo,3,FALSE)</f>
        <v>Eastern</v>
      </c>
      <c r="P4" s="26" t="e">
        <f t="shared" ref="P4:P35" si="10">VLOOKUP(A4,Pop,8,FALSE)</f>
        <v>#NAME?</v>
      </c>
      <c r="Q4" s="27" t="e">
        <f t="shared" ref="Q4:Q35" si="11">+O4/P4</f>
        <v>#VALUE!</v>
      </c>
      <c r="R4" s="27"/>
      <c r="S4" s="26">
        <f t="shared" ref="S4:S35" si="12">VLOOKUP(A4,TANFClient_Demo,4,FALSE)</f>
        <v>472</v>
      </c>
      <c r="T4" s="26" t="e">
        <f t="shared" ref="T4:T35" si="13">VLOOKUP(A4,Pop,9,FALSE)</f>
        <v>#NAME?</v>
      </c>
      <c r="U4" s="27" t="e">
        <f t="shared" ref="U4:U35" si="14">+S4/T4</f>
        <v>#NAME?</v>
      </c>
      <c r="V4" s="27"/>
      <c r="W4" s="26">
        <f t="shared" ref="W4:W35" si="15">VLOOKUP(A4,TANFClient_Demo,5,FALSE)</f>
        <v>341</v>
      </c>
      <c r="X4" s="26" t="e">
        <f t="shared" ref="X4:X35" si="16">VLOOKUP(A4,Pop,10,FALSE)</f>
        <v>#NAME?</v>
      </c>
      <c r="Y4" s="27" t="e">
        <f t="shared" ref="Y4:Y35" si="17">+W4/X4</f>
        <v>#NAME?</v>
      </c>
    </row>
    <row r="5" spans="1:25" ht="16.5" customHeight="1" x14ac:dyDescent="0.25">
      <c r="A5" s="16" t="s">
        <v>12</v>
      </c>
      <c r="B5" s="16" t="s">
        <v>13</v>
      </c>
      <c r="C5" s="25">
        <f t="shared" si="0"/>
        <v>76</v>
      </c>
      <c r="D5" s="25" t="e">
        <f t="shared" si="1"/>
        <v>#NAME?</v>
      </c>
      <c r="E5" s="27" t="e">
        <f t="shared" si="2"/>
        <v>#NAME?</v>
      </c>
      <c r="F5" s="25"/>
      <c r="G5" s="25">
        <f t="shared" si="3"/>
        <v>2</v>
      </c>
      <c r="H5" s="25" t="e">
        <f t="shared" si="4"/>
        <v>#NAME?</v>
      </c>
      <c r="I5" s="27" t="e">
        <f t="shared" si="5"/>
        <v>#NAME?</v>
      </c>
      <c r="J5" s="25"/>
      <c r="K5" s="25">
        <f t="shared" si="6"/>
        <v>0</v>
      </c>
      <c r="L5" s="25" t="e">
        <f t="shared" si="7"/>
        <v>#NAME?</v>
      </c>
      <c r="M5" s="27" t="e">
        <f t="shared" si="8"/>
        <v>#NAME?</v>
      </c>
      <c r="N5" s="27"/>
      <c r="O5" s="26" t="str">
        <f t="shared" si="9"/>
        <v>Piedmont</v>
      </c>
      <c r="P5" s="26" t="e">
        <f t="shared" si="10"/>
        <v>#NAME?</v>
      </c>
      <c r="Q5" s="27" t="e">
        <f t="shared" si="11"/>
        <v>#VALUE!</v>
      </c>
      <c r="R5" s="27"/>
      <c r="S5" s="26">
        <f t="shared" si="12"/>
        <v>582</v>
      </c>
      <c r="T5" s="26" t="e">
        <f t="shared" si="13"/>
        <v>#NAME?</v>
      </c>
      <c r="U5" s="27" t="e">
        <f t="shared" si="14"/>
        <v>#NAME?</v>
      </c>
      <c r="V5" s="27"/>
      <c r="W5" s="26">
        <f t="shared" si="15"/>
        <v>384</v>
      </c>
      <c r="X5" s="26" t="e">
        <f t="shared" si="16"/>
        <v>#NAME?</v>
      </c>
      <c r="Y5" s="27" t="e">
        <f t="shared" si="17"/>
        <v>#NAME?</v>
      </c>
    </row>
    <row r="6" spans="1:25" ht="16.5" customHeight="1" x14ac:dyDescent="0.25">
      <c r="A6" s="16" t="s">
        <v>16</v>
      </c>
      <c r="B6" s="16" t="s">
        <v>297</v>
      </c>
      <c r="C6" s="25">
        <f t="shared" si="0"/>
        <v>23</v>
      </c>
      <c r="D6" s="25" t="e">
        <f t="shared" si="1"/>
        <v>#NAME?</v>
      </c>
      <c r="E6" s="27" t="e">
        <f t="shared" si="2"/>
        <v>#NAME?</v>
      </c>
      <c r="F6" s="25"/>
      <c r="G6" s="25">
        <f t="shared" si="3"/>
        <v>0</v>
      </c>
      <c r="H6" s="25" t="e">
        <f t="shared" si="4"/>
        <v>#NAME?</v>
      </c>
      <c r="I6" s="27" t="e">
        <f t="shared" si="5"/>
        <v>#NAME?</v>
      </c>
      <c r="J6" s="25"/>
      <c r="K6" s="25">
        <f t="shared" si="6"/>
        <v>0</v>
      </c>
      <c r="L6" s="25" t="e">
        <f t="shared" si="7"/>
        <v>#NAME?</v>
      </c>
      <c r="M6" s="27" t="e">
        <f t="shared" si="8"/>
        <v>#NAME?</v>
      </c>
      <c r="N6" s="27"/>
      <c r="O6" s="26" t="str">
        <f t="shared" si="9"/>
        <v>Piedmont</v>
      </c>
      <c r="P6" s="26" t="e">
        <f t="shared" si="10"/>
        <v>#NAME?</v>
      </c>
      <c r="Q6" s="27" t="e">
        <f t="shared" si="11"/>
        <v>#VALUE!</v>
      </c>
      <c r="R6" s="27"/>
      <c r="S6" s="26">
        <f t="shared" si="12"/>
        <v>307</v>
      </c>
      <c r="T6" s="26" t="e">
        <f t="shared" si="13"/>
        <v>#NAME?</v>
      </c>
      <c r="U6" s="27" t="e">
        <f t="shared" si="14"/>
        <v>#NAME?</v>
      </c>
      <c r="V6" s="27"/>
      <c r="W6" s="26">
        <f t="shared" si="15"/>
        <v>220</v>
      </c>
      <c r="X6" s="26" t="e">
        <f t="shared" si="16"/>
        <v>#NAME?</v>
      </c>
      <c r="Y6" s="27" t="e">
        <f t="shared" si="17"/>
        <v>#NAME?</v>
      </c>
    </row>
    <row r="7" spans="1:25" ht="16.5" customHeight="1" x14ac:dyDescent="0.25">
      <c r="A7" s="49" t="s">
        <v>18</v>
      </c>
      <c r="B7" s="48" t="s">
        <v>19</v>
      </c>
      <c r="C7" s="25">
        <f t="shared" si="0"/>
        <v>7</v>
      </c>
      <c r="D7" s="25" t="e">
        <f t="shared" si="1"/>
        <v>#NAME?</v>
      </c>
      <c r="E7" s="27" t="e">
        <f t="shared" si="2"/>
        <v>#NAME?</v>
      </c>
      <c r="F7" s="25"/>
      <c r="G7" s="25">
        <f t="shared" si="3"/>
        <v>0</v>
      </c>
      <c r="H7" s="25" t="e">
        <f t="shared" si="4"/>
        <v>#NAME?</v>
      </c>
      <c r="I7" s="27" t="e">
        <f t="shared" si="5"/>
        <v>#NAME?</v>
      </c>
      <c r="J7" s="25"/>
      <c r="K7" s="25">
        <f t="shared" si="6"/>
        <v>0</v>
      </c>
      <c r="L7" s="25" t="e">
        <f t="shared" si="7"/>
        <v>#NAME?</v>
      </c>
      <c r="M7" s="27" t="e">
        <f t="shared" si="8"/>
        <v>#NAME?</v>
      </c>
      <c r="N7" s="27"/>
      <c r="O7" s="26" t="str">
        <f t="shared" si="9"/>
        <v>Central</v>
      </c>
      <c r="P7" s="26" t="e">
        <f t="shared" si="10"/>
        <v>#NAME?</v>
      </c>
      <c r="Q7" s="27" t="e">
        <f t="shared" si="11"/>
        <v>#VALUE!</v>
      </c>
      <c r="R7" s="27"/>
      <c r="S7" s="26">
        <f t="shared" si="12"/>
        <v>98</v>
      </c>
      <c r="T7" s="26" t="e">
        <f t="shared" si="13"/>
        <v>#NAME?</v>
      </c>
      <c r="U7" s="27" t="e">
        <f t="shared" si="14"/>
        <v>#NAME?</v>
      </c>
      <c r="V7" s="27"/>
      <c r="W7" s="26">
        <f t="shared" si="15"/>
        <v>67</v>
      </c>
      <c r="X7" s="26" t="e">
        <f t="shared" si="16"/>
        <v>#NAME?</v>
      </c>
      <c r="Y7" s="27" t="e">
        <f t="shared" si="17"/>
        <v>#NAME?</v>
      </c>
    </row>
    <row r="8" spans="1:25" ht="16.5" customHeight="1" x14ac:dyDescent="0.25">
      <c r="A8" s="16" t="s">
        <v>20</v>
      </c>
      <c r="B8" s="16" t="s">
        <v>21</v>
      </c>
      <c r="C8" s="25">
        <f t="shared" si="0"/>
        <v>21</v>
      </c>
      <c r="D8" s="25" t="e">
        <f t="shared" si="1"/>
        <v>#NAME?</v>
      </c>
      <c r="E8" s="27" t="e">
        <f t="shared" si="2"/>
        <v>#NAME?</v>
      </c>
      <c r="F8" s="25"/>
      <c r="G8" s="25">
        <f t="shared" si="3"/>
        <v>0</v>
      </c>
      <c r="H8" s="25" t="e">
        <f t="shared" si="4"/>
        <v>#NAME?</v>
      </c>
      <c r="I8" s="27" t="e">
        <f t="shared" si="5"/>
        <v>#NAME?</v>
      </c>
      <c r="J8" s="25"/>
      <c r="K8" s="25">
        <f t="shared" si="6"/>
        <v>0</v>
      </c>
      <c r="L8" s="25" t="e">
        <f t="shared" si="7"/>
        <v>#NAME?</v>
      </c>
      <c r="M8" s="27" t="e">
        <f t="shared" si="8"/>
        <v>#NAME?</v>
      </c>
      <c r="N8" s="27"/>
      <c r="O8" s="26" t="str">
        <f t="shared" si="9"/>
        <v>Piedmont</v>
      </c>
      <c r="P8" s="26" t="e">
        <f t="shared" si="10"/>
        <v>#NAME?</v>
      </c>
      <c r="Q8" s="27" t="e">
        <f t="shared" si="11"/>
        <v>#VALUE!</v>
      </c>
      <c r="R8" s="27"/>
      <c r="S8" s="26">
        <f t="shared" si="12"/>
        <v>336</v>
      </c>
      <c r="T8" s="26" t="e">
        <f t="shared" si="13"/>
        <v>#NAME?</v>
      </c>
      <c r="U8" s="27" t="e">
        <f t="shared" si="14"/>
        <v>#NAME?</v>
      </c>
      <c r="V8" s="27"/>
      <c r="W8" s="26">
        <f t="shared" si="15"/>
        <v>250</v>
      </c>
      <c r="X8" s="26" t="e">
        <f t="shared" si="16"/>
        <v>#NAME?</v>
      </c>
      <c r="Y8" s="27" t="e">
        <f t="shared" si="17"/>
        <v>#NAME?</v>
      </c>
    </row>
    <row r="9" spans="1:25" ht="16.5" customHeight="1" x14ac:dyDescent="0.25">
      <c r="A9" s="16" t="s">
        <v>22</v>
      </c>
      <c r="B9" s="16" t="s">
        <v>23</v>
      </c>
      <c r="C9" s="25">
        <f t="shared" si="0"/>
        <v>17</v>
      </c>
      <c r="D9" s="25" t="e">
        <f t="shared" si="1"/>
        <v>#NAME?</v>
      </c>
      <c r="E9" s="27" t="e">
        <f t="shared" si="2"/>
        <v>#NAME?</v>
      </c>
      <c r="F9" s="25"/>
      <c r="G9" s="25">
        <f t="shared" si="3"/>
        <v>0</v>
      </c>
      <c r="H9" s="25" t="e">
        <f t="shared" si="4"/>
        <v>#NAME?</v>
      </c>
      <c r="I9" s="27" t="e">
        <f t="shared" si="5"/>
        <v>#NAME?</v>
      </c>
      <c r="J9" s="25"/>
      <c r="K9" s="25">
        <f t="shared" si="6"/>
        <v>0</v>
      </c>
      <c r="L9" s="25" t="e">
        <f t="shared" si="7"/>
        <v>#NAME?</v>
      </c>
      <c r="M9" s="27" t="e">
        <f t="shared" si="8"/>
        <v>#NAME?</v>
      </c>
      <c r="N9" s="27"/>
      <c r="O9" s="26" t="str">
        <f t="shared" si="9"/>
        <v>Piedmont</v>
      </c>
      <c r="P9" s="26" t="e">
        <f t="shared" si="10"/>
        <v>#NAME?</v>
      </c>
      <c r="Q9" s="27" t="e">
        <f t="shared" si="11"/>
        <v>#VALUE!</v>
      </c>
      <c r="R9" s="27"/>
      <c r="S9" s="26">
        <f t="shared" si="12"/>
        <v>217</v>
      </c>
      <c r="T9" s="26" t="e">
        <f t="shared" si="13"/>
        <v>#NAME?</v>
      </c>
      <c r="U9" s="27" t="e">
        <f t="shared" si="14"/>
        <v>#NAME?</v>
      </c>
      <c r="V9" s="27"/>
      <c r="W9" s="26">
        <f t="shared" si="15"/>
        <v>156</v>
      </c>
      <c r="X9" s="26" t="e">
        <f t="shared" si="16"/>
        <v>#NAME?</v>
      </c>
      <c r="Y9" s="27" t="e">
        <f t="shared" si="17"/>
        <v>#NAME?</v>
      </c>
    </row>
    <row r="10" spans="1:25" ht="16.5" customHeight="1" x14ac:dyDescent="0.25">
      <c r="A10" s="16" t="s">
        <v>24</v>
      </c>
      <c r="B10" s="16" t="s">
        <v>25</v>
      </c>
      <c r="C10" s="25">
        <f t="shared" si="0"/>
        <v>89</v>
      </c>
      <c r="D10" s="25" t="e">
        <f t="shared" si="1"/>
        <v>#NAME?</v>
      </c>
      <c r="E10" s="27" t="e">
        <f t="shared" si="2"/>
        <v>#NAME?</v>
      </c>
      <c r="F10" s="25"/>
      <c r="G10" s="25">
        <f t="shared" si="3"/>
        <v>0</v>
      </c>
      <c r="H10" s="25" t="e">
        <f t="shared" si="4"/>
        <v>#NAME?</v>
      </c>
      <c r="I10" s="27" t="e">
        <f t="shared" si="5"/>
        <v>#NAME?</v>
      </c>
      <c r="J10" s="25"/>
      <c r="K10" s="25">
        <f t="shared" si="6"/>
        <v>0</v>
      </c>
      <c r="L10" s="25" t="e">
        <f t="shared" si="7"/>
        <v>#NAME?</v>
      </c>
      <c r="M10" s="27" t="e">
        <f t="shared" si="8"/>
        <v>#NAME?</v>
      </c>
      <c r="N10" s="27"/>
      <c r="O10" s="26" t="str">
        <f t="shared" si="9"/>
        <v>Northern</v>
      </c>
      <c r="P10" s="26" t="e">
        <f t="shared" si="10"/>
        <v>#NAME?</v>
      </c>
      <c r="Q10" s="27" t="e">
        <f t="shared" si="11"/>
        <v>#VALUE!</v>
      </c>
      <c r="R10" s="27"/>
      <c r="S10" s="26">
        <f t="shared" si="12"/>
        <v>717</v>
      </c>
      <c r="T10" s="26" t="e">
        <f t="shared" si="13"/>
        <v>#NAME?</v>
      </c>
      <c r="U10" s="27" t="e">
        <f t="shared" si="14"/>
        <v>#NAME?</v>
      </c>
      <c r="V10" s="27"/>
      <c r="W10" s="26">
        <f t="shared" si="15"/>
        <v>487</v>
      </c>
      <c r="X10" s="26" t="e">
        <f t="shared" si="16"/>
        <v>#NAME?</v>
      </c>
      <c r="Y10" s="27" t="e">
        <f t="shared" si="17"/>
        <v>#NAME?</v>
      </c>
    </row>
    <row r="11" spans="1:25" ht="16.5" customHeight="1" x14ac:dyDescent="0.25">
      <c r="A11" s="16" t="s">
        <v>26</v>
      </c>
      <c r="B11" s="16" t="s">
        <v>298</v>
      </c>
      <c r="C11" s="25">
        <f t="shared" si="0"/>
        <v>166</v>
      </c>
      <c r="D11" s="25" t="e">
        <f t="shared" si="1"/>
        <v>#NAME?</v>
      </c>
      <c r="E11" s="27" t="e">
        <f t="shared" si="2"/>
        <v>#NAME?</v>
      </c>
      <c r="F11" s="25"/>
      <c r="G11" s="25">
        <f t="shared" si="3"/>
        <v>2</v>
      </c>
      <c r="H11" s="25" t="e">
        <f t="shared" si="4"/>
        <v>#NAME?</v>
      </c>
      <c r="I11" s="27" t="e">
        <f t="shared" si="5"/>
        <v>#NAME?</v>
      </c>
      <c r="J11" s="25"/>
      <c r="K11" s="25">
        <f t="shared" si="6"/>
        <v>0</v>
      </c>
      <c r="L11" s="25" t="e">
        <f t="shared" si="7"/>
        <v>#NAME?</v>
      </c>
      <c r="M11" s="27" t="e">
        <f t="shared" si="8"/>
        <v>#NAME?</v>
      </c>
      <c r="N11" s="27"/>
      <c r="O11" s="26" t="str">
        <f t="shared" si="9"/>
        <v>Piedmont</v>
      </c>
      <c r="P11" s="26" t="e">
        <f t="shared" si="10"/>
        <v>#NAME?</v>
      </c>
      <c r="Q11" s="27" t="e">
        <f t="shared" si="11"/>
        <v>#VALUE!</v>
      </c>
      <c r="R11" s="27"/>
      <c r="S11" s="26">
        <f t="shared" si="12"/>
        <v>1628</v>
      </c>
      <c r="T11" s="26" t="e">
        <f t="shared" si="13"/>
        <v>#NAME?</v>
      </c>
      <c r="U11" s="27" t="e">
        <f t="shared" si="14"/>
        <v>#NAME?</v>
      </c>
      <c r="V11" s="27"/>
      <c r="W11" s="26">
        <f t="shared" si="15"/>
        <v>1130</v>
      </c>
      <c r="X11" s="26" t="e">
        <f t="shared" si="16"/>
        <v>#NAME?</v>
      </c>
      <c r="Y11" s="27" t="e">
        <f t="shared" si="17"/>
        <v>#NAME?</v>
      </c>
    </row>
    <row r="12" spans="1:25" ht="16.5" customHeight="1" x14ac:dyDescent="0.25">
      <c r="A12" s="16" t="s">
        <v>27</v>
      </c>
      <c r="B12" s="16" t="s">
        <v>28</v>
      </c>
      <c r="C12" s="25">
        <f t="shared" si="0"/>
        <v>1</v>
      </c>
      <c r="D12" s="25" t="e">
        <f t="shared" si="1"/>
        <v>#NAME?</v>
      </c>
      <c r="E12" s="27" t="e">
        <f t="shared" si="2"/>
        <v>#NAME?</v>
      </c>
      <c r="F12" s="25"/>
      <c r="G12" s="25">
        <f t="shared" si="3"/>
        <v>0</v>
      </c>
      <c r="H12" s="25" t="e">
        <f t="shared" si="4"/>
        <v>#NAME?</v>
      </c>
      <c r="I12" s="27" t="e">
        <f t="shared" si="5"/>
        <v>#NAME?</v>
      </c>
      <c r="J12" s="25"/>
      <c r="K12" s="25">
        <f t="shared" si="6"/>
        <v>0</v>
      </c>
      <c r="L12" s="25" t="e">
        <f t="shared" si="7"/>
        <v>#NAME?</v>
      </c>
      <c r="M12" s="27" t="e">
        <f t="shared" si="8"/>
        <v>#NAME?</v>
      </c>
      <c r="N12" s="27"/>
      <c r="O12" s="26" t="str">
        <f t="shared" si="9"/>
        <v>Piedmont</v>
      </c>
      <c r="P12" s="26" t="e">
        <f t="shared" si="10"/>
        <v>#NAME?</v>
      </c>
      <c r="Q12" s="27" t="e">
        <f t="shared" si="11"/>
        <v>#VALUE!</v>
      </c>
      <c r="R12" s="27"/>
      <c r="S12" s="26">
        <f t="shared" si="12"/>
        <v>19</v>
      </c>
      <c r="T12" s="26" t="e">
        <f t="shared" si="13"/>
        <v>#NAME?</v>
      </c>
      <c r="U12" s="27" t="e">
        <f t="shared" si="14"/>
        <v>#NAME?</v>
      </c>
      <c r="V12" s="27"/>
      <c r="W12" s="26">
        <f t="shared" si="15"/>
        <v>15</v>
      </c>
      <c r="X12" s="26" t="e">
        <f t="shared" si="16"/>
        <v>#NAME?</v>
      </c>
      <c r="Y12" s="27" t="e">
        <f t="shared" si="17"/>
        <v>#NAME?</v>
      </c>
    </row>
    <row r="13" spans="1:25" ht="16.5" customHeight="1" x14ac:dyDescent="0.25">
      <c r="A13" s="16" t="s">
        <v>29</v>
      </c>
      <c r="B13" s="16" t="s">
        <v>307</v>
      </c>
      <c r="C13" s="25">
        <f t="shared" si="0"/>
        <v>37</v>
      </c>
      <c r="D13" s="25" t="e">
        <f t="shared" si="1"/>
        <v>#NAME?</v>
      </c>
      <c r="E13" s="27" t="e">
        <f t="shared" si="2"/>
        <v>#NAME?</v>
      </c>
      <c r="F13" s="25"/>
      <c r="G13" s="25">
        <f t="shared" si="3"/>
        <v>0</v>
      </c>
      <c r="H13" s="25" t="e">
        <f t="shared" si="4"/>
        <v>#NAME?</v>
      </c>
      <c r="I13" s="27" t="e">
        <f t="shared" si="5"/>
        <v>#NAME?</v>
      </c>
      <c r="J13" s="25"/>
      <c r="K13" s="25">
        <f t="shared" si="6"/>
        <v>0</v>
      </c>
      <c r="L13" s="25" t="e">
        <f t="shared" si="7"/>
        <v>#NAME?</v>
      </c>
      <c r="M13" s="27" t="e">
        <f t="shared" si="8"/>
        <v>#NAME?</v>
      </c>
      <c r="N13" s="27"/>
      <c r="O13" s="26" t="str">
        <f t="shared" si="9"/>
        <v>Piedmont</v>
      </c>
      <c r="P13" s="26" t="e">
        <f t="shared" si="10"/>
        <v>#NAME?</v>
      </c>
      <c r="Q13" s="27" t="e">
        <f t="shared" si="11"/>
        <v>#VALUE!</v>
      </c>
      <c r="R13" s="27"/>
      <c r="S13" s="26">
        <f t="shared" si="12"/>
        <v>487</v>
      </c>
      <c r="T13" s="26" t="e">
        <f t="shared" si="13"/>
        <v>#NAME?</v>
      </c>
      <c r="U13" s="27" t="e">
        <f t="shared" si="14"/>
        <v>#NAME?</v>
      </c>
      <c r="V13" s="27"/>
      <c r="W13" s="26">
        <f t="shared" si="15"/>
        <v>354</v>
      </c>
      <c r="X13" s="26" t="e">
        <f t="shared" si="16"/>
        <v>#NAME?</v>
      </c>
      <c r="Y13" s="27" t="e">
        <f t="shared" si="17"/>
        <v>#NAME?</v>
      </c>
    </row>
    <row r="14" spans="1:25" ht="16.5" customHeight="1" x14ac:dyDescent="0.25">
      <c r="A14" s="16" t="s">
        <v>30</v>
      </c>
      <c r="B14" s="16" t="s">
        <v>31</v>
      </c>
      <c r="C14" s="25">
        <f t="shared" si="0"/>
        <v>7</v>
      </c>
      <c r="D14" s="25" t="e">
        <f t="shared" si="1"/>
        <v>#NAME?</v>
      </c>
      <c r="E14" s="27" t="e">
        <f t="shared" si="2"/>
        <v>#NAME?</v>
      </c>
      <c r="F14" s="25"/>
      <c r="G14" s="25">
        <f t="shared" si="3"/>
        <v>0</v>
      </c>
      <c r="H14" s="25" t="e">
        <f t="shared" si="4"/>
        <v>#NAME?</v>
      </c>
      <c r="I14" s="27" t="e">
        <f t="shared" si="5"/>
        <v>#NAME?</v>
      </c>
      <c r="J14" s="25"/>
      <c r="K14" s="25">
        <f t="shared" si="6"/>
        <v>0</v>
      </c>
      <c r="L14" s="25" t="e">
        <f t="shared" si="7"/>
        <v>#NAME?</v>
      </c>
      <c r="M14" s="27" t="e">
        <f t="shared" si="8"/>
        <v>#NAME?</v>
      </c>
      <c r="N14" s="27"/>
      <c r="O14" s="26" t="str">
        <f t="shared" si="9"/>
        <v>Western</v>
      </c>
      <c r="P14" s="26" t="e">
        <f t="shared" si="10"/>
        <v>#NAME?</v>
      </c>
      <c r="Q14" s="27" t="e">
        <f t="shared" si="11"/>
        <v>#VALUE!</v>
      </c>
      <c r="R14" s="27"/>
      <c r="S14" s="26">
        <f t="shared" si="12"/>
        <v>70</v>
      </c>
      <c r="T14" s="26" t="e">
        <f t="shared" si="13"/>
        <v>#NAME?</v>
      </c>
      <c r="U14" s="27" t="e">
        <f t="shared" si="14"/>
        <v>#NAME?</v>
      </c>
      <c r="V14" s="27"/>
      <c r="W14" s="26">
        <f t="shared" si="15"/>
        <v>50</v>
      </c>
      <c r="X14" s="26" t="e">
        <f t="shared" si="16"/>
        <v>#NAME?</v>
      </c>
      <c r="Y14" s="27" t="e">
        <f t="shared" si="17"/>
        <v>#NAME?</v>
      </c>
    </row>
    <row r="15" spans="1:25" ht="16.5" customHeight="1" x14ac:dyDescent="0.25">
      <c r="A15" s="16" t="s">
        <v>32</v>
      </c>
      <c r="B15" s="16" t="s">
        <v>33</v>
      </c>
      <c r="C15" s="25">
        <f t="shared" si="0"/>
        <v>23</v>
      </c>
      <c r="D15" s="25" t="e">
        <f t="shared" si="1"/>
        <v>#NAME?</v>
      </c>
      <c r="E15" s="27" t="e">
        <f t="shared" si="2"/>
        <v>#NAME?</v>
      </c>
      <c r="F15" s="25"/>
      <c r="G15" s="25">
        <f t="shared" si="3"/>
        <v>0</v>
      </c>
      <c r="H15" s="25" t="e">
        <f t="shared" si="4"/>
        <v>#NAME?</v>
      </c>
      <c r="I15" s="27" t="e">
        <f t="shared" si="5"/>
        <v>#NAME?</v>
      </c>
      <c r="J15" s="25"/>
      <c r="K15" s="25">
        <f t="shared" si="6"/>
        <v>0</v>
      </c>
      <c r="L15" s="25" t="e">
        <f t="shared" si="7"/>
        <v>#NAME?</v>
      </c>
      <c r="M15" s="27" t="e">
        <f t="shared" si="8"/>
        <v>#NAME?</v>
      </c>
      <c r="N15" s="27"/>
      <c r="O15" s="26" t="str">
        <f t="shared" si="9"/>
        <v>Piedmont</v>
      </c>
      <c r="P15" s="26" t="e">
        <f t="shared" si="10"/>
        <v>#NAME?</v>
      </c>
      <c r="Q15" s="27" t="e">
        <f t="shared" si="11"/>
        <v>#VALUE!</v>
      </c>
      <c r="R15" s="27"/>
      <c r="S15" s="26">
        <f t="shared" si="12"/>
        <v>136</v>
      </c>
      <c r="T15" s="26" t="e">
        <f t="shared" si="13"/>
        <v>#NAME?</v>
      </c>
      <c r="U15" s="27" t="e">
        <f t="shared" si="14"/>
        <v>#NAME?</v>
      </c>
      <c r="V15" s="27"/>
      <c r="W15" s="26">
        <f t="shared" si="15"/>
        <v>93</v>
      </c>
      <c r="X15" s="26" t="e">
        <f t="shared" si="16"/>
        <v>#NAME?</v>
      </c>
      <c r="Y15" s="27" t="e">
        <f t="shared" si="17"/>
        <v>#NAME?</v>
      </c>
    </row>
    <row r="16" spans="1:25" ht="16.5" customHeight="1" x14ac:dyDescent="0.25">
      <c r="A16" s="16" t="s">
        <v>36</v>
      </c>
      <c r="B16" s="16" t="s">
        <v>37</v>
      </c>
      <c r="C16" s="25">
        <f t="shared" si="0"/>
        <v>17</v>
      </c>
      <c r="D16" s="25" t="e">
        <f t="shared" si="1"/>
        <v>#NAME?</v>
      </c>
      <c r="E16" s="27" t="e">
        <f t="shared" si="2"/>
        <v>#NAME?</v>
      </c>
      <c r="F16" s="25"/>
      <c r="G16" s="25">
        <f t="shared" si="3"/>
        <v>0</v>
      </c>
      <c r="H16" s="25" t="e">
        <f t="shared" si="4"/>
        <v>#NAME?</v>
      </c>
      <c r="I16" s="27" t="e">
        <f t="shared" si="5"/>
        <v>#NAME?</v>
      </c>
      <c r="J16" s="25"/>
      <c r="K16" s="25">
        <f t="shared" si="6"/>
        <v>0</v>
      </c>
      <c r="L16" s="25" t="e">
        <f t="shared" si="7"/>
        <v>#NAME?</v>
      </c>
      <c r="M16" s="27" t="e">
        <f t="shared" si="8"/>
        <v>#NAME?</v>
      </c>
      <c r="N16" s="27"/>
      <c r="O16" s="26" t="str">
        <f t="shared" si="9"/>
        <v>Eastern</v>
      </c>
      <c r="P16" s="26" t="e">
        <f t="shared" si="10"/>
        <v>#NAME?</v>
      </c>
      <c r="Q16" s="27" t="e">
        <f t="shared" si="11"/>
        <v>#VALUE!</v>
      </c>
      <c r="R16" s="27"/>
      <c r="S16" s="26">
        <f t="shared" si="12"/>
        <v>267</v>
      </c>
      <c r="T16" s="26" t="e">
        <f t="shared" si="13"/>
        <v>#NAME?</v>
      </c>
      <c r="U16" s="27" t="e">
        <f t="shared" si="14"/>
        <v>#NAME?</v>
      </c>
      <c r="V16" s="27"/>
      <c r="W16" s="26">
        <f t="shared" si="15"/>
        <v>180</v>
      </c>
      <c r="X16" s="26" t="e">
        <f t="shared" si="16"/>
        <v>#NAME?</v>
      </c>
      <c r="Y16" s="27" t="e">
        <f t="shared" si="17"/>
        <v>#NAME?</v>
      </c>
    </row>
    <row r="17" spans="1:25" ht="16.5" customHeight="1" x14ac:dyDescent="0.25">
      <c r="A17" s="16" t="s">
        <v>38</v>
      </c>
      <c r="B17" s="16" t="s">
        <v>39</v>
      </c>
      <c r="C17" s="25">
        <f t="shared" si="0"/>
        <v>31</v>
      </c>
      <c r="D17" s="25" t="e">
        <f t="shared" si="1"/>
        <v>#NAME?</v>
      </c>
      <c r="E17" s="27" t="e">
        <f t="shared" si="2"/>
        <v>#NAME?</v>
      </c>
      <c r="F17" s="25"/>
      <c r="G17" s="25">
        <f t="shared" si="3"/>
        <v>0</v>
      </c>
      <c r="H17" s="25" t="e">
        <f t="shared" si="4"/>
        <v>#NAME?</v>
      </c>
      <c r="I17" s="27" t="e">
        <f t="shared" si="5"/>
        <v>#NAME?</v>
      </c>
      <c r="J17" s="25"/>
      <c r="K17" s="25">
        <f t="shared" si="6"/>
        <v>0</v>
      </c>
      <c r="L17" s="25" t="e">
        <f t="shared" si="7"/>
        <v>#NAME?</v>
      </c>
      <c r="M17" s="27" t="e">
        <f t="shared" si="8"/>
        <v>#NAME?</v>
      </c>
      <c r="N17" s="27"/>
      <c r="O17" s="26" t="str">
        <f t="shared" si="9"/>
        <v>Western</v>
      </c>
      <c r="P17" s="26" t="e">
        <f t="shared" si="10"/>
        <v>#NAME?</v>
      </c>
      <c r="Q17" s="27" t="e">
        <f t="shared" si="11"/>
        <v>#VALUE!</v>
      </c>
      <c r="R17" s="27"/>
      <c r="S17" s="26">
        <f t="shared" si="12"/>
        <v>335</v>
      </c>
      <c r="T17" s="26" t="e">
        <f t="shared" si="13"/>
        <v>#NAME?</v>
      </c>
      <c r="U17" s="27" t="e">
        <f t="shared" si="14"/>
        <v>#NAME?</v>
      </c>
      <c r="V17" s="27"/>
      <c r="W17" s="26">
        <f t="shared" si="15"/>
        <v>240</v>
      </c>
      <c r="X17" s="26" t="e">
        <f t="shared" si="16"/>
        <v>#NAME?</v>
      </c>
      <c r="Y17" s="27" t="e">
        <f t="shared" si="17"/>
        <v>#NAME?</v>
      </c>
    </row>
    <row r="18" spans="1:25" ht="16.5" customHeight="1" x14ac:dyDescent="0.25">
      <c r="A18" s="16" t="s">
        <v>40</v>
      </c>
      <c r="B18" s="16" t="s">
        <v>41</v>
      </c>
      <c r="C18" s="25">
        <f t="shared" si="0"/>
        <v>25</v>
      </c>
      <c r="D18" s="25" t="e">
        <f t="shared" si="1"/>
        <v>#NAME?</v>
      </c>
      <c r="E18" s="27" t="e">
        <f t="shared" si="2"/>
        <v>#NAME?</v>
      </c>
      <c r="F18" s="25"/>
      <c r="G18" s="25">
        <f t="shared" si="3"/>
        <v>0</v>
      </c>
      <c r="H18" s="25" t="e">
        <f t="shared" si="4"/>
        <v>#NAME?</v>
      </c>
      <c r="I18" s="27" t="e">
        <f t="shared" si="5"/>
        <v>#NAME?</v>
      </c>
      <c r="J18" s="25"/>
      <c r="K18" s="25">
        <f t="shared" si="6"/>
        <v>0</v>
      </c>
      <c r="L18" s="25" t="e">
        <f t="shared" si="7"/>
        <v>#NAME?</v>
      </c>
      <c r="M18" s="27" t="e">
        <f t="shared" si="8"/>
        <v>#NAME?</v>
      </c>
      <c r="N18" s="27"/>
      <c r="O18" s="26" t="str">
        <f t="shared" si="9"/>
        <v>Central</v>
      </c>
      <c r="P18" s="26" t="e">
        <f t="shared" si="10"/>
        <v>#NAME?</v>
      </c>
      <c r="Q18" s="27" t="e">
        <f t="shared" si="11"/>
        <v>#VALUE!</v>
      </c>
      <c r="R18" s="27"/>
      <c r="S18" s="26">
        <f t="shared" si="12"/>
        <v>198</v>
      </c>
      <c r="T18" s="26" t="e">
        <f t="shared" si="13"/>
        <v>#NAME?</v>
      </c>
      <c r="U18" s="27" t="e">
        <f t="shared" si="14"/>
        <v>#NAME?</v>
      </c>
      <c r="V18" s="27"/>
      <c r="W18" s="26">
        <f t="shared" si="15"/>
        <v>133</v>
      </c>
      <c r="X18" s="26" t="e">
        <f t="shared" si="16"/>
        <v>#NAME?</v>
      </c>
      <c r="Y18" s="27" t="e">
        <f t="shared" si="17"/>
        <v>#NAME?</v>
      </c>
    </row>
    <row r="19" spans="1:25" ht="16.5" customHeight="1" x14ac:dyDescent="0.25">
      <c r="A19" s="16" t="s">
        <v>42</v>
      </c>
      <c r="B19" s="16" t="s">
        <v>43</v>
      </c>
      <c r="C19" s="25">
        <f t="shared" si="0"/>
        <v>62</v>
      </c>
      <c r="D19" s="25" t="e">
        <f t="shared" si="1"/>
        <v>#NAME?</v>
      </c>
      <c r="E19" s="27" t="e">
        <f t="shared" si="2"/>
        <v>#NAME?</v>
      </c>
      <c r="F19" s="25"/>
      <c r="G19" s="25">
        <f t="shared" si="3"/>
        <v>0</v>
      </c>
      <c r="H19" s="25" t="e">
        <f t="shared" si="4"/>
        <v>#NAME?</v>
      </c>
      <c r="I19" s="27" t="e">
        <f t="shared" si="5"/>
        <v>#NAME?</v>
      </c>
      <c r="J19" s="25"/>
      <c r="K19" s="25">
        <f t="shared" si="6"/>
        <v>0</v>
      </c>
      <c r="L19" s="25" t="e">
        <f t="shared" si="7"/>
        <v>#NAME?</v>
      </c>
      <c r="M19" s="27" t="e">
        <f t="shared" si="8"/>
        <v>#NAME?</v>
      </c>
      <c r="N19" s="27"/>
      <c r="O19" s="26" t="str">
        <f t="shared" si="9"/>
        <v>Piedmont</v>
      </c>
      <c r="P19" s="26" t="e">
        <f t="shared" si="10"/>
        <v>#NAME?</v>
      </c>
      <c r="Q19" s="27" t="e">
        <f t="shared" si="11"/>
        <v>#VALUE!</v>
      </c>
      <c r="R19" s="27"/>
      <c r="S19" s="26">
        <f t="shared" si="12"/>
        <v>675</v>
      </c>
      <c r="T19" s="26" t="e">
        <f t="shared" si="13"/>
        <v>#NAME?</v>
      </c>
      <c r="U19" s="27" t="e">
        <f t="shared" si="14"/>
        <v>#NAME?</v>
      </c>
      <c r="V19" s="27"/>
      <c r="W19" s="26">
        <f t="shared" si="15"/>
        <v>453</v>
      </c>
      <c r="X19" s="26" t="e">
        <f t="shared" si="16"/>
        <v>#NAME?</v>
      </c>
      <c r="Y19" s="27" t="e">
        <f t="shared" si="17"/>
        <v>#NAME?</v>
      </c>
    </row>
    <row r="20" spans="1:25" ht="16.5" customHeight="1" x14ac:dyDescent="0.25">
      <c r="A20" s="16" t="s">
        <v>44</v>
      </c>
      <c r="B20" s="16" t="s">
        <v>45</v>
      </c>
      <c r="C20" s="25">
        <f t="shared" si="0"/>
        <v>39</v>
      </c>
      <c r="D20" s="25" t="e">
        <f t="shared" si="1"/>
        <v>#NAME?</v>
      </c>
      <c r="E20" s="27" t="e">
        <f t="shared" si="2"/>
        <v>#NAME?</v>
      </c>
      <c r="F20" s="25"/>
      <c r="G20" s="25">
        <f t="shared" si="3"/>
        <v>1</v>
      </c>
      <c r="H20" s="25" t="e">
        <f t="shared" si="4"/>
        <v>#NAME?</v>
      </c>
      <c r="I20" s="27" t="e">
        <f t="shared" si="5"/>
        <v>#NAME?</v>
      </c>
      <c r="J20" s="25"/>
      <c r="K20" s="25">
        <f t="shared" si="6"/>
        <v>0</v>
      </c>
      <c r="L20" s="25" t="e">
        <f t="shared" si="7"/>
        <v>#NAME?</v>
      </c>
      <c r="M20" s="27" t="e">
        <f t="shared" si="8"/>
        <v>#NAME?</v>
      </c>
      <c r="N20" s="27"/>
      <c r="O20" s="26" t="str">
        <f t="shared" si="9"/>
        <v>Central</v>
      </c>
      <c r="P20" s="26" t="e">
        <f t="shared" si="10"/>
        <v>#NAME?</v>
      </c>
      <c r="Q20" s="27" t="e">
        <f t="shared" si="11"/>
        <v>#VALUE!</v>
      </c>
      <c r="R20" s="27"/>
      <c r="S20" s="26">
        <f t="shared" si="12"/>
        <v>465</v>
      </c>
      <c r="T20" s="26" t="e">
        <f t="shared" si="13"/>
        <v>#NAME?</v>
      </c>
      <c r="U20" s="27" t="e">
        <f t="shared" si="14"/>
        <v>#NAME?</v>
      </c>
      <c r="V20" s="27"/>
      <c r="W20" s="26">
        <f t="shared" si="15"/>
        <v>328</v>
      </c>
      <c r="X20" s="26" t="e">
        <f t="shared" si="16"/>
        <v>#NAME?</v>
      </c>
      <c r="Y20" s="27" t="e">
        <f t="shared" si="17"/>
        <v>#NAME?</v>
      </c>
    </row>
    <row r="21" spans="1:25" ht="16.5" customHeight="1" x14ac:dyDescent="0.25">
      <c r="A21" s="16" t="s">
        <v>46</v>
      </c>
      <c r="B21" s="16" t="s">
        <v>47</v>
      </c>
      <c r="C21" s="25">
        <f t="shared" si="0"/>
        <v>27</v>
      </c>
      <c r="D21" s="25" t="e">
        <f t="shared" si="1"/>
        <v>#NAME?</v>
      </c>
      <c r="E21" s="27" t="e">
        <f t="shared" si="2"/>
        <v>#NAME?</v>
      </c>
      <c r="F21" s="25"/>
      <c r="G21" s="25">
        <f t="shared" si="3"/>
        <v>0</v>
      </c>
      <c r="H21" s="25" t="e">
        <f t="shared" si="4"/>
        <v>#NAME?</v>
      </c>
      <c r="I21" s="27" t="e">
        <f t="shared" si="5"/>
        <v>#NAME?</v>
      </c>
      <c r="J21" s="25"/>
      <c r="K21" s="25">
        <f t="shared" si="6"/>
        <v>0</v>
      </c>
      <c r="L21" s="25" t="e">
        <f t="shared" si="7"/>
        <v>#NAME?</v>
      </c>
      <c r="M21" s="27" t="e">
        <f t="shared" si="8"/>
        <v>#NAME?</v>
      </c>
      <c r="N21" s="27"/>
      <c r="O21" s="26" t="str">
        <f t="shared" si="9"/>
        <v>Western</v>
      </c>
      <c r="P21" s="26" t="e">
        <f t="shared" si="10"/>
        <v>#NAME?</v>
      </c>
      <c r="Q21" s="27" t="e">
        <f t="shared" si="11"/>
        <v>#VALUE!</v>
      </c>
      <c r="R21" s="27"/>
      <c r="S21" s="26">
        <f t="shared" si="12"/>
        <v>352</v>
      </c>
      <c r="T21" s="26" t="e">
        <f t="shared" si="13"/>
        <v>#NAME?</v>
      </c>
      <c r="U21" s="27" t="e">
        <f t="shared" si="14"/>
        <v>#NAME?</v>
      </c>
      <c r="V21" s="27"/>
      <c r="W21" s="26">
        <f t="shared" si="15"/>
        <v>247</v>
      </c>
      <c r="X21" s="26" t="e">
        <f t="shared" si="16"/>
        <v>#NAME?</v>
      </c>
      <c r="Y21" s="27" t="e">
        <f t="shared" si="17"/>
        <v>#NAME?</v>
      </c>
    </row>
    <row r="22" spans="1:25" ht="16.5" customHeight="1" x14ac:dyDescent="0.25">
      <c r="A22" s="16" t="s">
        <v>48</v>
      </c>
      <c r="B22" s="16" t="s">
        <v>269</v>
      </c>
      <c r="C22" s="25">
        <f t="shared" si="0"/>
        <v>4</v>
      </c>
      <c r="D22" s="25" t="e">
        <f t="shared" si="1"/>
        <v>#NAME?</v>
      </c>
      <c r="E22" s="27" t="e">
        <f t="shared" si="2"/>
        <v>#NAME?</v>
      </c>
      <c r="F22" s="25"/>
      <c r="G22" s="25">
        <f t="shared" si="3"/>
        <v>0</v>
      </c>
      <c r="H22" s="25" t="e">
        <f t="shared" si="4"/>
        <v>#NAME?</v>
      </c>
      <c r="I22" s="27" t="e">
        <f t="shared" si="5"/>
        <v>#NAME?</v>
      </c>
      <c r="J22" s="25"/>
      <c r="K22" s="25">
        <f t="shared" si="6"/>
        <v>0</v>
      </c>
      <c r="L22" s="25" t="e">
        <f t="shared" si="7"/>
        <v>#NAME?</v>
      </c>
      <c r="M22" s="27" t="e">
        <f t="shared" si="8"/>
        <v>#NAME?</v>
      </c>
      <c r="N22" s="27"/>
      <c r="O22" s="26" t="str">
        <f t="shared" si="9"/>
        <v>Central</v>
      </c>
      <c r="P22" s="26" t="e">
        <f t="shared" si="10"/>
        <v>#NAME?</v>
      </c>
      <c r="Q22" s="27" t="e">
        <f t="shared" si="11"/>
        <v>#VALUE!</v>
      </c>
      <c r="R22" s="27"/>
      <c r="S22" s="26">
        <f t="shared" si="12"/>
        <v>36</v>
      </c>
      <c r="T22" s="26" t="e">
        <f t="shared" si="13"/>
        <v>#NAME?</v>
      </c>
      <c r="U22" s="27" t="e">
        <f t="shared" si="14"/>
        <v>#NAME?</v>
      </c>
      <c r="V22" s="27"/>
      <c r="W22" s="26">
        <f t="shared" si="15"/>
        <v>25</v>
      </c>
      <c r="X22" s="26" t="e">
        <f t="shared" si="16"/>
        <v>#NAME?</v>
      </c>
      <c r="Y22" s="27" t="e">
        <f t="shared" si="17"/>
        <v>#NAME?</v>
      </c>
    </row>
    <row r="23" spans="1:25" ht="16.5" customHeight="1" x14ac:dyDescent="0.25">
      <c r="A23" s="16" t="s">
        <v>50</v>
      </c>
      <c r="B23" s="16" t="s">
        <v>51</v>
      </c>
      <c r="C23" s="25">
        <f t="shared" si="0"/>
        <v>23</v>
      </c>
      <c r="D23" s="25" t="e">
        <f t="shared" si="1"/>
        <v>#NAME?</v>
      </c>
      <c r="E23" s="27" t="e">
        <f t="shared" si="2"/>
        <v>#NAME?</v>
      </c>
      <c r="F23" s="25"/>
      <c r="G23" s="25">
        <f t="shared" si="3"/>
        <v>0</v>
      </c>
      <c r="H23" s="25" t="e">
        <f t="shared" si="4"/>
        <v>#NAME?</v>
      </c>
      <c r="I23" s="27" t="e">
        <f t="shared" si="5"/>
        <v>#NAME?</v>
      </c>
      <c r="J23" s="25"/>
      <c r="K23" s="25">
        <f t="shared" si="6"/>
        <v>0</v>
      </c>
      <c r="L23" s="25" t="e">
        <f t="shared" si="7"/>
        <v>#NAME?</v>
      </c>
      <c r="M23" s="27" t="e">
        <f t="shared" si="8"/>
        <v>#NAME?</v>
      </c>
      <c r="N23" s="27"/>
      <c r="O23" s="26" t="str">
        <f t="shared" si="9"/>
        <v>Piedmont</v>
      </c>
      <c r="P23" s="26" t="e">
        <f t="shared" si="10"/>
        <v>#NAME?</v>
      </c>
      <c r="Q23" s="27" t="e">
        <f t="shared" si="11"/>
        <v>#VALUE!</v>
      </c>
      <c r="R23" s="27"/>
      <c r="S23" s="26">
        <f t="shared" si="12"/>
        <v>215</v>
      </c>
      <c r="T23" s="26" t="e">
        <f t="shared" si="13"/>
        <v>#NAME?</v>
      </c>
      <c r="U23" s="27" t="e">
        <f t="shared" si="14"/>
        <v>#NAME?</v>
      </c>
      <c r="V23" s="27"/>
      <c r="W23" s="26">
        <f t="shared" si="15"/>
        <v>152</v>
      </c>
      <c r="X23" s="26" t="e">
        <f t="shared" si="16"/>
        <v>#NAME?</v>
      </c>
      <c r="Y23" s="27" t="e">
        <f t="shared" si="17"/>
        <v>#NAME?</v>
      </c>
    </row>
    <row r="24" spans="1:25" ht="16.5" customHeight="1" x14ac:dyDescent="0.25">
      <c r="A24" s="16" t="s">
        <v>56</v>
      </c>
      <c r="B24" s="16" t="s">
        <v>295</v>
      </c>
      <c r="C24" s="25">
        <f t="shared" si="0"/>
        <v>270</v>
      </c>
      <c r="D24" s="25" t="e">
        <f t="shared" si="1"/>
        <v>#NAME?</v>
      </c>
      <c r="E24" s="27" t="e">
        <f t="shared" si="2"/>
        <v>#NAME?</v>
      </c>
      <c r="F24" s="25"/>
      <c r="G24" s="25">
        <f t="shared" si="3"/>
        <v>8</v>
      </c>
      <c r="H24" s="25" t="e">
        <f t="shared" si="4"/>
        <v>#NAME?</v>
      </c>
      <c r="I24" s="27" t="e">
        <f t="shared" si="5"/>
        <v>#NAME?</v>
      </c>
      <c r="J24" s="25"/>
      <c r="K24" s="25">
        <f t="shared" si="6"/>
        <v>0</v>
      </c>
      <c r="L24" s="25" t="e">
        <f t="shared" si="7"/>
        <v>#NAME?</v>
      </c>
      <c r="M24" s="27" t="e">
        <f t="shared" si="8"/>
        <v>#NAME?</v>
      </c>
      <c r="N24" s="27"/>
      <c r="O24" s="26" t="str">
        <f t="shared" si="9"/>
        <v>Central</v>
      </c>
      <c r="P24" s="26" t="e">
        <f t="shared" si="10"/>
        <v>#NAME?</v>
      </c>
      <c r="Q24" s="27" t="e">
        <f t="shared" si="11"/>
        <v>#VALUE!</v>
      </c>
      <c r="R24" s="27"/>
      <c r="S24" s="26">
        <f t="shared" si="12"/>
        <v>2601</v>
      </c>
      <c r="T24" s="26" t="e">
        <f t="shared" si="13"/>
        <v>#NAME?</v>
      </c>
      <c r="U24" s="27" t="e">
        <f t="shared" si="14"/>
        <v>#NAME?</v>
      </c>
      <c r="V24" s="27"/>
      <c r="W24" s="26">
        <f t="shared" si="15"/>
        <v>1824</v>
      </c>
      <c r="X24" s="26" t="e">
        <f t="shared" si="16"/>
        <v>#NAME?</v>
      </c>
      <c r="Y24" s="27" t="e">
        <f t="shared" si="17"/>
        <v>#NAME?</v>
      </c>
    </row>
    <row r="25" spans="1:25" ht="16.5" customHeight="1" x14ac:dyDescent="0.25">
      <c r="A25" s="16" t="s">
        <v>58</v>
      </c>
      <c r="B25" s="16" t="s">
        <v>59</v>
      </c>
      <c r="C25" s="25">
        <f t="shared" si="0"/>
        <v>2</v>
      </c>
      <c r="D25" s="25" t="e">
        <f t="shared" si="1"/>
        <v>#NAME?</v>
      </c>
      <c r="E25" s="27" t="e">
        <f t="shared" si="2"/>
        <v>#NAME?</v>
      </c>
      <c r="F25" s="25"/>
      <c r="G25" s="25">
        <f t="shared" si="3"/>
        <v>0</v>
      </c>
      <c r="H25" s="25" t="e">
        <f t="shared" si="4"/>
        <v>#NAME?</v>
      </c>
      <c r="I25" s="27" t="e">
        <f t="shared" si="5"/>
        <v>#NAME?</v>
      </c>
      <c r="J25" s="25"/>
      <c r="K25" s="25">
        <f t="shared" si="6"/>
        <v>0</v>
      </c>
      <c r="L25" s="25" t="e">
        <f t="shared" si="7"/>
        <v>#NAME?</v>
      </c>
      <c r="M25" s="27" t="e">
        <f t="shared" si="8"/>
        <v>#NAME?</v>
      </c>
      <c r="N25" s="27"/>
      <c r="O25" s="26" t="str">
        <f t="shared" si="9"/>
        <v>Northern</v>
      </c>
      <c r="P25" s="26" t="e">
        <f t="shared" si="10"/>
        <v>#NAME?</v>
      </c>
      <c r="Q25" s="27" t="e">
        <f t="shared" si="11"/>
        <v>#VALUE!</v>
      </c>
      <c r="R25" s="27"/>
      <c r="S25" s="26">
        <f t="shared" si="12"/>
        <v>29</v>
      </c>
      <c r="T25" s="26" t="e">
        <f t="shared" si="13"/>
        <v>#NAME?</v>
      </c>
      <c r="U25" s="27" t="e">
        <f t="shared" si="14"/>
        <v>#NAME?</v>
      </c>
      <c r="V25" s="27"/>
      <c r="W25" s="26">
        <f t="shared" si="15"/>
        <v>24</v>
      </c>
      <c r="X25" s="26" t="e">
        <f t="shared" si="16"/>
        <v>#NAME?</v>
      </c>
      <c r="Y25" s="27" t="e">
        <f t="shared" si="17"/>
        <v>#NAME?</v>
      </c>
    </row>
    <row r="26" spans="1:25" ht="16.5" customHeight="1" x14ac:dyDescent="0.25">
      <c r="A26" s="16" t="s">
        <v>60</v>
      </c>
      <c r="B26" s="16" t="s">
        <v>61</v>
      </c>
      <c r="C26" s="25">
        <f t="shared" si="0"/>
        <v>6</v>
      </c>
      <c r="D26" s="25" t="e">
        <f t="shared" si="1"/>
        <v>#NAME?</v>
      </c>
      <c r="E26" s="27" t="e">
        <f t="shared" si="2"/>
        <v>#NAME?</v>
      </c>
      <c r="F26" s="25"/>
      <c r="G26" s="25">
        <f t="shared" si="3"/>
        <v>0</v>
      </c>
      <c r="H26" s="25" t="e">
        <f t="shared" si="4"/>
        <v>#NAME?</v>
      </c>
      <c r="I26" s="27" t="e">
        <f t="shared" si="5"/>
        <v>#NAME?</v>
      </c>
      <c r="J26" s="25"/>
      <c r="K26" s="25">
        <f t="shared" si="6"/>
        <v>0</v>
      </c>
      <c r="L26" s="25" t="e">
        <f t="shared" si="7"/>
        <v>#NAME?</v>
      </c>
      <c r="M26" s="27" t="e">
        <f t="shared" si="8"/>
        <v>#NAME?</v>
      </c>
      <c r="N26" s="27"/>
      <c r="O26" s="26" t="str">
        <f t="shared" si="9"/>
        <v>Piedmont</v>
      </c>
      <c r="P26" s="26" t="e">
        <f t="shared" si="10"/>
        <v>#NAME?</v>
      </c>
      <c r="Q26" s="27" t="e">
        <f t="shared" si="11"/>
        <v>#VALUE!</v>
      </c>
      <c r="R26" s="27"/>
      <c r="S26" s="26">
        <f t="shared" si="12"/>
        <v>50</v>
      </c>
      <c r="T26" s="26" t="e">
        <f t="shared" si="13"/>
        <v>#NAME?</v>
      </c>
      <c r="U26" s="27" t="e">
        <f t="shared" si="14"/>
        <v>#NAME?</v>
      </c>
      <c r="V26" s="27"/>
      <c r="W26" s="26">
        <f t="shared" si="15"/>
        <v>35</v>
      </c>
      <c r="X26" s="26" t="e">
        <f t="shared" si="16"/>
        <v>#NAME?</v>
      </c>
      <c r="Y26" s="27" t="e">
        <f t="shared" si="17"/>
        <v>#NAME?</v>
      </c>
    </row>
    <row r="27" spans="1:25" ht="16.5" customHeight="1" x14ac:dyDescent="0.25">
      <c r="A27" s="16" t="s">
        <v>62</v>
      </c>
      <c r="B27" s="16" t="s">
        <v>63</v>
      </c>
      <c r="C27" s="25">
        <f t="shared" si="0"/>
        <v>49</v>
      </c>
      <c r="D27" s="25" t="e">
        <f t="shared" si="1"/>
        <v>#NAME?</v>
      </c>
      <c r="E27" s="27" t="e">
        <f t="shared" si="2"/>
        <v>#NAME?</v>
      </c>
      <c r="F27" s="25"/>
      <c r="G27" s="25">
        <f t="shared" si="3"/>
        <v>0</v>
      </c>
      <c r="H27" s="25" t="e">
        <f t="shared" si="4"/>
        <v>#NAME?</v>
      </c>
      <c r="I27" s="27" t="e">
        <f t="shared" si="5"/>
        <v>#NAME?</v>
      </c>
      <c r="J27" s="25"/>
      <c r="K27" s="25">
        <f t="shared" si="6"/>
        <v>0</v>
      </c>
      <c r="L27" s="25" t="e">
        <f t="shared" si="7"/>
        <v>#NAME?</v>
      </c>
      <c r="M27" s="27" t="e">
        <f t="shared" si="8"/>
        <v>#NAME?</v>
      </c>
      <c r="N27" s="27"/>
      <c r="O27" s="26" t="str">
        <f t="shared" si="9"/>
        <v>Northern</v>
      </c>
      <c r="P27" s="26" t="e">
        <f t="shared" si="10"/>
        <v>#NAME?</v>
      </c>
      <c r="Q27" s="27" t="e">
        <f t="shared" si="11"/>
        <v>#VALUE!</v>
      </c>
      <c r="R27" s="27"/>
      <c r="S27" s="26">
        <f t="shared" si="12"/>
        <v>500</v>
      </c>
      <c r="T27" s="26" t="e">
        <f t="shared" si="13"/>
        <v>#NAME?</v>
      </c>
      <c r="U27" s="27" t="e">
        <f t="shared" si="14"/>
        <v>#NAME?</v>
      </c>
      <c r="V27" s="27"/>
      <c r="W27" s="26">
        <f t="shared" si="15"/>
        <v>349</v>
      </c>
      <c r="X27" s="26" t="e">
        <f t="shared" si="16"/>
        <v>#NAME?</v>
      </c>
      <c r="Y27" s="27" t="e">
        <f t="shared" si="17"/>
        <v>#NAME?</v>
      </c>
    </row>
    <row r="28" spans="1:25" ht="16.5" customHeight="1" x14ac:dyDescent="0.25">
      <c r="A28" s="16" t="s">
        <v>64</v>
      </c>
      <c r="B28" s="16" t="s">
        <v>65</v>
      </c>
      <c r="C28" s="25">
        <f t="shared" si="0"/>
        <v>16</v>
      </c>
      <c r="D28" s="25" t="e">
        <f t="shared" si="1"/>
        <v>#NAME?</v>
      </c>
      <c r="E28" s="27" t="e">
        <f t="shared" si="2"/>
        <v>#NAME?</v>
      </c>
      <c r="F28" s="25"/>
      <c r="G28" s="25">
        <f t="shared" si="3"/>
        <v>0</v>
      </c>
      <c r="H28" s="25" t="e">
        <f t="shared" si="4"/>
        <v>#NAME?</v>
      </c>
      <c r="I28" s="27" t="e">
        <f t="shared" si="5"/>
        <v>#NAME?</v>
      </c>
      <c r="J28" s="25"/>
      <c r="K28" s="25">
        <f t="shared" si="6"/>
        <v>0</v>
      </c>
      <c r="L28" s="25" t="e">
        <f t="shared" si="7"/>
        <v>#NAME?</v>
      </c>
      <c r="M28" s="27" t="e">
        <f t="shared" si="8"/>
        <v>#NAME?</v>
      </c>
      <c r="N28" s="27"/>
      <c r="O28" s="26" t="str">
        <f t="shared" si="9"/>
        <v>Central</v>
      </c>
      <c r="P28" s="26" t="e">
        <f t="shared" si="10"/>
        <v>#NAME?</v>
      </c>
      <c r="Q28" s="27" t="e">
        <f t="shared" si="11"/>
        <v>#VALUE!</v>
      </c>
      <c r="R28" s="27"/>
      <c r="S28" s="26">
        <f t="shared" si="12"/>
        <v>158</v>
      </c>
      <c r="T28" s="26" t="e">
        <f t="shared" si="13"/>
        <v>#NAME?</v>
      </c>
      <c r="U28" s="27" t="e">
        <f t="shared" si="14"/>
        <v>#NAME?</v>
      </c>
      <c r="V28" s="27"/>
      <c r="W28" s="26">
        <f t="shared" si="15"/>
        <v>112</v>
      </c>
      <c r="X28" s="26" t="e">
        <f t="shared" si="16"/>
        <v>#NAME?</v>
      </c>
      <c r="Y28" s="27" t="e">
        <f t="shared" si="17"/>
        <v>#NAME?</v>
      </c>
    </row>
    <row r="29" spans="1:25" ht="16.5" customHeight="1" x14ac:dyDescent="0.25">
      <c r="A29" s="16" t="s">
        <v>68</v>
      </c>
      <c r="B29" s="16" t="s">
        <v>69</v>
      </c>
      <c r="C29" s="25">
        <f t="shared" si="0"/>
        <v>15</v>
      </c>
      <c r="D29" s="25" t="e">
        <f t="shared" si="1"/>
        <v>#NAME?</v>
      </c>
      <c r="E29" s="27" t="e">
        <f t="shared" si="2"/>
        <v>#NAME?</v>
      </c>
      <c r="F29" s="25"/>
      <c r="G29" s="25">
        <f t="shared" si="3"/>
        <v>0</v>
      </c>
      <c r="H29" s="25" t="e">
        <f t="shared" si="4"/>
        <v>#NAME?</v>
      </c>
      <c r="I29" s="27" t="e">
        <f t="shared" si="5"/>
        <v>#NAME?</v>
      </c>
      <c r="J29" s="25"/>
      <c r="K29" s="25">
        <f t="shared" si="6"/>
        <v>0</v>
      </c>
      <c r="L29" s="25" t="e">
        <f t="shared" si="7"/>
        <v>#NAME?</v>
      </c>
      <c r="M29" s="27" t="e">
        <f t="shared" si="8"/>
        <v>#NAME?</v>
      </c>
      <c r="N29" s="27"/>
      <c r="O29" s="26" t="str">
        <f t="shared" si="9"/>
        <v>Western</v>
      </c>
      <c r="P29" s="26" t="e">
        <f t="shared" si="10"/>
        <v>#NAME?</v>
      </c>
      <c r="Q29" s="27" t="e">
        <f t="shared" si="11"/>
        <v>#VALUE!</v>
      </c>
      <c r="R29" s="27"/>
      <c r="S29" s="26">
        <f t="shared" si="12"/>
        <v>196</v>
      </c>
      <c r="T29" s="26" t="e">
        <f t="shared" si="13"/>
        <v>#NAME?</v>
      </c>
      <c r="U29" s="27" t="e">
        <f t="shared" si="14"/>
        <v>#NAME?</v>
      </c>
      <c r="V29" s="27"/>
      <c r="W29" s="26">
        <f t="shared" si="15"/>
        <v>136</v>
      </c>
      <c r="X29" s="26" t="e">
        <f t="shared" si="16"/>
        <v>#NAME?</v>
      </c>
      <c r="Y29" s="27" t="e">
        <f t="shared" si="17"/>
        <v>#NAME?</v>
      </c>
    </row>
    <row r="30" spans="1:25" ht="16.5" customHeight="1" x14ac:dyDescent="0.25">
      <c r="A30" s="16" t="s">
        <v>70</v>
      </c>
      <c r="B30" s="16" t="s">
        <v>71</v>
      </c>
      <c r="C30" s="25">
        <f t="shared" si="0"/>
        <v>28</v>
      </c>
      <c r="D30" s="25" t="e">
        <f t="shared" si="1"/>
        <v>#NAME?</v>
      </c>
      <c r="E30" s="27" t="e">
        <f t="shared" si="2"/>
        <v>#NAME?</v>
      </c>
      <c r="F30" s="25"/>
      <c r="G30" s="25">
        <f t="shared" si="3"/>
        <v>0</v>
      </c>
      <c r="H30" s="25" t="e">
        <f t="shared" si="4"/>
        <v>#NAME?</v>
      </c>
      <c r="I30" s="27" t="e">
        <f t="shared" si="5"/>
        <v>#NAME?</v>
      </c>
      <c r="J30" s="25"/>
      <c r="K30" s="25">
        <f t="shared" si="6"/>
        <v>0</v>
      </c>
      <c r="L30" s="25" t="e">
        <f t="shared" si="7"/>
        <v>#NAME?</v>
      </c>
      <c r="M30" s="27" t="e">
        <f t="shared" si="8"/>
        <v>#NAME?</v>
      </c>
      <c r="N30" s="27"/>
      <c r="O30" s="26" t="str">
        <f t="shared" si="9"/>
        <v>Eastern</v>
      </c>
      <c r="P30" s="26" t="e">
        <f t="shared" si="10"/>
        <v>#NAME?</v>
      </c>
      <c r="Q30" s="27" t="e">
        <f t="shared" si="11"/>
        <v>#VALUE!</v>
      </c>
      <c r="R30" s="27"/>
      <c r="S30" s="26">
        <f t="shared" si="12"/>
        <v>274</v>
      </c>
      <c r="T30" s="26" t="e">
        <f t="shared" si="13"/>
        <v>#NAME?</v>
      </c>
      <c r="U30" s="27" t="e">
        <f t="shared" si="14"/>
        <v>#NAME?</v>
      </c>
      <c r="V30" s="27"/>
      <c r="W30" s="26">
        <f t="shared" si="15"/>
        <v>188</v>
      </c>
      <c r="X30" s="26" t="e">
        <f t="shared" si="16"/>
        <v>#NAME?</v>
      </c>
      <c r="Y30" s="27" t="e">
        <f t="shared" si="17"/>
        <v>#NAME?</v>
      </c>
    </row>
    <row r="31" spans="1:25" ht="16.5" customHeight="1" x14ac:dyDescent="0.25">
      <c r="A31" s="16" t="s">
        <v>72</v>
      </c>
      <c r="B31" s="16" t="s">
        <v>73</v>
      </c>
      <c r="C31" s="25">
        <f t="shared" si="0"/>
        <v>17</v>
      </c>
      <c r="D31" s="25" t="e">
        <f t="shared" si="1"/>
        <v>#NAME?</v>
      </c>
      <c r="E31" s="27" t="e">
        <f t="shared" si="2"/>
        <v>#NAME?</v>
      </c>
      <c r="F31" s="25"/>
      <c r="G31" s="25">
        <f t="shared" si="3"/>
        <v>0</v>
      </c>
      <c r="H31" s="25" t="e">
        <f t="shared" si="4"/>
        <v>#NAME?</v>
      </c>
      <c r="I31" s="27" t="e">
        <f t="shared" si="5"/>
        <v>#NAME?</v>
      </c>
      <c r="J31" s="25"/>
      <c r="K31" s="25">
        <f t="shared" si="6"/>
        <v>0</v>
      </c>
      <c r="L31" s="25" t="e">
        <f t="shared" si="7"/>
        <v>#NAME?</v>
      </c>
      <c r="M31" s="27" t="e">
        <f t="shared" si="8"/>
        <v>#NAME?</v>
      </c>
      <c r="N31" s="27"/>
      <c r="O31" s="26" t="str">
        <f t="shared" si="9"/>
        <v>Central</v>
      </c>
      <c r="P31" s="26" t="e">
        <f t="shared" si="10"/>
        <v>#NAME?</v>
      </c>
      <c r="Q31" s="27" t="e">
        <f t="shared" si="11"/>
        <v>#VALUE!</v>
      </c>
      <c r="R31" s="27"/>
      <c r="S31" s="26">
        <f t="shared" si="12"/>
        <v>230</v>
      </c>
      <c r="T31" s="26" t="e">
        <f t="shared" si="13"/>
        <v>#NAME?</v>
      </c>
      <c r="U31" s="27" t="e">
        <f t="shared" si="14"/>
        <v>#NAME?</v>
      </c>
      <c r="V31" s="27"/>
      <c r="W31" s="26">
        <f t="shared" si="15"/>
        <v>155</v>
      </c>
      <c r="X31" s="26" t="e">
        <f t="shared" si="16"/>
        <v>#NAME?</v>
      </c>
      <c r="Y31" s="27" t="e">
        <f t="shared" si="17"/>
        <v>#NAME?</v>
      </c>
    </row>
    <row r="32" spans="1:25" ht="16.5" customHeight="1" x14ac:dyDescent="0.25">
      <c r="A32" s="16" t="s">
        <v>74</v>
      </c>
      <c r="B32" s="16" t="s">
        <v>302</v>
      </c>
      <c r="C32" s="25">
        <f t="shared" si="0"/>
        <v>681</v>
      </c>
      <c r="D32" s="25" t="e">
        <f t="shared" si="1"/>
        <v>#NAME?</v>
      </c>
      <c r="E32" s="27" t="e">
        <f t="shared" si="2"/>
        <v>#NAME?</v>
      </c>
      <c r="F32" s="25"/>
      <c r="G32" s="25">
        <f t="shared" si="3"/>
        <v>4</v>
      </c>
      <c r="H32" s="25" t="e">
        <f t="shared" si="4"/>
        <v>#NAME?</v>
      </c>
      <c r="I32" s="27" t="e">
        <f t="shared" si="5"/>
        <v>#NAME?</v>
      </c>
      <c r="J32" s="25"/>
      <c r="K32" s="25">
        <f t="shared" si="6"/>
        <v>0</v>
      </c>
      <c r="L32" s="25" t="e">
        <f t="shared" si="7"/>
        <v>#NAME?</v>
      </c>
      <c r="M32" s="27" t="e">
        <f t="shared" si="8"/>
        <v>#NAME?</v>
      </c>
      <c r="N32" s="27"/>
      <c r="O32" s="26" t="str">
        <f t="shared" si="9"/>
        <v>Northern</v>
      </c>
      <c r="P32" s="26" t="e">
        <f t="shared" si="10"/>
        <v>#NAME?</v>
      </c>
      <c r="Q32" s="27" t="e">
        <f t="shared" si="11"/>
        <v>#VALUE!</v>
      </c>
      <c r="R32" s="27"/>
      <c r="S32" s="26">
        <f t="shared" si="12"/>
        <v>4620</v>
      </c>
      <c r="T32" s="26" t="e">
        <f t="shared" si="13"/>
        <v>#NAME?</v>
      </c>
      <c r="U32" s="27" t="e">
        <f t="shared" si="14"/>
        <v>#NAME?</v>
      </c>
      <c r="V32" s="27"/>
      <c r="W32" s="26">
        <f t="shared" si="15"/>
        <v>3068</v>
      </c>
      <c r="X32" s="26" t="e">
        <f t="shared" si="16"/>
        <v>#NAME?</v>
      </c>
      <c r="Y32" s="27" t="e">
        <f t="shared" si="17"/>
        <v>#NAME?</v>
      </c>
    </row>
    <row r="33" spans="1:25" ht="16.5" customHeight="1" x14ac:dyDescent="0.25">
      <c r="A33" s="16" t="s">
        <v>76</v>
      </c>
      <c r="B33" s="16" t="s">
        <v>77</v>
      </c>
      <c r="C33" s="25">
        <f t="shared" si="0"/>
        <v>38</v>
      </c>
      <c r="D33" s="25" t="e">
        <f t="shared" si="1"/>
        <v>#NAME?</v>
      </c>
      <c r="E33" s="27" t="e">
        <f t="shared" si="2"/>
        <v>#NAME?</v>
      </c>
      <c r="F33" s="25"/>
      <c r="G33" s="25">
        <f t="shared" si="3"/>
        <v>0</v>
      </c>
      <c r="H33" s="25" t="e">
        <f t="shared" si="4"/>
        <v>#NAME?</v>
      </c>
      <c r="I33" s="27" t="e">
        <f t="shared" si="5"/>
        <v>#NAME?</v>
      </c>
      <c r="J33" s="25"/>
      <c r="K33" s="25">
        <f t="shared" si="6"/>
        <v>0</v>
      </c>
      <c r="L33" s="25" t="e">
        <f t="shared" si="7"/>
        <v>#NAME?</v>
      </c>
      <c r="M33" s="27" t="e">
        <f t="shared" si="8"/>
        <v>#NAME?</v>
      </c>
      <c r="N33" s="27"/>
      <c r="O33" s="26" t="str">
        <f t="shared" si="9"/>
        <v>Northern</v>
      </c>
      <c r="P33" s="26" t="e">
        <f t="shared" si="10"/>
        <v>#NAME?</v>
      </c>
      <c r="Q33" s="27" t="e">
        <f t="shared" si="11"/>
        <v>#VALUE!</v>
      </c>
      <c r="R33" s="27"/>
      <c r="S33" s="26">
        <f t="shared" si="12"/>
        <v>351</v>
      </c>
      <c r="T33" s="26" t="e">
        <f t="shared" si="13"/>
        <v>#NAME?</v>
      </c>
      <c r="U33" s="27" t="e">
        <f t="shared" si="14"/>
        <v>#NAME?</v>
      </c>
      <c r="V33" s="27"/>
      <c r="W33" s="26">
        <f t="shared" si="15"/>
        <v>253</v>
      </c>
      <c r="X33" s="26" t="e">
        <f t="shared" si="16"/>
        <v>#NAME?</v>
      </c>
      <c r="Y33" s="27" t="e">
        <f t="shared" si="17"/>
        <v>#NAME?</v>
      </c>
    </row>
    <row r="34" spans="1:25" ht="16.5" customHeight="1" x14ac:dyDescent="0.25">
      <c r="A34" s="16" t="s">
        <v>78</v>
      </c>
      <c r="B34" s="16" t="s">
        <v>79</v>
      </c>
      <c r="C34" s="25">
        <f t="shared" si="0"/>
        <v>17</v>
      </c>
      <c r="D34" s="25" t="e">
        <f t="shared" si="1"/>
        <v>#NAME?</v>
      </c>
      <c r="E34" s="27" t="e">
        <f t="shared" si="2"/>
        <v>#NAME?</v>
      </c>
      <c r="F34" s="25"/>
      <c r="G34" s="25">
        <f t="shared" si="3"/>
        <v>0</v>
      </c>
      <c r="H34" s="25" t="e">
        <f t="shared" si="4"/>
        <v>#NAME?</v>
      </c>
      <c r="I34" s="27" t="e">
        <f t="shared" si="5"/>
        <v>#NAME?</v>
      </c>
      <c r="J34" s="25"/>
      <c r="K34" s="25">
        <f t="shared" si="6"/>
        <v>0</v>
      </c>
      <c r="L34" s="25" t="e">
        <f t="shared" si="7"/>
        <v>#NAME?</v>
      </c>
      <c r="M34" s="27" t="e">
        <f t="shared" si="8"/>
        <v>#NAME?</v>
      </c>
      <c r="N34" s="27"/>
      <c r="O34" s="26" t="str">
        <f t="shared" si="9"/>
        <v>Western</v>
      </c>
      <c r="P34" s="26" t="e">
        <f t="shared" si="10"/>
        <v>#NAME?</v>
      </c>
      <c r="Q34" s="27" t="e">
        <f t="shared" si="11"/>
        <v>#VALUE!</v>
      </c>
      <c r="R34" s="27"/>
      <c r="S34" s="26">
        <f t="shared" si="12"/>
        <v>179</v>
      </c>
      <c r="T34" s="26" t="e">
        <f t="shared" si="13"/>
        <v>#NAME?</v>
      </c>
      <c r="U34" s="27" t="e">
        <f t="shared" si="14"/>
        <v>#NAME?</v>
      </c>
      <c r="V34" s="27"/>
      <c r="W34" s="26">
        <f t="shared" si="15"/>
        <v>124</v>
      </c>
      <c r="X34" s="26" t="e">
        <f t="shared" si="16"/>
        <v>#NAME?</v>
      </c>
      <c r="Y34" s="27" t="e">
        <f t="shared" si="17"/>
        <v>#NAME?</v>
      </c>
    </row>
    <row r="35" spans="1:25" ht="16.5" customHeight="1" x14ac:dyDescent="0.25">
      <c r="A35" s="16" t="s">
        <v>80</v>
      </c>
      <c r="B35" s="16" t="s">
        <v>81</v>
      </c>
      <c r="C35" s="25">
        <f t="shared" si="0"/>
        <v>16</v>
      </c>
      <c r="D35" s="25" t="e">
        <f t="shared" si="1"/>
        <v>#NAME?</v>
      </c>
      <c r="E35" s="27" t="e">
        <f t="shared" si="2"/>
        <v>#NAME?</v>
      </c>
      <c r="F35" s="25"/>
      <c r="G35" s="25">
        <f t="shared" si="3"/>
        <v>0</v>
      </c>
      <c r="H35" s="25" t="e">
        <f t="shared" si="4"/>
        <v>#NAME?</v>
      </c>
      <c r="I35" s="27" t="e">
        <f t="shared" si="5"/>
        <v>#NAME?</v>
      </c>
      <c r="J35" s="25"/>
      <c r="K35" s="25">
        <f t="shared" si="6"/>
        <v>0</v>
      </c>
      <c r="L35" s="25" t="e">
        <f t="shared" si="7"/>
        <v>#NAME?</v>
      </c>
      <c r="M35" s="27" t="e">
        <f t="shared" si="8"/>
        <v>#NAME?</v>
      </c>
      <c r="N35" s="27"/>
      <c r="O35" s="26" t="str">
        <f t="shared" si="9"/>
        <v>Central</v>
      </c>
      <c r="P35" s="26" t="e">
        <f t="shared" si="10"/>
        <v>#NAME?</v>
      </c>
      <c r="Q35" s="27" t="e">
        <f t="shared" si="11"/>
        <v>#VALUE!</v>
      </c>
      <c r="R35" s="27"/>
      <c r="S35" s="26">
        <f t="shared" si="12"/>
        <v>132</v>
      </c>
      <c r="T35" s="26" t="e">
        <f t="shared" si="13"/>
        <v>#NAME?</v>
      </c>
      <c r="U35" s="27" t="e">
        <f t="shared" si="14"/>
        <v>#NAME?</v>
      </c>
      <c r="V35" s="27"/>
      <c r="W35" s="26">
        <f t="shared" si="15"/>
        <v>100</v>
      </c>
      <c r="X35" s="26" t="e">
        <f t="shared" si="16"/>
        <v>#NAME?</v>
      </c>
      <c r="Y35" s="27" t="e">
        <f t="shared" si="17"/>
        <v>#NAME?</v>
      </c>
    </row>
    <row r="36" spans="1:25" ht="16.5" customHeight="1" x14ac:dyDescent="0.25">
      <c r="A36" s="16" t="s">
        <v>84</v>
      </c>
      <c r="B36" s="16" t="s">
        <v>308</v>
      </c>
      <c r="C36" s="25">
        <f t="shared" ref="C36:C67" si="18">VLOOKUP(A36,TANFClient_Demo,7,FALSE)</f>
        <v>41</v>
      </c>
      <c r="D36" s="25" t="e">
        <f t="shared" ref="D36:D67" si="19">VLOOKUP(A36,Pop,14,FALSE)</f>
        <v>#NAME?</v>
      </c>
      <c r="E36" s="27" t="e">
        <f t="shared" ref="E36:E67" si="20">+C36/D36</f>
        <v>#NAME?</v>
      </c>
      <c r="F36" s="25"/>
      <c r="G36" s="25">
        <f t="shared" ref="G36:G67" si="21">VLOOKUP(A36,TANFClient_Demo,8,FALSE)</f>
        <v>0</v>
      </c>
      <c r="H36" s="25" t="e">
        <f t="shared" ref="H36:H67" si="22">VLOOKUP(A36,Pop,15,FALSE)</f>
        <v>#NAME?</v>
      </c>
      <c r="I36" s="27" t="e">
        <f t="shared" ref="I36:I67" si="23">+G36/H36</f>
        <v>#NAME?</v>
      </c>
      <c r="J36" s="25"/>
      <c r="K36" s="25">
        <f t="shared" ref="K36:K67" si="24">VLOOKUP(A36,TANFClient_Demo,9,FALSE)</f>
        <v>0</v>
      </c>
      <c r="L36" s="25" t="e">
        <f t="shared" ref="L36:L67" si="25">VLOOKUP(A36,Pop,16,FALSE)</f>
        <v>#NAME?</v>
      </c>
      <c r="M36" s="27" t="e">
        <f t="shared" ref="M36:M67" si="26">+K36/L36</f>
        <v>#NAME?</v>
      </c>
      <c r="N36" s="27"/>
      <c r="O36" s="26" t="str">
        <f t="shared" ref="O36:O67" si="27">VLOOKUP(A36,TANFClient_Demo,3,FALSE)</f>
        <v>Piedmont</v>
      </c>
      <c r="P36" s="26" t="e">
        <f t="shared" ref="P36:P67" si="28">VLOOKUP(A36,Pop,8,FALSE)</f>
        <v>#NAME?</v>
      </c>
      <c r="Q36" s="27" t="e">
        <f t="shared" ref="Q36:Q67" si="29">+O36/P36</f>
        <v>#VALUE!</v>
      </c>
      <c r="R36" s="27"/>
      <c r="S36" s="26">
        <f t="shared" ref="S36:S67" si="30">VLOOKUP(A36,TANFClient_Demo,4,FALSE)</f>
        <v>547</v>
      </c>
      <c r="T36" s="26" t="e">
        <f t="shared" ref="T36:T67" si="31">VLOOKUP(A36,Pop,9,FALSE)</f>
        <v>#NAME?</v>
      </c>
      <c r="U36" s="27" t="e">
        <f t="shared" ref="U36:U67" si="32">+S36/T36</f>
        <v>#NAME?</v>
      </c>
      <c r="V36" s="27"/>
      <c r="W36" s="26">
        <f t="shared" ref="W36:W67" si="33">VLOOKUP(A36,TANFClient_Demo,5,FALSE)</f>
        <v>387</v>
      </c>
      <c r="X36" s="26" t="e">
        <f t="shared" ref="X36:X67" si="34">VLOOKUP(A36,Pop,10,FALSE)</f>
        <v>#NAME?</v>
      </c>
      <c r="Y36" s="27" t="e">
        <f t="shared" ref="Y36:Y67" si="35">+W36/X36</f>
        <v>#NAME?</v>
      </c>
    </row>
    <row r="37" spans="1:25" ht="16.5" customHeight="1" x14ac:dyDescent="0.25">
      <c r="A37" s="16" t="s">
        <v>86</v>
      </c>
      <c r="B37" s="16" t="s">
        <v>87</v>
      </c>
      <c r="C37" s="25">
        <f t="shared" si="18"/>
        <v>33</v>
      </c>
      <c r="D37" s="25" t="e">
        <f t="shared" si="19"/>
        <v>#NAME?</v>
      </c>
      <c r="E37" s="27" t="e">
        <f t="shared" si="20"/>
        <v>#NAME?</v>
      </c>
      <c r="F37" s="25"/>
      <c r="G37" s="25">
        <f t="shared" si="21"/>
        <v>0</v>
      </c>
      <c r="H37" s="25" t="e">
        <f t="shared" si="22"/>
        <v>#NAME?</v>
      </c>
      <c r="I37" s="27" t="e">
        <f t="shared" si="23"/>
        <v>#NAME?</v>
      </c>
      <c r="J37" s="25"/>
      <c r="K37" s="25">
        <f t="shared" si="24"/>
        <v>0</v>
      </c>
      <c r="L37" s="25" t="e">
        <f t="shared" si="25"/>
        <v>#NAME?</v>
      </c>
      <c r="M37" s="27" t="e">
        <f t="shared" si="26"/>
        <v>#NAME?</v>
      </c>
      <c r="N37" s="27"/>
      <c r="O37" s="26" t="str">
        <f t="shared" si="27"/>
        <v>Northern</v>
      </c>
      <c r="P37" s="26" t="e">
        <f t="shared" si="28"/>
        <v>#NAME?</v>
      </c>
      <c r="Q37" s="27" t="e">
        <f t="shared" si="29"/>
        <v>#VALUE!</v>
      </c>
      <c r="R37" s="27"/>
      <c r="S37" s="26">
        <f t="shared" si="30"/>
        <v>368</v>
      </c>
      <c r="T37" s="26" t="e">
        <f t="shared" si="31"/>
        <v>#NAME?</v>
      </c>
      <c r="U37" s="27" t="e">
        <f t="shared" si="32"/>
        <v>#NAME?</v>
      </c>
      <c r="V37" s="27"/>
      <c r="W37" s="26">
        <f t="shared" si="33"/>
        <v>256</v>
      </c>
      <c r="X37" s="26" t="e">
        <f t="shared" si="34"/>
        <v>#NAME?</v>
      </c>
      <c r="Y37" s="27" t="e">
        <f t="shared" si="35"/>
        <v>#NAME?</v>
      </c>
    </row>
    <row r="38" spans="1:25" ht="16.5" customHeight="1" x14ac:dyDescent="0.25">
      <c r="A38" s="16" t="s">
        <v>92</v>
      </c>
      <c r="B38" s="16" t="s">
        <v>93</v>
      </c>
      <c r="C38" s="25">
        <f t="shared" si="18"/>
        <v>15</v>
      </c>
      <c r="D38" s="25" t="e">
        <f t="shared" si="19"/>
        <v>#NAME?</v>
      </c>
      <c r="E38" s="27" t="e">
        <f t="shared" si="20"/>
        <v>#NAME?</v>
      </c>
      <c r="F38" s="25"/>
      <c r="G38" s="25">
        <f t="shared" si="21"/>
        <v>0</v>
      </c>
      <c r="H38" s="25" t="e">
        <f t="shared" si="22"/>
        <v>#NAME?</v>
      </c>
      <c r="I38" s="27" t="e">
        <f t="shared" si="23"/>
        <v>#NAME?</v>
      </c>
      <c r="J38" s="25"/>
      <c r="K38" s="25">
        <f t="shared" si="24"/>
        <v>0</v>
      </c>
      <c r="L38" s="25" t="e">
        <f t="shared" si="25"/>
        <v>#NAME?</v>
      </c>
      <c r="M38" s="27" t="e">
        <f t="shared" si="26"/>
        <v>#NAME?</v>
      </c>
      <c r="N38" s="27"/>
      <c r="O38" s="26" t="str">
        <f t="shared" si="27"/>
        <v>Western</v>
      </c>
      <c r="P38" s="26" t="e">
        <f t="shared" si="28"/>
        <v>#NAME?</v>
      </c>
      <c r="Q38" s="27" t="e">
        <f t="shared" si="29"/>
        <v>#VALUE!</v>
      </c>
      <c r="R38" s="27"/>
      <c r="S38" s="26">
        <f t="shared" si="30"/>
        <v>173</v>
      </c>
      <c r="T38" s="26" t="e">
        <f t="shared" si="31"/>
        <v>#NAME?</v>
      </c>
      <c r="U38" s="27" t="e">
        <f t="shared" si="32"/>
        <v>#NAME?</v>
      </c>
      <c r="V38" s="27"/>
      <c r="W38" s="26">
        <f t="shared" si="33"/>
        <v>129</v>
      </c>
      <c r="X38" s="26" t="e">
        <f t="shared" si="34"/>
        <v>#NAME?</v>
      </c>
      <c r="Y38" s="27" t="e">
        <f t="shared" si="35"/>
        <v>#NAME?</v>
      </c>
    </row>
    <row r="39" spans="1:25" ht="16.5" customHeight="1" x14ac:dyDescent="0.25">
      <c r="A39" s="16" t="s">
        <v>94</v>
      </c>
      <c r="B39" s="16" t="s">
        <v>95</v>
      </c>
      <c r="C39" s="25">
        <f t="shared" si="18"/>
        <v>43</v>
      </c>
      <c r="D39" s="25" t="e">
        <f t="shared" si="19"/>
        <v>#NAME?</v>
      </c>
      <c r="E39" s="27" t="e">
        <f t="shared" si="20"/>
        <v>#NAME?</v>
      </c>
      <c r="F39" s="25"/>
      <c r="G39" s="25">
        <f t="shared" si="21"/>
        <v>0</v>
      </c>
      <c r="H39" s="25" t="e">
        <f t="shared" si="22"/>
        <v>#NAME?</v>
      </c>
      <c r="I39" s="27" t="e">
        <f t="shared" si="23"/>
        <v>#NAME?</v>
      </c>
      <c r="J39" s="25"/>
      <c r="K39" s="25">
        <f t="shared" si="24"/>
        <v>0</v>
      </c>
      <c r="L39" s="25" t="e">
        <f t="shared" si="25"/>
        <v>#NAME?</v>
      </c>
      <c r="M39" s="27" t="e">
        <f t="shared" si="26"/>
        <v>#NAME?</v>
      </c>
      <c r="N39" s="27"/>
      <c r="O39" s="26" t="str">
        <f t="shared" si="27"/>
        <v>Eastern</v>
      </c>
      <c r="P39" s="26" t="e">
        <f t="shared" si="28"/>
        <v>#NAME?</v>
      </c>
      <c r="Q39" s="27" t="e">
        <f t="shared" si="29"/>
        <v>#VALUE!</v>
      </c>
      <c r="R39" s="27"/>
      <c r="S39" s="26">
        <f t="shared" si="30"/>
        <v>328</v>
      </c>
      <c r="T39" s="26" t="e">
        <f t="shared" si="31"/>
        <v>#NAME?</v>
      </c>
      <c r="U39" s="27" t="e">
        <f t="shared" si="32"/>
        <v>#NAME?</v>
      </c>
      <c r="V39" s="27"/>
      <c r="W39" s="26">
        <f t="shared" si="33"/>
        <v>221</v>
      </c>
      <c r="X39" s="26" t="e">
        <f t="shared" si="34"/>
        <v>#NAME?</v>
      </c>
      <c r="Y39" s="27" t="e">
        <f t="shared" si="35"/>
        <v>#NAME?</v>
      </c>
    </row>
    <row r="40" spans="1:25" ht="16.5" customHeight="1" x14ac:dyDescent="0.25">
      <c r="A40" s="16" t="s">
        <v>96</v>
      </c>
      <c r="B40" s="16" t="s">
        <v>97</v>
      </c>
      <c r="C40" s="25">
        <f t="shared" si="18"/>
        <v>21</v>
      </c>
      <c r="D40" s="25" t="e">
        <f t="shared" si="19"/>
        <v>#NAME?</v>
      </c>
      <c r="E40" s="27" t="e">
        <f t="shared" si="20"/>
        <v>#NAME?</v>
      </c>
      <c r="F40" s="25"/>
      <c r="G40" s="25">
        <f t="shared" si="21"/>
        <v>0</v>
      </c>
      <c r="H40" s="25" t="e">
        <f t="shared" si="22"/>
        <v>#NAME?</v>
      </c>
      <c r="I40" s="27" t="e">
        <f t="shared" si="23"/>
        <v>#NAME?</v>
      </c>
      <c r="J40" s="25"/>
      <c r="K40" s="25">
        <f t="shared" si="24"/>
        <v>0</v>
      </c>
      <c r="L40" s="25" t="e">
        <f t="shared" si="25"/>
        <v>#NAME?</v>
      </c>
      <c r="M40" s="27" t="e">
        <f t="shared" si="26"/>
        <v>#NAME?</v>
      </c>
      <c r="N40" s="27"/>
      <c r="O40" s="26" t="str">
        <f t="shared" si="27"/>
        <v>Central</v>
      </c>
      <c r="P40" s="26" t="e">
        <f t="shared" si="28"/>
        <v>#NAME?</v>
      </c>
      <c r="Q40" s="27" t="e">
        <f t="shared" si="29"/>
        <v>#VALUE!</v>
      </c>
      <c r="R40" s="27"/>
      <c r="S40" s="26">
        <f t="shared" si="30"/>
        <v>86</v>
      </c>
      <c r="T40" s="26" t="e">
        <f t="shared" si="31"/>
        <v>#NAME?</v>
      </c>
      <c r="U40" s="27" t="e">
        <f t="shared" si="32"/>
        <v>#NAME?</v>
      </c>
      <c r="V40" s="27"/>
      <c r="W40" s="26">
        <f t="shared" si="33"/>
        <v>51</v>
      </c>
      <c r="X40" s="26" t="e">
        <f t="shared" si="34"/>
        <v>#NAME?</v>
      </c>
      <c r="Y40" s="27" t="e">
        <f t="shared" si="35"/>
        <v>#NAME?</v>
      </c>
    </row>
    <row r="41" spans="1:25" ht="16.5" customHeight="1" x14ac:dyDescent="0.25">
      <c r="A41" s="16" t="s">
        <v>98</v>
      </c>
      <c r="B41" s="16" t="s">
        <v>99</v>
      </c>
      <c r="C41" s="25">
        <f t="shared" si="18"/>
        <v>4</v>
      </c>
      <c r="D41" s="25" t="e">
        <f t="shared" si="19"/>
        <v>#NAME?</v>
      </c>
      <c r="E41" s="27" t="e">
        <f t="shared" si="20"/>
        <v>#NAME?</v>
      </c>
      <c r="F41" s="25"/>
      <c r="G41" s="25">
        <f t="shared" si="21"/>
        <v>1</v>
      </c>
      <c r="H41" s="25" t="e">
        <f t="shared" si="22"/>
        <v>#NAME?</v>
      </c>
      <c r="I41" s="27" t="e">
        <f t="shared" si="23"/>
        <v>#NAME?</v>
      </c>
      <c r="J41" s="25"/>
      <c r="K41" s="25">
        <f t="shared" si="24"/>
        <v>0</v>
      </c>
      <c r="L41" s="25" t="e">
        <f t="shared" si="25"/>
        <v>#NAME?</v>
      </c>
      <c r="M41" s="27" t="e">
        <f t="shared" si="26"/>
        <v>#NAME?</v>
      </c>
      <c r="N41" s="27"/>
      <c r="O41" s="26" t="str">
        <f t="shared" si="27"/>
        <v>Western</v>
      </c>
      <c r="P41" s="26" t="e">
        <f t="shared" si="28"/>
        <v>#NAME?</v>
      </c>
      <c r="Q41" s="27" t="e">
        <f t="shared" si="29"/>
        <v>#VALUE!</v>
      </c>
      <c r="R41" s="27"/>
      <c r="S41" s="26">
        <f t="shared" si="30"/>
        <v>91</v>
      </c>
      <c r="T41" s="26" t="e">
        <f t="shared" si="31"/>
        <v>#NAME?</v>
      </c>
      <c r="U41" s="27" t="e">
        <f t="shared" si="32"/>
        <v>#NAME?</v>
      </c>
      <c r="V41" s="27"/>
      <c r="W41" s="26">
        <f t="shared" si="33"/>
        <v>71</v>
      </c>
      <c r="X41" s="26" t="e">
        <f t="shared" si="34"/>
        <v>#NAME?</v>
      </c>
      <c r="Y41" s="27" t="e">
        <f t="shared" si="35"/>
        <v>#NAME?</v>
      </c>
    </row>
    <row r="42" spans="1:25" ht="16.5" customHeight="1" x14ac:dyDescent="0.25">
      <c r="A42" s="16" t="s">
        <v>100</v>
      </c>
      <c r="B42" s="16" t="s">
        <v>101</v>
      </c>
      <c r="C42" s="25">
        <f t="shared" si="18"/>
        <v>23</v>
      </c>
      <c r="D42" s="25" t="e">
        <f t="shared" si="19"/>
        <v>#NAME?</v>
      </c>
      <c r="E42" s="27" t="e">
        <f t="shared" si="20"/>
        <v>#NAME?</v>
      </c>
      <c r="F42" s="25"/>
      <c r="G42" s="25">
        <f t="shared" si="21"/>
        <v>0</v>
      </c>
      <c r="H42" s="25" t="e">
        <f t="shared" si="22"/>
        <v>#NAME?</v>
      </c>
      <c r="I42" s="27" t="e">
        <f t="shared" si="23"/>
        <v>#NAME?</v>
      </c>
      <c r="J42" s="25"/>
      <c r="K42" s="25">
        <f t="shared" si="24"/>
        <v>0</v>
      </c>
      <c r="L42" s="25" t="e">
        <f t="shared" si="25"/>
        <v>#NAME?</v>
      </c>
      <c r="M42" s="27" t="e">
        <f t="shared" si="26"/>
        <v>#NAME?</v>
      </c>
      <c r="N42" s="27"/>
      <c r="O42" s="26" t="str">
        <f t="shared" si="27"/>
        <v>Northern</v>
      </c>
      <c r="P42" s="26" t="e">
        <f t="shared" si="28"/>
        <v>#NAME?</v>
      </c>
      <c r="Q42" s="27" t="e">
        <f t="shared" si="29"/>
        <v>#VALUE!</v>
      </c>
      <c r="R42" s="27"/>
      <c r="S42" s="26">
        <f t="shared" si="30"/>
        <v>227</v>
      </c>
      <c r="T42" s="26" t="e">
        <f t="shared" si="31"/>
        <v>#NAME?</v>
      </c>
      <c r="U42" s="27" t="e">
        <f t="shared" si="32"/>
        <v>#NAME?</v>
      </c>
      <c r="V42" s="27"/>
      <c r="W42" s="26">
        <f t="shared" si="33"/>
        <v>161</v>
      </c>
      <c r="X42" s="26" t="e">
        <f t="shared" si="34"/>
        <v>#NAME?</v>
      </c>
      <c r="Y42" s="27" t="e">
        <f t="shared" si="35"/>
        <v>#NAME?</v>
      </c>
    </row>
    <row r="43" spans="1:25" ht="16.5" customHeight="1" x14ac:dyDescent="0.25">
      <c r="A43" s="16" t="s">
        <v>102</v>
      </c>
      <c r="B43" s="16" t="s">
        <v>103</v>
      </c>
      <c r="C43" s="25">
        <f t="shared" si="18"/>
        <v>27</v>
      </c>
      <c r="D43" s="25" t="e">
        <f t="shared" si="19"/>
        <v>#NAME?</v>
      </c>
      <c r="E43" s="27" t="e">
        <f t="shared" si="20"/>
        <v>#NAME?</v>
      </c>
      <c r="F43" s="25"/>
      <c r="G43" s="25">
        <f t="shared" si="21"/>
        <v>0</v>
      </c>
      <c r="H43" s="25" t="e">
        <f t="shared" si="22"/>
        <v>#NAME?</v>
      </c>
      <c r="I43" s="27" t="e">
        <f t="shared" si="23"/>
        <v>#NAME?</v>
      </c>
      <c r="J43" s="25"/>
      <c r="K43" s="25">
        <f t="shared" si="24"/>
        <v>0</v>
      </c>
      <c r="L43" s="25" t="e">
        <f t="shared" si="25"/>
        <v>#NAME?</v>
      </c>
      <c r="M43" s="27" t="e">
        <f t="shared" si="26"/>
        <v>#NAME?</v>
      </c>
      <c r="N43" s="27"/>
      <c r="O43" s="26" t="str">
        <f t="shared" si="27"/>
        <v>Eastern</v>
      </c>
      <c r="P43" s="26" t="e">
        <f t="shared" si="28"/>
        <v>#NAME?</v>
      </c>
      <c r="Q43" s="27" t="e">
        <f t="shared" si="29"/>
        <v>#VALUE!</v>
      </c>
      <c r="R43" s="27"/>
      <c r="S43" s="26">
        <f t="shared" si="30"/>
        <v>432</v>
      </c>
      <c r="T43" s="26" t="e">
        <f t="shared" si="31"/>
        <v>#NAME?</v>
      </c>
      <c r="U43" s="27" t="e">
        <f t="shared" si="32"/>
        <v>#NAME?</v>
      </c>
      <c r="V43" s="27"/>
      <c r="W43" s="26">
        <f t="shared" si="33"/>
        <v>306</v>
      </c>
      <c r="X43" s="26" t="e">
        <f t="shared" si="34"/>
        <v>#NAME?</v>
      </c>
      <c r="Y43" s="27" t="e">
        <f t="shared" si="35"/>
        <v>#NAME?</v>
      </c>
    </row>
    <row r="44" spans="1:25" ht="16.5" customHeight="1" x14ac:dyDescent="0.25">
      <c r="A44" s="16" t="s">
        <v>104</v>
      </c>
      <c r="B44" s="16" t="s">
        <v>309</v>
      </c>
      <c r="C44" s="25">
        <f t="shared" si="18"/>
        <v>27</v>
      </c>
      <c r="D44" s="25" t="e">
        <f t="shared" si="19"/>
        <v>#NAME?</v>
      </c>
      <c r="E44" s="27" t="e">
        <f t="shared" si="20"/>
        <v>#NAME?</v>
      </c>
      <c r="F44" s="25"/>
      <c r="G44" s="25">
        <f t="shared" si="21"/>
        <v>1</v>
      </c>
      <c r="H44" s="25" t="e">
        <f t="shared" si="22"/>
        <v>#NAME?</v>
      </c>
      <c r="I44" s="27" t="e">
        <f t="shared" si="23"/>
        <v>#NAME?</v>
      </c>
      <c r="J44" s="25"/>
      <c r="K44" s="25">
        <f t="shared" si="24"/>
        <v>0</v>
      </c>
      <c r="L44" s="25" t="e">
        <f t="shared" si="25"/>
        <v>#NAME?</v>
      </c>
      <c r="M44" s="27" t="e">
        <f t="shared" si="26"/>
        <v>#NAME?</v>
      </c>
      <c r="N44" s="27"/>
      <c r="O44" s="26" t="str">
        <f t="shared" si="27"/>
        <v>Piedmont</v>
      </c>
      <c r="P44" s="26" t="e">
        <f t="shared" si="28"/>
        <v>#NAME?</v>
      </c>
      <c r="Q44" s="27" t="e">
        <f t="shared" si="29"/>
        <v>#VALUE!</v>
      </c>
      <c r="R44" s="27"/>
      <c r="S44" s="26">
        <f t="shared" si="30"/>
        <v>472</v>
      </c>
      <c r="T44" s="26" t="e">
        <f t="shared" si="31"/>
        <v>#NAME?</v>
      </c>
      <c r="U44" s="27" t="e">
        <f t="shared" si="32"/>
        <v>#NAME?</v>
      </c>
      <c r="V44" s="27"/>
      <c r="W44" s="26">
        <f t="shared" si="33"/>
        <v>335</v>
      </c>
      <c r="X44" s="26" t="e">
        <f t="shared" si="34"/>
        <v>#NAME?</v>
      </c>
      <c r="Y44" s="27" t="e">
        <f t="shared" si="35"/>
        <v>#NAME?</v>
      </c>
    </row>
    <row r="45" spans="1:25" ht="16.5" customHeight="1" x14ac:dyDescent="0.25">
      <c r="A45" s="16" t="s">
        <v>108</v>
      </c>
      <c r="B45" s="16" t="s">
        <v>109</v>
      </c>
      <c r="C45" s="25">
        <f t="shared" si="18"/>
        <v>58</v>
      </c>
      <c r="D45" s="25" t="e">
        <f t="shared" si="19"/>
        <v>#NAME?</v>
      </c>
      <c r="E45" s="27" t="e">
        <f t="shared" si="20"/>
        <v>#NAME?</v>
      </c>
      <c r="F45" s="25"/>
      <c r="G45" s="25">
        <f t="shared" si="21"/>
        <v>1</v>
      </c>
      <c r="H45" s="25" t="e">
        <f t="shared" si="22"/>
        <v>#NAME?</v>
      </c>
      <c r="I45" s="27" t="e">
        <f t="shared" si="23"/>
        <v>#NAME?</v>
      </c>
      <c r="J45" s="25"/>
      <c r="K45" s="25">
        <f t="shared" si="24"/>
        <v>0</v>
      </c>
      <c r="L45" s="25" t="e">
        <f t="shared" si="25"/>
        <v>#NAME?</v>
      </c>
      <c r="M45" s="27" t="e">
        <f t="shared" si="26"/>
        <v>#NAME?</v>
      </c>
      <c r="N45" s="27"/>
      <c r="O45" s="26" t="str">
        <f t="shared" si="27"/>
        <v>Central</v>
      </c>
      <c r="P45" s="26" t="e">
        <f t="shared" si="28"/>
        <v>#NAME?</v>
      </c>
      <c r="Q45" s="27" t="e">
        <f t="shared" si="29"/>
        <v>#VALUE!</v>
      </c>
      <c r="R45" s="27"/>
      <c r="S45" s="26">
        <f t="shared" si="30"/>
        <v>459</v>
      </c>
      <c r="T45" s="26" t="e">
        <f t="shared" si="31"/>
        <v>#NAME?</v>
      </c>
      <c r="U45" s="27" t="e">
        <f t="shared" si="32"/>
        <v>#NAME?</v>
      </c>
      <c r="V45" s="27"/>
      <c r="W45" s="26">
        <f t="shared" si="33"/>
        <v>303</v>
      </c>
      <c r="X45" s="26" t="e">
        <f t="shared" si="34"/>
        <v>#NAME?</v>
      </c>
      <c r="Y45" s="27" t="e">
        <f t="shared" si="35"/>
        <v>#NAME?</v>
      </c>
    </row>
    <row r="46" spans="1:25" ht="16.5" customHeight="1" x14ac:dyDescent="0.25">
      <c r="A46" s="16" t="s">
        <v>110</v>
      </c>
      <c r="B46" s="16" t="s">
        <v>111</v>
      </c>
      <c r="C46" s="25">
        <f t="shared" si="18"/>
        <v>470</v>
      </c>
      <c r="D46" s="25" t="e">
        <f t="shared" si="19"/>
        <v>#NAME?</v>
      </c>
      <c r="E46" s="27" t="e">
        <f t="shared" si="20"/>
        <v>#NAME?</v>
      </c>
      <c r="F46" s="25"/>
      <c r="G46" s="25">
        <f t="shared" si="21"/>
        <v>11</v>
      </c>
      <c r="H46" s="25" t="e">
        <f t="shared" si="22"/>
        <v>#NAME?</v>
      </c>
      <c r="I46" s="27" t="e">
        <f t="shared" si="23"/>
        <v>#NAME?</v>
      </c>
      <c r="J46" s="25"/>
      <c r="K46" s="25">
        <f t="shared" si="24"/>
        <v>0</v>
      </c>
      <c r="L46" s="25" t="e">
        <f t="shared" si="25"/>
        <v>#NAME?</v>
      </c>
      <c r="M46" s="27" t="e">
        <f t="shared" si="26"/>
        <v>#NAME?</v>
      </c>
      <c r="N46" s="27"/>
      <c r="O46" s="26" t="str">
        <f t="shared" si="27"/>
        <v>Central</v>
      </c>
      <c r="P46" s="26" t="e">
        <f t="shared" si="28"/>
        <v>#NAME?</v>
      </c>
      <c r="Q46" s="27" t="e">
        <f t="shared" si="29"/>
        <v>#VALUE!</v>
      </c>
      <c r="R46" s="27"/>
      <c r="S46" s="26">
        <f t="shared" si="30"/>
        <v>4267</v>
      </c>
      <c r="T46" s="26" t="e">
        <f t="shared" si="31"/>
        <v>#NAME?</v>
      </c>
      <c r="U46" s="27" t="e">
        <f t="shared" si="32"/>
        <v>#NAME?</v>
      </c>
      <c r="V46" s="27"/>
      <c r="W46" s="26">
        <f t="shared" si="33"/>
        <v>2809</v>
      </c>
      <c r="X46" s="26" t="e">
        <f t="shared" si="34"/>
        <v>#NAME?</v>
      </c>
      <c r="Y46" s="27" t="e">
        <f t="shared" si="35"/>
        <v>#NAME?</v>
      </c>
    </row>
    <row r="47" spans="1:25" ht="16.5" customHeight="1" x14ac:dyDescent="0.25">
      <c r="A47" s="16" t="s">
        <v>112</v>
      </c>
      <c r="B47" s="16" t="s">
        <v>300</v>
      </c>
      <c r="C47" s="25">
        <f t="shared" si="18"/>
        <v>97</v>
      </c>
      <c r="D47" s="25" t="e">
        <f t="shared" si="19"/>
        <v>#NAME?</v>
      </c>
      <c r="E47" s="27" t="e">
        <f t="shared" si="20"/>
        <v>#NAME?</v>
      </c>
      <c r="F47" s="25"/>
      <c r="G47" s="25">
        <f t="shared" si="21"/>
        <v>1</v>
      </c>
      <c r="H47" s="25" t="e">
        <f t="shared" si="22"/>
        <v>#NAME?</v>
      </c>
      <c r="I47" s="27" t="e">
        <f t="shared" si="23"/>
        <v>#NAME?</v>
      </c>
      <c r="J47" s="25"/>
      <c r="K47" s="25">
        <f t="shared" si="24"/>
        <v>0</v>
      </c>
      <c r="L47" s="25" t="e">
        <f t="shared" si="25"/>
        <v>#NAME?</v>
      </c>
      <c r="M47" s="27" t="e">
        <f t="shared" si="26"/>
        <v>#NAME?</v>
      </c>
      <c r="N47" s="27"/>
      <c r="O47" s="26" t="str">
        <f t="shared" si="27"/>
        <v>Piedmont</v>
      </c>
      <c r="P47" s="26" t="e">
        <f t="shared" si="28"/>
        <v>#NAME?</v>
      </c>
      <c r="Q47" s="27" t="e">
        <f t="shared" si="29"/>
        <v>#VALUE!</v>
      </c>
      <c r="R47" s="27"/>
      <c r="S47" s="26">
        <f t="shared" si="30"/>
        <v>1277</v>
      </c>
      <c r="T47" s="26" t="e">
        <f t="shared" si="31"/>
        <v>#NAME?</v>
      </c>
      <c r="U47" s="27" t="e">
        <f t="shared" si="32"/>
        <v>#NAME?</v>
      </c>
      <c r="V47" s="27"/>
      <c r="W47" s="26">
        <f t="shared" si="33"/>
        <v>927</v>
      </c>
      <c r="X47" s="26" t="e">
        <f t="shared" si="34"/>
        <v>#NAME?</v>
      </c>
      <c r="Y47" s="27" t="e">
        <f t="shared" si="35"/>
        <v>#NAME?</v>
      </c>
    </row>
    <row r="48" spans="1:25" ht="16.5" customHeight="1" x14ac:dyDescent="0.25">
      <c r="A48" s="16" t="s">
        <v>114</v>
      </c>
      <c r="B48" s="16" t="s">
        <v>115</v>
      </c>
      <c r="C48" s="25">
        <f t="shared" si="18"/>
        <v>1</v>
      </c>
      <c r="D48" s="25" t="e">
        <f t="shared" si="19"/>
        <v>#NAME?</v>
      </c>
      <c r="E48" s="27" t="e">
        <f t="shared" si="20"/>
        <v>#NAME?</v>
      </c>
      <c r="F48" s="25"/>
      <c r="G48" s="25">
        <f t="shared" si="21"/>
        <v>0</v>
      </c>
      <c r="H48" s="25" t="e">
        <f t="shared" si="22"/>
        <v>#NAME?</v>
      </c>
      <c r="I48" s="27" t="e">
        <f t="shared" si="23"/>
        <v>#NAME?</v>
      </c>
      <c r="J48" s="25"/>
      <c r="K48" s="25">
        <f t="shared" si="24"/>
        <v>0</v>
      </c>
      <c r="L48" s="25" t="e">
        <f t="shared" si="25"/>
        <v>#NAME?</v>
      </c>
      <c r="M48" s="27" t="e">
        <f t="shared" si="26"/>
        <v>#NAME?</v>
      </c>
      <c r="N48" s="27"/>
      <c r="O48" s="26" t="str">
        <f t="shared" si="27"/>
        <v>Piedmont</v>
      </c>
      <c r="P48" s="26" t="e">
        <f t="shared" si="28"/>
        <v>#NAME?</v>
      </c>
      <c r="Q48" s="27" t="e">
        <f t="shared" si="29"/>
        <v>#VALUE!</v>
      </c>
      <c r="R48" s="27"/>
      <c r="S48" s="26">
        <f t="shared" si="30"/>
        <v>8</v>
      </c>
      <c r="T48" s="26" t="e">
        <f t="shared" si="31"/>
        <v>#NAME?</v>
      </c>
      <c r="U48" s="27" t="e">
        <f t="shared" si="32"/>
        <v>#NAME?</v>
      </c>
      <c r="V48" s="27"/>
      <c r="W48" s="26">
        <f t="shared" si="33"/>
        <v>6</v>
      </c>
      <c r="X48" s="26" t="e">
        <f t="shared" si="34"/>
        <v>#NAME?</v>
      </c>
      <c r="Y48" s="27" t="e">
        <f t="shared" si="35"/>
        <v>#NAME?</v>
      </c>
    </row>
    <row r="49" spans="1:25" ht="16.5" customHeight="1" x14ac:dyDescent="0.25">
      <c r="A49" s="16" t="s">
        <v>118</v>
      </c>
      <c r="B49" s="16" t="s">
        <v>119</v>
      </c>
      <c r="C49" s="25">
        <f t="shared" si="18"/>
        <v>35</v>
      </c>
      <c r="D49" s="25" t="e">
        <f t="shared" si="19"/>
        <v>#NAME?</v>
      </c>
      <c r="E49" s="27" t="e">
        <f t="shared" si="20"/>
        <v>#NAME?</v>
      </c>
      <c r="F49" s="25"/>
      <c r="G49" s="25">
        <f t="shared" si="21"/>
        <v>0</v>
      </c>
      <c r="H49" s="25" t="e">
        <f t="shared" si="22"/>
        <v>#NAME?</v>
      </c>
      <c r="I49" s="27" t="e">
        <f t="shared" si="23"/>
        <v>#NAME?</v>
      </c>
      <c r="J49" s="25"/>
      <c r="K49" s="25">
        <f t="shared" si="24"/>
        <v>0</v>
      </c>
      <c r="L49" s="25" t="e">
        <f t="shared" si="25"/>
        <v>#NAME?</v>
      </c>
      <c r="M49" s="27" t="e">
        <f t="shared" si="26"/>
        <v>#NAME?</v>
      </c>
      <c r="N49" s="27"/>
      <c r="O49" s="26" t="str">
        <f t="shared" si="27"/>
        <v>Eastern</v>
      </c>
      <c r="P49" s="26" t="e">
        <f t="shared" si="28"/>
        <v>#NAME?</v>
      </c>
      <c r="Q49" s="27" t="e">
        <f t="shared" si="29"/>
        <v>#VALUE!</v>
      </c>
      <c r="R49" s="27"/>
      <c r="S49" s="26">
        <f t="shared" si="30"/>
        <v>331</v>
      </c>
      <c r="T49" s="26" t="e">
        <f t="shared" si="31"/>
        <v>#NAME?</v>
      </c>
      <c r="U49" s="27" t="e">
        <f t="shared" si="32"/>
        <v>#NAME?</v>
      </c>
      <c r="V49" s="27"/>
      <c r="W49" s="26">
        <f t="shared" si="33"/>
        <v>222</v>
      </c>
      <c r="X49" s="26" t="e">
        <f t="shared" si="34"/>
        <v>#NAME?</v>
      </c>
      <c r="Y49" s="27" t="e">
        <f t="shared" si="35"/>
        <v>#NAME?</v>
      </c>
    </row>
    <row r="50" spans="1:25" ht="16.5" customHeight="1" x14ac:dyDescent="0.25">
      <c r="A50" s="16" t="s">
        <v>120</v>
      </c>
      <c r="B50" s="16" t="s">
        <v>121</v>
      </c>
      <c r="C50" s="25">
        <f t="shared" si="18"/>
        <v>49</v>
      </c>
      <c r="D50" s="25" t="e">
        <f t="shared" si="19"/>
        <v>#NAME?</v>
      </c>
      <c r="E50" s="27" t="e">
        <f t="shared" si="20"/>
        <v>#NAME?</v>
      </c>
      <c r="F50" s="25"/>
      <c r="G50" s="25">
        <f t="shared" si="21"/>
        <v>0</v>
      </c>
      <c r="H50" s="25" t="e">
        <f t="shared" si="22"/>
        <v>#NAME?</v>
      </c>
      <c r="I50" s="27" t="e">
        <f t="shared" si="23"/>
        <v>#NAME?</v>
      </c>
      <c r="J50" s="25"/>
      <c r="K50" s="25">
        <f t="shared" si="24"/>
        <v>0</v>
      </c>
      <c r="L50" s="25" t="e">
        <f t="shared" si="25"/>
        <v>#NAME?</v>
      </c>
      <c r="M50" s="27" t="e">
        <f t="shared" si="26"/>
        <v>#NAME?</v>
      </c>
      <c r="N50" s="27"/>
      <c r="O50" s="26" t="str">
        <f t="shared" si="27"/>
        <v>Eastern</v>
      </c>
      <c r="P50" s="26" t="e">
        <f t="shared" si="28"/>
        <v>#NAME?</v>
      </c>
      <c r="Q50" s="27" t="e">
        <f t="shared" si="29"/>
        <v>#VALUE!</v>
      </c>
      <c r="R50" s="27"/>
      <c r="S50" s="26">
        <f t="shared" si="30"/>
        <v>544</v>
      </c>
      <c r="T50" s="26" t="e">
        <f t="shared" si="31"/>
        <v>#NAME?</v>
      </c>
      <c r="U50" s="27" t="e">
        <f t="shared" si="32"/>
        <v>#NAME?</v>
      </c>
      <c r="V50" s="27"/>
      <c r="W50" s="26">
        <f t="shared" si="33"/>
        <v>374</v>
      </c>
      <c r="X50" s="26" t="e">
        <f t="shared" si="34"/>
        <v>#NAME?</v>
      </c>
      <c r="Y50" s="27" t="e">
        <f t="shared" si="35"/>
        <v>#NAME?</v>
      </c>
    </row>
    <row r="51" spans="1:25" ht="16.5" customHeight="1" x14ac:dyDescent="0.25">
      <c r="A51" s="16" t="s">
        <v>122</v>
      </c>
      <c r="B51" s="16" t="s">
        <v>271</v>
      </c>
      <c r="C51" s="25">
        <f t="shared" si="18"/>
        <v>20</v>
      </c>
      <c r="D51" s="25" t="e">
        <f t="shared" si="19"/>
        <v>#NAME?</v>
      </c>
      <c r="E51" s="27" t="e">
        <f t="shared" si="20"/>
        <v>#NAME?</v>
      </c>
      <c r="F51" s="25"/>
      <c r="G51" s="25">
        <f t="shared" si="21"/>
        <v>0</v>
      </c>
      <c r="H51" s="25" t="e">
        <f t="shared" si="22"/>
        <v>#NAME?</v>
      </c>
      <c r="I51" s="27" t="e">
        <f t="shared" si="23"/>
        <v>#NAME?</v>
      </c>
      <c r="J51" s="25"/>
      <c r="K51" s="25">
        <f t="shared" si="24"/>
        <v>0</v>
      </c>
      <c r="L51" s="25" t="e">
        <f t="shared" si="25"/>
        <v>#NAME?</v>
      </c>
      <c r="M51" s="27" t="e">
        <f t="shared" si="26"/>
        <v>#NAME?</v>
      </c>
      <c r="N51" s="27"/>
      <c r="O51" s="26" t="str">
        <f t="shared" si="27"/>
        <v>Central</v>
      </c>
      <c r="P51" s="26" t="e">
        <f t="shared" si="28"/>
        <v>#NAME?</v>
      </c>
      <c r="Q51" s="27" t="e">
        <f t="shared" si="29"/>
        <v>#VALUE!</v>
      </c>
      <c r="R51" s="27"/>
      <c r="S51" s="26">
        <f t="shared" si="30"/>
        <v>130</v>
      </c>
      <c r="T51" s="26" t="e">
        <f t="shared" si="31"/>
        <v>#NAME?</v>
      </c>
      <c r="U51" s="27" t="e">
        <f t="shared" si="32"/>
        <v>#NAME?</v>
      </c>
      <c r="V51" s="27"/>
      <c r="W51" s="26">
        <f t="shared" si="33"/>
        <v>83</v>
      </c>
      <c r="X51" s="26" t="e">
        <f t="shared" si="34"/>
        <v>#NAME?</v>
      </c>
      <c r="Y51" s="27" t="e">
        <f t="shared" si="35"/>
        <v>#NAME?</v>
      </c>
    </row>
    <row r="52" spans="1:25" ht="16.5" customHeight="1" x14ac:dyDescent="0.25">
      <c r="A52" s="16" t="s">
        <v>124</v>
      </c>
      <c r="B52" s="16" t="s">
        <v>125</v>
      </c>
      <c r="C52" s="25">
        <f t="shared" si="18"/>
        <v>19</v>
      </c>
      <c r="D52" s="25" t="e">
        <f t="shared" si="19"/>
        <v>#NAME?</v>
      </c>
      <c r="E52" s="27" t="e">
        <f t="shared" si="20"/>
        <v>#NAME?</v>
      </c>
      <c r="F52" s="25"/>
      <c r="G52" s="25">
        <f t="shared" si="21"/>
        <v>0</v>
      </c>
      <c r="H52" s="25" t="e">
        <f t="shared" si="22"/>
        <v>#NAME?</v>
      </c>
      <c r="I52" s="27" t="e">
        <f t="shared" si="23"/>
        <v>#NAME?</v>
      </c>
      <c r="J52" s="25"/>
      <c r="K52" s="25">
        <f t="shared" si="24"/>
        <v>0</v>
      </c>
      <c r="L52" s="25" t="e">
        <f t="shared" si="25"/>
        <v>#NAME?</v>
      </c>
      <c r="M52" s="27" t="e">
        <f t="shared" si="26"/>
        <v>#NAME?</v>
      </c>
      <c r="N52" s="27"/>
      <c r="O52" s="26" t="str">
        <f t="shared" si="27"/>
        <v>Northern</v>
      </c>
      <c r="P52" s="26" t="e">
        <f t="shared" si="28"/>
        <v>#NAME?</v>
      </c>
      <c r="Q52" s="27" t="e">
        <f t="shared" si="29"/>
        <v>#VALUE!</v>
      </c>
      <c r="R52" s="27"/>
      <c r="S52" s="26">
        <f t="shared" si="30"/>
        <v>224</v>
      </c>
      <c r="T52" s="26" t="e">
        <f t="shared" si="31"/>
        <v>#NAME?</v>
      </c>
      <c r="U52" s="27" t="e">
        <f t="shared" si="32"/>
        <v>#NAME?</v>
      </c>
      <c r="V52" s="27"/>
      <c r="W52" s="26">
        <f t="shared" si="33"/>
        <v>171</v>
      </c>
      <c r="X52" s="26" t="e">
        <f t="shared" si="34"/>
        <v>#NAME?</v>
      </c>
      <c r="Y52" s="27" t="e">
        <f t="shared" si="35"/>
        <v>#NAME?</v>
      </c>
    </row>
    <row r="53" spans="1:25" ht="16.5" customHeight="1" x14ac:dyDescent="0.25">
      <c r="A53" s="16" t="s">
        <v>126</v>
      </c>
      <c r="B53" s="16" t="s">
        <v>127</v>
      </c>
      <c r="C53" s="25">
        <f t="shared" si="18"/>
        <v>9</v>
      </c>
      <c r="D53" s="25" t="e">
        <f t="shared" si="19"/>
        <v>#NAME?</v>
      </c>
      <c r="E53" s="27" t="e">
        <f t="shared" si="20"/>
        <v>#NAME?</v>
      </c>
      <c r="F53" s="25"/>
      <c r="G53" s="25">
        <f t="shared" si="21"/>
        <v>0</v>
      </c>
      <c r="H53" s="25" t="e">
        <f t="shared" si="22"/>
        <v>#NAME?</v>
      </c>
      <c r="I53" s="27" t="e">
        <f t="shared" si="23"/>
        <v>#NAME?</v>
      </c>
      <c r="J53" s="25"/>
      <c r="K53" s="25">
        <f t="shared" si="24"/>
        <v>0</v>
      </c>
      <c r="L53" s="25" t="e">
        <f t="shared" si="25"/>
        <v>#NAME?</v>
      </c>
      <c r="M53" s="27" t="e">
        <f t="shared" si="26"/>
        <v>#NAME?</v>
      </c>
      <c r="N53" s="27"/>
      <c r="O53" s="26" t="str">
        <f t="shared" si="27"/>
        <v>Central</v>
      </c>
      <c r="P53" s="26" t="e">
        <f t="shared" si="28"/>
        <v>#NAME?</v>
      </c>
      <c r="Q53" s="27" t="e">
        <f t="shared" si="29"/>
        <v>#VALUE!</v>
      </c>
      <c r="R53" s="27"/>
      <c r="S53" s="26">
        <f t="shared" si="30"/>
        <v>107</v>
      </c>
      <c r="T53" s="26" t="e">
        <f t="shared" si="31"/>
        <v>#NAME?</v>
      </c>
      <c r="U53" s="27" t="e">
        <f t="shared" si="32"/>
        <v>#NAME?</v>
      </c>
      <c r="V53" s="27"/>
      <c r="W53" s="26">
        <f t="shared" si="33"/>
        <v>76</v>
      </c>
      <c r="X53" s="26" t="e">
        <f t="shared" si="34"/>
        <v>#NAME?</v>
      </c>
      <c r="Y53" s="27" t="e">
        <f t="shared" si="35"/>
        <v>#NAME?</v>
      </c>
    </row>
    <row r="54" spans="1:25" ht="16.5" customHeight="1" x14ac:dyDescent="0.25">
      <c r="A54" s="16" t="s">
        <v>128</v>
      </c>
      <c r="B54" s="16" t="s">
        <v>129</v>
      </c>
      <c r="C54" s="25">
        <f t="shared" si="18"/>
        <v>12</v>
      </c>
      <c r="D54" s="25" t="e">
        <f t="shared" si="19"/>
        <v>#NAME?</v>
      </c>
      <c r="E54" s="27" t="e">
        <f t="shared" si="20"/>
        <v>#NAME?</v>
      </c>
      <c r="F54" s="25"/>
      <c r="G54" s="25">
        <f t="shared" si="21"/>
        <v>0</v>
      </c>
      <c r="H54" s="25" t="e">
        <f t="shared" si="22"/>
        <v>#NAME?</v>
      </c>
      <c r="I54" s="27" t="e">
        <f t="shared" si="23"/>
        <v>#NAME?</v>
      </c>
      <c r="J54" s="25"/>
      <c r="K54" s="25">
        <f t="shared" si="24"/>
        <v>0</v>
      </c>
      <c r="L54" s="25" t="e">
        <f t="shared" si="25"/>
        <v>#NAME?</v>
      </c>
      <c r="M54" s="27" t="e">
        <f t="shared" si="26"/>
        <v>#NAME?</v>
      </c>
      <c r="N54" s="27"/>
      <c r="O54" s="26" t="str">
        <f t="shared" si="27"/>
        <v>Central</v>
      </c>
      <c r="P54" s="26" t="e">
        <f t="shared" si="28"/>
        <v>#NAME?</v>
      </c>
      <c r="Q54" s="27" t="e">
        <f t="shared" si="29"/>
        <v>#VALUE!</v>
      </c>
      <c r="R54" s="27"/>
      <c r="S54" s="26">
        <f t="shared" si="30"/>
        <v>139</v>
      </c>
      <c r="T54" s="26" t="e">
        <f t="shared" si="31"/>
        <v>#NAME?</v>
      </c>
      <c r="U54" s="27" t="e">
        <f t="shared" si="32"/>
        <v>#NAME?</v>
      </c>
      <c r="V54" s="27"/>
      <c r="W54" s="26">
        <f t="shared" si="33"/>
        <v>95</v>
      </c>
      <c r="X54" s="26" t="e">
        <f t="shared" si="34"/>
        <v>#NAME?</v>
      </c>
      <c r="Y54" s="27" t="e">
        <f t="shared" si="35"/>
        <v>#NAME?</v>
      </c>
    </row>
    <row r="55" spans="1:25" ht="16.5" customHeight="1" x14ac:dyDescent="0.25">
      <c r="A55" s="16" t="s">
        <v>130</v>
      </c>
      <c r="B55" s="16" t="s">
        <v>131</v>
      </c>
      <c r="C55" s="25">
        <f t="shared" si="18"/>
        <v>95</v>
      </c>
      <c r="D55" s="25" t="e">
        <f t="shared" si="19"/>
        <v>#NAME?</v>
      </c>
      <c r="E55" s="27" t="e">
        <f t="shared" si="20"/>
        <v>#NAME?</v>
      </c>
      <c r="F55" s="25"/>
      <c r="G55" s="25">
        <f t="shared" si="21"/>
        <v>0</v>
      </c>
      <c r="H55" s="25" t="e">
        <f t="shared" si="22"/>
        <v>#NAME?</v>
      </c>
      <c r="I55" s="27" t="e">
        <f t="shared" si="23"/>
        <v>#NAME?</v>
      </c>
      <c r="J55" s="25"/>
      <c r="K55" s="25">
        <f t="shared" si="24"/>
        <v>0</v>
      </c>
      <c r="L55" s="25" t="e">
        <f t="shared" si="25"/>
        <v>#NAME?</v>
      </c>
      <c r="M55" s="27" t="e">
        <f t="shared" si="26"/>
        <v>#NAME?</v>
      </c>
      <c r="N55" s="27"/>
      <c r="O55" s="26" t="str">
        <f t="shared" si="27"/>
        <v>Western</v>
      </c>
      <c r="P55" s="26" t="e">
        <f t="shared" si="28"/>
        <v>#NAME?</v>
      </c>
      <c r="Q55" s="27" t="e">
        <f t="shared" si="29"/>
        <v>#VALUE!</v>
      </c>
      <c r="R55" s="27"/>
      <c r="S55" s="26">
        <f t="shared" si="30"/>
        <v>804</v>
      </c>
      <c r="T55" s="26" t="e">
        <f t="shared" si="31"/>
        <v>#NAME?</v>
      </c>
      <c r="U55" s="27" t="e">
        <f t="shared" si="32"/>
        <v>#NAME?</v>
      </c>
      <c r="V55" s="27"/>
      <c r="W55" s="26">
        <f t="shared" si="33"/>
        <v>535</v>
      </c>
      <c r="X55" s="26" t="e">
        <f t="shared" si="34"/>
        <v>#NAME?</v>
      </c>
      <c r="Y55" s="27" t="e">
        <f t="shared" si="35"/>
        <v>#NAME?</v>
      </c>
    </row>
    <row r="56" spans="1:25" ht="16.5" customHeight="1" x14ac:dyDescent="0.25">
      <c r="A56" s="16" t="s">
        <v>132</v>
      </c>
      <c r="B56" s="16" t="s">
        <v>133</v>
      </c>
      <c r="C56" s="25">
        <f t="shared" si="18"/>
        <v>172</v>
      </c>
      <c r="D56" s="25" t="e">
        <f t="shared" si="19"/>
        <v>#NAME?</v>
      </c>
      <c r="E56" s="27" t="e">
        <f t="shared" si="20"/>
        <v>#NAME?</v>
      </c>
      <c r="F56" s="25"/>
      <c r="G56" s="25">
        <f t="shared" si="21"/>
        <v>0</v>
      </c>
      <c r="H56" s="25" t="e">
        <f t="shared" si="22"/>
        <v>#NAME?</v>
      </c>
      <c r="I56" s="27" t="e">
        <f t="shared" si="23"/>
        <v>#NAME?</v>
      </c>
      <c r="J56" s="25"/>
      <c r="K56" s="25">
        <f t="shared" si="24"/>
        <v>0</v>
      </c>
      <c r="L56" s="25" t="e">
        <f t="shared" si="25"/>
        <v>#NAME?</v>
      </c>
      <c r="M56" s="27" t="e">
        <f t="shared" si="26"/>
        <v>#NAME?</v>
      </c>
      <c r="N56" s="27"/>
      <c r="O56" s="26" t="str">
        <f t="shared" si="27"/>
        <v>Northern</v>
      </c>
      <c r="P56" s="26" t="e">
        <f t="shared" si="28"/>
        <v>#NAME?</v>
      </c>
      <c r="Q56" s="27" t="e">
        <f t="shared" si="29"/>
        <v>#VALUE!</v>
      </c>
      <c r="R56" s="27"/>
      <c r="S56" s="26">
        <f t="shared" si="30"/>
        <v>1041</v>
      </c>
      <c r="T56" s="26" t="e">
        <f t="shared" si="31"/>
        <v>#NAME?</v>
      </c>
      <c r="U56" s="27" t="e">
        <f t="shared" si="32"/>
        <v>#NAME?</v>
      </c>
      <c r="V56" s="27"/>
      <c r="W56" s="26">
        <f t="shared" si="33"/>
        <v>657</v>
      </c>
      <c r="X56" s="26" t="e">
        <f t="shared" si="34"/>
        <v>#NAME?</v>
      </c>
      <c r="Y56" s="27" t="e">
        <f t="shared" si="35"/>
        <v>#NAME?</v>
      </c>
    </row>
    <row r="57" spans="1:25" ht="16.5" customHeight="1" x14ac:dyDescent="0.25">
      <c r="A57" s="16" t="s">
        <v>134</v>
      </c>
      <c r="B57" s="16" t="s">
        <v>135</v>
      </c>
      <c r="C57" s="25">
        <f t="shared" si="18"/>
        <v>27</v>
      </c>
      <c r="D57" s="25" t="e">
        <f t="shared" si="19"/>
        <v>#NAME?</v>
      </c>
      <c r="E57" s="27" t="e">
        <f t="shared" si="20"/>
        <v>#NAME?</v>
      </c>
      <c r="F57" s="25"/>
      <c r="G57" s="25">
        <f t="shared" si="21"/>
        <v>3</v>
      </c>
      <c r="H57" s="25" t="e">
        <f t="shared" si="22"/>
        <v>#NAME?</v>
      </c>
      <c r="I57" s="27" t="e">
        <f t="shared" si="23"/>
        <v>#NAME?</v>
      </c>
      <c r="J57" s="25"/>
      <c r="K57" s="25">
        <f t="shared" si="24"/>
        <v>0</v>
      </c>
      <c r="L57" s="25" t="e">
        <f t="shared" si="25"/>
        <v>#NAME?</v>
      </c>
      <c r="M57" s="27" t="e">
        <f t="shared" si="26"/>
        <v>#NAME?</v>
      </c>
      <c r="N57" s="27"/>
      <c r="O57" s="26" t="str">
        <f t="shared" si="27"/>
        <v>Northern</v>
      </c>
      <c r="P57" s="26" t="e">
        <f t="shared" si="28"/>
        <v>#NAME?</v>
      </c>
      <c r="Q57" s="27" t="e">
        <f t="shared" si="29"/>
        <v>#VALUE!</v>
      </c>
      <c r="R57" s="27"/>
      <c r="S57" s="26">
        <f t="shared" si="30"/>
        <v>299</v>
      </c>
      <c r="T57" s="26" t="e">
        <f t="shared" si="31"/>
        <v>#NAME?</v>
      </c>
      <c r="U57" s="27" t="e">
        <f t="shared" si="32"/>
        <v>#NAME?</v>
      </c>
      <c r="V57" s="27"/>
      <c r="W57" s="26">
        <f t="shared" si="33"/>
        <v>217</v>
      </c>
      <c r="X57" s="26" t="e">
        <f t="shared" si="34"/>
        <v>#NAME?</v>
      </c>
      <c r="Y57" s="27" t="e">
        <f t="shared" si="35"/>
        <v>#NAME?</v>
      </c>
    </row>
    <row r="58" spans="1:25" ht="16.5" customHeight="1" x14ac:dyDescent="0.25">
      <c r="A58" s="16" t="s">
        <v>136</v>
      </c>
      <c r="B58" s="16" t="s">
        <v>137</v>
      </c>
      <c r="C58" s="25">
        <f t="shared" si="18"/>
        <v>22</v>
      </c>
      <c r="D58" s="25" t="e">
        <f t="shared" si="19"/>
        <v>#NAME?</v>
      </c>
      <c r="E58" s="27" t="e">
        <f t="shared" si="20"/>
        <v>#NAME?</v>
      </c>
      <c r="F58" s="25"/>
      <c r="G58" s="25">
        <f t="shared" si="21"/>
        <v>0</v>
      </c>
      <c r="H58" s="25" t="e">
        <f t="shared" si="22"/>
        <v>#NAME?</v>
      </c>
      <c r="I58" s="27" t="e">
        <f t="shared" si="23"/>
        <v>#NAME?</v>
      </c>
      <c r="J58" s="25"/>
      <c r="K58" s="25">
        <f t="shared" si="24"/>
        <v>0</v>
      </c>
      <c r="L58" s="25" t="e">
        <f t="shared" si="25"/>
        <v>#NAME?</v>
      </c>
      <c r="M58" s="27" t="e">
        <f t="shared" si="26"/>
        <v>#NAME?</v>
      </c>
      <c r="N58" s="27"/>
      <c r="O58" s="26" t="str">
        <f t="shared" si="27"/>
        <v>Central</v>
      </c>
      <c r="P58" s="26" t="e">
        <f t="shared" si="28"/>
        <v>#NAME?</v>
      </c>
      <c r="Q58" s="27" t="e">
        <f t="shared" si="29"/>
        <v>#VALUE!</v>
      </c>
      <c r="R58" s="27"/>
      <c r="S58" s="26">
        <f t="shared" si="30"/>
        <v>154</v>
      </c>
      <c r="T58" s="26" t="e">
        <f t="shared" si="31"/>
        <v>#NAME?</v>
      </c>
      <c r="U58" s="27" t="e">
        <f t="shared" si="32"/>
        <v>#NAME?</v>
      </c>
      <c r="V58" s="27"/>
      <c r="W58" s="26">
        <f t="shared" si="33"/>
        <v>107</v>
      </c>
      <c r="X58" s="26" t="e">
        <f t="shared" si="34"/>
        <v>#NAME?</v>
      </c>
      <c r="Y58" s="27" t="e">
        <f t="shared" si="35"/>
        <v>#NAME?</v>
      </c>
    </row>
    <row r="59" spans="1:25" ht="16.5" customHeight="1" x14ac:dyDescent="0.25">
      <c r="A59" s="16" t="s">
        <v>140</v>
      </c>
      <c r="B59" s="16" t="s">
        <v>141</v>
      </c>
      <c r="C59" s="25">
        <f t="shared" si="18"/>
        <v>7</v>
      </c>
      <c r="D59" s="25" t="e">
        <f t="shared" si="19"/>
        <v>#NAME?</v>
      </c>
      <c r="E59" s="27" t="e">
        <f t="shared" si="20"/>
        <v>#NAME?</v>
      </c>
      <c r="F59" s="25"/>
      <c r="G59" s="25">
        <f t="shared" si="21"/>
        <v>0</v>
      </c>
      <c r="H59" s="25" t="e">
        <f t="shared" si="22"/>
        <v>#NAME?</v>
      </c>
      <c r="I59" s="27" t="e">
        <f t="shared" si="23"/>
        <v>#NAME?</v>
      </c>
      <c r="J59" s="25"/>
      <c r="K59" s="25">
        <f t="shared" si="24"/>
        <v>0</v>
      </c>
      <c r="L59" s="25" t="e">
        <f t="shared" si="25"/>
        <v>#NAME?</v>
      </c>
      <c r="M59" s="27" t="e">
        <f t="shared" si="26"/>
        <v>#NAME?</v>
      </c>
      <c r="N59" s="27"/>
      <c r="O59" s="26" t="str">
        <f t="shared" si="27"/>
        <v>Northern</v>
      </c>
      <c r="P59" s="26" t="e">
        <f t="shared" si="28"/>
        <v>#NAME?</v>
      </c>
      <c r="Q59" s="27" t="e">
        <f t="shared" si="29"/>
        <v>#VALUE!</v>
      </c>
      <c r="R59" s="27"/>
      <c r="S59" s="26">
        <f t="shared" si="30"/>
        <v>86</v>
      </c>
      <c r="T59" s="26" t="e">
        <f t="shared" si="31"/>
        <v>#NAME?</v>
      </c>
      <c r="U59" s="27" t="e">
        <f t="shared" si="32"/>
        <v>#NAME?</v>
      </c>
      <c r="V59" s="27"/>
      <c r="W59" s="26">
        <f t="shared" si="33"/>
        <v>60</v>
      </c>
      <c r="X59" s="26" t="e">
        <f t="shared" si="34"/>
        <v>#NAME?</v>
      </c>
      <c r="Y59" s="27" t="e">
        <f t="shared" si="35"/>
        <v>#NAME?</v>
      </c>
    </row>
    <row r="60" spans="1:25" ht="16.5" customHeight="1" x14ac:dyDescent="0.25">
      <c r="A60" s="16" t="s">
        <v>146</v>
      </c>
      <c r="B60" s="16" t="s">
        <v>147</v>
      </c>
      <c r="C60" s="25">
        <f t="shared" si="18"/>
        <v>10</v>
      </c>
      <c r="D60" s="25" t="e">
        <f t="shared" si="19"/>
        <v>#NAME?</v>
      </c>
      <c r="E60" s="27" t="e">
        <f t="shared" si="20"/>
        <v>#NAME?</v>
      </c>
      <c r="F60" s="25"/>
      <c r="G60" s="25">
        <f t="shared" si="21"/>
        <v>0</v>
      </c>
      <c r="H60" s="25" t="e">
        <f t="shared" si="22"/>
        <v>#NAME?</v>
      </c>
      <c r="I60" s="27" t="e">
        <f t="shared" si="23"/>
        <v>#NAME?</v>
      </c>
      <c r="J60" s="25"/>
      <c r="K60" s="25">
        <f t="shared" si="24"/>
        <v>0</v>
      </c>
      <c r="L60" s="25" t="e">
        <f t="shared" si="25"/>
        <v>#NAME?</v>
      </c>
      <c r="M60" s="27" t="e">
        <f t="shared" si="26"/>
        <v>#NAME?</v>
      </c>
      <c r="N60" s="27"/>
      <c r="O60" s="26" t="str">
        <f t="shared" si="27"/>
        <v>Eastern</v>
      </c>
      <c r="P60" s="26" t="e">
        <f t="shared" si="28"/>
        <v>#NAME?</v>
      </c>
      <c r="Q60" s="27" t="e">
        <f t="shared" si="29"/>
        <v>#VALUE!</v>
      </c>
      <c r="R60" s="27"/>
      <c r="S60" s="26">
        <f t="shared" si="30"/>
        <v>86</v>
      </c>
      <c r="T60" s="26" t="e">
        <f t="shared" si="31"/>
        <v>#NAME?</v>
      </c>
      <c r="U60" s="27" t="e">
        <f t="shared" si="32"/>
        <v>#NAME?</v>
      </c>
      <c r="V60" s="27"/>
      <c r="W60" s="26">
        <f t="shared" si="33"/>
        <v>59</v>
      </c>
      <c r="X60" s="26" t="e">
        <f t="shared" si="34"/>
        <v>#NAME?</v>
      </c>
      <c r="Y60" s="27" t="e">
        <f t="shared" si="35"/>
        <v>#NAME?</v>
      </c>
    </row>
    <row r="61" spans="1:25" ht="16.5" customHeight="1" x14ac:dyDescent="0.25">
      <c r="A61" s="16" t="s">
        <v>148</v>
      </c>
      <c r="B61" s="16" t="s">
        <v>149</v>
      </c>
      <c r="C61" s="25">
        <f t="shared" si="18"/>
        <v>26</v>
      </c>
      <c r="D61" s="25" t="e">
        <f t="shared" si="19"/>
        <v>#NAME?</v>
      </c>
      <c r="E61" s="27" t="e">
        <f t="shared" si="20"/>
        <v>#NAME?</v>
      </c>
      <c r="F61" s="25"/>
      <c r="G61" s="25">
        <f t="shared" si="21"/>
        <v>0</v>
      </c>
      <c r="H61" s="25" t="e">
        <f t="shared" si="22"/>
        <v>#NAME?</v>
      </c>
      <c r="I61" s="27" t="e">
        <f t="shared" si="23"/>
        <v>#NAME?</v>
      </c>
      <c r="J61" s="25"/>
      <c r="K61" s="25">
        <f t="shared" si="24"/>
        <v>0</v>
      </c>
      <c r="L61" s="25" t="e">
        <f t="shared" si="25"/>
        <v>#NAME?</v>
      </c>
      <c r="M61" s="27" t="e">
        <f t="shared" si="26"/>
        <v>#NAME?</v>
      </c>
      <c r="N61" s="27"/>
      <c r="O61" s="26" t="str">
        <f t="shared" si="27"/>
        <v>Piedmont</v>
      </c>
      <c r="P61" s="26" t="e">
        <f t="shared" si="28"/>
        <v>#NAME?</v>
      </c>
      <c r="Q61" s="27" t="e">
        <f t="shared" si="29"/>
        <v>#VALUE!</v>
      </c>
      <c r="R61" s="27"/>
      <c r="S61" s="26">
        <f t="shared" si="30"/>
        <v>401</v>
      </c>
      <c r="T61" s="26" t="e">
        <f t="shared" si="31"/>
        <v>#NAME?</v>
      </c>
      <c r="U61" s="27" t="e">
        <f t="shared" si="32"/>
        <v>#NAME?</v>
      </c>
      <c r="V61" s="27"/>
      <c r="W61" s="26">
        <f t="shared" si="33"/>
        <v>309</v>
      </c>
      <c r="X61" s="26" t="e">
        <f t="shared" si="34"/>
        <v>#NAME?</v>
      </c>
      <c r="Y61" s="27" t="e">
        <f t="shared" si="35"/>
        <v>#NAME?</v>
      </c>
    </row>
    <row r="62" spans="1:25" ht="16.5" customHeight="1" x14ac:dyDescent="0.25">
      <c r="A62" s="16" t="s">
        <v>150</v>
      </c>
      <c r="B62" s="16" t="s">
        <v>151</v>
      </c>
      <c r="C62" s="25">
        <f t="shared" si="18"/>
        <v>29</v>
      </c>
      <c r="D62" s="25" t="e">
        <f t="shared" si="19"/>
        <v>#NAME?</v>
      </c>
      <c r="E62" s="27" t="e">
        <f t="shared" si="20"/>
        <v>#NAME?</v>
      </c>
      <c r="F62" s="25"/>
      <c r="G62" s="25">
        <f t="shared" si="21"/>
        <v>0</v>
      </c>
      <c r="H62" s="25" t="e">
        <f t="shared" si="22"/>
        <v>#NAME?</v>
      </c>
      <c r="I62" s="27" t="e">
        <f t="shared" si="23"/>
        <v>#NAME?</v>
      </c>
      <c r="J62" s="25"/>
      <c r="K62" s="25">
        <f t="shared" si="24"/>
        <v>0</v>
      </c>
      <c r="L62" s="25" t="e">
        <f t="shared" si="25"/>
        <v>#NAME?</v>
      </c>
      <c r="M62" s="27" t="e">
        <f t="shared" si="26"/>
        <v>#NAME?</v>
      </c>
      <c r="N62" s="27"/>
      <c r="O62" s="26" t="str">
        <f t="shared" si="27"/>
        <v>Central</v>
      </c>
      <c r="P62" s="26" t="e">
        <f t="shared" si="28"/>
        <v>#NAME?</v>
      </c>
      <c r="Q62" s="27" t="e">
        <f t="shared" si="29"/>
        <v>#VALUE!</v>
      </c>
      <c r="R62" s="27"/>
      <c r="S62" s="26">
        <f t="shared" si="30"/>
        <v>211</v>
      </c>
      <c r="T62" s="26" t="e">
        <f t="shared" si="31"/>
        <v>#NAME?</v>
      </c>
      <c r="U62" s="27" t="e">
        <f t="shared" si="32"/>
        <v>#NAME?</v>
      </c>
      <c r="V62" s="27"/>
      <c r="W62" s="26">
        <f t="shared" si="33"/>
        <v>146</v>
      </c>
      <c r="X62" s="26" t="e">
        <f t="shared" si="34"/>
        <v>#NAME?</v>
      </c>
      <c r="Y62" s="27" t="e">
        <f t="shared" si="35"/>
        <v>#NAME?</v>
      </c>
    </row>
    <row r="63" spans="1:25" ht="16.5" customHeight="1" x14ac:dyDescent="0.25">
      <c r="A63" s="16" t="s">
        <v>152</v>
      </c>
      <c r="B63" s="16" t="s">
        <v>153</v>
      </c>
      <c r="C63" s="25">
        <f t="shared" si="18"/>
        <v>83</v>
      </c>
      <c r="D63" s="25" t="e">
        <f t="shared" si="19"/>
        <v>#NAME?</v>
      </c>
      <c r="E63" s="27" t="e">
        <f t="shared" si="20"/>
        <v>#NAME?</v>
      </c>
      <c r="F63" s="25"/>
      <c r="G63" s="25">
        <f t="shared" si="21"/>
        <v>1</v>
      </c>
      <c r="H63" s="25" t="e">
        <f t="shared" si="22"/>
        <v>#NAME?</v>
      </c>
      <c r="I63" s="27" t="e">
        <f t="shared" si="23"/>
        <v>#NAME?</v>
      </c>
      <c r="J63" s="25"/>
      <c r="K63" s="25">
        <f t="shared" si="24"/>
        <v>0</v>
      </c>
      <c r="L63" s="25" t="e">
        <f t="shared" si="25"/>
        <v>#NAME?</v>
      </c>
      <c r="M63" s="27" t="e">
        <f t="shared" si="26"/>
        <v>#NAME?</v>
      </c>
      <c r="N63" s="27"/>
      <c r="O63" s="26" t="str">
        <f t="shared" si="27"/>
        <v>Western</v>
      </c>
      <c r="P63" s="26" t="e">
        <f t="shared" si="28"/>
        <v>#NAME?</v>
      </c>
      <c r="Q63" s="27" t="e">
        <f t="shared" si="29"/>
        <v>#VALUE!</v>
      </c>
      <c r="R63" s="27"/>
      <c r="S63" s="26">
        <f t="shared" si="30"/>
        <v>889</v>
      </c>
      <c r="T63" s="26" t="e">
        <f t="shared" si="31"/>
        <v>#NAME?</v>
      </c>
      <c r="U63" s="27" t="e">
        <f t="shared" si="32"/>
        <v>#NAME?</v>
      </c>
      <c r="V63" s="27"/>
      <c r="W63" s="26">
        <f t="shared" si="33"/>
        <v>615</v>
      </c>
      <c r="X63" s="26" t="e">
        <f t="shared" si="34"/>
        <v>#NAME?</v>
      </c>
      <c r="Y63" s="27" t="e">
        <f t="shared" si="35"/>
        <v>#NAME?</v>
      </c>
    </row>
    <row r="64" spans="1:25" ht="16.5" customHeight="1" x14ac:dyDescent="0.25">
      <c r="A64" s="16" t="s">
        <v>154</v>
      </c>
      <c r="B64" s="16" t="s">
        <v>155</v>
      </c>
      <c r="C64" s="25">
        <f t="shared" si="18"/>
        <v>12</v>
      </c>
      <c r="D64" s="25" t="e">
        <f t="shared" si="19"/>
        <v>#NAME?</v>
      </c>
      <c r="E64" s="27" t="e">
        <f t="shared" si="20"/>
        <v>#NAME?</v>
      </c>
      <c r="F64" s="25"/>
      <c r="G64" s="25">
        <f t="shared" si="21"/>
        <v>2</v>
      </c>
      <c r="H64" s="25" t="e">
        <f t="shared" si="22"/>
        <v>#NAME?</v>
      </c>
      <c r="I64" s="27" t="e">
        <f t="shared" si="23"/>
        <v>#NAME?</v>
      </c>
      <c r="J64" s="25"/>
      <c r="K64" s="25">
        <f t="shared" si="24"/>
        <v>0</v>
      </c>
      <c r="L64" s="25" t="e">
        <f t="shared" si="25"/>
        <v>#NAME?</v>
      </c>
      <c r="M64" s="27" t="e">
        <f t="shared" si="26"/>
        <v>#NAME?</v>
      </c>
      <c r="N64" s="27"/>
      <c r="O64" s="26" t="str">
        <f t="shared" si="27"/>
        <v>Piedmont</v>
      </c>
      <c r="P64" s="26" t="e">
        <f t="shared" si="28"/>
        <v>#NAME?</v>
      </c>
      <c r="Q64" s="27" t="e">
        <f t="shared" si="29"/>
        <v>#VALUE!</v>
      </c>
      <c r="R64" s="27"/>
      <c r="S64" s="26">
        <f t="shared" si="30"/>
        <v>155</v>
      </c>
      <c r="T64" s="26" t="e">
        <f t="shared" si="31"/>
        <v>#NAME?</v>
      </c>
      <c r="U64" s="27" t="e">
        <f t="shared" si="32"/>
        <v>#NAME?</v>
      </c>
      <c r="V64" s="27"/>
      <c r="W64" s="26">
        <f t="shared" si="33"/>
        <v>112</v>
      </c>
      <c r="X64" s="26" t="e">
        <f t="shared" si="34"/>
        <v>#NAME?</v>
      </c>
      <c r="Y64" s="27" t="e">
        <f t="shared" si="35"/>
        <v>#NAME?</v>
      </c>
    </row>
    <row r="65" spans="1:25" ht="16.5" customHeight="1" x14ac:dyDescent="0.25">
      <c r="A65" s="16" t="s">
        <v>156</v>
      </c>
      <c r="B65" s="16" t="s">
        <v>157</v>
      </c>
      <c r="C65" s="25">
        <f t="shared" si="18"/>
        <v>17</v>
      </c>
      <c r="D65" s="25" t="e">
        <f t="shared" si="19"/>
        <v>#NAME?</v>
      </c>
      <c r="E65" s="27" t="e">
        <f t="shared" si="20"/>
        <v>#NAME?</v>
      </c>
      <c r="F65" s="25"/>
      <c r="G65" s="25">
        <f t="shared" si="21"/>
        <v>0</v>
      </c>
      <c r="H65" s="25" t="e">
        <f t="shared" si="22"/>
        <v>#NAME?</v>
      </c>
      <c r="I65" s="27" t="e">
        <f t="shared" si="23"/>
        <v>#NAME?</v>
      </c>
      <c r="J65" s="25"/>
      <c r="K65" s="25">
        <f t="shared" si="24"/>
        <v>0</v>
      </c>
      <c r="L65" s="25" t="e">
        <f t="shared" si="25"/>
        <v>#NAME?</v>
      </c>
      <c r="M65" s="27" t="e">
        <f t="shared" si="26"/>
        <v>#NAME?</v>
      </c>
      <c r="N65" s="27"/>
      <c r="O65" s="26" t="str">
        <f t="shared" si="27"/>
        <v>Central</v>
      </c>
      <c r="P65" s="26" t="e">
        <f t="shared" si="28"/>
        <v>#NAME?</v>
      </c>
      <c r="Q65" s="27" t="e">
        <f t="shared" si="29"/>
        <v>#VALUE!</v>
      </c>
      <c r="R65" s="27"/>
      <c r="S65" s="26">
        <f t="shared" si="30"/>
        <v>110</v>
      </c>
      <c r="T65" s="26" t="e">
        <f t="shared" si="31"/>
        <v>#NAME?</v>
      </c>
      <c r="U65" s="27" t="e">
        <f t="shared" si="32"/>
        <v>#NAME?</v>
      </c>
      <c r="V65" s="27"/>
      <c r="W65" s="26">
        <f t="shared" si="33"/>
        <v>81</v>
      </c>
      <c r="X65" s="26" t="e">
        <f t="shared" si="34"/>
        <v>#NAME?</v>
      </c>
      <c r="Y65" s="27" t="e">
        <f t="shared" si="35"/>
        <v>#NAME?</v>
      </c>
    </row>
    <row r="66" spans="1:25" ht="16.5" customHeight="1" x14ac:dyDescent="0.25">
      <c r="A66" s="16" t="s">
        <v>162</v>
      </c>
      <c r="B66" s="16" t="s">
        <v>163</v>
      </c>
      <c r="C66" s="25">
        <f t="shared" si="18"/>
        <v>17</v>
      </c>
      <c r="D66" s="25" t="e">
        <f t="shared" si="19"/>
        <v>#NAME?</v>
      </c>
      <c r="E66" s="27" t="e">
        <f t="shared" si="20"/>
        <v>#NAME?</v>
      </c>
      <c r="F66" s="25"/>
      <c r="G66" s="25">
        <f t="shared" si="21"/>
        <v>0</v>
      </c>
      <c r="H66" s="25" t="e">
        <f t="shared" si="22"/>
        <v>#NAME?</v>
      </c>
      <c r="I66" s="27" t="e">
        <f t="shared" si="23"/>
        <v>#NAME?</v>
      </c>
      <c r="J66" s="25"/>
      <c r="K66" s="25">
        <f t="shared" si="24"/>
        <v>0</v>
      </c>
      <c r="L66" s="25" t="e">
        <f t="shared" si="25"/>
        <v>#NAME?</v>
      </c>
      <c r="M66" s="27" t="e">
        <f t="shared" si="26"/>
        <v>#NAME?</v>
      </c>
      <c r="N66" s="27"/>
      <c r="O66" s="26" t="str">
        <f t="shared" si="27"/>
        <v>Eastern</v>
      </c>
      <c r="P66" s="26" t="e">
        <f t="shared" si="28"/>
        <v>#NAME?</v>
      </c>
      <c r="Q66" s="27" t="e">
        <f t="shared" si="29"/>
        <v>#VALUE!</v>
      </c>
      <c r="R66" s="27"/>
      <c r="S66" s="26">
        <f t="shared" si="30"/>
        <v>208</v>
      </c>
      <c r="T66" s="26" t="e">
        <f t="shared" si="31"/>
        <v>#NAME?</v>
      </c>
      <c r="U66" s="27" t="e">
        <f t="shared" si="32"/>
        <v>#NAME?</v>
      </c>
      <c r="V66" s="27"/>
      <c r="W66" s="26">
        <f t="shared" si="33"/>
        <v>143</v>
      </c>
      <c r="X66" s="26" t="e">
        <f t="shared" si="34"/>
        <v>#NAME?</v>
      </c>
      <c r="Y66" s="27" t="e">
        <f t="shared" si="35"/>
        <v>#NAME?</v>
      </c>
    </row>
    <row r="67" spans="1:25" ht="16.5" customHeight="1" x14ac:dyDescent="0.25">
      <c r="A67" s="16" t="s">
        <v>164</v>
      </c>
      <c r="B67" s="16" t="s">
        <v>165</v>
      </c>
      <c r="C67" s="25">
        <f t="shared" si="18"/>
        <v>7</v>
      </c>
      <c r="D67" s="25" t="e">
        <f t="shared" si="19"/>
        <v>#NAME?</v>
      </c>
      <c r="E67" s="27" t="e">
        <f t="shared" si="20"/>
        <v>#NAME?</v>
      </c>
      <c r="F67" s="25"/>
      <c r="G67" s="25">
        <f t="shared" si="21"/>
        <v>0</v>
      </c>
      <c r="H67" s="25" t="e">
        <f t="shared" si="22"/>
        <v>#NAME?</v>
      </c>
      <c r="I67" s="27" t="e">
        <f t="shared" si="23"/>
        <v>#NAME?</v>
      </c>
      <c r="J67" s="25"/>
      <c r="K67" s="25">
        <f t="shared" si="24"/>
        <v>0</v>
      </c>
      <c r="L67" s="25" t="e">
        <f t="shared" si="25"/>
        <v>#NAME?</v>
      </c>
      <c r="M67" s="27" t="e">
        <f t="shared" si="26"/>
        <v>#NAME?</v>
      </c>
      <c r="N67" s="27"/>
      <c r="O67" s="26" t="str">
        <f t="shared" si="27"/>
        <v>Central</v>
      </c>
      <c r="P67" s="26" t="e">
        <f t="shared" si="28"/>
        <v>#NAME?</v>
      </c>
      <c r="Q67" s="27" t="e">
        <f t="shared" si="29"/>
        <v>#VALUE!</v>
      </c>
      <c r="R67" s="27"/>
      <c r="S67" s="26">
        <f t="shared" si="30"/>
        <v>115</v>
      </c>
      <c r="T67" s="26" t="e">
        <f t="shared" si="31"/>
        <v>#NAME?</v>
      </c>
      <c r="U67" s="27" t="e">
        <f t="shared" si="32"/>
        <v>#NAME?</v>
      </c>
      <c r="V67" s="27"/>
      <c r="W67" s="26">
        <f t="shared" si="33"/>
        <v>84</v>
      </c>
      <c r="X67" s="26" t="e">
        <f t="shared" si="34"/>
        <v>#NAME?</v>
      </c>
      <c r="Y67" s="27" t="e">
        <f t="shared" si="35"/>
        <v>#NAME?</v>
      </c>
    </row>
    <row r="68" spans="1:25" ht="16.5" customHeight="1" x14ac:dyDescent="0.25">
      <c r="A68" s="16" t="s">
        <v>168</v>
      </c>
      <c r="B68" s="16" t="s">
        <v>169</v>
      </c>
      <c r="C68" s="25">
        <f t="shared" ref="C68:C99" si="36">VLOOKUP(A68,TANFClient_Demo,7,FALSE)</f>
        <v>23</v>
      </c>
      <c r="D68" s="25" t="e">
        <f t="shared" ref="D68:D99" si="37">VLOOKUP(A68,Pop,14,FALSE)</f>
        <v>#NAME?</v>
      </c>
      <c r="E68" s="27" t="e">
        <f t="shared" ref="E68:E99" si="38">+C68/D68</f>
        <v>#NAME?</v>
      </c>
      <c r="F68" s="25"/>
      <c r="G68" s="25">
        <f t="shared" ref="G68:G99" si="39">VLOOKUP(A68,TANFClient_Demo,8,FALSE)</f>
        <v>0</v>
      </c>
      <c r="H68" s="25" t="e">
        <f t="shared" ref="H68:H99" si="40">VLOOKUP(A68,Pop,15,FALSE)</f>
        <v>#NAME?</v>
      </c>
      <c r="I68" s="27" t="e">
        <f t="shared" ref="I68:I99" si="41">+G68/H68</f>
        <v>#NAME?</v>
      </c>
      <c r="J68" s="25"/>
      <c r="K68" s="25">
        <f t="shared" ref="K68:K99" si="42">VLOOKUP(A68,TANFClient_Demo,9,FALSE)</f>
        <v>0</v>
      </c>
      <c r="L68" s="25" t="e">
        <f t="shared" ref="L68:L99" si="43">VLOOKUP(A68,Pop,16,FALSE)</f>
        <v>#NAME?</v>
      </c>
      <c r="M68" s="27" t="e">
        <f t="shared" ref="M68:M99" si="44">+K68/L68</f>
        <v>#NAME?</v>
      </c>
      <c r="N68" s="27"/>
      <c r="O68" s="26" t="str">
        <f t="shared" ref="O68:O99" si="45">VLOOKUP(A68,TANFClient_Demo,3,FALSE)</f>
        <v>Central</v>
      </c>
      <c r="P68" s="26" t="e">
        <f t="shared" ref="P68:P99" si="46">VLOOKUP(A68,Pop,8,FALSE)</f>
        <v>#NAME?</v>
      </c>
      <c r="Q68" s="27" t="e">
        <f t="shared" ref="Q68:Q99" si="47">+O68/P68</f>
        <v>#VALUE!</v>
      </c>
      <c r="R68" s="27"/>
      <c r="S68" s="26">
        <f t="shared" ref="S68:S99" si="48">VLOOKUP(A68,TANFClient_Demo,4,FALSE)</f>
        <v>275</v>
      </c>
      <c r="T68" s="26" t="e">
        <f t="shared" ref="T68:T99" si="49">VLOOKUP(A68,Pop,9,FALSE)</f>
        <v>#NAME?</v>
      </c>
      <c r="U68" s="27" t="e">
        <f t="shared" ref="U68:U99" si="50">+S68/T68</f>
        <v>#NAME?</v>
      </c>
      <c r="V68" s="27"/>
      <c r="W68" s="26">
        <f t="shared" ref="W68:W99" si="51">VLOOKUP(A68,TANFClient_Demo,5,FALSE)</f>
        <v>186</v>
      </c>
      <c r="X68" s="26" t="e">
        <f t="shared" ref="X68:X99" si="52">VLOOKUP(A68,Pop,10,FALSE)</f>
        <v>#NAME?</v>
      </c>
      <c r="Y68" s="27" t="e">
        <f t="shared" ref="Y68:Y99" si="53">+W68/X68</f>
        <v>#NAME?</v>
      </c>
    </row>
    <row r="69" spans="1:25" ht="16.5" customHeight="1" x14ac:dyDescent="0.25">
      <c r="A69" s="16" t="s">
        <v>170</v>
      </c>
      <c r="B69" s="16" t="s">
        <v>171</v>
      </c>
      <c r="C69" s="25">
        <f t="shared" si="36"/>
        <v>24</v>
      </c>
      <c r="D69" s="25" t="e">
        <f t="shared" si="37"/>
        <v>#NAME?</v>
      </c>
      <c r="E69" s="27" t="e">
        <f t="shared" si="38"/>
        <v>#NAME?</v>
      </c>
      <c r="F69" s="25"/>
      <c r="G69" s="25">
        <f t="shared" si="39"/>
        <v>0</v>
      </c>
      <c r="H69" s="25" t="e">
        <f t="shared" si="40"/>
        <v>#NAME?</v>
      </c>
      <c r="I69" s="27" t="e">
        <f t="shared" si="41"/>
        <v>#NAME?</v>
      </c>
      <c r="J69" s="25"/>
      <c r="K69" s="25">
        <f t="shared" si="42"/>
        <v>0</v>
      </c>
      <c r="L69" s="25" t="e">
        <f t="shared" si="43"/>
        <v>#NAME?</v>
      </c>
      <c r="M69" s="27" t="e">
        <f t="shared" si="44"/>
        <v>#NAME?</v>
      </c>
      <c r="N69" s="27"/>
      <c r="O69" s="26" t="str">
        <f t="shared" si="45"/>
        <v>Northern</v>
      </c>
      <c r="P69" s="26" t="e">
        <f t="shared" si="46"/>
        <v>#NAME?</v>
      </c>
      <c r="Q69" s="27" t="e">
        <f t="shared" si="47"/>
        <v>#VALUE!</v>
      </c>
      <c r="R69" s="27"/>
      <c r="S69" s="26">
        <f t="shared" si="48"/>
        <v>301</v>
      </c>
      <c r="T69" s="26" t="e">
        <f t="shared" si="49"/>
        <v>#NAME?</v>
      </c>
      <c r="U69" s="27" t="e">
        <f t="shared" si="50"/>
        <v>#NAME?</v>
      </c>
      <c r="V69" s="27"/>
      <c r="W69" s="26">
        <f t="shared" si="51"/>
        <v>211</v>
      </c>
      <c r="X69" s="26" t="e">
        <f t="shared" si="52"/>
        <v>#NAME?</v>
      </c>
      <c r="Y69" s="27" t="e">
        <f t="shared" si="53"/>
        <v>#NAME?</v>
      </c>
    </row>
    <row r="70" spans="1:25" ht="16.5" customHeight="1" x14ac:dyDescent="0.25">
      <c r="A70" s="16" t="s">
        <v>172</v>
      </c>
      <c r="B70" s="16" t="s">
        <v>173</v>
      </c>
      <c r="C70" s="25">
        <f t="shared" si="36"/>
        <v>15</v>
      </c>
      <c r="D70" s="25" t="e">
        <f t="shared" si="37"/>
        <v>#NAME?</v>
      </c>
      <c r="E70" s="27" t="e">
        <f t="shared" si="38"/>
        <v>#NAME?</v>
      </c>
      <c r="F70" s="25"/>
      <c r="G70" s="25">
        <f t="shared" si="39"/>
        <v>1</v>
      </c>
      <c r="H70" s="25" t="e">
        <f t="shared" si="40"/>
        <v>#NAME?</v>
      </c>
      <c r="I70" s="27" t="e">
        <f t="shared" si="41"/>
        <v>#NAME?</v>
      </c>
      <c r="J70" s="25"/>
      <c r="K70" s="25">
        <f t="shared" si="42"/>
        <v>0</v>
      </c>
      <c r="L70" s="25" t="e">
        <f t="shared" si="43"/>
        <v>#NAME?</v>
      </c>
      <c r="M70" s="27" t="e">
        <f t="shared" si="44"/>
        <v>#NAME?</v>
      </c>
      <c r="N70" s="27"/>
      <c r="O70" s="26" t="str">
        <f t="shared" si="45"/>
        <v>Northern</v>
      </c>
      <c r="P70" s="26" t="e">
        <f t="shared" si="46"/>
        <v>#NAME?</v>
      </c>
      <c r="Q70" s="27" t="e">
        <f t="shared" si="47"/>
        <v>#VALUE!</v>
      </c>
      <c r="R70" s="27"/>
      <c r="S70" s="26">
        <f t="shared" si="48"/>
        <v>178</v>
      </c>
      <c r="T70" s="26" t="e">
        <f t="shared" si="49"/>
        <v>#NAME?</v>
      </c>
      <c r="U70" s="27" t="e">
        <f t="shared" si="50"/>
        <v>#NAME?</v>
      </c>
      <c r="V70" s="27"/>
      <c r="W70" s="26">
        <f t="shared" si="51"/>
        <v>130</v>
      </c>
      <c r="X70" s="26" t="e">
        <f t="shared" si="52"/>
        <v>#NAME?</v>
      </c>
      <c r="Y70" s="27" t="e">
        <f t="shared" si="53"/>
        <v>#NAME?</v>
      </c>
    </row>
    <row r="71" spans="1:25" ht="16.5" customHeight="1" x14ac:dyDescent="0.25">
      <c r="A71" s="16" t="s">
        <v>174</v>
      </c>
      <c r="B71" s="16" t="s">
        <v>175</v>
      </c>
      <c r="C71" s="25">
        <f t="shared" si="36"/>
        <v>32</v>
      </c>
      <c r="D71" s="25" t="e">
        <f t="shared" si="37"/>
        <v>#NAME?</v>
      </c>
      <c r="E71" s="27" t="e">
        <f t="shared" si="38"/>
        <v>#NAME?</v>
      </c>
      <c r="F71" s="25"/>
      <c r="G71" s="25">
        <f t="shared" si="39"/>
        <v>0</v>
      </c>
      <c r="H71" s="25" t="e">
        <f t="shared" si="40"/>
        <v>#NAME?</v>
      </c>
      <c r="I71" s="27" t="e">
        <f t="shared" si="41"/>
        <v>#NAME?</v>
      </c>
      <c r="J71" s="25"/>
      <c r="K71" s="25">
        <f t="shared" si="42"/>
        <v>0</v>
      </c>
      <c r="L71" s="25" t="e">
        <f t="shared" si="43"/>
        <v>#NAME?</v>
      </c>
      <c r="M71" s="27" t="e">
        <f t="shared" si="44"/>
        <v>#NAME?</v>
      </c>
      <c r="N71" s="27"/>
      <c r="O71" s="26" t="str">
        <f t="shared" si="45"/>
        <v>Western</v>
      </c>
      <c r="P71" s="26" t="e">
        <f t="shared" si="46"/>
        <v>#NAME?</v>
      </c>
      <c r="Q71" s="27" t="e">
        <f t="shared" si="47"/>
        <v>#VALUE!</v>
      </c>
      <c r="R71" s="27"/>
      <c r="S71" s="26">
        <f t="shared" si="48"/>
        <v>315</v>
      </c>
      <c r="T71" s="26" t="e">
        <f t="shared" si="49"/>
        <v>#NAME?</v>
      </c>
      <c r="U71" s="27" t="e">
        <f t="shared" si="50"/>
        <v>#NAME?</v>
      </c>
      <c r="V71" s="27"/>
      <c r="W71" s="26">
        <f t="shared" si="51"/>
        <v>205</v>
      </c>
      <c r="X71" s="26" t="e">
        <f t="shared" si="52"/>
        <v>#NAME?</v>
      </c>
      <c r="Y71" s="27" t="e">
        <f t="shared" si="53"/>
        <v>#NAME?</v>
      </c>
    </row>
    <row r="72" spans="1:25" ht="16.5" customHeight="1" x14ac:dyDescent="0.25">
      <c r="A72" s="16" t="s">
        <v>178</v>
      </c>
      <c r="B72" s="16" t="s">
        <v>179</v>
      </c>
      <c r="C72" s="25">
        <f t="shared" si="36"/>
        <v>53</v>
      </c>
      <c r="D72" s="25" t="e">
        <f t="shared" si="37"/>
        <v>#NAME?</v>
      </c>
      <c r="E72" s="27" t="e">
        <f t="shared" si="38"/>
        <v>#NAME?</v>
      </c>
      <c r="F72" s="25"/>
      <c r="G72" s="25">
        <f t="shared" si="39"/>
        <v>0</v>
      </c>
      <c r="H72" s="25" t="e">
        <f t="shared" si="40"/>
        <v>#NAME?</v>
      </c>
      <c r="I72" s="27" t="e">
        <f t="shared" si="41"/>
        <v>#NAME?</v>
      </c>
      <c r="J72" s="25"/>
      <c r="K72" s="25">
        <f t="shared" si="42"/>
        <v>0</v>
      </c>
      <c r="L72" s="25" t="e">
        <f t="shared" si="43"/>
        <v>#NAME?</v>
      </c>
      <c r="M72" s="27" t="e">
        <f t="shared" si="44"/>
        <v>#NAME?</v>
      </c>
      <c r="N72" s="27"/>
      <c r="O72" s="26" t="str">
        <f t="shared" si="45"/>
        <v>Piedmont</v>
      </c>
      <c r="P72" s="26" t="e">
        <f t="shared" si="46"/>
        <v>#NAME?</v>
      </c>
      <c r="Q72" s="27" t="e">
        <f t="shared" si="47"/>
        <v>#VALUE!</v>
      </c>
      <c r="R72" s="27"/>
      <c r="S72" s="26">
        <f t="shared" si="48"/>
        <v>580</v>
      </c>
      <c r="T72" s="26" t="e">
        <f t="shared" si="49"/>
        <v>#NAME?</v>
      </c>
      <c r="U72" s="27" t="e">
        <f t="shared" si="50"/>
        <v>#NAME?</v>
      </c>
      <c r="V72" s="27"/>
      <c r="W72" s="26">
        <f t="shared" si="51"/>
        <v>429</v>
      </c>
      <c r="X72" s="26" t="e">
        <f t="shared" si="52"/>
        <v>#NAME?</v>
      </c>
      <c r="Y72" s="27" t="e">
        <f t="shared" si="53"/>
        <v>#NAME?</v>
      </c>
    </row>
    <row r="73" spans="1:25" ht="16.5" customHeight="1" x14ac:dyDescent="0.25">
      <c r="A73" s="16" t="s">
        <v>182</v>
      </c>
      <c r="B73" s="16" t="s">
        <v>183</v>
      </c>
      <c r="C73" s="25">
        <f t="shared" si="36"/>
        <v>14</v>
      </c>
      <c r="D73" s="25" t="e">
        <f t="shared" si="37"/>
        <v>#NAME?</v>
      </c>
      <c r="E73" s="27" t="e">
        <f t="shared" si="38"/>
        <v>#NAME?</v>
      </c>
      <c r="F73" s="25"/>
      <c r="G73" s="25">
        <f t="shared" si="39"/>
        <v>0</v>
      </c>
      <c r="H73" s="25" t="e">
        <f t="shared" si="40"/>
        <v>#NAME?</v>
      </c>
      <c r="I73" s="27" t="e">
        <f t="shared" si="41"/>
        <v>#NAME?</v>
      </c>
      <c r="J73" s="25"/>
      <c r="K73" s="25">
        <f t="shared" si="42"/>
        <v>0</v>
      </c>
      <c r="L73" s="25" t="e">
        <f t="shared" si="43"/>
        <v>#NAME?</v>
      </c>
      <c r="M73" s="27" t="e">
        <f t="shared" si="44"/>
        <v>#NAME?</v>
      </c>
      <c r="N73" s="27"/>
      <c r="O73" s="26" t="str">
        <f t="shared" si="45"/>
        <v>Central</v>
      </c>
      <c r="P73" s="26" t="e">
        <f t="shared" si="46"/>
        <v>#NAME?</v>
      </c>
      <c r="Q73" s="27" t="e">
        <f t="shared" si="47"/>
        <v>#VALUE!</v>
      </c>
      <c r="R73" s="27"/>
      <c r="S73" s="26">
        <f t="shared" si="48"/>
        <v>108</v>
      </c>
      <c r="T73" s="26" t="e">
        <f t="shared" si="49"/>
        <v>#NAME?</v>
      </c>
      <c r="U73" s="27" t="e">
        <f t="shared" si="50"/>
        <v>#NAME?</v>
      </c>
      <c r="V73" s="27"/>
      <c r="W73" s="26">
        <f t="shared" si="51"/>
        <v>76</v>
      </c>
      <c r="X73" s="26" t="e">
        <f t="shared" si="52"/>
        <v>#NAME?</v>
      </c>
      <c r="Y73" s="27" t="e">
        <f t="shared" si="53"/>
        <v>#NAME?</v>
      </c>
    </row>
    <row r="74" spans="1:25" ht="16.5" customHeight="1" x14ac:dyDescent="0.25">
      <c r="A74" s="16" t="s">
        <v>184</v>
      </c>
      <c r="B74" s="16" t="s">
        <v>185</v>
      </c>
      <c r="C74" s="25">
        <f t="shared" si="36"/>
        <v>32</v>
      </c>
      <c r="D74" s="25" t="e">
        <f t="shared" si="37"/>
        <v>#NAME?</v>
      </c>
      <c r="E74" s="27" t="e">
        <f t="shared" si="38"/>
        <v>#NAME?</v>
      </c>
      <c r="F74" s="25"/>
      <c r="G74" s="25">
        <f t="shared" si="39"/>
        <v>0</v>
      </c>
      <c r="H74" s="25" t="e">
        <f t="shared" si="40"/>
        <v>#NAME?</v>
      </c>
      <c r="I74" s="27" t="e">
        <f t="shared" si="41"/>
        <v>#NAME?</v>
      </c>
      <c r="J74" s="25"/>
      <c r="K74" s="25">
        <f t="shared" si="42"/>
        <v>0</v>
      </c>
      <c r="L74" s="25" t="e">
        <f t="shared" si="43"/>
        <v>#NAME?</v>
      </c>
      <c r="M74" s="27" t="e">
        <f t="shared" si="44"/>
        <v>#NAME?</v>
      </c>
      <c r="N74" s="27"/>
      <c r="O74" s="26" t="str">
        <f t="shared" si="45"/>
        <v>Central</v>
      </c>
      <c r="P74" s="26" t="e">
        <f t="shared" si="46"/>
        <v>#NAME?</v>
      </c>
      <c r="Q74" s="27" t="e">
        <f t="shared" si="47"/>
        <v>#VALUE!</v>
      </c>
      <c r="R74" s="27"/>
      <c r="S74" s="26">
        <f t="shared" si="48"/>
        <v>356</v>
      </c>
      <c r="T74" s="26" t="e">
        <f t="shared" si="49"/>
        <v>#NAME?</v>
      </c>
      <c r="U74" s="27" t="e">
        <f t="shared" si="50"/>
        <v>#NAME?</v>
      </c>
      <c r="V74" s="27"/>
      <c r="W74" s="26">
        <f t="shared" si="51"/>
        <v>247</v>
      </c>
      <c r="X74" s="26" t="e">
        <f t="shared" si="52"/>
        <v>#NAME?</v>
      </c>
      <c r="Y74" s="27" t="e">
        <f t="shared" si="53"/>
        <v>#NAME?</v>
      </c>
    </row>
    <row r="75" spans="1:25" ht="16.5" customHeight="1" x14ac:dyDescent="0.25">
      <c r="A75" s="16" t="s">
        <v>186</v>
      </c>
      <c r="B75" s="16" t="s">
        <v>187</v>
      </c>
      <c r="C75" s="25">
        <f t="shared" si="36"/>
        <v>21</v>
      </c>
      <c r="D75" s="25" t="e">
        <f t="shared" si="37"/>
        <v>#NAME?</v>
      </c>
      <c r="E75" s="27" t="e">
        <f t="shared" si="38"/>
        <v>#NAME?</v>
      </c>
      <c r="F75" s="25"/>
      <c r="G75" s="25">
        <f t="shared" si="39"/>
        <v>0</v>
      </c>
      <c r="H75" s="25" t="e">
        <f t="shared" si="40"/>
        <v>#NAME?</v>
      </c>
      <c r="I75" s="27" t="e">
        <f t="shared" si="41"/>
        <v>#NAME?</v>
      </c>
      <c r="J75" s="25"/>
      <c r="K75" s="25">
        <f t="shared" si="42"/>
        <v>0</v>
      </c>
      <c r="L75" s="25" t="e">
        <f t="shared" si="43"/>
        <v>#NAME?</v>
      </c>
      <c r="M75" s="27" t="e">
        <f t="shared" si="44"/>
        <v>#NAME?</v>
      </c>
      <c r="N75" s="27"/>
      <c r="O75" s="26" t="str">
        <f t="shared" si="45"/>
        <v>Eastern</v>
      </c>
      <c r="P75" s="26" t="e">
        <f t="shared" si="46"/>
        <v>#NAME?</v>
      </c>
      <c r="Q75" s="27" t="e">
        <f t="shared" si="47"/>
        <v>#VALUE!</v>
      </c>
      <c r="R75" s="27"/>
      <c r="S75" s="26">
        <f t="shared" si="48"/>
        <v>282</v>
      </c>
      <c r="T75" s="26" t="e">
        <f t="shared" si="49"/>
        <v>#NAME?</v>
      </c>
      <c r="U75" s="27" t="e">
        <f t="shared" si="50"/>
        <v>#NAME?</v>
      </c>
      <c r="V75" s="27"/>
      <c r="W75" s="26">
        <f t="shared" si="51"/>
        <v>188</v>
      </c>
      <c r="X75" s="26" t="e">
        <f t="shared" si="52"/>
        <v>#NAME?</v>
      </c>
      <c r="Y75" s="27" t="e">
        <f t="shared" si="53"/>
        <v>#NAME?</v>
      </c>
    </row>
    <row r="76" spans="1:25" ht="16.5" customHeight="1" x14ac:dyDescent="0.25">
      <c r="A76" s="16" t="s">
        <v>188</v>
      </c>
      <c r="B76" s="16" t="s">
        <v>189</v>
      </c>
      <c r="C76" s="25">
        <f t="shared" si="36"/>
        <v>431</v>
      </c>
      <c r="D76" s="25" t="e">
        <f t="shared" si="37"/>
        <v>#NAME?</v>
      </c>
      <c r="E76" s="27" t="e">
        <f t="shared" si="38"/>
        <v>#NAME?</v>
      </c>
      <c r="F76" s="25"/>
      <c r="G76" s="25">
        <f t="shared" si="39"/>
        <v>4</v>
      </c>
      <c r="H76" s="25" t="e">
        <f t="shared" si="40"/>
        <v>#NAME?</v>
      </c>
      <c r="I76" s="27" t="e">
        <f t="shared" si="41"/>
        <v>#NAME?</v>
      </c>
      <c r="J76" s="25"/>
      <c r="K76" s="25">
        <f t="shared" si="42"/>
        <v>0</v>
      </c>
      <c r="L76" s="25" t="e">
        <f t="shared" si="43"/>
        <v>#NAME?</v>
      </c>
      <c r="M76" s="27" t="e">
        <f t="shared" si="44"/>
        <v>#NAME?</v>
      </c>
      <c r="N76" s="27"/>
      <c r="O76" s="26" t="str">
        <f t="shared" si="45"/>
        <v>Northern</v>
      </c>
      <c r="P76" s="26" t="e">
        <f t="shared" si="46"/>
        <v>#NAME?</v>
      </c>
      <c r="Q76" s="27" t="e">
        <f t="shared" si="47"/>
        <v>#VALUE!</v>
      </c>
      <c r="R76" s="27"/>
      <c r="S76" s="26">
        <f t="shared" si="48"/>
        <v>3600</v>
      </c>
      <c r="T76" s="26" t="e">
        <f t="shared" si="49"/>
        <v>#NAME?</v>
      </c>
      <c r="U76" s="27" t="e">
        <f t="shared" si="50"/>
        <v>#NAME?</v>
      </c>
      <c r="V76" s="27"/>
      <c r="W76" s="26">
        <f t="shared" si="51"/>
        <v>2411</v>
      </c>
      <c r="X76" s="26" t="e">
        <f t="shared" si="52"/>
        <v>#NAME?</v>
      </c>
      <c r="Y76" s="27" t="e">
        <f t="shared" si="53"/>
        <v>#NAME?</v>
      </c>
    </row>
    <row r="77" spans="1:25" ht="16.5" customHeight="1" x14ac:dyDescent="0.25">
      <c r="A77" s="16" t="s">
        <v>190</v>
      </c>
      <c r="B77" s="16" t="s">
        <v>191</v>
      </c>
      <c r="C77" s="25">
        <f t="shared" si="36"/>
        <v>35</v>
      </c>
      <c r="D77" s="25" t="e">
        <f t="shared" si="37"/>
        <v>#NAME?</v>
      </c>
      <c r="E77" s="27" t="e">
        <f t="shared" si="38"/>
        <v>#NAME?</v>
      </c>
      <c r="F77" s="25"/>
      <c r="G77" s="25">
        <f t="shared" si="39"/>
        <v>0</v>
      </c>
      <c r="H77" s="25" t="e">
        <f t="shared" si="40"/>
        <v>#NAME?</v>
      </c>
      <c r="I77" s="27" t="e">
        <f t="shared" si="41"/>
        <v>#NAME?</v>
      </c>
      <c r="J77" s="25"/>
      <c r="K77" s="25">
        <f t="shared" si="42"/>
        <v>0</v>
      </c>
      <c r="L77" s="25" t="e">
        <f t="shared" si="43"/>
        <v>#NAME?</v>
      </c>
      <c r="M77" s="27" t="e">
        <f t="shared" si="44"/>
        <v>#NAME?</v>
      </c>
      <c r="N77" s="27"/>
      <c r="O77" s="26" t="str">
        <f t="shared" si="45"/>
        <v>Western</v>
      </c>
      <c r="P77" s="26" t="e">
        <f t="shared" si="46"/>
        <v>#NAME?</v>
      </c>
      <c r="Q77" s="27" t="e">
        <f t="shared" si="47"/>
        <v>#VALUE!</v>
      </c>
      <c r="R77" s="27"/>
      <c r="S77" s="26">
        <f t="shared" si="48"/>
        <v>423</v>
      </c>
      <c r="T77" s="26" t="e">
        <f t="shared" si="49"/>
        <v>#NAME?</v>
      </c>
      <c r="U77" s="27" t="e">
        <f t="shared" si="50"/>
        <v>#NAME?</v>
      </c>
      <c r="V77" s="27"/>
      <c r="W77" s="26">
        <f t="shared" si="51"/>
        <v>310</v>
      </c>
      <c r="X77" s="26" t="e">
        <f t="shared" si="52"/>
        <v>#NAME?</v>
      </c>
      <c r="Y77" s="27" t="e">
        <f t="shared" si="53"/>
        <v>#NAME?</v>
      </c>
    </row>
    <row r="78" spans="1:25" ht="16.5" customHeight="1" x14ac:dyDescent="0.25">
      <c r="A78" s="16" t="s">
        <v>194</v>
      </c>
      <c r="B78" s="16" t="s">
        <v>195</v>
      </c>
      <c r="C78" s="25">
        <f t="shared" si="36"/>
        <v>2</v>
      </c>
      <c r="D78" s="25" t="e">
        <f t="shared" si="37"/>
        <v>#NAME?</v>
      </c>
      <c r="E78" s="27" t="e">
        <f t="shared" si="38"/>
        <v>#NAME?</v>
      </c>
      <c r="F78" s="25"/>
      <c r="G78" s="25">
        <f t="shared" si="39"/>
        <v>0</v>
      </c>
      <c r="H78" s="25" t="e">
        <f t="shared" si="40"/>
        <v>#NAME?</v>
      </c>
      <c r="I78" s="27" t="e">
        <f t="shared" si="41"/>
        <v>#NAME?</v>
      </c>
      <c r="J78" s="25"/>
      <c r="K78" s="25">
        <f t="shared" si="42"/>
        <v>0</v>
      </c>
      <c r="L78" s="25" t="e">
        <f t="shared" si="43"/>
        <v>#NAME?</v>
      </c>
      <c r="M78" s="27" t="e">
        <f t="shared" si="44"/>
        <v>#NAME?</v>
      </c>
      <c r="N78" s="27"/>
      <c r="O78" s="26" t="str">
        <f t="shared" si="45"/>
        <v>Northern</v>
      </c>
      <c r="P78" s="26" t="e">
        <f t="shared" si="46"/>
        <v>#NAME?</v>
      </c>
      <c r="Q78" s="27" t="e">
        <f t="shared" si="47"/>
        <v>#VALUE!</v>
      </c>
      <c r="R78" s="27"/>
      <c r="S78" s="26">
        <f t="shared" si="48"/>
        <v>19</v>
      </c>
      <c r="T78" s="26" t="e">
        <f t="shared" si="49"/>
        <v>#NAME?</v>
      </c>
      <c r="U78" s="27" t="e">
        <f t="shared" si="50"/>
        <v>#NAME?</v>
      </c>
      <c r="V78" s="27"/>
      <c r="W78" s="26">
        <f t="shared" si="51"/>
        <v>13</v>
      </c>
      <c r="X78" s="26" t="e">
        <f t="shared" si="52"/>
        <v>#NAME?</v>
      </c>
      <c r="Y78" s="27" t="e">
        <f t="shared" si="53"/>
        <v>#NAME?</v>
      </c>
    </row>
    <row r="79" spans="1:25" ht="16.5" customHeight="1" x14ac:dyDescent="0.25">
      <c r="A79" s="16" t="s">
        <v>198</v>
      </c>
      <c r="B79" s="16" t="s">
        <v>199</v>
      </c>
      <c r="C79" s="25">
        <f t="shared" si="36"/>
        <v>10</v>
      </c>
      <c r="D79" s="25" t="e">
        <f t="shared" si="37"/>
        <v>#NAME?</v>
      </c>
      <c r="E79" s="27" t="e">
        <f t="shared" si="38"/>
        <v>#NAME?</v>
      </c>
      <c r="F79" s="25"/>
      <c r="G79" s="25">
        <f t="shared" si="39"/>
        <v>0</v>
      </c>
      <c r="H79" s="25" t="e">
        <f t="shared" si="40"/>
        <v>#NAME?</v>
      </c>
      <c r="I79" s="27" t="e">
        <f t="shared" si="41"/>
        <v>#NAME?</v>
      </c>
      <c r="J79" s="25"/>
      <c r="K79" s="25">
        <f t="shared" si="42"/>
        <v>0</v>
      </c>
      <c r="L79" s="25" t="e">
        <f t="shared" si="43"/>
        <v>#NAME?</v>
      </c>
      <c r="M79" s="27" t="e">
        <f t="shared" si="44"/>
        <v>#NAME?</v>
      </c>
      <c r="N79" s="27"/>
      <c r="O79" s="26" t="str">
        <f t="shared" si="45"/>
        <v>Central</v>
      </c>
      <c r="P79" s="26" t="e">
        <f t="shared" si="46"/>
        <v>#NAME?</v>
      </c>
      <c r="Q79" s="27" t="e">
        <f t="shared" si="47"/>
        <v>#VALUE!</v>
      </c>
      <c r="R79" s="27"/>
      <c r="S79" s="26">
        <f t="shared" si="48"/>
        <v>113</v>
      </c>
      <c r="T79" s="26" t="e">
        <f t="shared" si="49"/>
        <v>#NAME?</v>
      </c>
      <c r="U79" s="27" t="e">
        <f t="shared" si="50"/>
        <v>#NAME?</v>
      </c>
      <c r="V79" s="27"/>
      <c r="W79" s="26">
        <f t="shared" si="51"/>
        <v>79</v>
      </c>
      <c r="X79" s="26" t="e">
        <f t="shared" si="52"/>
        <v>#NAME?</v>
      </c>
      <c r="Y79" s="27" t="e">
        <f t="shared" si="53"/>
        <v>#NAME?</v>
      </c>
    </row>
    <row r="80" spans="1:25" ht="16.5" customHeight="1" x14ac:dyDescent="0.25">
      <c r="A80" s="16" t="s">
        <v>202</v>
      </c>
      <c r="B80" s="16" t="s">
        <v>203</v>
      </c>
      <c r="C80" s="25">
        <f t="shared" si="36"/>
        <v>89</v>
      </c>
      <c r="D80" s="25" t="e">
        <f t="shared" si="37"/>
        <v>#NAME?</v>
      </c>
      <c r="E80" s="27" t="e">
        <f t="shared" si="38"/>
        <v>#NAME?</v>
      </c>
      <c r="F80" s="25"/>
      <c r="G80" s="25">
        <f t="shared" si="39"/>
        <v>0</v>
      </c>
      <c r="H80" s="25" t="e">
        <f t="shared" si="40"/>
        <v>#NAME?</v>
      </c>
      <c r="I80" s="27" t="e">
        <f t="shared" si="41"/>
        <v>#NAME?</v>
      </c>
      <c r="J80" s="25"/>
      <c r="K80" s="25">
        <f t="shared" si="42"/>
        <v>0</v>
      </c>
      <c r="L80" s="25" t="e">
        <f t="shared" si="43"/>
        <v>#NAME?</v>
      </c>
      <c r="M80" s="27" t="e">
        <f t="shared" si="44"/>
        <v>#NAME?</v>
      </c>
      <c r="N80" s="27"/>
      <c r="O80" s="26" t="str">
        <f t="shared" si="45"/>
        <v>Piedmont</v>
      </c>
      <c r="P80" s="26" t="e">
        <f t="shared" si="46"/>
        <v>#NAME?</v>
      </c>
      <c r="Q80" s="27" t="e">
        <f t="shared" si="47"/>
        <v>#VALUE!</v>
      </c>
      <c r="R80" s="27"/>
      <c r="S80" s="26">
        <f t="shared" si="48"/>
        <v>847</v>
      </c>
      <c r="T80" s="26" t="e">
        <f t="shared" si="49"/>
        <v>#NAME?</v>
      </c>
      <c r="U80" s="27" t="e">
        <f t="shared" si="50"/>
        <v>#NAME?</v>
      </c>
      <c r="V80" s="27"/>
      <c r="W80" s="26">
        <f t="shared" si="51"/>
        <v>610</v>
      </c>
      <c r="X80" s="26" t="e">
        <f t="shared" si="52"/>
        <v>#NAME?</v>
      </c>
      <c r="Y80" s="27" t="e">
        <f t="shared" si="53"/>
        <v>#NAME?</v>
      </c>
    </row>
    <row r="81" spans="1:25" ht="16.5" customHeight="1" x14ac:dyDescent="0.25">
      <c r="A81" s="16" t="s">
        <v>204</v>
      </c>
      <c r="B81" s="16" t="s">
        <v>205</v>
      </c>
      <c r="C81" s="25">
        <f t="shared" si="36"/>
        <v>22</v>
      </c>
      <c r="D81" s="25" t="e">
        <f t="shared" si="37"/>
        <v>#NAME?</v>
      </c>
      <c r="E81" s="27" t="e">
        <f t="shared" si="38"/>
        <v>#NAME?</v>
      </c>
      <c r="F81" s="25"/>
      <c r="G81" s="25">
        <f t="shared" si="39"/>
        <v>2</v>
      </c>
      <c r="H81" s="25" t="e">
        <f t="shared" si="40"/>
        <v>#NAME?</v>
      </c>
      <c r="I81" s="27" t="e">
        <f t="shared" si="41"/>
        <v>#NAME?</v>
      </c>
      <c r="J81" s="25"/>
      <c r="K81" s="25">
        <f t="shared" si="42"/>
        <v>0</v>
      </c>
      <c r="L81" s="25" t="e">
        <f t="shared" si="43"/>
        <v>#NAME?</v>
      </c>
      <c r="M81" s="27" t="e">
        <f t="shared" si="44"/>
        <v>#NAME?</v>
      </c>
      <c r="N81" s="27"/>
      <c r="O81" s="26" t="str">
        <f t="shared" si="45"/>
        <v>Piedmont</v>
      </c>
      <c r="P81" s="26" t="e">
        <f t="shared" si="46"/>
        <v>#NAME?</v>
      </c>
      <c r="Q81" s="27" t="e">
        <f t="shared" si="47"/>
        <v>#VALUE!</v>
      </c>
      <c r="R81" s="27"/>
      <c r="S81" s="26">
        <f t="shared" si="48"/>
        <v>261</v>
      </c>
      <c r="T81" s="26" t="e">
        <f t="shared" si="49"/>
        <v>#NAME?</v>
      </c>
      <c r="U81" s="27" t="e">
        <f t="shared" si="50"/>
        <v>#NAME?</v>
      </c>
      <c r="V81" s="27"/>
      <c r="W81" s="26">
        <f t="shared" si="51"/>
        <v>183</v>
      </c>
      <c r="X81" s="26" t="e">
        <f t="shared" si="52"/>
        <v>#NAME?</v>
      </c>
      <c r="Y81" s="27" t="e">
        <f t="shared" si="53"/>
        <v>#NAME?</v>
      </c>
    </row>
    <row r="82" spans="1:25" ht="16.5" customHeight="1" x14ac:dyDescent="0.25">
      <c r="A82" s="16" t="s">
        <v>206</v>
      </c>
      <c r="B82" s="16" t="s">
        <v>207</v>
      </c>
      <c r="C82" s="25">
        <f t="shared" si="36"/>
        <v>162</v>
      </c>
      <c r="D82" s="25" t="e">
        <f t="shared" si="37"/>
        <v>#NAME?</v>
      </c>
      <c r="E82" s="27" t="e">
        <f t="shared" si="38"/>
        <v>#NAME?</v>
      </c>
      <c r="F82" s="25"/>
      <c r="G82" s="25">
        <f t="shared" si="39"/>
        <v>1</v>
      </c>
      <c r="H82" s="25" t="e">
        <f t="shared" si="40"/>
        <v>#NAME?</v>
      </c>
      <c r="I82" s="27" t="e">
        <f t="shared" si="41"/>
        <v>#NAME?</v>
      </c>
      <c r="J82" s="25"/>
      <c r="K82" s="25">
        <f t="shared" si="42"/>
        <v>0</v>
      </c>
      <c r="L82" s="25" t="e">
        <f t="shared" si="43"/>
        <v>#NAME?</v>
      </c>
      <c r="M82" s="27" t="e">
        <f t="shared" si="44"/>
        <v>#NAME?</v>
      </c>
      <c r="N82" s="27"/>
      <c r="O82" s="26" t="str">
        <f t="shared" si="45"/>
        <v>Northern</v>
      </c>
      <c r="P82" s="26" t="e">
        <f t="shared" si="46"/>
        <v>#NAME?</v>
      </c>
      <c r="Q82" s="27" t="e">
        <f t="shared" si="47"/>
        <v>#VALUE!</v>
      </c>
      <c r="R82" s="27"/>
      <c r="S82" s="26">
        <f t="shared" si="48"/>
        <v>1318</v>
      </c>
      <c r="T82" s="26" t="e">
        <f t="shared" si="49"/>
        <v>#NAME?</v>
      </c>
      <c r="U82" s="27" t="e">
        <f t="shared" si="50"/>
        <v>#NAME?</v>
      </c>
      <c r="V82" s="27"/>
      <c r="W82" s="26">
        <f t="shared" si="51"/>
        <v>905</v>
      </c>
      <c r="X82" s="26" t="e">
        <f t="shared" si="52"/>
        <v>#NAME?</v>
      </c>
      <c r="Y82" s="27" t="e">
        <f t="shared" si="53"/>
        <v>#NAME?</v>
      </c>
    </row>
    <row r="83" spans="1:25" ht="16.5" customHeight="1" x14ac:dyDescent="0.25">
      <c r="A83" s="16" t="s">
        <v>208</v>
      </c>
      <c r="B83" s="29" t="s">
        <v>209</v>
      </c>
      <c r="C83" s="25">
        <f t="shared" si="36"/>
        <v>46</v>
      </c>
      <c r="D83" s="25" t="e">
        <f t="shared" si="37"/>
        <v>#NAME?</v>
      </c>
      <c r="E83" s="27" t="e">
        <f t="shared" si="38"/>
        <v>#NAME?</v>
      </c>
      <c r="F83" s="25"/>
      <c r="G83" s="25">
        <f t="shared" si="39"/>
        <v>0</v>
      </c>
      <c r="H83" s="25" t="e">
        <f t="shared" si="40"/>
        <v>#NAME?</v>
      </c>
      <c r="I83" s="27" t="e">
        <f t="shared" si="41"/>
        <v>#NAME?</v>
      </c>
      <c r="J83" s="25"/>
      <c r="K83" s="25">
        <f t="shared" si="42"/>
        <v>0</v>
      </c>
      <c r="L83" s="25" t="e">
        <f t="shared" si="43"/>
        <v>#NAME?</v>
      </c>
      <c r="M83" s="27" t="e">
        <f t="shared" si="44"/>
        <v>#NAME?</v>
      </c>
      <c r="N83" s="27"/>
      <c r="O83" s="26" t="str">
        <f t="shared" si="45"/>
        <v>Western</v>
      </c>
      <c r="P83" s="26" t="e">
        <f t="shared" si="46"/>
        <v>#NAME?</v>
      </c>
      <c r="Q83" s="27" t="e">
        <f t="shared" si="47"/>
        <v>#VALUE!</v>
      </c>
      <c r="R83" s="27"/>
      <c r="S83" s="26">
        <f t="shared" si="48"/>
        <v>471</v>
      </c>
      <c r="T83" s="26" t="e">
        <f t="shared" si="49"/>
        <v>#NAME?</v>
      </c>
      <c r="U83" s="27" t="e">
        <f t="shared" si="50"/>
        <v>#NAME?</v>
      </c>
      <c r="V83" s="27"/>
      <c r="W83" s="26">
        <f t="shared" si="51"/>
        <v>323</v>
      </c>
      <c r="X83" s="26" t="e">
        <f t="shared" si="52"/>
        <v>#NAME?</v>
      </c>
      <c r="Y83" s="27" t="e">
        <f t="shared" si="53"/>
        <v>#NAME?</v>
      </c>
    </row>
    <row r="84" spans="1:25" ht="16.5" customHeight="1" x14ac:dyDescent="0.25">
      <c r="A84" s="16" t="s">
        <v>210</v>
      </c>
      <c r="B84" s="16" t="s">
        <v>211</v>
      </c>
      <c r="C84" s="25">
        <f t="shared" si="36"/>
        <v>39</v>
      </c>
      <c r="D84" s="25" t="e">
        <f t="shared" si="37"/>
        <v>#NAME?</v>
      </c>
      <c r="E84" s="27" t="e">
        <f t="shared" si="38"/>
        <v>#NAME?</v>
      </c>
      <c r="F84" s="25"/>
      <c r="G84" s="25">
        <f t="shared" si="39"/>
        <v>0</v>
      </c>
      <c r="H84" s="25" t="e">
        <f t="shared" si="40"/>
        <v>#NAME?</v>
      </c>
      <c r="I84" s="27" t="e">
        <f t="shared" si="41"/>
        <v>#NAME?</v>
      </c>
      <c r="J84" s="25"/>
      <c r="K84" s="25">
        <f t="shared" si="42"/>
        <v>0</v>
      </c>
      <c r="L84" s="25" t="e">
        <f t="shared" si="43"/>
        <v>#NAME?</v>
      </c>
      <c r="M84" s="27" t="e">
        <f t="shared" si="44"/>
        <v>#NAME?</v>
      </c>
      <c r="N84" s="27"/>
      <c r="O84" s="26" t="str">
        <f t="shared" si="45"/>
        <v>Western</v>
      </c>
      <c r="P84" s="26" t="e">
        <f t="shared" si="46"/>
        <v>#NAME?</v>
      </c>
      <c r="Q84" s="27" t="e">
        <f t="shared" si="47"/>
        <v>#VALUE!</v>
      </c>
      <c r="R84" s="27"/>
      <c r="S84" s="26">
        <f t="shared" si="48"/>
        <v>413</v>
      </c>
      <c r="T84" s="26" t="e">
        <f t="shared" si="49"/>
        <v>#NAME?</v>
      </c>
      <c r="U84" s="27" t="e">
        <f t="shared" si="50"/>
        <v>#NAME?</v>
      </c>
      <c r="V84" s="27"/>
      <c r="W84" s="26">
        <f t="shared" si="51"/>
        <v>286</v>
      </c>
      <c r="X84" s="26" t="e">
        <f t="shared" si="52"/>
        <v>#NAME?</v>
      </c>
      <c r="Y84" s="27" t="e">
        <f t="shared" si="53"/>
        <v>#NAME?</v>
      </c>
    </row>
    <row r="85" spans="1:25" ht="16.5" customHeight="1" x14ac:dyDescent="0.25">
      <c r="A85" s="16" t="s">
        <v>212</v>
      </c>
      <c r="B85" s="16" t="s">
        <v>213</v>
      </c>
      <c r="C85" s="25">
        <f t="shared" si="36"/>
        <v>23</v>
      </c>
      <c r="D85" s="25" t="e">
        <f t="shared" si="37"/>
        <v>#NAME?</v>
      </c>
      <c r="E85" s="27" t="e">
        <f t="shared" si="38"/>
        <v>#NAME?</v>
      </c>
      <c r="F85" s="25"/>
      <c r="G85" s="25">
        <f t="shared" si="39"/>
        <v>0</v>
      </c>
      <c r="H85" s="25" t="e">
        <f t="shared" si="40"/>
        <v>#NAME?</v>
      </c>
      <c r="I85" s="27" t="e">
        <f t="shared" si="41"/>
        <v>#NAME?</v>
      </c>
      <c r="J85" s="25"/>
      <c r="K85" s="25">
        <f t="shared" si="42"/>
        <v>0</v>
      </c>
      <c r="L85" s="25" t="e">
        <f t="shared" si="43"/>
        <v>#NAME?</v>
      </c>
      <c r="M85" s="27" t="e">
        <f t="shared" si="44"/>
        <v>#NAME?</v>
      </c>
      <c r="N85" s="27"/>
      <c r="O85" s="26" t="str">
        <f t="shared" si="45"/>
        <v>Northern</v>
      </c>
      <c r="P85" s="26" t="e">
        <f t="shared" si="46"/>
        <v>#NAME?</v>
      </c>
      <c r="Q85" s="27" t="e">
        <f t="shared" si="47"/>
        <v>#VALUE!</v>
      </c>
      <c r="R85" s="27"/>
      <c r="S85" s="26">
        <f t="shared" si="48"/>
        <v>321</v>
      </c>
      <c r="T85" s="26" t="e">
        <f t="shared" si="49"/>
        <v>#NAME?</v>
      </c>
      <c r="U85" s="27" t="e">
        <f t="shared" si="50"/>
        <v>#NAME?</v>
      </c>
      <c r="V85" s="27"/>
      <c r="W85" s="26">
        <f t="shared" si="51"/>
        <v>219</v>
      </c>
      <c r="X85" s="26" t="e">
        <f t="shared" si="52"/>
        <v>#NAME?</v>
      </c>
      <c r="Y85" s="27" t="e">
        <f t="shared" si="53"/>
        <v>#NAME?</v>
      </c>
    </row>
    <row r="86" spans="1:25" ht="16.5" customHeight="1" x14ac:dyDescent="0.25">
      <c r="A86" s="16" t="s">
        <v>214</v>
      </c>
      <c r="B86" s="16" t="s">
        <v>215</v>
      </c>
      <c r="C86" s="25">
        <f t="shared" si="36"/>
        <v>48</v>
      </c>
      <c r="D86" s="25" t="e">
        <f t="shared" si="37"/>
        <v>#NAME?</v>
      </c>
      <c r="E86" s="27" t="e">
        <f t="shared" si="38"/>
        <v>#NAME?</v>
      </c>
      <c r="F86" s="25"/>
      <c r="G86" s="25">
        <f t="shared" si="39"/>
        <v>0</v>
      </c>
      <c r="H86" s="25" t="e">
        <f t="shared" si="40"/>
        <v>#NAME?</v>
      </c>
      <c r="I86" s="27" t="e">
        <f t="shared" si="41"/>
        <v>#NAME?</v>
      </c>
      <c r="J86" s="25"/>
      <c r="K86" s="25">
        <f t="shared" si="42"/>
        <v>0</v>
      </c>
      <c r="L86" s="25" t="e">
        <f t="shared" si="43"/>
        <v>#NAME?</v>
      </c>
      <c r="M86" s="27" t="e">
        <f t="shared" si="44"/>
        <v>#NAME?</v>
      </c>
      <c r="N86" s="27"/>
      <c r="O86" s="26" t="str">
        <f t="shared" si="45"/>
        <v>Western</v>
      </c>
      <c r="P86" s="26" t="e">
        <f t="shared" si="46"/>
        <v>#NAME?</v>
      </c>
      <c r="Q86" s="27" t="e">
        <f t="shared" si="47"/>
        <v>#VALUE!</v>
      </c>
      <c r="R86" s="27"/>
      <c r="S86" s="26">
        <f t="shared" si="48"/>
        <v>552</v>
      </c>
      <c r="T86" s="26" t="e">
        <f t="shared" si="49"/>
        <v>#NAME?</v>
      </c>
      <c r="U86" s="27" t="e">
        <f t="shared" si="50"/>
        <v>#NAME?</v>
      </c>
      <c r="V86" s="27"/>
      <c r="W86" s="26">
        <f t="shared" si="51"/>
        <v>396</v>
      </c>
      <c r="X86" s="26" t="e">
        <f t="shared" si="52"/>
        <v>#NAME?</v>
      </c>
      <c r="Y86" s="27" t="e">
        <f t="shared" si="53"/>
        <v>#NAME?</v>
      </c>
    </row>
    <row r="87" spans="1:25" ht="16.5" customHeight="1" x14ac:dyDescent="0.25">
      <c r="A87" s="16" t="s">
        <v>216</v>
      </c>
      <c r="B87" s="16" t="s">
        <v>217</v>
      </c>
      <c r="C87" s="25">
        <f t="shared" si="36"/>
        <v>26</v>
      </c>
      <c r="D87" s="25" t="e">
        <f t="shared" si="37"/>
        <v>#NAME?</v>
      </c>
      <c r="E87" s="27" t="e">
        <f t="shared" si="38"/>
        <v>#NAME?</v>
      </c>
      <c r="F87" s="25"/>
      <c r="G87" s="25">
        <f t="shared" si="39"/>
        <v>0</v>
      </c>
      <c r="H87" s="25" t="e">
        <f t="shared" si="40"/>
        <v>#NAME?</v>
      </c>
      <c r="I87" s="27" t="e">
        <f t="shared" si="41"/>
        <v>#NAME?</v>
      </c>
      <c r="J87" s="25"/>
      <c r="K87" s="25">
        <f t="shared" si="42"/>
        <v>0</v>
      </c>
      <c r="L87" s="25" t="e">
        <f t="shared" si="43"/>
        <v>#NAME?</v>
      </c>
      <c r="M87" s="27" t="e">
        <f t="shared" si="44"/>
        <v>#NAME?</v>
      </c>
      <c r="N87" s="27"/>
      <c r="O87" s="26" t="str">
        <f t="shared" si="45"/>
        <v>Eastern</v>
      </c>
      <c r="P87" s="26" t="e">
        <f t="shared" si="46"/>
        <v>#NAME?</v>
      </c>
      <c r="Q87" s="27" t="e">
        <f t="shared" si="47"/>
        <v>#VALUE!</v>
      </c>
      <c r="R87" s="27"/>
      <c r="S87" s="26">
        <f t="shared" si="48"/>
        <v>303</v>
      </c>
      <c r="T87" s="26" t="e">
        <f t="shared" si="49"/>
        <v>#NAME?</v>
      </c>
      <c r="U87" s="27" t="e">
        <f t="shared" si="50"/>
        <v>#NAME?</v>
      </c>
      <c r="V87" s="27"/>
      <c r="W87" s="26">
        <f t="shared" si="51"/>
        <v>208</v>
      </c>
      <c r="X87" s="26" t="e">
        <f t="shared" si="52"/>
        <v>#NAME?</v>
      </c>
      <c r="Y87" s="27" t="e">
        <f t="shared" si="53"/>
        <v>#NAME?</v>
      </c>
    </row>
    <row r="88" spans="1:25" ht="16.5" customHeight="1" x14ac:dyDescent="0.25">
      <c r="A88" s="16" t="s">
        <v>218</v>
      </c>
      <c r="B88" s="16" t="s">
        <v>219</v>
      </c>
      <c r="C88" s="25">
        <f t="shared" si="36"/>
        <v>154</v>
      </c>
      <c r="D88" s="25" t="e">
        <f t="shared" si="37"/>
        <v>#NAME?</v>
      </c>
      <c r="E88" s="27" t="e">
        <f t="shared" si="38"/>
        <v>#NAME?</v>
      </c>
      <c r="F88" s="25"/>
      <c r="G88" s="25">
        <f t="shared" si="39"/>
        <v>0</v>
      </c>
      <c r="H88" s="25" t="e">
        <f t="shared" si="40"/>
        <v>#NAME?</v>
      </c>
      <c r="I88" s="27" t="e">
        <f t="shared" si="41"/>
        <v>#NAME?</v>
      </c>
      <c r="J88" s="25"/>
      <c r="K88" s="25">
        <f t="shared" si="42"/>
        <v>0</v>
      </c>
      <c r="L88" s="25" t="e">
        <f t="shared" si="43"/>
        <v>#NAME?</v>
      </c>
      <c r="M88" s="27" t="e">
        <f t="shared" si="44"/>
        <v>#NAME?</v>
      </c>
      <c r="N88" s="27"/>
      <c r="O88" s="26" t="str">
        <f t="shared" si="45"/>
        <v>Northern</v>
      </c>
      <c r="P88" s="26" t="e">
        <f t="shared" si="46"/>
        <v>#NAME?</v>
      </c>
      <c r="Q88" s="27" t="e">
        <f t="shared" si="47"/>
        <v>#VALUE!</v>
      </c>
      <c r="R88" s="27"/>
      <c r="S88" s="26">
        <f t="shared" si="48"/>
        <v>1568</v>
      </c>
      <c r="T88" s="26" t="e">
        <f t="shared" si="49"/>
        <v>#NAME?</v>
      </c>
      <c r="U88" s="27" t="e">
        <f t="shared" si="50"/>
        <v>#NAME?</v>
      </c>
      <c r="V88" s="27"/>
      <c r="W88" s="26">
        <f t="shared" si="51"/>
        <v>1078</v>
      </c>
      <c r="X88" s="26" t="e">
        <f t="shared" si="52"/>
        <v>#NAME?</v>
      </c>
      <c r="Y88" s="27" t="e">
        <f t="shared" si="53"/>
        <v>#NAME?</v>
      </c>
    </row>
    <row r="89" spans="1:25" ht="16.5" customHeight="1" x14ac:dyDescent="0.25">
      <c r="A89" s="16" t="s">
        <v>220</v>
      </c>
      <c r="B89" s="16" t="s">
        <v>221</v>
      </c>
      <c r="C89" s="25">
        <f t="shared" si="36"/>
        <v>130</v>
      </c>
      <c r="D89" s="25" t="e">
        <f t="shared" si="37"/>
        <v>#NAME?</v>
      </c>
      <c r="E89" s="27" t="e">
        <f t="shared" si="38"/>
        <v>#NAME?</v>
      </c>
      <c r="F89" s="25"/>
      <c r="G89" s="25">
        <f t="shared" si="39"/>
        <v>2</v>
      </c>
      <c r="H89" s="25" t="e">
        <f t="shared" si="40"/>
        <v>#NAME?</v>
      </c>
      <c r="I89" s="27" t="e">
        <f t="shared" si="41"/>
        <v>#NAME?</v>
      </c>
      <c r="J89" s="25"/>
      <c r="K89" s="25">
        <f t="shared" si="42"/>
        <v>0</v>
      </c>
      <c r="L89" s="25" t="e">
        <f t="shared" si="43"/>
        <v>#NAME?</v>
      </c>
      <c r="M89" s="27" t="e">
        <f t="shared" si="44"/>
        <v>#NAME?</v>
      </c>
      <c r="N89" s="27"/>
      <c r="O89" s="26" t="str">
        <f t="shared" si="45"/>
        <v>Northern</v>
      </c>
      <c r="P89" s="26" t="e">
        <f t="shared" si="46"/>
        <v>#NAME?</v>
      </c>
      <c r="Q89" s="27" t="e">
        <f t="shared" si="47"/>
        <v>#VALUE!</v>
      </c>
      <c r="R89" s="27"/>
      <c r="S89" s="26">
        <f t="shared" si="48"/>
        <v>1322</v>
      </c>
      <c r="T89" s="26" t="e">
        <f t="shared" si="49"/>
        <v>#NAME?</v>
      </c>
      <c r="U89" s="27" t="e">
        <f t="shared" si="50"/>
        <v>#NAME?</v>
      </c>
      <c r="V89" s="27"/>
      <c r="W89" s="26">
        <f t="shared" si="51"/>
        <v>899</v>
      </c>
      <c r="X89" s="26" t="e">
        <f t="shared" si="52"/>
        <v>#NAME?</v>
      </c>
      <c r="Y89" s="27" t="e">
        <f t="shared" si="53"/>
        <v>#NAME?</v>
      </c>
    </row>
    <row r="90" spans="1:25" ht="16.5" customHeight="1" x14ac:dyDescent="0.25">
      <c r="A90" s="16" t="s">
        <v>224</v>
      </c>
      <c r="B90" s="16" t="s">
        <v>225</v>
      </c>
      <c r="C90" s="25">
        <f t="shared" si="36"/>
        <v>5</v>
      </c>
      <c r="D90" s="25" t="e">
        <f t="shared" si="37"/>
        <v>#NAME?</v>
      </c>
      <c r="E90" s="27" t="e">
        <f t="shared" si="38"/>
        <v>#NAME?</v>
      </c>
      <c r="F90" s="25"/>
      <c r="G90" s="25">
        <f t="shared" si="39"/>
        <v>0</v>
      </c>
      <c r="H90" s="25" t="e">
        <f t="shared" si="40"/>
        <v>#NAME?</v>
      </c>
      <c r="I90" s="27" t="e">
        <f t="shared" si="41"/>
        <v>#NAME?</v>
      </c>
      <c r="J90" s="25"/>
      <c r="K90" s="25">
        <f t="shared" si="42"/>
        <v>0</v>
      </c>
      <c r="L90" s="25" t="e">
        <f t="shared" si="43"/>
        <v>#NAME?</v>
      </c>
      <c r="M90" s="27" t="e">
        <f t="shared" si="44"/>
        <v>#NAME?</v>
      </c>
      <c r="N90" s="27"/>
      <c r="O90" s="26" t="str">
        <f t="shared" si="45"/>
        <v>Eastern</v>
      </c>
      <c r="P90" s="26" t="e">
        <f t="shared" si="46"/>
        <v>#NAME?</v>
      </c>
      <c r="Q90" s="27" t="e">
        <f t="shared" si="47"/>
        <v>#VALUE!</v>
      </c>
      <c r="R90" s="27"/>
      <c r="S90" s="26">
        <f t="shared" si="48"/>
        <v>75</v>
      </c>
      <c r="T90" s="26" t="e">
        <f t="shared" si="49"/>
        <v>#NAME?</v>
      </c>
      <c r="U90" s="27" t="e">
        <f t="shared" si="50"/>
        <v>#NAME?</v>
      </c>
      <c r="V90" s="27"/>
      <c r="W90" s="26">
        <f t="shared" si="51"/>
        <v>51</v>
      </c>
      <c r="X90" s="26" t="e">
        <f t="shared" si="52"/>
        <v>#NAME?</v>
      </c>
      <c r="Y90" s="27" t="e">
        <f t="shared" si="53"/>
        <v>#NAME?</v>
      </c>
    </row>
    <row r="91" spans="1:25" ht="16.5" customHeight="1" x14ac:dyDescent="0.25">
      <c r="A91" s="16" t="s">
        <v>226</v>
      </c>
      <c r="B91" s="16" t="s">
        <v>227</v>
      </c>
      <c r="C91" s="25">
        <f t="shared" si="36"/>
        <v>25</v>
      </c>
      <c r="D91" s="25" t="e">
        <f t="shared" si="37"/>
        <v>#NAME?</v>
      </c>
      <c r="E91" s="27" t="e">
        <f t="shared" si="38"/>
        <v>#NAME?</v>
      </c>
      <c r="F91" s="25"/>
      <c r="G91" s="25">
        <f t="shared" si="39"/>
        <v>0</v>
      </c>
      <c r="H91" s="25" t="e">
        <f t="shared" si="40"/>
        <v>#NAME?</v>
      </c>
      <c r="I91" s="27" t="e">
        <f t="shared" si="41"/>
        <v>#NAME?</v>
      </c>
      <c r="J91" s="25"/>
      <c r="K91" s="25">
        <f t="shared" si="42"/>
        <v>0</v>
      </c>
      <c r="L91" s="25" t="e">
        <f t="shared" si="43"/>
        <v>#NAME?</v>
      </c>
      <c r="M91" s="27" t="e">
        <f t="shared" si="44"/>
        <v>#NAME?</v>
      </c>
      <c r="N91" s="27"/>
      <c r="O91" s="26" t="str">
        <f t="shared" si="45"/>
        <v>Eastern</v>
      </c>
      <c r="P91" s="26" t="e">
        <f t="shared" si="46"/>
        <v>#NAME?</v>
      </c>
      <c r="Q91" s="27" t="e">
        <f t="shared" si="47"/>
        <v>#VALUE!</v>
      </c>
      <c r="R91" s="27"/>
      <c r="S91" s="26">
        <f t="shared" si="48"/>
        <v>264</v>
      </c>
      <c r="T91" s="26" t="e">
        <f t="shared" si="49"/>
        <v>#NAME?</v>
      </c>
      <c r="U91" s="27" t="e">
        <f t="shared" si="50"/>
        <v>#NAME?</v>
      </c>
      <c r="V91" s="27"/>
      <c r="W91" s="26">
        <f t="shared" si="51"/>
        <v>190</v>
      </c>
      <c r="X91" s="26" t="e">
        <f t="shared" si="52"/>
        <v>#NAME?</v>
      </c>
      <c r="Y91" s="27" t="e">
        <f t="shared" si="53"/>
        <v>#NAME?</v>
      </c>
    </row>
    <row r="92" spans="1:25" ht="16.5" customHeight="1" x14ac:dyDescent="0.25">
      <c r="A92" s="16" t="s">
        <v>228</v>
      </c>
      <c r="B92" s="16" t="s">
        <v>229</v>
      </c>
      <c r="C92" s="25">
        <f t="shared" si="36"/>
        <v>61</v>
      </c>
      <c r="D92" s="25" t="e">
        <f t="shared" si="37"/>
        <v>#NAME?</v>
      </c>
      <c r="E92" s="27" t="e">
        <f t="shared" si="38"/>
        <v>#NAME?</v>
      </c>
      <c r="F92" s="25"/>
      <c r="G92" s="25">
        <f t="shared" si="39"/>
        <v>1</v>
      </c>
      <c r="H92" s="25" t="e">
        <f t="shared" si="40"/>
        <v>#NAME?</v>
      </c>
      <c r="I92" s="27" t="e">
        <f t="shared" si="41"/>
        <v>#NAME?</v>
      </c>
      <c r="J92" s="25"/>
      <c r="K92" s="25">
        <f t="shared" si="42"/>
        <v>0</v>
      </c>
      <c r="L92" s="25" t="e">
        <f t="shared" si="43"/>
        <v>#NAME?</v>
      </c>
      <c r="M92" s="27" t="e">
        <f t="shared" si="44"/>
        <v>#NAME?</v>
      </c>
      <c r="N92" s="27"/>
      <c r="O92" s="26" t="str">
        <f t="shared" si="45"/>
        <v>Western</v>
      </c>
      <c r="P92" s="26" t="e">
        <f t="shared" si="46"/>
        <v>#NAME?</v>
      </c>
      <c r="Q92" s="27" t="e">
        <f t="shared" si="47"/>
        <v>#VALUE!</v>
      </c>
      <c r="R92" s="27"/>
      <c r="S92" s="26">
        <f t="shared" si="48"/>
        <v>642</v>
      </c>
      <c r="T92" s="26" t="e">
        <f t="shared" si="49"/>
        <v>#NAME?</v>
      </c>
      <c r="U92" s="27" t="e">
        <f t="shared" si="50"/>
        <v>#NAME?</v>
      </c>
      <c r="V92" s="27"/>
      <c r="W92" s="26">
        <f t="shared" si="51"/>
        <v>453</v>
      </c>
      <c r="X92" s="26" t="e">
        <f t="shared" si="52"/>
        <v>#NAME?</v>
      </c>
      <c r="Y92" s="27" t="e">
        <f t="shared" si="53"/>
        <v>#NAME?</v>
      </c>
    </row>
    <row r="93" spans="1:25" ht="16.5" customHeight="1" x14ac:dyDescent="0.25">
      <c r="A93" s="16" t="s">
        <v>232</v>
      </c>
      <c r="B93" s="16" t="s">
        <v>233</v>
      </c>
      <c r="C93" s="25">
        <f t="shared" si="36"/>
        <v>34</v>
      </c>
      <c r="D93" s="25" t="e">
        <f t="shared" si="37"/>
        <v>#NAME?</v>
      </c>
      <c r="E93" s="27" t="e">
        <f t="shared" si="38"/>
        <v>#NAME?</v>
      </c>
      <c r="F93" s="25"/>
      <c r="G93" s="25">
        <f t="shared" si="39"/>
        <v>0</v>
      </c>
      <c r="H93" s="25" t="e">
        <f t="shared" si="40"/>
        <v>#NAME?</v>
      </c>
      <c r="I93" s="27" t="e">
        <f t="shared" si="41"/>
        <v>#NAME?</v>
      </c>
      <c r="J93" s="25"/>
      <c r="K93" s="25">
        <f t="shared" si="42"/>
        <v>0</v>
      </c>
      <c r="L93" s="25" t="e">
        <f t="shared" si="43"/>
        <v>#NAME?</v>
      </c>
      <c r="M93" s="27" t="e">
        <f t="shared" si="44"/>
        <v>#NAME?</v>
      </c>
      <c r="N93" s="27"/>
      <c r="O93" s="26" t="str">
        <f t="shared" si="45"/>
        <v>Northern</v>
      </c>
      <c r="P93" s="26" t="e">
        <f t="shared" si="46"/>
        <v>#NAME?</v>
      </c>
      <c r="Q93" s="27" t="e">
        <f t="shared" si="47"/>
        <v>#VALUE!</v>
      </c>
      <c r="R93" s="27"/>
      <c r="S93" s="26">
        <f t="shared" si="48"/>
        <v>403</v>
      </c>
      <c r="T93" s="26" t="e">
        <f t="shared" si="49"/>
        <v>#NAME?</v>
      </c>
      <c r="U93" s="27" t="e">
        <f t="shared" si="50"/>
        <v>#NAME?</v>
      </c>
      <c r="V93" s="27"/>
      <c r="W93" s="26">
        <f t="shared" si="51"/>
        <v>283</v>
      </c>
      <c r="X93" s="26" t="e">
        <f t="shared" si="52"/>
        <v>#NAME?</v>
      </c>
      <c r="Y93" s="27" t="e">
        <f t="shared" si="53"/>
        <v>#NAME?</v>
      </c>
    </row>
    <row r="94" spans="1:25" ht="16.5" customHeight="1" x14ac:dyDescent="0.25">
      <c r="A94" s="16" t="s">
        <v>234</v>
      </c>
      <c r="B94" s="16" t="s">
        <v>235</v>
      </c>
      <c r="C94" s="25">
        <f t="shared" si="36"/>
        <v>70</v>
      </c>
      <c r="D94" s="25" t="e">
        <f t="shared" si="37"/>
        <v>#NAME?</v>
      </c>
      <c r="E94" s="27" t="e">
        <f t="shared" si="38"/>
        <v>#NAME?</v>
      </c>
      <c r="F94" s="25"/>
      <c r="G94" s="25">
        <f t="shared" si="39"/>
        <v>0</v>
      </c>
      <c r="H94" s="25" t="e">
        <f t="shared" si="40"/>
        <v>#NAME?</v>
      </c>
      <c r="I94" s="27" t="e">
        <f t="shared" si="41"/>
        <v>#NAME?</v>
      </c>
      <c r="J94" s="25"/>
      <c r="K94" s="25">
        <f t="shared" si="42"/>
        <v>0</v>
      </c>
      <c r="L94" s="25" t="e">
        <f t="shared" si="43"/>
        <v>#NAME?</v>
      </c>
      <c r="M94" s="27" t="e">
        <f t="shared" si="44"/>
        <v>#NAME?</v>
      </c>
      <c r="N94" s="27"/>
      <c r="O94" s="26" t="str">
        <f t="shared" si="45"/>
        <v>Western</v>
      </c>
      <c r="P94" s="26" t="e">
        <f t="shared" si="46"/>
        <v>#NAME?</v>
      </c>
      <c r="Q94" s="27" t="e">
        <f t="shared" si="47"/>
        <v>#VALUE!</v>
      </c>
      <c r="R94" s="27"/>
      <c r="S94" s="26">
        <f t="shared" si="48"/>
        <v>667</v>
      </c>
      <c r="T94" s="26" t="e">
        <f t="shared" si="49"/>
        <v>#NAME?</v>
      </c>
      <c r="U94" s="27" t="e">
        <f t="shared" si="50"/>
        <v>#NAME?</v>
      </c>
      <c r="V94" s="27"/>
      <c r="W94" s="26">
        <f t="shared" si="51"/>
        <v>472</v>
      </c>
      <c r="X94" s="26" t="e">
        <f t="shared" si="52"/>
        <v>#NAME?</v>
      </c>
      <c r="Y94" s="27" t="e">
        <f t="shared" si="53"/>
        <v>#NAME?</v>
      </c>
    </row>
    <row r="95" spans="1:25" ht="16.5" customHeight="1" x14ac:dyDescent="0.25">
      <c r="A95" s="16" t="s">
        <v>236</v>
      </c>
      <c r="B95" s="16" t="s">
        <v>237</v>
      </c>
      <c r="C95" s="25">
        <f t="shared" si="36"/>
        <v>35</v>
      </c>
      <c r="D95" s="25" t="e">
        <f t="shared" si="37"/>
        <v>#NAME?</v>
      </c>
      <c r="E95" s="27" t="e">
        <f t="shared" si="38"/>
        <v>#NAME?</v>
      </c>
      <c r="F95" s="25"/>
      <c r="G95" s="25">
        <f t="shared" si="39"/>
        <v>0</v>
      </c>
      <c r="H95" s="25" t="e">
        <f t="shared" si="40"/>
        <v>#NAME?</v>
      </c>
      <c r="I95" s="27" t="e">
        <f t="shared" si="41"/>
        <v>#NAME?</v>
      </c>
      <c r="J95" s="25"/>
      <c r="K95" s="25">
        <f t="shared" si="42"/>
        <v>0</v>
      </c>
      <c r="L95" s="25" t="e">
        <f t="shared" si="43"/>
        <v>#NAME?</v>
      </c>
      <c r="M95" s="27" t="e">
        <f t="shared" si="44"/>
        <v>#NAME?</v>
      </c>
      <c r="N95" s="27"/>
      <c r="O95" s="26" t="str">
        <f t="shared" si="45"/>
        <v>Central</v>
      </c>
      <c r="P95" s="26" t="e">
        <f t="shared" si="46"/>
        <v>#NAME?</v>
      </c>
      <c r="Q95" s="27" t="e">
        <f t="shared" si="47"/>
        <v>#VALUE!</v>
      </c>
      <c r="R95" s="27"/>
      <c r="S95" s="26">
        <f t="shared" si="48"/>
        <v>331</v>
      </c>
      <c r="T95" s="26" t="e">
        <f t="shared" si="49"/>
        <v>#NAME?</v>
      </c>
      <c r="U95" s="27" t="e">
        <f t="shared" si="50"/>
        <v>#NAME?</v>
      </c>
      <c r="V95" s="27"/>
      <c r="W95" s="26">
        <f t="shared" si="51"/>
        <v>224</v>
      </c>
      <c r="X95" s="26" t="e">
        <f t="shared" si="52"/>
        <v>#NAME?</v>
      </c>
      <c r="Y95" s="27" t="e">
        <f t="shared" si="53"/>
        <v>#NAME?</v>
      </c>
    </row>
    <row r="96" spans="1:25" ht="16.5" customHeight="1" x14ac:dyDescent="0.25">
      <c r="A96" s="16" t="s">
        <v>242</v>
      </c>
      <c r="B96" s="16" t="s">
        <v>243</v>
      </c>
      <c r="C96" s="25">
        <f t="shared" si="36"/>
        <v>101</v>
      </c>
      <c r="D96" s="25" t="e">
        <f t="shared" si="37"/>
        <v>#NAME?</v>
      </c>
      <c r="E96" s="27" t="e">
        <f t="shared" si="38"/>
        <v>#NAME?</v>
      </c>
      <c r="F96" s="25"/>
      <c r="G96" s="25">
        <f t="shared" si="39"/>
        <v>1</v>
      </c>
      <c r="H96" s="25" t="e">
        <f t="shared" si="40"/>
        <v>#NAME?</v>
      </c>
      <c r="I96" s="27" t="e">
        <f t="shared" si="41"/>
        <v>#NAME?</v>
      </c>
      <c r="J96" s="25"/>
      <c r="K96" s="25">
        <f t="shared" si="42"/>
        <v>0</v>
      </c>
      <c r="L96" s="25" t="e">
        <f t="shared" si="43"/>
        <v>#NAME?</v>
      </c>
      <c r="M96" s="27" t="e">
        <f t="shared" si="44"/>
        <v>#NAME?</v>
      </c>
      <c r="N96" s="27"/>
      <c r="O96" s="26" t="str">
        <f t="shared" si="45"/>
        <v>Western</v>
      </c>
      <c r="P96" s="26" t="e">
        <f t="shared" si="46"/>
        <v>#NAME?</v>
      </c>
      <c r="Q96" s="27" t="e">
        <f t="shared" si="47"/>
        <v>#VALUE!</v>
      </c>
      <c r="R96" s="27"/>
      <c r="S96" s="26">
        <f t="shared" si="48"/>
        <v>1093</v>
      </c>
      <c r="T96" s="26" t="e">
        <f t="shared" si="49"/>
        <v>#NAME?</v>
      </c>
      <c r="U96" s="27" t="e">
        <f t="shared" si="50"/>
        <v>#NAME?</v>
      </c>
      <c r="V96" s="27"/>
      <c r="W96" s="26">
        <f t="shared" si="51"/>
        <v>758</v>
      </c>
      <c r="X96" s="26" t="e">
        <f t="shared" si="52"/>
        <v>#NAME?</v>
      </c>
      <c r="Y96" s="27" t="e">
        <f t="shared" si="53"/>
        <v>#NAME?</v>
      </c>
    </row>
    <row r="97" spans="1:25" ht="16.5" customHeight="1" x14ac:dyDescent="0.25">
      <c r="A97" s="16" t="s">
        <v>244</v>
      </c>
      <c r="B97" s="16" t="s">
        <v>245</v>
      </c>
      <c r="C97" s="25">
        <f t="shared" si="36"/>
        <v>33</v>
      </c>
      <c r="D97" s="25" t="e">
        <f t="shared" si="37"/>
        <v>#NAME?</v>
      </c>
      <c r="E97" s="27" t="e">
        <f t="shared" si="38"/>
        <v>#NAME?</v>
      </c>
      <c r="F97" s="25"/>
      <c r="G97" s="25">
        <f t="shared" si="39"/>
        <v>0</v>
      </c>
      <c r="H97" s="25" t="e">
        <f t="shared" si="40"/>
        <v>#NAME?</v>
      </c>
      <c r="I97" s="27" t="e">
        <f t="shared" si="41"/>
        <v>#NAME?</v>
      </c>
      <c r="J97" s="25"/>
      <c r="K97" s="25">
        <f t="shared" si="42"/>
        <v>0</v>
      </c>
      <c r="L97" s="25" t="e">
        <f t="shared" si="43"/>
        <v>#NAME?</v>
      </c>
      <c r="M97" s="27" t="e">
        <f t="shared" si="44"/>
        <v>#NAME?</v>
      </c>
      <c r="N97" s="27"/>
      <c r="O97" s="26" t="str">
        <f t="shared" si="45"/>
        <v>Western</v>
      </c>
      <c r="P97" s="26" t="e">
        <f t="shared" si="46"/>
        <v>#NAME?</v>
      </c>
      <c r="Q97" s="27" t="e">
        <f t="shared" si="47"/>
        <v>#VALUE!</v>
      </c>
      <c r="R97" s="27"/>
      <c r="S97" s="26">
        <f t="shared" si="48"/>
        <v>352</v>
      </c>
      <c r="T97" s="26" t="e">
        <f t="shared" si="49"/>
        <v>#NAME?</v>
      </c>
      <c r="U97" s="27" t="e">
        <f t="shared" si="50"/>
        <v>#NAME?</v>
      </c>
      <c r="V97" s="27"/>
      <c r="W97" s="26">
        <f t="shared" si="51"/>
        <v>246</v>
      </c>
      <c r="X97" s="26" t="e">
        <f t="shared" si="52"/>
        <v>#NAME?</v>
      </c>
      <c r="Y97" s="27" t="e">
        <f t="shared" si="53"/>
        <v>#NAME?</v>
      </c>
    </row>
    <row r="98" spans="1:25" ht="16.5" customHeight="1" x14ac:dyDescent="0.25">
      <c r="A98" s="16" t="s">
        <v>246</v>
      </c>
      <c r="B98" s="16" t="s">
        <v>310</v>
      </c>
      <c r="C98" s="25">
        <f t="shared" si="36"/>
        <v>51</v>
      </c>
      <c r="D98" s="25" t="e">
        <f t="shared" si="37"/>
        <v>#NAME?</v>
      </c>
      <c r="E98" s="27" t="e">
        <f t="shared" si="38"/>
        <v>#NAME?</v>
      </c>
      <c r="F98" s="25"/>
      <c r="G98" s="25">
        <f t="shared" si="39"/>
        <v>0</v>
      </c>
      <c r="H98" s="25" t="e">
        <f t="shared" si="40"/>
        <v>#NAME?</v>
      </c>
      <c r="I98" s="27" t="e">
        <f t="shared" si="41"/>
        <v>#NAME?</v>
      </c>
      <c r="J98" s="25"/>
      <c r="K98" s="25">
        <f t="shared" si="42"/>
        <v>0</v>
      </c>
      <c r="L98" s="25" t="e">
        <f t="shared" si="43"/>
        <v>#NAME?</v>
      </c>
      <c r="M98" s="27" t="e">
        <f t="shared" si="44"/>
        <v>#NAME?</v>
      </c>
      <c r="N98" s="27"/>
      <c r="O98" s="26" t="str">
        <f t="shared" si="45"/>
        <v>Eastern</v>
      </c>
      <c r="P98" s="26" t="e">
        <f t="shared" si="46"/>
        <v>#NAME?</v>
      </c>
      <c r="Q98" s="27" t="e">
        <f t="shared" si="47"/>
        <v>#VALUE!</v>
      </c>
      <c r="R98" s="27"/>
      <c r="S98" s="26">
        <f t="shared" si="48"/>
        <v>441</v>
      </c>
      <c r="T98" s="26" t="e">
        <f t="shared" si="49"/>
        <v>#NAME?</v>
      </c>
      <c r="U98" s="27" t="e">
        <f t="shared" si="50"/>
        <v>#NAME?</v>
      </c>
      <c r="V98" s="27"/>
      <c r="W98" s="26">
        <f t="shared" si="51"/>
        <v>297</v>
      </c>
      <c r="X98" s="26" t="e">
        <f t="shared" si="52"/>
        <v>#NAME?</v>
      </c>
      <c r="Y98" s="27" t="e">
        <f t="shared" si="53"/>
        <v>#NAME?</v>
      </c>
    </row>
    <row r="99" spans="1:25" ht="16.5" customHeight="1" x14ac:dyDescent="0.25">
      <c r="A99" s="16" t="s">
        <v>14</v>
      </c>
      <c r="B99" s="16" t="s">
        <v>15</v>
      </c>
      <c r="C99" s="25">
        <f t="shared" si="36"/>
        <v>296</v>
      </c>
      <c r="D99" s="25" t="e">
        <f t="shared" si="37"/>
        <v>#NAME?</v>
      </c>
      <c r="E99" s="27" t="e">
        <f t="shared" si="38"/>
        <v>#NAME?</v>
      </c>
      <c r="F99" s="25"/>
      <c r="G99" s="25">
        <f t="shared" si="39"/>
        <v>0</v>
      </c>
      <c r="H99" s="25" t="e">
        <f t="shared" si="40"/>
        <v>#NAME?</v>
      </c>
      <c r="I99" s="27" t="e">
        <f t="shared" si="41"/>
        <v>#NAME?</v>
      </c>
      <c r="J99" s="25"/>
      <c r="K99" s="25">
        <f t="shared" si="42"/>
        <v>0</v>
      </c>
      <c r="L99" s="25" t="e">
        <f t="shared" si="43"/>
        <v>#NAME?</v>
      </c>
      <c r="M99" s="27" t="e">
        <f t="shared" si="44"/>
        <v>#NAME?</v>
      </c>
      <c r="N99" s="27"/>
      <c r="O99" s="26" t="str">
        <f t="shared" si="45"/>
        <v>Northern</v>
      </c>
      <c r="P99" s="26" t="e">
        <f t="shared" si="46"/>
        <v>#NAME?</v>
      </c>
      <c r="Q99" s="27" t="e">
        <f t="shared" si="47"/>
        <v>#VALUE!</v>
      </c>
      <c r="R99" s="27"/>
      <c r="S99" s="26">
        <f t="shared" si="48"/>
        <v>2317</v>
      </c>
      <c r="T99" s="26" t="e">
        <f t="shared" si="49"/>
        <v>#NAME?</v>
      </c>
      <c r="U99" s="27" t="e">
        <f t="shared" si="50"/>
        <v>#NAME?</v>
      </c>
      <c r="V99" s="27"/>
      <c r="W99" s="26">
        <f t="shared" si="51"/>
        <v>1447</v>
      </c>
      <c r="X99" s="26" t="e">
        <f t="shared" si="52"/>
        <v>#NAME?</v>
      </c>
      <c r="Y99" s="27" t="e">
        <f t="shared" si="53"/>
        <v>#NAME?</v>
      </c>
    </row>
    <row r="100" spans="1:25" ht="16.5" customHeight="1" x14ac:dyDescent="0.25">
      <c r="A100" s="16" t="s">
        <v>34</v>
      </c>
      <c r="B100" s="16" t="s">
        <v>35</v>
      </c>
      <c r="C100" s="25">
        <f t="shared" ref="C100:C123" si="54">VLOOKUP(A100,TANFClient_Demo,7,FALSE)</f>
        <v>66</v>
      </c>
      <c r="D100" s="25" t="e">
        <f t="shared" ref="D100:D123" si="55">VLOOKUP(A100,Pop,14,FALSE)</f>
        <v>#NAME?</v>
      </c>
      <c r="E100" s="27" t="e">
        <f t="shared" ref="E100:E123" si="56">+C100/D100</f>
        <v>#NAME?</v>
      </c>
      <c r="F100" s="25"/>
      <c r="G100" s="25">
        <f t="shared" ref="G100:G123" si="57">VLOOKUP(A100,TANFClient_Demo,8,FALSE)</f>
        <v>0</v>
      </c>
      <c r="H100" s="25" t="e">
        <f t="shared" ref="H100:H123" si="58">VLOOKUP(A100,Pop,15,FALSE)</f>
        <v>#NAME?</v>
      </c>
      <c r="I100" s="27" t="e">
        <f t="shared" ref="I100:I123" si="59">+G100/H100</f>
        <v>#NAME?</v>
      </c>
      <c r="J100" s="25"/>
      <c r="K100" s="25">
        <f t="shared" ref="K100:K123" si="60">VLOOKUP(A100,TANFClient_Demo,9,FALSE)</f>
        <v>0</v>
      </c>
      <c r="L100" s="25" t="e">
        <f t="shared" ref="L100:L123" si="61">VLOOKUP(A100,Pop,16,FALSE)</f>
        <v>#NAME?</v>
      </c>
      <c r="M100" s="27" t="e">
        <f t="shared" ref="M100:M123" si="62">+K100/L100</f>
        <v>#NAME?</v>
      </c>
      <c r="N100" s="27"/>
      <c r="O100" s="26" t="str">
        <f t="shared" ref="O100:O123" si="63">VLOOKUP(A100,TANFClient_Demo,3,FALSE)</f>
        <v>Western</v>
      </c>
      <c r="P100" s="26" t="e">
        <f t="shared" ref="P100:P123" si="64">VLOOKUP(A100,Pop,8,FALSE)</f>
        <v>#NAME?</v>
      </c>
      <c r="Q100" s="27" t="e">
        <f t="shared" ref="Q100:Q123" si="65">+O100/P100</f>
        <v>#VALUE!</v>
      </c>
      <c r="R100" s="27"/>
      <c r="S100" s="26">
        <f t="shared" ref="S100:S123" si="66">VLOOKUP(A100,TANFClient_Demo,4,FALSE)</f>
        <v>634</v>
      </c>
      <c r="T100" s="26" t="e">
        <f t="shared" ref="T100:T123" si="67">VLOOKUP(A100,Pop,9,FALSE)</f>
        <v>#NAME?</v>
      </c>
      <c r="U100" s="27" t="e">
        <f t="shared" ref="U100:U123" si="68">+S100/T100</f>
        <v>#NAME?</v>
      </c>
      <c r="V100" s="27"/>
      <c r="W100" s="26">
        <f t="shared" ref="W100:W123" si="69">VLOOKUP(A100,TANFClient_Demo,5,FALSE)</f>
        <v>432</v>
      </c>
      <c r="X100" s="26" t="e">
        <f t="shared" ref="X100:X123" si="70">VLOOKUP(A100,Pop,10,FALSE)</f>
        <v>#NAME?</v>
      </c>
      <c r="Y100" s="27" t="e">
        <f t="shared" ref="Y100:Y123" si="71">+W100/X100</f>
        <v>#NAME?</v>
      </c>
    </row>
    <row r="101" spans="1:25" ht="16.5" customHeight="1" x14ac:dyDescent="0.25">
      <c r="A101" s="16" t="s">
        <v>52</v>
      </c>
      <c r="B101" s="16" t="s">
        <v>53</v>
      </c>
      <c r="C101" s="25">
        <f t="shared" si="54"/>
        <v>98</v>
      </c>
      <c r="D101" s="25" t="e">
        <f t="shared" si="55"/>
        <v>#NAME?</v>
      </c>
      <c r="E101" s="27" t="e">
        <f t="shared" si="56"/>
        <v>#NAME?</v>
      </c>
      <c r="F101" s="25"/>
      <c r="G101" s="25">
        <f t="shared" si="57"/>
        <v>1</v>
      </c>
      <c r="H101" s="25" t="e">
        <f t="shared" si="58"/>
        <v>#NAME?</v>
      </c>
      <c r="I101" s="27" t="e">
        <f t="shared" si="59"/>
        <v>#NAME?</v>
      </c>
      <c r="J101" s="25"/>
      <c r="K101" s="25">
        <f t="shared" si="60"/>
        <v>0</v>
      </c>
      <c r="L101" s="25" t="e">
        <f t="shared" si="61"/>
        <v>#NAME?</v>
      </c>
      <c r="M101" s="27" t="e">
        <f t="shared" si="62"/>
        <v>#NAME?</v>
      </c>
      <c r="N101" s="27"/>
      <c r="O101" s="26" t="str">
        <f t="shared" si="63"/>
        <v>Piedmont</v>
      </c>
      <c r="P101" s="26" t="e">
        <f t="shared" si="64"/>
        <v>#NAME?</v>
      </c>
      <c r="Q101" s="27" t="e">
        <f t="shared" si="65"/>
        <v>#VALUE!</v>
      </c>
      <c r="R101" s="27"/>
      <c r="S101" s="26">
        <f t="shared" si="66"/>
        <v>894</v>
      </c>
      <c r="T101" s="26" t="e">
        <f t="shared" si="67"/>
        <v>#NAME?</v>
      </c>
      <c r="U101" s="27" t="e">
        <f t="shared" si="68"/>
        <v>#NAME?</v>
      </c>
      <c r="V101" s="27"/>
      <c r="W101" s="26">
        <f t="shared" si="69"/>
        <v>581</v>
      </c>
      <c r="X101" s="26" t="e">
        <f t="shared" si="70"/>
        <v>#NAME?</v>
      </c>
      <c r="Y101" s="27" t="e">
        <f t="shared" si="71"/>
        <v>#NAME?</v>
      </c>
    </row>
    <row r="102" spans="1:25" ht="16.5" customHeight="1" x14ac:dyDescent="0.25">
      <c r="A102" s="16" t="s">
        <v>54</v>
      </c>
      <c r="B102" s="16" t="s">
        <v>55</v>
      </c>
      <c r="C102" s="25">
        <f t="shared" si="54"/>
        <v>230</v>
      </c>
      <c r="D102" s="25" t="e">
        <f t="shared" si="55"/>
        <v>#NAME?</v>
      </c>
      <c r="E102" s="27" t="e">
        <f t="shared" si="56"/>
        <v>#NAME?</v>
      </c>
      <c r="F102" s="25"/>
      <c r="G102" s="25">
        <f t="shared" si="57"/>
        <v>1</v>
      </c>
      <c r="H102" s="25" t="e">
        <f t="shared" si="58"/>
        <v>#NAME?</v>
      </c>
      <c r="I102" s="27" t="e">
        <f t="shared" si="59"/>
        <v>#NAME?</v>
      </c>
      <c r="J102" s="25"/>
      <c r="K102" s="25">
        <f t="shared" si="60"/>
        <v>0</v>
      </c>
      <c r="L102" s="25" t="e">
        <f t="shared" si="61"/>
        <v>#NAME?</v>
      </c>
      <c r="M102" s="27" t="e">
        <f t="shared" si="62"/>
        <v>#NAME?</v>
      </c>
      <c r="N102" s="27"/>
      <c r="O102" s="26" t="str">
        <f t="shared" si="63"/>
        <v>Eastern</v>
      </c>
      <c r="P102" s="26" t="e">
        <f t="shared" si="64"/>
        <v>#NAME?</v>
      </c>
      <c r="Q102" s="27" t="e">
        <f t="shared" si="65"/>
        <v>#VALUE!</v>
      </c>
      <c r="R102" s="27"/>
      <c r="S102" s="26">
        <f t="shared" si="66"/>
        <v>2615</v>
      </c>
      <c r="T102" s="26" t="e">
        <f t="shared" si="67"/>
        <v>#NAME?</v>
      </c>
      <c r="U102" s="27" t="e">
        <f t="shared" si="68"/>
        <v>#NAME?</v>
      </c>
      <c r="V102" s="27"/>
      <c r="W102" s="26">
        <f t="shared" si="69"/>
        <v>1833</v>
      </c>
      <c r="X102" s="26" t="e">
        <f t="shared" si="70"/>
        <v>#NAME?</v>
      </c>
      <c r="Y102" s="27" t="e">
        <f t="shared" si="71"/>
        <v>#NAME?</v>
      </c>
    </row>
    <row r="103" spans="1:25" ht="16.5" customHeight="1" x14ac:dyDescent="0.25">
      <c r="A103" s="16" t="s">
        <v>66</v>
      </c>
      <c r="B103" s="16" t="s">
        <v>67</v>
      </c>
      <c r="C103" s="25">
        <f t="shared" si="54"/>
        <v>84</v>
      </c>
      <c r="D103" s="25" t="e">
        <f t="shared" si="55"/>
        <v>#NAME?</v>
      </c>
      <c r="E103" s="27" t="e">
        <f t="shared" si="56"/>
        <v>#NAME?</v>
      </c>
      <c r="F103" s="25"/>
      <c r="G103" s="25">
        <f t="shared" si="57"/>
        <v>4</v>
      </c>
      <c r="H103" s="25" t="e">
        <f t="shared" si="58"/>
        <v>#NAME?</v>
      </c>
      <c r="I103" s="27" t="e">
        <f t="shared" si="59"/>
        <v>#NAME?</v>
      </c>
      <c r="J103" s="25"/>
      <c r="K103" s="25">
        <f t="shared" si="60"/>
        <v>0</v>
      </c>
      <c r="L103" s="25" t="e">
        <f t="shared" si="61"/>
        <v>#NAME?</v>
      </c>
      <c r="M103" s="27" t="e">
        <f t="shared" si="62"/>
        <v>#NAME?</v>
      </c>
      <c r="N103" s="27"/>
      <c r="O103" s="26" t="str">
        <f t="shared" si="63"/>
        <v>Piedmont</v>
      </c>
      <c r="P103" s="26" t="e">
        <f t="shared" si="64"/>
        <v>#NAME?</v>
      </c>
      <c r="Q103" s="27" t="e">
        <f t="shared" si="65"/>
        <v>#VALUE!</v>
      </c>
      <c r="R103" s="27"/>
      <c r="S103" s="26">
        <f t="shared" si="66"/>
        <v>1118</v>
      </c>
      <c r="T103" s="26" t="e">
        <f t="shared" si="67"/>
        <v>#NAME?</v>
      </c>
      <c r="U103" s="27" t="e">
        <f t="shared" si="68"/>
        <v>#NAME?</v>
      </c>
      <c r="V103" s="27"/>
      <c r="W103" s="26">
        <f t="shared" si="69"/>
        <v>801</v>
      </c>
      <c r="X103" s="26" t="e">
        <f t="shared" si="70"/>
        <v>#NAME?</v>
      </c>
      <c r="Y103" s="27" t="e">
        <f t="shared" si="71"/>
        <v>#NAME?</v>
      </c>
    </row>
    <row r="104" spans="1:25" ht="16.5" customHeight="1" x14ac:dyDescent="0.25">
      <c r="A104" s="16" t="s">
        <v>82</v>
      </c>
      <c r="B104" s="16" t="s">
        <v>311</v>
      </c>
      <c r="C104" s="25">
        <f t="shared" si="54"/>
        <v>12</v>
      </c>
      <c r="D104" s="25" t="e">
        <f t="shared" si="55"/>
        <v>#NAME?</v>
      </c>
      <c r="E104" s="27" t="e">
        <f t="shared" si="56"/>
        <v>#NAME?</v>
      </c>
      <c r="F104" s="25"/>
      <c r="G104" s="25">
        <f t="shared" si="57"/>
        <v>0</v>
      </c>
      <c r="H104" s="25" t="e">
        <f t="shared" si="58"/>
        <v>#NAME?</v>
      </c>
      <c r="I104" s="27" t="e">
        <f t="shared" si="59"/>
        <v>#NAME?</v>
      </c>
      <c r="J104" s="25"/>
      <c r="K104" s="25">
        <f t="shared" si="60"/>
        <v>0</v>
      </c>
      <c r="L104" s="25" t="e">
        <f t="shared" si="61"/>
        <v>#NAME?</v>
      </c>
      <c r="M104" s="27" t="e">
        <f t="shared" si="62"/>
        <v>#NAME?</v>
      </c>
      <c r="N104" s="27"/>
      <c r="O104" s="26" t="str">
        <f t="shared" si="63"/>
        <v>Eastern</v>
      </c>
      <c r="P104" s="26" t="e">
        <f t="shared" si="64"/>
        <v>#NAME?</v>
      </c>
      <c r="Q104" s="27" t="e">
        <f t="shared" si="65"/>
        <v>#VALUE!</v>
      </c>
      <c r="R104" s="27"/>
      <c r="S104" s="26">
        <f t="shared" si="66"/>
        <v>261</v>
      </c>
      <c r="T104" s="26" t="e">
        <f t="shared" si="67"/>
        <v>#NAME?</v>
      </c>
      <c r="U104" s="27" t="e">
        <f t="shared" si="68"/>
        <v>#NAME?</v>
      </c>
      <c r="V104" s="27"/>
      <c r="W104" s="26">
        <f t="shared" si="69"/>
        <v>188</v>
      </c>
      <c r="X104" s="26" t="e">
        <f t="shared" si="70"/>
        <v>#NAME?</v>
      </c>
      <c r="Y104" s="27" t="e">
        <f t="shared" si="71"/>
        <v>#NAME?</v>
      </c>
    </row>
    <row r="105" spans="1:25" ht="16.5" customHeight="1" x14ac:dyDescent="0.25">
      <c r="A105" s="16" t="s">
        <v>88</v>
      </c>
      <c r="B105" s="16" t="s">
        <v>89</v>
      </c>
      <c r="C105" s="25">
        <f t="shared" si="54"/>
        <v>51</v>
      </c>
      <c r="D105" s="25" t="e">
        <f t="shared" si="55"/>
        <v>#NAME?</v>
      </c>
      <c r="E105" s="27" t="e">
        <f t="shared" si="56"/>
        <v>#NAME?</v>
      </c>
      <c r="F105" s="25"/>
      <c r="G105" s="25">
        <f t="shared" si="57"/>
        <v>1</v>
      </c>
      <c r="H105" s="25" t="e">
        <f t="shared" si="58"/>
        <v>#NAME?</v>
      </c>
      <c r="I105" s="27" t="e">
        <f t="shared" si="59"/>
        <v>#NAME?</v>
      </c>
      <c r="J105" s="25"/>
      <c r="K105" s="25">
        <f t="shared" si="60"/>
        <v>0</v>
      </c>
      <c r="L105" s="25" t="e">
        <f t="shared" si="61"/>
        <v>#NAME?</v>
      </c>
      <c r="M105" s="27" t="e">
        <f t="shared" si="62"/>
        <v>#NAME?</v>
      </c>
      <c r="N105" s="27"/>
      <c r="O105" s="26" t="str">
        <f t="shared" si="63"/>
        <v>Northern</v>
      </c>
      <c r="P105" s="26" t="e">
        <f t="shared" si="64"/>
        <v>#NAME?</v>
      </c>
      <c r="Q105" s="27" t="e">
        <f t="shared" si="65"/>
        <v>#VALUE!</v>
      </c>
      <c r="R105" s="27"/>
      <c r="S105" s="26">
        <f t="shared" si="66"/>
        <v>777</v>
      </c>
      <c r="T105" s="26" t="e">
        <f t="shared" si="67"/>
        <v>#NAME?</v>
      </c>
      <c r="U105" s="27" t="e">
        <f t="shared" si="68"/>
        <v>#NAME?</v>
      </c>
      <c r="V105" s="27"/>
      <c r="W105" s="26">
        <f t="shared" si="69"/>
        <v>501</v>
      </c>
      <c r="X105" s="26" t="e">
        <f t="shared" si="70"/>
        <v>#NAME?</v>
      </c>
      <c r="Y105" s="27" t="e">
        <f t="shared" si="71"/>
        <v>#NAME?</v>
      </c>
    </row>
    <row r="106" spans="1:25" ht="16.5" customHeight="1" x14ac:dyDescent="0.25">
      <c r="A106" s="16" t="s">
        <v>90</v>
      </c>
      <c r="B106" s="16" t="s">
        <v>91</v>
      </c>
      <c r="C106" s="25">
        <f t="shared" si="54"/>
        <v>7</v>
      </c>
      <c r="D106" s="25" t="e">
        <f t="shared" si="55"/>
        <v>#NAME?</v>
      </c>
      <c r="E106" s="27" t="e">
        <f t="shared" si="56"/>
        <v>#NAME?</v>
      </c>
      <c r="F106" s="25"/>
      <c r="G106" s="25">
        <f t="shared" si="57"/>
        <v>0</v>
      </c>
      <c r="H106" s="25" t="e">
        <f t="shared" si="58"/>
        <v>#NAME?</v>
      </c>
      <c r="I106" s="27" t="e">
        <f t="shared" si="59"/>
        <v>#NAME?</v>
      </c>
      <c r="J106" s="25"/>
      <c r="K106" s="25">
        <f t="shared" si="60"/>
        <v>0</v>
      </c>
      <c r="L106" s="25" t="e">
        <f t="shared" si="61"/>
        <v>#NAME?</v>
      </c>
      <c r="M106" s="27" t="e">
        <f t="shared" si="62"/>
        <v>#NAME?</v>
      </c>
      <c r="N106" s="27"/>
      <c r="O106" s="26" t="str">
        <f t="shared" si="63"/>
        <v>Western</v>
      </c>
      <c r="P106" s="26" t="e">
        <f t="shared" si="64"/>
        <v>#NAME?</v>
      </c>
      <c r="Q106" s="27" t="e">
        <f t="shared" si="65"/>
        <v>#VALUE!</v>
      </c>
      <c r="R106" s="27"/>
      <c r="S106" s="26">
        <f t="shared" si="66"/>
        <v>127</v>
      </c>
      <c r="T106" s="26" t="e">
        <f t="shared" si="67"/>
        <v>#NAME?</v>
      </c>
      <c r="U106" s="27" t="e">
        <f t="shared" si="68"/>
        <v>#NAME?</v>
      </c>
      <c r="V106" s="27"/>
      <c r="W106" s="26">
        <f t="shared" si="69"/>
        <v>98</v>
      </c>
      <c r="X106" s="26" t="e">
        <f t="shared" si="70"/>
        <v>#NAME?</v>
      </c>
      <c r="Y106" s="27" t="e">
        <f t="shared" si="71"/>
        <v>#NAME?</v>
      </c>
    </row>
    <row r="107" spans="1:25" ht="16.5" customHeight="1" x14ac:dyDescent="0.25">
      <c r="A107" s="16" t="s">
        <v>106</v>
      </c>
      <c r="B107" s="16" t="s">
        <v>107</v>
      </c>
      <c r="C107" s="25">
        <f t="shared" si="54"/>
        <v>299</v>
      </c>
      <c r="D107" s="25" t="e">
        <f t="shared" si="55"/>
        <v>#NAME?</v>
      </c>
      <c r="E107" s="27" t="e">
        <f t="shared" si="56"/>
        <v>#NAME?</v>
      </c>
      <c r="F107" s="25"/>
      <c r="G107" s="25">
        <f t="shared" si="57"/>
        <v>0</v>
      </c>
      <c r="H107" s="25" t="e">
        <f t="shared" si="58"/>
        <v>#NAME?</v>
      </c>
      <c r="I107" s="27" t="e">
        <f t="shared" si="59"/>
        <v>#NAME?</v>
      </c>
      <c r="J107" s="25"/>
      <c r="K107" s="25">
        <f t="shared" si="60"/>
        <v>0</v>
      </c>
      <c r="L107" s="25" t="e">
        <f t="shared" si="61"/>
        <v>#NAME?</v>
      </c>
      <c r="M107" s="27" t="e">
        <f t="shared" si="62"/>
        <v>#NAME?</v>
      </c>
      <c r="N107" s="27"/>
      <c r="O107" s="26" t="str">
        <f t="shared" si="63"/>
        <v>Eastern</v>
      </c>
      <c r="P107" s="26" t="e">
        <f t="shared" si="64"/>
        <v>#NAME?</v>
      </c>
      <c r="Q107" s="27" t="e">
        <f t="shared" si="65"/>
        <v>#VALUE!</v>
      </c>
      <c r="R107" s="27"/>
      <c r="S107" s="26">
        <f t="shared" si="66"/>
        <v>3421</v>
      </c>
      <c r="T107" s="26" t="e">
        <f t="shared" si="67"/>
        <v>#NAME?</v>
      </c>
      <c r="U107" s="27" t="e">
        <f t="shared" si="68"/>
        <v>#NAME?</v>
      </c>
      <c r="V107" s="27"/>
      <c r="W107" s="26">
        <f t="shared" si="69"/>
        <v>2354</v>
      </c>
      <c r="X107" s="26" t="e">
        <f t="shared" si="70"/>
        <v>#NAME?</v>
      </c>
      <c r="Y107" s="27" t="e">
        <f t="shared" si="71"/>
        <v>#NAME?</v>
      </c>
    </row>
    <row r="108" spans="1:25" ht="16.5" customHeight="1" x14ac:dyDescent="0.25">
      <c r="A108" s="16" t="s">
        <v>116</v>
      </c>
      <c r="B108" s="16" t="s">
        <v>117</v>
      </c>
      <c r="C108" s="25">
        <f t="shared" si="54"/>
        <v>69</v>
      </c>
      <c r="D108" s="25" t="e">
        <f t="shared" si="55"/>
        <v>#NAME?</v>
      </c>
      <c r="E108" s="27" t="e">
        <f t="shared" si="56"/>
        <v>#NAME?</v>
      </c>
      <c r="F108" s="25"/>
      <c r="G108" s="25">
        <f t="shared" si="57"/>
        <v>1</v>
      </c>
      <c r="H108" s="25" t="e">
        <f t="shared" si="58"/>
        <v>#NAME?</v>
      </c>
      <c r="I108" s="27" t="e">
        <f t="shared" si="59"/>
        <v>#NAME?</v>
      </c>
      <c r="J108" s="25"/>
      <c r="K108" s="25">
        <f t="shared" si="60"/>
        <v>0</v>
      </c>
      <c r="L108" s="25" t="e">
        <f t="shared" si="61"/>
        <v>#NAME?</v>
      </c>
      <c r="M108" s="27" t="e">
        <f t="shared" si="62"/>
        <v>#NAME?</v>
      </c>
      <c r="N108" s="27"/>
      <c r="O108" s="26" t="str">
        <f t="shared" si="63"/>
        <v>Central</v>
      </c>
      <c r="P108" s="26" t="e">
        <f t="shared" si="64"/>
        <v>#NAME?</v>
      </c>
      <c r="Q108" s="27" t="e">
        <f t="shared" si="65"/>
        <v>#VALUE!</v>
      </c>
      <c r="R108" s="27"/>
      <c r="S108" s="26">
        <f t="shared" si="66"/>
        <v>993</v>
      </c>
      <c r="T108" s="26" t="e">
        <f t="shared" si="67"/>
        <v>#NAME?</v>
      </c>
      <c r="U108" s="27" t="e">
        <f t="shared" si="68"/>
        <v>#NAME?</v>
      </c>
      <c r="V108" s="27"/>
      <c r="W108" s="26">
        <f t="shared" si="69"/>
        <v>674</v>
      </c>
      <c r="X108" s="26" t="e">
        <f t="shared" si="70"/>
        <v>#NAME?</v>
      </c>
      <c r="Y108" s="27" t="e">
        <f t="shared" si="71"/>
        <v>#NAME?</v>
      </c>
    </row>
    <row r="109" spans="1:25" ht="16.5" customHeight="1" x14ac:dyDescent="0.25">
      <c r="A109" s="16" t="s">
        <v>138</v>
      </c>
      <c r="B109" s="16" t="s">
        <v>139</v>
      </c>
      <c r="C109" s="25">
        <f t="shared" si="54"/>
        <v>91</v>
      </c>
      <c r="D109" s="25" t="e">
        <f t="shared" si="55"/>
        <v>#NAME?</v>
      </c>
      <c r="E109" s="27" t="e">
        <f t="shared" si="56"/>
        <v>#NAME?</v>
      </c>
      <c r="F109" s="25"/>
      <c r="G109" s="25">
        <f t="shared" si="57"/>
        <v>1</v>
      </c>
      <c r="H109" s="25" t="e">
        <f t="shared" si="58"/>
        <v>#NAME?</v>
      </c>
      <c r="I109" s="27" t="e">
        <f t="shared" si="59"/>
        <v>#NAME?</v>
      </c>
      <c r="J109" s="25"/>
      <c r="K109" s="25">
        <f t="shared" si="60"/>
        <v>0</v>
      </c>
      <c r="L109" s="25" t="e">
        <f t="shared" si="61"/>
        <v>#NAME?</v>
      </c>
      <c r="M109" s="27" t="e">
        <f t="shared" si="62"/>
        <v>#NAME?</v>
      </c>
      <c r="N109" s="27"/>
      <c r="O109" s="26" t="str">
        <f t="shared" si="63"/>
        <v>Piedmont</v>
      </c>
      <c r="P109" s="26" t="e">
        <f t="shared" si="64"/>
        <v>#NAME?</v>
      </c>
      <c r="Q109" s="27" t="e">
        <f t="shared" si="65"/>
        <v>#VALUE!</v>
      </c>
      <c r="R109" s="27"/>
      <c r="S109" s="26">
        <f t="shared" si="66"/>
        <v>1334</v>
      </c>
      <c r="T109" s="26" t="e">
        <f t="shared" si="67"/>
        <v>#NAME?</v>
      </c>
      <c r="U109" s="27" t="e">
        <f t="shared" si="68"/>
        <v>#NAME?</v>
      </c>
      <c r="V109" s="27"/>
      <c r="W109" s="26">
        <f t="shared" si="69"/>
        <v>919</v>
      </c>
      <c r="X109" s="26" t="e">
        <f t="shared" si="70"/>
        <v>#NAME?</v>
      </c>
      <c r="Y109" s="27" t="e">
        <f t="shared" si="71"/>
        <v>#NAME?</v>
      </c>
    </row>
    <row r="110" spans="1:25" ht="16.5" customHeight="1" x14ac:dyDescent="0.25">
      <c r="A110" s="16" t="s">
        <v>142</v>
      </c>
      <c r="B110" s="16" t="s">
        <v>143</v>
      </c>
      <c r="C110" s="25">
        <f t="shared" si="54"/>
        <v>28</v>
      </c>
      <c r="D110" s="25" t="e">
        <f t="shared" si="55"/>
        <v>#NAME?</v>
      </c>
      <c r="E110" s="27" t="e">
        <f t="shared" si="56"/>
        <v>#NAME?</v>
      </c>
      <c r="F110" s="25"/>
      <c r="G110" s="25">
        <f t="shared" si="57"/>
        <v>0</v>
      </c>
      <c r="H110" s="25" t="e">
        <f t="shared" si="58"/>
        <v>#NAME?</v>
      </c>
      <c r="I110" s="27" t="e">
        <f t="shared" si="59"/>
        <v>#NAME?</v>
      </c>
      <c r="J110" s="25"/>
      <c r="K110" s="25">
        <f t="shared" si="60"/>
        <v>0</v>
      </c>
      <c r="L110" s="25" t="e">
        <f t="shared" si="61"/>
        <v>#NAME?</v>
      </c>
      <c r="M110" s="27" t="e">
        <f t="shared" si="62"/>
        <v>#NAME?</v>
      </c>
      <c r="N110" s="27"/>
      <c r="O110" s="26" t="str">
        <f t="shared" si="63"/>
        <v>Northern</v>
      </c>
      <c r="P110" s="26" t="e">
        <f t="shared" si="64"/>
        <v>#NAME?</v>
      </c>
      <c r="Q110" s="27" t="e">
        <f t="shared" si="65"/>
        <v>#VALUE!</v>
      </c>
      <c r="R110" s="27"/>
      <c r="S110" s="26">
        <f t="shared" si="66"/>
        <v>405</v>
      </c>
      <c r="T110" s="26" t="e">
        <f t="shared" si="67"/>
        <v>#NAME?</v>
      </c>
      <c r="U110" s="27" t="e">
        <f t="shared" si="68"/>
        <v>#NAME?</v>
      </c>
      <c r="V110" s="27"/>
      <c r="W110" s="26">
        <f t="shared" si="69"/>
        <v>290</v>
      </c>
      <c r="X110" s="26" t="e">
        <f t="shared" si="70"/>
        <v>#NAME?</v>
      </c>
      <c r="Y110" s="27" t="e">
        <f t="shared" si="71"/>
        <v>#NAME?</v>
      </c>
    </row>
    <row r="111" spans="1:25" ht="16.5" customHeight="1" x14ac:dyDescent="0.25">
      <c r="A111" s="16" t="s">
        <v>144</v>
      </c>
      <c r="B111" s="16" t="s">
        <v>145</v>
      </c>
      <c r="C111" s="25">
        <f t="shared" si="54"/>
        <v>15</v>
      </c>
      <c r="D111" s="25" t="e">
        <f t="shared" si="55"/>
        <v>#NAME?</v>
      </c>
      <c r="E111" s="27" t="e">
        <f t="shared" si="56"/>
        <v>#NAME?</v>
      </c>
      <c r="F111" s="25"/>
      <c r="G111" s="25">
        <f t="shared" si="57"/>
        <v>0</v>
      </c>
      <c r="H111" s="25" t="e">
        <f t="shared" si="58"/>
        <v>#NAME?</v>
      </c>
      <c r="I111" s="27" t="e">
        <f t="shared" si="59"/>
        <v>#NAME?</v>
      </c>
      <c r="J111" s="25"/>
      <c r="K111" s="25">
        <f t="shared" si="60"/>
        <v>0</v>
      </c>
      <c r="L111" s="25" t="e">
        <f t="shared" si="61"/>
        <v>#NAME?</v>
      </c>
      <c r="M111" s="27" t="e">
        <f t="shared" si="62"/>
        <v>#NAME?</v>
      </c>
      <c r="N111" s="27"/>
      <c r="O111" s="26" t="str">
        <f t="shared" si="63"/>
        <v>Northern</v>
      </c>
      <c r="P111" s="26" t="e">
        <f t="shared" si="64"/>
        <v>#NAME?</v>
      </c>
      <c r="Q111" s="27" t="e">
        <f t="shared" si="65"/>
        <v>#VALUE!</v>
      </c>
      <c r="R111" s="27"/>
      <c r="S111" s="26">
        <f t="shared" si="66"/>
        <v>128</v>
      </c>
      <c r="T111" s="26" t="e">
        <f t="shared" si="67"/>
        <v>#NAME?</v>
      </c>
      <c r="U111" s="27" t="e">
        <f t="shared" si="68"/>
        <v>#NAME?</v>
      </c>
      <c r="V111" s="27"/>
      <c r="W111" s="26">
        <f t="shared" si="69"/>
        <v>85</v>
      </c>
      <c r="X111" s="26" t="e">
        <f t="shared" si="70"/>
        <v>#NAME?</v>
      </c>
      <c r="Y111" s="27" t="e">
        <f t="shared" si="71"/>
        <v>#NAME?</v>
      </c>
    </row>
    <row r="112" spans="1:25" ht="16.5" customHeight="1" x14ac:dyDescent="0.25">
      <c r="A112" s="16" t="s">
        <v>158</v>
      </c>
      <c r="B112" s="16" t="s">
        <v>159</v>
      </c>
      <c r="C112" s="25">
        <f t="shared" si="54"/>
        <v>501</v>
      </c>
      <c r="D112" s="25" t="e">
        <f t="shared" si="55"/>
        <v>#NAME?</v>
      </c>
      <c r="E112" s="27" t="e">
        <f t="shared" si="56"/>
        <v>#NAME?</v>
      </c>
      <c r="F112" s="25"/>
      <c r="G112" s="25">
        <f t="shared" si="57"/>
        <v>1</v>
      </c>
      <c r="H112" s="25" t="e">
        <f t="shared" si="58"/>
        <v>#NAME?</v>
      </c>
      <c r="I112" s="27" t="e">
        <f t="shared" si="59"/>
        <v>#NAME?</v>
      </c>
      <c r="J112" s="25"/>
      <c r="K112" s="25">
        <f t="shared" si="60"/>
        <v>0</v>
      </c>
      <c r="L112" s="25" t="e">
        <f t="shared" si="61"/>
        <v>#NAME?</v>
      </c>
      <c r="M112" s="27" t="e">
        <f t="shared" si="62"/>
        <v>#NAME?</v>
      </c>
      <c r="N112" s="27"/>
      <c r="O112" s="26" t="str">
        <f t="shared" si="63"/>
        <v>Eastern</v>
      </c>
      <c r="P112" s="26" t="e">
        <f t="shared" si="64"/>
        <v>#NAME?</v>
      </c>
      <c r="Q112" s="27" t="e">
        <f t="shared" si="65"/>
        <v>#VALUE!</v>
      </c>
      <c r="R112" s="27"/>
      <c r="S112" s="26">
        <f t="shared" si="66"/>
        <v>5596</v>
      </c>
      <c r="T112" s="26" t="e">
        <f t="shared" si="67"/>
        <v>#NAME?</v>
      </c>
      <c r="U112" s="27" t="e">
        <f t="shared" si="68"/>
        <v>#NAME?</v>
      </c>
      <c r="V112" s="27"/>
      <c r="W112" s="26">
        <f t="shared" si="69"/>
        <v>3789</v>
      </c>
      <c r="X112" s="26" t="e">
        <f t="shared" si="70"/>
        <v>#NAME?</v>
      </c>
      <c r="Y112" s="27" t="e">
        <f t="shared" si="71"/>
        <v>#NAME?</v>
      </c>
    </row>
    <row r="113" spans="1:25" ht="16.5" customHeight="1" x14ac:dyDescent="0.25">
      <c r="A113" s="16" t="s">
        <v>160</v>
      </c>
      <c r="B113" s="16" t="s">
        <v>161</v>
      </c>
      <c r="C113" s="25">
        <f t="shared" si="54"/>
        <v>350</v>
      </c>
      <c r="D113" s="25" t="e">
        <f t="shared" si="55"/>
        <v>#NAME?</v>
      </c>
      <c r="E113" s="27" t="e">
        <f t="shared" si="56"/>
        <v>#NAME?</v>
      </c>
      <c r="F113" s="25"/>
      <c r="G113" s="25">
        <f t="shared" si="57"/>
        <v>4</v>
      </c>
      <c r="H113" s="25" t="e">
        <f t="shared" si="58"/>
        <v>#NAME?</v>
      </c>
      <c r="I113" s="27" t="e">
        <f t="shared" si="59"/>
        <v>#NAME?</v>
      </c>
      <c r="J113" s="25"/>
      <c r="K113" s="25">
        <f t="shared" si="60"/>
        <v>1</v>
      </c>
      <c r="L113" s="25" t="e">
        <f t="shared" si="61"/>
        <v>#NAME?</v>
      </c>
      <c r="M113" s="27" t="e">
        <f t="shared" si="62"/>
        <v>#NAME?</v>
      </c>
      <c r="N113" s="27"/>
      <c r="O113" s="26" t="str">
        <f t="shared" si="63"/>
        <v>Eastern</v>
      </c>
      <c r="P113" s="26" t="e">
        <f t="shared" si="64"/>
        <v>#NAME?</v>
      </c>
      <c r="Q113" s="27" t="e">
        <f t="shared" si="65"/>
        <v>#VALUE!</v>
      </c>
      <c r="R113" s="27"/>
      <c r="S113" s="26">
        <f t="shared" si="66"/>
        <v>4860</v>
      </c>
      <c r="T113" s="26" t="e">
        <f t="shared" si="67"/>
        <v>#NAME?</v>
      </c>
      <c r="U113" s="27" t="e">
        <f t="shared" si="68"/>
        <v>#NAME?</v>
      </c>
      <c r="V113" s="27"/>
      <c r="W113" s="26">
        <f t="shared" si="69"/>
        <v>3442</v>
      </c>
      <c r="X113" s="26" t="e">
        <f t="shared" si="70"/>
        <v>#NAME?</v>
      </c>
      <c r="Y113" s="27" t="e">
        <f t="shared" si="71"/>
        <v>#NAME?</v>
      </c>
    </row>
    <row r="114" spans="1:25" ht="16.5" customHeight="1" x14ac:dyDescent="0.25">
      <c r="A114" s="16" t="s">
        <v>166</v>
      </c>
      <c r="B114" s="16" t="s">
        <v>167</v>
      </c>
      <c r="C114" s="25">
        <f t="shared" si="54"/>
        <v>19</v>
      </c>
      <c r="D114" s="25" t="e">
        <f t="shared" si="55"/>
        <v>#NAME?</v>
      </c>
      <c r="E114" s="27" t="e">
        <f t="shared" si="56"/>
        <v>#NAME?</v>
      </c>
      <c r="F114" s="25"/>
      <c r="G114" s="25">
        <f t="shared" si="57"/>
        <v>0</v>
      </c>
      <c r="H114" s="25" t="e">
        <f t="shared" si="58"/>
        <v>#NAME?</v>
      </c>
      <c r="I114" s="27" t="e">
        <f t="shared" si="59"/>
        <v>#NAME?</v>
      </c>
      <c r="J114" s="25"/>
      <c r="K114" s="25">
        <f t="shared" si="60"/>
        <v>0</v>
      </c>
      <c r="L114" s="25" t="e">
        <f t="shared" si="61"/>
        <v>#NAME?</v>
      </c>
      <c r="M114" s="27" t="e">
        <f t="shared" si="62"/>
        <v>#NAME?</v>
      </c>
      <c r="N114" s="27"/>
      <c r="O114" s="26" t="str">
        <f t="shared" si="63"/>
        <v>Western</v>
      </c>
      <c r="P114" s="26" t="e">
        <f t="shared" si="64"/>
        <v>#NAME?</v>
      </c>
      <c r="Q114" s="27" t="e">
        <f t="shared" si="65"/>
        <v>#VALUE!</v>
      </c>
      <c r="R114" s="27"/>
      <c r="S114" s="26">
        <f t="shared" si="66"/>
        <v>138</v>
      </c>
      <c r="T114" s="26" t="e">
        <f t="shared" si="67"/>
        <v>#NAME?</v>
      </c>
      <c r="U114" s="27" t="e">
        <f t="shared" si="68"/>
        <v>#NAME?</v>
      </c>
      <c r="V114" s="27"/>
      <c r="W114" s="26">
        <f t="shared" si="69"/>
        <v>85</v>
      </c>
      <c r="X114" s="26" t="e">
        <f t="shared" si="70"/>
        <v>#NAME?</v>
      </c>
      <c r="Y114" s="27" t="e">
        <f t="shared" si="71"/>
        <v>#NAME?</v>
      </c>
    </row>
    <row r="115" spans="1:25" ht="16.5" customHeight="1" x14ac:dyDescent="0.25">
      <c r="A115" s="16" t="s">
        <v>176</v>
      </c>
      <c r="B115" s="16" t="s">
        <v>177</v>
      </c>
      <c r="C115" s="25">
        <f t="shared" si="54"/>
        <v>89</v>
      </c>
      <c r="D115" s="25" t="e">
        <f t="shared" si="55"/>
        <v>#NAME?</v>
      </c>
      <c r="E115" s="27" t="e">
        <f t="shared" si="56"/>
        <v>#NAME?</v>
      </c>
      <c r="F115" s="25"/>
      <c r="G115" s="25">
        <f t="shared" si="57"/>
        <v>1</v>
      </c>
      <c r="H115" s="25" t="e">
        <f t="shared" si="58"/>
        <v>#NAME?</v>
      </c>
      <c r="I115" s="27" t="e">
        <f t="shared" si="59"/>
        <v>#NAME?</v>
      </c>
      <c r="J115" s="25"/>
      <c r="K115" s="25">
        <f t="shared" si="60"/>
        <v>0</v>
      </c>
      <c r="L115" s="25" t="e">
        <f t="shared" si="61"/>
        <v>#NAME?</v>
      </c>
      <c r="M115" s="27" t="e">
        <f t="shared" si="62"/>
        <v>#NAME?</v>
      </c>
      <c r="N115" s="27"/>
      <c r="O115" s="26" t="str">
        <f t="shared" si="63"/>
        <v>Central</v>
      </c>
      <c r="P115" s="26" t="e">
        <f t="shared" si="64"/>
        <v>#NAME?</v>
      </c>
      <c r="Q115" s="27" t="e">
        <f t="shared" si="65"/>
        <v>#VALUE!</v>
      </c>
      <c r="R115" s="27"/>
      <c r="S115" s="26">
        <f t="shared" si="66"/>
        <v>1380</v>
      </c>
      <c r="T115" s="26" t="e">
        <f t="shared" si="67"/>
        <v>#NAME?</v>
      </c>
      <c r="U115" s="27" t="e">
        <f t="shared" si="68"/>
        <v>#NAME?</v>
      </c>
      <c r="V115" s="27"/>
      <c r="W115" s="26">
        <f t="shared" si="69"/>
        <v>941</v>
      </c>
      <c r="X115" s="26" t="e">
        <f t="shared" si="70"/>
        <v>#NAME?</v>
      </c>
      <c r="Y115" s="27" t="e">
        <f t="shared" si="71"/>
        <v>#NAME?</v>
      </c>
    </row>
    <row r="116" spans="1:25" ht="16.5" customHeight="1" x14ac:dyDescent="0.25">
      <c r="A116" s="16" t="s">
        <v>180</v>
      </c>
      <c r="B116" s="16" t="s">
        <v>181</v>
      </c>
      <c r="C116" s="25">
        <f t="shared" si="54"/>
        <v>149</v>
      </c>
      <c r="D116" s="25" t="e">
        <f t="shared" si="55"/>
        <v>#NAME?</v>
      </c>
      <c r="E116" s="27" t="e">
        <f t="shared" si="56"/>
        <v>#NAME?</v>
      </c>
      <c r="F116" s="25"/>
      <c r="G116" s="25">
        <f t="shared" si="57"/>
        <v>3</v>
      </c>
      <c r="H116" s="25" t="e">
        <f t="shared" si="58"/>
        <v>#NAME?</v>
      </c>
      <c r="I116" s="27" t="e">
        <f t="shared" si="59"/>
        <v>#NAME?</v>
      </c>
      <c r="J116" s="25"/>
      <c r="K116" s="25">
        <f t="shared" si="60"/>
        <v>0</v>
      </c>
      <c r="L116" s="25" t="e">
        <f t="shared" si="61"/>
        <v>#NAME?</v>
      </c>
      <c r="M116" s="27" t="e">
        <f t="shared" si="62"/>
        <v>#NAME?</v>
      </c>
      <c r="N116" s="27"/>
      <c r="O116" s="26" t="str">
        <f t="shared" si="63"/>
        <v>Eastern</v>
      </c>
      <c r="P116" s="26" t="e">
        <f t="shared" si="64"/>
        <v>#NAME?</v>
      </c>
      <c r="Q116" s="27" t="e">
        <f t="shared" si="65"/>
        <v>#VALUE!</v>
      </c>
      <c r="R116" s="27"/>
      <c r="S116" s="26">
        <f t="shared" si="66"/>
        <v>2777</v>
      </c>
      <c r="T116" s="26" t="e">
        <f t="shared" si="67"/>
        <v>#NAME?</v>
      </c>
      <c r="U116" s="27" t="e">
        <f t="shared" si="68"/>
        <v>#NAME?</v>
      </c>
      <c r="V116" s="27"/>
      <c r="W116" s="26">
        <f t="shared" si="69"/>
        <v>1967</v>
      </c>
      <c r="X116" s="26" t="e">
        <f t="shared" si="70"/>
        <v>#NAME?</v>
      </c>
      <c r="Y116" s="27" t="e">
        <f t="shared" si="71"/>
        <v>#NAME?</v>
      </c>
    </row>
    <row r="117" spans="1:25" ht="16.5" customHeight="1" x14ac:dyDescent="0.25">
      <c r="A117" s="16" t="s">
        <v>192</v>
      </c>
      <c r="B117" s="16" t="s">
        <v>193</v>
      </c>
      <c r="C117" s="25">
        <f t="shared" si="54"/>
        <v>12</v>
      </c>
      <c r="D117" s="25" t="e">
        <f t="shared" si="55"/>
        <v>#NAME?</v>
      </c>
      <c r="E117" s="27" t="e">
        <f t="shared" si="56"/>
        <v>#NAME?</v>
      </c>
      <c r="F117" s="25"/>
      <c r="G117" s="25">
        <f t="shared" si="57"/>
        <v>1</v>
      </c>
      <c r="H117" s="25" t="e">
        <f t="shared" si="58"/>
        <v>#NAME?</v>
      </c>
      <c r="I117" s="27" t="e">
        <f t="shared" si="59"/>
        <v>#NAME?</v>
      </c>
      <c r="J117" s="25"/>
      <c r="K117" s="25">
        <f t="shared" si="60"/>
        <v>0</v>
      </c>
      <c r="L117" s="25" t="e">
        <f t="shared" si="61"/>
        <v>#NAME?</v>
      </c>
      <c r="M117" s="27" t="e">
        <f t="shared" si="62"/>
        <v>#NAME?</v>
      </c>
      <c r="N117" s="27"/>
      <c r="O117" s="26" t="str">
        <f t="shared" si="63"/>
        <v>Western</v>
      </c>
      <c r="P117" s="26" t="e">
        <f t="shared" si="64"/>
        <v>#NAME?</v>
      </c>
      <c r="Q117" s="27" t="e">
        <f t="shared" si="65"/>
        <v>#VALUE!</v>
      </c>
      <c r="R117" s="27"/>
      <c r="S117" s="26">
        <f t="shared" si="66"/>
        <v>230</v>
      </c>
      <c r="T117" s="26" t="e">
        <f t="shared" si="67"/>
        <v>#NAME?</v>
      </c>
      <c r="U117" s="27" t="e">
        <f t="shared" si="68"/>
        <v>#NAME?</v>
      </c>
      <c r="V117" s="27"/>
      <c r="W117" s="26">
        <f t="shared" si="69"/>
        <v>167</v>
      </c>
      <c r="X117" s="26" t="e">
        <f t="shared" si="70"/>
        <v>#NAME?</v>
      </c>
      <c r="Y117" s="27" t="e">
        <f t="shared" si="71"/>
        <v>#NAME?</v>
      </c>
    </row>
    <row r="118" spans="1:25" ht="16.5" customHeight="1" x14ac:dyDescent="0.25">
      <c r="A118" s="16" t="s">
        <v>196</v>
      </c>
      <c r="B118" s="16" t="s">
        <v>312</v>
      </c>
      <c r="C118" s="25">
        <f t="shared" si="54"/>
        <v>408</v>
      </c>
      <c r="D118" s="25" t="e">
        <f t="shared" si="55"/>
        <v>#NAME?</v>
      </c>
      <c r="E118" s="27" t="e">
        <f t="shared" si="56"/>
        <v>#NAME?</v>
      </c>
      <c r="F118" s="25"/>
      <c r="G118" s="25">
        <f t="shared" si="57"/>
        <v>14</v>
      </c>
      <c r="H118" s="25" t="e">
        <f t="shared" si="58"/>
        <v>#NAME?</v>
      </c>
      <c r="I118" s="27" t="e">
        <f t="shared" si="59"/>
        <v>#NAME?</v>
      </c>
      <c r="J118" s="25"/>
      <c r="K118" s="25">
        <f t="shared" si="60"/>
        <v>0</v>
      </c>
      <c r="L118" s="25" t="e">
        <f t="shared" si="61"/>
        <v>#NAME?</v>
      </c>
      <c r="M118" s="27" t="e">
        <f t="shared" si="62"/>
        <v>#NAME?</v>
      </c>
      <c r="N118" s="27"/>
      <c r="O118" s="26" t="str">
        <f t="shared" si="63"/>
        <v>Central</v>
      </c>
      <c r="P118" s="26" t="e">
        <f t="shared" si="64"/>
        <v>#NAME?</v>
      </c>
      <c r="Q118" s="27" t="e">
        <f t="shared" si="65"/>
        <v>#VALUE!</v>
      </c>
      <c r="R118" s="27"/>
      <c r="S118" s="26">
        <f t="shared" si="66"/>
        <v>6116</v>
      </c>
      <c r="T118" s="26" t="e">
        <f t="shared" si="67"/>
        <v>#NAME?</v>
      </c>
      <c r="U118" s="27" t="e">
        <f t="shared" si="68"/>
        <v>#NAME?</v>
      </c>
      <c r="V118" s="27"/>
      <c r="W118" s="26">
        <f t="shared" si="69"/>
        <v>4269</v>
      </c>
      <c r="X118" s="26" t="e">
        <f t="shared" si="70"/>
        <v>#NAME?</v>
      </c>
      <c r="Y118" s="27" t="e">
        <f t="shared" si="71"/>
        <v>#NAME?</v>
      </c>
    </row>
    <row r="119" spans="1:25" ht="16.5" customHeight="1" x14ac:dyDescent="0.25">
      <c r="A119" s="16" t="s">
        <v>200</v>
      </c>
      <c r="B119" s="16" t="s">
        <v>313</v>
      </c>
      <c r="C119" s="25">
        <f t="shared" si="54"/>
        <v>250</v>
      </c>
      <c r="D119" s="25" t="e">
        <f t="shared" si="55"/>
        <v>#NAME?</v>
      </c>
      <c r="E119" s="27" t="e">
        <f t="shared" si="56"/>
        <v>#NAME?</v>
      </c>
      <c r="F119" s="25"/>
      <c r="G119" s="25">
        <f t="shared" si="57"/>
        <v>3</v>
      </c>
      <c r="H119" s="25" t="e">
        <f t="shared" si="58"/>
        <v>#NAME?</v>
      </c>
      <c r="I119" s="27" t="e">
        <f t="shared" si="59"/>
        <v>#NAME?</v>
      </c>
      <c r="J119" s="25"/>
      <c r="K119" s="25">
        <f t="shared" si="60"/>
        <v>0</v>
      </c>
      <c r="L119" s="25" t="e">
        <f t="shared" si="61"/>
        <v>#NAME?</v>
      </c>
      <c r="M119" s="27" t="e">
        <f t="shared" si="62"/>
        <v>#NAME?</v>
      </c>
      <c r="N119" s="27"/>
      <c r="O119" s="26" t="str">
        <f t="shared" si="63"/>
        <v>Piedmont</v>
      </c>
      <c r="P119" s="26" t="e">
        <f t="shared" si="64"/>
        <v>#NAME?</v>
      </c>
      <c r="Q119" s="27" t="e">
        <f t="shared" si="65"/>
        <v>#VALUE!</v>
      </c>
      <c r="R119" s="27"/>
      <c r="S119" s="26">
        <f t="shared" si="66"/>
        <v>3086</v>
      </c>
      <c r="T119" s="26" t="e">
        <f t="shared" si="67"/>
        <v>#NAME?</v>
      </c>
      <c r="U119" s="27" t="e">
        <f t="shared" si="68"/>
        <v>#NAME?</v>
      </c>
      <c r="V119" s="27"/>
      <c r="W119" s="26">
        <f t="shared" si="69"/>
        <v>2163</v>
      </c>
      <c r="X119" s="26" t="e">
        <f t="shared" si="70"/>
        <v>#NAME?</v>
      </c>
      <c r="Y119" s="27" t="e">
        <f t="shared" si="71"/>
        <v>#NAME?</v>
      </c>
    </row>
    <row r="120" spans="1:25" ht="16.5" customHeight="1" x14ac:dyDescent="0.25">
      <c r="A120" s="16" t="s">
        <v>222</v>
      </c>
      <c r="B120" s="16" t="s">
        <v>223</v>
      </c>
      <c r="C120" s="25">
        <f t="shared" si="54"/>
        <v>76</v>
      </c>
      <c r="D120" s="25" t="e">
        <f t="shared" si="55"/>
        <v>#NAME?</v>
      </c>
      <c r="E120" s="27" t="e">
        <f t="shared" si="56"/>
        <v>#NAME?</v>
      </c>
      <c r="F120" s="25"/>
      <c r="G120" s="25">
        <f t="shared" si="57"/>
        <v>0</v>
      </c>
      <c r="H120" s="25" t="e">
        <f t="shared" si="58"/>
        <v>#NAME?</v>
      </c>
      <c r="I120" s="27" t="e">
        <f t="shared" si="59"/>
        <v>#NAME?</v>
      </c>
      <c r="J120" s="25"/>
      <c r="K120" s="25">
        <f t="shared" si="60"/>
        <v>0</v>
      </c>
      <c r="L120" s="25" t="e">
        <f t="shared" si="61"/>
        <v>#NAME?</v>
      </c>
      <c r="M120" s="27" t="e">
        <f t="shared" si="62"/>
        <v>#NAME?</v>
      </c>
      <c r="N120" s="27"/>
      <c r="O120" s="26" t="str">
        <f t="shared" si="63"/>
        <v>Eastern</v>
      </c>
      <c r="P120" s="26" t="e">
        <f t="shared" si="64"/>
        <v>#NAME?</v>
      </c>
      <c r="Q120" s="27" t="e">
        <f t="shared" si="65"/>
        <v>#VALUE!</v>
      </c>
      <c r="R120" s="27"/>
      <c r="S120" s="26">
        <f t="shared" si="66"/>
        <v>1257</v>
      </c>
      <c r="T120" s="26" t="e">
        <f t="shared" si="67"/>
        <v>#NAME?</v>
      </c>
      <c r="U120" s="27" t="e">
        <f t="shared" si="68"/>
        <v>#NAME?</v>
      </c>
      <c r="V120" s="27"/>
      <c r="W120" s="26">
        <f t="shared" si="69"/>
        <v>922</v>
      </c>
      <c r="X120" s="26" t="e">
        <f t="shared" si="70"/>
        <v>#NAME?</v>
      </c>
      <c r="Y120" s="27" t="e">
        <f t="shared" si="71"/>
        <v>#NAME?</v>
      </c>
    </row>
    <row r="121" spans="1:25" ht="16.5" customHeight="1" x14ac:dyDescent="0.25">
      <c r="A121" s="16" t="s">
        <v>230</v>
      </c>
      <c r="B121" s="16" t="s">
        <v>231</v>
      </c>
      <c r="C121" s="25">
        <f t="shared" si="54"/>
        <v>202</v>
      </c>
      <c r="D121" s="25" t="e">
        <f t="shared" si="55"/>
        <v>#NAME?</v>
      </c>
      <c r="E121" s="27" t="e">
        <f t="shared" si="56"/>
        <v>#NAME?</v>
      </c>
      <c r="F121" s="25"/>
      <c r="G121" s="25">
        <f t="shared" si="57"/>
        <v>1</v>
      </c>
      <c r="H121" s="25" t="e">
        <f t="shared" si="58"/>
        <v>#NAME?</v>
      </c>
      <c r="I121" s="27" t="e">
        <f t="shared" si="59"/>
        <v>#NAME?</v>
      </c>
      <c r="J121" s="25"/>
      <c r="K121" s="25">
        <f t="shared" si="60"/>
        <v>0</v>
      </c>
      <c r="L121" s="25" t="e">
        <f t="shared" si="61"/>
        <v>#NAME?</v>
      </c>
      <c r="M121" s="27" t="e">
        <f t="shared" si="62"/>
        <v>#NAME?</v>
      </c>
      <c r="N121" s="27"/>
      <c r="O121" s="26" t="str">
        <f t="shared" si="63"/>
        <v>Eastern</v>
      </c>
      <c r="P121" s="26" t="e">
        <f t="shared" si="64"/>
        <v>#NAME?</v>
      </c>
      <c r="Q121" s="27" t="e">
        <f t="shared" si="65"/>
        <v>#VALUE!</v>
      </c>
      <c r="R121" s="27"/>
      <c r="S121" s="26">
        <f t="shared" si="66"/>
        <v>2376</v>
      </c>
      <c r="T121" s="26" t="e">
        <f t="shared" si="67"/>
        <v>#NAME?</v>
      </c>
      <c r="U121" s="27" t="e">
        <f t="shared" si="68"/>
        <v>#NAME?</v>
      </c>
      <c r="V121" s="27"/>
      <c r="W121" s="26">
        <f t="shared" si="69"/>
        <v>1726</v>
      </c>
      <c r="X121" s="26" t="e">
        <f t="shared" si="70"/>
        <v>#NAME?</v>
      </c>
      <c r="Y121" s="27" t="e">
        <f t="shared" si="71"/>
        <v>#NAME?</v>
      </c>
    </row>
    <row r="122" spans="1:25" ht="16.5" customHeight="1" x14ac:dyDescent="0.25">
      <c r="A122" s="16" t="s">
        <v>238</v>
      </c>
      <c r="B122" s="16" t="s">
        <v>239</v>
      </c>
      <c r="C122" s="25">
        <f t="shared" si="54"/>
        <v>13</v>
      </c>
      <c r="D122" s="25" t="e">
        <f t="shared" si="55"/>
        <v>#NAME?</v>
      </c>
      <c r="E122" s="27" t="e">
        <f t="shared" si="56"/>
        <v>#NAME?</v>
      </c>
      <c r="F122" s="25"/>
      <c r="G122" s="25">
        <f t="shared" si="57"/>
        <v>0</v>
      </c>
      <c r="H122" s="25" t="e">
        <f t="shared" si="58"/>
        <v>#NAME?</v>
      </c>
      <c r="I122" s="27" t="e">
        <f t="shared" si="59"/>
        <v>#NAME?</v>
      </c>
      <c r="J122" s="25"/>
      <c r="K122" s="25">
        <f t="shared" si="60"/>
        <v>0</v>
      </c>
      <c r="L122" s="25" t="e">
        <f t="shared" si="61"/>
        <v>#NAME?</v>
      </c>
      <c r="M122" s="27" t="e">
        <f t="shared" si="62"/>
        <v>#NAME?</v>
      </c>
      <c r="N122" s="27"/>
      <c r="O122" s="26" t="str">
        <f t="shared" si="63"/>
        <v>Eastern</v>
      </c>
      <c r="P122" s="26" t="e">
        <f t="shared" si="64"/>
        <v>#NAME?</v>
      </c>
      <c r="Q122" s="27" t="e">
        <f t="shared" si="65"/>
        <v>#VALUE!</v>
      </c>
      <c r="R122" s="27"/>
      <c r="S122" s="26">
        <f t="shared" si="66"/>
        <v>152</v>
      </c>
      <c r="T122" s="26" t="e">
        <f t="shared" si="67"/>
        <v>#NAME?</v>
      </c>
      <c r="U122" s="27" t="e">
        <f t="shared" si="68"/>
        <v>#NAME?</v>
      </c>
      <c r="V122" s="27"/>
      <c r="W122" s="26">
        <f t="shared" si="69"/>
        <v>100</v>
      </c>
      <c r="X122" s="26" t="e">
        <f t="shared" si="70"/>
        <v>#NAME?</v>
      </c>
      <c r="Y122" s="27" t="e">
        <f t="shared" si="71"/>
        <v>#NAME?</v>
      </c>
    </row>
    <row r="123" spans="1:25" ht="16.5" customHeight="1" x14ac:dyDescent="0.25">
      <c r="A123" s="16" t="s">
        <v>240</v>
      </c>
      <c r="B123" s="16" t="s">
        <v>241</v>
      </c>
      <c r="C123" s="25">
        <f t="shared" si="54"/>
        <v>31</v>
      </c>
      <c r="D123" s="25" t="e">
        <f t="shared" si="55"/>
        <v>#NAME?</v>
      </c>
      <c r="E123" s="27" t="e">
        <f t="shared" si="56"/>
        <v>#NAME?</v>
      </c>
      <c r="F123" s="25"/>
      <c r="G123" s="25">
        <f t="shared" si="57"/>
        <v>0</v>
      </c>
      <c r="H123" s="25" t="e">
        <f t="shared" si="58"/>
        <v>#NAME?</v>
      </c>
      <c r="I123" s="27" t="e">
        <f t="shared" si="59"/>
        <v>#NAME?</v>
      </c>
      <c r="J123" s="25"/>
      <c r="K123" s="25">
        <f t="shared" si="60"/>
        <v>0</v>
      </c>
      <c r="L123" s="25" t="e">
        <f t="shared" si="61"/>
        <v>#NAME?</v>
      </c>
      <c r="M123" s="27" t="e">
        <f t="shared" si="62"/>
        <v>#NAME?</v>
      </c>
      <c r="N123" s="27"/>
      <c r="O123" s="26" t="str">
        <f t="shared" si="63"/>
        <v>Northern</v>
      </c>
      <c r="P123" s="26" t="e">
        <f t="shared" si="64"/>
        <v>#NAME?</v>
      </c>
      <c r="Q123" s="27" t="e">
        <f t="shared" si="65"/>
        <v>#VALUE!</v>
      </c>
      <c r="R123" s="27"/>
      <c r="S123" s="26">
        <f t="shared" si="66"/>
        <v>349</v>
      </c>
      <c r="T123" s="26" t="e">
        <f t="shared" si="67"/>
        <v>#NAME?</v>
      </c>
      <c r="U123" s="27" t="e">
        <f t="shared" si="68"/>
        <v>#NAME?</v>
      </c>
      <c r="V123" s="27"/>
      <c r="W123" s="26">
        <f t="shared" si="69"/>
        <v>246</v>
      </c>
      <c r="X123" s="26" t="e">
        <f t="shared" si="70"/>
        <v>#NAME?</v>
      </c>
      <c r="Y123" s="27" t="e">
        <f t="shared" si="71"/>
        <v>#NAME?</v>
      </c>
    </row>
    <row r="124" spans="1:25" x14ac:dyDescent="0.2">
      <c r="C124" s="28"/>
      <c r="D124" s="28"/>
      <c r="E124" s="28"/>
      <c r="F124" s="28"/>
      <c r="G124" s="28"/>
      <c r="H124" s="28"/>
      <c r="I124" s="28"/>
      <c r="J124" s="28"/>
      <c r="K124" s="28"/>
      <c r="L124" s="28"/>
    </row>
    <row r="125" spans="1:25" x14ac:dyDescent="0.2">
      <c r="C125" s="28"/>
      <c r="D125" s="28"/>
      <c r="E125" s="28"/>
      <c r="F125" s="28"/>
      <c r="G125" s="28"/>
      <c r="H125" s="28"/>
      <c r="I125" s="28"/>
      <c r="J125" s="28"/>
      <c r="K125" s="28"/>
      <c r="L125" s="28"/>
    </row>
    <row r="126" spans="1:25" ht="12.75" customHeight="1" x14ac:dyDescent="0.2">
      <c r="A126" s="2774" t="s">
        <v>570</v>
      </c>
      <c r="B126" s="2774"/>
      <c r="C126" s="2775"/>
      <c r="D126" s="19"/>
      <c r="E126" s="19"/>
      <c r="F126" s="19"/>
      <c r="G126" s="19"/>
      <c r="H126" s="19"/>
      <c r="I126" s="19"/>
      <c r="J126" s="19"/>
      <c r="K126" s="19"/>
      <c r="L126" s="19"/>
    </row>
    <row r="127" spans="1:25" x14ac:dyDescent="0.2">
      <c r="A127" s="18" t="s">
        <v>571</v>
      </c>
    </row>
  </sheetData>
  <autoFilter ref="A3:Y127"/>
  <mergeCells count="9">
    <mergeCell ref="O2:Q2"/>
    <mergeCell ref="O1:Y1"/>
    <mergeCell ref="S2:U2"/>
    <mergeCell ref="W2:Y2"/>
    <mergeCell ref="A126:C126"/>
    <mergeCell ref="C2:E2"/>
    <mergeCell ref="C1:M1"/>
    <mergeCell ref="G2:I2"/>
    <mergeCell ref="K2:M2"/>
  </mergeCells>
  <conditionalFormatting sqref="Q4:R123 E4:E123">
    <cfRule type="cellIs" dxfId="1" priority="20" stopIfTrue="1" operator="greaterThan">
      <formula>"&gt;1"</formula>
    </cfRule>
  </conditionalFormatting>
  <conditionalFormatting sqref="Y4:Y123 M4:N123 U4:V123 Q4:R123 I4:I123 E4:E123">
    <cfRule type="cellIs" dxfId="0" priority="19" stopIfTrue="1" operator="greaterThan">
      <formula>1</formula>
    </cfRule>
  </conditionalFormatting>
  <pageMargins left="0.75" right="0.7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
  <sheetViews>
    <sheetView zoomScaleNormal="106" zoomScaleSheetLayoutView="116" workbookViewId="0">
      <pane ySplit="1" topLeftCell="A2" activePane="bottomLeft" state="frozen"/>
      <selection pane="bottomLeft" activeCell="C2" sqref="C2"/>
    </sheetView>
  </sheetViews>
  <sheetFormatPr defaultRowHeight="12.75" x14ac:dyDescent="0.2"/>
  <cols>
    <col min="1" max="1" width="12.25" style="18" customWidth="1"/>
    <col min="2" max="2" width="21.5" style="18" customWidth="1"/>
    <col min="3" max="3" width="17" style="18" customWidth="1"/>
    <col min="4" max="4" width="18.25" style="18" customWidth="1"/>
    <col min="5" max="5" width="19.625" style="18" customWidth="1"/>
    <col min="6" max="6" width="9.25" style="18" customWidth="1"/>
    <col min="7" max="16384" width="9" style="18"/>
  </cols>
  <sheetData>
    <row r="1" spans="1:6" s="15" customFormat="1" ht="71.25" customHeight="1" x14ac:dyDescent="0.25">
      <c r="A1" s="13" t="s">
        <v>305</v>
      </c>
      <c r="B1" s="13" t="s">
        <v>306</v>
      </c>
      <c r="C1" s="13" t="s">
        <v>566</v>
      </c>
      <c r="D1" s="13" t="s">
        <v>567</v>
      </c>
      <c r="E1" s="13" t="s">
        <v>568</v>
      </c>
      <c r="F1" s="14" t="s">
        <v>569</v>
      </c>
    </row>
    <row r="2" spans="1:6" ht="16.5" customHeight="1" x14ac:dyDescent="0.25">
      <c r="A2" s="16" t="s">
        <v>10</v>
      </c>
      <c r="B2" s="16" t="s">
        <v>11</v>
      </c>
      <c r="C2" s="17">
        <v>3</v>
      </c>
      <c r="D2" s="17">
        <v>4</v>
      </c>
      <c r="E2" s="17">
        <v>248</v>
      </c>
      <c r="F2" s="18">
        <f>ROUND(E2/12,0)</f>
        <v>21</v>
      </c>
    </row>
    <row r="3" spans="1:6" ht="16.5" customHeight="1" x14ac:dyDescent="0.25">
      <c r="A3" s="16" t="s">
        <v>12</v>
      </c>
      <c r="B3" s="16" t="s">
        <v>13</v>
      </c>
      <c r="C3" s="17">
        <v>7</v>
      </c>
      <c r="D3" s="17">
        <v>4</v>
      </c>
      <c r="E3" s="17">
        <v>729</v>
      </c>
      <c r="F3" s="18">
        <f t="shared" ref="F3:F66" si="0">ROUND(E3/12,0)</f>
        <v>61</v>
      </c>
    </row>
    <row r="4" spans="1:6" ht="16.5" customHeight="1" x14ac:dyDescent="0.25">
      <c r="A4" s="16" t="s">
        <v>16</v>
      </c>
      <c r="B4" s="16" t="s">
        <v>297</v>
      </c>
      <c r="C4" s="17">
        <v>3</v>
      </c>
      <c r="D4" s="17">
        <v>0</v>
      </c>
      <c r="E4" s="17">
        <v>123</v>
      </c>
      <c r="F4" s="18">
        <f t="shared" si="0"/>
        <v>10</v>
      </c>
    </row>
    <row r="5" spans="1:6" ht="16.5" customHeight="1" x14ac:dyDescent="0.25">
      <c r="A5" s="16" t="s">
        <v>18</v>
      </c>
      <c r="B5" s="16" t="s">
        <v>19</v>
      </c>
      <c r="C5" s="17">
        <v>1</v>
      </c>
      <c r="D5" s="17">
        <v>0</v>
      </c>
      <c r="E5" s="17">
        <v>41</v>
      </c>
      <c r="F5" s="18">
        <f t="shared" si="0"/>
        <v>3</v>
      </c>
    </row>
    <row r="6" spans="1:6" ht="16.5" customHeight="1" x14ac:dyDescent="0.25">
      <c r="A6" s="16" t="s">
        <v>20</v>
      </c>
      <c r="B6" s="16" t="s">
        <v>21</v>
      </c>
      <c r="C6" s="17">
        <v>0</v>
      </c>
      <c r="D6" s="17">
        <v>0</v>
      </c>
      <c r="E6" s="17">
        <v>132</v>
      </c>
      <c r="F6" s="18">
        <f t="shared" si="0"/>
        <v>11</v>
      </c>
    </row>
    <row r="7" spans="1:6" ht="16.5" customHeight="1" x14ac:dyDescent="0.25">
      <c r="A7" s="16" t="s">
        <v>22</v>
      </c>
      <c r="B7" s="16" t="s">
        <v>23</v>
      </c>
      <c r="C7" s="17">
        <v>0</v>
      </c>
      <c r="D7" s="17">
        <v>0</v>
      </c>
      <c r="E7" s="17">
        <v>12</v>
      </c>
      <c r="F7" s="18">
        <f t="shared" si="0"/>
        <v>1</v>
      </c>
    </row>
    <row r="8" spans="1:6" ht="16.5" customHeight="1" x14ac:dyDescent="0.25">
      <c r="A8" s="16" t="s">
        <v>24</v>
      </c>
      <c r="B8" s="16" t="s">
        <v>25</v>
      </c>
      <c r="C8" s="17">
        <v>13</v>
      </c>
      <c r="D8" s="17">
        <v>3</v>
      </c>
      <c r="E8" s="17">
        <v>1283</v>
      </c>
      <c r="F8" s="18">
        <f t="shared" si="0"/>
        <v>107</v>
      </c>
    </row>
    <row r="9" spans="1:6" ht="16.5" customHeight="1" x14ac:dyDescent="0.25">
      <c r="A9" s="16" t="s">
        <v>26</v>
      </c>
      <c r="B9" s="16" t="s">
        <v>298</v>
      </c>
      <c r="C9" s="17">
        <v>11</v>
      </c>
      <c r="D9" s="17">
        <v>0</v>
      </c>
      <c r="E9" s="17">
        <v>1681</v>
      </c>
      <c r="F9" s="18">
        <f t="shared" si="0"/>
        <v>140</v>
      </c>
    </row>
    <row r="10" spans="1:6" ht="16.5" customHeight="1" x14ac:dyDescent="0.25">
      <c r="A10" s="16" t="s">
        <v>27</v>
      </c>
      <c r="B10" s="16" t="s">
        <v>28</v>
      </c>
      <c r="C10" s="17">
        <v>0</v>
      </c>
      <c r="D10" s="17">
        <v>0</v>
      </c>
      <c r="E10" s="17">
        <v>24</v>
      </c>
      <c r="F10" s="18">
        <f t="shared" si="0"/>
        <v>2</v>
      </c>
    </row>
    <row r="11" spans="1:6" ht="16.5" customHeight="1" x14ac:dyDescent="0.25">
      <c r="A11" s="16" t="s">
        <v>29</v>
      </c>
      <c r="B11" s="16" t="s">
        <v>307</v>
      </c>
      <c r="C11" s="17">
        <v>5</v>
      </c>
      <c r="D11" s="17">
        <v>0</v>
      </c>
      <c r="E11" s="17">
        <v>589</v>
      </c>
      <c r="F11" s="18">
        <f t="shared" si="0"/>
        <v>49</v>
      </c>
    </row>
    <row r="12" spans="1:6" ht="16.5" customHeight="1" x14ac:dyDescent="0.25">
      <c r="A12" s="16" t="s">
        <v>30</v>
      </c>
      <c r="B12" s="16" t="s">
        <v>31</v>
      </c>
      <c r="C12" s="17">
        <v>3</v>
      </c>
      <c r="D12" s="17">
        <v>0</v>
      </c>
      <c r="E12" s="17">
        <v>89</v>
      </c>
      <c r="F12" s="18">
        <f t="shared" si="0"/>
        <v>7</v>
      </c>
    </row>
    <row r="13" spans="1:6" ht="16.5" customHeight="1" x14ac:dyDescent="0.25">
      <c r="A13" s="16" t="s">
        <v>32</v>
      </c>
      <c r="B13" s="16" t="s">
        <v>33</v>
      </c>
      <c r="C13" s="17">
        <v>1</v>
      </c>
      <c r="D13" s="17">
        <v>0</v>
      </c>
      <c r="E13" s="17">
        <v>91</v>
      </c>
      <c r="F13" s="18">
        <f t="shared" si="0"/>
        <v>8</v>
      </c>
    </row>
    <row r="14" spans="1:6" ht="16.5" customHeight="1" x14ac:dyDescent="0.25">
      <c r="A14" s="16" t="s">
        <v>36</v>
      </c>
      <c r="B14" s="16" t="s">
        <v>37</v>
      </c>
      <c r="C14" s="17">
        <v>0</v>
      </c>
      <c r="D14" s="17">
        <v>1</v>
      </c>
      <c r="E14" s="17">
        <v>17</v>
      </c>
      <c r="F14" s="18">
        <f t="shared" si="0"/>
        <v>1</v>
      </c>
    </row>
    <row r="15" spans="1:6" ht="16.5" customHeight="1" x14ac:dyDescent="0.25">
      <c r="A15" s="16" t="s">
        <v>38</v>
      </c>
      <c r="B15" s="16" t="s">
        <v>39</v>
      </c>
      <c r="C15" s="17">
        <v>4</v>
      </c>
      <c r="D15" s="17">
        <v>3</v>
      </c>
      <c r="E15" s="17">
        <v>566</v>
      </c>
      <c r="F15" s="18">
        <f t="shared" si="0"/>
        <v>47</v>
      </c>
    </row>
    <row r="16" spans="1:6" ht="16.5" customHeight="1" x14ac:dyDescent="0.25">
      <c r="A16" s="16" t="s">
        <v>40</v>
      </c>
      <c r="B16" s="16" t="s">
        <v>41</v>
      </c>
      <c r="C16" s="17">
        <v>3</v>
      </c>
      <c r="D16" s="17">
        <v>0</v>
      </c>
      <c r="E16" s="17">
        <v>113</v>
      </c>
      <c r="F16" s="18">
        <f t="shared" si="0"/>
        <v>9</v>
      </c>
    </row>
    <row r="17" spans="1:6" ht="16.5" customHeight="1" x14ac:dyDescent="0.25">
      <c r="A17" s="16" t="s">
        <v>42</v>
      </c>
      <c r="B17" s="16" t="s">
        <v>43</v>
      </c>
      <c r="C17" s="17">
        <v>8</v>
      </c>
      <c r="D17" s="17">
        <v>2</v>
      </c>
      <c r="E17" s="17">
        <v>716</v>
      </c>
      <c r="F17" s="18">
        <f t="shared" si="0"/>
        <v>60</v>
      </c>
    </row>
    <row r="18" spans="1:6" ht="16.5" customHeight="1" x14ac:dyDescent="0.25">
      <c r="A18" s="16" t="s">
        <v>44</v>
      </c>
      <c r="B18" s="16" t="s">
        <v>45</v>
      </c>
      <c r="C18" s="17">
        <v>1</v>
      </c>
      <c r="D18" s="17">
        <v>0</v>
      </c>
      <c r="E18" s="17">
        <v>86</v>
      </c>
      <c r="F18" s="18">
        <f t="shared" si="0"/>
        <v>7</v>
      </c>
    </row>
    <row r="19" spans="1:6" ht="16.5" customHeight="1" x14ac:dyDescent="0.25">
      <c r="A19" s="16" t="s">
        <v>46</v>
      </c>
      <c r="B19" s="16" t="s">
        <v>47</v>
      </c>
      <c r="C19" s="17">
        <v>1</v>
      </c>
      <c r="D19" s="17">
        <v>0</v>
      </c>
      <c r="E19" s="17">
        <v>152</v>
      </c>
      <c r="F19" s="18">
        <f t="shared" si="0"/>
        <v>13</v>
      </c>
    </row>
    <row r="20" spans="1:6" ht="16.5" customHeight="1" x14ac:dyDescent="0.25">
      <c r="A20" s="16" t="s">
        <v>48</v>
      </c>
      <c r="B20" s="16" t="s">
        <v>269</v>
      </c>
      <c r="C20" s="17">
        <v>1</v>
      </c>
      <c r="D20" s="17">
        <v>0</v>
      </c>
      <c r="E20" s="17">
        <v>24</v>
      </c>
      <c r="F20" s="18">
        <f t="shared" si="0"/>
        <v>2</v>
      </c>
    </row>
    <row r="21" spans="1:6" ht="16.5" customHeight="1" x14ac:dyDescent="0.25">
      <c r="A21" s="16" t="s">
        <v>50</v>
      </c>
      <c r="B21" s="16" t="s">
        <v>51</v>
      </c>
      <c r="C21" s="17">
        <v>0</v>
      </c>
      <c r="D21" s="17">
        <v>0</v>
      </c>
      <c r="E21" s="17">
        <v>132</v>
      </c>
      <c r="F21" s="18">
        <f t="shared" si="0"/>
        <v>11</v>
      </c>
    </row>
    <row r="22" spans="1:6" ht="16.5" customHeight="1" x14ac:dyDescent="0.25">
      <c r="A22" s="16" t="s">
        <v>56</v>
      </c>
      <c r="B22" s="16" t="s">
        <v>295</v>
      </c>
      <c r="C22" s="17">
        <v>18</v>
      </c>
      <c r="D22" s="17">
        <v>4</v>
      </c>
      <c r="E22" s="17">
        <v>1819</v>
      </c>
      <c r="F22" s="18">
        <f t="shared" si="0"/>
        <v>152</v>
      </c>
    </row>
    <row r="23" spans="1:6" ht="16.5" customHeight="1" x14ac:dyDescent="0.25">
      <c r="A23" s="16" t="s">
        <v>58</v>
      </c>
      <c r="B23" s="16" t="s">
        <v>59</v>
      </c>
      <c r="C23" s="17">
        <v>0</v>
      </c>
      <c r="D23" s="17">
        <v>0</v>
      </c>
      <c r="E23" s="17">
        <v>52</v>
      </c>
      <c r="F23" s="18">
        <f t="shared" si="0"/>
        <v>4</v>
      </c>
    </row>
    <row r="24" spans="1:6" ht="16.5" customHeight="1" x14ac:dyDescent="0.25">
      <c r="A24" s="16" t="s">
        <v>60</v>
      </c>
      <c r="B24" s="16" t="s">
        <v>61</v>
      </c>
      <c r="C24" s="17">
        <v>0</v>
      </c>
      <c r="D24" s="17">
        <v>0</v>
      </c>
      <c r="E24" s="17">
        <v>24</v>
      </c>
      <c r="F24" s="18">
        <f t="shared" si="0"/>
        <v>2</v>
      </c>
    </row>
    <row r="25" spans="1:6" ht="16.5" customHeight="1" x14ac:dyDescent="0.25">
      <c r="A25" s="16" t="s">
        <v>62</v>
      </c>
      <c r="B25" s="16" t="s">
        <v>63</v>
      </c>
      <c r="C25" s="17">
        <v>6</v>
      </c>
      <c r="D25" s="17">
        <v>1</v>
      </c>
      <c r="E25" s="17">
        <v>362</v>
      </c>
      <c r="F25" s="18">
        <f t="shared" si="0"/>
        <v>30</v>
      </c>
    </row>
    <row r="26" spans="1:6" ht="16.5" customHeight="1" x14ac:dyDescent="0.25">
      <c r="A26" s="16" t="s">
        <v>64</v>
      </c>
      <c r="B26" s="16" t="s">
        <v>65</v>
      </c>
      <c r="C26" s="17">
        <v>2</v>
      </c>
      <c r="D26" s="17">
        <v>0</v>
      </c>
      <c r="E26" s="17">
        <v>76</v>
      </c>
      <c r="F26" s="18">
        <f t="shared" si="0"/>
        <v>6</v>
      </c>
    </row>
    <row r="27" spans="1:6" ht="16.5" customHeight="1" x14ac:dyDescent="0.25">
      <c r="A27" s="16" t="s">
        <v>68</v>
      </c>
      <c r="B27" s="16" t="s">
        <v>69</v>
      </c>
      <c r="C27" s="17">
        <v>28</v>
      </c>
      <c r="D27" s="17">
        <v>0</v>
      </c>
      <c r="E27" s="17">
        <v>592</v>
      </c>
      <c r="F27" s="18">
        <f t="shared" si="0"/>
        <v>49</v>
      </c>
    </row>
    <row r="28" spans="1:6" ht="16.5" customHeight="1" x14ac:dyDescent="0.25">
      <c r="A28" s="16" t="s">
        <v>70</v>
      </c>
      <c r="B28" s="16" t="s">
        <v>71</v>
      </c>
      <c r="C28" s="17">
        <v>0</v>
      </c>
      <c r="D28" s="17">
        <v>0</v>
      </c>
      <c r="E28" s="17">
        <v>129</v>
      </c>
      <c r="F28" s="18">
        <f t="shared" si="0"/>
        <v>11</v>
      </c>
    </row>
    <row r="29" spans="1:6" ht="16.5" customHeight="1" x14ac:dyDescent="0.25">
      <c r="A29" s="16" t="s">
        <v>72</v>
      </c>
      <c r="B29" s="16" t="s">
        <v>73</v>
      </c>
      <c r="C29" s="17">
        <v>0</v>
      </c>
      <c r="D29" s="17">
        <v>1</v>
      </c>
      <c r="E29" s="17">
        <v>38</v>
      </c>
      <c r="F29" s="18">
        <f t="shared" si="0"/>
        <v>3</v>
      </c>
    </row>
    <row r="30" spans="1:6" ht="16.5" customHeight="1" x14ac:dyDescent="0.25">
      <c r="A30" s="16" t="s">
        <v>74</v>
      </c>
      <c r="B30" s="16" t="s">
        <v>302</v>
      </c>
      <c r="C30" s="17">
        <v>24</v>
      </c>
      <c r="D30" s="17">
        <v>21</v>
      </c>
      <c r="E30" s="17">
        <v>5651</v>
      </c>
      <c r="F30" s="18">
        <f t="shared" si="0"/>
        <v>471</v>
      </c>
    </row>
    <row r="31" spans="1:6" ht="16.5" customHeight="1" x14ac:dyDescent="0.25">
      <c r="A31" s="16" t="s">
        <v>76</v>
      </c>
      <c r="B31" s="16" t="s">
        <v>77</v>
      </c>
      <c r="C31" s="17">
        <v>3</v>
      </c>
      <c r="D31" s="17">
        <v>6</v>
      </c>
      <c r="E31" s="17">
        <v>294</v>
      </c>
      <c r="F31" s="18">
        <f t="shared" si="0"/>
        <v>25</v>
      </c>
    </row>
    <row r="32" spans="1:6" ht="16.5" customHeight="1" x14ac:dyDescent="0.25">
      <c r="A32" s="16" t="s">
        <v>78</v>
      </c>
      <c r="B32" s="16" t="s">
        <v>79</v>
      </c>
      <c r="C32" s="17">
        <v>0</v>
      </c>
      <c r="D32" s="17">
        <v>0</v>
      </c>
      <c r="E32" s="17">
        <v>12</v>
      </c>
      <c r="F32" s="18">
        <f t="shared" si="0"/>
        <v>1</v>
      </c>
    </row>
    <row r="33" spans="1:6" ht="16.5" customHeight="1" x14ac:dyDescent="0.25">
      <c r="A33" s="16" t="s">
        <v>80</v>
      </c>
      <c r="B33" s="16" t="s">
        <v>81</v>
      </c>
      <c r="C33" s="17">
        <v>4</v>
      </c>
      <c r="D33" s="17">
        <v>0</v>
      </c>
      <c r="E33" s="17">
        <v>102</v>
      </c>
      <c r="F33" s="18">
        <f t="shared" si="0"/>
        <v>9</v>
      </c>
    </row>
    <row r="34" spans="1:6" ht="16.5" customHeight="1" x14ac:dyDescent="0.25">
      <c r="A34" s="16" t="s">
        <v>84</v>
      </c>
      <c r="B34" s="16" t="s">
        <v>308</v>
      </c>
      <c r="C34" s="17">
        <v>3</v>
      </c>
      <c r="D34" s="17">
        <v>1</v>
      </c>
      <c r="E34" s="17">
        <v>432</v>
      </c>
      <c r="F34" s="18">
        <f t="shared" si="0"/>
        <v>36</v>
      </c>
    </row>
    <row r="35" spans="1:6" ht="16.5" customHeight="1" x14ac:dyDescent="0.25">
      <c r="A35" s="16" t="s">
        <v>86</v>
      </c>
      <c r="B35" s="16" t="s">
        <v>87</v>
      </c>
      <c r="C35" s="17">
        <v>11</v>
      </c>
      <c r="D35" s="17">
        <v>10</v>
      </c>
      <c r="E35" s="17">
        <v>479</v>
      </c>
      <c r="F35" s="18">
        <f t="shared" si="0"/>
        <v>40</v>
      </c>
    </row>
    <row r="36" spans="1:6" ht="16.5" customHeight="1" x14ac:dyDescent="0.25">
      <c r="A36" s="16" t="s">
        <v>92</v>
      </c>
      <c r="B36" s="16" t="s">
        <v>93</v>
      </c>
      <c r="C36" s="17">
        <v>3</v>
      </c>
      <c r="D36" s="17">
        <v>0</v>
      </c>
      <c r="E36" s="17">
        <v>213</v>
      </c>
      <c r="F36" s="18">
        <f t="shared" si="0"/>
        <v>18</v>
      </c>
    </row>
    <row r="37" spans="1:6" ht="16.5" customHeight="1" x14ac:dyDescent="0.25">
      <c r="A37" s="16" t="s">
        <v>94</v>
      </c>
      <c r="B37" s="16" t="s">
        <v>95</v>
      </c>
      <c r="C37" s="17">
        <v>2</v>
      </c>
      <c r="D37" s="17">
        <v>2</v>
      </c>
      <c r="E37" s="17">
        <v>270</v>
      </c>
      <c r="F37" s="18">
        <f t="shared" si="0"/>
        <v>23</v>
      </c>
    </row>
    <row r="38" spans="1:6" ht="16.5" customHeight="1" x14ac:dyDescent="0.25">
      <c r="A38" s="16" t="s">
        <v>96</v>
      </c>
      <c r="B38" s="16" t="s">
        <v>97</v>
      </c>
      <c r="C38" s="17">
        <v>1</v>
      </c>
      <c r="D38" s="17">
        <v>2</v>
      </c>
      <c r="E38" s="17">
        <v>133</v>
      </c>
      <c r="F38" s="18">
        <f t="shared" si="0"/>
        <v>11</v>
      </c>
    </row>
    <row r="39" spans="1:6" ht="16.5" customHeight="1" x14ac:dyDescent="0.25">
      <c r="A39" s="16" t="s">
        <v>98</v>
      </c>
      <c r="B39" s="16" t="s">
        <v>99</v>
      </c>
      <c r="C39" s="17">
        <v>1</v>
      </c>
      <c r="D39" s="17">
        <v>2</v>
      </c>
      <c r="E39" s="17">
        <v>126</v>
      </c>
      <c r="F39" s="18">
        <f t="shared" si="0"/>
        <v>11</v>
      </c>
    </row>
    <row r="40" spans="1:6" ht="16.5" customHeight="1" x14ac:dyDescent="0.25">
      <c r="A40" s="16" t="s">
        <v>100</v>
      </c>
      <c r="B40" s="16" t="s">
        <v>101</v>
      </c>
      <c r="C40" s="17">
        <v>0</v>
      </c>
      <c r="D40" s="17">
        <v>0</v>
      </c>
      <c r="E40" s="17">
        <v>60</v>
      </c>
      <c r="F40" s="18">
        <f t="shared" si="0"/>
        <v>5</v>
      </c>
    </row>
    <row r="41" spans="1:6" ht="16.5" customHeight="1" x14ac:dyDescent="0.25">
      <c r="A41" s="16" t="s">
        <v>102</v>
      </c>
      <c r="B41" s="16" t="s">
        <v>103</v>
      </c>
      <c r="C41" s="17">
        <v>2</v>
      </c>
      <c r="D41" s="17">
        <v>0</v>
      </c>
      <c r="E41" s="17">
        <v>60</v>
      </c>
      <c r="F41" s="18">
        <f t="shared" si="0"/>
        <v>5</v>
      </c>
    </row>
    <row r="42" spans="1:6" ht="16.5" customHeight="1" x14ac:dyDescent="0.25">
      <c r="A42" s="16" t="s">
        <v>104</v>
      </c>
      <c r="B42" s="16" t="s">
        <v>309</v>
      </c>
      <c r="C42" s="17">
        <v>0</v>
      </c>
      <c r="D42" s="17">
        <v>1</v>
      </c>
      <c r="E42" s="17">
        <v>223</v>
      </c>
      <c r="F42" s="18">
        <f t="shared" si="0"/>
        <v>19</v>
      </c>
    </row>
    <row r="43" spans="1:6" ht="16.5" customHeight="1" x14ac:dyDescent="0.25">
      <c r="A43" s="16" t="s">
        <v>108</v>
      </c>
      <c r="B43" s="16" t="s">
        <v>109</v>
      </c>
      <c r="C43" s="17">
        <v>3</v>
      </c>
      <c r="D43" s="17">
        <v>0</v>
      </c>
      <c r="E43" s="17">
        <v>264</v>
      </c>
      <c r="F43" s="18">
        <f t="shared" si="0"/>
        <v>22</v>
      </c>
    </row>
    <row r="44" spans="1:6" ht="16.5" customHeight="1" x14ac:dyDescent="0.25">
      <c r="A44" s="16" t="s">
        <v>110</v>
      </c>
      <c r="B44" s="16" t="s">
        <v>111</v>
      </c>
      <c r="C44" s="17">
        <v>7</v>
      </c>
      <c r="D44" s="17">
        <v>1</v>
      </c>
      <c r="E44" s="17">
        <v>1349</v>
      </c>
      <c r="F44" s="18">
        <f t="shared" si="0"/>
        <v>112</v>
      </c>
    </row>
    <row r="45" spans="1:6" ht="16.5" customHeight="1" x14ac:dyDescent="0.25">
      <c r="A45" s="16" t="s">
        <v>112</v>
      </c>
      <c r="B45" s="16" t="s">
        <v>300</v>
      </c>
      <c r="C45" s="17">
        <v>1</v>
      </c>
      <c r="D45" s="17">
        <v>0</v>
      </c>
      <c r="E45" s="17">
        <v>496</v>
      </c>
      <c r="F45" s="18">
        <f t="shared" si="0"/>
        <v>41</v>
      </c>
    </row>
    <row r="46" spans="1:6" ht="16.5" customHeight="1" x14ac:dyDescent="0.25">
      <c r="A46" s="16" t="s">
        <v>114</v>
      </c>
      <c r="B46" s="16" t="s">
        <v>115</v>
      </c>
      <c r="C46" s="17">
        <v>0</v>
      </c>
      <c r="D46" s="17">
        <v>0</v>
      </c>
      <c r="E46" s="17">
        <v>12</v>
      </c>
      <c r="F46" s="18">
        <f t="shared" si="0"/>
        <v>1</v>
      </c>
    </row>
    <row r="47" spans="1:6" ht="16.5" customHeight="1" x14ac:dyDescent="0.25">
      <c r="A47" s="16" t="s">
        <v>118</v>
      </c>
      <c r="B47" s="16" t="s">
        <v>119</v>
      </c>
      <c r="C47" s="17">
        <v>2</v>
      </c>
      <c r="D47" s="17">
        <v>1</v>
      </c>
      <c r="E47" s="17">
        <v>73</v>
      </c>
      <c r="F47" s="18">
        <f t="shared" si="0"/>
        <v>6</v>
      </c>
    </row>
    <row r="48" spans="1:6" ht="16.5" customHeight="1" x14ac:dyDescent="0.25">
      <c r="A48" s="16" t="s">
        <v>120</v>
      </c>
      <c r="B48" s="16" t="s">
        <v>121</v>
      </c>
      <c r="C48" s="17">
        <v>4</v>
      </c>
      <c r="D48" s="17">
        <v>3</v>
      </c>
      <c r="E48" s="17">
        <v>394</v>
      </c>
      <c r="F48" s="18">
        <f t="shared" si="0"/>
        <v>33</v>
      </c>
    </row>
    <row r="49" spans="1:6" ht="16.5" customHeight="1" x14ac:dyDescent="0.25">
      <c r="A49" s="16" t="s">
        <v>122</v>
      </c>
      <c r="B49" s="16" t="s">
        <v>271</v>
      </c>
      <c r="C49" s="17">
        <v>3</v>
      </c>
      <c r="D49" s="17">
        <v>0</v>
      </c>
      <c r="E49" s="17">
        <v>66</v>
      </c>
      <c r="F49" s="18">
        <f t="shared" si="0"/>
        <v>6</v>
      </c>
    </row>
    <row r="50" spans="1:6" ht="16.5" customHeight="1" x14ac:dyDescent="0.25">
      <c r="A50" s="16" t="s">
        <v>124</v>
      </c>
      <c r="B50" s="16" t="s">
        <v>125</v>
      </c>
      <c r="C50" s="17">
        <v>6</v>
      </c>
      <c r="D50" s="17">
        <v>0</v>
      </c>
      <c r="E50" s="17">
        <v>61</v>
      </c>
      <c r="F50" s="18">
        <f t="shared" si="0"/>
        <v>5</v>
      </c>
    </row>
    <row r="51" spans="1:6" ht="16.5" customHeight="1" x14ac:dyDescent="0.25">
      <c r="A51" s="16" t="s">
        <v>126</v>
      </c>
      <c r="B51" s="16" t="s">
        <v>127</v>
      </c>
      <c r="C51" s="17">
        <v>1</v>
      </c>
      <c r="D51" s="17">
        <v>0</v>
      </c>
      <c r="E51" s="17">
        <v>76</v>
      </c>
      <c r="F51" s="18">
        <f t="shared" si="0"/>
        <v>6</v>
      </c>
    </row>
    <row r="52" spans="1:6" ht="16.5" customHeight="1" x14ac:dyDescent="0.25">
      <c r="A52" s="16" t="s">
        <v>128</v>
      </c>
      <c r="B52" s="16" t="s">
        <v>129</v>
      </c>
      <c r="C52" s="17">
        <v>0</v>
      </c>
      <c r="D52" s="17">
        <v>1</v>
      </c>
      <c r="E52" s="17">
        <v>36</v>
      </c>
      <c r="F52" s="18">
        <f t="shared" si="0"/>
        <v>3</v>
      </c>
    </row>
    <row r="53" spans="1:6" ht="16.5" customHeight="1" x14ac:dyDescent="0.25">
      <c r="A53" s="16" t="s">
        <v>130</v>
      </c>
      <c r="B53" s="16" t="s">
        <v>131</v>
      </c>
      <c r="C53" s="17">
        <v>5</v>
      </c>
      <c r="D53" s="17">
        <v>0</v>
      </c>
      <c r="E53" s="17">
        <v>713</v>
      </c>
      <c r="F53" s="18">
        <f t="shared" si="0"/>
        <v>59</v>
      </c>
    </row>
    <row r="54" spans="1:6" ht="16.5" customHeight="1" x14ac:dyDescent="0.25">
      <c r="A54" s="16" t="s">
        <v>132</v>
      </c>
      <c r="B54" s="16" t="s">
        <v>133</v>
      </c>
      <c r="C54" s="17">
        <v>21</v>
      </c>
      <c r="D54" s="17">
        <v>6</v>
      </c>
      <c r="E54" s="17">
        <v>486</v>
      </c>
      <c r="F54" s="18">
        <f t="shared" si="0"/>
        <v>41</v>
      </c>
    </row>
    <row r="55" spans="1:6" ht="16.5" customHeight="1" x14ac:dyDescent="0.25">
      <c r="A55" s="16" t="s">
        <v>134</v>
      </c>
      <c r="B55" s="16" t="s">
        <v>135</v>
      </c>
      <c r="C55" s="17">
        <v>11</v>
      </c>
      <c r="D55" s="17">
        <v>0</v>
      </c>
      <c r="E55" s="17">
        <v>171</v>
      </c>
      <c r="F55" s="18">
        <f t="shared" si="0"/>
        <v>14</v>
      </c>
    </row>
    <row r="56" spans="1:6" ht="16.5" customHeight="1" x14ac:dyDescent="0.25">
      <c r="A56" s="16" t="s">
        <v>136</v>
      </c>
      <c r="B56" s="16" t="s">
        <v>137</v>
      </c>
      <c r="C56" s="17">
        <v>1</v>
      </c>
      <c r="D56" s="17">
        <v>0</v>
      </c>
      <c r="E56" s="17">
        <v>30</v>
      </c>
      <c r="F56" s="18">
        <f t="shared" si="0"/>
        <v>3</v>
      </c>
    </row>
    <row r="57" spans="1:6" ht="16.5" customHeight="1" x14ac:dyDescent="0.25">
      <c r="A57" s="16" t="s">
        <v>140</v>
      </c>
      <c r="B57" s="16" t="s">
        <v>141</v>
      </c>
      <c r="C57" s="17">
        <v>2</v>
      </c>
      <c r="D57" s="17">
        <v>0</v>
      </c>
      <c r="E57" s="17">
        <v>65</v>
      </c>
      <c r="F57" s="18">
        <f t="shared" si="0"/>
        <v>5</v>
      </c>
    </row>
    <row r="58" spans="1:6" ht="16.5" customHeight="1" x14ac:dyDescent="0.25">
      <c r="A58" s="16" t="s">
        <v>146</v>
      </c>
      <c r="B58" s="16" t="s">
        <v>147</v>
      </c>
      <c r="C58" s="17">
        <v>0</v>
      </c>
      <c r="D58" s="17">
        <v>0</v>
      </c>
      <c r="E58" s="17">
        <v>84</v>
      </c>
      <c r="F58" s="18">
        <f t="shared" si="0"/>
        <v>7</v>
      </c>
    </row>
    <row r="59" spans="1:6" ht="16.5" customHeight="1" x14ac:dyDescent="0.25">
      <c r="A59" s="16" t="s">
        <v>148</v>
      </c>
      <c r="B59" s="16" t="s">
        <v>149</v>
      </c>
      <c r="C59" s="17">
        <v>2</v>
      </c>
      <c r="D59" s="17">
        <v>3</v>
      </c>
      <c r="E59" s="17">
        <v>228</v>
      </c>
      <c r="F59" s="18">
        <f t="shared" si="0"/>
        <v>19</v>
      </c>
    </row>
    <row r="60" spans="1:6" ht="16.5" customHeight="1" x14ac:dyDescent="0.25">
      <c r="A60" s="16" t="s">
        <v>150</v>
      </c>
      <c r="B60" s="16" t="s">
        <v>151</v>
      </c>
      <c r="C60" s="17">
        <v>1</v>
      </c>
      <c r="D60" s="17">
        <v>0</v>
      </c>
      <c r="E60" s="17">
        <v>74</v>
      </c>
      <c r="F60" s="18">
        <f t="shared" si="0"/>
        <v>6</v>
      </c>
    </row>
    <row r="61" spans="1:6" ht="16.5" customHeight="1" x14ac:dyDescent="0.25">
      <c r="A61" s="16" t="s">
        <v>152</v>
      </c>
      <c r="B61" s="16" t="s">
        <v>153</v>
      </c>
      <c r="C61" s="17">
        <v>1</v>
      </c>
      <c r="D61" s="17">
        <v>2</v>
      </c>
      <c r="E61" s="17">
        <v>374</v>
      </c>
      <c r="F61" s="18">
        <f t="shared" si="0"/>
        <v>31</v>
      </c>
    </row>
    <row r="62" spans="1:6" ht="16.5" customHeight="1" x14ac:dyDescent="0.25">
      <c r="A62" s="16" t="s">
        <v>154</v>
      </c>
      <c r="B62" s="16" t="s">
        <v>155</v>
      </c>
      <c r="C62" s="17">
        <v>0</v>
      </c>
      <c r="D62" s="17">
        <v>0</v>
      </c>
      <c r="E62" s="17">
        <v>0</v>
      </c>
      <c r="F62" s="18">
        <f t="shared" si="0"/>
        <v>0</v>
      </c>
    </row>
    <row r="63" spans="1:6" ht="16.5" customHeight="1" x14ac:dyDescent="0.25">
      <c r="A63" s="16" t="s">
        <v>156</v>
      </c>
      <c r="B63" s="16" t="s">
        <v>157</v>
      </c>
      <c r="C63" s="17">
        <v>1</v>
      </c>
      <c r="D63" s="17">
        <v>0</v>
      </c>
      <c r="E63" s="17">
        <v>63</v>
      </c>
      <c r="F63" s="18">
        <f t="shared" si="0"/>
        <v>5</v>
      </c>
    </row>
    <row r="64" spans="1:6" ht="16.5" customHeight="1" x14ac:dyDescent="0.25">
      <c r="A64" s="16" t="s">
        <v>162</v>
      </c>
      <c r="B64" s="16" t="s">
        <v>163</v>
      </c>
      <c r="C64" s="17">
        <v>0</v>
      </c>
      <c r="D64" s="17">
        <v>0</v>
      </c>
      <c r="E64" s="17">
        <v>24</v>
      </c>
      <c r="F64" s="18">
        <f t="shared" si="0"/>
        <v>2</v>
      </c>
    </row>
    <row r="65" spans="1:6" ht="16.5" customHeight="1" x14ac:dyDescent="0.25">
      <c r="A65" s="16" t="s">
        <v>164</v>
      </c>
      <c r="B65" s="16" t="s">
        <v>165</v>
      </c>
      <c r="C65" s="17">
        <v>0</v>
      </c>
      <c r="D65" s="17">
        <v>0</v>
      </c>
      <c r="E65" s="17">
        <v>48</v>
      </c>
      <c r="F65" s="18">
        <f t="shared" si="0"/>
        <v>4</v>
      </c>
    </row>
    <row r="66" spans="1:6" ht="16.5" customHeight="1" x14ac:dyDescent="0.25">
      <c r="A66" s="16" t="s">
        <v>168</v>
      </c>
      <c r="B66" s="16" t="s">
        <v>169</v>
      </c>
      <c r="C66" s="17">
        <v>1</v>
      </c>
      <c r="D66" s="17">
        <v>0</v>
      </c>
      <c r="E66" s="17">
        <v>89</v>
      </c>
      <c r="F66" s="18">
        <f t="shared" si="0"/>
        <v>7</v>
      </c>
    </row>
    <row r="67" spans="1:6" ht="16.5" customHeight="1" x14ac:dyDescent="0.25">
      <c r="A67" s="16" t="s">
        <v>170</v>
      </c>
      <c r="B67" s="16" t="s">
        <v>171</v>
      </c>
      <c r="C67" s="17">
        <v>1</v>
      </c>
      <c r="D67" s="17">
        <v>1</v>
      </c>
      <c r="E67" s="17">
        <v>132</v>
      </c>
      <c r="F67" s="18">
        <f t="shared" ref="F67:F121" si="1">ROUND(E67/12,0)</f>
        <v>11</v>
      </c>
    </row>
    <row r="68" spans="1:6" ht="16.5" customHeight="1" x14ac:dyDescent="0.25">
      <c r="A68" s="16" t="s">
        <v>172</v>
      </c>
      <c r="B68" s="16" t="s">
        <v>173</v>
      </c>
      <c r="C68" s="17">
        <v>3</v>
      </c>
      <c r="D68" s="17">
        <v>1</v>
      </c>
      <c r="E68" s="17">
        <v>170</v>
      </c>
      <c r="F68" s="18">
        <f t="shared" si="1"/>
        <v>14</v>
      </c>
    </row>
    <row r="69" spans="1:6" ht="16.5" customHeight="1" x14ac:dyDescent="0.25">
      <c r="A69" s="16" t="s">
        <v>174</v>
      </c>
      <c r="B69" s="16" t="s">
        <v>175</v>
      </c>
      <c r="C69" s="17">
        <v>2</v>
      </c>
      <c r="D69" s="17">
        <v>1</v>
      </c>
      <c r="E69" s="17">
        <v>28</v>
      </c>
      <c r="F69" s="18">
        <f t="shared" si="1"/>
        <v>2</v>
      </c>
    </row>
    <row r="70" spans="1:6" ht="16.5" customHeight="1" x14ac:dyDescent="0.25">
      <c r="A70" s="16" t="s">
        <v>178</v>
      </c>
      <c r="B70" s="16" t="s">
        <v>179</v>
      </c>
      <c r="C70" s="17">
        <v>2</v>
      </c>
      <c r="D70" s="17">
        <v>0</v>
      </c>
      <c r="E70" s="17">
        <v>256</v>
      </c>
      <c r="F70" s="18">
        <f t="shared" si="1"/>
        <v>21</v>
      </c>
    </row>
    <row r="71" spans="1:6" ht="16.5" customHeight="1" x14ac:dyDescent="0.25">
      <c r="A71" s="16" t="s">
        <v>182</v>
      </c>
      <c r="B71" s="16" t="s">
        <v>183</v>
      </c>
      <c r="C71" s="17">
        <v>1</v>
      </c>
      <c r="D71" s="17">
        <v>1</v>
      </c>
      <c r="E71" s="17">
        <v>42</v>
      </c>
      <c r="F71" s="18">
        <f t="shared" si="1"/>
        <v>4</v>
      </c>
    </row>
    <row r="72" spans="1:6" ht="16.5" customHeight="1" x14ac:dyDescent="0.25">
      <c r="A72" s="16" t="s">
        <v>184</v>
      </c>
      <c r="B72" s="16" t="s">
        <v>185</v>
      </c>
      <c r="C72" s="17">
        <v>4</v>
      </c>
      <c r="D72" s="17">
        <v>1</v>
      </c>
      <c r="E72" s="17">
        <v>220</v>
      </c>
      <c r="F72" s="18">
        <f t="shared" si="1"/>
        <v>18</v>
      </c>
    </row>
    <row r="73" spans="1:6" ht="16.5" customHeight="1" x14ac:dyDescent="0.25">
      <c r="A73" s="16" t="s">
        <v>186</v>
      </c>
      <c r="B73" s="16" t="s">
        <v>187</v>
      </c>
      <c r="C73" s="17">
        <v>3</v>
      </c>
      <c r="D73" s="17">
        <v>3</v>
      </c>
      <c r="E73" s="17">
        <v>98</v>
      </c>
      <c r="F73" s="18">
        <f t="shared" si="1"/>
        <v>8</v>
      </c>
    </row>
    <row r="74" spans="1:6" ht="16.5" customHeight="1" x14ac:dyDescent="0.25">
      <c r="A74" s="16" t="s">
        <v>188</v>
      </c>
      <c r="B74" s="16" t="s">
        <v>189</v>
      </c>
      <c r="C74" s="17">
        <v>11</v>
      </c>
      <c r="D74" s="17">
        <v>3</v>
      </c>
      <c r="E74" s="17">
        <v>1021</v>
      </c>
      <c r="F74" s="18">
        <f t="shared" si="1"/>
        <v>85</v>
      </c>
    </row>
    <row r="75" spans="1:6" ht="16.5" customHeight="1" x14ac:dyDescent="0.25">
      <c r="A75" s="16" t="s">
        <v>190</v>
      </c>
      <c r="B75" s="16" t="s">
        <v>191</v>
      </c>
      <c r="C75" s="17">
        <v>4</v>
      </c>
      <c r="D75" s="17">
        <v>0</v>
      </c>
      <c r="E75" s="17">
        <v>261</v>
      </c>
      <c r="F75" s="18">
        <f t="shared" si="1"/>
        <v>22</v>
      </c>
    </row>
    <row r="76" spans="1:6" ht="16.5" customHeight="1" x14ac:dyDescent="0.25">
      <c r="A76" s="16" t="s">
        <v>194</v>
      </c>
      <c r="B76" s="16" t="s">
        <v>195</v>
      </c>
      <c r="C76" s="17">
        <v>1</v>
      </c>
      <c r="D76" s="17">
        <v>0</v>
      </c>
      <c r="E76" s="17">
        <v>83</v>
      </c>
      <c r="F76" s="18">
        <f t="shared" si="1"/>
        <v>7</v>
      </c>
    </row>
    <row r="77" spans="1:6" ht="16.5" customHeight="1" x14ac:dyDescent="0.25">
      <c r="A77" s="16" t="s">
        <v>198</v>
      </c>
      <c r="B77" s="16" t="s">
        <v>199</v>
      </c>
      <c r="C77" s="17">
        <v>0</v>
      </c>
      <c r="D77" s="17">
        <v>0</v>
      </c>
      <c r="E77" s="17">
        <v>36</v>
      </c>
      <c r="F77" s="18">
        <f t="shared" si="1"/>
        <v>3</v>
      </c>
    </row>
    <row r="78" spans="1:6" ht="16.5" customHeight="1" x14ac:dyDescent="0.25">
      <c r="A78" s="16" t="s">
        <v>202</v>
      </c>
      <c r="B78" s="16" t="s">
        <v>203</v>
      </c>
      <c r="C78" s="17">
        <v>7</v>
      </c>
      <c r="D78" s="17">
        <v>2</v>
      </c>
      <c r="E78" s="17">
        <v>767</v>
      </c>
      <c r="F78" s="18">
        <f t="shared" si="1"/>
        <v>64</v>
      </c>
    </row>
    <row r="79" spans="1:6" ht="16.5" customHeight="1" x14ac:dyDescent="0.25">
      <c r="A79" s="16" t="s">
        <v>204</v>
      </c>
      <c r="B79" s="16" t="s">
        <v>205</v>
      </c>
      <c r="C79" s="17">
        <v>3</v>
      </c>
      <c r="D79" s="17">
        <v>2</v>
      </c>
      <c r="E79" s="17">
        <v>157</v>
      </c>
      <c r="F79" s="18">
        <f t="shared" si="1"/>
        <v>13</v>
      </c>
    </row>
    <row r="80" spans="1:6" ht="16.5" customHeight="1" x14ac:dyDescent="0.25">
      <c r="A80" s="16" t="s">
        <v>206</v>
      </c>
      <c r="B80" s="16" t="s">
        <v>207</v>
      </c>
      <c r="C80" s="17">
        <v>26</v>
      </c>
      <c r="D80" s="17">
        <v>3</v>
      </c>
      <c r="E80" s="17">
        <v>1347</v>
      </c>
      <c r="F80" s="18">
        <f t="shared" si="1"/>
        <v>112</v>
      </c>
    </row>
    <row r="81" spans="1:6" ht="16.5" customHeight="1" x14ac:dyDescent="0.25">
      <c r="A81" s="16" t="s">
        <v>208</v>
      </c>
      <c r="B81" s="16" t="s">
        <v>209</v>
      </c>
      <c r="C81" s="17">
        <v>2</v>
      </c>
      <c r="D81" s="17">
        <v>0</v>
      </c>
      <c r="E81" s="17">
        <v>53</v>
      </c>
      <c r="F81" s="18">
        <f t="shared" si="1"/>
        <v>4</v>
      </c>
    </row>
    <row r="82" spans="1:6" ht="16.5" customHeight="1" x14ac:dyDescent="0.25">
      <c r="A82" s="16" t="s">
        <v>210</v>
      </c>
      <c r="B82" s="16" t="s">
        <v>211</v>
      </c>
      <c r="C82" s="17">
        <v>4</v>
      </c>
      <c r="D82" s="17">
        <v>1</v>
      </c>
      <c r="E82" s="17">
        <v>345</v>
      </c>
      <c r="F82" s="18">
        <f t="shared" si="1"/>
        <v>29</v>
      </c>
    </row>
    <row r="83" spans="1:6" ht="16.5" customHeight="1" x14ac:dyDescent="0.25">
      <c r="A83" s="16" t="s">
        <v>212</v>
      </c>
      <c r="B83" s="16" t="s">
        <v>213</v>
      </c>
      <c r="C83" s="17">
        <v>4</v>
      </c>
      <c r="D83" s="17">
        <v>0</v>
      </c>
      <c r="E83" s="17">
        <v>243</v>
      </c>
      <c r="F83" s="18">
        <f t="shared" si="1"/>
        <v>20</v>
      </c>
    </row>
    <row r="84" spans="1:6" ht="16.5" customHeight="1" x14ac:dyDescent="0.25">
      <c r="A84" s="16" t="s">
        <v>214</v>
      </c>
      <c r="B84" s="16" t="s">
        <v>215</v>
      </c>
      <c r="C84" s="17">
        <v>0</v>
      </c>
      <c r="D84" s="17">
        <v>2</v>
      </c>
      <c r="E84" s="17">
        <v>193</v>
      </c>
      <c r="F84" s="18">
        <f t="shared" si="1"/>
        <v>16</v>
      </c>
    </row>
    <row r="85" spans="1:6" ht="16.5" customHeight="1" x14ac:dyDescent="0.25">
      <c r="A85" s="16" t="s">
        <v>216</v>
      </c>
      <c r="B85" s="16" t="s">
        <v>217</v>
      </c>
      <c r="C85" s="17">
        <v>0</v>
      </c>
      <c r="D85" s="17">
        <v>0</v>
      </c>
      <c r="E85" s="17">
        <v>24</v>
      </c>
      <c r="F85" s="18">
        <f t="shared" si="1"/>
        <v>2</v>
      </c>
    </row>
    <row r="86" spans="1:6" ht="16.5" customHeight="1" x14ac:dyDescent="0.25">
      <c r="A86" s="16" t="s">
        <v>218</v>
      </c>
      <c r="B86" s="16" t="s">
        <v>219</v>
      </c>
      <c r="C86" s="17">
        <v>7</v>
      </c>
      <c r="D86" s="17">
        <v>1</v>
      </c>
      <c r="E86" s="17">
        <v>728</v>
      </c>
      <c r="F86" s="18">
        <f t="shared" si="1"/>
        <v>61</v>
      </c>
    </row>
    <row r="87" spans="1:6" ht="16.5" customHeight="1" x14ac:dyDescent="0.25">
      <c r="A87" s="16" t="s">
        <v>220</v>
      </c>
      <c r="B87" s="16" t="s">
        <v>221</v>
      </c>
      <c r="C87" s="17">
        <v>9</v>
      </c>
      <c r="D87" s="17">
        <v>1</v>
      </c>
      <c r="E87" s="17">
        <v>1167</v>
      </c>
      <c r="F87" s="18">
        <f t="shared" si="1"/>
        <v>97</v>
      </c>
    </row>
    <row r="88" spans="1:6" ht="16.5" customHeight="1" x14ac:dyDescent="0.25">
      <c r="A88" s="16" t="s">
        <v>224</v>
      </c>
      <c r="B88" s="16" t="s">
        <v>225</v>
      </c>
      <c r="C88" s="17">
        <v>0</v>
      </c>
      <c r="D88" s="17">
        <v>0</v>
      </c>
      <c r="E88" s="17">
        <v>36</v>
      </c>
      <c r="F88" s="18">
        <f t="shared" si="1"/>
        <v>3</v>
      </c>
    </row>
    <row r="89" spans="1:6" ht="16.5" customHeight="1" x14ac:dyDescent="0.25">
      <c r="A89" s="16" t="s">
        <v>226</v>
      </c>
      <c r="B89" s="16" t="s">
        <v>227</v>
      </c>
      <c r="C89" s="17">
        <v>0</v>
      </c>
      <c r="D89" s="17">
        <v>0</v>
      </c>
      <c r="E89" s="17">
        <v>60</v>
      </c>
      <c r="F89" s="18">
        <f t="shared" si="1"/>
        <v>5</v>
      </c>
    </row>
    <row r="90" spans="1:6" ht="16.5" customHeight="1" x14ac:dyDescent="0.25">
      <c r="A90" s="16" t="s">
        <v>228</v>
      </c>
      <c r="B90" s="16" t="s">
        <v>229</v>
      </c>
      <c r="C90" s="17">
        <v>7</v>
      </c>
      <c r="D90" s="17">
        <v>3</v>
      </c>
      <c r="E90" s="17">
        <v>766</v>
      </c>
      <c r="F90" s="18">
        <f t="shared" si="1"/>
        <v>64</v>
      </c>
    </row>
    <row r="91" spans="1:6" ht="16.5" customHeight="1" x14ac:dyDescent="0.25">
      <c r="A91" s="16" t="s">
        <v>232</v>
      </c>
      <c r="B91" s="16" t="s">
        <v>233</v>
      </c>
      <c r="C91" s="17">
        <v>3</v>
      </c>
      <c r="D91" s="17">
        <v>1</v>
      </c>
      <c r="E91" s="17">
        <v>557</v>
      </c>
      <c r="F91" s="18">
        <f t="shared" si="1"/>
        <v>46</v>
      </c>
    </row>
    <row r="92" spans="1:6" ht="16.5" customHeight="1" x14ac:dyDescent="0.25">
      <c r="A92" s="16" t="s">
        <v>234</v>
      </c>
      <c r="B92" s="16" t="s">
        <v>235</v>
      </c>
      <c r="C92" s="17">
        <v>3</v>
      </c>
      <c r="D92" s="17">
        <v>0</v>
      </c>
      <c r="E92" s="17">
        <v>282</v>
      </c>
      <c r="F92" s="18">
        <f t="shared" si="1"/>
        <v>24</v>
      </c>
    </row>
    <row r="93" spans="1:6" ht="16.5" customHeight="1" x14ac:dyDescent="0.25">
      <c r="A93" s="16" t="s">
        <v>236</v>
      </c>
      <c r="B93" s="16" t="s">
        <v>237</v>
      </c>
      <c r="C93" s="17">
        <v>1</v>
      </c>
      <c r="D93" s="17">
        <v>2</v>
      </c>
      <c r="E93" s="17">
        <v>97</v>
      </c>
      <c r="F93" s="18">
        <f t="shared" si="1"/>
        <v>8</v>
      </c>
    </row>
    <row r="94" spans="1:6" ht="16.5" customHeight="1" x14ac:dyDescent="0.25">
      <c r="A94" s="16" t="s">
        <v>242</v>
      </c>
      <c r="B94" s="16" t="s">
        <v>243</v>
      </c>
      <c r="C94" s="17">
        <v>10</v>
      </c>
      <c r="D94" s="17">
        <v>7</v>
      </c>
      <c r="E94" s="17">
        <v>892</v>
      </c>
      <c r="F94" s="18">
        <f t="shared" si="1"/>
        <v>74</v>
      </c>
    </row>
    <row r="95" spans="1:6" ht="16.5" customHeight="1" x14ac:dyDescent="0.25">
      <c r="A95" s="16" t="s">
        <v>244</v>
      </c>
      <c r="B95" s="16" t="s">
        <v>245</v>
      </c>
      <c r="C95" s="17">
        <v>1</v>
      </c>
      <c r="D95" s="17">
        <v>0</v>
      </c>
      <c r="E95" s="17">
        <v>151</v>
      </c>
      <c r="F95" s="18">
        <f t="shared" si="1"/>
        <v>13</v>
      </c>
    </row>
    <row r="96" spans="1:6" ht="16.5" customHeight="1" x14ac:dyDescent="0.25">
      <c r="A96" s="16" t="s">
        <v>246</v>
      </c>
      <c r="B96" s="16" t="s">
        <v>310</v>
      </c>
      <c r="C96" s="17">
        <v>5</v>
      </c>
      <c r="D96" s="17">
        <v>2</v>
      </c>
      <c r="E96" s="17">
        <v>207</v>
      </c>
      <c r="F96" s="18">
        <f t="shared" si="1"/>
        <v>17</v>
      </c>
    </row>
    <row r="97" spans="1:6" ht="16.5" customHeight="1" x14ac:dyDescent="0.25">
      <c r="A97" s="16" t="s">
        <v>14</v>
      </c>
      <c r="B97" s="16" t="s">
        <v>15</v>
      </c>
      <c r="C97" s="17">
        <v>21</v>
      </c>
      <c r="D97" s="17">
        <v>1</v>
      </c>
      <c r="E97" s="17">
        <v>1630</v>
      </c>
      <c r="F97" s="18">
        <f t="shared" si="1"/>
        <v>136</v>
      </c>
    </row>
    <row r="98" spans="1:6" ht="16.5" customHeight="1" x14ac:dyDescent="0.25">
      <c r="A98" s="16" t="s">
        <v>34</v>
      </c>
      <c r="B98" s="16" t="s">
        <v>35</v>
      </c>
      <c r="C98" s="17">
        <v>0</v>
      </c>
      <c r="D98" s="17">
        <v>0</v>
      </c>
      <c r="E98" s="17">
        <v>251</v>
      </c>
      <c r="F98" s="18">
        <f t="shared" si="1"/>
        <v>21</v>
      </c>
    </row>
    <row r="99" spans="1:6" ht="16.5" customHeight="1" x14ac:dyDescent="0.25">
      <c r="A99" s="16" t="s">
        <v>52</v>
      </c>
      <c r="B99" s="16" t="s">
        <v>53</v>
      </c>
      <c r="C99" s="17">
        <v>14</v>
      </c>
      <c r="D99" s="17">
        <v>0</v>
      </c>
      <c r="E99" s="17">
        <v>789</v>
      </c>
      <c r="F99" s="18">
        <f t="shared" si="1"/>
        <v>66</v>
      </c>
    </row>
    <row r="100" spans="1:6" ht="16.5" customHeight="1" x14ac:dyDescent="0.25">
      <c r="A100" s="16" t="s">
        <v>54</v>
      </c>
      <c r="B100" s="16" t="s">
        <v>55</v>
      </c>
      <c r="C100" s="17">
        <v>5</v>
      </c>
      <c r="D100" s="17">
        <v>3</v>
      </c>
      <c r="E100" s="17">
        <v>1198</v>
      </c>
      <c r="F100" s="18">
        <f t="shared" si="1"/>
        <v>100</v>
      </c>
    </row>
    <row r="101" spans="1:6" ht="16.5" customHeight="1" x14ac:dyDescent="0.25">
      <c r="A101" s="16" t="s">
        <v>66</v>
      </c>
      <c r="B101" s="16" t="s">
        <v>67</v>
      </c>
      <c r="C101" s="17">
        <v>1</v>
      </c>
      <c r="D101" s="17">
        <v>1</v>
      </c>
      <c r="E101" s="17">
        <v>521</v>
      </c>
      <c r="F101" s="18">
        <f t="shared" si="1"/>
        <v>43</v>
      </c>
    </row>
    <row r="102" spans="1:6" ht="16.5" customHeight="1" x14ac:dyDescent="0.25">
      <c r="A102" s="16" t="s">
        <v>82</v>
      </c>
      <c r="B102" s="16" t="s">
        <v>311</v>
      </c>
      <c r="C102" s="17">
        <v>0</v>
      </c>
      <c r="D102" s="17">
        <v>0</v>
      </c>
      <c r="E102" s="17">
        <v>24</v>
      </c>
      <c r="F102" s="18">
        <f t="shared" si="1"/>
        <v>2</v>
      </c>
    </row>
    <row r="103" spans="1:6" ht="16.5" customHeight="1" x14ac:dyDescent="0.25">
      <c r="A103" s="16" t="s">
        <v>88</v>
      </c>
      <c r="B103" s="16" t="s">
        <v>89</v>
      </c>
      <c r="C103" s="17">
        <v>5</v>
      </c>
      <c r="D103" s="17">
        <v>0</v>
      </c>
      <c r="E103" s="17">
        <v>528</v>
      </c>
      <c r="F103" s="18">
        <f t="shared" si="1"/>
        <v>44</v>
      </c>
    </row>
    <row r="104" spans="1:6" ht="16.5" customHeight="1" x14ac:dyDescent="0.25">
      <c r="A104" s="16" t="s">
        <v>90</v>
      </c>
      <c r="B104" s="16" t="s">
        <v>91</v>
      </c>
      <c r="C104" s="17">
        <v>2</v>
      </c>
      <c r="D104" s="17">
        <v>0</v>
      </c>
      <c r="E104" s="17">
        <v>132</v>
      </c>
      <c r="F104" s="18">
        <f t="shared" si="1"/>
        <v>11</v>
      </c>
    </row>
    <row r="105" spans="1:6" ht="16.5" customHeight="1" x14ac:dyDescent="0.25">
      <c r="A105" s="16" t="s">
        <v>106</v>
      </c>
      <c r="B105" s="16" t="s">
        <v>107</v>
      </c>
      <c r="C105" s="17">
        <v>12</v>
      </c>
      <c r="D105" s="17">
        <v>4</v>
      </c>
      <c r="E105" s="17">
        <v>1594</v>
      </c>
      <c r="F105" s="18">
        <f t="shared" si="1"/>
        <v>133</v>
      </c>
    </row>
    <row r="106" spans="1:6" ht="16.5" customHeight="1" x14ac:dyDescent="0.25">
      <c r="A106" s="16" t="s">
        <v>116</v>
      </c>
      <c r="B106" s="16" t="s">
        <v>117</v>
      </c>
      <c r="C106" s="17">
        <v>2</v>
      </c>
      <c r="D106" s="17">
        <v>1</v>
      </c>
      <c r="E106" s="17">
        <v>195</v>
      </c>
      <c r="F106" s="18">
        <f t="shared" si="1"/>
        <v>16</v>
      </c>
    </row>
    <row r="107" spans="1:6" ht="16.5" customHeight="1" x14ac:dyDescent="0.25">
      <c r="A107" s="16" t="s">
        <v>138</v>
      </c>
      <c r="B107" s="16" t="s">
        <v>139</v>
      </c>
      <c r="C107" s="17">
        <v>18</v>
      </c>
      <c r="D107" s="17">
        <v>3</v>
      </c>
      <c r="E107" s="17">
        <v>1411</v>
      </c>
      <c r="F107" s="18">
        <f t="shared" si="1"/>
        <v>118</v>
      </c>
    </row>
    <row r="108" spans="1:6" ht="16.5" customHeight="1" x14ac:dyDescent="0.25">
      <c r="A108" s="16" t="s">
        <v>142</v>
      </c>
      <c r="B108" s="16" t="s">
        <v>143</v>
      </c>
      <c r="C108" s="17">
        <v>4</v>
      </c>
      <c r="D108" s="17">
        <v>0</v>
      </c>
      <c r="E108" s="17">
        <v>194</v>
      </c>
      <c r="F108" s="18">
        <f t="shared" si="1"/>
        <v>16</v>
      </c>
    </row>
    <row r="109" spans="1:6" ht="16.5" customHeight="1" x14ac:dyDescent="0.25">
      <c r="A109" s="16" t="s">
        <v>144</v>
      </c>
      <c r="B109" s="16" t="s">
        <v>145</v>
      </c>
      <c r="C109" s="17">
        <v>0</v>
      </c>
      <c r="D109" s="17">
        <v>0</v>
      </c>
      <c r="E109" s="17">
        <v>48</v>
      </c>
      <c r="F109" s="18">
        <f t="shared" si="1"/>
        <v>4</v>
      </c>
    </row>
    <row r="110" spans="1:6" ht="16.5" customHeight="1" x14ac:dyDescent="0.25">
      <c r="A110" s="16" t="s">
        <v>158</v>
      </c>
      <c r="B110" s="16" t="s">
        <v>159</v>
      </c>
      <c r="C110" s="17">
        <v>16</v>
      </c>
      <c r="D110" s="17">
        <v>6</v>
      </c>
      <c r="E110" s="17">
        <v>3092</v>
      </c>
      <c r="F110" s="18">
        <f t="shared" si="1"/>
        <v>258</v>
      </c>
    </row>
    <row r="111" spans="1:6" ht="16.5" customHeight="1" x14ac:dyDescent="0.25">
      <c r="A111" s="16" t="s">
        <v>160</v>
      </c>
      <c r="B111" s="16" t="s">
        <v>161</v>
      </c>
      <c r="C111" s="17">
        <v>11</v>
      </c>
      <c r="D111" s="17">
        <v>5</v>
      </c>
      <c r="E111" s="17">
        <v>2057</v>
      </c>
      <c r="F111" s="18">
        <f t="shared" si="1"/>
        <v>171</v>
      </c>
    </row>
    <row r="112" spans="1:6" ht="16.5" customHeight="1" x14ac:dyDescent="0.25">
      <c r="A112" s="16" t="s">
        <v>166</v>
      </c>
      <c r="B112" s="16" t="s">
        <v>167</v>
      </c>
      <c r="C112" s="17">
        <v>0</v>
      </c>
      <c r="D112" s="17">
        <v>0</v>
      </c>
      <c r="E112" s="17">
        <v>144</v>
      </c>
      <c r="F112" s="18">
        <f t="shared" si="1"/>
        <v>12</v>
      </c>
    </row>
    <row r="113" spans="1:6" ht="16.5" customHeight="1" x14ac:dyDescent="0.25">
      <c r="A113" s="16" t="s">
        <v>176</v>
      </c>
      <c r="B113" s="16" t="s">
        <v>177</v>
      </c>
      <c r="C113" s="17">
        <v>10</v>
      </c>
      <c r="D113" s="17">
        <v>4</v>
      </c>
      <c r="E113" s="17">
        <v>890</v>
      </c>
      <c r="F113" s="18">
        <f t="shared" si="1"/>
        <v>74</v>
      </c>
    </row>
    <row r="114" spans="1:6" ht="16.5" customHeight="1" x14ac:dyDescent="0.25">
      <c r="A114" s="16" t="s">
        <v>180</v>
      </c>
      <c r="B114" s="16" t="s">
        <v>181</v>
      </c>
      <c r="C114" s="17">
        <v>9</v>
      </c>
      <c r="D114" s="17">
        <v>11</v>
      </c>
      <c r="E114" s="17">
        <v>1142</v>
      </c>
      <c r="F114" s="18">
        <f t="shared" si="1"/>
        <v>95</v>
      </c>
    </row>
    <row r="115" spans="1:6" ht="16.5" customHeight="1" x14ac:dyDescent="0.25">
      <c r="A115" s="16" t="s">
        <v>192</v>
      </c>
      <c r="B115" s="16" t="s">
        <v>193</v>
      </c>
      <c r="C115" s="17">
        <v>4</v>
      </c>
      <c r="D115" s="17">
        <v>0</v>
      </c>
      <c r="E115" s="17">
        <v>228</v>
      </c>
      <c r="F115" s="18">
        <f t="shared" si="1"/>
        <v>19</v>
      </c>
    </row>
    <row r="116" spans="1:6" ht="16.5" customHeight="1" x14ac:dyDescent="0.25">
      <c r="A116" s="16" t="s">
        <v>196</v>
      </c>
      <c r="B116" s="16" t="s">
        <v>312</v>
      </c>
      <c r="C116" s="17">
        <v>34</v>
      </c>
      <c r="D116" s="17">
        <v>6</v>
      </c>
      <c r="E116" s="17">
        <v>5651</v>
      </c>
      <c r="F116" s="18">
        <f t="shared" si="1"/>
        <v>471</v>
      </c>
    </row>
    <row r="117" spans="1:6" ht="16.5" customHeight="1" x14ac:dyDescent="0.25">
      <c r="A117" s="16" t="s">
        <v>200</v>
      </c>
      <c r="B117" s="16" t="s">
        <v>313</v>
      </c>
      <c r="C117" s="17">
        <v>43</v>
      </c>
      <c r="D117" s="17">
        <v>4</v>
      </c>
      <c r="E117" s="17">
        <v>3253</v>
      </c>
      <c r="F117" s="18">
        <f t="shared" si="1"/>
        <v>271</v>
      </c>
    </row>
    <row r="118" spans="1:6" ht="16.5" customHeight="1" x14ac:dyDescent="0.25">
      <c r="A118" s="16" t="s">
        <v>222</v>
      </c>
      <c r="B118" s="16" t="s">
        <v>223</v>
      </c>
      <c r="C118" s="17">
        <v>4</v>
      </c>
      <c r="D118" s="17">
        <v>3</v>
      </c>
      <c r="E118" s="17">
        <v>368</v>
      </c>
      <c r="F118" s="18">
        <f t="shared" si="1"/>
        <v>31</v>
      </c>
    </row>
    <row r="119" spans="1:6" ht="16.5" customHeight="1" x14ac:dyDescent="0.25">
      <c r="A119" s="16" t="s">
        <v>230</v>
      </c>
      <c r="B119" s="16" t="s">
        <v>231</v>
      </c>
      <c r="C119" s="17">
        <v>15</v>
      </c>
      <c r="D119" s="17">
        <v>2</v>
      </c>
      <c r="E119" s="17">
        <v>2399</v>
      </c>
      <c r="F119" s="18">
        <f t="shared" si="1"/>
        <v>200</v>
      </c>
    </row>
    <row r="120" spans="1:6" ht="16.5" customHeight="1" x14ac:dyDescent="0.25">
      <c r="A120" s="16" t="s">
        <v>238</v>
      </c>
      <c r="B120" s="16" t="s">
        <v>239</v>
      </c>
      <c r="C120" s="17">
        <v>1</v>
      </c>
      <c r="D120" s="17">
        <v>0</v>
      </c>
      <c r="E120" s="17">
        <v>80</v>
      </c>
      <c r="F120" s="18">
        <f t="shared" si="1"/>
        <v>7</v>
      </c>
    </row>
    <row r="121" spans="1:6" ht="16.5" customHeight="1" x14ac:dyDescent="0.25">
      <c r="A121" s="16" t="s">
        <v>240</v>
      </c>
      <c r="B121" s="16" t="s">
        <v>241</v>
      </c>
      <c r="C121" s="17">
        <v>5</v>
      </c>
      <c r="D121" s="17">
        <v>3</v>
      </c>
      <c r="E121" s="17">
        <v>492</v>
      </c>
      <c r="F121" s="18">
        <f t="shared" si="1"/>
        <v>41</v>
      </c>
    </row>
    <row r="122" spans="1:6" x14ac:dyDescent="0.2">
      <c r="C122" s="18">
        <f>SUM(C2:C121)</f>
        <v>606</v>
      </c>
      <c r="D122" s="18">
        <f>SUM(D2:D121)</f>
        <v>180</v>
      </c>
      <c r="E122" s="18">
        <f>SUM(E2:E121)</f>
        <v>62001</v>
      </c>
      <c r="F122" s="18">
        <f>SUM(F2:F121)</f>
        <v>5166</v>
      </c>
    </row>
    <row r="123" spans="1:6" x14ac:dyDescent="0.2">
      <c r="C123" s="18">
        <f>+C122/12</f>
        <v>50.5</v>
      </c>
      <c r="D123" s="18">
        <f>+D122/12</f>
        <v>15</v>
      </c>
      <c r="E123" s="18">
        <f>+E122/12</f>
        <v>5166.75</v>
      </c>
    </row>
    <row r="124" spans="1:6" ht="12.75" customHeight="1" x14ac:dyDescent="0.2">
      <c r="A124" s="2774" t="s">
        <v>570</v>
      </c>
      <c r="B124" s="2774"/>
      <c r="C124" s="2775"/>
    </row>
    <row r="125" spans="1:6" x14ac:dyDescent="0.2">
      <c r="A125" s="18" t="s">
        <v>571</v>
      </c>
    </row>
  </sheetData>
  <mergeCells count="1">
    <mergeCell ref="A124:C124"/>
  </mergeCells>
  <pageMargins left="0.75" right="0.7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25"/>
  <sheetViews>
    <sheetView topLeftCell="B1" zoomScaleNormal="132" zoomScaleSheetLayoutView="132"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RowHeight="15.75" x14ac:dyDescent="0.25"/>
  <cols>
    <col min="1" max="2" width="9" style="5"/>
    <col min="3" max="3" width="20.75" style="5" customWidth="1"/>
    <col min="4" max="4" width="13.125" style="5" customWidth="1"/>
    <col min="5" max="5" width="10.75" style="5" bestFit="1" customWidth="1"/>
    <col min="6" max="6" width="7.875" style="5" bestFit="1" customWidth="1"/>
    <col min="7" max="7" width="6.875" style="5" bestFit="1" customWidth="1"/>
    <col min="8" max="8" width="11.25" style="5" customWidth="1"/>
    <col min="9" max="9" width="7.125" style="5" bestFit="1" customWidth="1"/>
    <col min="10" max="10" width="12.625" style="5" bestFit="1" customWidth="1"/>
    <col min="11" max="11" width="6.75" style="5" customWidth="1"/>
    <col min="12" max="12" width="6.875" style="5" bestFit="1" customWidth="1"/>
    <col min="13" max="13" width="19.25" style="5" bestFit="1" customWidth="1"/>
    <col min="14" max="14" width="6.875" style="5" bestFit="1" customWidth="1"/>
    <col min="15" max="15" width="9" style="5" customWidth="1"/>
    <col min="16" max="16" width="8.625" style="5" customWidth="1"/>
    <col min="17" max="17" width="11.875" style="5" bestFit="1" customWidth="1"/>
    <col min="18" max="18" width="18.125" style="5" customWidth="1"/>
    <col min="19" max="19" width="15.625" style="5" bestFit="1" customWidth="1"/>
    <col min="20" max="20" width="18.375" style="5" customWidth="1"/>
    <col min="21" max="21" width="17.625" style="5" customWidth="1"/>
    <col min="22" max="22" width="17.5" style="5" customWidth="1"/>
    <col min="23" max="23" width="16.625" style="5" customWidth="1"/>
    <col min="24" max="24" width="10.875" style="5" bestFit="1" customWidth="1"/>
    <col min="25" max="16384" width="9" style="5"/>
  </cols>
  <sheetData>
    <row r="1" spans="2:24" x14ac:dyDescent="0.25">
      <c r="B1" s="5">
        <v>1</v>
      </c>
      <c r="C1" s="5">
        <f>+B1+1</f>
        <v>2</v>
      </c>
      <c r="D1" s="5">
        <f t="shared" ref="D1:O1" si="0">+C1+1</f>
        <v>3</v>
      </c>
      <c r="E1" s="5">
        <f t="shared" si="0"/>
        <v>4</v>
      </c>
      <c r="F1" s="5">
        <f t="shared" si="0"/>
        <v>5</v>
      </c>
      <c r="G1" s="5">
        <f t="shared" si="0"/>
        <v>6</v>
      </c>
      <c r="H1" s="5">
        <f t="shared" si="0"/>
        <v>7</v>
      </c>
      <c r="I1" s="5">
        <f t="shared" si="0"/>
        <v>8</v>
      </c>
      <c r="J1" s="5">
        <f t="shared" si="0"/>
        <v>9</v>
      </c>
      <c r="K1" s="5">
        <f t="shared" si="0"/>
        <v>10</v>
      </c>
      <c r="L1" s="5">
        <f t="shared" si="0"/>
        <v>11</v>
      </c>
      <c r="M1" s="5">
        <f t="shared" si="0"/>
        <v>12</v>
      </c>
      <c r="N1" s="5">
        <f t="shared" si="0"/>
        <v>13</v>
      </c>
      <c r="O1" s="5">
        <f t="shared" si="0"/>
        <v>14</v>
      </c>
    </row>
    <row r="2" spans="2:24" x14ac:dyDescent="0.25">
      <c r="B2" s="5" t="s">
        <v>544</v>
      </c>
    </row>
    <row r="3" spans="2:24" x14ac:dyDescent="0.25">
      <c r="B3" s="5" t="s">
        <v>545</v>
      </c>
    </row>
    <row r="4" spans="2:24" s="6" customFormat="1" ht="58.5" customHeight="1" x14ac:dyDescent="0.25">
      <c r="B4" s="6" t="s">
        <v>4</v>
      </c>
      <c r="C4" s="7" t="s">
        <v>546</v>
      </c>
      <c r="D4" s="7" t="s">
        <v>547</v>
      </c>
      <c r="E4" s="7" t="s">
        <v>449</v>
      </c>
      <c r="F4" s="7" t="s">
        <v>548</v>
      </c>
      <c r="G4" s="7" t="s">
        <v>549</v>
      </c>
      <c r="H4" s="7" t="s">
        <v>550</v>
      </c>
      <c r="I4" s="7" t="s">
        <v>551</v>
      </c>
      <c r="J4" s="7" t="s">
        <v>552</v>
      </c>
      <c r="K4" s="7" t="s">
        <v>542</v>
      </c>
      <c r="L4" s="7" t="s">
        <v>445</v>
      </c>
      <c r="M4" s="7" t="s">
        <v>553</v>
      </c>
      <c r="N4" s="7" t="s">
        <v>2</v>
      </c>
      <c r="O4" s="7" t="s">
        <v>562</v>
      </c>
      <c r="P4" s="7" t="s">
        <v>447</v>
      </c>
      <c r="Q4" s="7" t="s">
        <v>554</v>
      </c>
      <c r="R4" s="7" t="s">
        <v>555</v>
      </c>
      <c r="S4" s="7" t="s">
        <v>556</v>
      </c>
      <c r="T4" s="7" t="s">
        <v>557</v>
      </c>
      <c r="U4" s="7" t="s">
        <v>558</v>
      </c>
      <c r="V4" s="7" t="s">
        <v>559</v>
      </c>
      <c r="W4" s="7" t="s">
        <v>560</v>
      </c>
      <c r="X4" s="7" t="s">
        <v>561</v>
      </c>
    </row>
    <row r="5" spans="2:24" x14ac:dyDescent="0.25">
      <c r="B5" s="5" t="s">
        <v>10</v>
      </c>
      <c r="C5" s="8" t="s">
        <v>11</v>
      </c>
      <c r="D5" s="8" t="s">
        <v>264</v>
      </c>
      <c r="E5" s="9">
        <v>337</v>
      </c>
      <c r="F5" s="9">
        <v>163</v>
      </c>
      <c r="G5" s="9">
        <v>172</v>
      </c>
      <c r="H5" s="9">
        <v>2</v>
      </c>
      <c r="I5" s="9">
        <v>48</v>
      </c>
      <c r="J5" s="9">
        <v>2</v>
      </c>
      <c r="K5" s="9">
        <v>0</v>
      </c>
      <c r="L5" s="9">
        <v>117</v>
      </c>
      <c r="M5" s="9">
        <v>0</v>
      </c>
      <c r="N5" s="9">
        <v>207</v>
      </c>
      <c r="O5" s="9">
        <f>+M5+K5+J5</f>
        <v>2</v>
      </c>
      <c r="P5" s="9"/>
      <c r="Q5" s="9">
        <v>13</v>
      </c>
      <c r="R5" s="9">
        <v>18</v>
      </c>
      <c r="S5" s="9">
        <v>37</v>
      </c>
      <c r="T5" s="9">
        <v>88</v>
      </c>
      <c r="U5" s="9">
        <v>73</v>
      </c>
      <c r="V5" s="9">
        <v>55</v>
      </c>
      <c r="W5" s="9">
        <v>29</v>
      </c>
      <c r="X5" s="9">
        <v>37</v>
      </c>
    </row>
    <row r="6" spans="2:24" x14ac:dyDescent="0.25">
      <c r="B6" s="5" t="s">
        <v>12</v>
      </c>
      <c r="C6" s="8" t="s">
        <v>13</v>
      </c>
      <c r="D6" s="8" t="s">
        <v>265</v>
      </c>
      <c r="E6" s="9">
        <v>740</v>
      </c>
      <c r="F6" s="9">
        <v>336</v>
      </c>
      <c r="G6" s="9">
        <v>360</v>
      </c>
      <c r="H6" s="9">
        <v>44</v>
      </c>
      <c r="I6" s="9">
        <v>72</v>
      </c>
      <c r="J6" s="9">
        <v>0</v>
      </c>
      <c r="K6" s="9">
        <v>3</v>
      </c>
      <c r="L6" s="9">
        <v>173</v>
      </c>
      <c r="M6" s="9">
        <v>3</v>
      </c>
      <c r="N6" s="9">
        <v>458</v>
      </c>
      <c r="O6" s="9">
        <f t="shared" ref="O6:O69" si="1">+M6+K6+J6</f>
        <v>6</v>
      </c>
      <c r="P6" s="9"/>
      <c r="Q6" s="9">
        <v>135</v>
      </c>
      <c r="R6" s="9">
        <v>26</v>
      </c>
      <c r="S6" s="9">
        <v>100</v>
      </c>
      <c r="T6" s="9">
        <v>128</v>
      </c>
      <c r="U6" s="9">
        <v>104</v>
      </c>
      <c r="V6" s="9">
        <v>113</v>
      </c>
      <c r="W6" s="9">
        <v>57</v>
      </c>
      <c r="X6" s="9">
        <v>212</v>
      </c>
    </row>
    <row r="7" spans="2:24" x14ac:dyDescent="0.25">
      <c r="B7" s="5" t="s">
        <v>14</v>
      </c>
      <c r="C7" s="8" t="s">
        <v>15</v>
      </c>
      <c r="D7" s="8" t="s">
        <v>267</v>
      </c>
      <c r="E7" s="9">
        <v>1541</v>
      </c>
      <c r="F7" s="9">
        <v>803</v>
      </c>
      <c r="G7" s="9">
        <v>721</v>
      </c>
      <c r="H7" s="9">
        <v>17</v>
      </c>
      <c r="I7" s="9">
        <v>480</v>
      </c>
      <c r="J7" s="9">
        <v>4</v>
      </c>
      <c r="K7" s="9">
        <v>30</v>
      </c>
      <c r="L7" s="9">
        <v>836</v>
      </c>
      <c r="M7" s="9">
        <v>3</v>
      </c>
      <c r="N7" s="9">
        <v>642</v>
      </c>
      <c r="O7" s="9">
        <f t="shared" si="1"/>
        <v>37</v>
      </c>
      <c r="P7" s="9"/>
      <c r="Q7" s="9">
        <v>85</v>
      </c>
      <c r="R7" s="9">
        <v>139</v>
      </c>
      <c r="S7" s="9">
        <v>273</v>
      </c>
      <c r="T7" s="9">
        <v>382</v>
      </c>
      <c r="U7" s="9">
        <v>277</v>
      </c>
      <c r="V7" s="9">
        <v>203</v>
      </c>
      <c r="W7" s="9">
        <v>89</v>
      </c>
      <c r="X7" s="9">
        <v>178</v>
      </c>
    </row>
    <row r="8" spans="2:24" x14ac:dyDescent="0.25">
      <c r="B8" s="5" t="s">
        <v>16</v>
      </c>
      <c r="C8" s="1" t="s">
        <v>297</v>
      </c>
      <c r="D8" s="8" t="s">
        <v>265</v>
      </c>
      <c r="E8" s="10">
        <v>523</v>
      </c>
      <c r="F8" s="10">
        <v>251</v>
      </c>
      <c r="G8" s="10">
        <v>269</v>
      </c>
      <c r="H8" s="10">
        <v>3</v>
      </c>
      <c r="I8" s="10">
        <v>5</v>
      </c>
      <c r="J8" s="10">
        <v>0</v>
      </c>
      <c r="K8" s="10">
        <v>0</v>
      </c>
      <c r="L8" s="10">
        <v>65</v>
      </c>
      <c r="M8" s="10">
        <v>1</v>
      </c>
      <c r="N8" s="10">
        <v>468</v>
      </c>
      <c r="O8" s="9">
        <f t="shared" si="1"/>
        <v>1</v>
      </c>
      <c r="P8" s="10">
        <v>0</v>
      </c>
      <c r="Q8" s="10">
        <v>21</v>
      </c>
      <c r="R8" s="10">
        <v>24</v>
      </c>
      <c r="S8" s="10">
        <v>57</v>
      </c>
      <c r="T8" s="10">
        <v>84</v>
      </c>
      <c r="U8" s="10">
        <v>65</v>
      </c>
      <c r="V8" s="10">
        <v>71</v>
      </c>
      <c r="W8" s="10">
        <v>35</v>
      </c>
      <c r="X8" s="10">
        <v>187</v>
      </c>
    </row>
    <row r="9" spans="2:24" x14ac:dyDescent="0.25">
      <c r="B9" s="5" t="s">
        <v>18</v>
      </c>
      <c r="C9" s="8" t="s">
        <v>19</v>
      </c>
      <c r="D9" s="8" t="s">
        <v>266</v>
      </c>
      <c r="E9" s="9">
        <v>158</v>
      </c>
      <c r="F9" s="9">
        <v>79</v>
      </c>
      <c r="G9" s="9">
        <v>78</v>
      </c>
      <c r="H9" s="9">
        <v>1</v>
      </c>
      <c r="I9" s="9">
        <v>2</v>
      </c>
      <c r="J9" s="9">
        <v>0</v>
      </c>
      <c r="K9" s="9">
        <v>0</v>
      </c>
      <c r="L9" s="9">
        <v>40</v>
      </c>
      <c r="M9" s="9">
        <v>0</v>
      </c>
      <c r="N9" s="9">
        <v>114</v>
      </c>
      <c r="O9" s="9">
        <f t="shared" si="1"/>
        <v>0</v>
      </c>
      <c r="P9" s="9"/>
      <c r="Q9" s="9">
        <v>5</v>
      </c>
      <c r="R9" s="9">
        <v>10</v>
      </c>
      <c r="S9" s="9">
        <v>25</v>
      </c>
      <c r="T9" s="9">
        <v>28</v>
      </c>
      <c r="U9" s="9">
        <v>32</v>
      </c>
      <c r="V9" s="9">
        <v>24</v>
      </c>
      <c r="W9" s="9">
        <v>10</v>
      </c>
      <c r="X9" s="9">
        <v>29</v>
      </c>
    </row>
    <row r="10" spans="2:24" x14ac:dyDescent="0.25">
      <c r="B10" s="5" t="s">
        <v>20</v>
      </c>
      <c r="C10" s="8" t="s">
        <v>21</v>
      </c>
      <c r="D10" s="8" t="s">
        <v>265</v>
      </c>
      <c r="E10" s="9">
        <v>205</v>
      </c>
      <c r="F10" s="9">
        <v>95</v>
      </c>
      <c r="G10" s="9">
        <v>109</v>
      </c>
      <c r="H10" s="9">
        <v>1</v>
      </c>
      <c r="I10" s="9">
        <v>4</v>
      </c>
      <c r="J10" s="9">
        <v>3</v>
      </c>
      <c r="K10" s="9">
        <v>1</v>
      </c>
      <c r="L10" s="9">
        <v>54</v>
      </c>
      <c r="M10" s="9">
        <v>0</v>
      </c>
      <c r="N10" s="9">
        <v>161</v>
      </c>
      <c r="O10" s="9">
        <f t="shared" si="1"/>
        <v>4</v>
      </c>
      <c r="P10" s="9"/>
      <c r="Q10" s="9">
        <v>3</v>
      </c>
      <c r="R10" s="9">
        <v>13</v>
      </c>
      <c r="S10" s="9">
        <v>51</v>
      </c>
      <c r="T10" s="9">
        <v>44</v>
      </c>
      <c r="U10" s="9">
        <v>29</v>
      </c>
      <c r="V10" s="9">
        <v>32</v>
      </c>
      <c r="W10" s="9">
        <v>7</v>
      </c>
      <c r="X10" s="9">
        <v>29</v>
      </c>
    </row>
    <row r="11" spans="2:24" x14ac:dyDescent="0.25">
      <c r="B11" s="5" t="s">
        <v>22</v>
      </c>
      <c r="C11" s="8" t="s">
        <v>23</v>
      </c>
      <c r="D11" s="8" t="s">
        <v>265</v>
      </c>
      <c r="E11" s="9">
        <v>254</v>
      </c>
      <c r="F11" s="9">
        <v>119</v>
      </c>
      <c r="G11" s="9">
        <v>128</v>
      </c>
      <c r="H11" s="9">
        <v>7</v>
      </c>
      <c r="I11" s="9">
        <v>2</v>
      </c>
      <c r="J11" s="9">
        <v>0</v>
      </c>
      <c r="K11" s="9">
        <v>0</v>
      </c>
      <c r="L11" s="9">
        <v>91</v>
      </c>
      <c r="M11" s="9">
        <v>0</v>
      </c>
      <c r="N11" s="9">
        <v>171</v>
      </c>
      <c r="O11" s="9">
        <f t="shared" si="1"/>
        <v>0</v>
      </c>
      <c r="P11" s="9"/>
      <c r="Q11" s="9">
        <v>21</v>
      </c>
      <c r="R11" s="9">
        <v>18</v>
      </c>
      <c r="S11" s="9">
        <v>43</v>
      </c>
      <c r="T11" s="9">
        <v>31</v>
      </c>
      <c r="U11" s="9">
        <v>49</v>
      </c>
      <c r="V11" s="9">
        <v>43</v>
      </c>
      <c r="W11" s="9">
        <v>26</v>
      </c>
      <c r="X11" s="9">
        <v>44</v>
      </c>
    </row>
    <row r="12" spans="2:24" x14ac:dyDescent="0.25">
      <c r="B12" s="5" t="s">
        <v>24</v>
      </c>
      <c r="C12" s="8" t="s">
        <v>25</v>
      </c>
      <c r="D12" s="8" t="s">
        <v>267</v>
      </c>
      <c r="E12" s="9">
        <v>1234</v>
      </c>
      <c r="F12" s="9">
        <v>588</v>
      </c>
      <c r="G12" s="9">
        <v>628</v>
      </c>
      <c r="H12" s="9">
        <v>18</v>
      </c>
      <c r="I12" s="9">
        <v>577</v>
      </c>
      <c r="J12" s="9">
        <v>1</v>
      </c>
      <c r="K12" s="9">
        <v>78</v>
      </c>
      <c r="L12" s="9">
        <v>332</v>
      </c>
      <c r="M12" s="9">
        <v>0</v>
      </c>
      <c r="N12" s="9">
        <v>781</v>
      </c>
      <c r="O12" s="9">
        <f t="shared" si="1"/>
        <v>79</v>
      </c>
      <c r="P12" s="9"/>
      <c r="Q12" s="9">
        <v>72</v>
      </c>
      <c r="R12" s="9">
        <v>79</v>
      </c>
      <c r="S12" s="9">
        <v>183</v>
      </c>
      <c r="T12" s="9">
        <v>277</v>
      </c>
      <c r="U12" s="9">
        <v>234</v>
      </c>
      <c r="V12" s="9">
        <v>198</v>
      </c>
      <c r="W12" s="9">
        <v>76</v>
      </c>
      <c r="X12" s="9">
        <v>187</v>
      </c>
    </row>
    <row r="13" spans="2:24" ht="31.5" x14ac:dyDescent="0.25">
      <c r="B13" s="5" t="s">
        <v>26</v>
      </c>
      <c r="C13" s="1" t="s">
        <v>298</v>
      </c>
      <c r="D13" s="8" t="s">
        <v>265</v>
      </c>
      <c r="E13" s="10">
        <v>3155</v>
      </c>
      <c r="F13" s="10">
        <v>1547</v>
      </c>
      <c r="G13" s="10">
        <v>1513</v>
      </c>
      <c r="H13" s="10">
        <v>95</v>
      </c>
      <c r="I13" s="10">
        <v>133</v>
      </c>
      <c r="J13" s="10">
        <v>8</v>
      </c>
      <c r="K13" s="10">
        <v>9</v>
      </c>
      <c r="L13" s="10">
        <v>419</v>
      </c>
      <c r="M13" s="10">
        <v>6</v>
      </c>
      <c r="N13" s="10">
        <v>2691</v>
      </c>
      <c r="O13" s="9">
        <f t="shared" si="1"/>
        <v>23</v>
      </c>
      <c r="P13" s="10">
        <v>0</v>
      </c>
      <c r="Q13" s="10">
        <v>190</v>
      </c>
      <c r="R13" s="10">
        <v>135</v>
      </c>
      <c r="S13" s="10">
        <v>336</v>
      </c>
      <c r="T13" s="10">
        <v>532</v>
      </c>
      <c r="U13" s="10">
        <v>485</v>
      </c>
      <c r="V13" s="10">
        <v>368</v>
      </c>
      <c r="W13" s="10">
        <v>144</v>
      </c>
      <c r="X13" s="10">
        <v>1155</v>
      </c>
    </row>
    <row r="14" spans="2:24" x14ac:dyDescent="0.25">
      <c r="B14" s="5" t="s">
        <v>27</v>
      </c>
      <c r="C14" s="8" t="s">
        <v>28</v>
      </c>
      <c r="D14" s="8" t="s">
        <v>265</v>
      </c>
      <c r="E14" s="9">
        <v>23</v>
      </c>
      <c r="F14" s="9">
        <v>12</v>
      </c>
      <c r="G14" s="9">
        <v>11</v>
      </c>
      <c r="H14" s="9">
        <v>0</v>
      </c>
      <c r="I14" s="9">
        <v>0</v>
      </c>
      <c r="J14" s="9">
        <v>0</v>
      </c>
      <c r="K14" s="9">
        <v>0</v>
      </c>
      <c r="L14" s="9">
        <v>2</v>
      </c>
      <c r="M14" s="9">
        <v>0</v>
      </c>
      <c r="N14" s="9">
        <v>23</v>
      </c>
      <c r="O14" s="9">
        <f t="shared" si="1"/>
        <v>0</v>
      </c>
      <c r="P14" s="9"/>
      <c r="Q14" s="9">
        <v>0</v>
      </c>
      <c r="R14" s="9">
        <v>1</v>
      </c>
      <c r="S14" s="9">
        <v>5</v>
      </c>
      <c r="T14" s="9">
        <v>6</v>
      </c>
      <c r="U14" s="9">
        <v>4</v>
      </c>
      <c r="V14" s="9">
        <v>3</v>
      </c>
      <c r="W14" s="9">
        <v>1</v>
      </c>
      <c r="X14" s="9">
        <v>3</v>
      </c>
    </row>
    <row r="15" spans="2:24" x14ac:dyDescent="0.25">
      <c r="B15" s="5" t="s">
        <v>29</v>
      </c>
      <c r="C15" s="1" t="s">
        <v>299</v>
      </c>
      <c r="D15" s="8" t="s">
        <v>265</v>
      </c>
      <c r="E15" s="10">
        <v>1072</v>
      </c>
      <c r="F15" s="10">
        <v>517</v>
      </c>
      <c r="G15" s="10">
        <v>552</v>
      </c>
      <c r="H15" s="10">
        <v>3</v>
      </c>
      <c r="I15" s="10">
        <v>13</v>
      </c>
      <c r="J15" s="10">
        <v>0</v>
      </c>
      <c r="K15" s="10">
        <v>6</v>
      </c>
      <c r="L15" s="10">
        <v>105</v>
      </c>
      <c r="M15" s="10">
        <v>1</v>
      </c>
      <c r="N15" s="10">
        <v>987</v>
      </c>
      <c r="O15" s="9">
        <f t="shared" si="1"/>
        <v>7</v>
      </c>
      <c r="P15" s="10">
        <v>0</v>
      </c>
      <c r="Q15" s="10">
        <v>17</v>
      </c>
      <c r="R15" s="10">
        <v>86</v>
      </c>
      <c r="S15" s="10">
        <v>196</v>
      </c>
      <c r="T15" s="10">
        <v>231</v>
      </c>
      <c r="U15" s="10">
        <v>174</v>
      </c>
      <c r="V15" s="10">
        <v>202</v>
      </c>
      <c r="W15" s="10">
        <v>97</v>
      </c>
      <c r="X15" s="10">
        <v>86</v>
      </c>
    </row>
    <row r="16" spans="2:24" x14ac:dyDescent="0.25">
      <c r="B16" s="5" t="s">
        <v>30</v>
      </c>
      <c r="C16" s="8" t="s">
        <v>31</v>
      </c>
      <c r="D16" s="8" t="s">
        <v>268</v>
      </c>
      <c r="E16" s="9">
        <v>103</v>
      </c>
      <c r="F16" s="9">
        <v>52</v>
      </c>
      <c r="G16" s="9">
        <v>51</v>
      </c>
      <c r="H16" s="9">
        <v>0</v>
      </c>
      <c r="I16" s="9">
        <v>0</v>
      </c>
      <c r="J16" s="9">
        <v>0</v>
      </c>
      <c r="K16" s="9">
        <v>0</v>
      </c>
      <c r="L16" s="9">
        <v>17</v>
      </c>
      <c r="M16" s="9">
        <v>1</v>
      </c>
      <c r="N16" s="9">
        <v>91</v>
      </c>
      <c r="O16" s="9">
        <f t="shared" si="1"/>
        <v>1</v>
      </c>
      <c r="P16" s="9"/>
      <c r="Q16" s="9">
        <v>2</v>
      </c>
      <c r="R16" s="9">
        <v>6</v>
      </c>
      <c r="S16" s="9">
        <v>13</v>
      </c>
      <c r="T16" s="9">
        <v>31</v>
      </c>
      <c r="U16" s="9">
        <v>19</v>
      </c>
      <c r="V16" s="9">
        <v>27</v>
      </c>
      <c r="W16" s="9">
        <v>2</v>
      </c>
      <c r="X16" s="9">
        <v>5</v>
      </c>
    </row>
    <row r="17" spans="2:24" x14ac:dyDescent="0.25">
      <c r="B17" s="5" t="s">
        <v>32</v>
      </c>
      <c r="C17" s="8" t="s">
        <v>33</v>
      </c>
      <c r="D17" s="8" t="s">
        <v>265</v>
      </c>
      <c r="E17" s="9">
        <v>91</v>
      </c>
      <c r="F17" s="9">
        <v>47</v>
      </c>
      <c r="G17" s="9">
        <v>44</v>
      </c>
      <c r="H17" s="9">
        <v>0</v>
      </c>
      <c r="I17" s="9">
        <v>3</v>
      </c>
      <c r="J17" s="9">
        <v>0</v>
      </c>
      <c r="K17" s="9">
        <v>0</v>
      </c>
      <c r="L17" s="9">
        <v>5</v>
      </c>
      <c r="M17" s="9">
        <v>0</v>
      </c>
      <c r="N17" s="9">
        <v>86</v>
      </c>
      <c r="O17" s="9">
        <f t="shared" si="1"/>
        <v>0</v>
      </c>
      <c r="P17" s="9"/>
      <c r="Q17" s="9">
        <v>2</v>
      </c>
      <c r="R17" s="9">
        <v>8</v>
      </c>
      <c r="S17" s="9">
        <v>15</v>
      </c>
      <c r="T17" s="9">
        <v>15</v>
      </c>
      <c r="U17" s="9">
        <v>22</v>
      </c>
      <c r="V17" s="9">
        <v>14</v>
      </c>
      <c r="W17" s="9">
        <v>4</v>
      </c>
      <c r="X17" s="9">
        <v>13</v>
      </c>
    </row>
    <row r="18" spans="2:24" x14ac:dyDescent="0.25">
      <c r="B18" s="5" t="s">
        <v>34</v>
      </c>
      <c r="C18" s="8" t="s">
        <v>35</v>
      </c>
      <c r="D18" s="8" t="s">
        <v>268</v>
      </c>
      <c r="E18" s="9">
        <v>488</v>
      </c>
      <c r="F18" s="9">
        <v>239</v>
      </c>
      <c r="G18" s="9">
        <v>236</v>
      </c>
      <c r="H18" s="9">
        <v>13</v>
      </c>
      <c r="I18" s="9">
        <v>7</v>
      </c>
      <c r="J18" s="9">
        <v>0</v>
      </c>
      <c r="K18" s="9">
        <v>0</v>
      </c>
      <c r="L18" s="9">
        <v>31</v>
      </c>
      <c r="M18" s="9">
        <v>0</v>
      </c>
      <c r="N18" s="9">
        <v>367</v>
      </c>
      <c r="O18" s="9">
        <f t="shared" si="1"/>
        <v>0</v>
      </c>
      <c r="P18" s="9"/>
      <c r="Q18" s="9">
        <v>104</v>
      </c>
      <c r="R18" s="9">
        <v>46</v>
      </c>
      <c r="S18" s="9">
        <v>104</v>
      </c>
      <c r="T18" s="9">
        <v>109</v>
      </c>
      <c r="U18" s="9">
        <v>77</v>
      </c>
      <c r="V18" s="9">
        <v>53</v>
      </c>
      <c r="W18" s="9">
        <v>15</v>
      </c>
      <c r="X18" s="9">
        <v>84</v>
      </c>
    </row>
    <row r="19" spans="2:24" x14ac:dyDescent="0.25">
      <c r="B19" s="5" t="s">
        <v>36</v>
      </c>
      <c r="C19" s="8" t="s">
        <v>37</v>
      </c>
      <c r="D19" s="8" t="s">
        <v>264</v>
      </c>
      <c r="E19" s="9">
        <v>58</v>
      </c>
      <c r="F19" s="9">
        <v>25</v>
      </c>
      <c r="G19" s="9">
        <v>32</v>
      </c>
      <c r="H19" s="9">
        <v>1</v>
      </c>
      <c r="I19" s="9">
        <v>0</v>
      </c>
      <c r="J19" s="9">
        <v>0</v>
      </c>
      <c r="K19" s="9">
        <v>0</v>
      </c>
      <c r="L19" s="9">
        <v>30</v>
      </c>
      <c r="M19" s="9">
        <v>1</v>
      </c>
      <c r="N19" s="9">
        <v>28</v>
      </c>
      <c r="O19" s="9">
        <f t="shared" si="1"/>
        <v>1</v>
      </c>
      <c r="P19" s="9"/>
      <c r="Q19" s="9">
        <v>2</v>
      </c>
      <c r="R19" s="9">
        <v>6</v>
      </c>
      <c r="S19" s="9">
        <v>6</v>
      </c>
      <c r="T19" s="9">
        <v>14</v>
      </c>
      <c r="U19" s="9">
        <v>8</v>
      </c>
      <c r="V19" s="9">
        <v>10</v>
      </c>
      <c r="W19" s="9">
        <v>4</v>
      </c>
      <c r="X19" s="9">
        <v>10</v>
      </c>
    </row>
    <row r="20" spans="2:24" x14ac:dyDescent="0.25">
      <c r="B20" s="5" t="s">
        <v>38</v>
      </c>
      <c r="C20" s="8" t="s">
        <v>39</v>
      </c>
      <c r="D20" s="8" t="s">
        <v>268</v>
      </c>
      <c r="E20" s="9">
        <v>406</v>
      </c>
      <c r="F20" s="9">
        <v>187</v>
      </c>
      <c r="G20" s="9">
        <v>218</v>
      </c>
      <c r="H20" s="9">
        <v>1</v>
      </c>
      <c r="I20" s="9">
        <v>2</v>
      </c>
      <c r="J20" s="9">
        <v>0</v>
      </c>
      <c r="K20" s="9">
        <v>0</v>
      </c>
      <c r="L20" s="9">
        <v>2</v>
      </c>
      <c r="M20" s="9">
        <v>0</v>
      </c>
      <c r="N20" s="9">
        <v>403</v>
      </c>
      <c r="O20" s="9">
        <f t="shared" si="1"/>
        <v>0</v>
      </c>
      <c r="P20" s="9"/>
      <c r="Q20" s="9">
        <v>1</v>
      </c>
      <c r="R20" s="9">
        <v>43</v>
      </c>
      <c r="S20" s="9">
        <v>73</v>
      </c>
      <c r="T20" s="9">
        <v>111</v>
      </c>
      <c r="U20" s="9">
        <v>93</v>
      </c>
      <c r="V20" s="9">
        <v>44</v>
      </c>
      <c r="W20" s="9">
        <v>23</v>
      </c>
      <c r="X20" s="9">
        <v>19</v>
      </c>
    </row>
    <row r="21" spans="2:24" x14ac:dyDescent="0.25">
      <c r="B21" s="5" t="s">
        <v>40</v>
      </c>
      <c r="C21" s="8" t="s">
        <v>41</v>
      </c>
      <c r="D21" s="8" t="s">
        <v>266</v>
      </c>
      <c r="E21" s="9">
        <v>194</v>
      </c>
      <c r="F21" s="9">
        <v>82</v>
      </c>
      <c r="G21" s="9">
        <v>110</v>
      </c>
      <c r="H21" s="9">
        <v>2</v>
      </c>
      <c r="I21" s="9">
        <v>11</v>
      </c>
      <c r="J21" s="9">
        <v>0</v>
      </c>
      <c r="K21" s="9">
        <v>1</v>
      </c>
      <c r="L21" s="9">
        <v>56</v>
      </c>
      <c r="M21" s="9">
        <v>1</v>
      </c>
      <c r="N21" s="9">
        <v>139</v>
      </c>
      <c r="O21" s="9">
        <f t="shared" si="1"/>
        <v>2</v>
      </c>
      <c r="P21" s="9"/>
      <c r="Q21" s="9">
        <v>5</v>
      </c>
      <c r="R21" s="9">
        <v>8</v>
      </c>
      <c r="S21" s="9">
        <v>29</v>
      </c>
      <c r="T21" s="9">
        <v>40</v>
      </c>
      <c r="U21" s="9">
        <v>39</v>
      </c>
      <c r="V21" s="9">
        <v>40</v>
      </c>
      <c r="W21" s="9">
        <v>17</v>
      </c>
      <c r="X21" s="9">
        <v>21</v>
      </c>
    </row>
    <row r="22" spans="2:24" x14ac:dyDescent="0.25">
      <c r="B22" s="5" t="s">
        <v>42</v>
      </c>
      <c r="C22" s="8" t="s">
        <v>43</v>
      </c>
      <c r="D22" s="8" t="s">
        <v>265</v>
      </c>
      <c r="E22" s="9">
        <v>1302</v>
      </c>
      <c r="F22" s="9">
        <v>625</v>
      </c>
      <c r="G22" s="9">
        <v>645</v>
      </c>
      <c r="H22" s="9">
        <v>32</v>
      </c>
      <c r="I22" s="9">
        <v>31</v>
      </c>
      <c r="J22" s="9">
        <v>1</v>
      </c>
      <c r="K22" s="9">
        <v>1</v>
      </c>
      <c r="L22" s="9">
        <v>279</v>
      </c>
      <c r="M22" s="9">
        <v>2</v>
      </c>
      <c r="N22" s="9">
        <v>1065</v>
      </c>
      <c r="O22" s="9">
        <f t="shared" si="1"/>
        <v>4</v>
      </c>
      <c r="P22" s="9"/>
      <c r="Q22" s="9">
        <v>44</v>
      </c>
      <c r="R22" s="9">
        <v>65</v>
      </c>
      <c r="S22" s="9">
        <v>190</v>
      </c>
      <c r="T22" s="9">
        <v>276</v>
      </c>
      <c r="U22" s="9">
        <v>247</v>
      </c>
      <c r="V22" s="9">
        <v>213</v>
      </c>
      <c r="W22" s="9">
        <v>97</v>
      </c>
      <c r="X22" s="9">
        <v>214</v>
      </c>
    </row>
    <row r="23" spans="2:24" x14ac:dyDescent="0.25">
      <c r="B23" s="5" t="s">
        <v>44</v>
      </c>
      <c r="C23" s="8" t="s">
        <v>45</v>
      </c>
      <c r="D23" s="8" t="s">
        <v>266</v>
      </c>
      <c r="E23" s="9">
        <v>342</v>
      </c>
      <c r="F23" s="9">
        <v>157</v>
      </c>
      <c r="G23" s="9">
        <v>170</v>
      </c>
      <c r="H23" s="9">
        <v>15</v>
      </c>
      <c r="I23" s="9">
        <v>10</v>
      </c>
      <c r="J23" s="9">
        <v>0</v>
      </c>
      <c r="K23" s="9">
        <v>1</v>
      </c>
      <c r="L23" s="9">
        <v>86</v>
      </c>
      <c r="M23" s="9">
        <v>0</v>
      </c>
      <c r="N23" s="9">
        <v>237</v>
      </c>
      <c r="O23" s="9">
        <f t="shared" si="1"/>
        <v>1</v>
      </c>
      <c r="P23" s="9"/>
      <c r="Q23" s="9">
        <v>27</v>
      </c>
      <c r="R23" s="9">
        <v>16</v>
      </c>
      <c r="S23" s="9">
        <v>35</v>
      </c>
      <c r="T23" s="9">
        <v>53</v>
      </c>
      <c r="U23" s="9">
        <v>57</v>
      </c>
      <c r="V23" s="9">
        <v>53</v>
      </c>
      <c r="W23" s="9">
        <v>17</v>
      </c>
      <c r="X23" s="9">
        <v>111</v>
      </c>
    </row>
    <row r="24" spans="2:24" x14ac:dyDescent="0.25">
      <c r="B24" s="5" t="s">
        <v>46</v>
      </c>
      <c r="C24" s="8" t="s">
        <v>47</v>
      </c>
      <c r="D24" s="8" t="s">
        <v>268</v>
      </c>
      <c r="E24" s="9">
        <v>423</v>
      </c>
      <c r="F24" s="9">
        <v>205</v>
      </c>
      <c r="G24" s="9">
        <v>215</v>
      </c>
      <c r="H24" s="9">
        <v>3</v>
      </c>
      <c r="I24" s="9">
        <v>30</v>
      </c>
      <c r="J24" s="9">
        <v>1</v>
      </c>
      <c r="K24" s="9">
        <v>0</v>
      </c>
      <c r="L24" s="9">
        <v>3</v>
      </c>
      <c r="M24" s="9">
        <v>0</v>
      </c>
      <c r="N24" s="9">
        <v>414</v>
      </c>
      <c r="O24" s="9">
        <f t="shared" si="1"/>
        <v>1</v>
      </c>
      <c r="P24" s="9"/>
      <c r="Q24" s="9">
        <v>6</v>
      </c>
      <c r="R24" s="9">
        <v>25</v>
      </c>
      <c r="S24" s="9">
        <v>80</v>
      </c>
      <c r="T24" s="9">
        <v>83</v>
      </c>
      <c r="U24" s="9">
        <v>88</v>
      </c>
      <c r="V24" s="9">
        <v>72</v>
      </c>
      <c r="W24" s="9">
        <v>46</v>
      </c>
      <c r="X24" s="9">
        <v>29</v>
      </c>
    </row>
    <row r="25" spans="2:24" x14ac:dyDescent="0.25">
      <c r="B25" s="5" t="s">
        <v>48</v>
      </c>
      <c r="C25" s="8" t="s">
        <v>269</v>
      </c>
      <c r="D25" s="8" t="s">
        <v>266</v>
      </c>
      <c r="E25" s="9">
        <v>43</v>
      </c>
      <c r="F25" s="9">
        <v>21</v>
      </c>
      <c r="G25" s="9">
        <v>19</v>
      </c>
      <c r="H25" s="9">
        <v>3</v>
      </c>
      <c r="I25" s="9">
        <v>0</v>
      </c>
      <c r="J25" s="9">
        <v>6</v>
      </c>
      <c r="K25" s="9">
        <v>0</v>
      </c>
      <c r="L25" s="9">
        <v>9</v>
      </c>
      <c r="M25" s="9">
        <v>0</v>
      </c>
      <c r="N25" s="9">
        <v>24</v>
      </c>
      <c r="O25" s="9">
        <f t="shared" si="1"/>
        <v>6</v>
      </c>
      <c r="P25" s="9"/>
      <c r="Q25" s="9">
        <v>6</v>
      </c>
      <c r="R25" s="9">
        <v>1</v>
      </c>
      <c r="S25" s="9">
        <v>2</v>
      </c>
      <c r="T25" s="9">
        <v>9</v>
      </c>
      <c r="U25" s="9">
        <v>8</v>
      </c>
      <c r="V25" s="9">
        <v>7</v>
      </c>
      <c r="W25" s="9">
        <v>6</v>
      </c>
      <c r="X25" s="9">
        <v>10</v>
      </c>
    </row>
    <row r="26" spans="2:24" x14ac:dyDescent="0.25">
      <c r="B26" s="5" t="s">
        <v>50</v>
      </c>
      <c r="C26" s="8" t="s">
        <v>51</v>
      </c>
      <c r="D26" s="8" t="s">
        <v>265</v>
      </c>
      <c r="E26" s="9">
        <v>139</v>
      </c>
      <c r="F26" s="9">
        <v>63</v>
      </c>
      <c r="G26" s="9">
        <v>76</v>
      </c>
      <c r="H26" s="9">
        <v>0</v>
      </c>
      <c r="I26" s="9">
        <v>0</v>
      </c>
      <c r="J26" s="9">
        <v>0</v>
      </c>
      <c r="K26" s="9">
        <v>0</v>
      </c>
      <c r="L26" s="9">
        <v>48</v>
      </c>
      <c r="M26" s="9">
        <v>0</v>
      </c>
      <c r="N26" s="9">
        <v>101</v>
      </c>
      <c r="O26" s="9">
        <f t="shared" si="1"/>
        <v>0</v>
      </c>
      <c r="P26" s="9"/>
      <c r="Q26" s="9">
        <v>2</v>
      </c>
      <c r="R26" s="9">
        <v>9</v>
      </c>
      <c r="S26" s="9">
        <v>21</v>
      </c>
      <c r="T26" s="9">
        <v>35</v>
      </c>
      <c r="U26" s="9">
        <v>26</v>
      </c>
      <c r="V26" s="9">
        <v>26</v>
      </c>
      <c r="W26" s="9">
        <v>4</v>
      </c>
      <c r="X26" s="9">
        <v>18</v>
      </c>
    </row>
    <row r="27" spans="2:24" x14ac:dyDescent="0.25">
      <c r="B27" s="5" t="s">
        <v>52</v>
      </c>
      <c r="C27" s="8" t="s">
        <v>53</v>
      </c>
      <c r="D27" s="8" t="s">
        <v>265</v>
      </c>
      <c r="E27" s="9">
        <v>987</v>
      </c>
      <c r="F27" s="9">
        <v>475</v>
      </c>
      <c r="G27" s="9">
        <v>477</v>
      </c>
      <c r="H27" s="9">
        <v>35</v>
      </c>
      <c r="I27" s="9">
        <v>66</v>
      </c>
      <c r="J27" s="9">
        <v>1</v>
      </c>
      <c r="K27" s="9">
        <v>20</v>
      </c>
      <c r="L27" s="9">
        <v>609</v>
      </c>
      <c r="M27" s="9">
        <v>0</v>
      </c>
      <c r="N27" s="9">
        <v>386</v>
      </c>
      <c r="O27" s="9">
        <f t="shared" si="1"/>
        <v>21</v>
      </c>
      <c r="P27" s="9"/>
      <c r="Q27" s="9">
        <v>57</v>
      </c>
      <c r="R27" s="9">
        <v>47</v>
      </c>
      <c r="S27" s="9">
        <v>164</v>
      </c>
      <c r="T27" s="9">
        <v>187</v>
      </c>
      <c r="U27" s="9">
        <v>127</v>
      </c>
      <c r="V27" s="9">
        <v>121</v>
      </c>
      <c r="W27" s="9">
        <v>56</v>
      </c>
      <c r="X27" s="9">
        <v>285</v>
      </c>
    </row>
    <row r="28" spans="2:24" x14ac:dyDescent="0.25">
      <c r="B28" s="5" t="s">
        <v>54</v>
      </c>
      <c r="C28" s="8" t="s">
        <v>55</v>
      </c>
      <c r="D28" s="8" t="s">
        <v>264</v>
      </c>
      <c r="E28" s="9">
        <v>2358</v>
      </c>
      <c r="F28" s="9">
        <v>1143</v>
      </c>
      <c r="G28" s="9">
        <v>1172</v>
      </c>
      <c r="H28" s="9">
        <v>43</v>
      </c>
      <c r="I28" s="9">
        <v>113</v>
      </c>
      <c r="J28" s="9">
        <v>4</v>
      </c>
      <c r="K28" s="9">
        <v>39</v>
      </c>
      <c r="L28" s="9">
        <v>927</v>
      </c>
      <c r="M28" s="9">
        <v>5</v>
      </c>
      <c r="N28" s="9">
        <v>1354</v>
      </c>
      <c r="O28" s="9">
        <f t="shared" si="1"/>
        <v>48</v>
      </c>
      <c r="P28" s="9"/>
      <c r="Q28" s="9">
        <v>78</v>
      </c>
      <c r="R28" s="9">
        <v>135</v>
      </c>
      <c r="S28" s="9">
        <v>386</v>
      </c>
      <c r="T28" s="9">
        <v>496</v>
      </c>
      <c r="U28" s="9">
        <v>416</v>
      </c>
      <c r="V28" s="9">
        <v>420</v>
      </c>
      <c r="W28" s="9">
        <v>216</v>
      </c>
      <c r="X28" s="9">
        <v>289</v>
      </c>
    </row>
    <row r="29" spans="2:24" ht="31.5" x14ac:dyDescent="0.25">
      <c r="B29" s="5" t="s">
        <v>56</v>
      </c>
      <c r="C29" s="1" t="s">
        <v>295</v>
      </c>
      <c r="D29" s="8" t="s">
        <v>266</v>
      </c>
      <c r="E29" s="10">
        <v>3302</v>
      </c>
      <c r="F29" s="10">
        <v>1677</v>
      </c>
      <c r="G29" s="10">
        <v>1567</v>
      </c>
      <c r="H29" s="10">
        <v>58</v>
      </c>
      <c r="I29" s="10">
        <v>259</v>
      </c>
      <c r="J29" s="10">
        <v>4</v>
      </c>
      <c r="K29" s="10">
        <v>46</v>
      </c>
      <c r="L29" s="10">
        <v>1057</v>
      </c>
      <c r="M29" s="10">
        <v>10</v>
      </c>
      <c r="N29" s="10">
        <v>2175</v>
      </c>
      <c r="O29" s="9">
        <f t="shared" si="1"/>
        <v>60</v>
      </c>
      <c r="P29" s="10">
        <v>0</v>
      </c>
      <c r="Q29" s="10">
        <v>142</v>
      </c>
      <c r="R29" s="10">
        <v>159</v>
      </c>
      <c r="S29" s="10">
        <v>350</v>
      </c>
      <c r="T29" s="10">
        <v>561</v>
      </c>
      <c r="U29" s="10">
        <v>592</v>
      </c>
      <c r="V29" s="10">
        <v>511</v>
      </c>
      <c r="W29" s="10">
        <v>282</v>
      </c>
      <c r="X29" s="10">
        <v>847</v>
      </c>
    </row>
    <row r="30" spans="2:24" x14ac:dyDescent="0.25">
      <c r="B30" s="5" t="s">
        <v>58</v>
      </c>
      <c r="C30" s="8" t="s">
        <v>59</v>
      </c>
      <c r="D30" s="8" t="s">
        <v>267</v>
      </c>
      <c r="E30" s="9">
        <v>83</v>
      </c>
      <c r="F30" s="9">
        <v>47</v>
      </c>
      <c r="G30" s="9">
        <v>33</v>
      </c>
      <c r="H30" s="9">
        <v>3</v>
      </c>
      <c r="I30" s="9">
        <v>6</v>
      </c>
      <c r="J30" s="9">
        <v>3</v>
      </c>
      <c r="K30" s="9">
        <v>1</v>
      </c>
      <c r="L30" s="9">
        <v>13</v>
      </c>
      <c r="M30" s="9">
        <v>0</v>
      </c>
      <c r="N30" s="9">
        <v>58</v>
      </c>
      <c r="O30" s="9">
        <f t="shared" si="1"/>
        <v>4</v>
      </c>
      <c r="P30" s="9"/>
      <c r="Q30" s="9">
        <v>18</v>
      </c>
      <c r="R30" s="9">
        <v>6</v>
      </c>
      <c r="S30" s="9">
        <v>6</v>
      </c>
      <c r="T30" s="9">
        <v>12</v>
      </c>
      <c r="U30" s="9">
        <v>12</v>
      </c>
      <c r="V30" s="9">
        <v>20</v>
      </c>
      <c r="W30" s="9">
        <v>11</v>
      </c>
      <c r="X30" s="9">
        <v>16</v>
      </c>
    </row>
    <row r="31" spans="2:24" x14ac:dyDescent="0.25">
      <c r="B31" s="5" t="s">
        <v>60</v>
      </c>
      <c r="C31" s="8" t="s">
        <v>61</v>
      </c>
      <c r="D31" s="8" t="s">
        <v>265</v>
      </c>
      <c r="E31" s="9">
        <v>17</v>
      </c>
      <c r="F31" s="9">
        <v>10</v>
      </c>
      <c r="G31" s="9">
        <v>7</v>
      </c>
      <c r="H31" s="9">
        <v>0</v>
      </c>
      <c r="I31" s="9">
        <v>1</v>
      </c>
      <c r="J31" s="9">
        <v>0</v>
      </c>
      <c r="K31" s="9">
        <v>0</v>
      </c>
      <c r="L31" s="9">
        <v>0</v>
      </c>
      <c r="M31" s="9">
        <v>0</v>
      </c>
      <c r="N31" s="9">
        <v>17</v>
      </c>
      <c r="O31" s="9">
        <f t="shared" si="1"/>
        <v>0</v>
      </c>
      <c r="P31" s="9"/>
      <c r="Q31" s="9">
        <v>0</v>
      </c>
      <c r="R31" s="9">
        <v>1</v>
      </c>
      <c r="S31" s="9">
        <v>0</v>
      </c>
      <c r="T31" s="9">
        <v>2</v>
      </c>
      <c r="U31" s="9">
        <v>5</v>
      </c>
      <c r="V31" s="9">
        <v>5</v>
      </c>
      <c r="W31" s="9">
        <v>1</v>
      </c>
      <c r="X31" s="9">
        <v>3</v>
      </c>
    </row>
    <row r="32" spans="2:24" x14ac:dyDescent="0.25">
      <c r="B32" s="5" t="s">
        <v>62</v>
      </c>
      <c r="C32" s="8" t="s">
        <v>63</v>
      </c>
      <c r="D32" s="8" t="s">
        <v>267</v>
      </c>
      <c r="E32" s="9">
        <v>672</v>
      </c>
      <c r="F32" s="9">
        <v>302</v>
      </c>
      <c r="G32" s="9">
        <v>355</v>
      </c>
      <c r="H32" s="9">
        <v>15</v>
      </c>
      <c r="I32" s="9">
        <v>54</v>
      </c>
      <c r="J32" s="9">
        <v>0</v>
      </c>
      <c r="K32" s="9">
        <v>0</v>
      </c>
      <c r="L32" s="9">
        <v>91</v>
      </c>
      <c r="M32" s="9">
        <v>3</v>
      </c>
      <c r="N32" s="9">
        <v>348</v>
      </c>
      <c r="O32" s="9">
        <f t="shared" si="1"/>
        <v>3</v>
      </c>
      <c r="P32" s="9"/>
      <c r="Q32" s="9">
        <v>234</v>
      </c>
      <c r="R32" s="9">
        <v>48</v>
      </c>
      <c r="S32" s="9">
        <v>79</v>
      </c>
      <c r="T32" s="9">
        <v>112</v>
      </c>
      <c r="U32" s="9">
        <v>85</v>
      </c>
      <c r="V32" s="9">
        <v>93</v>
      </c>
      <c r="W32" s="9">
        <v>34</v>
      </c>
      <c r="X32" s="9">
        <v>221</v>
      </c>
    </row>
    <row r="33" spans="2:24" x14ac:dyDescent="0.25">
      <c r="B33" s="5" t="s">
        <v>64</v>
      </c>
      <c r="C33" s="8" t="s">
        <v>65</v>
      </c>
      <c r="D33" s="8" t="s">
        <v>266</v>
      </c>
      <c r="E33" s="9">
        <v>175</v>
      </c>
      <c r="F33" s="9">
        <v>79</v>
      </c>
      <c r="G33" s="9">
        <v>95</v>
      </c>
      <c r="H33" s="9">
        <v>1</v>
      </c>
      <c r="I33" s="9">
        <v>5</v>
      </c>
      <c r="J33" s="9">
        <v>0</v>
      </c>
      <c r="K33" s="9">
        <v>0</v>
      </c>
      <c r="L33" s="9">
        <v>78</v>
      </c>
      <c r="M33" s="9">
        <v>1</v>
      </c>
      <c r="N33" s="9">
        <v>94</v>
      </c>
      <c r="O33" s="9">
        <f t="shared" si="1"/>
        <v>1</v>
      </c>
      <c r="P33" s="9"/>
      <c r="Q33" s="9">
        <v>6</v>
      </c>
      <c r="R33" s="9">
        <v>11</v>
      </c>
      <c r="S33" s="9">
        <v>38</v>
      </c>
      <c r="T33" s="9">
        <v>46</v>
      </c>
      <c r="U33" s="9">
        <v>34</v>
      </c>
      <c r="V33" s="9">
        <v>29</v>
      </c>
      <c r="W33" s="9">
        <v>9</v>
      </c>
      <c r="X33" s="9">
        <v>8</v>
      </c>
    </row>
    <row r="34" spans="2:24" x14ac:dyDescent="0.25">
      <c r="B34" s="5" t="s">
        <v>66</v>
      </c>
      <c r="C34" s="8" t="s">
        <v>67</v>
      </c>
      <c r="D34" s="8" t="s">
        <v>265</v>
      </c>
      <c r="E34" s="9">
        <v>649</v>
      </c>
      <c r="F34" s="9">
        <v>319</v>
      </c>
      <c r="G34" s="9">
        <v>324</v>
      </c>
      <c r="H34" s="9">
        <v>6</v>
      </c>
      <c r="I34" s="9">
        <v>12</v>
      </c>
      <c r="J34" s="9">
        <v>2</v>
      </c>
      <c r="K34" s="9">
        <v>3</v>
      </c>
      <c r="L34" s="9">
        <v>415</v>
      </c>
      <c r="M34" s="9">
        <v>4</v>
      </c>
      <c r="N34" s="9">
        <v>217</v>
      </c>
      <c r="O34" s="9">
        <f t="shared" si="1"/>
        <v>9</v>
      </c>
      <c r="P34" s="9"/>
      <c r="Q34" s="9">
        <v>20</v>
      </c>
      <c r="R34" s="9">
        <v>64</v>
      </c>
      <c r="S34" s="9">
        <v>135</v>
      </c>
      <c r="T34" s="9">
        <v>143</v>
      </c>
      <c r="U34" s="9">
        <v>121</v>
      </c>
      <c r="V34" s="9">
        <v>97</v>
      </c>
      <c r="W34" s="9">
        <v>32</v>
      </c>
      <c r="X34" s="9">
        <v>57</v>
      </c>
    </row>
    <row r="35" spans="2:24" x14ac:dyDescent="0.25">
      <c r="B35" s="5" t="s">
        <v>68</v>
      </c>
      <c r="C35" s="8" t="s">
        <v>69</v>
      </c>
      <c r="D35" s="8" t="s">
        <v>268</v>
      </c>
      <c r="E35" s="9">
        <v>228</v>
      </c>
      <c r="F35" s="9">
        <v>107</v>
      </c>
      <c r="G35" s="9">
        <v>119</v>
      </c>
      <c r="H35" s="9">
        <v>2</v>
      </c>
      <c r="I35" s="9">
        <v>3</v>
      </c>
      <c r="J35" s="9">
        <v>0</v>
      </c>
      <c r="K35" s="9">
        <v>0</v>
      </c>
      <c r="L35" s="9">
        <v>2</v>
      </c>
      <c r="M35" s="9">
        <v>0</v>
      </c>
      <c r="N35" s="9">
        <v>226</v>
      </c>
      <c r="O35" s="9">
        <f t="shared" si="1"/>
        <v>0</v>
      </c>
      <c r="P35" s="9"/>
      <c r="Q35" s="9">
        <v>1</v>
      </c>
      <c r="R35" s="9">
        <v>18</v>
      </c>
      <c r="S35" s="9">
        <v>52</v>
      </c>
      <c r="T35" s="9">
        <v>62</v>
      </c>
      <c r="U35" s="9">
        <v>48</v>
      </c>
      <c r="V35" s="9">
        <v>32</v>
      </c>
      <c r="W35" s="9">
        <v>11</v>
      </c>
      <c r="X35" s="9">
        <v>5</v>
      </c>
    </row>
    <row r="36" spans="2:24" x14ac:dyDescent="0.25">
      <c r="B36" s="5" t="s">
        <v>70</v>
      </c>
      <c r="C36" s="8" t="s">
        <v>71</v>
      </c>
      <c r="D36" s="8" t="s">
        <v>264</v>
      </c>
      <c r="E36" s="9">
        <v>164</v>
      </c>
      <c r="F36" s="9">
        <v>71</v>
      </c>
      <c r="G36" s="9">
        <v>91</v>
      </c>
      <c r="H36" s="9">
        <v>2</v>
      </c>
      <c r="I36" s="9">
        <v>6</v>
      </c>
      <c r="J36" s="9">
        <v>0</v>
      </c>
      <c r="K36" s="9">
        <v>0</v>
      </c>
      <c r="L36" s="9">
        <v>49</v>
      </c>
      <c r="M36" s="9">
        <v>0</v>
      </c>
      <c r="N36" s="9">
        <v>115</v>
      </c>
      <c r="O36" s="9">
        <f t="shared" si="1"/>
        <v>0</v>
      </c>
      <c r="P36" s="9"/>
      <c r="Q36" s="9">
        <v>6</v>
      </c>
      <c r="R36" s="9">
        <v>9</v>
      </c>
      <c r="S36" s="9">
        <v>23</v>
      </c>
      <c r="T36" s="9">
        <v>22</v>
      </c>
      <c r="U36" s="9">
        <v>41</v>
      </c>
      <c r="V36" s="9">
        <v>31</v>
      </c>
      <c r="W36" s="9">
        <v>18</v>
      </c>
      <c r="X36" s="9">
        <v>20</v>
      </c>
    </row>
    <row r="37" spans="2:24" x14ac:dyDescent="0.25">
      <c r="B37" s="5" t="s">
        <v>72</v>
      </c>
      <c r="C37" s="8" t="s">
        <v>73</v>
      </c>
      <c r="D37" s="8" t="s">
        <v>266</v>
      </c>
      <c r="E37" s="9">
        <v>126</v>
      </c>
      <c r="F37" s="9">
        <v>64</v>
      </c>
      <c r="G37" s="9">
        <v>58</v>
      </c>
      <c r="H37" s="9">
        <v>4</v>
      </c>
      <c r="I37" s="9">
        <v>2</v>
      </c>
      <c r="J37" s="9">
        <v>0</v>
      </c>
      <c r="K37" s="9">
        <v>0</v>
      </c>
      <c r="L37" s="9">
        <v>47</v>
      </c>
      <c r="M37" s="9">
        <v>0</v>
      </c>
      <c r="N37" s="9">
        <v>66</v>
      </c>
      <c r="O37" s="9">
        <f t="shared" si="1"/>
        <v>0</v>
      </c>
      <c r="P37" s="9"/>
      <c r="Q37" s="9">
        <v>15</v>
      </c>
      <c r="R37" s="9">
        <v>7</v>
      </c>
      <c r="S37" s="9">
        <v>21</v>
      </c>
      <c r="T37" s="9">
        <v>21</v>
      </c>
      <c r="U37" s="9">
        <v>14</v>
      </c>
      <c r="V37" s="9">
        <v>25</v>
      </c>
      <c r="W37" s="9">
        <v>6</v>
      </c>
      <c r="X37" s="9">
        <v>32</v>
      </c>
    </row>
    <row r="38" spans="2:24" ht="31.5" x14ac:dyDescent="0.25">
      <c r="B38" s="5" t="s">
        <v>74</v>
      </c>
      <c r="C38" s="1" t="s">
        <v>296</v>
      </c>
      <c r="D38" s="8" t="s">
        <v>267</v>
      </c>
      <c r="E38" s="10">
        <v>7614</v>
      </c>
      <c r="F38" s="10">
        <v>3598</v>
      </c>
      <c r="G38" s="10">
        <v>3823</v>
      </c>
      <c r="H38" s="10">
        <v>193</v>
      </c>
      <c r="I38" s="10">
        <v>2484</v>
      </c>
      <c r="J38" s="10">
        <v>24</v>
      </c>
      <c r="K38" s="10">
        <v>456</v>
      </c>
      <c r="L38" s="10">
        <v>1979</v>
      </c>
      <c r="M38" s="10">
        <v>21</v>
      </c>
      <c r="N38" s="10">
        <v>5069</v>
      </c>
      <c r="O38" s="9">
        <f t="shared" si="1"/>
        <v>501</v>
      </c>
      <c r="P38" s="10">
        <v>0</v>
      </c>
      <c r="Q38" s="10">
        <v>427</v>
      </c>
      <c r="R38" s="10">
        <v>337</v>
      </c>
      <c r="S38" s="10">
        <v>940</v>
      </c>
      <c r="T38" s="10">
        <v>1622</v>
      </c>
      <c r="U38" s="10">
        <v>1449</v>
      </c>
      <c r="V38" s="10">
        <v>1363</v>
      </c>
      <c r="W38" s="10">
        <v>635</v>
      </c>
      <c r="X38" s="10">
        <v>1268</v>
      </c>
    </row>
    <row r="39" spans="2:24" x14ac:dyDescent="0.25">
      <c r="B39" s="5" t="s">
        <v>76</v>
      </c>
      <c r="C39" s="8" t="s">
        <v>77</v>
      </c>
      <c r="D39" s="8" t="s">
        <v>267</v>
      </c>
      <c r="E39" s="9">
        <v>633</v>
      </c>
      <c r="F39" s="9">
        <v>332</v>
      </c>
      <c r="G39" s="9">
        <v>288</v>
      </c>
      <c r="H39" s="9">
        <v>13</v>
      </c>
      <c r="I39" s="9">
        <v>38</v>
      </c>
      <c r="J39" s="9">
        <v>2</v>
      </c>
      <c r="K39" s="9">
        <v>3</v>
      </c>
      <c r="L39" s="9">
        <v>154</v>
      </c>
      <c r="M39" s="9">
        <v>0</v>
      </c>
      <c r="N39" s="9">
        <v>448</v>
      </c>
      <c r="O39" s="9">
        <f t="shared" si="1"/>
        <v>5</v>
      </c>
      <c r="P39" s="9"/>
      <c r="Q39" s="9">
        <v>60</v>
      </c>
      <c r="R39" s="9">
        <v>28</v>
      </c>
      <c r="S39" s="9">
        <v>72</v>
      </c>
      <c r="T39" s="9">
        <v>124</v>
      </c>
      <c r="U39" s="9">
        <v>127</v>
      </c>
      <c r="V39" s="9">
        <v>94</v>
      </c>
      <c r="W39" s="9">
        <v>43</v>
      </c>
      <c r="X39" s="9">
        <v>145</v>
      </c>
    </row>
    <row r="40" spans="2:24" x14ac:dyDescent="0.25">
      <c r="B40" s="5" t="s">
        <v>78</v>
      </c>
      <c r="C40" s="8" t="s">
        <v>79</v>
      </c>
      <c r="D40" s="8" t="s">
        <v>268</v>
      </c>
      <c r="E40" s="9">
        <v>126</v>
      </c>
      <c r="F40" s="9">
        <v>66</v>
      </c>
      <c r="G40" s="9">
        <v>58</v>
      </c>
      <c r="H40" s="9">
        <v>2</v>
      </c>
      <c r="I40" s="9">
        <v>8</v>
      </c>
      <c r="J40" s="9">
        <v>0</v>
      </c>
      <c r="K40" s="9">
        <v>2</v>
      </c>
      <c r="L40" s="9">
        <v>4</v>
      </c>
      <c r="M40" s="9">
        <v>0</v>
      </c>
      <c r="N40" s="9">
        <v>120</v>
      </c>
      <c r="O40" s="9">
        <f t="shared" si="1"/>
        <v>2</v>
      </c>
      <c r="P40" s="9"/>
      <c r="Q40" s="9">
        <v>3</v>
      </c>
      <c r="R40" s="9">
        <v>10</v>
      </c>
      <c r="S40" s="9">
        <v>22</v>
      </c>
      <c r="T40" s="9">
        <v>24</v>
      </c>
      <c r="U40" s="9">
        <v>24</v>
      </c>
      <c r="V40" s="9">
        <v>18</v>
      </c>
      <c r="W40" s="9">
        <v>10</v>
      </c>
      <c r="X40" s="9">
        <v>18</v>
      </c>
    </row>
    <row r="41" spans="2:24" x14ac:dyDescent="0.25">
      <c r="B41" s="5" t="s">
        <v>80</v>
      </c>
      <c r="C41" s="8" t="s">
        <v>81</v>
      </c>
      <c r="D41" s="8" t="s">
        <v>266</v>
      </c>
      <c r="E41" s="9">
        <v>201</v>
      </c>
      <c r="F41" s="9">
        <v>93</v>
      </c>
      <c r="G41" s="9">
        <v>106</v>
      </c>
      <c r="H41" s="9">
        <v>2</v>
      </c>
      <c r="I41" s="9">
        <v>5</v>
      </c>
      <c r="J41" s="9">
        <v>0</v>
      </c>
      <c r="K41" s="9">
        <v>0</v>
      </c>
      <c r="L41" s="9">
        <v>37</v>
      </c>
      <c r="M41" s="9">
        <v>0</v>
      </c>
      <c r="N41" s="9">
        <v>143</v>
      </c>
      <c r="O41" s="9">
        <f t="shared" si="1"/>
        <v>0</v>
      </c>
      <c r="P41" s="9"/>
      <c r="Q41" s="9">
        <v>21</v>
      </c>
      <c r="R41" s="9">
        <v>3</v>
      </c>
      <c r="S41" s="9">
        <v>21</v>
      </c>
      <c r="T41" s="9">
        <v>46</v>
      </c>
      <c r="U41" s="9">
        <v>46</v>
      </c>
      <c r="V41" s="9">
        <v>34</v>
      </c>
      <c r="W41" s="9">
        <v>7</v>
      </c>
      <c r="X41" s="9">
        <v>44</v>
      </c>
    </row>
    <row r="42" spans="2:24" x14ac:dyDescent="0.25">
      <c r="B42" s="5" t="s">
        <v>82</v>
      </c>
      <c r="C42" s="8" t="s">
        <v>83</v>
      </c>
      <c r="D42" s="8" t="s">
        <v>264</v>
      </c>
      <c r="E42" s="9">
        <v>137</v>
      </c>
      <c r="F42" s="9">
        <v>62</v>
      </c>
      <c r="G42" s="9">
        <v>75</v>
      </c>
      <c r="H42" s="9">
        <v>0</v>
      </c>
      <c r="I42" s="9">
        <v>0</v>
      </c>
      <c r="J42" s="9">
        <v>0</v>
      </c>
      <c r="K42" s="9">
        <v>0</v>
      </c>
      <c r="L42" s="9">
        <v>107</v>
      </c>
      <c r="M42" s="9">
        <v>0</v>
      </c>
      <c r="N42" s="9">
        <v>28</v>
      </c>
      <c r="O42" s="9">
        <f t="shared" si="1"/>
        <v>0</v>
      </c>
      <c r="P42" s="9"/>
      <c r="Q42" s="9">
        <v>3</v>
      </c>
      <c r="R42" s="9">
        <v>8</v>
      </c>
      <c r="S42" s="9">
        <v>22</v>
      </c>
      <c r="T42" s="9">
        <v>27</v>
      </c>
      <c r="U42" s="9">
        <v>12</v>
      </c>
      <c r="V42" s="9">
        <v>21</v>
      </c>
      <c r="W42" s="9">
        <v>10</v>
      </c>
      <c r="X42" s="9">
        <v>37</v>
      </c>
    </row>
    <row r="43" spans="2:24" x14ac:dyDescent="0.25">
      <c r="B43" s="5" t="s">
        <v>84</v>
      </c>
      <c r="C43" s="8" t="s">
        <v>85</v>
      </c>
      <c r="D43" s="8" t="s">
        <v>265</v>
      </c>
      <c r="E43" s="9">
        <v>1377</v>
      </c>
      <c r="F43" s="9">
        <v>663</v>
      </c>
      <c r="G43" s="9">
        <v>689</v>
      </c>
      <c r="H43" s="9">
        <v>25</v>
      </c>
      <c r="I43" s="9">
        <v>72</v>
      </c>
      <c r="J43" s="9">
        <v>0</v>
      </c>
      <c r="K43" s="9">
        <v>0</v>
      </c>
      <c r="L43" s="9">
        <v>137</v>
      </c>
      <c r="M43" s="9">
        <v>2</v>
      </c>
      <c r="N43" s="9">
        <v>1204</v>
      </c>
      <c r="O43" s="9">
        <f t="shared" si="1"/>
        <v>2</v>
      </c>
      <c r="P43" s="9"/>
      <c r="Q43" s="9">
        <v>103</v>
      </c>
      <c r="R43" s="9">
        <v>130</v>
      </c>
      <c r="S43" s="9">
        <v>255</v>
      </c>
      <c r="T43" s="9">
        <v>297</v>
      </c>
      <c r="U43" s="9">
        <v>244</v>
      </c>
      <c r="V43" s="9">
        <v>230</v>
      </c>
      <c r="W43" s="9">
        <v>85</v>
      </c>
      <c r="X43" s="9">
        <v>136</v>
      </c>
    </row>
    <row r="44" spans="2:24" x14ac:dyDescent="0.25">
      <c r="B44" s="5" t="s">
        <v>86</v>
      </c>
      <c r="C44" s="8" t="s">
        <v>87</v>
      </c>
      <c r="D44" s="8" t="s">
        <v>267</v>
      </c>
      <c r="E44" s="9">
        <v>1263</v>
      </c>
      <c r="F44" s="9">
        <v>587</v>
      </c>
      <c r="G44" s="9">
        <v>653</v>
      </c>
      <c r="H44" s="9">
        <v>23</v>
      </c>
      <c r="I44" s="9">
        <v>127</v>
      </c>
      <c r="J44" s="9">
        <v>5</v>
      </c>
      <c r="K44" s="9">
        <v>2</v>
      </c>
      <c r="L44" s="9">
        <v>78</v>
      </c>
      <c r="M44" s="9">
        <v>0</v>
      </c>
      <c r="N44" s="9">
        <v>845</v>
      </c>
      <c r="O44" s="9">
        <f t="shared" si="1"/>
        <v>7</v>
      </c>
      <c r="P44" s="9"/>
      <c r="Q44" s="9">
        <v>370</v>
      </c>
      <c r="R44" s="9">
        <v>87</v>
      </c>
      <c r="S44" s="9">
        <v>185</v>
      </c>
      <c r="T44" s="9">
        <v>257</v>
      </c>
      <c r="U44" s="9">
        <v>248</v>
      </c>
      <c r="V44" s="9">
        <v>206</v>
      </c>
      <c r="W44" s="9">
        <v>104</v>
      </c>
      <c r="X44" s="9">
        <v>176</v>
      </c>
    </row>
    <row r="45" spans="2:24" x14ac:dyDescent="0.25">
      <c r="B45" s="5" t="s">
        <v>88</v>
      </c>
      <c r="C45" s="8" t="s">
        <v>89</v>
      </c>
      <c r="D45" s="8" t="s">
        <v>267</v>
      </c>
      <c r="E45" s="9">
        <v>362</v>
      </c>
      <c r="F45" s="9">
        <v>178</v>
      </c>
      <c r="G45" s="9">
        <v>183</v>
      </c>
      <c r="H45" s="9">
        <v>1</v>
      </c>
      <c r="I45" s="9">
        <v>30</v>
      </c>
      <c r="J45" s="9">
        <v>0</v>
      </c>
      <c r="K45" s="9">
        <v>1</v>
      </c>
      <c r="L45" s="9">
        <v>160</v>
      </c>
      <c r="M45" s="9">
        <v>6</v>
      </c>
      <c r="N45" s="9">
        <v>187</v>
      </c>
      <c r="O45" s="9">
        <f t="shared" si="1"/>
        <v>7</v>
      </c>
      <c r="P45" s="9"/>
      <c r="Q45" s="9">
        <v>23</v>
      </c>
      <c r="R45" s="9">
        <v>43</v>
      </c>
      <c r="S45" s="9">
        <v>89</v>
      </c>
      <c r="T45" s="9">
        <v>81</v>
      </c>
      <c r="U45" s="9">
        <v>58</v>
      </c>
      <c r="V45" s="9">
        <v>43</v>
      </c>
      <c r="W45" s="9">
        <v>10</v>
      </c>
      <c r="X45" s="9">
        <v>38</v>
      </c>
    </row>
    <row r="46" spans="2:24" x14ac:dyDescent="0.25">
      <c r="B46" s="5" t="s">
        <v>90</v>
      </c>
      <c r="C46" s="8" t="s">
        <v>91</v>
      </c>
      <c r="D46" s="8" t="s">
        <v>268</v>
      </c>
      <c r="E46" s="9">
        <v>87</v>
      </c>
      <c r="F46" s="9">
        <v>50</v>
      </c>
      <c r="G46" s="9">
        <v>37</v>
      </c>
      <c r="H46" s="9">
        <v>0</v>
      </c>
      <c r="I46" s="9">
        <v>19</v>
      </c>
      <c r="J46" s="9">
        <v>0</v>
      </c>
      <c r="K46" s="9">
        <v>0</v>
      </c>
      <c r="L46" s="9">
        <v>18</v>
      </c>
      <c r="M46" s="9">
        <v>0</v>
      </c>
      <c r="N46" s="9">
        <v>79</v>
      </c>
      <c r="O46" s="9">
        <f t="shared" si="1"/>
        <v>0</v>
      </c>
      <c r="P46" s="9"/>
      <c r="Q46" s="9">
        <v>5</v>
      </c>
      <c r="R46" s="9">
        <v>9</v>
      </c>
      <c r="S46" s="9">
        <v>20</v>
      </c>
      <c r="T46" s="9">
        <v>21</v>
      </c>
      <c r="U46" s="9">
        <v>20</v>
      </c>
      <c r="V46" s="9">
        <v>9</v>
      </c>
      <c r="W46" s="9">
        <v>1</v>
      </c>
      <c r="X46" s="9">
        <v>7</v>
      </c>
    </row>
    <row r="47" spans="2:24" x14ac:dyDescent="0.25">
      <c r="B47" s="5" t="s">
        <v>92</v>
      </c>
      <c r="C47" s="8" t="s">
        <v>93</v>
      </c>
      <c r="D47" s="8" t="s">
        <v>268</v>
      </c>
      <c r="E47" s="9">
        <v>463</v>
      </c>
      <c r="F47" s="9">
        <v>220</v>
      </c>
      <c r="G47" s="9">
        <v>240</v>
      </c>
      <c r="H47" s="9">
        <v>3</v>
      </c>
      <c r="I47" s="9">
        <v>4</v>
      </c>
      <c r="J47" s="9">
        <v>0</v>
      </c>
      <c r="K47" s="9">
        <v>0</v>
      </c>
      <c r="L47" s="9">
        <v>10</v>
      </c>
      <c r="M47" s="9">
        <v>0</v>
      </c>
      <c r="N47" s="9">
        <v>447</v>
      </c>
      <c r="O47" s="9">
        <f t="shared" si="1"/>
        <v>0</v>
      </c>
      <c r="P47" s="9"/>
      <c r="Q47" s="9">
        <v>7</v>
      </c>
      <c r="R47" s="9">
        <v>29</v>
      </c>
      <c r="S47" s="9">
        <v>75</v>
      </c>
      <c r="T47" s="9">
        <v>129</v>
      </c>
      <c r="U47" s="9">
        <v>81</v>
      </c>
      <c r="V47" s="9">
        <v>57</v>
      </c>
      <c r="W47" s="9">
        <v>18</v>
      </c>
      <c r="X47" s="9">
        <v>74</v>
      </c>
    </row>
    <row r="48" spans="2:24" x14ac:dyDescent="0.25">
      <c r="B48" s="5" t="s">
        <v>94</v>
      </c>
      <c r="C48" s="8" t="s">
        <v>95</v>
      </c>
      <c r="D48" s="8" t="s">
        <v>264</v>
      </c>
      <c r="E48" s="9">
        <v>545</v>
      </c>
      <c r="F48" s="9">
        <v>258</v>
      </c>
      <c r="G48" s="9">
        <v>280</v>
      </c>
      <c r="H48" s="9">
        <v>7</v>
      </c>
      <c r="I48" s="9">
        <v>16</v>
      </c>
      <c r="J48" s="9">
        <v>0</v>
      </c>
      <c r="K48" s="9">
        <v>4</v>
      </c>
      <c r="L48" s="9">
        <v>60</v>
      </c>
      <c r="M48" s="9">
        <v>2</v>
      </c>
      <c r="N48" s="9">
        <v>430</v>
      </c>
      <c r="O48" s="9">
        <f t="shared" si="1"/>
        <v>6</v>
      </c>
      <c r="P48" s="9"/>
      <c r="Q48" s="9">
        <v>63</v>
      </c>
      <c r="R48" s="9">
        <v>24</v>
      </c>
      <c r="S48" s="9">
        <v>80</v>
      </c>
      <c r="T48" s="9">
        <v>121</v>
      </c>
      <c r="U48" s="9">
        <v>99</v>
      </c>
      <c r="V48" s="9">
        <v>102</v>
      </c>
      <c r="W48" s="9">
        <v>50</v>
      </c>
      <c r="X48" s="9">
        <v>69</v>
      </c>
    </row>
    <row r="49" spans="2:24" x14ac:dyDescent="0.25">
      <c r="B49" s="5" t="s">
        <v>96</v>
      </c>
      <c r="C49" s="8" t="s">
        <v>97</v>
      </c>
      <c r="D49" s="8" t="s">
        <v>266</v>
      </c>
      <c r="E49" s="9">
        <v>89</v>
      </c>
      <c r="F49" s="9">
        <v>46</v>
      </c>
      <c r="G49" s="9">
        <v>42</v>
      </c>
      <c r="H49" s="9">
        <v>1</v>
      </c>
      <c r="I49" s="9">
        <v>2</v>
      </c>
      <c r="J49" s="9">
        <v>0</v>
      </c>
      <c r="K49" s="9">
        <v>1</v>
      </c>
      <c r="L49" s="9">
        <v>36</v>
      </c>
      <c r="M49" s="9">
        <v>0</v>
      </c>
      <c r="N49" s="9">
        <v>44</v>
      </c>
      <c r="O49" s="9">
        <f t="shared" si="1"/>
        <v>1</v>
      </c>
      <c r="P49" s="9"/>
      <c r="Q49" s="9">
        <v>13</v>
      </c>
      <c r="R49" s="9">
        <v>5</v>
      </c>
      <c r="S49" s="9">
        <v>12</v>
      </c>
      <c r="T49" s="9">
        <v>19</v>
      </c>
      <c r="U49" s="9">
        <v>10</v>
      </c>
      <c r="V49" s="9">
        <v>12</v>
      </c>
      <c r="W49" s="9">
        <v>4</v>
      </c>
      <c r="X49" s="9">
        <v>27</v>
      </c>
    </row>
    <row r="50" spans="2:24" x14ac:dyDescent="0.25">
      <c r="B50" s="5" t="s">
        <v>98</v>
      </c>
      <c r="C50" s="8" t="s">
        <v>99</v>
      </c>
      <c r="D50" s="8" t="s">
        <v>268</v>
      </c>
      <c r="E50" s="9">
        <v>330</v>
      </c>
      <c r="F50" s="9">
        <v>156</v>
      </c>
      <c r="G50" s="9">
        <v>174</v>
      </c>
      <c r="H50" s="9">
        <v>0</v>
      </c>
      <c r="I50" s="9">
        <v>27</v>
      </c>
      <c r="J50" s="9">
        <v>0</v>
      </c>
      <c r="K50" s="9">
        <v>0</v>
      </c>
      <c r="L50" s="9">
        <v>14</v>
      </c>
      <c r="M50" s="9">
        <v>0</v>
      </c>
      <c r="N50" s="9">
        <v>318</v>
      </c>
      <c r="O50" s="9">
        <f t="shared" si="1"/>
        <v>0</v>
      </c>
      <c r="P50" s="9"/>
      <c r="Q50" s="9">
        <v>4</v>
      </c>
      <c r="R50" s="9">
        <v>22</v>
      </c>
      <c r="S50" s="9">
        <v>47</v>
      </c>
      <c r="T50" s="9">
        <v>80</v>
      </c>
      <c r="U50" s="9">
        <v>68</v>
      </c>
      <c r="V50" s="9">
        <v>66</v>
      </c>
      <c r="W50" s="9">
        <v>21</v>
      </c>
      <c r="X50" s="9">
        <v>26</v>
      </c>
    </row>
    <row r="51" spans="2:24" x14ac:dyDescent="0.25">
      <c r="B51" s="5" t="s">
        <v>100</v>
      </c>
      <c r="C51" s="8" t="s">
        <v>101</v>
      </c>
      <c r="D51" s="8" t="s">
        <v>267</v>
      </c>
      <c r="E51" s="9">
        <v>208</v>
      </c>
      <c r="F51" s="9">
        <v>101</v>
      </c>
      <c r="G51" s="9">
        <v>106</v>
      </c>
      <c r="H51" s="9">
        <v>1</v>
      </c>
      <c r="I51" s="9">
        <v>4</v>
      </c>
      <c r="J51" s="9">
        <v>0</v>
      </c>
      <c r="K51" s="9">
        <v>1</v>
      </c>
      <c r="L51" s="9">
        <v>24</v>
      </c>
      <c r="M51" s="9">
        <v>0</v>
      </c>
      <c r="N51" s="9">
        <v>167</v>
      </c>
      <c r="O51" s="9">
        <f t="shared" si="1"/>
        <v>1</v>
      </c>
      <c r="P51" s="9"/>
      <c r="Q51" s="9">
        <v>23</v>
      </c>
      <c r="R51" s="9">
        <v>9</v>
      </c>
      <c r="S51" s="9">
        <v>27</v>
      </c>
      <c r="T51" s="9">
        <v>58</v>
      </c>
      <c r="U51" s="9">
        <v>34</v>
      </c>
      <c r="V51" s="9">
        <v>21</v>
      </c>
      <c r="W51" s="9">
        <v>8</v>
      </c>
      <c r="X51" s="9">
        <v>51</v>
      </c>
    </row>
    <row r="52" spans="2:24" x14ac:dyDescent="0.25">
      <c r="B52" s="5" t="s">
        <v>102</v>
      </c>
      <c r="C52" s="1" t="s">
        <v>282</v>
      </c>
      <c r="D52" s="8" t="s">
        <v>264</v>
      </c>
      <c r="E52" s="10">
        <v>205</v>
      </c>
      <c r="F52" s="10">
        <v>101</v>
      </c>
      <c r="G52" s="10">
        <v>99</v>
      </c>
      <c r="H52" s="10">
        <v>5</v>
      </c>
      <c r="I52" s="10">
        <v>3</v>
      </c>
      <c r="J52" s="10">
        <v>0</v>
      </c>
      <c r="K52" s="10">
        <v>0</v>
      </c>
      <c r="L52" s="10">
        <v>153</v>
      </c>
      <c r="M52" s="10">
        <v>0</v>
      </c>
      <c r="N52" s="10">
        <v>42</v>
      </c>
      <c r="O52" s="9">
        <f t="shared" si="1"/>
        <v>0</v>
      </c>
      <c r="P52" s="10">
        <v>0</v>
      </c>
      <c r="Q52" s="10">
        <v>17</v>
      </c>
      <c r="R52" s="10">
        <v>19</v>
      </c>
      <c r="S52" s="10">
        <v>30</v>
      </c>
      <c r="T52" s="10">
        <v>41</v>
      </c>
      <c r="U52" s="10">
        <v>37</v>
      </c>
      <c r="V52" s="10">
        <v>36</v>
      </c>
      <c r="W52" s="10">
        <v>20</v>
      </c>
      <c r="X52" s="10">
        <v>22</v>
      </c>
    </row>
    <row r="53" spans="2:24" x14ac:dyDescent="0.25">
      <c r="B53" s="5" t="s">
        <v>104</v>
      </c>
      <c r="C53" s="8" t="s">
        <v>105</v>
      </c>
      <c r="D53" s="8" t="s">
        <v>265</v>
      </c>
      <c r="E53" s="9">
        <v>344</v>
      </c>
      <c r="F53" s="9">
        <v>176</v>
      </c>
      <c r="G53" s="9">
        <v>166</v>
      </c>
      <c r="H53" s="9">
        <v>2</v>
      </c>
      <c r="I53" s="9">
        <v>5</v>
      </c>
      <c r="J53" s="9">
        <v>1</v>
      </c>
      <c r="K53" s="9">
        <v>0</v>
      </c>
      <c r="L53" s="9">
        <v>171</v>
      </c>
      <c r="M53" s="9">
        <v>0</v>
      </c>
      <c r="N53" s="9">
        <v>179</v>
      </c>
      <c r="O53" s="9">
        <f t="shared" si="1"/>
        <v>1</v>
      </c>
      <c r="P53" s="9"/>
      <c r="Q53" s="9">
        <v>11</v>
      </c>
      <c r="R53" s="9">
        <v>17</v>
      </c>
      <c r="S53" s="9">
        <v>59</v>
      </c>
      <c r="T53" s="9">
        <v>87</v>
      </c>
      <c r="U53" s="9">
        <v>82</v>
      </c>
      <c r="V53" s="9">
        <v>69</v>
      </c>
      <c r="W53" s="9">
        <v>11</v>
      </c>
      <c r="X53" s="9">
        <v>19</v>
      </c>
    </row>
    <row r="54" spans="2:24" x14ac:dyDescent="0.25">
      <c r="B54" s="5" t="s">
        <v>106</v>
      </c>
      <c r="C54" s="8" t="s">
        <v>107</v>
      </c>
      <c r="D54" s="8" t="s">
        <v>264</v>
      </c>
      <c r="E54" s="9">
        <v>1587</v>
      </c>
      <c r="F54" s="9">
        <v>804</v>
      </c>
      <c r="G54" s="9">
        <v>756</v>
      </c>
      <c r="H54" s="9">
        <v>27</v>
      </c>
      <c r="I54" s="9">
        <v>56</v>
      </c>
      <c r="J54" s="9">
        <v>4</v>
      </c>
      <c r="K54" s="9">
        <v>8</v>
      </c>
      <c r="L54" s="9">
        <v>931</v>
      </c>
      <c r="M54" s="9">
        <v>1</v>
      </c>
      <c r="N54" s="9">
        <v>603</v>
      </c>
      <c r="O54" s="9">
        <f t="shared" si="1"/>
        <v>13</v>
      </c>
      <c r="P54" s="9"/>
      <c r="Q54" s="9">
        <v>120</v>
      </c>
      <c r="R54" s="9">
        <v>105</v>
      </c>
      <c r="S54" s="9">
        <v>254</v>
      </c>
      <c r="T54" s="9">
        <v>341</v>
      </c>
      <c r="U54" s="9">
        <v>271</v>
      </c>
      <c r="V54" s="9">
        <v>260</v>
      </c>
      <c r="W54" s="9">
        <v>95</v>
      </c>
      <c r="X54" s="9">
        <v>261</v>
      </c>
    </row>
    <row r="55" spans="2:24" x14ac:dyDescent="0.25">
      <c r="B55" s="5" t="s">
        <v>108</v>
      </c>
      <c r="C55" s="8" t="s">
        <v>109</v>
      </c>
      <c r="D55" s="8" t="s">
        <v>266</v>
      </c>
      <c r="E55" s="9">
        <v>745</v>
      </c>
      <c r="F55" s="9">
        <v>349</v>
      </c>
      <c r="G55" s="9">
        <v>384</v>
      </c>
      <c r="H55" s="9">
        <v>12</v>
      </c>
      <c r="I55" s="9">
        <v>34</v>
      </c>
      <c r="J55" s="9">
        <v>1</v>
      </c>
      <c r="K55" s="9">
        <v>9</v>
      </c>
      <c r="L55" s="9">
        <v>153</v>
      </c>
      <c r="M55" s="9">
        <v>0</v>
      </c>
      <c r="N55" s="9">
        <v>586</v>
      </c>
      <c r="O55" s="9">
        <f t="shared" si="1"/>
        <v>10</v>
      </c>
      <c r="P55" s="9"/>
      <c r="Q55" s="9">
        <v>41</v>
      </c>
      <c r="R55" s="9">
        <v>38</v>
      </c>
      <c r="S55" s="9">
        <v>103</v>
      </c>
      <c r="T55" s="9">
        <v>151</v>
      </c>
      <c r="U55" s="9">
        <v>128</v>
      </c>
      <c r="V55" s="9">
        <v>122</v>
      </c>
      <c r="W55" s="9">
        <v>73</v>
      </c>
      <c r="X55" s="9">
        <v>130</v>
      </c>
    </row>
    <row r="56" spans="2:24" x14ac:dyDescent="0.25">
      <c r="B56" s="5" t="s">
        <v>110</v>
      </c>
      <c r="C56" s="8" t="s">
        <v>111</v>
      </c>
      <c r="D56" s="8" t="s">
        <v>266</v>
      </c>
      <c r="E56" s="9">
        <v>2289</v>
      </c>
      <c r="F56" s="9">
        <v>1115</v>
      </c>
      <c r="G56" s="9">
        <v>1111</v>
      </c>
      <c r="H56" s="9">
        <v>63</v>
      </c>
      <c r="I56" s="9">
        <v>143</v>
      </c>
      <c r="J56" s="9">
        <v>11</v>
      </c>
      <c r="K56" s="9">
        <v>48</v>
      </c>
      <c r="L56" s="9">
        <v>1081</v>
      </c>
      <c r="M56" s="9">
        <v>5</v>
      </c>
      <c r="N56" s="9">
        <v>1101</v>
      </c>
      <c r="O56" s="9">
        <f t="shared" si="1"/>
        <v>64</v>
      </c>
      <c r="P56" s="9"/>
      <c r="Q56" s="9">
        <v>154</v>
      </c>
      <c r="R56" s="9">
        <v>127</v>
      </c>
      <c r="S56" s="9">
        <v>330</v>
      </c>
      <c r="T56" s="9">
        <v>440</v>
      </c>
      <c r="U56" s="9">
        <v>426</v>
      </c>
      <c r="V56" s="9">
        <v>345</v>
      </c>
      <c r="W56" s="9">
        <v>142</v>
      </c>
      <c r="X56" s="9">
        <v>479</v>
      </c>
    </row>
    <row r="57" spans="2:24" x14ac:dyDescent="0.25">
      <c r="B57" s="5" t="s">
        <v>112</v>
      </c>
      <c r="C57" s="1" t="s">
        <v>300</v>
      </c>
      <c r="D57" s="8" t="s">
        <v>265</v>
      </c>
      <c r="E57" s="10">
        <v>1263</v>
      </c>
      <c r="F57" s="10">
        <v>603</v>
      </c>
      <c r="G57" s="10">
        <v>608</v>
      </c>
      <c r="H57" s="10">
        <v>52</v>
      </c>
      <c r="I57" s="10">
        <v>58</v>
      </c>
      <c r="J57" s="10">
        <v>0</v>
      </c>
      <c r="K57" s="10">
        <v>3</v>
      </c>
      <c r="L57" s="10">
        <v>336</v>
      </c>
      <c r="M57" s="10">
        <v>23</v>
      </c>
      <c r="N57" s="10">
        <v>737</v>
      </c>
      <c r="O57" s="9">
        <f t="shared" si="1"/>
        <v>26</v>
      </c>
      <c r="P57" s="10">
        <v>0</v>
      </c>
      <c r="Q57" s="10">
        <v>174</v>
      </c>
      <c r="R57" s="10">
        <v>109</v>
      </c>
      <c r="S57" s="10">
        <v>211</v>
      </c>
      <c r="T57" s="10">
        <v>258</v>
      </c>
      <c r="U57" s="10">
        <v>204</v>
      </c>
      <c r="V57" s="10">
        <v>167</v>
      </c>
      <c r="W57" s="10">
        <v>62</v>
      </c>
      <c r="X57" s="10">
        <v>252</v>
      </c>
    </row>
    <row r="58" spans="2:24" x14ac:dyDescent="0.25">
      <c r="B58" s="5" t="s">
        <v>114</v>
      </c>
      <c r="C58" s="8" t="s">
        <v>115</v>
      </c>
      <c r="D58" s="8" t="s">
        <v>265</v>
      </c>
      <c r="E58" s="9">
        <v>49</v>
      </c>
      <c r="F58" s="9">
        <v>12</v>
      </c>
      <c r="G58" s="9">
        <v>34</v>
      </c>
      <c r="H58" s="9">
        <v>3</v>
      </c>
      <c r="I58" s="9">
        <v>1</v>
      </c>
      <c r="J58" s="9">
        <v>0</v>
      </c>
      <c r="K58" s="9">
        <v>0</v>
      </c>
      <c r="L58" s="9">
        <v>0</v>
      </c>
      <c r="M58" s="9">
        <v>0</v>
      </c>
      <c r="N58" s="9">
        <v>46</v>
      </c>
      <c r="O58" s="9">
        <f t="shared" si="1"/>
        <v>0</v>
      </c>
      <c r="P58" s="9"/>
      <c r="Q58" s="9">
        <v>3</v>
      </c>
      <c r="R58" s="9">
        <v>5</v>
      </c>
      <c r="S58" s="9">
        <v>2</v>
      </c>
      <c r="T58" s="9">
        <v>12</v>
      </c>
      <c r="U58" s="9">
        <v>4</v>
      </c>
      <c r="V58" s="9">
        <v>2</v>
      </c>
      <c r="W58" s="9">
        <v>2</v>
      </c>
      <c r="X58" s="9">
        <v>22</v>
      </c>
    </row>
    <row r="59" spans="2:24" x14ac:dyDescent="0.25">
      <c r="B59" s="5" t="s">
        <v>116</v>
      </c>
      <c r="C59" s="8" t="s">
        <v>117</v>
      </c>
      <c r="D59" s="8" t="s">
        <v>266</v>
      </c>
      <c r="E59" s="9">
        <v>538</v>
      </c>
      <c r="F59" s="9">
        <v>243</v>
      </c>
      <c r="G59" s="9">
        <v>288</v>
      </c>
      <c r="H59" s="9">
        <v>7</v>
      </c>
      <c r="I59" s="9">
        <v>27</v>
      </c>
      <c r="J59" s="9">
        <v>2</v>
      </c>
      <c r="K59" s="9">
        <v>9</v>
      </c>
      <c r="L59" s="9">
        <v>240</v>
      </c>
      <c r="M59" s="9">
        <v>4</v>
      </c>
      <c r="N59" s="9">
        <v>261</v>
      </c>
      <c r="O59" s="9">
        <f t="shared" si="1"/>
        <v>15</v>
      </c>
      <c r="P59" s="9"/>
      <c r="Q59" s="9">
        <v>58</v>
      </c>
      <c r="R59" s="9">
        <v>36</v>
      </c>
      <c r="S59" s="9">
        <v>92</v>
      </c>
      <c r="T59" s="9">
        <v>122</v>
      </c>
      <c r="U59" s="9">
        <v>83</v>
      </c>
      <c r="V59" s="9">
        <v>65</v>
      </c>
      <c r="W59" s="9">
        <v>26</v>
      </c>
      <c r="X59" s="9">
        <v>114</v>
      </c>
    </row>
    <row r="60" spans="2:24" x14ac:dyDescent="0.25">
      <c r="B60" s="5" t="s">
        <v>118</v>
      </c>
      <c r="C60" s="8" t="s">
        <v>119</v>
      </c>
      <c r="D60" s="8" t="s">
        <v>264</v>
      </c>
      <c r="E60" s="9">
        <v>285</v>
      </c>
      <c r="F60" s="9">
        <v>141</v>
      </c>
      <c r="G60" s="9">
        <v>144</v>
      </c>
      <c r="H60" s="9">
        <v>0</v>
      </c>
      <c r="I60" s="9">
        <v>13</v>
      </c>
      <c r="J60" s="9">
        <v>0</v>
      </c>
      <c r="K60" s="9">
        <v>0</v>
      </c>
      <c r="L60" s="9">
        <v>105</v>
      </c>
      <c r="M60" s="9">
        <v>0</v>
      </c>
      <c r="N60" s="9">
        <v>187</v>
      </c>
      <c r="O60" s="9">
        <f t="shared" si="1"/>
        <v>0</v>
      </c>
      <c r="P60" s="9"/>
      <c r="Q60" s="9">
        <v>2</v>
      </c>
      <c r="R60" s="9">
        <v>24</v>
      </c>
      <c r="S60" s="9">
        <v>53</v>
      </c>
      <c r="T60" s="9">
        <v>61</v>
      </c>
      <c r="U60" s="9">
        <v>50</v>
      </c>
      <c r="V60" s="9">
        <v>44</v>
      </c>
      <c r="W60" s="9">
        <v>20</v>
      </c>
      <c r="X60" s="9">
        <v>33</v>
      </c>
    </row>
    <row r="61" spans="2:24" x14ac:dyDescent="0.25">
      <c r="B61" s="5" t="s">
        <v>120</v>
      </c>
      <c r="C61" s="8" t="s">
        <v>121</v>
      </c>
      <c r="D61" s="8" t="s">
        <v>264</v>
      </c>
      <c r="E61" s="9">
        <v>596</v>
      </c>
      <c r="F61" s="9">
        <v>334</v>
      </c>
      <c r="G61" s="9">
        <v>259</v>
      </c>
      <c r="H61" s="9">
        <v>3</v>
      </c>
      <c r="I61" s="9">
        <v>44</v>
      </c>
      <c r="J61" s="9">
        <v>0</v>
      </c>
      <c r="K61" s="9">
        <v>3</v>
      </c>
      <c r="L61" s="9">
        <v>200</v>
      </c>
      <c r="M61" s="9">
        <v>2</v>
      </c>
      <c r="N61" s="9">
        <v>411</v>
      </c>
      <c r="O61" s="9">
        <f t="shared" si="1"/>
        <v>5</v>
      </c>
      <c r="P61" s="9"/>
      <c r="Q61" s="9">
        <v>36</v>
      </c>
      <c r="R61" s="9">
        <v>43</v>
      </c>
      <c r="S61" s="9">
        <v>136</v>
      </c>
      <c r="T61" s="9">
        <v>134</v>
      </c>
      <c r="U61" s="9">
        <v>124</v>
      </c>
      <c r="V61" s="9">
        <v>88</v>
      </c>
      <c r="W61" s="9">
        <v>37</v>
      </c>
      <c r="X61" s="9">
        <v>34</v>
      </c>
    </row>
    <row r="62" spans="2:24" x14ac:dyDescent="0.25">
      <c r="B62" s="5" t="s">
        <v>122</v>
      </c>
      <c r="C62" s="8" t="s">
        <v>123</v>
      </c>
      <c r="D62" s="8" t="s">
        <v>266</v>
      </c>
      <c r="E62" s="9">
        <v>83</v>
      </c>
      <c r="F62" s="9">
        <v>34</v>
      </c>
      <c r="G62" s="9">
        <v>48</v>
      </c>
      <c r="H62" s="9">
        <v>1</v>
      </c>
      <c r="I62" s="9">
        <v>3</v>
      </c>
      <c r="J62" s="9">
        <v>0</v>
      </c>
      <c r="K62" s="9">
        <v>0</v>
      </c>
      <c r="L62" s="9">
        <v>32</v>
      </c>
      <c r="M62" s="9">
        <v>1</v>
      </c>
      <c r="N62" s="9">
        <v>50</v>
      </c>
      <c r="O62" s="9">
        <f t="shared" si="1"/>
        <v>1</v>
      </c>
      <c r="P62" s="9"/>
      <c r="Q62" s="9">
        <v>4</v>
      </c>
      <c r="R62" s="9">
        <v>4</v>
      </c>
      <c r="S62" s="9">
        <v>19</v>
      </c>
      <c r="T62" s="9">
        <v>20</v>
      </c>
      <c r="U62" s="9">
        <v>13</v>
      </c>
      <c r="V62" s="9">
        <v>12</v>
      </c>
      <c r="W62" s="9">
        <v>5</v>
      </c>
      <c r="X62" s="9">
        <v>10</v>
      </c>
    </row>
    <row r="63" spans="2:24" x14ac:dyDescent="0.25">
      <c r="B63" s="5" t="s">
        <v>124</v>
      </c>
      <c r="C63" s="8" t="s">
        <v>125</v>
      </c>
      <c r="D63" s="8" t="s">
        <v>267</v>
      </c>
      <c r="E63" s="9">
        <v>155</v>
      </c>
      <c r="F63" s="9">
        <v>80</v>
      </c>
      <c r="G63" s="9">
        <v>74</v>
      </c>
      <c r="H63" s="9">
        <v>1</v>
      </c>
      <c r="I63" s="9">
        <v>4</v>
      </c>
      <c r="J63" s="9">
        <v>0</v>
      </c>
      <c r="K63" s="9">
        <v>2</v>
      </c>
      <c r="L63" s="9">
        <v>43</v>
      </c>
      <c r="M63" s="9">
        <v>0</v>
      </c>
      <c r="N63" s="9">
        <v>103</v>
      </c>
      <c r="O63" s="9">
        <f t="shared" si="1"/>
        <v>2</v>
      </c>
      <c r="P63" s="9"/>
      <c r="Q63" s="9">
        <v>14</v>
      </c>
      <c r="R63" s="9">
        <v>7</v>
      </c>
      <c r="S63" s="9">
        <v>23</v>
      </c>
      <c r="T63" s="9">
        <v>35</v>
      </c>
      <c r="U63" s="9">
        <v>29</v>
      </c>
      <c r="V63" s="9">
        <v>19</v>
      </c>
      <c r="W63" s="9">
        <v>8</v>
      </c>
      <c r="X63" s="9">
        <v>34</v>
      </c>
    </row>
    <row r="64" spans="2:24" x14ac:dyDescent="0.25">
      <c r="B64" s="5" t="s">
        <v>126</v>
      </c>
      <c r="C64" s="8" t="s">
        <v>127</v>
      </c>
      <c r="D64" s="8" t="s">
        <v>266</v>
      </c>
      <c r="E64" s="9">
        <v>100</v>
      </c>
      <c r="F64" s="9">
        <v>57</v>
      </c>
      <c r="G64" s="9">
        <v>43</v>
      </c>
      <c r="H64" s="9">
        <v>0</v>
      </c>
      <c r="I64" s="9">
        <v>1</v>
      </c>
      <c r="J64" s="9">
        <v>0</v>
      </c>
      <c r="K64" s="9">
        <v>0</v>
      </c>
      <c r="L64" s="9">
        <v>17</v>
      </c>
      <c r="M64" s="9">
        <v>0</v>
      </c>
      <c r="N64" s="9">
        <v>74</v>
      </c>
      <c r="O64" s="9">
        <f t="shared" si="1"/>
        <v>0</v>
      </c>
      <c r="P64" s="9"/>
      <c r="Q64" s="9">
        <v>13</v>
      </c>
      <c r="R64" s="9">
        <v>7</v>
      </c>
      <c r="S64" s="9">
        <v>15</v>
      </c>
      <c r="T64" s="9">
        <v>16</v>
      </c>
      <c r="U64" s="9">
        <v>14</v>
      </c>
      <c r="V64" s="9">
        <v>12</v>
      </c>
      <c r="W64" s="9">
        <v>2</v>
      </c>
      <c r="X64" s="9">
        <v>34</v>
      </c>
    </row>
    <row r="65" spans="2:24" x14ac:dyDescent="0.25">
      <c r="B65" s="5" t="s">
        <v>128</v>
      </c>
      <c r="C65" s="8" t="s">
        <v>129</v>
      </c>
      <c r="D65" s="8" t="s">
        <v>266</v>
      </c>
      <c r="E65" s="9">
        <v>75</v>
      </c>
      <c r="F65" s="9">
        <v>51</v>
      </c>
      <c r="G65" s="9">
        <v>23</v>
      </c>
      <c r="H65" s="9">
        <v>1</v>
      </c>
      <c r="I65" s="9">
        <v>0</v>
      </c>
      <c r="J65" s="9">
        <v>0</v>
      </c>
      <c r="K65" s="9">
        <v>0</v>
      </c>
      <c r="L65" s="9">
        <v>38</v>
      </c>
      <c r="M65" s="9">
        <v>0</v>
      </c>
      <c r="N65" s="9">
        <v>37</v>
      </c>
      <c r="O65" s="9">
        <f t="shared" si="1"/>
        <v>0</v>
      </c>
      <c r="P65" s="9"/>
      <c r="Q65" s="9">
        <v>2</v>
      </c>
      <c r="R65" s="9">
        <v>3</v>
      </c>
      <c r="S65" s="9">
        <v>5</v>
      </c>
      <c r="T65" s="9">
        <v>9</v>
      </c>
      <c r="U65" s="9">
        <v>12</v>
      </c>
      <c r="V65" s="9">
        <v>7</v>
      </c>
      <c r="W65" s="9">
        <v>1</v>
      </c>
      <c r="X65" s="9">
        <v>38</v>
      </c>
    </row>
    <row r="66" spans="2:24" x14ac:dyDescent="0.25">
      <c r="B66" s="5" t="s">
        <v>130</v>
      </c>
      <c r="C66" s="8" t="s">
        <v>131</v>
      </c>
      <c r="D66" s="8" t="s">
        <v>268</v>
      </c>
      <c r="E66" s="9">
        <v>645</v>
      </c>
      <c r="F66" s="9">
        <v>331</v>
      </c>
      <c r="G66" s="9">
        <v>311</v>
      </c>
      <c r="H66" s="9">
        <v>3</v>
      </c>
      <c r="I66" s="9">
        <v>12</v>
      </c>
      <c r="J66" s="9">
        <v>0</v>
      </c>
      <c r="K66" s="9">
        <v>0</v>
      </c>
      <c r="L66" s="9">
        <v>9</v>
      </c>
      <c r="M66" s="9">
        <v>5</v>
      </c>
      <c r="N66" s="9">
        <v>619</v>
      </c>
      <c r="O66" s="9">
        <f t="shared" si="1"/>
        <v>5</v>
      </c>
      <c r="P66" s="9"/>
      <c r="Q66" s="9">
        <v>14</v>
      </c>
      <c r="R66" s="9">
        <v>68</v>
      </c>
      <c r="S66" s="9">
        <v>152</v>
      </c>
      <c r="T66" s="9">
        <v>143</v>
      </c>
      <c r="U66" s="9">
        <v>117</v>
      </c>
      <c r="V66" s="9">
        <v>92</v>
      </c>
      <c r="W66" s="9">
        <v>37</v>
      </c>
      <c r="X66" s="9">
        <v>36</v>
      </c>
    </row>
    <row r="67" spans="2:24" x14ac:dyDescent="0.25">
      <c r="B67" s="5" t="s">
        <v>132</v>
      </c>
      <c r="C67" s="8" t="s">
        <v>133</v>
      </c>
      <c r="D67" s="8" t="s">
        <v>267</v>
      </c>
      <c r="E67" s="9">
        <v>2983</v>
      </c>
      <c r="F67" s="9">
        <v>1451</v>
      </c>
      <c r="G67" s="9">
        <v>1465</v>
      </c>
      <c r="H67" s="9">
        <v>67</v>
      </c>
      <c r="I67" s="9">
        <v>502</v>
      </c>
      <c r="J67" s="9">
        <v>0</v>
      </c>
      <c r="K67" s="9">
        <v>38</v>
      </c>
      <c r="L67" s="9">
        <v>104</v>
      </c>
      <c r="M67" s="9">
        <v>0</v>
      </c>
      <c r="N67" s="9">
        <v>305</v>
      </c>
      <c r="O67" s="9">
        <f t="shared" si="1"/>
        <v>38</v>
      </c>
      <c r="P67" s="9"/>
      <c r="Q67" s="9">
        <v>2557</v>
      </c>
      <c r="R67" s="9">
        <v>118</v>
      </c>
      <c r="S67" s="9">
        <v>277</v>
      </c>
      <c r="T67" s="9">
        <v>552</v>
      </c>
      <c r="U67" s="9">
        <v>615</v>
      </c>
      <c r="V67" s="9">
        <v>557</v>
      </c>
      <c r="W67" s="9">
        <v>224</v>
      </c>
      <c r="X67" s="9">
        <v>640</v>
      </c>
    </row>
    <row r="68" spans="2:24" x14ac:dyDescent="0.25">
      <c r="B68" s="5" t="s">
        <v>134</v>
      </c>
      <c r="C68" s="8" t="s">
        <v>135</v>
      </c>
      <c r="D68" s="8" t="s">
        <v>267</v>
      </c>
      <c r="E68" s="9">
        <v>524</v>
      </c>
      <c r="F68" s="9">
        <v>259</v>
      </c>
      <c r="G68" s="9">
        <v>256</v>
      </c>
      <c r="H68" s="9">
        <v>9</v>
      </c>
      <c r="I68" s="9">
        <v>9</v>
      </c>
      <c r="J68" s="9">
        <v>5</v>
      </c>
      <c r="K68" s="9">
        <v>2</v>
      </c>
      <c r="L68" s="9">
        <v>117</v>
      </c>
      <c r="M68" s="9">
        <v>0</v>
      </c>
      <c r="N68" s="9">
        <v>392</v>
      </c>
      <c r="O68" s="9">
        <f t="shared" si="1"/>
        <v>7</v>
      </c>
      <c r="P68" s="9"/>
      <c r="Q68" s="9">
        <v>42</v>
      </c>
      <c r="R68" s="9">
        <v>39</v>
      </c>
      <c r="S68" s="9">
        <v>75</v>
      </c>
      <c r="T68" s="9">
        <v>99</v>
      </c>
      <c r="U68" s="9">
        <v>101</v>
      </c>
      <c r="V68" s="9">
        <v>82</v>
      </c>
      <c r="W68" s="9">
        <v>15</v>
      </c>
      <c r="X68" s="9">
        <v>113</v>
      </c>
    </row>
    <row r="69" spans="2:24" x14ac:dyDescent="0.25">
      <c r="B69" s="5" t="s">
        <v>136</v>
      </c>
      <c r="C69" s="8" t="s">
        <v>137</v>
      </c>
      <c r="D69" s="8" t="s">
        <v>266</v>
      </c>
      <c r="E69" s="9">
        <v>102</v>
      </c>
      <c r="F69" s="9">
        <v>43</v>
      </c>
      <c r="G69" s="9">
        <v>59</v>
      </c>
      <c r="H69" s="9">
        <v>0</v>
      </c>
      <c r="I69" s="9">
        <v>3</v>
      </c>
      <c r="J69" s="9">
        <v>0</v>
      </c>
      <c r="K69" s="9">
        <v>0</v>
      </c>
      <c r="L69" s="9">
        <v>41</v>
      </c>
      <c r="M69" s="9">
        <v>0</v>
      </c>
      <c r="N69" s="9">
        <v>58</v>
      </c>
      <c r="O69" s="9">
        <f t="shared" si="1"/>
        <v>0</v>
      </c>
      <c r="P69" s="9"/>
      <c r="Q69" s="9">
        <v>3</v>
      </c>
      <c r="R69" s="9">
        <v>8</v>
      </c>
      <c r="S69" s="9">
        <v>13</v>
      </c>
      <c r="T69" s="9">
        <v>25</v>
      </c>
      <c r="U69" s="9">
        <v>14</v>
      </c>
      <c r="V69" s="9">
        <v>24</v>
      </c>
      <c r="W69" s="9">
        <v>3</v>
      </c>
      <c r="X69" s="9">
        <v>15</v>
      </c>
    </row>
    <row r="70" spans="2:24" x14ac:dyDescent="0.25">
      <c r="B70" s="5" t="s">
        <v>138</v>
      </c>
      <c r="C70" s="8" t="s">
        <v>139</v>
      </c>
      <c r="D70" s="8" t="s">
        <v>265</v>
      </c>
      <c r="E70" s="9">
        <v>1240</v>
      </c>
      <c r="F70" s="9">
        <v>569</v>
      </c>
      <c r="G70" s="9">
        <v>653</v>
      </c>
      <c r="H70" s="9">
        <v>18</v>
      </c>
      <c r="I70" s="9">
        <v>37</v>
      </c>
      <c r="J70" s="9">
        <v>3</v>
      </c>
      <c r="K70" s="9">
        <v>4</v>
      </c>
      <c r="L70" s="9">
        <v>766</v>
      </c>
      <c r="M70" s="9">
        <v>0</v>
      </c>
      <c r="N70" s="9">
        <v>503</v>
      </c>
      <c r="O70" s="9">
        <f t="shared" ref="O70:O125" si="2">+M70+K70+J70</f>
        <v>7</v>
      </c>
      <c r="P70" s="9"/>
      <c r="Q70" s="9">
        <v>38</v>
      </c>
      <c r="R70" s="9">
        <v>128</v>
      </c>
      <c r="S70" s="9">
        <v>244</v>
      </c>
      <c r="T70" s="9">
        <v>292</v>
      </c>
      <c r="U70" s="9">
        <v>186</v>
      </c>
      <c r="V70" s="9">
        <v>156</v>
      </c>
      <c r="W70" s="9">
        <v>54</v>
      </c>
      <c r="X70" s="9">
        <v>180</v>
      </c>
    </row>
    <row r="71" spans="2:24" x14ac:dyDescent="0.25">
      <c r="B71" s="5" t="s">
        <v>140</v>
      </c>
      <c r="C71" s="8" t="s">
        <v>141</v>
      </c>
      <c r="D71" s="8" t="s">
        <v>267</v>
      </c>
      <c r="E71" s="9">
        <v>128</v>
      </c>
      <c r="F71" s="9">
        <v>59</v>
      </c>
      <c r="G71" s="9">
        <v>68</v>
      </c>
      <c r="H71" s="9">
        <v>1</v>
      </c>
      <c r="I71" s="9">
        <v>8</v>
      </c>
      <c r="J71" s="9">
        <v>0</v>
      </c>
      <c r="K71" s="9">
        <v>2</v>
      </c>
      <c r="L71" s="9">
        <v>21</v>
      </c>
      <c r="M71" s="9">
        <v>1</v>
      </c>
      <c r="N71" s="9">
        <v>111</v>
      </c>
      <c r="O71" s="9">
        <f t="shared" si="2"/>
        <v>3</v>
      </c>
      <c r="P71" s="9"/>
      <c r="Q71" s="9">
        <v>4</v>
      </c>
      <c r="R71" s="9">
        <v>14</v>
      </c>
      <c r="S71" s="9">
        <v>13</v>
      </c>
      <c r="T71" s="9">
        <v>28</v>
      </c>
      <c r="U71" s="9">
        <v>24</v>
      </c>
      <c r="V71" s="9">
        <v>21</v>
      </c>
      <c r="W71" s="9">
        <v>10</v>
      </c>
      <c r="X71" s="9">
        <v>18</v>
      </c>
    </row>
    <row r="72" spans="2:24" x14ac:dyDescent="0.25">
      <c r="B72" s="5" t="s">
        <v>142</v>
      </c>
      <c r="C72" s="8" t="s">
        <v>143</v>
      </c>
      <c r="D72" s="8" t="s">
        <v>267</v>
      </c>
      <c r="E72" s="9">
        <v>343</v>
      </c>
      <c r="F72" s="9">
        <v>170</v>
      </c>
      <c r="G72" s="9">
        <v>169</v>
      </c>
      <c r="H72" s="9">
        <v>4</v>
      </c>
      <c r="I72" s="9">
        <v>129</v>
      </c>
      <c r="J72" s="9">
        <v>0</v>
      </c>
      <c r="K72" s="9">
        <v>4</v>
      </c>
      <c r="L72" s="9">
        <v>95</v>
      </c>
      <c r="M72" s="9">
        <v>1</v>
      </c>
      <c r="N72" s="9">
        <v>243</v>
      </c>
      <c r="O72" s="9">
        <f t="shared" si="2"/>
        <v>5</v>
      </c>
      <c r="P72" s="9"/>
      <c r="Q72" s="9">
        <v>19</v>
      </c>
      <c r="R72" s="9">
        <v>25</v>
      </c>
      <c r="S72" s="9">
        <v>51</v>
      </c>
      <c r="T72" s="9">
        <v>76</v>
      </c>
      <c r="U72" s="9">
        <v>77</v>
      </c>
      <c r="V72" s="9">
        <v>52</v>
      </c>
      <c r="W72" s="9">
        <v>9</v>
      </c>
      <c r="X72" s="9">
        <v>53</v>
      </c>
    </row>
    <row r="73" spans="2:24" x14ac:dyDescent="0.25">
      <c r="B73" s="5" t="s">
        <v>144</v>
      </c>
      <c r="C73" s="8" t="s">
        <v>145</v>
      </c>
      <c r="D73" s="8" t="s">
        <v>267</v>
      </c>
      <c r="E73" s="9">
        <v>145</v>
      </c>
      <c r="F73" s="9">
        <v>71</v>
      </c>
      <c r="G73" s="9">
        <v>70</v>
      </c>
      <c r="H73" s="9">
        <v>4</v>
      </c>
      <c r="I73" s="9">
        <v>46</v>
      </c>
      <c r="J73" s="9">
        <v>0</v>
      </c>
      <c r="K73" s="9">
        <v>6</v>
      </c>
      <c r="L73" s="9">
        <v>18</v>
      </c>
      <c r="M73" s="9">
        <v>0</v>
      </c>
      <c r="N73" s="9">
        <v>106</v>
      </c>
      <c r="O73" s="9">
        <f t="shared" si="2"/>
        <v>6</v>
      </c>
      <c r="P73" s="9"/>
      <c r="Q73" s="9">
        <v>22</v>
      </c>
      <c r="R73" s="9">
        <v>4</v>
      </c>
      <c r="S73" s="9">
        <v>16</v>
      </c>
      <c r="T73" s="9">
        <v>17</v>
      </c>
      <c r="U73" s="9">
        <v>21</v>
      </c>
      <c r="V73" s="9">
        <v>17</v>
      </c>
      <c r="W73" s="9">
        <v>8</v>
      </c>
      <c r="X73" s="9">
        <v>62</v>
      </c>
    </row>
    <row r="74" spans="2:24" x14ac:dyDescent="0.25">
      <c r="B74" s="5" t="s">
        <v>146</v>
      </c>
      <c r="C74" s="8" t="s">
        <v>147</v>
      </c>
      <c r="D74" s="8" t="s">
        <v>264</v>
      </c>
      <c r="E74" s="9">
        <v>162</v>
      </c>
      <c r="F74" s="9">
        <v>83</v>
      </c>
      <c r="G74" s="9">
        <v>78</v>
      </c>
      <c r="H74" s="9">
        <v>1</v>
      </c>
      <c r="I74" s="9">
        <v>5</v>
      </c>
      <c r="J74" s="9">
        <v>0</v>
      </c>
      <c r="K74" s="9">
        <v>2</v>
      </c>
      <c r="L74" s="9">
        <v>42</v>
      </c>
      <c r="M74" s="9">
        <v>0</v>
      </c>
      <c r="N74" s="9">
        <v>124</v>
      </c>
      <c r="O74" s="9">
        <f t="shared" si="2"/>
        <v>2</v>
      </c>
      <c r="P74" s="9"/>
      <c r="Q74" s="9">
        <v>12</v>
      </c>
      <c r="R74" s="9">
        <v>12</v>
      </c>
      <c r="S74" s="9">
        <v>20</v>
      </c>
      <c r="T74" s="9">
        <v>21</v>
      </c>
      <c r="U74" s="9">
        <v>33</v>
      </c>
      <c r="V74" s="9">
        <v>22</v>
      </c>
      <c r="W74" s="9">
        <v>13</v>
      </c>
      <c r="X74" s="9">
        <v>41</v>
      </c>
    </row>
    <row r="75" spans="2:24" x14ac:dyDescent="0.25">
      <c r="B75" s="5" t="s">
        <v>148</v>
      </c>
      <c r="C75" s="8" t="s">
        <v>149</v>
      </c>
      <c r="D75" s="8" t="s">
        <v>265</v>
      </c>
      <c r="E75" s="9">
        <v>390</v>
      </c>
      <c r="F75" s="9">
        <v>182</v>
      </c>
      <c r="G75" s="9">
        <v>208</v>
      </c>
      <c r="H75" s="9">
        <v>0</v>
      </c>
      <c r="I75" s="9">
        <v>5</v>
      </c>
      <c r="J75" s="9">
        <v>0</v>
      </c>
      <c r="K75" s="9">
        <v>0</v>
      </c>
      <c r="L75" s="9">
        <v>190</v>
      </c>
      <c r="M75" s="9">
        <v>0</v>
      </c>
      <c r="N75" s="9">
        <v>196</v>
      </c>
      <c r="O75" s="9">
        <f t="shared" si="2"/>
        <v>0</v>
      </c>
      <c r="P75" s="9"/>
      <c r="Q75" s="9">
        <v>11</v>
      </c>
      <c r="R75" s="9">
        <v>20</v>
      </c>
      <c r="S75" s="9">
        <v>44</v>
      </c>
      <c r="T75" s="9">
        <v>95</v>
      </c>
      <c r="U75" s="9">
        <v>82</v>
      </c>
      <c r="V75" s="9">
        <v>56</v>
      </c>
      <c r="W75" s="9">
        <v>19</v>
      </c>
      <c r="X75" s="9">
        <v>74</v>
      </c>
    </row>
    <row r="76" spans="2:24" x14ac:dyDescent="0.25">
      <c r="B76" s="5" t="s">
        <v>150</v>
      </c>
      <c r="C76" s="8" t="s">
        <v>151</v>
      </c>
      <c r="D76" s="8" t="s">
        <v>266</v>
      </c>
      <c r="E76" s="9">
        <v>164</v>
      </c>
      <c r="F76" s="9">
        <v>77</v>
      </c>
      <c r="G76" s="9">
        <v>82</v>
      </c>
      <c r="H76" s="9">
        <v>5</v>
      </c>
      <c r="I76" s="9">
        <v>2</v>
      </c>
      <c r="J76" s="9">
        <v>0</v>
      </c>
      <c r="K76" s="9">
        <v>0</v>
      </c>
      <c r="L76" s="9">
        <v>45</v>
      </c>
      <c r="M76" s="9">
        <v>0</v>
      </c>
      <c r="N76" s="9">
        <v>102</v>
      </c>
      <c r="O76" s="9">
        <f t="shared" si="2"/>
        <v>0</v>
      </c>
      <c r="P76" s="9"/>
      <c r="Q76" s="9">
        <v>19</v>
      </c>
      <c r="R76" s="9">
        <v>7</v>
      </c>
      <c r="S76" s="9">
        <v>22</v>
      </c>
      <c r="T76" s="9">
        <v>21</v>
      </c>
      <c r="U76" s="9">
        <v>28</v>
      </c>
      <c r="V76" s="9">
        <v>19</v>
      </c>
      <c r="W76" s="9">
        <v>10</v>
      </c>
      <c r="X76" s="9">
        <v>57</v>
      </c>
    </row>
    <row r="77" spans="2:24" x14ac:dyDescent="0.25">
      <c r="B77" s="5" t="s">
        <v>152</v>
      </c>
      <c r="C77" s="8" t="s">
        <v>153</v>
      </c>
      <c r="D77" s="8" t="s">
        <v>268</v>
      </c>
      <c r="E77" s="9">
        <v>573</v>
      </c>
      <c r="F77" s="9">
        <v>279</v>
      </c>
      <c r="G77" s="9">
        <v>291</v>
      </c>
      <c r="H77" s="9">
        <v>3</v>
      </c>
      <c r="I77" s="9">
        <v>9</v>
      </c>
      <c r="J77" s="9">
        <v>1</v>
      </c>
      <c r="K77" s="9">
        <v>1</v>
      </c>
      <c r="L77" s="9">
        <v>37</v>
      </c>
      <c r="M77" s="9">
        <v>0</v>
      </c>
      <c r="N77" s="9">
        <v>526</v>
      </c>
      <c r="O77" s="9">
        <f t="shared" si="2"/>
        <v>2</v>
      </c>
      <c r="P77" s="9"/>
      <c r="Q77" s="9">
        <v>21</v>
      </c>
      <c r="R77" s="9">
        <v>48</v>
      </c>
      <c r="S77" s="9">
        <v>108</v>
      </c>
      <c r="T77" s="9">
        <v>134</v>
      </c>
      <c r="U77" s="9">
        <v>118</v>
      </c>
      <c r="V77" s="9">
        <v>88</v>
      </c>
      <c r="W77" s="9">
        <v>26</v>
      </c>
      <c r="X77" s="9">
        <v>51</v>
      </c>
    </row>
    <row r="78" spans="2:24" x14ac:dyDescent="0.25">
      <c r="B78" s="5" t="s">
        <v>154</v>
      </c>
      <c r="C78" s="8" t="s">
        <v>155</v>
      </c>
      <c r="D78" s="8" t="s">
        <v>265</v>
      </c>
      <c r="E78" s="9">
        <v>172</v>
      </c>
      <c r="F78" s="9">
        <v>68</v>
      </c>
      <c r="G78" s="9">
        <v>103</v>
      </c>
      <c r="H78" s="9">
        <v>1</v>
      </c>
      <c r="I78" s="9">
        <v>2</v>
      </c>
      <c r="J78" s="9">
        <v>0</v>
      </c>
      <c r="K78" s="9">
        <v>0</v>
      </c>
      <c r="L78" s="9">
        <v>13</v>
      </c>
      <c r="M78" s="9">
        <v>0</v>
      </c>
      <c r="N78" s="9">
        <v>154</v>
      </c>
      <c r="O78" s="9">
        <f t="shared" si="2"/>
        <v>0</v>
      </c>
      <c r="P78" s="9"/>
      <c r="Q78" s="9">
        <v>10</v>
      </c>
      <c r="R78" s="9">
        <v>10</v>
      </c>
      <c r="S78" s="9">
        <v>30</v>
      </c>
      <c r="T78" s="9">
        <v>40</v>
      </c>
      <c r="U78" s="9">
        <v>26</v>
      </c>
      <c r="V78" s="9">
        <v>28</v>
      </c>
      <c r="W78" s="9">
        <v>18</v>
      </c>
      <c r="X78" s="9">
        <v>20</v>
      </c>
    </row>
    <row r="79" spans="2:24" x14ac:dyDescent="0.25">
      <c r="B79" s="5" t="s">
        <v>156</v>
      </c>
      <c r="C79" s="8" t="s">
        <v>157</v>
      </c>
      <c r="D79" s="8" t="s">
        <v>266</v>
      </c>
      <c r="E79" s="9">
        <v>165</v>
      </c>
      <c r="F79" s="9">
        <v>83</v>
      </c>
      <c r="G79" s="9">
        <v>77</v>
      </c>
      <c r="H79" s="9">
        <v>5</v>
      </c>
      <c r="I79" s="9">
        <v>1</v>
      </c>
      <c r="J79" s="9">
        <v>0</v>
      </c>
      <c r="K79" s="9">
        <v>0</v>
      </c>
      <c r="L79" s="9">
        <v>23</v>
      </c>
      <c r="M79" s="9">
        <v>0</v>
      </c>
      <c r="N79" s="9">
        <v>124</v>
      </c>
      <c r="O79" s="9">
        <f t="shared" si="2"/>
        <v>0</v>
      </c>
      <c r="P79" s="9"/>
      <c r="Q79" s="9">
        <v>23</v>
      </c>
      <c r="R79" s="9">
        <v>13</v>
      </c>
      <c r="S79" s="9">
        <v>15</v>
      </c>
      <c r="T79" s="9">
        <v>21</v>
      </c>
      <c r="U79" s="9">
        <v>22</v>
      </c>
      <c r="V79" s="9">
        <v>32</v>
      </c>
      <c r="W79" s="9">
        <v>15</v>
      </c>
      <c r="X79" s="9">
        <v>47</v>
      </c>
    </row>
    <row r="80" spans="2:24" x14ac:dyDescent="0.25">
      <c r="B80" s="5" t="s">
        <v>158</v>
      </c>
      <c r="C80" s="8" t="s">
        <v>159</v>
      </c>
      <c r="D80" s="8" t="s">
        <v>264</v>
      </c>
      <c r="E80" s="9">
        <v>2604</v>
      </c>
      <c r="F80" s="9">
        <v>1279</v>
      </c>
      <c r="G80" s="9">
        <v>1282</v>
      </c>
      <c r="H80" s="9">
        <v>43</v>
      </c>
      <c r="I80" s="9">
        <v>144</v>
      </c>
      <c r="J80" s="9">
        <v>4</v>
      </c>
      <c r="K80" s="9">
        <v>21</v>
      </c>
      <c r="L80" s="9">
        <v>1561</v>
      </c>
      <c r="M80" s="9">
        <v>14</v>
      </c>
      <c r="N80" s="9">
        <v>895</v>
      </c>
      <c r="O80" s="9">
        <f t="shared" si="2"/>
        <v>39</v>
      </c>
      <c r="P80" s="9"/>
      <c r="Q80" s="9">
        <v>283</v>
      </c>
      <c r="R80" s="9">
        <v>158</v>
      </c>
      <c r="S80" s="9">
        <v>399</v>
      </c>
      <c r="T80" s="9">
        <v>499</v>
      </c>
      <c r="U80" s="9">
        <v>412</v>
      </c>
      <c r="V80" s="9">
        <v>372</v>
      </c>
      <c r="W80" s="9">
        <v>145</v>
      </c>
      <c r="X80" s="9">
        <v>619</v>
      </c>
    </row>
    <row r="81" spans="2:24" x14ac:dyDescent="0.25">
      <c r="B81" s="5" t="s">
        <v>160</v>
      </c>
      <c r="C81" s="8" t="s">
        <v>161</v>
      </c>
      <c r="D81" s="8" t="s">
        <v>264</v>
      </c>
      <c r="E81" s="9">
        <v>3167</v>
      </c>
      <c r="F81" s="9">
        <v>1558</v>
      </c>
      <c r="G81" s="9">
        <v>1542</v>
      </c>
      <c r="H81" s="9">
        <v>67</v>
      </c>
      <c r="I81" s="9">
        <v>124</v>
      </c>
      <c r="J81" s="9">
        <v>11</v>
      </c>
      <c r="K81" s="9">
        <v>42</v>
      </c>
      <c r="L81" s="9">
        <v>2162</v>
      </c>
      <c r="M81" s="9">
        <v>8</v>
      </c>
      <c r="N81" s="9">
        <v>973</v>
      </c>
      <c r="O81" s="9">
        <f t="shared" si="2"/>
        <v>61</v>
      </c>
      <c r="P81" s="9"/>
      <c r="Q81" s="9">
        <v>139</v>
      </c>
      <c r="R81" s="9">
        <v>253</v>
      </c>
      <c r="S81" s="9">
        <v>502</v>
      </c>
      <c r="T81" s="9">
        <v>599</v>
      </c>
      <c r="U81" s="9">
        <v>561</v>
      </c>
      <c r="V81" s="9">
        <v>465</v>
      </c>
      <c r="W81" s="9">
        <v>214</v>
      </c>
      <c r="X81" s="9">
        <v>573</v>
      </c>
    </row>
    <row r="82" spans="2:24" x14ac:dyDescent="0.25">
      <c r="B82" s="5" t="s">
        <v>162</v>
      </c>
      <c r="C82" s="8" t="s">
        <v>163</v>
      </c>
      <c r="D82" s="8" t="s">
        <v>264</v>
      </c>
      <c r="E82" s="9">
        <v>91</v>
      </c>
      <c r="F82" s="9">
        <v>44</v>
      </c>
      <c r="G82" s="9">
        <v>47</v>
      </c>
      <c r="H82" s="9">
        <v>0</v>
      </c>
      <c r="I82" s="9">
        <v>6</v>
      </c>
      <c r="J82" s="9">
        <v>1</v>
      </c>
      <c r="K82" s="9">
        <v>2</v>
      </c>
      <c r="L82" s="9">
        <v>42</v>
      </c>
      <c r="M82" s="9">
        <v>2</v>
      </c>
      <c r="N82" s="9">
        <v>45</v>
      </c>
      <c r="O82" s="9">
        <f t="shared" si="2"/>
        <v>5</v>
      </c>
      <c r="P82" s="9"/>
      <c r="Q82" s="9">
        <v>0</v>
      </c>
      <c r="R82" s="9">
        <v>6</v>
      </c>
      <c r="S82" s="9">
        <v>10</v>
      </c>
      <c r="T82" s="9">
        <v>26</v>
      </c>
      <c r="U82" s="9">
        <v>19</v>
      </c>
      <c r="V82" s="9">
        <v>12</v>
      </c>
      <c r="W82" s="9">
        <v>6</v>
      </c>
      <c r="X82" s="9">
        <v>12</v>
      </c>
    </row>
    <row r="83" spans="2:24" x14ac:dyDescent="0.25">
      <c r="B83" s="5" t="s">
        <v>164</v>
      </c>
      <c r="C83" s="8" t="s">
        <v>165</v>
      </c>
      <c r="D83" s="8" t="s">
        <v>266</v>
      </c>
      <c r="E83" s="9">
        <v>98</v>
      </c>
      <c r="F83" s="9">
        <v>58</v>
      </c>
      <c r="G83" s="9">
        <v>39</v>
      </c>
      <c r="H83" s="9">
        <v>1</v>
      </c>
      <c r="I83" s="9">
        <v>5</v>
      </c>
      <c r="J83" s="9">
        <v>0</v>
      </c>
      <c r="K83" s="9">
        <v>0</v>
      </c>
      <c r="L83" s="9">
        <v>49</v>
      </c>
      <c r="M83" s="9">
        <v>0</v>
      </c>
      <c r="N83" s="9">
        <v>52</v>
      </c>
      <c r="O83" s="9">
        <f t="shared" si="2"/>
        <v>0</v>
      </c>
      <c r="P83" s="9"/>
      <c r="Q83" s="9">
        <v>2</v>
      </c>
      <c r="R83" s="9">
        <v>5</v>
      </c>
      <c r="S83" s="9">
        <v>11</v>
      </c>
      <c r="T83" s="9">
        <v>21</v>
      </c>
      <c r="U83" s="9">
        <v>29</v>
      </c>
      <c r="V83" s="9">
        <v>18</v>
      </c>
      <c r="W83" s="9">
        <v>1</v>
      </c>
      <c r="X83" s="9">
        <v>13</v>
      </c>
    </row>
    <row r="84" spans="2:24" x14ac:dyDescent="0.25">
      <c r="B84" s="5" t="s">
        <v>166</v>
      </c>
      <c r="C84" s="8" t="s">
        <v>167</v>
      </c>
      <c r="D84" s="8" t="s">
        <v>268</v>
      </c>
      <c r="E84" s="9">
        <v>49</v>
      </c>
      <c r="F84" s="9">
        <v>21</v>
      </c>
      <c r="G84" s="9">
        <v>28</v>
      </c>
      <c r="H84" s="9">
        <v>0</v>
      </c>
      <c r="I84" s="9">
        <v>0</v>
      </c>
      <c r="J84" s="9">
        <v>0</v>
      </c>
      <c r="K84" s="9">
        <v>0</v>
      </c>
      <c r="L84" s="9">
        <v>7</v>
      </c>
      <c r="M84" s="9">
        <v>0</v>
      </c>
      <c r="N84" s="9">
        <v>48</v>
      </c>
      <c r="O84" s="9">
        <f t="shared" si="2"/>
        <v>0</v>
      </c>
      <c r="P84" s="9"/>
      <c r="Q84" s="9">
        <v>0</v>
      </c>
      <c r="R84" s="9">
        <v>3</v>
      </c>
      <c r="S84" s="9">
        <v>8</v>
      </c>
      <c r="T84" s="9">
        <v>7</v>
      </c>
      <c r="U84" s="9">
        <v>14</v>
      </c>
      <c r="V84" s="9">
        <v>10</v>
      </c>
      <c r="W84" s="9">
        <v>1</v>
      </c>
      <c r="X84" s="9">
        <v>6</v>
      </c>
    </row>
    <row r="85" spans="2:24" x14ac:dyDescent="0.25">
      <c r="B85" s="5" t="s">
        <v>168</v>
      </c>
      <c r="C85" s="8" t="s">
        <v>169</v>
      </c>
      <c r="D85" s="8" t="s">
        <v>266</v>
      </c>
      <c r="E85" s="9">
        <v>72</v>
      </c>
      <c r="F85" s="9">
        <v>35</v>
      </c>
      <c r="G85" s="9">
        <v>37</v>
      </c>
      <c r="H85" s="9">
        <v>0</v>
      </c>
      <c r="I85" s="9">
        <v>1</v>
      </c>
      <c r="J85" s="9">
        <v>0</v>
      </c>
      <c r="K85" s="9">
        <v>0</v>
      </c>
      <c r="L85" s="9">
        <v>30</v>
      </c>
      <c r="M85" s="9">
        <v>0</v>
      </c>
      <c r="N85" s="9">
        <v>40</v>
      </c>
      <c r="O85" s="9">
        <f t="shared" si="2"/>
        <v>0</v>
      </c>
      <c r="P85" s="9"/>
      <c r="Q85" s="9">
        <v>2</v>
      </c>
      <c r="R85" s="9">
        <v>9</v>
      </c>
      <c r="S85" s="9">
        <v>5</v>
      </c>
      <c r="T85" s="9">
        <v>8</v>
      </c>
      <c r="U85" s="9">
        <v>13</v>
      </c>
      <c r="V85" s="9">
        <v>13</v>
      </c>
      <c r="W85" s="9">
        <v>8</v>
      </c>
      <c r="X85" s="9">
        <v>16</v>
      </c>
    </row>
    <row r="86" spans="2:24" x14ac:dyDescent="0.25">
      <c r="B86" s="5" t="s">
        <v>170</v>
      </c>
      <c r="C86" s="8" t="s">
        <v>171</v>
      </c>
      <c r="D86" s="8" t="s">
        <v>267</v>
      </c>
      <c r="E86" s="9">
        <v>370</v>
      </c>
      <c r="F86" s="9">
        <v>176</v>
      </c>
      <c r="G86" s="9">
        <v>192</v>
      </c>
      <c r="H86" s="9">
        <v>2</v>
      </c>
      <c r="I86" s="9">
        <v>26</v>
      </c>
      <c r="J86" s="9">
        <v>0</v>
      </c>
      <c r="K86" s="9">
        <v>2</v>
      </c>
      <c r="L86" s="9">
        <v>75</v>
      </c>
      <c r="M86" s="9">
        <v>1</v>
      </c>
      <c r="N86" s="9">
        <v>288</v>
      </c>
      <c r="O86" s="9">
        <f t="shared" si="2"/>
        <v>3</v>
      </c>
      <c r="P86" s="9"/>
      <c r="Q86" s="9">
        <v>17</v>
      </c>
      <c r="R86" s="9">
        <v>24</v>
      </c>
      <c r="S86" s="9">
        <v>74</v>
      </c>
      <c r="T86" s="9">
        <v>75</v>
      </c>
      <c r="U86" s="9">
        <v>61</v>
      </c>
      <c r="V86" s="9">
        <v>74</v>
      </c>
      <c r="W86" s="9">
        <v>31</v>
      </c>
      <c r="X86" s="9">
        <v>31</v>
      </c>
    </row>
    <row r="87" spans="2:24" x14ac:dyDescent="0.25">
      <c r="B87" s="5" t="s">
        <v>172</v>
      </c>
      <c r="C87" s="8" t="s">
        <v>173</v>
      </c>
      <c r="D87" s="8" t="s">
        <v>267</v>
      </c>
      <c r="E87" s="9">
        <v>286</v>
      </c>
      <c r="F87" s="9">
        <v>123</v>
      </c>
      <c r="G87" s="9">
        <v>159</v>
      </c>
      <c r="H87" s="9">
        <v>4</v>
      </c>
      <c r="I87" s="9">
        <v>5</v>
      </c>
      <c r="J87" s="9">
        <v>0</v>
      </c>
      <c r="K87" s="9">
        <v>0</v>
      </c>
      <c r="L87" s="9">
        <v>11</v>
      </c>
      <c r="M87" s="9">
        <v>0</v>
      </c>
      <c r="N87" s="9">
        <v>277</v>
      </c>
      <c r="O87" s="9">
        <f t="shared" si="2"/>
        <v>0</v>
      </c>
      <c r="P87" s="9"/>
      <c r="Q87" s="9">
        <v>0</v>
      </c>
      <c r="R87" s="9">
        <v>24</v>
      </c>
      <c r="S87" s="9">
        <v>34</v>
      </c>
      <c r="T87" s="9">
        <v>71</v>
      </c>
      <c r="U87" s="9">
        <v>47</v>
      </c>
      <c r="V87" s="9">
        <v>48</v>
      </c>
      <c r="W87" s="9">
        <v>18</v>
      </c>
      <c r="X87" s="9">
        <v>44</v>
      </c>
    </row>
    <row r="88" spans="2:24" x14ac:dyDescent="0.25">
      <c r="B88" s="5" t="s">
        <v>174</v>
      </c>
      <c r="C88" s="8" t="s">
        <v>175</v>
      </c>
      <c r="D88" s="8" t="s">
        <v>268</v>
      </c>
      <c r="E88" s="9">
        <v>179</v>
      </c>
      <c r="F88" s="9">
        <v>88</v>
      </c>
      <c r="G88" s="9">
        <v>88</v>
      </c>
      <c r="H88" s="9">
        <v>3</v>
      </c>
      <c r="I88" s="9">
        <v>9</v>
      </c>
      <c r="J88" s="9">
        <v>0</v>
      </c>
      <c r="K88" s="9">
        <v>0</v>
      </c>
      <c r="L88" s="9">
        <v>22</v>
      </c>
      <c r="M88" s="9">
        <v>0</v>
      </c>
      <c r="N88" s="9">
        <v>149</v>
      </c>
      <c r="O88" s="9">
        <f t="shared" si="2"/>
        <v>0</v>
      </c>
      <c r="P88" s="9"/>
      <c r="Q88" s="9">
        <v>10</v>
      </c>
      <c r="R88" s="9">
        <v>20</v>
      </c>
      <c r="S88" s="9">
        <v>38</v>
      </c>
      <c r="T88" s="9">
        <v>53</v>
      </c>
      <c r="U88" s="9">
        <v>28</v>
      </c>
      <c r="V88" s="9">
        <v>13</v>
      </c>
      <c r="W88" s="9">
        <v>14</v>
      </c>
      <c r="X88" s="9">
        <v>13</v>
      </c>
    </row>
    <row r="89" spans="2:24" x14ac:dyDescent="0.25">
      <c r="B89" s="5" t="s">
        <v>176</v>
      </c>
      <c r="C89" s="8" t="s">
        <v>177</v>
      </c>
      <c r="D89" s="8" t="s">
        <v>266</v>
      </c>
      <c r="E89" s="9">
        <v>321</v>
      </c>
      <c r="F89" s="9">
        <v>153</v>
      </c>
      <c r="G89" s="9">
        <v>161</v>
      </c>
      <c r="H89" s="9">
        <v>7</v>
      </c>
      <c r="I89" s="9">
        <v>11</v>
      </c>
      <c r="J89" s="9">
        <v>0</v>
      </c>
      <c r="K89" s="9">
        <v>0</v>
      </c>
      <c r="L89" s="9">
        <v>256</v>
      </c>
      <c r="M89" s="9">
        <v>2</v>
      </c>
      <c r="N89" s="9">
        <v>46</v>
      </c>
      <c r="O89" s="9">
        <f t="shared" si="2"/>
        <v>2</v>
      </c>
      <c r="P89" s="9"/>
      <c r="Q89" s="9">
        <v>23</v>
      </c>
      <c r="R89" s="9">
        <v>33</v>
      </c>
      <c r="S89" s="9">
        <v>60</v>
      </c>
      <c r="T89" s="9">
        <v>68</v>
      </c>
      <c r="U89" s="9">
        <v>40</v>
      </c>
      <c r="V89" s="9">
        <v>34</v>
      </c>
      <c r="W89" s="9">
        <v>18</v>
      </c>
      <c r="X89" s="9">
        <v>68</v>
      </c>
    </row>
    <row r="90" spans="2:24" x14ac:dyDescent="0.25">
      <c r="B90" s="5" t="s">
        <v>178</v>
      </c>
      <c r="C90" s="8" t="s">
        <v>179</v>
      </c>
      <c r="D90" s="8" t="s">
        <v>265</v>
      </c>
      <c r="E90" s="9">
        <v>614</v>
      </c>
      <c r="F90" s="9">
        <v>269</v>
      </c>
      <c r="G90" s="9">
        <v>330</v>
      </c>
      <c r="H90" s="9">
        <v>15</v>
      </c>
      <c r="I90" s="9">
        <v>19</v>
      </c>
      <c r="J90" s="9">
        <v>2</v>
      </c>
      <c r="K90" s="9">
        <v>0</v>
      </c>
      <c r="L90" s="9">
        <v>132</v>
      </c>
      <c r="M90" s="9">
        <v>5</v>
      </c>
      <c r="N90" s="9">
        <v>461</v>
      </c>
      <c r="O90" s="9">
        <f t="shared" si="2"/>
        <v>7</v>
      </c>
      <c r="P90" s="9"/>
      <c r="Q90" s="9">
        <v>55</v>
      </c>
      <c r="R90" s="9">
        <v>42</v>
      </c>
      <c r="S90" s="9">
        <v>91</v>
      </c>
      <c r="T90" s="9">
        <v>128</v>
      </c>
      <c r="U90" s="9">
        <v>79</v>
      </c>
      <c r="V90" s="9">
        <v>95</v>
      </c>
      <c r="W90" s="9">
        <v>31</v>
      </c>
      <c r="X90" s="9">
        <v>148</v>
      </c>
    </row>
    <row r="91" spans="2:24" x14ac:dyDescent="0.25">
      <c r="B91" s="5" t="s">
        <v>180</v>
      </c>
      <c r="C91" s="8" t="s">
        <v>181</v>
      </c>
      <c r="D91" s="8" t="s">
        <v>264</v>
      </c>
      <c r="E91" s="9">
        <v>1806</v>
      </c>
      <c r="F91" s="9">
        <v>884</v>
      </c>
      <c r="G91" s="9">
        <v>866</v>
      </c>
      <c r="H91" s="9">
        <v>56</v>
      </c>
      <c r="I91" s="9">
        <v>45</v>
      </c>
      <c r="J91" s="9">
        <v>1</v>
      </c>
      <c r="K91" s="9">
        <v>15</v>
      </c>
      <c r="L91" s="9">
        <v>1209</v>
      </c>
      <c r="M91" s="9">
        <v>4</v>
      </c>
      <c r="N91" s="9">
        <v>510</v>
      </c>
      <c r="O91" s="9">
        <f t="shared" si="2"/>
        <v>20</v>
      </c>
      <c r="P91" s="9"/>
      <c r="Q91" s="9">
        <v>114</v>
      </c>
      <c r="R91" s="9">
        <v>128</v>
      </c>
      <c r="S91" s="9">
        <v>348</v>
      </c>
      <c r="T91" s="9">
        <v>404</v>
      </c>
      <c r="U91" s="9">
        <v>275</v>
      </c>
      <c r="V91" s="9">
        <v>235</v>
      </c>
      <c r="W91" s="9">
        <v>106</v>
      </c>
      <c r="X91" s="9">
        <v>310</v>
      </c>
    </row>
    <row r="92" spans="2:24" x14ac:dyDescent="0.25">
      <c r="B92" s="5" t="s">
        <v>182</v>
      </c>
      <c r="C92" s="8" t="s">
        <v>183</v>
      </c>
      <c r="D92" s="8" t="s">
        <v>266</v>
      </c>
      <c r="E92" s="9">
        <v>104</v>
      </c>
      <c r="F92" s="9">
        <v>45</v>
      </c>
      <c r="G92" s="9">
        <v>57</v>
      </c>
      <c r="H92" s="9">
        <v>2</v>
      </c>
      <c r="I92" s="9">
        <v>1</v>
      </c>
      <c r="J92" s="9">
        <v>0</v>
      </c>
      <c r="K92" s="9">
        <v>3</v>
      </c>
      <c r="L92" s="9">
        <v>14</v>
      </c>
      <c r="M92" s="9">
        <v>0</v>
      </c>
      <c r="N92" s="9">
        <v>80</v>
      </c>
      <c r="O92" s="9">
        <f t="shared" si="2"/>
        <v>3</v>
      </c>
      <c r="P92" s="9"/>
      <c r="Q92" s="9">
        <v>13</v>
      </c>
      <c r="R92" s="9">
        <v>4</v>
      </c>
      <c r="S92" s="9">
        <v>18</v>
      </c>
      <c r="T92" s="9">
        <v>18</v>
      </c>
      <c r="U92" s="9">
        <v>23</v>
      </c>
      <c r="V92" s="9">
        <v>18</v>
      </c>
      <c r="W92" s="9">
        <v>3</v>
      </c>
      <c r="X92" s="9">
        <v>20</v>
      </c>
    </row>
    <row r="93" spans="2:24" x14ac:dyDescent="0.25">
      <c r="B93" s="5" t="s">
        <v>184</v>
      </c>
      <c r="C93" s="8" t="s">
        <v>185</v>
      </c>
      <c r="D93" s="8" t="s">
        <v>266</v>
      </c>
      <c r="E93" s="9">
        <v>186</v>
      </c>
      <c r="F93" s="9">
        <v>88</v>
      </c>
      <c r="G93" s="9">
        <v>94</v>
      </c>
      <c r="H93" s="9">
        <v>4</v>
      </c>
      <c r="I93" s="9">
        <v>6</v>
      </c>
      <c r="J93" s="9">
        <v>0</v>
      </c>
      <c r="K93" s="9">
        <v>0</v>
      </c>
      <c r="L93" s="9">
        <v>95</v>
      </c>
      <c r="M93" s="9">
        <v>1</v>
      </c>
      <c r="N93" s="9">
        <v>88</v>
      </c>
      <c r="O93" s="9">
        <f t="shared" si="2"/>
        <v>1</v>
      </c>
      <c r="P93" s="9"/>
      <c r="Q93" s="9">
        <v>11</v>
      </c>
      <c r="R93" s="9">
        <v>12</v>
      </c>
      <c r="S93" s="9">
        <v>33</v>
      </c>
      <c r="T93" s="9">
        <v>42</v>
      </c>
      <c r="U93" s="9">
        <v>40</v>
      </c>
      <c r="V93" s="9">
        <v>22</v>
      </c>
      <c r="W93" s="9">
        <v>16</v>
      </c>
      <c r="X93" s="9">
        <v>21</v>
      </c>
    </row>
    <row r="94" spans="2:24" x14ac:dyDescent="0.25">
      <c r="B94" s="5" t="s">
        <v>186</v>
      </c>
      <c r="C94" s="8" t="s">
        <v>187</v>
      </c>
      <c r="D94" s="8" t="s">
        <v>264</v>
      </c>
      <c r="E94" s="9">
        <v>171</v>
      </c>
      <c r="F94" s="9">
        <v>81</v>
      </c>
      <c r="G94" s="9">
        <v>90</v>
      </c>
      <c r="H94" s="9">
        <v>0</v>
      </c>
      <c r="I94" s="9">
        <v>6</v>
      </c>
      <c r="J94" s="9">
        <v>0</v>
      </c>
      <c r="K94" s="9">
        <v>3</v>
      </c>
      <c r="L94" s="9">
        <v>54</v>
      </c>
      <c r="M94" s="9">
        <v>0</v>
      </c>
      <c r="N94" s="9">
        <v>108</v>
      </c>
      <c r="O94" s="9">
        <f t="shared" si="2"/>
        <v>3</v>
      </c>
      <c r="P94" s="9"/>
      <c r="Q94" s="9">
        <v>14</v>
      </c>
      <c r="R94" s="9">
        <v>9</v>
      </c>
      <c r="S94" s="9">
        <v>30</v>
      </c>
      <c r="T94" s="9">
        <v>35</v>
      </c>
      <c r="U94" s="9">
        <v>26</v>
      </c>
      <c r="V94" s="9">
        <v>30</v>
      </c>
      <c r="W94" s="9">
        <v>14</v>
      </c>
      <c r="X94" s="9">
        <v>27</v>
      </c>
    </row>
    <row r="95" spans="2:24" x14ac:dyDescent="0.25">
      <c r="B95" s="5" t="s">
        <v>188</v>
      </c>
      <c r="C95" s="8" t="s">
        <v>189</v>
      </c>
      <c r="D95" s="8" t="s">
        <v>267</v>
      </c>
      <c r="E95" s="9">
        <v>5581</v>
      </c>
      <c r="F95" s="9">
        <v>2630</v>
      </c>
      <c r="G95" s="9">
        <v>2848</v>
      </c>
      <c r="H95" s="9">
        <v>103</v>
      </c>
      <c r="I95" s="9">
        <v>1176</v>
      </c>
      <c r="J95" s="9">
        <v>2</v>
      </c>
      <c r="K95" s="9">
        <v>124</v>
      </c>
      <c r="L95" s="9">
        <v>2026</v>
      </c>
      <c r="M95" s="9">
        <v>19</v>
      </c>
      <c r="N95" s="9">
        <v>2888</v>
      </c>
      <c r="O95" s="9">
        <f t="shared" si="2"/>
        <v>145</v>
      </c>
      <c r="P95" s="9"/>
      <c r="Q95" s="9">
        <v>852</v>
      </c>
      <c r="R95" s="9">
        <v>292</v>
      </c>
      <c r="S95" s="9">
        <v>778</v>
      </c>
      <c r="T95" s="9">
        <v>1086</v>
      </c>
      <c r="U95" s="9">
        <v>1032</v>
      </c>
      <c r="V95" s="9">
        <v>920</v>
      </c>
      <c r="W95" s="9">
        <v>399</v>
      </c>
      <c r="X95" s="9">
        <v>1074</v>
      </c>
    </row>
    <row r="96" spans="2:24" x14ac:dyDescent="0.25">
      <c r="B96" s="5" t="s">
        <v>190</v>
      </c>
      <c r="C96" s="8" t="s">
        <v>191</v>
      </c>
      <c r="D96" s="8" t="s">
        <v>268</v>
      </c>
      <c r="E96" s="9">
        <v>1051</v>
      </c>
      <c r="F96" s="9">
        <v>495</v>
      </c>
      <c r="G96" s="9">
        <v>515</v>
      </c>
      <c r="H96" s="9">
        <v>41</v>
      </c>
      <c r="I96" s="9">
        <v>20</v>
      </c>
      <c r="J96" s="9">
        <v>1</v>
      </c>
      <c r="K96" s="9">
        <v>3</v>
      </c>
      <c r="L96" s="9">
        <v>163</v>
      </c>
      <c r="M96" s="9">
        <v>1</v>
      </c>
      <c r="N96" s="9">
        <v>915</v>
      </c>
      <c r="O96" s="9">
        <f t="shared" si="2"/>
        <v>5</v>
      </c>
      <c r="P96" s="9"/>
      <c r="Q96" s="9">
        <v>69</v>
      </c>
      <c r="R96" s="9">
        <v>76</v>
      </c>
      <c r="S96" s="9">
        <v>231</v>
      </c>
      <c r="T96" s="9">
        <v>180</v>
      </c>
      <c r="U96" s="9">
        <v>169</v>
      </c>
      <c r="V96" s="9">
        <v>169</v>
      </c>
      <c r="W96" s="9">
        <v>97</v>
      </c>
      <c r="X96" s="9">
        <v>129</v>
      </c>
    </row>
    <row r="97" spans="2:24" x14ac:dyDescent="0.25">
      <c r="B97" s="5" t="s">
        <v>192</v>
      </c>
      <c r="C97" s="8" t="s">
        <v>193</v>
      </c>
      <c r="D97" s="8" t="s">
        <v>268</v>
      </c>
      <c r="E97" s="9">
        <v>230</v>
      </c>
      <c r="F97" s="9">
        <v>118</v>
      </c>
      <c r="G97" s="9">
        <v>96</v>
      </c>
      <c r="H97" s="9">
        <v>16</v>
      </c>
      <c r="I97" s="9">
        <v>4</v>
      </c>
      <c r="J97" s="9">
        <v>0</v>
      </c>
      <c r="K97" s="9">
        <v>2</v>
      </c>
      <c r="L97" s="9">
        <v>22</v>
      </c>
      <c r="M97" s="9">
        <v>0</v>
      </c>
      <c r="N97" s="9">
        <v>141</v>
      </c>
      <c r="O97" s="9">
        <f t="shared" si="2"/>
        <v>2</v>
      </c>
      <c r="P97" s="9"/>
      <c r="Q97" s="9">
        <v>71</v>
      </c>
      <c r="R97" s="9">
        <v>16</v>
      </c>
      <c r="S97" s="9">
        <v>39</v>
      </c>
      <c r="T97" s="9">
        <v>29</v>
      </c>
      <c r="U97" s="9">
        <v>23</v>
      </c>
      <c r="V97" s="9">
        <v>26</v>
      </c>
      <c r="W97" s="9">
        <v>16</v>
      </c>
      <c r="X97" s="9">
        <v>81</v>
      </c>
    </row>
    <row r="98" spans="2:24" x14ac:dyDescent="0.25">
      <c r="B98" s="5" t="s">
        <v>194</v>
      </c>
      <c r="C98" s="8" t="s">
        <v>195</v>
      </c>
      <c r="D98" s="8" t="s">
        <v>267</v>
      </c>
      <c r="E98" s="9">
        <v>36</v>
      </c>
      <c r="F98" s="9">
        <v>10</v>
      </c>
      <c r="G98" s="9">
        <v>21</v>
      </c>
      <c r="H98" s="9">
        <v>5</v>
      </c>
      <c r="I98" s="9">
        <v>0</v>
      </c>
      <c r="J98" s="9">
        <v>0</v>
      </c>
      <c r="K98" s="9">
        <v>0</v>
      </c>
      <c r="L98" s="9">
        <v>0</v>
      </c>
      <c r="M98" s="9">
        <v>0</v>
      </c>
      <c r="N98" s="9">
        <v>30</v>
      </c>
      <c r="O98" s="9">
        <f t="shared" si="2"/>
        <v>0</v>
      </c>
      <c r="P98" s="9"/>
      <c r="Q98" s="9">
        <v>6</v>
      </c>
      <c r="R98" s="9">
        <v>7</v>
      </c>
      <c r="S98" s="9">
        <v>5</v>
      </c>
      <c r="T98" s="9">
        <v>8</v>
      </c>
      <c r="U98" s="9">
        <v>0</v>
      </c>
      <c r="V98" s="9">
        <v>3</v>
      </c>
      <c r="W98" s="9">
        <v>2</v>
      </c>
      <c r="X98" s="9">
        <v>11</v>
      </c>
    </row>
    <row r="99" spans="2:24" x14ac:dyDescent="0.25">
      <c r="B99" s="5" t="s">
        <v>196</v>
      </c>
      <c r="C99" s="8" t="s">
        <v>197</v>
      </c>
      <c r="D99" s="8" t="s">
        <v>266</v>
      </c>
      <c r="E99" s="9">
        <v>3661</v>
      </c>
      <c r="F99" s="9">
        <v>1751</v>
      </c>
      <c r="G99" s="9">
        <v>1786</v>
      </c>
      <c r="H99" s="9">
        <v>124</v>
      </c>
      <c r="I99" s="9">
        <v>144</v>
      </c>
      <c r="J99" s="9">
        <v>0</v>
      </c>
      <c r="K99" s="9">
        <v>35</v>
      </c>
      <c r="L99" s="9">
        <v>3106</v>
      </c>
      <c r="M99" s="9">
        <v>4</v>
      </c>
      <c r="N99" s="9">
        <v>519</v>
      </c>
      <c r="O99" s="9">
        <f t="shared" si="2"/>
        <v>39</v>
      </c>
      <c r="P99" s="9"/>
      <c r="Q99" s="9">
        <v>123</v>
      </c>
      <c r="R99" s="9">
        <v>308</v>
      </c>
      <c r="S99" s="9">
        <v>644</v>
      </c>
      <c r="T99" s="9">
        <v>795</v>
      </c>
      <c r="U99" s="9">
        <v>642</v>
      </c>
      <c r="V99" s="9">
        <v>490</v>
      </c>
      <c r="W99" s="9">
        <v>273</v>
      </c>
      <c r="X99" s="9">
        <v>509</v>
      </c>
    </row>
    <row r="100" spans="2:24" x14ac:dyDescent="0.25">
      <c r="B100" s="5" t="s">
        <v>198</v>
      </c>
      <c r="C100" s="8" t="s">
        <v>272</v>
      </c>
      <c r="D100" s="8" t="s">
        <v>266</v>
      </c>
      <c r="E100" s="9">
        <v>42</v>
      </c>
      <c r="F100" s="9">
        <v>25</v>
      </c>
      <c r="G100" s="9">
        <v>17</v>
      </c>
      <c r="H100" s="9">
        <v>0</v>
      </c>
      <c r="I100" s="9">
        <v>6</v>
      </c>
      <c r="J100" s="9">
        <v>0</v>
      </c>
      <c r="K100" s="9">
        <v>0</v>
      </c>
      <c r="L100" s="9">
        <v>16</v>
      </c>
      <c r="M100" s="9">
        <v>0</v>
      </c>
      <c r="N100" s="9">
        <v>23</v>
      </c>
      <c r="O100" s="9">
        <f t="shared" si="2"/>
        <v>0</v>
      </c>
      <c r="P100" s="9"/>
      <c r="Q100" s="9">
        <v>3</v>
      </c>
      <c r="R100" s="9">
        <v>7</v>
      </c>
      <c r="S100" s="9">
        <v>7</v>
      </c>
      <c r="T100" s="9">
        <v>7</v>
      </c>
      <c r="U100" s="9">
        <v>3</v>
      </c>
      <c r="V100" s="9">
        <v>6</v>
      </c>
      <c r="W100" s="9">
        <v>3</v>
      </c>
      <c r="X100" s="9">
        <v>9</v>
      </c>
    </row>
    <row r="101" spans="2:24" x14ac:dyDescent="0.25">
      <c r="B101" s="5" t="s">
        <v>200</v>
      </c>
      <c r="C101" s="8" t="s">
        <v>201</v>
      </c>
      <c r="D101" s="8" t="s">
        <v>265</v>
      </c>
      <c r="E101" s="9">
        <v>1888</v>
      </c>
      <c r="F101" s="9">
        <v>954</v>
      </c>
      <c r="G101" s="9">
        <v>907</v>
      </c>
      <c r="H101" s="9">
        <v>27</v>
      </c>
      <c r="I101" s="9">
        <v>120</v>
      </c>
      <c r="J101" s="9">
        <v>0</v>
      </c>
      <c r="K101" s="9">
        <v>12</v>
      </c>
      <c r="L101" s="9">
        <v>814</v>
      </c>
      <c r="M101" s="9">
        <v>25</v>
      </c>
      <c r="N101" s="9">
        <v>1129</v>
      </c>
      <c r="O101" s="9">
        <f t="shared" si="2"/>
        <v>37</v>
      </c>
      <c r="P101" s="9"/>
      <c r="Q101" s="9">
        <v>70</v>
      </c>
      <c r="R101" s="9">
        <v>208</v>
      </c>
      <c r="S101" s="9">
        <v>369</v>
      </c>
      <c r="T101" s="9">
        <v>378</v>
      </c>
      <c r="U101" s="9">
        <v>309</v>
      </c>
      <c r="V101" s="9">
        <v>309</v>
      </c>
      <c r="W101" s="9">
        <v>112</v>
      </c>
      <c r="X101" s="9">
        <v>203</v>
      </c>
    </row>
    <row r="102" spans="2:24" x14ac:dyDescent="0.25">
      <c r="B102" s="5" t="s">
        <v>202</v>
      </c>
      <c r="C102" s="1" t="s">
        <v>301</v>
      </c>
      <c r="D102" s="8" t="s">
        <v>265</v>
      </c>
      <c r="E102" s="10">
        <v>1285</v>
      </c>
      <c r="F102" s="10">
        <v>622</v>
      </c>
      <c r="G102" s="10">
        <v>638</v>
      </c>
      <c r="H102" s="10">
        <v>25</v>
      </c>
      <c r="I102" s="10">
        <v>41</v>
      </c>
      <c r="J102" s="10">
        <v>2</v>
      </c>
      <c r="K102" s="10">
        <v>8</v>
      </c>
      <c r="L102" s="10">
        <v>189</v>
      </c>
      <c r="M102" s="10">
        <v>1</v>
      </c>
      <c r="N102" s="10">
        <v>1071</v>
      </c>
      <c r="O102" s="9">
        <f t="shared" si="2"/>
        <v>11</v>
      </c>
      <c r="P102" s="10">
        <v>0</v>
      </c>
      <c r="Q102" s="10">
        <v>75</v>
      </c>
      <c r="R102" s="10">
        <v>84</v>
      </c>
      <c r="S102" s="10">
        <v>183</v>
      </c>
      <c r="T102" s="10">
        <v>230</v>
      </c>
      <c r="U102" s="10">
        <v>251</v>
      </c>
      <c r="V102" s="10">
        <v>204</v>
      </c>
      <c r="W102" s="10">
        <v>107</v>
      </c>
      <c r="X102" s="10">
        <v>226</v>
      </c>
    </row>
    <row r="103" spans="2:24" ht="31.5" x14ac:dyDescent="0.25">
      <c r="B103" s="5" t="s">
        <v>204</v>
      </c>
      <c r="C103" s="1" t="s">
        <v>293</v>
      </c>
      <c r="D103" s="8" t="s">
        <v>265</v>
      </c>
      <c r="E103" s="10">
        <v>312</v>
      </c>
      <c r="F103" s="10">
        <v>151</v>
      </c>
      <c r="G103" s="10">
        <v>158</v>
      </c>
      <c r="H103" s="10">
        <v>3</v>
      </c>
      <c r="I103" s="10">
        <v>14</v>
      </c>
      <c r="J103" s="10">
        <v>0</v>
      </c>
      <c r="K103" s="10">
        <v>0</v>
      </c>
      <c r="L103" s="10">
        <v>33</v>
      </c>
      <c r="M103" s="10">
        <v>0</v>
      </c>
      <c r="N103" s="10">
        <v>287</v>
      </c>
      <c r="O103" s="9">
        <f t="shared" si="2"/>
        <v>0</v>
      </c>
      <c r="P103" s="10">
        <v>0</v>
      </c>
      <c r="Q103" s="10">
        <v>10</v>
      </c>
      <c r="R103" s="10">
        <v>25</v>
      </c>
      <c r="S103" s="10">
        <v>51</v>
      </c>
      <c r="T103" s="10">
        <v>80</v>
      </c>
      <c r="U103" s="10">
        <v>59</v>
      </c>
      <c r="V103" s="10">
        <v>39</v>
      </c>
      <c r="W103" s="10">
        <v>13</v>
      </c>
      <c r="X103" s="10">
        <v>45</v>
      </c>
    </row>
    <row r="104" spans="2:24" ht="31.5" x14ac:dyDescent="0.25">
      <c r="B104" s="5" t="s">
        <v>206</v>
      </c>
      <c r="C104" s="1" t="s">
        <v>294</v>
      </c>
      <c r="D104" s="8" t="s">
        <v>267</v>
      </c>
      <c r="E104" s="10">
        <v>2388</v>
      </c>
      <c r="F104" s="10">
        <v>1152</v>
      </c>
      <c r="G104" s="10">
        <v>1167</v>
      </c>
      <c r="H104" s="10">
        <v>69</v>
      </c>
      <c r="I104" s="10">
        <v>357</v>
      </c>
      <c r="J104" s="10">
        <v>0</v>
      </c>
      <c r="K104" s="10">
        <v>17</v>
      </c>
      <c r="L104" s="10">
        <v>160</v>
      </c>
      <c r="M104" s="10">
        <v>2</v>
      </c>
      <c r="N104" s="10">
        <v>2239</v>
      </c>
      <c r="O104" s="9">
        <f t="shared" si="2"/>
        <v>19</v>
      </c>
      <c r="P104" s="10">
        <v>0</v>
      </c>
      <c r="Q104" s="10">
        <v>22</v>
      </c>
      <c r="R104" s="10">
        <v>105</v>
      </c>
      <c r="S104" s="10">
        <v>265</v>
      </c>
      <c r="T104" s="10">
        <v>473</v>
      </c>
      <c r="U104" s="10">
        <v>369</v>
      </c>
      <c r="V104" s="10">
        <v>333</v>
      </c>
      <c r="W104" s="10">
        <v>129</v>
      </c>
      <c r="X104" s="10">
        <v>714</v>
      </c>
    </row>
    <row r="105" spans="2:24" x14ac:dyDescent="0.25">
      <c r="B105" s="5" t="s">
        <v>208</v>
      </c>
      <c r="C105" s="8" t="s">
        <v>209</v>
      </c>
      <c r="D105" s="8" t="s">
        <v>268</v>
      </c>
      <c r="E105" s="9">
        <v>451</v>
      </c>
      <c r="F105" s="9">
        <v>243</v>
      </c>
      <c r="G105" s="9">
        <v>207</v>
      </c>
      <c r="H105" s="9">
        <v>1</v>
      </c>
      <c r="I105" s="9">
        <v>9</v>
      </c>
      <c r="J105" s="9">
        <v>0</v>
      </c>
      <c r="K105" s="9">
        <v>2</v>
      </c>
      <c r="L105" s="9">
        <v>9</v>
      </c>
      <c r="M105" s="9">
        <v>0</v>
      </c>
      <c r="N105" s="9">
        <v>437</v>
      </c>
      <c r="O105" s="9">
        <f t="shared" si="2"/>
        <v>2</v>
      </c>
      <c r="P105" s="9"/>
      <c r="Q105" s="9">
        <v>3</v>
      </c>
      <c r="R105" s="9">
        <v>40</v>
      </c>
      <c r="S105" s="9">
        <v>95</v>
      </c>
      <c r="T105" s="9">
        <v>120</v>
      </c>
      <c r="U105" s="9">
        <v>98</v>
      </c>
      <c r="V105" s="9">
        <v>41</v>
      </c>
      <c r="W105" s="9">
        <v>25</v>
      </c>
      <c r="X105" s="9">
        <v>32</v>
      </c>
    </row>
    <row r="106" spans="2:24" x14ac:dyDescent="0.25">
      <c r="B106" s="5" t="s">
        <v>210</v>
      </c>
      <c r="C106" s="8" t="s">
        <v>211</v>
      </c>
      <c r="D106" s="8" t="s">
        <v>268</v>
      </c>
      <c r="E106" s="9">
        <v>319</v>
      </c>
      <c r="F106" s="9">
        <v>153</v>
      </c>
      <c r="G106" s="9">
        <v>166</v>
      </c>
      <c r="H106" s="9">
        <v>0</v>
      </c>
      <c r="I106" s="9">
        <v>2</v>
      </c>
      <c r="J106" s="9">
        <v>0</v>
      </c>
      <c r="K106" s="9">
        <v>0</v>
      </c>
      <c r="L106" s="9">
        <v>6</v>
      </c>
      <c r="M106" s="9">
        <v>1</v>
      </c>
      <c r="N106" s="9">
        <v>313</v>
      </c>
      <c r="O106" s="9">
        <f t="shared" si="2"/>
        <v>1</v>
      </c>
      <c r="P106" s="9"/>
      <c r="Q106" s="9">
        <v>3</v>
      </c>
      <c r="R106" s="9">
        <v>30</v>
      </c>
      <c r="S106" s="9">
        <v>70</v>
      </c>
      <c r="T106" s="9">
        <v>78</v>
      </c>
      <c r="U106" s="9">
        <v>57</v>
      </c>
      <c r="V106" s="9">
        <v>49</v>
      </c>
      <c r="W106" s="9">
        <v>13</v>
      </c>
      <c r="X106" s="9">
        <v>22</v>
      </c>
    </row>
    <row r="107" spans="2:24" x14ac:dyDescent="0.25">
      <c r="B107" s="5" t="s">
        <v>212</v>
      </c>
      <c r="C107" s="8" t="s">
        <v>213</v>
      </c>
      <c r="D107" s="8" t="s">
        <v>267</v>
      </c>
      <c r="E107" s="9">
        <v>675</v>
      </c>
      <c r="F107" s="9">
        <v>340</v>
      </c>
      <c r="G107" s="9">
        <v>324</v>
      </c>
      <c r="H107" s="9">
        <v>11</v>
      </c>
      <c r="I107" s="9">
        <v>65</v>
      </c>
      <c r="J107" s="9">
        <v>0</v>
      </c>
      <c r="K107" s="9">
        <v>1</v>
      </c>
      <c r="L107" s="9">
        <v>15</v>
      </c>
      <c r="M107" s="9">
        <v>0</v>
      </c>
      <c r="N107" s="9">
        <v>661</v>
      </c>
      <c r="O107" s="9">
        <f t="shared" si="2"/>
        <v>1</v>
      </c>
      <c r="P107" s="9"/>
      <c r="Q107" s="9">
        <v>8</v>
      </c>
      <c r="R107" s="9">
        <v>36</v>
      </c>
      <c r="S107" s="9">
        <v>128</v>
      </c>
      <c r="T107" s="9">
        <v>153</v>
      </c>
      <c r="U107" s="9">
        <v>97</v>
      </c>
      <c r="V107" s="9">
        <v>85</v>
      </c>
      <c r="W107" s="9">
        <v>43</v>
      </c>
      <c r="X107" s="9">
        <v>133</v>
      </c>
    </row>
    <row r="108" spans="2:24" x14ac:dyDescent="0.25">
      <c r="B108" s="5" t="s">
        <v>214</v>
      </c>
      <c r="C108" s="8" t="s">
        <v>215</v>
      </c>
      <c r="D108" s="8" t="s">
        <v>268</v>
      </c>
      <c r="E108" s="9">
        <v>904</v>
      </c>
      <c r="F108" s="9">
        <v>458</v>
      </c>
      <c r="G108" s="9">
        <v>437</v>
      </c>
      <c r="H108" s="9">
        <v>9</v>
      </c>
      <c r="I108" s="9">
        <v>15</v>
      </c>
      <c r="J108" s="9">
        <v>0</v>
      </c>
      <c r="K108" s="9">
        <v>0</v>
      </c>
      <c r="L108" s="9">
        <v>25</v>
      </c>
      <c r="M108" s="9">
        <v>1</v>
      </c>
      <c r="N108" s="9">
        <v>872</v>
      </c>
      <c r="O108" s="9">
        <f t="shared" si="2"/>
        <v>1</v>
      </c>
      <c r="P108" s="9"/>
      <c r="Q108" s="9">
        <v>15</v>
      </c>
      <c r="R108" s="9">
        <v>66</v>
      </c>
      <c r="S108" s="9">
        <v>154</v>
      </c>
      <c r="T108" s="9">
        <v>182</v>
      </c>
      <c r="U108" s="9">
        <v>139</v>
      </c>
      <c r="V108" s="9">
        <v>104</v>
      </c>
      <c r="W108" s="9">
        <v>40</v>
      </c>
      <c r="X108" s="9">
        <v>219</v>
      </c>
    </row>
    <row r="109" spans="2:24" x14ac:dyDescent="0.25">
      <c r="B109" s="5" t="s">
        <v>216</v>
      </c>
      <c r="C109" s="8" t="s">
        <v>217</v>
      </c>
      <c r="D109" s="8" t="s">
        <v>264</v>
      </c>
      <c r="E109" s="9">
        <v>108</v>
      </c>
      <c r="F109" s="9">
        <v>53</v>
      </c>
      <c r="G109" s="9">
        <v>55</v>
      </c>
      <c r="H109" s="9">
        <v>0</v>
      </c>
      <c r="I109" s="9">
        <v>3</v>
      </c>
      <c r="J109" s="9">
        <v>1</v>
      </c>
      <c r="K109" s="9">
        <v>0</v>
      </c>
      <c r="L109" s="9">
        <v>65</v>
      </c>
      <c r="M109" s="9">
        <v>0</v>
      </c>
      <c r="N109" s="9">
        <v>37</v>
      </c>
      <c r="O109" s="9">
        <f t="shared" si="2"/>
        <v>1</v>
      </c>
      <c r="P109" s="9"/>
      <c r="Q109" s="9">
        <v>8</v>
      </c>
      <c r="R109" s="9">
        <v>11</v>
      </c>
      <c r="S109" s="9">
        <v>23</v>
      </c>
      <c r="T109" s="9">
        <v>30</v>
      </c>
      <c r="U109" s="9">
        <v>18</v>
      </c>
      <c r="V109" s="9">
        <v>14</v>
      </c>
      <c r="W109" s="9">
        <v>9</v>
      </c>
      <c r="X109" s="9">
        <v>3</v>
      </c>
    </row>
    <row r="110" spans="2:24" x14ac:dyDescent="0.25">
      <c r="B110" s="5" t="s">
        <v>218</v>
      </c>
      <c r="C110" s="8" t="s">
        <v>219</v>
      </c>
      <c r="D110" s="8" t="s">
        <v>267</v>
      </c>
      <c r="E110" s="9">
        <v>1326</v>
      </c>
      <c r="F110" s="9">
        <v>618</v>
      </c>
      <c r="G110" s="9">
        <v>681</v>
      </c>
      <c r="H110" s="9">
        <v>27</v>
      </c>
      <c r="I110" s="9">
        <v>31</v>
      </c>
      <c r="J110" s="9">
        <v>0</v>
      </c>
      <c r="K110" s="9">
        <v>2</v>
      </c>
      <c r="L110" s="9">
        <v>155</v>
      </c>
      <c r="M110" s="9">
        <v>1</v>
      </c>
      <c r="N110" s="9">
        <v>481</v>
      </c>
      <c r="O110" s="9">
        <f t="shared" si="2"/>
        <v>3</v>
      </c>
      <c r="P110" s="9"/>
      <c r="Q110" s="9">
        <v>721</v>
      </c>
      <c r="R110" s="9">
        <v>83</v>
      </c>
      <c r="S110" s="9">
        <v>193</v>
      </c>
      <c r="T110" s="9">
        <v>226</v>
      </c>
      <c r="U110" s="9">
        <v>243</v>
      </c>
      <c r="V110" s="9">
        <v>223</v>
      </c>
      <c r="W110" s="9">
        <v>98</v>
      </c>
      <c r="X110" s="9">
        <v>260</v>
      </c>
    </row>
    <row r="111" spans="2:24" x14ac:dyDescent="0.25">
      <c r="B111" s="5" t="s">
        <v>220</v>
      </c>
      <c r="C111" s="8" t="s">
        <v>221</v>
      </c>
      <c r="D111" s="8" t="s">
        <v>267</v>
      </c>
      <c r="E111" s="9">
        <v>475</v>
      </c>
      <c r="F111" s="9">
        <v>234</v>
      </c>
      <c r="G111" s="9">
        <v>237</v>
      </c>
      <c r="H111" s="9">
        <v>4</v>
      </c>
      <c r="I111" s="9">
        <v>48</v>
      </c>
      <c r="J111" s="9">
        <v>1</v>
      </c>
      <c r="K111" s="9">
        <v>10</v>
      </c>
      <c r="L111" s="9">
        <v>149</v>
      </c>
      <c r="M111" s="9">
        <v>1</v>
      </c>
      <c r="N111" s="9">
        <v>321</v>
      </c>
      <c r="O111" s="9">
        <f t="shared" si="2"/>
        <v>12</v>
      </c>
      <c r="P111" s="9"/>
      <c r="Q111" s="9">
        <v>18</v>
      </c>
      <c r="R111" s="9">
        <v>41</v>
      </c>
      <c r="S111" s="9">
        <v>69</v>
      </c>
      <c r="T111" s="9">
        <v>103</v>
      </c>
      <c r="U111" s="9">
        <v>59</v>
      </c>
      <c r="V111" s="9">
        <v>68</v>
      </c>
      <c r="W111" s="9">
        <v>30</v>
      </c>
      <c r="X111" s="9">
        <v>105</v>
      </c>
    </row>
    <row r="112" spans="2:24" x14ac:dyDescent="0.25">
      <c r="B112" s="5" t="s">
        <v>222</v>
      </c>
      <c r="C112" s="8" t="s">
        <v>223</v>
      </c>
      <c r="D112" s="8" t="s">
        <v>264</v>
      </c>
      <c r="E112" s="9">
        <v>961</v>
      </c>
      <c r="F112" s="9">
        <v>438</v>
      </c>
      <c r="G112" s="9">
        <v>481</v>
      </c>
      <c r="H112" s="9">
        <v>42</v>
      </c>
      <c r="I112" s="9">
        <v>20</v>
      </c>
      <c r="J112" s="9">
        <v>0</v>
      </c>
      <c r="K112" s="9">
        <v>7</v>
      </c>
      <c r="L112" s="9">
        <v>590</v>
      </c>
      <c r="M112" s="9">
        <v>1</v>
      </c>
      <c r="N112" s="9">
        <v>324</v>
      </c>
      <c r="O112" s="9">
        <f t="shared" si="2"/>
        <v>8</v>
      </c>
      <c r="P112" s="9"/>
      <c r="Q112" s="9">
        <v>70</v>
      </c>
      <c r="R112" s="9">
        <v>53</v>
      </c>
      <c r="S112" s="9">
        <v>103</v>
      </c>
      <c r="T112" s="9">
        <v>168</v>
      </c>
      <c r="U112" s="9">
        <v>127</v>
      </c>
      <c r="V112" s="9">
        <v>149</v>
      </c>
      <c r="W112" s="9">
        <v>51</v>
      </c>
      <c r="X112" s="9">
        <v>310</v>
      </c>
    </row>
    <row r="113" spans="2:24" x14ac:dyDescent="0.25">
      <c r="B113" s="5" t="s">
        <v>224</v>
      </c>
      <c r="C113" s="8" t="s">
        <v>225</v>
      </c>
      <c r="D113" s="8" t="s">
        <v>264</v>
      </c>
      <c r="E113" s="9">
        <v>46</v>
      </c>
      <c r="F113" s="9">
        <v>17</v>
      </c>
      <c r="G113" s="9">
        <v>29</v>
      </c>
      <c r="H113" s="9">
        <v>0</v>
      </c>
      <c r="I113" s="9">
        <v>0</v>
      </c>
      <c r="J113" s="9">
        <v>0</v>
      </c>
      <c r="K113" s="9">
        <v>0</v>
      </c>
      <c r="L113" s="9">
        <v>19</v>
      </c>
      <c r="M113" s="9">
        <v>0</v>
      </c>
      <c r="N113" s="9">
        <v>26</v>
      </c>
      <c r="O113" s="9">
        <f t="shared" si="2"/>
        <v>0</v>
      </c>
      <c r="P113" s="9"/>
      <c r="Q113" s="9">
        <v>1</v>
      </c>
      <c r="R113" s="9">
        <v>1</v>
      </c>
      <c r="S113" s="9">
        <v>6</v>
      </c>
      <c r="T113" s="9">
        <v>5</v>
      </c>
      <c r="U113" s="9">
        <v>10</v>
      </c>
      <c r="V113" s="9">
        <v>9</v>
      </c>
      <c r="W113" s="9">
        <v>4</v>
      </c>
      <c r="X113" s="9">
        <v>11</v>
      </c>
    </row>
    <row r="114" spans="2:24" x14ac:dyDescent="0.25">
      <c r="B114" s="5" t="s">
        <v>226</v>
      </c>
      <c r="C114" s="8" t="s">
        <v>227</v>
      </c>
      <c r="D114" s="8" t="s">
        <v>264</v>
      </c>
      <c r="E114" s="9">
        <v>79</v>
      </c>
      <c r="F114" s="9">
        <v>40</v>
      </c>
      <c r="G114" s="9">
        <v>39</v>
      </c>
      <c r="H114" s="9">
        <v>0</v>
      </c>
      <c r="I114" s="9">
        <v>2</v>
      </c>
      <c r="J114" s="9">
        <v>0</v>
      </c>
      <c r="K114" s="9">
        <v>0</v>
      </c>
      <c r="L114" s="9">
        <v>42</v>
      </c>
      <c r="M114" s="9">
        <v>0</v>
      </c>
      <c r="N114" s="9">
        <v>32</v>
      </c>
      <c r="O114" s="9">
        <f t="shared" si="2"/>
        <v>0</v>
      </c>
      <c r="P114" s="9"/>
      <c r="Q114" s="9">
        <v>8</v>
      </c>
      <c r="R114" s="9">
        <v>12</v>
      </c>
      <c r="S114" s="9">
        <v>11</v>
      </c>
      <c r="T114" s="9">
        <v>16</v>
      </c>
      <c r="U114" s="9">
        <v>11</v>
      </c>
      <c r="V114" s="9">
        <v>19</v>
      </c>
      <c r="W114" s="9">
        <v>4</v>
      </c>
      <c r="X114" s="9">
        <v>6</v>
      </c>
    </row>
    <row r="115" spans="2:24" x14ac:dyDescent="0.25">
      <c r="B115" s="5" t="s">
        <v>228</v>
      </c>
      <c r="C115" s="8" t="s">
        <v>229</v>
      </c>
      <c r="D115" s="8" t="s">
        <v>268</v>
      </c>
      <c r="E115" s="9">
        <v>622</v>
      </c>
      <c r="F115" s="9">
        <v>304</v>
      </c>
      <c r="G115" s="9">
        <v>317</v>
      </c>
      <c r="H115" s="9">
        <v>1</v>
      </c>
      <c r="I115" s="9">
        <v>4</v>
      </c>
      <c r="J115" s="9">
        <v>0</v>
      </c>
      <c r="K115" s="9">
        <v>1</v>
      </c>
      <c r="L115" s="9">
        <v>22</v>
      </c>
      <c r="M115" s="9">
        <v>0</v>
      </c>
      <c r="N115" s="9">
        <v>602</v>
      </c>
      <c r="O115" s="9">
        <f t="shared" si="2"/>
        <v>1</v>
      </c>
      <c r="P115" s="9"/>
      <c r="Q115" s="9">
        <v>2</v>
      </c>
      <c r="R115" s="9">
        <v>52</v>
      </c>
      <c r="S115" s="9">
        <v>124</v>
      </c>
      <c r="T115" s="9">
        <v>167</v>
      </c>
      <c r="U115" s="9">
        <v>108</v>
      </c>
      <c r="V115" s="9">
        <v>89</v>
      </c>
      <c r="W115" s="9">
        <v>35</v>
      </c>
      <c r="X115" s="9">
        <v>47</v>
      </c>
    </row>
    <row r="116" spans="2:24" x14ac:dyDescent="0.25">
      <c r="B116" s="5" t="s">
        <v>230</v>
      </c>
      <c r="C116" s="8" t="s">
        <v>231</v>
      </c>
      <c r="D116" s="8" t="s">
        <v>264</v>
      </c>
      <c r="E116" s="9">
        <v>5244</v>
      </c>
      <c r="F116" s="9">
        <v>2568</v>
      </c>
      <c r="G116" s="9">
        <v>2586</v>
      </c>
      <c r="H116" s="9">
        <v>90</v>
      </c>
      <c r="I116" s="9">
        <v>446</v>
      </c>
      <c r="J116" s="9">
        <v>12</v>
      </c>
      <c r="K116" s="9">
        <v>77</v>
      </c>
      <c r="L116" s="9">
        <v>1724</v>
      </c>
      <c r="M116" s="9">
        <v>43</v>
      </c>
      <c r="N116" s="9">
        <v>2958</v>
      </c>
      <c r="O116" s="9">
        <f t="shared" si="2"/>
        <v>132</v>
      </c>
      <c r="P116" s="9"/>
      <c r="Q116" s="9">
        <v>689</v>
      </c>
      <c r="R116" s="9">
        <v>290</v>
      </c>
      <c r="S116" s="9">
        <v>820</v>
      </c>
      <c r="T116" s="9">
        <v>1075</v>
      </c>
      <c r="U116" s="9">
        <v>970</v>
      </c>
      <c r="V116" s="9">
        <v>864</v>
      </c>
      <c r="W116" s="9">
        <v>462</v>
      </c>
      <c r="X116" s="9">
        <v>763</v>
      </c>
    </row>
    <row r="117" spans="2:24" x14ac:dyDescent="0.25">
      <c r="B117" s="5" t="s">
        <v>232</v>
      </c>
      <c r="C117" s="8" t="s">
        <v>233</v>
      </c>
      <c r="D117" s="8" t="s">
        <v>267</v>
      </c>
      <c r="E117" s="9">
        <v>944</v>
      </c>
      <c r="F117" s="9">
        <v>458</v>
      </c>
      <c r="G117" s="9">
        <v>479</v>
      </c>
      <c r="H117" s="9">
        <v>7</v>
      </c>
      <c r="I117" s="9">
        <v>78</v>
      </c>
      <c r="J117" s="9">
        <v>2</v>
      </c>
      <c r="K117" s="9">
        <v>1</v>
      </c>
      <c r="L117" s="9">
        <v>110</v>
      </c>
      <c r="M117" s="9">
        <v>4</v>
      </c>
      <c r="N117" s="9">
        <v>903</v>
      </c>
      <c r="O117" s="9">
        <f t="shared" si="2"/>
        <v>7</v>
      </c>
      <c r="P117" s="9"/>
      <c r="Q117" s="9">
        <v>16</v>
      </c>
      <c r="R117" s="9">
        <v>73</v>
      </c>
      <c r="S117" s="9">
        <v>199</v>
      </c>
      <c r="T117" s="9">
        <v>213</v>
      </c>
      <c r="U117" s="9">
        <v>171</v>
      </c>
      <c r="V117" s="9">
        <v>141</v>
      </c>
      <c r="W117" s="9">
        <v>45</v>
      </c>
      <c r="X117" s="9">
        <v>102</v>
      </c>
    </row>
    <row r="118" spans="2:24" x14ac:dyDescent="0.25">
      <c r="B118" s="5" t="s">
        <v>234</v>
      </c>
      <c r="C118" s="8" t="s">
        <v>235</v>
      </c>
      <c r="D118" s="8" t="s">
        <v>268</v>
      </c>
      <c r="E118" s="9">
        <v>529</v>
      </c>
      <c r="F118" s="9">
        <v>253</v>
      </c>
      <c r="G118" s="9">
        <v>271</v>
      </c>
      <c r="H118" s="9">
        <v>5</v>
      </c>
      <c r="I118" s="9">
        <v>3</v>
      </c>
      <c r="J118" s="9">
        <v>0</v>
      </c>
      <c r="K118" s="9">
        <v>0</v>
      </c>
      <c r="L118" s="9">
        <v>15</v>
      </c>
      <c r="M118" s="9">
        <v>0</v>
      </c>
      <c r="N118" s="9">
        <v>508</v>
      </c>
      <c r="O118" s="9">
        <f t="shared" si="2"/>
        <v>0</v>
      </c>
      <c r="P118" s="9"/>
      <c r="Q118" s="9">
        <v>11</v>
      </c>
      <c r="R118" s="9">
        <v>39</v>
      </c>
      <c r="S118" s="9">
        <v>87</v>
      </c>
      <c r="T118" s="9">
        <v>112</v>
      </c>
      <c r="U118" s="9">
        <v>75</v>
      </c>
      <c r="V118" s="9">
        <v>72</v>
      </c>
      <c r="W118" s="9">
        <v>28</v>
      </c>
      <c r="X118" s="9">
        <v>116</v>
      </c>
    </row>
    <row r="119" spans="2:24" x14ac:dyDescent="0.25">
      <c r="B119" s="5" t="s">
        <v>236</v>
      </c>
      <c r="C119" s="8" t="s">
        <v>237</v>
      </c>
      <c r="D119" s="8" t="s">
        <v>266</v>
      </c>
      <c r="E119" s="9">
        <v>158</v>
      </c>
      <c r="F119" s="9">
        <v>72</v>
      </c>
      <c r="G119" s="9">
        <v>85</v>
      </c>
      <c r="H119" s="9">
        <v>1</v>
      </c>
      <c r="I119" s="9">
        <v>4</v>
      </c>
      <c r="J119" s="9">
        <v>0</v>
      </c>
      <c r="K119" s="9">
        <v>0</v>
      </c>
      <c r="L119" s="9">
        <v>48</v>
      </c>
      <c r="M119" s="9">
        <v>0</v>
      </c>
      <c r="N119" s="9">
        <v>58</v>
      </c>
      <c r="O119" s="9">
        <f t="shared" si="2"/>
        <v>0</v>
      </c>
      <c r="P119" s="9"/>
      <c r="Q119" s="9">
        <v>53</v>
      </c>
      <c r="R119" s="9">
        <v>12</v>
      </c>
      <c r="S119" s="9">
        <v>26</v>
      </c>
      <c r="T119" s="9">
        <v>34</v>
      </c>
      <c r="U119" s="9">
        <v>17</v>
      </c>
      <c r="V119" s="9">
        <v>23</v>
      </c>
      <c r="W119" s="9">
        <v>9</v>
      </c>
      <c r="X119" s="9">
        <v>37</v>
      </c>
    </row>
    <row r="120" spans="2:24" x14ac:dyDescent="0.25">
      <c r="B120" s="5" t="s">
        <v>238</v>
      </c>
      <c r="C120" s="8" t="s">
        <v>239</v>
      </c>
      <c r="D120" s="8" t="s">
        <v>264</v>
      </c>
      <c r="E120" s="9">
        <v>114</v>
      </c>
      <c r="F120" s="9">
        <v>46</v>
      </c>
      <c r="G120" s="9">
        <v>68</v>
      </c>
      <c r="H120" s="9">
        <v>0</v>
      </c>
      <c r="I120" s="9">
        <v>19</v>
      </c>
      <c r="J120" s="9">
        <v>2</v>
      </c>
      <c r="K120" s="9">
        <v>2</v>
      </c>
      <c r="L120" s="9">
        <v>43</v>
      </c>
      <c r="M120" s="9">
        <v>0</v>
      </c>
      <c r="N120" s="9">
        <v>72</v>
      </c>
      <c r="O120" s="9">
        <f t="shared" si="2"/>
        <v>4</v>
      </c>
      <c r="P120" s="9"/>
      <c r="Q120" s="9">
        <v>7</v>
      </c>
      <c r="R120" s="9">
        <v>11</v>
      </c>
      <c r="S120" s="9">
        <v>22</v>
      </c>
      <c r="T120" s="9">
        <v>25</v>
      </c>
      <c r="U120" s="9">
        <v>22</v>
      </c>
      <c r="V120" s="9">
        <v>19</v>
      </c>
      <c r="W120" s="9">
        <v>5</v>
      </c>
      <c r="X120" s="9">
        <v>10</v>
      </c>
    </row>
    <row r="121" spans="2:24" x14ac:dyDescent="0.25">
      <c r="B121" s="5" t="s">
        <v>240</v>
      </c>
      <c r="C121" s="8" t="s">
        <v>241</v>
      </c>
      <c r="D121" s="8" t="s">
        <v>267</v>
      </c>
      <c r="E121" s="9">
        <v>688</v>
      </c>
      <c r="F121" s="9">
        <v>342</v>
      </c>
      <c r="G121" s="9">
        <v>334</v>
      </c>
      <c r="H121" s="9">
        <v>12</v>
      </c>
      <c r="I121" s="9">
        <v>102</v>
      </c>
      <c r="J121" s="9">
        <v>1</v>
      </c>
      <c r="K121" s="9">
        <v>3</v>
      </c>
      <c r="L121" s="9">
        <v>195</v>
      </c>
      <c r="M121" s="9">
        <v>0</v>
      </c>
      <c r="N121" s="9">
        <v>529</v>
      </c>
      <c r="O121" s="9">
        <f t="shared" si="2"/>
        <v>4</v>
      </c>
      <c r="P121" s="9"/>
      <c r="Q121" s="9">
        <v>43</v>
      </c>
      <c r="R121" s="9">
        <v>74</v>
      </c>
      <c r="S121" s="9">
        <v>145</v>
      </c>
      <c r="T121" s="9">
        <v>157</v>
      </c>
      <c r="U121" s="9">
        <v>112</v>
      </c>
      <c r="V121" s="9">
        <v>99</v>
      </c>
      <c r="W121" s="9">
        <v>28</v>
      </c>
      <c r="X121" s="9">
        <v>73</v>
      </c>
    </row>
    <row r="122" spans="2:24" x14ac:dyDescent="0.25">
      <c r="B122" s="5" t="s">
        <v>242</v>
      </c>
      <c r="C122" s="8" t="s">
        <v>243</v>
      </c>
      <c r="D122" s="8" t="s">
        <v>268</v>
      </c>
      <c r="E122" s="9">
        <v>1359</v>
      </c>
      <c r="F122" s="9">
        <v>646</v>
      </c>
      <c r="G122" s="9">
        <v>701</v>
      </c>
      <c r="H122" s="9">
        <v>12</v>
      </c>
      <c r="I122" s="9">
        <v>5</v>
      </c>
      <c r="J122" s="9">
        <v>0</v>
      </c>
      <c r="K122" s="9">
        <v>0</v>
      </c>
      <c r="L122" s="9">
        <v>139</v>
      </c>
      <c r="M122" s="9">
        <v>2</v>
      </c>
      <c r="N122" s="9">
        <v>1282</v>
      </c>
      <c r="O122" s="9">
        <f t="shared" si="2"/>
        <v>2</v>
      </c>
      <c r="P122" s="9"/>
      <c r="Q122" s="9">
        <v>4</v>
      </c>
      <c r="R122" s="9">
        <v>133</v>
      </c>
      <c r="S122" s="9">
        <v>275</v>
      </c>
      <c r="T122" s="9">
        <v>287</v>
      </c>
      <c r="U122" s="9">
        <v>227</v>
      </c>
      <c r="V122" s="9">
        <v>205</v>
      </c>
      <c r="W122" s="9">
        <v>91</v>
      </c>
      <c r="X122" s="9">
        <v>141</v>
      </c>
    </row>
    <row r="123" spans="2:24" x14ac:dyDescent="0.25">
      <c r="B123" s="5" t="s">
        <v>244</v>
      </c>
      <c r="C123" s="8" t="s">
        <v>245</v>
      </c>
      <c r="D123" s="8" t="s">
        <v>268</v>
      </c>
      <c r="E123" s="9">
        <v>531</v>
      </c>
      <c r="F123" s="9">
        <v>278</v>
      </c>
      <c r="G123" s="9">
        <v>250</v>
      </c>
      <c r="H123" s="9">
        <v>3</v>
      </c>
      <c r="I123" s="9">
        <v>10</v>
      </c>
      <c r="J123" s="9">
        <v>0</v>
      </c>
      <c r="K123" s="9">
        <v>1</v>
      </c>
      <c r="L123" s="9">
        <v>23</v>
      </c>
      <c r="M123" s="9">
        <v>0</v>
      </c>
      <c r="N123" s="9">
        <v>508</v>
      </c>
      <c r="O123" s="9">
        <f t="shared" si="2"/>
        <v>1</v>
      </c>
      <c r="P123" s="9"/>
      <c r="Q123" s="9">
        <v>11</v>
      </c>
      <c r="R123" s="9">
        <v>34</v>
      </c>
      <c r="S123" s="9">
        <v>95</v>
      </c>
      <c r="T123" s="9">
        <v>139</v>
      </c>
      <c r="U123" s="9">
        <v>103</v>
      </c>
      <c r="V123" s="9">
        <v>82</v>
      </c>
      <c r="W123" s="9">
        <v>29</v>
      </c>
      <c r="X123" s="9">
        <v>49</v>
      </c>
    </row>
    <row r="124" spans="2:24" x14ac:dyDescent="0.25">
      <c r="B124" s="5" t="s">
        <v>246</v>
      </c>
      <c r="C124" s="1" t="s">
        <v>247</v>
      </c>
      <c r="D124" s="8" t="s">
        <v>264</v>
      </c>
      <c r="E124" s="10">
        <v>1013</v>
      </c>
      <c r="F124" s="10">
        <v>491</v>
      </c>
      <c r="G124" s="10">
        <v>494</v>
      </c>
      <c r="H124" s="10">
        <v>28</v>
      </c>
      <c r="I124" s="10">
        <v>28</v>
      </c>
      <c r="J124" s="10">
        <v>3</v>
      </c>
      <c r="K124" s="10">
        <v>11</v>
      </c>
      <c r="L124" s="10">
        <v>173</v>
      </c>
      <c r="M124" s="10">
        <v>3</v>
      </c>
      <c r="N124" s="10">
        <v>625</v>
      </c>
      <c r="O124" s="9">
        <f t="shared" si="2"/>
        <v>17</v>
      </c>
      <c r="P124" s="10">
        <v>0</v>
      </c>
      <c r="Q124" s="10">
        <v>221</v>
      </c>
      <c r="R124" s="10">
        <v>44</v>
      </c>
      <c r="S124" s="10">
        <v>125</v>
      </c>
      <c r="T124" s="10">
        <v>180</v>
      </c>
      <c r="U124" s="10">
        <v>190</v>
      </c>
      <c r="V124" s="10">
        <v>172</v>
      </c>
      <c r="W124" s="10">
        <v>59</v>
      </c>
      <c r="X124" s="10">
        <v>243</v>
      </c>
    </row>
    <row r="125" spans="2:24" ht="12" customHeight="1" x14ac:dyDescent="0.25">
      <c r="B125" s="11" t="s">
        <v>8</v>
      </c>
      <c r="C125" s="5" t="s">
        <v>9</v>
      </c>
      <c r="E125" s="9">
        <f>SUM($E$5:$E$124)</f>
        <v>94215</v>
      </c>
      <c r="F125" s="9">
        <f>SUM($F$5:$F$124)</f>
        <v>45604</v>
      </c>
      <c r="G125" s="9">
        <f>SUM($G$5:$G$124)</f>
        <v>46742</v>
      </c>
      <c r="H125" s="9">
        <f>SUM($H$5:$H$124)</f>
        <v>1869</v>
      </c>
      <c r="I125" s="9">
        <f>SUM($I$5:$I$124)</f>
        <v>9139</v>
      </c>
      <c r="J125" s="9">
        <f>SUM($J$5:$J$124)</f>
        <v>145</v>
      </c>
      <c r="K125" s="9">
        <f>SUM($K$5:$K$124)</f>
        <v>1257</v>
      </c>
      <c r="L125" s="9">
        <f>SUM($L$5:$L$124)</f>
        <v>29742</v>
      </c>
      <c r="M125" s="9">
        <f>SUM($M$5:$M$124)</f>
        <v>262</v>
      </c>
      <c r="N125" s="9">
        <f>SUM($N$5:$N$124)</f>
        <v>57074</v>
      </c>
      <c r="O125" s="9">
        <f t="shared" si="2"/>
        <v>1664</v>
      </c>
      <c r="P125" s="9"/>
      <c r="Q125" s="9">
        <f>SUM($Q$5:$Q$124)</f>
        <v>9805</v>
      </c>
      <c r="R125" s="9">
        <f>SUM($R$5:$R$124)</f>
        <v>6082</v>
      </c>
      <c r="S125" s="9">
        <f>SUM($S$5:$S$124)</f>
        <v>14410</v>
      </c>
      <c r="T125" s="9">
        <f>SUM($T$5:$T$124)</f>
        <v>19258</v>
      </c>
      <c r="U125" s="9">
        <f>SUM($U$5:$U$124)</f>
        <v>16544</v>
      </c>
      <c r="V125" s="9">
        <f>SUM($V$5:$V$124)</f>
        <v>14510</v>
      </c>
      <c r="W125" s="9">
        <f>SUM($W$5:$W$124)</f>
        <v>6338</v>
      </c>
      <c r="X125" s="9">
        <f>SUM($X$5:$X$124)</f>
        <v>17073</v>
      </c>
    </row>
  </sheetData>
  <pageMargins left="0.75" right="0.75" top="1" bottom="1" header="0.5" footer="0.5"/>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K136"/>
  <sheetViews>
    <sheetView workbookViewId="0">
      <pane xSplit="3" ySplit="4" topLeftCell="G111" activePane="bottomRight" state="frozen"/>
      <selection pane="topRight" activeCell="D1" sqref="D1"/>
      <selection pane="bottomLeft" activeCell="A5" sqref="A5"/>
      <selection pane="bottomRight" activeCell="A4" sqref="A4:AU131"/>
    </sheetView>
  </sheetViews>
  <sheetFormatPr defaultRowHeight="15.75" x14ac:dyDescent="0.25"/>
  <cols>
    <col min="1" max="1" width="9.75" style="265" customWidth="1"/>
    <col min="2" max="2" width="28.875" style="265" customWidth="1"/>
    <col min="3" max="3" width="14.875" style="265" customWidth="1"/>
    <col min="4" max="23" width="16.25" style="670" customWidth="1"/>
    <col min="24" max="30" width="16.25" style="929" customWidth="1"/>
    <col min="31" max="34" width="13.875" style="265" customWidth="1"/>
    <col min="35" max="35" width="12.875" style="265" customWidth="1"/>
    <col min="36" max="36" width="16.25" style="929" customWidth="1"/>
    <col min="37" max="40" width="13.875" style="265" customWidth="1"/>
    <col min="41" max="41" width="12.875" style="265" customWidth="1"/>
    <col min="42" max="42" width="16.25" style="929" customWidth="1"/>
    <col min="43" max="46" width="13.875" style="265" customWidth="1"/>
    <col min="47" max="47" width="12.875" style="265" customWidth="1"/>
    <col min="48" max="16384" width="9" style="265"/>
  </cols>
  <sheetData>
    <row r="1" spans="1:89" x14ac:dyDescent="0.25">
      <c r="A1" s="64" t="s">
        <v>1277</v>
      </c>
    </row>
    <row r="3" spans="1:89" ht="47.25" x14ac:dyDescent="0.25">
      <c r="A3" s="677" t="s">
        <v>4</v>
      </c>
      <c r="B3" s="678" t="s">
        <v>5</v>
      </c>
      <c r="C3" s="1801" t="s">
        <v>251</v>
      </c>
      <c r="D3" s="1802" t="s">
        <v>314</v>
      </c>
      <c r="E3" s="1803" t="s">
        <v>315</v>
      </c>
      <c r="F3" s="1803" t="s">
        <v>316</v>
      </c>
      <c r="G3" s="1803" t="s">
        <v>928</v>
      </c>
      <c r="H3" s="1803" t="s">
        <v>929</v>
      </c>
      <c r="I3" s="1804" t="s">
        <v>281</v>
      </c>
      <c r="J3" s="1738" t="s">
        <v>930</v>
      </c>
      <c r="K3" s="1738" t="s">
        <v>931</v>
      </c>
      <c r="L3" s="1808" t="s">
        <v>904</v>
      </c>
      <c r="M3" s="1809" t="s">
        <v>905</v>
      </c>
      <c r="N3" s="1809" t="s">
        <v>906</v>
      </c>
      <c r="O3" s="1809" t="s">
        <v>907</v>
      </c>
      <c r="P3" s="1809" t="s">
        <v>908</v>
      </c>
      <c r="Q3" s="1810" t="s">
        <v>909</v>
      </c>
      <c r="R3" s="1808" t="s">
        <v>1274</v>
      </c>
      <c r="S3" s="1809" t="s">
        <v>1275</v>
      </c>
      <c r="T3" s="1809" t="s">
        <v>1276</v>
      </c>
      <c r="U3" s="1809" t="s">
        <v>1273</v>
      </c>
      <c r="V3" s="1809" t="s">
        <v>1272</v>
      </c>
      <c r="W3" s="1810" t="s">
        <v>1271</v>
      </c>
      <c r="X3" s="1821" t="s">
        <v>910</v>
      </c>
      <c r="Y3" s="1822" t="s">
        <v>911</v>
      </c>
      <c r="Z3" s="1822" t="s">
        <v>912</v>
      </c>
      <c r="AA3" s="1822" t="s">
        <v>913</v>
      </c>
      <c r="AB3" s="1822" t="s">
        <v>914</v>
      </c>
      <c r="AC3" s="1823" t="s">
        <v>915</v>
      </c>
      <c r="AD3" s="1821" t="s">
        <v>916</v>
      </c>
      <c r="AE3" s="1822" t="s">
        <v>917</v>
      </c>
      <c r="AF3" s="1822" t="s">
        <v>918</v>
      </c>
      <c r="AG3" s="1822" t="s">
        <v>919</v>
      </c>
      <c r="AH3" s="1822" t="s">
        <v>920</v>
      </c>
      <c r="AI3" s="1823" t="s">
        <v>921</v>
      </c>
      <c r="AJ3" s="1821" t="s">
        <v>922</v>
      </c>
      <c r="AK3" s="1822" t="s">
        <v>923</v>
      </c>
      <c r="AL3" s="1822" t="s">
        <v>924</v>
      </c>
      <c r="AM3" s="1822" t="s">
        <v>925</v>
      </c>
      <c r="AN3" s="1822" t="s">
        <v>926</v>
      </c>
      <c r="AO3" s="1823" t="s">
        <v>927</v>
      </c>
      <c r="AP3" s="1821" t="s">
        <v>1183</v>
      </c>
      <c r="AQ3" s="1822" t="s">
        <v>1184</v>
      </c>
      <c r="AR3" s="1822" t="s">
        <v>1185</v>
      </c>
      <c r="AS3" s="1822" t="s">
        <v>1186</v>
      </c>
      <c r="AT3" s="1822" t="s">
        <v>1187</v>
      </c>
      <c r="AU3" s="1823" t="s">
        <v>1188</v>
      </c>
    </row>
    <row r="4" spans="1:89" x14ac:dyDescent="0.25">
      <c r="A4" s="671">
        <v>999</v>
      </c>
      <c r="B4" s="672" t="s">
        <v>9</v>
      </c>
      <c r="C4" s="848"/>
      <c r="D4" s="1805">
        <f t="shared" ref="D4:AC4" si="0">SUM(D5:D124)</f>
        <v>290448690.94999993</v>
      </c>
      <c r="E4" s="1806">
        <f t="shared" si="0"/>
        <v>117735301.35000001</v>
      </c>
      <c r="F4" s="1806">
        <f t="shared" si="0"/>
        <v>183656109.27000013</v>
      </c>
      <c r="G4" s="1806">
        <f t="shared" si="0"/>
        <v>7846064.8099999977</v>
      </c>
      <c r="H4" s="1806">
        <f t="shared" si="0"/>
        <v>336998.17</v>
      </c>
      <c r="I4" s="1807">
        <f t="shared" si="0"/>
        <v>600023164.55000031</v>
      </c>
      <c r="J4" s="1736">
        <f t="shared" ref="J4" si="1">G4+H4</f>
        <v>8183062.9799999977</v>
      </c>
      <c r="K4" s="1736">
        <f t="shared" ref="K4" si="2">F4+J4</f>
        <v>191839172.25000012</v>
      </c>
      <c r="L4" s="1805">
        <f t="shared" si="0"/>
        <v>1613693.83</v>
      </c>
      <c r="M4" s="1806">
        <f t="shared" si="0"/>
        <v>0</v>
      </c>
      <c r="N4" s="1806">
        <f t="shared" si="0"/>
        <v>517792.92</v>
      </c>
      <c r="O4" s="1806">
        <f t="shared" si="0"/>
        <v>130.60999999999999</v>
      </c>
      <c r="P4" s="1806">
        <f t="shared" si="0"/>
        <v>76396.11</v>
      </c>
      <c r="Q4" s="1807">
        <f t="shared" si="0"/>
        <v>2208013.4700000007</v>
      </c>
      <c r="R4" s="1805">
        <f t="shared" si="0"/>
        <v>857500.00999999978</v>
      </c>
      <c r="S4" s="1819">
        <f t="shared" si="0"/>
        <v>492252.12999999989</v>
      </c>
      <c r="T4" s="1819">
        <f t="shared" si="0"/>
        <v>0</v>
      </c>
      <c r="U4" s="1819">
        <f t="shared" si="0"/>
        <v>-9.509999999999998</v>
      </c>
      <c r="V4" s="1819">
        <f t="shared" si="0"/>
        <v>0</v>
      </c>
      <c r="W4" s="1820">
        <f t="shared" si="0"/>
        <v>1349742.6299999994</v>
      </c>
      <c r="X4" s="1824">
        <f t="shared" si="0"/>
        <v>25068.059999999998</v>
      </c>
      <c r="Y4" s="1825">
        <f t="shared" si="0"/>
        <v>8044.3700000000008</v>
      </c>
      <c r="Z4" s="1825">
        <f t="shared" si="0"/>
        <v>0</v>
      </c>
      <c r="AA4" s="1825">
        <f t="shared" si="0"/>
        <v>853.18000000000006</v>
      </c>
      <c r="AB4" s="1825">
        <f t="shared" si="0"/>
        <v>0</v>
      </c>
      <c r="AC4" s="1826">
        <f t="shared" si="0"/>
        <v>33965.61</v>
      </c>
      <c r="AD4" s="1824">
        <f t="shared" ref="AD4:AH4" si="3">SUM(AD5:AD124)</f>
        <v>220267438.70000008</v>
      </c>
      <c r="AE4" s="1825">
        <f t="shared" si="3"/>
        <v>117235004.85000001</v>
      </c>
      <c r="AF4" s="1825">
        <f t="shared" si="3"/>
        <v>61908454.510000005</v>
      </c>
      <c r="AG4" s="1825">
        <f t="shared" si="3"/>
        <v>5352876.540000001</v>
      </c>
      <c r="AH4" s="1825">
        <f t="shared" si="3"/>
        <v>0</v>
      </c>
      <c r="AI4" s="1826">
        <f t="shared" ref="AI4:AN4" si="4">SUM(AI5:AI124)</f>
        <v>404763774.60000014</v>
      </c>
      <c r="AJ4" s="1824">
        <f t="shared" si="4"/>
        <v>67210811.329999998</v>
      </c>
      <c r="AK4" s="1825">
        <f t="shared" si="4"/>
        <v>0</v>
      </c>
      <c r="AL4" s="1825">
        <f t="shared" si="4"/>
        <v>121229861.83999999</v>
      </c>
      <c r="AM4" s="1825">
        <f t="shared" si="4"/>
        <v>2492202.92</v>
      </c>
      <c r="AN4" s="1825">
        <f t="shared" si="4"/>
        <v>260602.06</v>
      </c>
      <c r="AO4" s="1826">
        <f t="shared" ref="AO4:AT4" si="5">SUM(AO5:AO124)</f>
        <v>191193478.15000004</v>
      </c>
      <c r="AP4" s="1824">
        <f t="shared" si="5"/>
        <v>474179.02</v>
      </c>
      <c r="AQ4" s="1825">
        <f t="shared" si="5"/>
        <v>0</v>
      </c>
      <c r="AR4" s="1825">
        <f t="shared" si="5"/>
        <v>0</v>
      </c>
      <c r="AS4" s="1825">
        <f t="shared" si="5"/>
        <v>11.07</v>
      </c>
      <c r="AT4" s="1825">
        <f t="shared" si="5"/>
        <v>0</v>
      </c>
      <c r="AU4" s="1826">
        <f t="shared" ref="AU4" si="6">SUM(AU5:AU124)</f>
        <v>474190.09</v>
      </c>
      <c r="AV4" s="675"/>
      <c r="AW4" s="675"/>
      <c r="AX4" s="675"/>
      <c r="AY4" s="675"/>
      <c r="AZ4" s="673"/>
      <c r="BA4" s="673"/>
      <c r="BB4" s="673"/>
      <c r="BC4" s="673"/>
      <c r="BD4" s="673"/>
      <c r="BE4" s="673"/>
      <c r="BF4" s="674"/>
      <c r="BG4" s="674"/>
      <c r="BH4" s="675"/>
      <c r="BI4" s="675"/>
      <c r="BJ4" s="675"/>
      <c r="BK4" s="675"/>
      <c r="BL4" s="675"/>
      <c r="BM4" s="675"/>
      <c r="BN4" s="673"/>
      <c r="BO4" s="673"/>
      <c r="BP4" s="673"/>
      <c r="BQ4" s="673"/>
      <c r="BR4" s="673"/>
      <c r="BS4" s="673"/>
      <c r="BT4" s="674"/>
      <c r="BU4" s="674"/>
      <c r="BV4" s="675"/>
      <c r="BW4" s="675"/>
      <c r="BX4" s="675"/>
      <c r="BY4" s="675"/>
      <c r="BZ4" s="675"/>
      <c r="CA4" s="675"/>
      <c r="CB4" s="673"/>
      <c r="CC4" s="673"/>
      <c r="CD4" s="673"/>
      <c r="CE4" s="673"/>
      <c r="CF4" s="673"/>
      <c r="CG4" s="673"/>
      <c r="CH4" s="674"/>
      <c r="CI4" s="674"/>
      <c r="CJ4" s="675"/>
      <c r="CK4" s="675"/>
    </row>
    <row r="5" spans="1:89" ht="15" customHeight="1" x14ac:dyDescent="0.25">
      <c r="A5" s="1833" t="s">
        <v>10</v>
      </c>
      <c r="B5" s="1834" t="s">
        <v>11</v>
      </c>
      <c r="C5" s="1835" t="s">
        <v>264</v>
      </c>
      <c r="D5" s="1836">
        <f t="shared" ref="D5:I5" si="7">L5+R5+X5+AD5+AJ5+AP5</f>
        <v>1700915.3985739162</v>
      </c>
      <c r="E5" s="1837">
        <f t="shared" si="7"/>
        <v>907292.74142608361</v>
      </c>
      <c r="F5" s="1837">
        <f t="shared" si="7"/>
        <v>475711.08</v>
      </c>
      <c r="G5" s="1837">
        <f t="shared" si="7"/>
        <v>183666.63999999998</v>
      </c>
      <c r="H5" s="1837">
        <f t="shared" si="7"/>
        <v>0</v>
      </c>
      <c r="I5" s="1838">
        <f t="shared" si="7"/>
        <v>3267585.8600000003</v>
      </c>
      <c r="J5" s="1839">
        <f t="shared" ref="J5:J36" si="8">G5+H5</f>
        <v>183666.63999999998</v>
      </c>
      <c r="K5" s="1839">
        <f t="shared" ref="K5:K36" si="9">F5+J5</f>
        <v>659377.72</v>
      </c>
      <c r="L5" s="1811"/>
      <c r="M5" s="1812"/>
      <c r="N5" s="1812"/>
      <c r="O5" s="1812"/>
      <c r="P5" s="1812"/>
      <c r="Q5" s="1813">
        <f t="shared" ref="Q5:Q36" si="10">SUM(L5:P5)</f>
        <v>0</v>
      </c>
      <c r="R5" s="1840">
        <v>9426.7000000000007</v>
      </c>
      <c r="S5" s="1841">
        <v>5370.21</v>
      </c>
      <c r="T5" s="1841">
        <v>0</v>
      </c>
      <c r="U5" s="1841">
        <v>-0.54</v>
      </c>
      <c r="V5" s="1841">
        <v>0</v>
      </c>
      <c r="W5" s="1842">
        <f t="shared" ref="W5:W36" si="11">SUM(R5:V5)</f>
        <v>14796.369999999999</v>
      </c>
      <c r="X5" s="1843"/>
      <c r="Y5" s="1844"/>
      <c r="Z5" s="1844"/>
      <c r="AA5" s="1844"/>
      <c r="AB5" s="1844"/>
      <c r="AC5" s="1845">
        <f t="shared" ref="AC5:AC36" si="12">SUM(X5:AB5)</f>
        <v>0</v>
      </c>
      <c r="AD5" s="1843">
        <v>1691488.6985739162</v>
      </c>
      <c r="AE5" s="1844">
        <v>901922.53142608365</v>
      </c>
      <c r="AF5" s="1844">
        <v>475711.08</v>
      </c>
      <c r="AG5" s="1844">
        <v>183667.18</v>
      </c>
      <c r="AH5" s="1844">
        <v>0</v>
      </c>
      <c r="AI5" s="1845">
        <f t="shared" ref="AI5:AI36" si="13">SUM(AD5:AH5)</f>
        <v>3252789.49</v>
      </c>
      <c r="AJ5" s="1843"/>
      <c r="AK5" s="1844"/>
      <c r="AL5" s="1844"/>
      <c r="AM5" s="1844"/>
      <c r="AN5" s="1844"/>
      <c r="AO5" s="1845">
        <f t="shared" ref="AO5:AO36" si="14">SUM(AJ5:AN5)</f>
        <v>0</v>
      </c>
      <c r="AP5" s="1843"/>
      <c r="AQ5" s="1844"/>
      <c r="AR5" s="1844"/>
      <c r="AS5" s="1844"/>
      <c r="AT5" s="1844"/>
      <c r="AU5" s="1845">
        <f t="shared" ref="AU5:AU36" si="15">SUM(AP5:AT5)</f>
        <v>0</v>
      </c>
    </row>
    <row r="6" spans="1:89" ht="15" customHeight="1" x14ac:dyDescent="0.25">
      <c r="A6" s="1846" t="s">
        <v>12</v>
      </c>
      <c r="B6" s="1834" t="s">
        <v>13</v>
      </c>
      <c r="C6" s="1847" t="s">
        <v>265</v>
      </c>
      <c r="D6" s="1848">
        <f t="shared" ref="D6:D69" si="16">L6+R6+X6+AD6+AJ6+AP6</f>
        <v>4201026.3825051598</v>
      </c>
      <c r="E6" s="1849">
        <f t="shared" ref="E6:E69" si="17">M6+S6+Y6+AE6+AK6+AQ6</f>
        <v>882978.91749484057</v>
      </c>
      <c r="F6" s="1849">
        <f t="shared" ref="F6:F69" si="18">N6+T6+Z6+AF6+AL6+AR6</f>
        <v>4420341.53</v>
      </c>
      <c r="G6" s="1849">
        <f t="shared" ref="G6:G69" si="19">O6+U6+AA6+AG6+AM6+AS6</f>
        <v>939495.32</v>
      </c>
      <c r="H6" s="1849">
        <f t="shared" ref="H6:H69" si="20">P6+V6+AB6+AH6+AN6+AT6</f>
        <v>0</v>
      </c>
      <c r="I6" s="1850">
        <f t="shared" ref="I6:I69" si="21">Q6+W6+AC6+AI6+AO6+AU6</f>
        <v>10443842.15</v>
      </c>
      <c r="J6" s="1851">
        <f t="shared" si="8"/>
        <v>939495.32</v>
      </c>
      <c r="K6" s="1851">
        <f t="shared" si="9"/>
        <v>5359836.8500000006</v>
      </c>
      <c r="L6" s="1811">
        <v>427997.6</v>
      </c>
      <c r="M6" s="1812">
        <v>0</v>
      </c>
      <c r="N6" s="1812">
        <v>137335.64000000001</v>
      </c>
      <c r="O6" s="1812">
        <v>-0.27</v>
      </c>
      <c r="P6" s="1812">
        <v>0</v>
      </c>
      <c r="Q6" s="1813">
        <f t="shared" si="10"/>
        <v>565332.97</v>
      </c>
      <c r="R6" s="1811">
        <v>10909.69</v>
      </c>
      <c r="S6" s="1812">
        <v>6319.33</v>
      </c>
      <c r="T6" s="1812">
        <v>0</v>
      </c>
      <c r="U6" s="1812">
        <v>-0.02</v>
      </c>
      <c r="V6" s="1812">
        <v>0</v>
      </c>
      <c r="W6" s="1813">
        <f t="shared" si="11"/>
        <v>17229</v>
      </c>
      <c r="X6" s="1827"/>
      <c r="Y6" s="1828"/>
      <c r="Z6" s="1828"/>
      <c r="AA6" s="1828"/>
      <c r="AB6" s="1828"/>
      <c r="AC6" s="1852">
        <f t="shared" si="12"/>
        <v>0</v>
      </c>
      <c r="AD6" s="1853">
        <v>1632885.3425051596</v>
      </c>
      <c r="AE6" s="1828">
        <v>876659.58749484061</v>
      </c>
      <c r="AF6" s="1828">
        <v>460329.26</v>
      </c>
      <c r="AG6" s="1828">
        <v>39715.279999999999</v>
      </c>
      <c r="AH6" s="1828">
        <v>0</v>
      </c>
      <c r="AI6" s="1852">
        <f t="shared" si="13"/>
        <v>3009589.47</v>
      </c>
      <c r="AJ6" s="1853">
        <v>2110055.7400000002</v>
      </c>
      <c r="AK6" s="1828">
        <v>0</v>
      </c>
      <c r="AL6" s="1828">
        <v>3822676.63</v>
      </c>
      <c r="AM6" s="1828">
        <v>899780.33</v>
      </c>
      <c r="AN6" s="1828">
        <v>0</v>
      </c>
      <c r="AO6" s="1852">
        <f t="shared" si="14"/>
        <v>6832512.7000000002</v>
      </c>
      <c r="AP6" s="1853">
        <v>19178.009999999998</v>
      </c>
      <c r="AQ6" s="1828">
        <v>0</v>
      </c>
      <c r="AR6" s="1828">
        <v>0</v>
      </c>
      <c r="AS6" s="1828">
        <v>0</v>
      </c>
      <c r="AT6" s="1828">
        <v>0</v>
      </c>
      <c r="AU6" s="1852">
        <f t="shared" si="15"/>
        <v>19178.009999999998</v>
      </c>
    </row>
    <row r="7" spans="1:89" ht="15" customHeight="1" x14ac:dyDescent="0.25">
      <c r="A7" s="1846" t="s">
        <v>16</v>
      </c>
      <c r="B7" s="1834" t="s">
        <v>297</v>
      </c>
      <c r="C7" s="1847" t="s">
        <v>265</v>
      </c>
      <c r="D7" s="1848">
        <f t="shared" si="16"/>
        <v>954490.35895248607</v>
      </c>
      <c r="E7" s="1849">
        <f t="shared" si="17"/>
        <v>500939.32104751398</v>
      </c>
      <c r="F7" s="1849">
        <f t="shared" si="18"/>
        <v>290903.08999999997</v>
      </c>
      <c r="G7" s="1849">
        <f t="shared" si="19"/>
        <v>378.39</v>
      </c>
      <c r="H7" s="1849">
        <f t="shared" si="20"/>
        <v>0</v>
      </c>
      <c r="I7" s="1850">
        <f t="shared" si="21"/>
        <v>1746711.16</v>
      </c>
      <c r="J7" s="1851">
        <f t="shared" si="8"/>
        <v>378.39</v>
      </c>
      <c r="K7" s="1851">
        <f t="shared" si="9"/>
        <v>291281.48</v>
      </c>
      <c r="L7" s="1811"/>
      <c r="M7" s="1812"/>
      <c r="N7" s="1812"/>
      <c r="O7" s="1812"/>
      <c r="P7" s="1812"/>
      <c r="Q7" s="1813">
        <f t="shared" si="10"/>
        <v>0</v>
      </c>
      <c r="R7" s="1811">
        <v>2571.62</v>
      </c>
      <c r="S7" s="1812">
        <v>1490.46</v>
      </c>
      <c r="T7" s="1812">
        <v>0</v>
      </c>
      <c r="U7" s="1812">
        <v>-0.06</v>
      </c>
      <c r="V7" s="1812">
        <v>0</v>
      </c>
      <c r="W7" s="1813">
        <f t="shared" si="11"/>
        <v>4062.02</v>
      </c>
      <c r="X7" s="1827"/>
      <c r="Y7" s="1828"/>
      <c r="Z7" s="1828"/>
      <c r="AA7" s="1828"/>
      <c r="AB7" s="1828"/>
      <c r="AC7" s="1852">
        <f t="shared" si="12"/>
        <v>0</v>
      </c>
      <c r="AD7" s="1853">
        <v>937066.06895248604</v>
      </c>
      <c r="AE7" s="1828">
        <v>499448.86104751396</v>
      </c>
      <c r="AF7" s="1828">
        <v>263500.90999999997</v>
      </c>
      <c r="AG7" s="1828">
        <v>381.06</v>
      </c>
      <c r="AH7" s="1828">
        <v>0</v>
      </c>
      <c r="AI7" s="1852">
        <f t="shared" si="13"/>
        <v>1700396.9</v>
      </c>
      <c r="AJ7" s="1853">
        <v>14852.67</v>
      </c>
      <c r="AK7" s="1828">
        <v>0</v>
      </c>
      <c r="AL7" s="1828">
        <v>27402.18</v>
      </c>
      <c r="AM7" s="1828">
        <v>-2.61</v>
      </c>
      <c r="AN7" s="1828">
        <v>0</v>
      </c>
      <c r="AO7" s="1852">
        <f t="shared" si="14"/>
        <v>42252.24</v>
      </c>
      <c r="AP7" s="1853"/>
      <c r="AQ7" s="1828"/>
      <c r="AR7" s="1828"/>
      <c r="AS7" s="1828"/>
      <c r="AT7" s="1828"/>
      <c r="AU7" s="1852">
        <f t="shared" si="15"/>
        <v>0</v>
      </c>
    </row>
    <row r="8" spans="1:89" ht="15" customHeight="1" x14ac:dyDescent="0.25">
      <c r="A8" s="1846" t="s">
        <v>18</v>
      </c>
      <c r="B8" s="1834" t="s">
        <v>19</v>
      </c>
      <c r="C8" s="1847" t="s">
        <v>266</v>
      </c>
      <c r="D8" s="1848">
        <f t="shared" si="16"/>
        <v>543591.79145277652</v>
      </c>
      <c r="E8" s="1849">
        <f t="shared" si="17"/>
        <v>245263.45854722348</v>
      </c>
      <c r="F8" s="1849">
        <f t="shared" si="18"/>
        <v>273087.16000000003</v>
      </c>
      <c r="G8" s="1849">
        <f t="shared" si="19"/>
        <v>153.86000000000001</v>
      </c>
      <c r="H8" s="1849">
        <f t="shared" si="20"/>
        <v>0</v>
      </c>
      <c r="I8" s="1850">
        <f t="shared" si="21"/>
        <v>1062096.27</v>
      </c>
      <c r="J8" s="1851">
        <f t="shared" si="8"/>
        <v>153.86000000000001</v>
      </c>
      <c r="K8" s="1851">
        <f t="shared" si="9"/>
        <v>273241.02</v>
      </c>
      <c r="L8" s="1811"/>
      <c r="M8" s="1812"/>
      <c r="N8" s="1812"/>
      <c r="O8" s="1812"/>
      <c r="P8" s="1812"/>
      <c r="Q8" s="1813">
        <f t="shared" si="10"/>
        <v>0</v>
      </c>
      <c r="R8" s="1811">
        <v>2725.48</v>
      </c>
      <c r="S8" s="1812">
        <v>1548.48</v>
      </c>
      <c r="T8" s="1812">
        <v>0</v>
      </c>
      <c r="U8" s="1812">
        <v>-0.16</v>
      </c>
      <c r="V8" s="1812">
        <v>0</v>
      </c>
      <c r="W8" s="1813">
        <f t="shared" si="11"/>
        <v>4273.8</v>
      </c>
      <c r="X8" s="1827"/>
      <c r="Y8" s="1828"/>
      <c r="Z8" s="1828"/>
      <c r="AA8" s="1828"/>
      <c r="AB8" s="1828"/>
      <c r="AC8" s="1852">
        <f t="shared" si="12"/>
        <v>0</v>
      </c>
      <c r="AD8" s="1853">
        <v>460123.4514527765</v>
      </c>
      <c r="AE8" s="1828">
        <v>243714.97854722347</v>
      </c>
      <c r="AF8" s="1828">
        <v>129104.06</v>
      </c>
      <c r="AG8" s="1828">
        <v>-8.2799999999999994</v>
      </c>
      <c r="AH8" s="1828">
        <v>0</v>
      </c>
      <c r="AI8" s="1852">
        <f t="shared" si="13"/>
        <v>832934.21</v>
      </c>
      <c r="AJ8" s="1853">
        <v>80742.86</v>
      </c>
      <c r="AK8" s="1828">
        <v>0</v>
      </c>
      <c r="AL8" s="1828">
        <v>143983.1</v>
      </c>
      <c r="AM8" s="1828">
        <v>162.30000000000001</v>
      </c>
      <c r="AN8" s="1828">
        <v>0</v>
      </c>
      <c r="AO8" s="1852">
        <f t="shared" si="14"/>
        <v>224888.26</v>
      </c>
      <c r="AP8" s="1853"/>
      <c r="AQ8" s="1828"/>
      <c r="AR8" s="1828"/>
      <c r="AS8" s="1828"/>
      <c r="AT8" s="1828"/>
      <c r="AU8" s="1852">
        <f t="shared" si="15"/>
        <v>0</v>
      </c>
    </row>
    <row r="9" spans="1:89" ht="15" customHeight="1" x14ac:dyDescent="0.25">
      <c r="A9" s="1846" t="s">
        <v>20</v>
      </c>
      <c r="B9" s="1834" t="s">
        <v>21</v>
      </c>
      <c r="C9" s="1847" t="s">
        <v>265</v>
      </c>
      <c r="D9" s="1848">
        <f t="shared" si="16"/>
        <v>966167.30566410441</v>
      </c>
      <c r="E9" s="1849">
        <f t="shared" si="17"/>
        <v>462873.94433589553</v>
      </c>
      <c r="F9" s="1849">
        <f t="shared" si="18"/>
        <v>416788.32</v>
      </c>
      <c r="G9" s="1849">
        <f t="shared" si="19"/>
        <v>78762.61</v>
      </c>
      <c r="H9" s="1849">
        <f t="shared" si="20"/>
        <v>0</v>
      </c>
      <c r="I9" s="1850">
        <f t="shared" si="21"/>
        <v>1924592.1800000002</v>
      </c>
      <c r="J9" s="1851">
        <f t="shared" si="8"/>
        <v>78762.61</v>
      </c>
      <c r="K9" s="1851">
        <f t="shared" si="9"/>
        <v>495550.93</v>
      </c>
      <c r="L9" s="1811"/>
      <c r="M9" s="1812"/>
      <c r="N9" s="1812"/>
      <c r="O9" s="1812"/>
      <c r="P9" s="1812"/>
      <c r="Q9" s="1813">
        <f t="shared" si="10"/>
        <v>0</v>
      </c>
      <c r="R9" s="1811">
        <v>1942.82</v>
      </c>
      <c r="S9" s="1812">
        <v>1126.04</v>
      </c>
      <c r="T9" s="1812">
        <v>0</v>
      </c>
      <c r="U9" s="1812">
        <v>-0.16</v>
      </c>
      <c r="V9" s="1812">
        <v>0</v>
      </c>
      <c r="W9" s="1813">
        <f t="shared" si="11"/>
        <v>3068.7</v>
      </c>
      <c r="X9" s="1827"/>
      <c r="Y9" s="1828"/>
      <c r="Z9" s="1828"/>
      <c r="AA9" s="1828"/>
      <c r="AB9" s="1828"/>
      <c r="AC9" s="1852">
        <f t="shared" si="12"/>
        <v>0</v>
      </c>
      <c r="AD9" s="1853">
        <v>867318.50566410448</v>
      </c>
      <c r="AE9" s="1828">
        <v>461747.90433589555</v>
      </c>
      <c r="AF9" s="1828">
        <v>243789.16</v>
      </c>
      <c r="AG9" s="1828">
        <v>78765.03</v>
      </c>
      <c r="AH9" s="1828">
        <v>0</v>
      </c>
      <c r="AI9" s="1852">
        <f t="shared" si="13"/>
        <v>1651620.6</v>
      </c>
      <c r="AJ9" s="1853">
        <v>96905.98</v>
      </c>
      <c r="AK9" s="1828">
        <v>0</v>
      </c>
      <c r="AL9" s="1828">
        <v>172999.16</v>
      </c>
      <c r="AM9" s="1828">
        <v>-2.2599999999999998</v>
      </c>
      <c r="AN9" s="1828">
        <v>0</v>
      </c>
      <c r="AO9" s="1852">
        <f t="shared" si="14"/>
        <v>269902.88</v>
      </c>
      <c r="AP9" s="1853"/>
      <c r="AQ9" s="1828"/>
      <c r="AR9" s="1828"/>
      <c r="AS9" s="1828"/>
      <c r="AT9" s="1828"/>
      <c r="AU9" s="1852">
        <f t="shared" si="15"/>
        <v>0</v>
      </c>
    </row>
    <row r="10" spans="1:89" ht="15" customHeight="1" x14ac:dyDescent="0.25">
      <c r="A10" s="1846" t="s">
        <v>22</v>
      </c>
      <c r="B10" s="1834" t="s">
        <v>23</v>
      </c>
      <c r="C10" s="1847" t="s">
        <v>265</v>
      </c>
      <c r="D10" s="1848">
        <f t="shared" si="16"/>
        <v>535975.82379501779</v>
      </c>
      <c r="E10" s="1849">
        <f t="shared" si="17"/>
        <v>285960.92620498216</v>
      </c>
      <c r="F10" s="1849">
        <f t="shared" si="18"/>
        <v>149834.6</v>
      </c>
      <c r="G10" s="1849">
        <f t="shared" si="19"/>
        <v>30357.3</v>
      </c>
      <c r="H10" s="1849">
        <f t="shared" si="20"/>
        <v>0</v>
      </c>
      <c r="I10" s="1850">
        <f t="shared" si="21"/>
        <v>1002128.6499999998</v>
      </c>
      <c r="J10" s="1851">
        <f t="shared" si="8"/>
        <v>30357.3</v>
      </c>
      <c r="K10" s="1851">
        <f t="shared" si="9"/>
        <v>180191.9</v>
      </c>
      <c r="L10" s="1811"/>
      <c r="M10" s="1812"/>
      <c r="N10" s="1812"/>
      <c r="O10" s="1812"/>
      <c r="P10" s="1812"/>
      <c r="Q10" s="1813">
        <f t="shared" si="10"/>
        <v>0</v>
      </c>
      <c r="R10" s="1811">
        <v>3230.76</v>
      </c>
      <c r="S10" s="1812">
        <v>1850.61</v>
      </c>
      <c r="T10" s="1812">
        <v>0</v>
      </c>
      <c r="U10" s="1812">
        <v>-0.14000000000000001</v>
      </c>
      <c r="V10" s="1812">
        <v>0</v>
      </c>
      <c r="W10" s="1813">
        <f t="shared" si="11"/>
        <v>5081.2299999999996</v>
      </c>
      <c r="X10" s="1827"/>
      <c r="Y10" s="1828"/>
      <c r="Z10" s="1828"/>
      <c r="AA10" s="1828"/>
      <c r="AB10" s="1828"/>
      <c r="AC10" s="1852">
        <f t="shared" si="12"/>
        <v>0</v>
      </c>
      <c r="AD10" s="1853">
        <v>532745.06379501778</v>
      </c>
      <c r="AE10" s="1828">
        <v>284110.31620498217</v>
      </c>
      <c r="AF10" s="1828">
        <v>149834.6</v>
      </c>
      <c r="AG10" s="1828">
        <v>30357.439999999999</v>
      </c>
      <c r="AH10" s="1828">
        <v>0</v>
      </c>
      <c r="AI10" s="1852">
        <f t="shared" si="13"/>
        <v>997047.41999999981</v>
      </c>
      <c r="AJ10" s="1853"/>
      <c r="AK10" s="1828"/>
      <c r="AL10" s="1828"/>
      <c r="AM10" s="1828"/>
      <c r="AN10" s="1828"/>
      <c r="AO10" s="1852">
        <f t="shared" si="14"/>
        <v>0</v>
      </c>
      <c r="AP10" s="1853"/>
      <c r="AQ10" s="1828"/>
      <c r="AR10" s="1828"/>
      <c r="AS10" s="1828"/>
      <c r="AT10" s="1828"/>
      <c r="AU10" s="1852">
        <f t="shared" si="15"/>
        <v>0</v>
      </c>
    </row>
    <row r="11" spans="1:89" ht="15" customHeight="1" x14ac:dyDescent="0.25">
      <c r="A11" s="1846" t="s">
        <v>24</v>
      </c>
      <c r="B11" s="1834" t="s">
        <v>25</v>
      </c>
      <c r="C11" s="1847" t="s">
        <v>267</v>
      </c>
      <c r="D11" s="1848">
        <f t="shared" si="16"/>
        <v>7441888.2071378911</v>
      </c>
      <c r="E11" s="1849">
        <f t="shared" si="17"/>
        <v>2306826.4728621081</v>
      </c>
      <c r="F11" s="1849">
        <f t="shared" si="18"/>
        <v>6728737.4000000004</v>
      </c>
      <c r="G11" s="1849">
        <f t="shared" si="19"/>
        <v>478188.17</v>
      </c>
      <c r="H11" s="1849">
        <f t="shared" si="20"/>
        <v>0</v>
      </c>
      <c r="I11" s="1850">
        <f t="shared" si="21"/>
        <v>16955640.249999996</v>
      </c>
      <c r="J11" s="1851">
        <f t="shared" si="8"/>
        <v>478188.17</v>
      </c>
      <c r="K11" s="1851">
        <f t="shared" si="9"/>
        <v>7206925.5700000003</v>
      </c>
      <c r="L11" s="1811">
        <v>72896.3</v>
      </c>
      <c r="M11" s="1812">
        <v>0</v>
      </c>
      <c r="N11" s="1812">
        <v>23390.87</v>
      </c>
      <c r="O11" s="1812">
        <v>132.76</v>
      </c>
      <c r="P11" s="1812">
        <v>0</v>
      </c>
      <c r="Q11" s="1813">
        <f t="shared" si="10"/>
        <v>96419.93</v>
      </c>
      <c r="R11" s="1811"/>
      <c r="S11" s="1812"/>
      <c r="T11" s="1812"/>
      <c r="U11" s="1812"/>
      <c r="V11" s="1812"/>
      <c r="W11" s="1813">
        <f t="shared" si="11"/>
        <v>0</v>
      </c>
      <c r="X11" s="1827"/>
      <c r="Y11" s="1828"/>
      <c r="Z11" s="1828"/>
      <c r="AA11" s="1828"/>
      <c r="AB11" s="1828"/>
      <c r="AC11" s="1852">
        <f t="shared" si="12"/>
        <v>0</v>
      </c>
      <c r="AD11" s="1853">
        <v>4307862.8271378912</v>
      </c>
      <c r="AE11" s="1828">
        <v>2306826.4728621081</v>
      </c>
      <c r="AF11" s="1828">
        <v>1213343.6599999999</v>
      </c>
      <c r="AG11" s="1828">
        <v>-6.96</v>
      </c>
      <c r="AH11" s="1828">
        <v>0</v>
      </c>
      <c r="AI11" s="1852">
        <f t="shared" si="13"/>
        <v>7828025.9999999991</v>
      </c>
      <c r="AJ11" s="1853">
        <v>3061129.08</v>
      </c>
      <c r="AK11" s="1828">
        <v>0</v>
      </c>
      <c r="AL11" s="1828">
        <v>5492002.8700000001</v>
      </c>
      <c r="AM11" s="1828">
        <v>478062.37</v>
      </c>
      <c r="AN11" s="1828">
        <v>0</v>
      </c>
      <c r="AO11" s="1852">
        <f t="shared" si="14"/>
        <v>9031194.3199999984</v>
      </c>
      <c r="AP11" s="1853"/>
      <c r="AQ11" s="1828"/>
      <c r="AR11" s="1828"/>
      <c r="AS11" s="1828"/>
      <c r="AT11" s="1828"/>
      <c r="AU11" s="1852">
        <f t="shared" si="15"/>
        <v>0</v>
      </c>
    </row>
    <row r="12" spans="1:89" ht="15" customHeight="1" x14ac:dyDescent="0.25">
      <c r="A12" s="1846" t="s">
        <v>26</v>
      </c>
      <c r="B12" s="1834" t="s">
        <v>685</v>
      </c>
      <c r="C12" s="1847" t="s">
        <v>265</v>
      </c>
      <c r="D12" s="1848">
        <f t="shared" si="16"/>
        <v>4296303.5932046343</v>
      </c>
      <c r="E12" s="1849">
        <f t="shared" si="17"/>
        <v>1799813.7467953661</v>
      </c>
      <c r="F12" s="1849">
        <f t="shared" si="18"/>
        <v>2512879.66</v>
      </c>
      <c r="G12" s="1849">
        <f t="shared" si="19"/>
        <v>445.83</v>
      </c>
      <c r="H12" s="1849">
        <f t="shared" si="20"/>
        <v>0</v>
      </c>
      <c r="I12" s="1850">
        <f t="shared" si="21"/>
        <v>8609442.8300000019</v>
      </c>
      <c r="J12" s="1851">
        <f t="shared" si="8"/>
        <v>445.83</v>
      </c>
      <c r="K12" s="1851">
        <f t="shared" si="9"/>
        <v>2513325.4900000002</v>
      </c>
      <c r="L12" s="1811">
        <v>37997.279999999999</v>
      </c>
      <c r="M12" s="1812">
        <v>0</v>
      </c>
      <c r="N12" s="1812">
        <v>12192.52</v>
      </c>
      <c r="O12" s="1812">
        <v>-0.14000000000000001</v>
      </c>
      <c r="P12" s="1812">
        <v>0</v>
      </c>
      <c r="Q12" s="1813">
        <f t="shared" si="10"/>
        <v>50189.66</v>
      </c>
      <c r="R12" s="1811">
        <v>22512.6</v>
      </c>
      <c r="S12" s="1812">
        <v>12832.48</v>
      </c>
      <c r="T12" s="1812">
        <v>0</v>
      </c>
      <c r="U12" s="1812">
        <v>-0.08</v>
      </c>
      <c r="V12" s="1812">
        <v>0</v>
      </c>
      <c r="W12" s="1813">
        <f t="shared" si="11"/>
        <v>35345</v>
      </c>
      <c r="X12" s="1827">
        <v>2877.31</v>
      </c>
      <c r="Y12" s="1828">
        <v>923.33</v>
      </c>
      <c r="Z12" s="1828">
        <v>0</v>
      </c>
      <c r="AA12" s="1828">
        <v>-0.01</v>
      </c>
      <c r="AB12" s="1828">
        <v>0</v>
      </c>
      <c r="AC12" s="1852">
        <f t="shared" si="12"/>
        <v>3800.6299999999997</v>
      </c>
      <c r="AD12" s="1853">
        <v>3382744.1532046339</v>
      </c>
      <c r="AE12" s="1828">
        <v>1786057.936795366</v>
      </c>
      <c r="AF12" s="1828">
        <v>948120.53</v>
      </c>
      <c r="AG12" s="1828">
        <v>452.61</v>
      </c>
      <c r="AH12" s="1828">
        <v>0</v>
      </c>
      <c r="AI12" s="1852">
        <f t="shared" si="13"/>
        <v>6117375.2300000004</v>
      </c>
      <c r="AJ12" s="1853">
        <v>850172.25</v>
      </c>
      <c r="AK12" s="1828">
        <v>0</v>
      </c>
      <c r="AL12" s="1828">
        <v>1552566.61</v>
      </c>
      <c r="AM12" s="1828">
        <v>-6.55</v>
      </c>
      <c r="AN12" s="1828">
        <v>0</v>
      </c>
      <c r="AO12" s="1852">
        <f t="shared" si="14"/>
        <v>2402732.3100000005</v>
      </c>
      <c r="AP12" s="1853"/>
      <c r="AQ12" s="1828"/>
      <c r="AR12" s="1828"/>
      <c r="AS12" s="1828"/>
      <c r="AT12" s="1828"/>
      <c r="AU12" s="1852">
        <f t="shared" si="15"/>
        <v>0</v>
      </c>
    </row>
    <row r="13" spans="1:89" ht="15" customHeight="1" x14ac:dyDescent="0.25">
      <c r="A13" s="1846" t="s">
        <v>27</v>
      </c>
      <c r="B13" s="1834" t="s">
        <v>28</v>
      </c>
      <c r="C13" s="1847" t="s">
        <v>265</v>
      </c>
      <c r="D13" s="1848">
        <f t="shared" si="16"/>
        <v>250605.37261219788</v>
      </c>
      <c r="E13" s="1849">
        <f t="shared" si="17"/>
        <v>118967.11738780211</v>
      </c>
      <c r="F13" s="1849">
        <f t="shared" si="18"/>
        <v>109878.68</v>
      </c>
      <c r="G13" s="1849">
        <f t="shared" si="19"/>
        <v>5325.01</v>
      </c>
      <c r="H13" s="1849">
        <f t="shared" si="20"/>
        <v>0</v>
      </c>
      <c r="I13" s="1850">
        <f t="shared" si="21"/>
        <v>484776.18000000005</v>
      </c>
      <c r="J13" s="1851">
        <f t="shared" si="8"/>
        <v>5325.01</v>
      </c>
      <c r="K13" s="1851">
        <f t="shared" si="9"/>
        <v>115203.68999999999</v>
      </c>
      <c r="L13" s="1811"/>
      <c r="M13" s="1812"/>
      <c r="N13" s="1812"/>
      <c r="O13" s="1812"/>
      <c r="P13" s="1812"/>
      <c r="Q13" s="1813">
        <f t="shared" si="10"/>
        <v>0</v>
      </c>
      <c r="R13" s="1811">
        <v>107.61</v>
      </c>
      <c r="S13" s="1812">
        <v>62.42</v>
      </c>
      <c r="T13" s="1812">
        <v>0</v>
      </c>
      <c r="U13" s="1812">
        <v>-0.03</v>
      </c>
      <c r="V13" s="1812">
        <v>0</v>
      </c>
      <c r="W13" s="1813">
        <f t="shared" si="11"/>
        <v>170</v>
      </c>
      <c r="X13" s="1827"/>
      <c r="Y13" s="1828"/>
      <c r="Z13" s="1828"/>
      <c r="AA13" s="1828"/>
      <c r="AB13" s="1828"/>
      <c r="AC13" s="1852">
        <f t="shared" si="12"/>
        <v>0</v>
      </c>
      <c r="AD13" s="1853">
        <v>224169.7626121979</v>
      </c>
      <c r="AE13" s="1828">
        <v>118904.69738780211</v>
      </c>
      <c r="AF13" s="1828">
        <v>62929.97</v>
      </c>
      <c r="AG13" s="1828">
        <v>4874.9399999999996</v>
      </c>
      <c r="AH13" s="1828">
        <v>0</v>
      </c>
      <c r="AI13" s="1852">
        <f t="shared" si="13"/>
        <v>410879.37000000005</v>
      </c>
      <c r="AJ13" s="1853">
        <v>26328</v>
      </c>
      <c r="AK13" s="1828">
        <v>0</v>
      </c>
      <c r="AL13" s="1828">
        <v>46948.71</v>
      </c>
      <c r="AM13" s="1828">
        <v>450.1</v>
      </c>
      <c r="AN13" s="1828">
        <v>0</v>
      </c>
      <c r="AO13" s="1852">
        <f t="shared" si="14"/>
        <v>73726.81</v>
      </c>
      <c r="AP13" s="1853"/>
      <c r="AQ13" s="1828"/>
      <c r="AR13" s="1828"/>
      <c r="AS13" s="1828"/>
      <c r="AT13" s="1828"/>
      <c r="AU13" s="1852">
        <f t="shared" si="15"/>
        <v>0</v>
      </c>
    </row>
    <row r="14" spans="1:89" ht="15" customHeight="1" x14ac:dyDescent="0.25">
      <c r="A14" s="1846" t="s">
        <v>29</v>
      </c>
      <c r="B14" s="1834" t="s">
        <v>901</v>
      </c>
      <c r="C14" s="1847" t="s">
        <v>265</v>
      </c>
      <c r="D14" s="1848">
        <f t="shared" si="16"/>
        <v>2254552.9573587682</v>
      </c>
      <c r="E14" s="1849">
        <f t="shared" si="17"/>
        <v>705124.10264123173</v>
      </c>
      <c r="F14" s="1849">
        <f t="shared" si="18"/>
        <v>2070548.09</v>
      </c>
      <c r="G14" s="1849">
        <f t="shared" si="19"/>
        <v>21500.93</v>
      </c>
      <c r="H14" s="1849">
        <f t="shared" si="20"/>
        <v>0</v>
      </c>
      <c r="I14" s="1850">
        <f t="shared" si="21"/>
        <v>5051726.08</v>
      </c>
      <c r="J14" s="1851">
        <f t="shared" si="8"/>
        <v>21500.93</v>
      </c>
      <c r="K14" s="1851">
        <f t="shared" si="9"/>
        <v>2092049.02</v>
      </c>
      <c r="L14" s="1811"/>
      <c r="M14" s="1812"/>
      <c r="N14" s="1812"/>
      <c r="O14" s="1812"/>
      <c r="P14" s="1812"/>
      <c r="Q14" s="1813">
        <f t="shared" si="10"/>
        <v>0</v>
      </c>
      <c r="R14" s="1811">
        <v>9200.16</v>
      </c>
      <c r="S14" s="1812">
        <v>5255.05</v>
      </c>
      <c r="T14" s="1812">
        <v>0</v>
      </c>
      <c r="U14" s="1812">
        <v>-0.05</v>
      </c>
      <c r="V14" s="1812">
        <v>0</v>
      </c>
      <c r="W14" s="1813">
        <f t="shared" si="11"/>
        <v>14455.16</v>
      </c>
      <c r="X14" s="1827"/>
      <c r="Y14" s="1828"/>
      <c r="Z14" s="1828"/>
      <c r="AA14" s="1828"/>
      <c r="AB14" s="1828"/>
      <c r="AC14" s="1852">
        <f t="shared" si="12"/>
        <v>0</v>
      </c>
      <c r="AD14" s="1853">
        <v>1299934.1073587681</v>
      </c>
      <c r="AE14" s="1828">
        <v>699869.05264123168</v>
      </c>
      <c r="AF14" s="1828">
        <v>366826.56</v>
      </c>
      <c r="AG14" s="1828">
        <v>8518.94</v>
      </c>
      <c r="AH14" s="1828">
        <v>0</v>
      </c>
      <c r="AI14" s="1852">
        <f t="shared" si="13"/>
        <v>2375148.6599999997</v>
      </c>
      <c r="AJ14" s="1853">
        <v>945418.69</v>
      </c>
      <c r="AK14" s="1828">
        <v>0</v>
      </c>
      <c r="AL14" s="1828">
        <v>1703721.53</v>
      </c>
      <c r="AM14" s="1828">
        <v>12982.04</v>
      </c>
      <c r="AN14" s="1828">
        <v>0</v>
      </c>
      <c r="AO14" s="1852">
        <f t="shared" si="14"/>
        <v>2662122.2599999998</v>
      </c>
      <c r="AP14" s="1853"/>
      <c r="AQ14" s="1828"/>
      <c r="AR14" s="1828"/>
      <c r="AS14" s="1828"/>
      <c r="AT14" s="1828"/>
      <c r="AU14" s="1852">
        <f t="shared" si="15"/>
        <v>0</v>
      </c>
    </row>
    <row r="15" spans="1:89" ht="15" customHeight="1" x14ac:dyDescent="0.25">
      <c r="A15" s="1846" t="s">
        <v>30</v>
      </c>
      <c r="B15" s="1834" t="s">
        <v>31</v>
      </c>
      <c r="C15" s="1847" t="s">
        <v>268</v>
      </c>
      <c r="D15" s="1848">
        <f t="shared" si="16"/>
        <v>358649.82635077537</v>
      </c>
      <c r="E15" s="1849">
        <f t="shared" si="17"/>
        <v>160647.65364922467</v>
      </c>
      <c r="F15" s="1849">
        <f t="shared" si="18"/>
        <v>183862.40999999997</v>
      </c>
      <c r="G15" s="1849">
        <f t="shared" si="19"/>
        <v>9823.19</v>
      </c>
      <c r="H15" s="1849">
        <f t="shared" si="20"/>
        <v>0</v>
      </c>
      <c r="I15" s="1850">
        <f t="shared" si="21"/>
        <v>712983.08</v>
      </c>
      <c r="J15" s="1851">
        <f t="shared" si="8"/>
        <v>9823.19</v>
      </c>
      <c r="K15" s="1851">
        <f t="shared" si="9"/>
        <v>193685.59999999998</v>
      </c>
      <c r="L15" s="1811"/>
      <c r="M15" s="1812"/>
      <c r="N15" s="1812"/>
      <c r="O15" s="1812"/>
      <c r="P15" s="1812"/>
      <c r="Q15" s="1813">
        <f t="shared" si="10"/>
        <v>0</v>
      </c>
      <c r="R15" s="1811"/>
      <c r="S15" s="1812"/>
      <c r="T15" s="1812"/>
      <c r="U15" s="1812"/>
      <c r="V15" s="1812"/>
      <c r="W15" s="1813">
        <f t="shared" si="11"/>
        <v>0</v>
      </c>
      <c r="X15" s="1827"/>
      <c r="Y15" s="1828"/>
      <c r="Z15" s="1828"/>
      <c r="AA15" s="1828"/>
      <c r="AB15" s="1828"/>
      <c r="AC15" s="1852">
        <f t="shared" si="12"/>
        <v>0</v>
      </c>
      <c r="AD15" s="1853">
        <v>303260.11635077535</v>
      </c>
      <c r="AE15" s="1828">
        <v>160647.65364922467</v>
      </c>
      <c r="AF15" s="1828">
        <v>85093.23</v>
      </c>
      <c r="AG15" s="1828">
        <v>2880.89</v>
      </c>
      <c r="AH15" s="1828">
        <v>0</v>
      </c>
      <c r="AI15" s="1852">
        <f t="shared" si="13"/>
        <v>551881.89</v>
      </c>
      <c r="AJ15" s="1853">
        <v>55389.71</v>
      </c>
      <c r="AK15" s="1828">
        <v>0</v>
      </c>
      <c r="AL15" s="1828">
        <v>98769.18</v>
      </c>
      <c r="AM15" s="1828">
        <v>6942.3</v>
      </c>
      <c r="AN15" s="1828">
        <v>0</v>
      </c>
      <c r="AO15" s="1852">
        <f t="shared" si="14"/>
        <v>161101.18999999997</v>
      </c>
      <c r="AP15" s="1853"/>
      <c r="AQ15" s="1828"/>
      <c r="AR15" s="1828"/>
      <c r="AS15" s="1828"/>
      <c r="AT15" s="1828"/>
      <c r="AU15" s="1852">
        <f t="shared" si="15"/>
        <v>0</v>
      </c>
    </row>
    <row r="16" spans="1:89" ht="15" customHeight="1" x14ac:dyDescent="0.25">
      <c r="A16" s="1846" t="s">
        <v>32</v>
      </c>
      <c r="B16" s="1834" t="s">
        <v>33</v>
      </c>
      <c r="C16" s="1847" t="s">
        <v>265</v>
      </c>
      <c r="D16" s="1848">
        <f t="shared" si="16"/>
        <v>543018.86371299811</v>
      </c>
      <c r="E16" s="1849">
        <f t="shared" si="17"/>
        <v>269535.14628700202</v>
      </c>
      <c r="F16" s="1849">
        <f t="shared" si="18"/>
        <v>206719.47000000003</v>
      </c>
      <c r="G16" s="1849">
        <f t="shared" si="19"/>
        <v>7886.78</v>
      </c>
      <c r="H16" s="1849">
        <f t="shared" si="20"/>
        <v>0</v>
      </c>
      <c r="I16" s="1850">
        <f t="shared" si="21"/>
        <v>1027160.26</v>
      </c>
      <c r="J16" s="1851">
        <f t="shared" si="8"/>
        <v>7886.78</v>
      </c>
      <c r="K16" s="1851">
        <f t="shared" si="9"/>
        <v>214606.25000000003</v>
      </c>
      <c r="L16" s="1811"/>
      <c r="M16" s="1812"/>
      <c r="N16" s="1812"/>
      <c r="O16" s="1812"/>
      <c r="P16" s="1812"/>
      <c r="Q16" s="1813">
        <f t="shared" si="10"/>
        <v>0</v>
      </c>
      <c r="R16" s="1811">
        <v>355.96</v>
      </c>
      <c r="S16" s="1812">
        <v>200.56</v>
      </c>
      <c r="T16" s="1812">
        <v>0</v>
      </c>
      <c r="U16" s="1812">
        <v>-0.01</v>
      </c>
      <c r="V16" s="1812">
        <v>0</v>
      </c>
      <c r="W16" s="1813">
        <f t="shared" si="11"/>
        <v>556.51</v>
      </c>
      <c r="X16" s="1827"/>
      <c r="Y16" s="1828"/>
      <c r="Z16" s="1828"/>
      <c r="AA16" s="1828"/>
      <c r="AB16" s="1828"/>
      <c r="AC16" s="1852">
        <f t="shared" si="12"/>
        <v>0</v>
      </c>
      <c r="AD16" s="1853">
        <v>506548.15371299803</v>
      </c>
      <c r="AE16" s="1828">
        <v>269334.58628700202</v>
      </c>
      <c r="AF16" s="1828">
        <v>142318.67000000001</v>
      </c>
      <c r="AG16" s="1828">
        <v>7887.84</v>
      </c>
      <c r="AH16" s="1828">
        <v>0</v>
      </c>
      <c r="AI16" s="1852">
        <f t="shared" si="13"/>
        <v>926089.25</v>
      </c>
      <c r="AJ16" s="1853">
        <v>36114.75</v>
      </c>
      <c r="AK16" s="1828">
        <v>0</v>
      </c>
      <c r="AL16" s="1828">
        <v>64400.800000000003</v>
      </c>
      <c r="AM16" s="1828">
        <v>-1.05</v>
      </c>
      <c r="AN16" s="1828">
        <v>0</v>
      </c>
      <c r="AO16" s="1852">
        <f t="shared" si="14"/>
        <v>100514.5</v>
      </c>
      <c r="AP16" s="1853"/>
      <c r="AQ16" s="1828"/>
      <c r="AR16" s="1828"/>
      <c r="AS16" s="1828"/>
      <c r="AT16" s="1828"/>
      <c r="AU16" s="1852">
        <f t="shared" si="15"/>
        <v>0</v>
      </c>
    </row>
    <row r="17" spans="1:47" ht="15" customHeight="1" x14ac:dyDescent="0.25">
      <c r="A17" s="1846" t="s">
        <v>36</v>
      </c>
      <c r="B17" s="1834" t="s">
        <v>37</v>
      </c>
      <c r="C17" s="1847" t="s">
        <v>264</v>
      </c>
      <c r="D17" s="1848">
        <f t="shared" si="16"/>
        <v>897033.49112657737</v>
      </c>
      <c r="E17" s="1849">
        <f t="shared" si="17"/>
        <v>454461.68887342262</v>
      </c>
      <c r="F17" s="1849">
        <f t="shared" si="18"/>
        <v>290440.68</v>
      </c>
      <c r="G17" s="1849">
        <f t="shared" si="19"/>
        <v>31549.179999999997</v>
      </c>
      <c r="H17" s="1849">
        <f t="shared" si="20"/>
        <v>0</v>
      </c>
      <c r="I17" s="1850">
        <f t="shared" si="21"/>
        <v>1673485.04</v>
      </c>
      <c r="J17" s="1851">
        <f t="shared" si="8"/>
        <v>31549.179999999997</v>
      </c>
      <c r="K17" s="1851">
        <f t="shared" si="9"/>
        <v>321989.86</v>
      </c>
      <c r="L17" s="1811"/>
      <c r="M17" s="1812"/>
      <c r="N17" s="1812"/>
      <c r="O17" s="1812"/>
      <c r="P17" s="1812"/>
      <c r="Q17" s="1813">
        <f t="shared" si="10"/>
        <v>0</v>
      </c>
      <c r="R17" s="1811">
        <v>6073.3</v>
      </c>
      <c r="S17" s="1812">
        <v>3519.9</v>
      </c>
      <c r="T17" s="1812">
        <v>0</v>
      </c>
      <c r="U17" s="1812">
        <v>-0.2</v>
      </c>
      <c r="V17" s="1812">
        <v>0</v>
      </c>
      <c r="W17" s="1813">
        <f t="shared" si="11"/>
        <v>9593</v>
      </c>
      <c r="X17" s="1827"/>
      <c r="Y17" s="1828"/>
      <c r="Z17" s="1828"/>
      <c r="AA17" s="1828"/>
      <c r="AB17" s="1828"/>
      <c r="AC17" s="1852">
        <f t="shared" si="12"/>
        <v>0</v>
      </c>
      <c r="AD17" s="1853">
        <v>846367.05112657743</v>
      </c>
      <c r="AE17" s="1828">
        <v>450941.7888734226</v>
      </c>
      <c r="AF17" s="1828">
        <v>237964.47</v>
      </c>
      <c r="AG17" s="1828">
        <v>31549.46</v>
      </c>
      <c r="AH17" s="1828">
        <v>0</v>
      </c>
      <c r="AI17" s="1852">
        <f t="shared" si="13"/>
        <v>1566822.77</v>
      </c>
      <c r="AJ17" s="1853">
        <v>29427.439999999999</v>
      </c>
      <c r="AK17" s="1828">
        <v>0</v>
      </c>
      <c r="AL17" s="1828">
        <v>52476.21</v>
      </c>
      <c r="AM17" s="1828">
        <v>-0.08</v>
      </c>
      <c r="AN17" s="1828">
        <v>0</v>
      </c>
      <c r="AO17" s="1852">
        <f t="shared" si="14"/>
        <v>81903.569999999992</v>
      </c>
      <c r="AP17" s="1853">
        <v>15165.7</v>
      </c>
      <c r="AQ17" s="1828">
        <v>0</v>
      </c>
      <c r="AR17" s="1828">
        <v>0</v>
      </c>
      <c r="AS17" s="1828">
        <v>0</v>
      </c>
      <c r="AT17" s="1828">
        <v>0</v>
      </c>
      <c r="AU17" s="1852">
        <f t="shared" si="15"/>
        <v>15165.7</v>
      </c>
    </row>
    <row r="18" spans="1:47" ht="15" customHeight="1" x14ac:dyDescent="0.25">
      <c r="A18" s="1846" t="s">
        <v>38</v>
      </c>
      <c r="B18" s="1834" t="s">
        <v>39</v>
      </c>
      <c r="C18" s="1847" t="s">
        <v>268</v>
      </c>
      <c r="D18" s="1848">
        <f t="shared" si="16"/>
        <v>1942475.7070268744</v>
      </c>
      <c r="E18" s="1849">
        <f t="shared" si="17"/>
        <v>920573.5629731256</v>
      </c>
      <c r="F18" s="1849">
        <f t="shared" si="18"/>
        <v>874020.57000000007</v>
      </c>
      <c r="G18" s="1849">
        <f t="shared" si="19"/>
        <v>53764.63</v>
      </c>
      <c r="H18" s="1849">
        <f t="shared" si="20"/>
        <v>0</v>
      </c>
      <c r="I18" s="1850">
        <f t="shared" si="21"/>
        <v>3790834.4699999997</v>
      </c>
      <c r="J18" s="1851">
        <f t="shared" si="8"/>
        <v>53764.63</v>
      </c>
      <c r="K18" s="1851">
        <f t="shared" si="9"/>
        <v>927785.20000000007</v>
      </c>
      <c r="L18" s="1811"/>
      <c r="M18" s="1812"/>
      <c r="N18" s="1812"/>
      <c r="O18" s="1812"/>
      <c r="P18" s="1812"/>
      <c r="Q18" s="1813">
        <f t="shared" si="10"/>
        <v>0</v>
      </c>
      <c r="R18" s="1811"/>
      <c r="S18" s="1812"/>
      <c r="T18" s="1812"/>
      <c r="U18" s="1812"/>
      <c r="V18" s="1812"/>
      <c r="W18" s="1813">
        <f t="shared" si="11"/>
        <v>0</v>
      </c>
      <c r="X18" s="1827"/>
      <c r="Y18" s="1828"/>
      <c r="Z18" s="1828"/>
      <c r="AA18" s="1828"/>
      <c r="AB18" s="1828"/>
      <c r="AC18" s="1852">
        <f t="shared" si="12"/>
        <v>0</v>
      </c>
      <c r="AD18" s="1853">
        <v>1724951.9370268744</v>
      </c>
      <c r="AE18" s="1828">
        <v>920573.5629731256</v>
      </c>
      <c r="AF18" s="1828">
        <v>485269.44</v>
      </c>
      <c r="AG18" s="1828">
        <v>53766</v>
      </c>
      <c r="AH18" s="1828">
        <v>0</v>
      </c>
      <c r="AI18" s="1852">
        <f t="shared" si="13"/>
        <v>3184560.94</v>
      </c>
      <c r="AJ18" s="1853">
        <v>217523.77</v>
      </c>
      <c r="AK18" s="1828">
        <v>0</v>
      </c>
      <c r="AL18" s="1828">
        <v>388751.13</v>
      </c>
      <c r="AM18" s="1828">
        <v>-1.37</v>
      </c>
      <c r="AN18" s="1828">
        <v>0</v>
      </c>
      <c r="AO18" s="1852">
        <f t="shared" si="14"/>
        <v>606273.53</v>
      </c>
      <c r="AP18" s="1853"/>
      <c r="AQ18" s="1828"/>
      <c r="AR18" s="1828"/>
      <c r="AS18" s="1828"/>
      <c r="AT18" s="1828"/>
      <c r="AU18" s="1852">
        <f t="shared" si="15"/>
        <v>0</v>
      </c>
    </row>
    <row r="19" spans="1:47" ht="15" customHeight="1" x14ac:dyDescent="0.25">
      <c r="A19" s="1846" t="s">
        <v>40</v>
      </c>
      <c r="B19" s="1834" t="s">
        <v>41</v>
      </c>
      <c r="C19" s="1847" t="s">
        <v>266</v>
      </c>
      <c r="D19" s="1848">
        <f t="shared" si="16"/>
        <v>679679.59342267341</v>
      </c>
      <c r="E19" s="1849">
        <f t="shared" si="17"/>
        <v>323723.91657732654</v>
      </c>
      <c r="F19" s="1849">
        <f t="shared" si="18"/>
        <v>295389.83</v>
      </c>
      <c r="G19" s="1849">
        <f t="shared" si="19"/>
        <v>3066.65</v>
      </c>
      <c r="H19" s="1849">
        <f t="shared" si="20"/>
        <v>0</v>
      </c>
      <c r="I19" s="1850">
        <f t="shared" si="21"/>
        <v>1301859.99</v>
      </c>
      <c r="J19" s="1851">
        <f t="shared" si="8"/>
        <v>3066.65</v>
      </c>
      <c r="K19" s="1851">
        <f t="shared" si="9"/>
        <v>298456.48000000004</v>
      </c>
      <c r="L19" s="1811"/>
      <c r="M19" s="1812"/>
      <c r="N19" s="1812"/>
      <c r="O19" s="1812"/>
      <c r="P19" s="1812"/>
      <c r="Q19" s="1813">
        <f t="shared" si="10"/>
        <v>0</v>
      </c>
      <c r="R19" s="1811">
        <v>2353.7800000000002</v>
      </c>
      <c r="S19" s="1812">
        <v>1363.47</v>
      </c>
      <c r="T19" s="1812">
        <v>0</v>
      </c>
      <c r="U19" s="1812">
        <v>-0.05</v>
      </c>
      <c r="V19" s="1812">
        <v>0</v>
      </c>
      <c r="W19" s="1813">
        <f t="shared" si="11"/>
        <v>3717.2</v>
      </c>
      <c r="X19" s="1827"/>
      <c r="Y19" s="1828"/>
      <c r="Z19" s="1828"/>
      <c r="AA19" s="1828"/>
      <c r="AB19" s="1828"/>
      <c r="AC19" s="1852">
        <f t="shared" si="12"/>
        <v>0</v>
      </c>
      <c r="AD19" s="1853">
        <v>607460.59342267341</v>
      </c>
      <c r="AE19" s="1828">
        <v>322360.44657732657</v>
      </c>
      <c r="AF19" s="1828">
        <v>170555.53</v>
      </c>
      <c r="AG19" s="1828">
        <v>1909.38</v>
      </c>
      <c r="AH19" s="1828">
        <v>0</v>
      </c>
      <c r="AI19" s="1852">
        <f t="shared" si="13"/>
        <v>1102285.95</v>
      </c>
      <c r="AJ19" s="1853">
        <v>69865.22</v>
      </c>
      <c r="AK19" s="1828">
        <v>0</v>
      </c>
      <c r="AL19" s="1828">
        <v>124834.3</v>
      </c>
      <c r="AM19" s="1828">
        <v>1157.32</v>
      </c>
      <c r="AN19" s="1828">
        <v>0</v>
      </c>
      <c r="AO19" s="1852">
        <f t="shared" si="14"/>
        <v>195856.84000000003</v>
      </c>
      <c r="AP19" s="1853"/>
      <c r="AQ19" s="1828"/>
      <c r="AR19" s="1828"/>
      <c r="AS19" s="1828"/>
      <c r="AT19" s="1828"/>
      <c r="AU19" s="1852">
        <f t="shared" si="15"/>
        <v>0</v>
      </c>
    </row>
    <row r="20" spans="1:47" ht="15" customHeight="1" x14ac:dyDescent="0.25">
      <c r="A20" s="1846" t="s">
        <v>42</v>
      </c>
      <c r="B20" s="1834" t="s">
        <v>43</v>
      </c>
      <c r="C20" s="1847" t="s">
        <v>265</v>
      </c>
      <c r="D20" s="1848">
        <f t="shared" si="16"/>
        <v>2097703.4849013155</v>
      </c>
      <c r="E20" s="1849">
        <f t="shared" si="17"/>
        <v>1033077.4450986846</v>
      </c>
      <c r="F20" s="1849">
        <f t="shared" si="18"/>
        <v>842033.35</v>
      </c>
      <c r="G20" s="1849">
        <f t="shared" si="19"/>
        <v>123542.75</v>
      </c>
      <c r="H20" s="1849">
        <f t="shared" si="20"/>
        <v>0</v>
      </c>
      <c r="I20" s="1850">
        <f t="shared" si="21"/>
        <v>4096357.0300000003</v>
      </c>
      <c r="J20" s="1851">
        <f t="shared" si="8"/>
        <v>123542.75</v>
      </c>
      <c r="K20" s="1851">
        <f t="shared" si="9"/>
        <v>965576.1</v>
      </c>
      <c r="L20" s="1811"/>
      <c r="M20" s="1812"/>
      <c r="N20" s="1812"/>
      <c r="O20" s="1812"/>
      <c r="P20" s="1812"/>
      <c r="Q20" s="1813">
        <f t="shared" si="10"/>
        <v>0</v>
      </c>
      <c r="R20" s="1811">
        <v>10137.540000000001</v>
      </c>
      <c r="S20" s="1812">
        <v>5834.76</v>
      </c>
      <c r="T20" s="1812">
        <v>0</v>
      </c>
      <c r="U20" s="1812">
        <v>-0.08</v>
      </c>
      <c r="V20" s="1812">
        <v>0</v>
      </c>
      <c r="W20" s="1813">
        <f t="shared" si="11"/>
        <v>15972.220000000001</v>
      </c>
      <c r="X20" s="1827"/>
      <c r="Y20" s="1828"/>
      <c r="Z20" s="1828"/>
      <c r="AA20" s="1828"/>
      <c r="AB20" s="1828"/>
      <c r="AC20" s="1852">
        <f t="shared" si="12"/>
        <v>0</v>
      </c>
      <c r="AD20" s="1853">
        <v>1925275.9449013153</v>
      </c>
      <c r="AE20" s="1828">
        <v>1027242.6850986846</v>
      </c>
      <c r="AF20" s="1828">
        <v>541583.12</v>
      </c>
      <c r="AG20" s="1828">
        <v>123545.06</v>
      </c>
      <c r="AH20" s="1828">
        <v>0</v>
      </c>
      <c r="AI20" s="1852">
        <f t="shared" si="13"/>
        <v>3617646.81</v>
      </c>
      <c r="AJ20" s="1853">
        <v>162290</v>
      </c>
      <c r="AK20" s="1828">
        <v>0</v>
      </c>
      <c r="AL20" s="1828">
        <v>300450.23</v>
      </c>
      <c r="AM20" s="1828">
        <v>-2.23</v>
      </c>
      <c r="AN20" s="1828">
        <v>0</v>
      </c>
      <c r="AO20" s="1852">
        <f t="shared" si="14"/>
        <v>462738</v>
      </c>
      <c r="AP20" s="1853"/>
      <c r="AQ20" s="1828"/>
      <c r="AR20" s="1828"/>
      <c r="AS20" s="1828"/>
      <c r="AT20" s="1828"/>
      <c r="AU20" s="1852">
        <f t="shared" si="15"/>
        <v>0</v>
      </c>
    </row>
    <row r="21" spans="1:47" ht="15" customHeight="1" x14ac:dyDescent="0.25">
      <c r="A21" s="1846" t="s">
        <v>44</v>
      </c>
      <c r="B21" s="1834" t="s">
        <v>45</v>
      </c>
      <c r="C21" s="1847" t="s">
        <v>266</v>
      </c>
      <c r="D21" s="1848">
        <f t="shared" si="16"/>
        <v>1029181.8451824826</v>
      </c>
      <c r="E21" s="1849">
        <f t="shared" si="17"/>
        <v>456808.19481751736</v>
      </c>
      <c r="F21" s="1849">
        <f t="shared" si="18"/>
        <v>537223.02</v>
      </c>
      <c r="G21" s="1849">
        <f t="shared" si="19"/>
        <v>3034.54</v>
      </c>
      <c r="H21" s="1849">
        <f t="shared" si="20"/>
        <v>0</v>
      </c>
      <c r="I21" s="1850">
        <f t="shared" si="21"/>
        <v>2026247.5999999999</v>
      </c>
      <c r="J21" s="1851">
        <f t="shared" si="8"/>
        <v>3034.54</v>
      </c>
      <c r="K21" s="1851">
        <f t="shared" si="9"/>
        <v>540257.56000000006</v>
      </c>
      <c r="L21" s="1811"/>
      <c r="M21" s="1812"/>
      <c r="N21" s="1812"/>
      <c r="O21" s="1812"/>
      <c r="P21" s="1812"/>
      <c r="Q21" s="1813">
        <f t="shared" si="10"/>
        <v>0</v>
      </c>
      <c r="R21" s="1811">
        <v>8894.5</v>
      </c>
      <c r="S21" s="1812">
        <v>5049.57</v>
      </c>
      <c r="T21" s="1812">
        <v>0</v>
      </c>
      <c r="U21" s="1812">
        <v>-7.0000000000000007E-2</v>
      </c>
      <c r="V21" s="1812">
        <v>0</v>
      </c>
      <c r="W21" s="1813">
        <f t="shared" si="11"/>
        <v>13944</v>
      </c>
      <c r="X21" s="1827"/>
      <c r="Y21" s="1828"/>
      <c r="Z21" s="1828"/>
      <c r="AA21" s="1828"/>
      <c r="AB21" s="1828"/>
      <c r="AC21" s="1852">
        <f t="shared" si="12"/>
        <v>0</v>
      </c>
      <c r="AD21" s="1853">
        <v>853264.21518248261</v>
      </c>
      <c r="AE21" s="1828">
        <v>451758.62481751735</v>
      </c>
      <c r="AF21" s="1828">
        <v>239381.25</v>
      </c>
      <c r="AG21" s="1828">
        <v>2585.02</v>
      </c>
      <c r="AH21" s="1828">
        <v>0</v>
      </c>
      <c r="AI21" s="1852">
        <f t="shared" si="13"/>
        <v>1546989.1099999999</v>
      </c>
      <c r="AJ21" s="1853">
        <v>167023.13</v>
      </c>
      <c r="AK21" s="1828">
        <v>0</v>
      </c>
      <c r="AL21" s="1828">
        <v>297841.77</v>
      </c>
      <c r="AM21" s="1828">
        <v>449.59</v>
      </c>
      <c r="AN21" s="1828">
        <v>0</v>
      </c>
      <c r="AO21" s="1852">
        <f t="shared" si="14"/>
        <v>465314.49000000005</v>
      </c>
      <c r="AP21" s="1853"/>
      <c r="AQ21" s="1828"/>
      <c r="AR21" s="1828"/>
      <c r="AS21" s="1828"/>
      <c r="AT21" s="1828"/>
      <c r="AU21" s="1852">
        <f t="shared" si="15"/>
        <v>0</v>
      </c>
    </row>
    <row r="22" spans="1:47" ht="15" customHeight="1" x14ac:dyDescent="0.25">
      <c r="A22" s="1846" t="s">
        <v>46</v>
      </c>
      <c r="B22" s="1834" t="s">
        <v>47</v>
      </c>
      <c r="C22" s="1847" t="s">
        <v>268</v>
      </c>
      <c r="D22" s="1848">
        <f t="shared" si="16"/>
        <v>1100553.8036073118</v>
      </c>
      <c r="E22" s="1849">
        <f t="shared" si="17"/>
        <v>543486.52639268828</v>
      </c>
      <c r="F22" s="1849">
        <f t="shared" si="18"/>
        <v>429363.06</v>
      </c>
      <c r="G22" s="1849">
        <f t="shared" si="19"/>
        <v>60963.28</v>
      </c>
      <c r="H22" s="1849">
        <f t="shared" si="20"/>
        <v>0</v>
      </c>
      <c r="I22" s="1850">
        <f t="shared" si="21"/>
        <v>2134366.67</v>
      </c>
      <c r="J22" s="1851">
        <f t="shared" si="8"/>
        <v>60963.28</v>
      </c>
      <c r="K22" s="1851">
        <f t="shared" si="9"/>
        <v>490326.33999999997</v>
      </c>
      <c r="L22" s="1811"/>
      <c r="M22" s="1812"/>
      <c r="N22" s="1812"/>
      <c r="O22" s="1812"/>
      <c r="P22" s="1812"/>
      <c r="Q22" s="1813">
        <f t="shared" si="10"/>
        <v>0</v>
      </c>
      <c r="R22" s="1811">
        <v>7071.56</v>
      </c>
      <c r="S22" s="1812">
        <v>4063.36</v>
      </c>
      <c r="T22" s="1812">
        <v>0</v>
      </c>
      <c r="U22" s="1812">
        <v>-0.2</v>
      </c>
      <c r="V22" s="1812">
        <v>0</v>
      </c>
      <c r="W22" s="1813">
        <f t="shared" si="11"/>
        <v>11134.72</v>
      </c>
      <c r="X22" s="1827"/>
      <c r="Y22" s="1828"/>
      <c r="Z22" s="1828"/>
      <c r="AA22" s="1828"/>
      <c r="AB22" s="1828"/>
      <c r="AC22" s="1852">
        <f t="shared" si="12"/>
        <v>0</v>
      </c>
      <c r="AD22" s="1853">
        <v>1012323.4036073118</v>
      </c>
      <c r="AE22" s="1828">
        <v>539423.16639268829</v>
      </c>
      <c r="AF22" s="1828">
        <v>284638.13</v>
      </c>
      <c r="AG22" s="1828">
        <v>60198.52</v>
      </c>
      <c r="AH22" s="1828">
        <v>0</v>
      </c>
      <c r="AI22" s="1852">
        <f t="shared" si="13"/>
        <v>1896583.2200000002</v>
      </c>
      <c r="AJ22" s="1853">
        <v>81158.84</v>
      </c>
      <c r="AK22" s="1828">
        <v>0</v>
      </c>
      <c r="AL22" s="1828">
        <v>144724.93</v>
      </c>
      <c r="AM22" s="1828">
        <v>764.96</v>
      </c>
      <c r="AN22" s="1828">
        <v>0</v>
      </c>
      <c r="AO22" s="1852">
        <f t="shared" si="14"/>
        <v>226648.72999999998</v>
      </c>
      <c r="AP22" s="1853"/>
      <c r="AQ22" s="1828"/>
      <c r="AR22" s="1828"/>
      <c r="AS22" s="1828"/>
      <c r="AT22" s="1828"/>
      <c r="AU22" s="1852">
        <f t="shared" si="15"/>
        <v>0</v>
      </c>
    </row>
    <row r="23" spans="1:47" ht="15" customHeight="1" x14ac:dyDescent="0.25">
      <c r="A23" s="1846" t="s">
        <v>48</v>
      </c>
      <c r="B23" s="1834" t="s">
        <v>269</v>
      </c>
      <c r="C23" s="1847" t="s">
        <v>266</v>
      </c>
      <c r="D23" s="1848">
        <f t="shared" si="16"/>
        <v>398976.0939062105</v>
      </c>
      <c r="E23" s="1849">
        <f t="shared" si="17"/>
        <v>209228.11609378952</v>
      </c>
      <c r="F23" s="1849">
        <f t="shared" si="18"/>
        <v>121389.27</v>
      </c>
      <c r="G23" s="1849">
        <f t="shared" si="19"/>
        <v>-8.31</v>
      </c>
      <c r="H23" s="1849">
        <f t="shared" si="20"/>
        <v>0</v>
      </c>
      <c r="I23" s="1850">
        <f t="shared" si="21"/>
        <v>729585.17</v>
      </c>
      <c r="J23" s="1851">
        <f t="shared" si="8"/>
        <v>-8.31</v>
      </c>
      <c r="K23" s="1851">
        <f t="shared" si="9"/>
        <v>121380.96</v>
      </c>
      <c r="L23" s="1811"/>
      <c r="M23" s="1812"/>
      <c r="N23" s="1812"/>
      <c r="O23" s="1812"/>
      <c r="P23" s="1812"/>
      <c r="Q23" s="1813">
        <f t="shared" si="10"/>
        <v>0</v>
      </c>
      <c r="R23" s="1811"/>
      <c r="S23" s="1812"/>
      <c r="T23" s="1812"/>
      <c r="U23" s="1812"/>
      <c r="V23" s="1812"/>
      <c r="W23" s="1813">
        <f t="shared" si="11"/>
        <v>0</v>
      </c>
      <c r="X23" s="1827"/>
      <c r="Y23" s="1828"/>
      <c r="Z23" s="1828"/>
      <c r="AA23" s="1828"/>
      <c r="AB23" s="1828"/>
      <c r="AC23" s="1852">
        <f t="shared" si="12"/>
        <v>0</v>
      </c>
      <c r="AD23" s="1853">
        <v>392833.25390621048</v>
      </c>
      <c r="AE23" s="1828">
        <v>209228.11609378952</v>
      </c>
      <c r="AF23" s="1828">
        <v>110435.14</v>
      </c>
      <c r="AG23" s="1828">
        <v>-8.25</v>
      </c>
      <c r="AH23" s="1828">
        <v>0</v>
      </c>
      <c r="AI23" s="1852">
        <f t="shared" si="13"/>
        <v>712488.26</v>
      </c>
      <c r="AJ23" s="1853">
        <v>6142.84</v>
      </c>
      <c r="AK23" s="1828">
        <v>0</v>
      </c>
      <c r="AL23" s="1828">
        <v>10954.13</v>
      </c>
      <c r="AM23" s="1828">
        <v>-0.06</v>
      </c>
      <c r="AN23" s="1828">
        <v>0</v>
      </c>
      <c r="AO23" s="1852">
        <f t="shared" si="14"/>
        <v>17096.91</v>
      </c>
      <c r="AP23" s="1853"/>
      <c r="AQ23" s="1828"/>
      <c r="AR23" s="1828"/>
      <c r="AS23" s="1828"/>
      <c r="AT23" s="1828"/>
      <c r="AU23" s="1852">
        <f t="shared" si="15"/>
        <v>0</v>
      </c>
    </row>
    <row r="24" spans="1:47" ht="15" customHeight="1" x14ac:dyDescent="0.25">
      <c r="A24" s="1846" t="s">
        <v>50</v>
      </c>
      <c r="B24" s="1834" t="s">
        <v>51</v>
      </c>
      <c r="C24" s="1847" t="s">
        <v>265</v>
      </c>
      <c r="D24" s="1848">
        <f t="shared" si="16"/>
        <v>711903.70056315698</v>
      </c>
      <c r="E24" s="1849">
        <f t="shared" si="17"/>
        <v>332578.09943684301</v>
      </c>
      <c r="F24" s="1849">
        <f t="shared" si="18"/>
        <v>290044.25</v>
      </c>
      <c r="G24" s="1849">
        <f t="shared" si="19"/>
        <v>242262.82</v>
      </c>
      <c r="H24" s="1849">
        <f t="shared" si="20"/>
        <v>0</v>
      </c>
      <c r="I24" s="1850">
        <f t="shared" si="21"/>
        <v>1576788.8699999999</v>
      </c>
      <c r="J24" s="1851">
        <f t="shared" si="8"/>
        <v>242262.82</v>
      </c>
      <c r="K24" s="1851">
        <f t="shared" si="9"/>
        <v>532307.07000000007</v>
      </c>
      <c r="L24" s="1811"/>
      <c r="M24" s="1812"/>
      <c r="N24" s="1812"/>
      <c r="O24" s="1812"/>
      <c r="P24" s="1812"/>
      <c r="Q24" s="1813">
        <f t="shared" si="10"/>
        <v>0</v>
      </c>
      <c r="R24" s="1811">
        <v>105.82</v>
      </c>
      <c r="S24" s="1812">
        <v>61.39</v>
      </c>
      <c r="T24" s="1812">
        <v>0</v>
      </c>
      <c r="U24" s="1812">
        <v>-0.05</v>
      </c>
      <c r="V24" s="1812">
        <v>0</v>
      </c>
      <c r="W24" s="1813">
        <f t="shared" si="11"/>
        <v>167.15999999999997</v>
      </c>
      <c r="X24" s="1827"/>
      <c r="Y24" s="1828"/>
      <c r="Z24" s="1828"/>
      <c r="AA24" s="1828"/>
      <c r="AB24" s="1828"/>
      <c r="AC24" s="1852">
        <f t="shared" si="12"/>
        <v>0</v>
      </c>
      <c r="AD24" s="1853">
        <v>626192.100563157</v>
      </c>
      <c r="AE24" s="1828">
        <v>332516.709436843</v>
      </c>
      <c r="AF24" s="1828">
        <v>175855.96</v>
      </c>
      <c r="AG24" s="1828">
        <v>242263.55</v>
      </c>
      <c r="AH24" s="1828">
        <v>0</v>
      </c>
      <c r="AI24" s="1852">
        <f t="shared" si="13"/>
        <v>1376828.32</v>
      </c>
      <c r="AJ24" s="1853">
        <v>64034.36</v>
      </c>
      <c r="AK24" s="1828">
        <v>0</v>
      </c>
      <c r="AL24" s="1828">
        <v>114188.29</v>
      </c>
      <c r="AM24" s="1828">
        <v>-0.68</v>
      </c>
      <c r="AN24" s="1828">
        <v>0</v>
      </c>
      <c r="AO24" s="1852">
        <f t="shared" si="14"/>
        <v>178221.97</v>
      </c>
      <c r="AP24" s="1853">
        <v>21571.42</v>
      </c>
      <c r="AQ24" s="1828">
        <v>0</v>
      </c>
      <c r="AR24" s="1828">
        <v>0</v>
      </c>
      <c r="AS24" s="1828">
        <v>0</v>
      </c>
      <c r="AT24" s="1828">
        <v>0</v>
      </c>
      <c r="AU24" s="1852">
        <f t="shared" si="15"/>
        <v>21571.42</v>
      </c>
    </row>
    <row r="25" spans="1:47" ht="15" customHeight="1" x14ac:dyDescent="0.25">
      <c r="A25" s="1846" t="s">
        <v>56</v>
      </c>
      <c r="B25" s="1834" t="s">
        <v>295</v>
      </c>
      <c r="C25" s="1847" t="s">
        <v>266</v>
      </c>
      <c r="D25" s="1848">
        <f t="shared" si="16"/>
        <v>5987401.711282149</v>
      </c>
      <c r="E25" s="1849">
        <f t="shared" si="17"/>
        <v>2357912.2787178513</v>
      </c>
      <c r="F25" s="1849">
        <f t="shared" si="18"/>
        <v>3974064.8</v>
      </c>
      <c r="G25" s="1849">
        <f t="shared" si="19"/>
        <v>116888.83</v>
      </c>
      <c r="H25" s="1849">
        <f t="shared" si="20"/>
        <v>0</v>
      </c>
      <c r="I25" s="1850">
        <f t="shared" si="21"/>
        <v>12436267.620000001</v>
      </c>
      <c r="J25" s="1851">
        <f t="shared" si="8"/>
        <v>116888.83</v>
      </c>
      <c r="K25" s="1851">
        <f t="shared" si="9"/>
        <v>4090953.63</v>
      </c>
      <c r="L25" s="1811"/>
      <c r="M25" s="1812"/>
      <c r="N25" s="1812"/>
      <c r="O25" s="1812"/>
      <c r="P25" s="1812"/>
      <c r="Q25" s="1813">
        <f t="shared" si="10"/>
        <v>0</v>
      </c>
      <c r="R25" s="1811">
        <v>100902.25</v>
      </c>
      <c r="S25" s="1812">
        <v>58446.62</v>
      </c>
      <c r="T25" s="1812">
        <v>0</v>
      </c>
      <c r="U25" s="1812">
        <v>-0.01</v>
      </c>
      <c r="V25" s="1812">
        <v>0</v>
      </c>
      <c r="W25" s="1813">
        <f t="shared" si="11"/>
        <v>159348.85999999999</v>
      </c>
      <c r="X25" s="1827">
        <v>10482.44</v>
      </c>
      <c r="Y25" s="1828">
        <v>3363.82</v>
      </c>
      <c r="Z25" s="1828">
        <v>0</v>
      </c>
      <c r="AA25" s="1828">
        <v>0</v>
      </c>
      <c r="AB25" s="1828">
        <v>0</v>
      </c>
      <c r="AC25" s="1852">
        <f t="shared" si="12"/>
        <v>13846.26</v>
      </c>
      <c r="AD25" s="1853">
        <v>4331448.6412821487</v>
      </c>
      <c r="AE25" s="1828">
        <v>2296101.8387178513</v>
      </c>
      <c r="AF25" s="1828">
        <v>1215701.75</v>
      </c>
      <c r="AG25" s="1828">
        <v>69819.45</v>
      </c>
      <c r="AH25" s="1828">
        <v>0</v>
      </c>
      <c r="AI25" s="1852">
        <f t="shared" si="13"/>
        <v>7913071.6800000006</v>
      </c>
      <c r="AJ25" s="1853">
        <v>1544568.38</v>
      </c>
      <c r="AK25" s="1828">
        <v>0</v>
      </c>
      <c r="AL25" s="1828">
        <v>2758363.05</v>
      </c>
      <c r="AM25" s="1828">
        <v>47069.39</v>
      </c>
      <c r="AN25" s="1828">
        <v>0</v>
      </c>
      <c r="AO25" s="1852">
        <f t="shared" si="14"/>
        <v>4350000.8199999994</v>
      </c>
      <c r="AP25" s="1853"/>
      <c r="AQ25" s="1828"/>
      <c r="AR25" s="1828"/>
      <c r="AS25" s="1828"/>
      <c r="AT25" s="1828"/>
      <c r="AU25" s="1852">
        <f t="shared" si="15"/>
        <v>0</v>
      </c>
    </row>
    <row r="26" spans="1:47" ht="15" customHeight="1" x14ac:dyDescent="0.25">
      <c r="A26" s="1846" t="s">
        <v>58</v>
      </c>
      <c r="B26" s="1834" t="s">
        <v>59</v>
      </c>
      <c r="C26" s="1847" t="s">
        <v>267</v>
      </c>
      <c r="D26" s="1848">
        <f t="shared" si="16"/>
        <v>531695.42753994546</v>
      </c>
      <c r="E26" s="1849">
        <f t="shared" si="17"/>
        <v>152705.99246005452</v>
      </c>
      <c r="F26" s="1849">
        <f t="shared" si="18"/>
        <v>524655.76</v>
      </c>
      <c r="G26" s="1849">
        <f t="shared" si="19"/>
        <v>1658.6799999999998</v>
      </c>
      <c r="H26" s="1849">
        <f t="shared" si="20"/>
        <v>0</v>
      </c>
      <c r="I26" s="1850">
        <f t="shared" si="21"/>
        <v>1210715.8599999999</v>
      </c>
      <c r="J26" s="1851">
        <f t="shared" si="8"/>
        <v>1658.6799999999998</v>
      </c>
      <c r="K26" s="1851">
        <f t="shared" si="9"/>
        <v>526314.44000000006</v>
      </c>
      <c r="L26" s="1811"/>
      <c r="M26" s="1812"/>
      <c r="N26" s="1812"/>
      <c r="O26" s="1812"/>
      <c r="P26" s="1812"/>
      <c r="Q26" s="1813">
        <f t="shared" si="10"/>
        <v>0</v>
      </c>
      <c r="R26" s="1811"/>
      <c r="S26" s="1812"/>
      <c r="T26" s="1812"/>
      <c r="U26" s="1812"/>
      <c r="V26" s="1812"/>
      <c r="W26" s="1813">
        <f t="shared" si="11"/>
        <v>0</v>
      </c>
      <c r="X26" s="1827"/>
      <c r="Y26" s="1828"/>
      <c r="Z26" s="1828"/>
      <c r="AA26" s="1828"/>
      <c r="AB26" s="1828"/>
      <c r="AC26" s="1852">
        <f t="shared" si="12"/>
        <v>0</v>
      </c>
      <c r="AD26" s="1853">
        <v>284483.09753994551</v>
      </c>
      <c r="AE26" s="1828">
        <v>152705.99246005452</v>
      </c>
      <c r="AF26" s="1828">
        <v>80192.850000000006</v>
      </c>
      <c r="AG26" s="1828">
        <v>384.36</v>
      </c>
      <c r="AH26" s="1828">
        <v>0</v>
      </c>
      <c r="AI26" s="1852">
        <f t="shared" si="13"/>
        <v>517766.30000000005</v>
      </c>
      <c r="AJ26" s="1853">
        <v>247212.33</v>
      </c>
      <c r="AK26" s="1828">
        <v>0</v>
      </c>
      <c r="AL26" s="1828">
        <v>444462.91</v>
      </c>
      <c r="AM26" s="1828">
        <v>1274.32</v>
      </c>
      <c r="AN26" s="1828">
        <v>0</v>
      </c>
      <c r="AO26" s="1852">
        <f t="shared" si="14"/>
        <v>692949.55999999994</v>
      </c>
      <c r="AP26" s="1853"/>
      <c r="AQ26" s="1828"/>
      <c r="AR26" s="1828"/>
      <c r="AS26" s="1828"/>
      <c r="AT26" s="1828"/>
      <c r="AU26" s="1852">
        <f t="shared" si="15"/>
        <v>0</v>
      </c>
    </row>
    <row r="27" spans="1:47" ht="15" customHeight="1" x14ac:dyDescent="0.25">
      <c r="A27" s="1846" t="s">
        <v>60</v>
      </c>
      <c r="B27" s="1834" t="s">
        <v>61</v>
      </c>
      <c r="C27" s="1847" t="s">
        <v>265</v>
      </c>
      <c r="D27" s="1848">
        <f t="shared" si="16"/>
        <v>210239.89794683506</v>
      </c>
      <c r="E27" s="1849">
        <f t="shared" si="17"/>
        <v>103753.38205316493</v>
      </c>
      <c r="F27" s="1849">
        <f t="shared" si="18"/>
        <v>82125.17</v>
      </c>
      <c r="G27" s="1849">
        <f t="shared" si="19"/>
        <v>3007.4199999999996</v>
      </c>
      <c r="H27" s="1849">
        <f t="shared" si="20"/>
        <v>0</v>
      </c>
      <c r="I27" s="1850">
        <f t="shared" si="21"/>
        <v>399125.86999999994</v>
      </c>
      <c r="J27" s="1851">
        <f t="shared" si="8"/>
        <v>3007.4199999999996</v>
      </c>
      <c r="K27" s="1851">
        <f t="shared" si="9"/>
        <v>85132.59</v>
      </c>
      <c r="L27" s="1811"/>
      <c r="M27" s="1812"/>
      <c r="N27" s="1812"/>
      <c r="O27" s="1812"/>
      <c r="P27" s="1812"/>
      <c r="Q27" s="1813">
        <f t="shared" si="10"/>
        <v>0</v>
      </c>
      <c r="R27" s="1811">
        <v>2434.7199999999998</v>
      </c>
      <c r="S27" s="1812">
        <v>1410.29</v>
      </c>
      <c r="T27" s="1812">
        <v>0</v>
      </c>
      <c r="U27" s="1812">
        <v>-0.04</v>
      </c>
      <c r="V27" s="1812">
        <v>0</v>
      </c>
      <c r="W27" s="1813">
        <f t="shared" si="11"/>
        <v>3844.97</v>
      </c>
      <c r="X27" s="1827"/>
      <c r="Y27" s="1828"/>
      <c r="Z27" s="1828"/>
      <c r="AA27" s="1828"/>
      <c r="AB27" s="1828"/>
      <c r="AC27" s="1852">
        <f t="shared" si="12"/>
        <v>0</v>
      </c>
      <c r="AD27" s="1853">
        <v>192030.44794683505</v>
      </c>
      <c r="AE27" s="1828">
        <v>102343.09205316493</v>
      </c>
      <c r="AF27" s="1828">
        <v>53995.26</v>
      </c>
      <c r="AG27" s="1828">
        <v>3007.97</v>
      </c>
      <c r="AH27" s="1828">
        <v>0</v>
      </c>
      <c r="AI27" s="1852">
        <f t="shared" si="13"/>
        <v>351376.76999999996</v>
      </c>
      <c r="AJ27" s="1853">
        <v>15774.73</v>
      </c>
      <c r="AK27" s="1828">
        <v>0</v>
      </c>
      <c r="AL27" s="1828">
        <v>28129.91</v>
      </c>
      <c r="AM27" s="1828">
        <v>-0.51</v>
      </c>
      <c r="AN27" s="1828">
        <v>0</v>
      </c>
      <c r="AO27" s="1852">
        <f t="shared" si="14"/>
        <v>43904.13</v>
      </c>
      <c r="AP27" s="1853"/>
      <c r="AQ27" s="1828"/>
      <c r="AR27" s="1828"/>
      <c r="AS27" s="1828"/>
      <c r="AT27" s="1828"/>
      <c r="AU27" s="1852">
        <f t="shared" si="15"/>
        <v>0</v>
      </c>
    </row>
    <row r="28" spans="1:47" ht="15" customHeight="1" x14ac:dyDescent="0.25">
      <c r="A28" s="1846" t="s">
        <v>62</v>
      </c>
      <c r="B28" s="1834" t="s">
        <v>63</v>
      </c>
      <c r="C28" s="1847" t="s">
        <v>267</v>
      </c>
      <c r="D28" s="1848">
        <f t="shared" si="16"/>
        <v>1707173.1953846044</v>
      </c>
      <c r="E28" s="1849">
        <f t="shared" si="17"/>
        <v>632498.43461539585</v>
      </c>
      <c r="F28" s="1849">
        <f t="shared" si="18"/>
        <v>1201216.5900000001</v>
      </c>
      <c r="G28" s="1849">
        <f t="shared" si="19"/>
        <v>118503.65</v>
      </c>
      <c r="H28" s="1849">
        <f t="shared" si="20"/>
        <v>0</v>
      </c>
      <c r="I28" s="1850">
        <f t="shared" si="21"/>
        <v>3659391.87</v>
      </c>
      <c r="J28" s="1851">
        <f t="shared" si="8"/>
        <v>118503.65</v>
      </c>
      <c r="K28" s="1851">
        <f t="shared" si="9"/>
        <v>1319720.24</v>
      </c>
      <c r="L28" s="1811">
        <v>35965.129999999997</v>
      </c>
      <c r="M28" s="1812">
        <v>0</v>
      </c>
      <c r="N28" s="1812">
        <v>11540.42</v>
      </c>
      <c r="O28" s="1812">
        <v>-0.22</v>
      </c>
      <c r="P28" s="1812">
        <v>0</v>
      </c>
      <c r="Q28" s="1813">
        <f t="shared" si="10"/>
        <v>47505.329999999994</v>
      </c>
      <c r="R28" s="1811">
        <v>8355.73</v>
      </c>
      <c r="S28" s="1812">
        <v>4749.42</v>
      </c>
      <c r="T28" s="1812">
        <v>0</v>
      </c>
      <c r="U28" s="1812">
        <v>-0.28000000000000003</v>
      </c>
      <c r="V28" s="1812">
        <v>0</v>
      </c>
      <c r="W28" s="1813">
        <f t="shared" si="11"/>
        <v>13104.869999999999</v>
      </c>
      <c r="X28" s="1827"/>
      <c r="Y28" s="1828"/>
      <c r="Z28" s="1828"/>
      <c r="AA28" s="1828"/>
      <c r="AB28" s="1828"/>
      <c r="AC28" s="1852">
        <f t="shared" si="12"/>
        <v>0</v>
      </c>
      <c r="AD28" s="1853">
        <v>1182822.2053846042</v>
      </c>
      <c r="AE28" s="1828">
        <v>627749.0146153958</v>
      </c>
      <c r="AF28" s="1828">
        <v>332114.74</v>
      </c>
      <c r="AG28" s="1828">
        <v>94115.08</v>
      </c>
      <c r="AH28" s="1828">
        <v>0</v>
      </c>
      <c r="AI28" s="1852">
        <f t="shared" si="13"/>
        <v>2236801.04</v>
      </c>
      <c r="AJ28" s="1853">
        <v>480030.13</v>
      </c>
      <c r="AK28" s="1828">
        <v>0</v>
      </c>
      <c r="AL28" s="1828">
        <v>857561.43</v>
      </c>
      <c r="AM28" s="1828">
        <v>24389.07</v>
      </c>
      <c r="AN28" s="1828">
        <v>0</v>
      </c>
      <c r="AO28" s="1852">
        <f t="shared" si="14"/>
        <v>1361980.6300000001</v>
      </c>
      <c r="AP28" s="1853"/>
      <c r="AQ28" s="1828"/>
      <c r="AR28" s="1828"/>
      <c r="AS28" s="1828"/>
      <c r="AT28" s="1828"/>
      <c r="AU28" s="1852">
        <f t="shared" si="15"/>
        <v>0</v>
      </c>
    </row>
    <row r="29" spans="1:47" ht="15" customHeight="1" x14ac:dyDescent="0.25">
      <c r="A29" s="1846" t="s">
        <v>64</v>
      </c>
      <c r="B29" s="1834" t="s">
        <v>65</v>
      </c>
      <c r="C29" s="1847" t="s">
        <v>266</v>
      </c>
      <c r="D29" s="1848">
        <f t="shared" si="16"/>
        <v>485417.77479135455</v>
      </c>
      <c r="E29" s="1849">
        <f t="shared" si="17"/>
        <v>225928.24520864547</v>
      </c>
      <c r="F29" s="1849">
        <f t="shared" si="18"/>
        <v>225580.53</v>
      </c>
      <c r="G29" s="1849">
        <f t="shared" si="19"/>
        <v>9545.69</v>
      </c>
      <c r="H29" s="1849">
        <f t="shared" si="20"/>
        <v>0</v>
      </c>
      <c r="I29" s="1850">
        <f t="shared" si="21"/>
        <v>946472.24</v>
      </c>
      <c r="J29" s="1851">
        <f t="shared" si="8"/>
        <v>9545.69</v>
      </c>
      <c r="K29" s="1851">
        <f t="shared" si="9"/>
        <v>235126.22</v>
      </c>
      <c r="L29" s="1811"/>
      <c r="M29" s="1812"/>
      <c r="N29" s="1812"/>
      <c r="O29" s="1812"/>
      <c r="P29" s="1812"/>
      <c r="Q29" s="1813">
        <f t="shared" si="10"/>
        <v>0</v>
      </c>
      <c r="R29" s="1811">
        <v>2231.94</v>
      </c>
      <c r="S29" s="1812">
        <v>1293.98</v>
      </c>
      <c r="T29" s="1812">
        <v>0</v>
      </c>
      <c r="U29" s="1812">
        <v>-0.05</v>
      </c>
      <c r="V29" s="1812">
        <v>0</v>
      </c>
      <c r="W29" s="1813">
        <f t="shared" si="11"/>
        <v>3525.87</v>
      </c>
      <c r="X29" s="1827"/>
      <c r="Y29" s="1828"/>
      <c r="Z29" s="1828"/>
      <c r="AA29" s="1828"/>
      <c r="AB29" s="1828"/>
      <c r="AC29" s="1852">
        <f t="shared" si="12"/>
        <v>0</v>
      </c>
      <c r="AD29" s="1853">
        <v>423319.28479135456</v>
      </c>
      <c r="AE29" s="1828">
        <v>224634.26520864546</v>
      </c>
      <c r="AF29" s="1828">
        <v>118853.19</v>
      </c>
      <c r="AG29" s="1828">
        <v>8497.9</v>
      </c>
      <c r="AH29" s="1828">
        <v>0</v>
      </c>
      <c r="AI29" s="1852">
        <f t="shared" si="13"/>
        <v>775304.64</v>
      </c>
      <c r="AJ29" s="1853">
        <v>59866.55</v>
      </c>
      <c r="AK29" s="1828">
        <v>0</v>
      </c>
      <c r="AL29" s="1828">
        <v>106727.34</v>
      </c>
      <c r="AM29" s="1828">
        <v>1047.8399999999999</v>
      </c>
      <c r="AN29" s="1828">
        <v>0</v>
      </c>
      <c r="AO29" s="1852">
        <f t="shared" si="14"/>
        <v>167641.73000000001</v>
      </c>
      <c r="AP29" s="1853"/>
      <c r="AQ29" s="1828"/>
      <c r="AR29" s="1828"/>
      <c r="AS29" s="1828"/>
      <c r="AT29" s="1828"/>
      <c r="AU29" s="1852">
        <f t="shared" si="15"/>
        <v>0</v>
      </c>
    </row>
    <row r="30" spans="1:47" ht="15" customHeight="1" x14ac:dyDescent="0.25">
      <c r="A30" s="1846" t="s">
        <v>68</v>
      </c>
      <c r="B30" s="1834" t="s">
        <v>69</v>
      </c>
      <c r="C30" s="1847" t="s">
        <v>268</v>
      </c>
      <c r="D30" s="1848">
        <f t="shared" si="16"/>
        <v>1393966.752214941</v>
      </c>
      <c r="E30" s="1849">
        <f t="shared" si="17"/>
        <v>619429.66778505885</v>
      </c>
      <c r="F30" s="1849">
        <f t="shared" si="18"/>
        <v>726823.46</v>
      </c>
      <c r="G30" s="1849">
        <f t="shared" si="19"/>
        <v>79481.7</v>
      </c>
      <c r="H30" s="1849">
        <f t="shared" si="20"/>
        <v>0</v>
      </c>
      <c r="I30" s="1850">
        <f t="shared" si="21"/>
        <v>2819701.5799999996</v>
      </c>
      <c r="J30" s="1851">
        <f t="shared" si="8"/>
        <v>79481.7</v>
      </c>
      <c r="K30" s="1851">
        <f t="shared" si="9"/>
        <v>806305.15999999992</v>
      </c>
      <c r="L30" s="1811"/>
      <c r="M30" s="1812"/>
      <c r="N30" s="1812"/>
      <c r="O30" s="1812"/>
      <c r="P30" s="1812"/>
      <c r="Q30" s="1813">
        <f t="shared" si="10"/>
        <v>0</v>
      </c>
      <c r="R30" s="1811"/>
      <c r="S30" s="1812"/>
      <c r="T30" s="1812"/>
      <c r="U30" s="1812"/>
      <c r="V30" s="1812"/>
      <c r="W30" s="1813">
        <f t="shared" si="11"/>
        <v>0</v>
      </c>
      <c r="X30" s="1827"/>
      <c r="Y30" s="1828"/>
      <c r="Z30" s="1828"/>
      <c r="AA30" s="1828"/>
      <c r="AB30" s="1828"/>
      <c r="AC30" s="1852">
        <f t="shared" si="12"/>
        <v>0</v>
      </c>
      <c r="AD30" s="1853">
        <v>1170498.582214941</v>
      </c>
      <c r="AE30" s="1828">
        <v>619429.66778505885</v>
      </c>
      <c r="AF30" s="1828">
        <v>328326.26</v>
      </c>
      <c r="AG30" s="1828">
        <v>70150.23</v>
      </c>
      <c r="AH30" s="1828">
        <v>0</v>
      </c>
      <c r="AI30" s="1852">
        <f t="shared" si="13"/>
        <v>2188404.7399999998</v>
      </c>
      <c r="AJ30" s="1853">
        <v>223468.17</v>
      </c>
      <c r="AK30" s="1828">
        <v>0</v>
      </c>
      <c r="AL30" s="1828">
        <v>398497.2</v>
      </c>
      <c r="AM30" s="1828">
        <v>9331.4699999999993</v>
      </c>
      <c r="AN30" s="1828">
        <v>0</v>
      </c>
      <c r="AO30" s="1852">
        <f t="shared" si="14"/>
        <v>631296.84</v>
      </c>
      <c r="AP30" s="1853"/>
      <c r="AQ30" s="1828"/>
      <c r="AR30" s="1828"/>
      <c r="AS30" s="1828"/>
      <c r="AT30" s="1828"/>
      <c r="AU30" s="1852">
        <f t="shared" si="15"/>
        <v>0</v>
      </c>
    </row>
    <row r="31" spans="1:47" ht="15" customHeight="1" x14ac:dyDescent="0.25">
      <c r="A31" s="1846" t="s">
        <v>70</v>
      </c>
      <c r="B31" s="1834" t="s">
        <v>71</v>
      </c>
      <c r="C31" s="1847" t="s">
        <v>264</v>
      </c>
      <c r="D31" s="1848">
        <f t="shared" si="16"/>
        <v>985393.71835786942</v>
      </c>
      <c r="E31" s="1849">
        <f t="shared" si="17"/>
        <v>488132.83164213045</v>
      </c>
      <c r="F31" s="1849">
        <f t="shared" si="18"/>
        <v>382231.18</v>
      </c>
      <c r="G31" s="1849">
        <f t="shared" si="19"/>
        <v>25659.149999999998</v>
      </c>
      <c r="H31" s="1849">
        <f t="shared" si="20"/>
        <v>0</v>
      </c>
      <c r="I31" s="1850">
        <f t="shared" si="21"/>
        <v>1881416.88</v>
      </c>
      <c r="J31" s="1851">
        <f t="shared" si="8"/>
        <v>25659.149999999998</v>
      </c>
      <c r="K31" s="1851">
        <f t="shared" si="9"/>
        <v>407890.33</v>
      </c>
      <c r="L31" s="1811"/>
      <c r="M31" s="1812"/>
      <c r="N31" s="1812"/>
      <c r="O31" s="1812"/>
      <c r="P31" s="1812"/>
      <c r="Q31" s="1813">
        <f t="shared" si="10"/>
        <v>0</v>
      </c>
      <c r="R31" s="1811">
        <v>6811.87</v>
      </c>
      <c r="S31" s="1812">
        <v>3945.97</v>
      </c>
      <c r="T31" s="1812">
        <v>0</v>
      </c>
      <c r="U31" s="1812">
        <v>-0.11</v>
      </c>
      <c r="V31" s="1812">
        <v>0</v>
      </c>
      <c r="W31" s="1813">
        <f t="shared" si="11"/>
        <v>10757.73</v>
      </c>
      <c r="X31" s="1827"/>
      <c r="Y31" s="1828"/>
      <c r="Z31" s="1828"/>
      <c r="AA31" s="1828"/>
      <c r="AB31" s="1828"/>
      <c r="AC31" s="1852">
        <f t="shared" si="12"/>
        <v>0</v>
      </c>
      <c r="AD31" s="1853">
        <v>909178.98835786944</v>
      </c>
      <c r="AE31" s="1828">
        <v>484186.86164213048</v>
      </c>
      <c r="AF31" s="1828">
        <v>255585.45</v>
      </c>
      <c r="AG31" s="1828">
        <v>25662.34</v>
      </c>
      <c r="AH31" s="1828">
        <v>0</v>
      </c>
      <c r="AI31" s="1852">
        <f t="shared" si="13"/>
        <v>1674613.64</v>
      </c>
      <c r="AJ31" s="1853">
        <v>69402.86</v>
      </c>
      <c r="AK31" s="1828">
        <v>0</v>
      </c>
      <c r="AL31" s="1828">
        <v>126645.73</v>
      </c>
      <c r="AM31" s="1828">
        <v>-3.08</v>
      </c>
      <c r="AN31" s="1828">
        <v>0</v>
      </c>
      <c r="AO31" s="1852">
        <f t="shared" si="14"/>
        <v>196045.51</v>
      </c>
      <c r="AP31" s="1853"/>
      <c r="AQ31" s="1828"/>
      <c r="AR31" s="1828"/>
      <c r="AS31" s="1828"/>
      <c r="AT31" s="1828"/>
      <c r="AU31" s="1852">
        <f t="shared" si="15"/>
        <v>0</v>
      </c>
    </row>
    <row r="32" spans="1:47" ht="15" customHeight="1" x14ac:dyDescent="0.25">
      <c r="A32" s="1846" t="s">
        <v>72</v>
      </c>
      <c r="B32" s="1834" t="s">
        <v>73</v>
      </c>
      <c r="C32" s="1847" t="s">
        <v>266</v>
      </c>
      <c r="D32" s="1848">
        <f t="shared" si="16"/>
        <v>561813.15233729035</v>
      </c>
      <c r="E32" s="1849">
        <f t="shared" si="17"/>
        <v>216909.48766270973</v>
      </c>
      <c r="F32" s="1849">
        <f t="shared" si="18"/>
        <v>387941.99</v>
      </c>
      <c r="G32" s="1849">
        <f t="shared" si="19"/>
        <v>7015.8</v>
      </c>
      <c r="H32" s="1849">
        <f t="shared" si="20"/>
        <v>0</v>
      </c>
      <c r="I32" s="1850">
        <f t="shared" si="21"/>
        <v>1173680.4300000002</v>
      </c>
      <c r="J32" s="1851">
        <f t="shared" si="8"/>
        <v>7015.8</v>
      </c>
      <c r="K32" s="1851">
        <f t="shared" si="9"/>
        <v>394957.79</v>
      </c>
      <c r="L32" s="1811"/>
      <c r="M32" s="1812"/>
      <c r="N32" s="1812"/>
      <c r="O32" s="1812"/>
      <c r="P32" s="1812"/>
      <c r="Q32" s="1813">
        <f t="shared" si="10"/>
        <v>0</v>
      </c>
      <c r="R32" s="1811">
        <v>18.77</v>
      </c>
      <c r="S32" s="1812">
        <v>10.14</v>
      </c>
      <c r="T32" s="1812">
        <v>0</v>
      </c>
      <c r="U32" s="1812">
        <v>0</v>
      </c>
      <c r="V32" s="1812">
        <v>0</v>
      </c>
      <c r="W32" s="1813">
        <f t="shared" si="11"/>
        <v>28.91</v>
      </c>
      <c r="X32" s="1827"/>
      <c r="Y32" s="1828"/>
      <c r="Z32" s="1828"/>
      <c r="AA32" s="1828"/>
      <c r="AB32" s="1828"/>
      <c r="AC32" s="1852">
        <f t="shared" si="12"/>
        <v>0</v>
      </c>
      <c r="AD32" s="1853">
        <v>408800.05233729031</v>
      </c>
      <c r="AE32" s="1828">
        <v>216899.34766270971</v>
      </c>
      <c r="AF32" s="1828">
        <v>114771.06</v>
      </c>
      <c r="AG32" s="1828">
        <v>6682.92</v>
      </c>
      <c r="AH32" s="1828">
        <v>0</v>
      </c>
      <c r="AI32" s="1852">
        <f t="shared" si="13"/>
        <v>747153.38</v>
      </c>
      <c r="AJ32" s="1853">
        <v>152994.32999999999</v>
      </c>
      <c r="AK32" s="1828">
        <v>0</v>
      </c>
      <c r="AL32" s="1828">
        <v>273170.93</v>
      </c>
      <c r="AM32" s="1828">
        <v>332.88</v>
      </c>
      <c r="AN32" s="1828">
        <v>0</v>
      </c>
      <c r="AO32" s="1852">
        <f t="shared" si="14"/>
        <v>426498.14</v>
      </c>
      <c r="AP32" s="1853"/>
      <c r="AQ32" s="1828"/>
      <c r="AR32" s="1828"/>
      <c r="AS32" s="1828"/>
      <c r="AT32" s="1828"/>
      <c r="AU32" s="1852">
        <f t="shared" si="15"/>
        <v>0</v>
      </c>
    </row>
    <row r="33" spans="1:47" ht="15" customHeight="1" x14ac:dyDescent="0.25">
      <c r="A33" s="1846" t="s">
        <v>74</v>
      </c>
      <c r="B33" s="1834" t="s">
        <v>302</v>
      </c>
      <c r="C33" s="1847" t="s">
        <v>267</v>
      </c>
      <c r="D33" s="1848">
        <f t="shared" si="16"/>
        <v>29282807.326573327</v>
      </c>
      <c r="E33" s="1849">
        <f t="shared" si="17"/>
        <v>6901847.653426677</v>
      </c>
      <c r="F33" s="1849">
        <f t="shared" si="18"/>
        <v>33209513.329999998</v>
      </c>
      <c r="G33" s="1849">
        <f t="shared" si="19"/>
        <v>-9.0399999999999991</v>
      </c>
      <c r="H33" s="1849">
        <f t="shared" si="20"/>
        <v>76396.11</v>
      </c>
      <c r="I33" s="1850">
        <f t="shared" si="21"/>
        <v>69470555.379999995</v>
      </c>
      <c r="J33" s="1851">
        <f t="shared" si="8"/>
        <v>76387.070000000007</v>
      </c>
      <c r="K33" s="1851">
        <f t="shared" si="9"/>
        <v>33285900.399999999</v>
      </c>
      <c r="L33" s="1811">
        <v>63760.62</v>
      </c>
      <c r="M33" s="1812">
        <v>0</v>
      </c>
      <c r="N33" s="1812">
        <v>20459.41</v>
      </c>
      <c r="O33" s="1812">
        <v>-0.03</v>
      </c>
      <c r="P33" s="1812">
        <v>76396.11</v>
      </c>
      <c r="Q33" s="1813">
        <f t="shared" si="10"/>
        <v>160616.10999999999</v>
      </c>
      <c r="R33" s="1811">
        <v>12862.61</v>
      </c>
      <c r="S33" s="1812">
        <v>7451.75</v>
      </c>
      <c r="T33" s="1812">
        <v>0</v>
      </c>
      <c r="U33" s="1812">
        <v>-0.09</v>
      </c>
      <c r="V33" s="1812">
        <v>0</v>
      </c>
      <c r="W33" s="1813">
        <f t="shared" si="11"/>
        <v>20314.27</v>
      </c>
      <c r="X33" s="1827"/>
      <c r="Y33" s="1828"/>
      <c r="Z33" s="1828"/>
      <c r="AA33" s="1828"/>
      <c r="AB33" s="1828"/>
      <c r="AC33" s="1852">
        <f t="shared" si="12"/>
        <v>0</v>
      </c>
      <c r="AD33" s="1853">
        <v>12874824.966573324</v>
      </c>
      <c r="AE33" s="1828">
        <v>6894395.903426677</v>
      </c>
      <c r="AF33" s="1828">
        <v>3626306.63</v>
      </c>
      <c r="AG33" s="1828">
        <v>-0.5</v>
      </c>
      <c r="AH33" s="1828">
        <v>0</v>
      </c>
      <c r="AI33" s="1852">
        <f t="shared" si="13"/>
        <v>23395527</v>
      </c>
      <c r="AJ33" s="1853">
        <v>16331359.130000001</v>
      </c>
      <c r="AK33" s="1828">
        <v>0</v>
      </c>
      <c r="AL33" s="1828">
        <v>29562747.289999999</v>
      </c>
      <c r="AM33" s="1828">
        <v>-8.42</v>
      </c>
      <c r="AN33" s="1828">
        <v>0</v>
      </c>
      <c r="AO33" s="1852">
        <f t="shared" si="14"/>
        <v>45894098</v>
      </c>
      <c r="AP33" s="1853"/>
      <c r="AQ33" s="1828"/>
      <c r="AR33" s="1828"/>
      <c r="AS33" s="1828"/>
      <c r="AT33" s="1828"/>
      <c r="AU33" s="1852">
        <f t="shared" si="15"/>
        <v>0</v>
      </c>
    </row>
    <row r="34" spans="1:47" ht="15" customHeight="1" x14ac:dyDescent="0.25">
      <c r="A34" s="1846" t="s">
        <v>76</v>
      </c>
      <c r="B34" s="1834" t="s">
        <v>77</v>
      </c>
      <c r="C34" s="1847" t="s">
        <v>267</v>
      </c>
      <c r="D34" s="1848">
        <f t="shared" si="16"/>
        <v>1628306.7000510767</v>
      </c>
      <c r="E34" s="1849">
        <f t="shared" si="17"/>
        <v>531596.76994892338</v>
      </c>
      <c r="F34" s="1849">
        <f t="shared" si="18"/>
        <v>1427562.46</v>
      </c>
      <c r="G34" s="1849">
        <f t="shared" si="19"/>
        <v>452714.7</v>
      </c>
      <c r="H34" s="1849">
        <f t="shared" si="20"/>
        <v>0</v>
      </c>
      <c r="I34" s="1850">
        <f t="shared" si="21"/>
        <v>4040180.6299999994</v>
      </c>
      <c r="J34" s="1851">
        <f t="shared" si="8"/>
        <v>452714.7</v>
      </c>
      <c r="K34" s="1851">
        <f t="shared" si="9"/>
        <v>1880277.16</v>
      </c>
      <c r="L34" s="1811"/>
      <c r="M34" s="1812"/>
      <c r="N34" s="1812"/>
      <c r="O34" s="1812"/>
      <c r="P34" s="1812"/>
      <c r="Q34" s="1813">
        <f t="shared" si="10"/>
        <v>0</v>
      </c>
      <c r="R34" s="1811">
        <v>3407.29</v>
      </c>
      <c r="S34" s="1812">
        <v>1963.61</v>
      </c>
      <c r="T34" s="1812">
        <v>0</v>
      </c>
      <c r="U34" s="1812">
        <v>-0.06</v>
      </c>
      <c r="V34" s="1812">
        <v>0</v>
      </c>
      <c r="W34" s="1813">
        <f t="shared" si="11"/>
        <v>5370.8399999999992</v>
      </c>
      <c r="X34" s="1827"/>
      <c r="Y34" s="1828"/>
      <c r="Z34" s="1828"/>
      <c r="AA34" s="1828"/>
      <c r="AB34" s="1828"/>
      <c r="AC34" s="1852">
        <f t="shared" si="12"/>
        <v>0</v>
      </c>
      <c r="AD34" s="1853">
        <v>986743.97005107661</v>
      </c>
      <c r="AE34" s="1828">
        <v>529633.15994892339</v>
      </c>
      <c r="AF34" s="1828">
        <v>278151.06</v>
      </c>
      <c r="AG34" s="1828">
        <v>447917.8</v>
      </c>
      <c r="AH34" s="1828">
        <v>0</v>
      </c>
      <c r="AI34" s="1852">
        <f t="shared" si="13"/>
        <v>2242445.9899999998</v>
      </c>
      <c r="AJ34" s="1853">
        <v>638155.43999999994</v>
      </c>
      <c r="AK34" s="1828">
        <v>0</v>
      </c>
      <c r="AL34" s="1828">
        <v>1149411.3999999999</v>
      </c>
      <c r="AM34" s="1828">
        <v>4796.96</v>
      </c>
      <c r="AN34" s="1828">
        <v>0</v>
      </c>
      <c r="AO34" s="1852">
        <f t="shared" si="14"/>
        <v>1792363.7999999998</v>
      </c>
      <c r="AP34" s="1853"/>
      <c r="AQ34" s="1828"/>
      <c r="AR34" s="1828"/>
      <c r="AS34" s="1828"/>
      <c r="AT34" s="1828"/>
      <c r="AU34" s="1852">
        <f t="shared" si="15"/>
        <v>0</v>
      </c>
    </row>
    <row r="35" spans="1:47" ht="15" customHeight="1" x14ac:dyDescent="0.25">
      <c r="A35" s="1846" t="s">
        <v>78</v>
      </c>
      <c r="B35" s="1834" t="s">
        <v>79</v>
      </c>
      <c r="C35" s="1847" t="s">
        <v>268</v>
      </c>
      <c r="D35" s="1848">
        <f t="shared" si="16"/>
        <v>452077.05319721089</v>
      </c>
      <c r="E35" s="1849">
        <f t="shared" si="17"/>
        <v>209337.70680278912</v>
      </c>
      <c r="F35" s="1849">
        <f t="shared" si="18"/>
        <v>212587.04</v>
      </c>
      <c r="G35" s="1849">
        <f t="shared" si="19"/>
        <v>2219.83</v>
      </c>
      <c r="H35" s="1849">
        <f t="shared" si="20"/>
        <v>0</v>
      </c>
      <c r="I35" s="1850">
        <f t="shared" si="21"/>
        <v>876221.63000000012</v>
      </c>
      <c r="J35" s="1851">
        <f t="shared" si="8"/>
        <v>2219.83</v>
      </c>
      <c r="K35" s="1851">
        <f t="shared" si="9"/>
        <v>214806.87</v>
      </c>
      <c r="L35" s="1811"/>
      <c r="M35" s="1812"/>
      <c r="N35" s="1812"/>
      <c r="O35" s="1812"/>
      <c r="P35" s="1812"/>
      <c r="Q35" s="1813">
        <f t="shared" si="10"/>
        <v>0</v>
      </c>
      <c r="R35" s="1811">
        <v>2817.55</v>
      </c>
      <c r="S35" s="1812">
        <v>1624.9</v>
      </c>
      <c r="T35" s="1812">
        <v>0</v>
      </c>
      <c r="U35" s="1812">
        <v>-0.14000000000000001</v>
      </c>
      <c r="V35" s="1812">
        <v>0</v>
      </c>
      <c r="W35" s="1813">
        <f t="shared" si="11"/>
        <v>4442.3100000000004</v>
      </c>
      <c r="X35" s="1827"/>
      <c r="Y35" s="1828"/>
      <c r="Z35" s="1828"/>
      <c r="AA35" s="1828"/>
      <c r="AB35" s="1828"/>
      <c r="AC35" s="1852">
        <f t="shared" si="12"/>
        <v>0</v>
      </c>
      <c r="AD35" s="1853">
        <v>391702.26319721091</v>
      </c>
      <c r="AE35" s="1828">
        <v>207712.80680278913</v>
      </c>
      <c r="AF35" s="1828">
        <v>109949.08</v>
      </c>
      <c r="AG35" s="1828">
        <v>2121.5</v>
      </c>
      <c r="AH35" s="1828">
        <v>0</v>
      </c>
      <c r="AI35" s="1852">
        <f t="shared" si="13"/>
        <v>711485.65</v>
      </c>
      <c r="AJ35" s="1853">
        <v>57557.24</v>
      </c>
      <c r="AK35" s="1828">
        <v>0</v>
      </c>
      <c r="AL35" s="1828">
        <v>102637.96</v>
      </c>
      <c r="AM35" s="1828">
        <v>98.47</v>
      </c>
      <c r="AN35" s="1828">
        <v>0</v>
      </c>
      <c r="AO35" s="1852">
        <f t="shared" si="14"/>
        <v>160293.67000000001</v>
      </c>
      <c r="AP35" s="1853"/>
      <c r="AQ35" s="1828"/>
      <c r="AR35" s="1828"/>
      <c r="AS35" s="1828"/>
      <c r="AT35" s="1828"/>
      <c r="AU35" s="1852">
        <f t="shared" si="15"/>
        <v>0</v>
      </c>
    </row>
    <row r="36" spans="1:47" ht="15" customHeight="1" x14ac:dyDescent="0.25">
      <c r="A36" s="1846" t="s">
        <v>80</v>
      </c>
      <c r="B36" s="1834" t="s">
        <v>81</v>
      </c>
      <c r="C36" s="1847" t="s">
        <v>266</v>
      </c>
      <c r="D36" s="1848">
        <f t="shared" si="16"/>
        <v>737766.05866693705</v>
      </c>
      <c r="E36" s="1849">
        <f t="shared" si="17"/>
        <v>265443.26133306301</v>
      </c>
      <c r="F36" s="1849">
        <f t="shared" si="18"/>
        <v>560098.99</v>
      </c>
      <c r="G36" s="1849">
        <f t="shared" si="19"/>
        <v>57783.49</v>
      </c>
      <c r="H36" s="1849">
        <f t="shared" si="20"/>
        <v>0</v>
      </c>
      <c r="I36" s="1850">
        <f t="shared" si="21"/>
        <v>1621091.7999999998</v>
      </c>
      <c r="J36" s="1851">
        <f t="shared" si="8"/>
        <v>57783.49</v>
      </c>
      <c r="K36" s="1851">
        <f t="shared" si="9"/>
        <v>617882.48</v>
      </c>
      <c r="L36" s="1811"/>
      <c r="M36" s="1812"/>
      <c r="N36" s="1812"/>
      <c r="O36" s="1812"/>
      <c r="P36" s="1812"/>
      <c r="Q36" s="1813">
        <f t="shared" si="10"/>
        <v>0</v>
      </c>
      <c r="R36" s="1811">
        <v>4400</v>
      </c>
      <c r="S36" s="1812">
        <v>600</v>
      </c>
      <c r="T36" s="1812">
        <v>0</v>
      </c>
      <c r="U36" s="1812">
        <v>0</v>
      </c>
      <c r="V36" s="1812">
        <v>0</v>
      </c>
      <c r="W36" s="1813">
        <f t="shared" si="11"/>
        <v>5000</v>
      </c>
      <c r="X36" s="1827">
        <v>770.17</v>
      </c>
      <c r="Y36" s="1828">
        <v>247.15</v>
      </c>
      <c r="Z36" s="1828">
        <v>0</v>
      </c>
      <c r="AA36" s="1828">
        <v>0</v>
      </c>
      <c r="AB36" s="1828">
        <v>0</v>
      </c>
      <c r="AC36" s="1852">
        <f t="shared" si="12"/>
        <v>1017.3199999999999</v>
      </c>
      <c r="AD36" s="1853">
        <v>501174.70866693702</v>
      </c>
      <c r="AE36" s="1828">
        <v>264596.11133306299</v>
      </c>
      <c r="AF36" s="1828">
        <v>140465.23000000001</v>
      </c>
      <c r="AG36" s="1828">
        <v>3833.47</v>
      </c>
      <c r="AH36" s="1828">
        <v>0</v>
      </c>
      <c r="AI36" s="1852">
        <f t="shared" si="13"/>
        <v>910069.52</v>
      </c>
      <c r="AJ36" s="1853">
        <v>231421.18</v>
      </c>
      <c r="AK36" s="1828">
        <v>0</v>
      </c>
      <c r="AL36" s="1828">
        <v>419633.76</v>
      </c>
      <c r="AM36" s="1828">
        <v>53950.02</v>
      </c>
      <c r="AN36" s="1828">
        <v>0</v>
      </c>
      <c r="AO36" s="1852">
        <f t="shared" si="14"/>
        <v>705004.96</v>
      </c>
      <c r="AP36" s="1853"/>
      <c r="AQ36" s="1828"/>
      <c r="AR36" s="1828"/>
      <c r="AS36" s="1828"/>
      <c r="AT36" s="1828"/>
      <c r="AU36" s="1852">
        <f t="shared" si="15"/>
        <v>0</v>
      </c>
    </row>
    <row r="37" spans="1:47" ht="15" customHeight="1" x14ac:dyDescent="0.25">
      <c r="A37" s="1846" t="s">
        <v>84</v>
      </c>
      <c r="B37" s="1834" t="s">
        <v>308</v>
      </c>
      <c r="C37" s="1847" t="s">
        <v>265</v>
      </c>
      <c r="D37" s="1848">
        <f t="shared" si="16"/>
        <v>1722301.8506564607</v>
      </c>
      <c r="E37" s="1849">
        <f t="shared" si="17"/>
        <v>686737.24934353924</v>
      </c>
      <c r="F37" s="1849">
        <f t="shared" si="18"/>
        <v>1123036.5900000001</v>
      </c>
      <c r="G37" s="1849">
        <f t="shared" si="19"/>
        <v>21489.45</v>
      </c>
      <c r="H37" s="1849">
        <f t="shared" si="20"/>
        <v>0</v>
      </c>
      <c r="I37" s="1850">
        <f t="shared" si="21"/>
        <v>3553565.1399999997</v>
      </c>
      <c r="J37" s="1851">
        <f t="shared" ref="J37:J68" si="22">G37+H37</f>
        <v>21489.45</v>
      </c>
      <c r="K37" s="1851">
        <f t="shared" ref="K37:K68" si="23">F37+J37</f>
        <v>1144526.04</v>
      </c>
      <c r="L37" s="1811"/>
      <c r="M37" s="1812"/>
      <c r="N37" s="1812"/>
      <c r="O37" s="1812"/>
      <c r="P37" s="1812"/>
      <c r="Q37" s="1813">
        <f t="shared" ref="Q37:Q68" si="24">SUM(L37:P37)</f>
        <v>0</v>
      </c>
      <c r="R37" s="1811">
        <v>14514.58</v>
      </c>
      <c r="S37" s="1812">
        <v>8248.84</v>
      </c>
      <c r="T37" s="1812">
        <v>0</v>
      </c>
      <c r="U37" s="1812">
        <v>-0.1</v>
      </c>
      <c r="V37" s="1812">
        <v>0</v>
      </c>
      <c r="W37" s="1813">
        <f t="shared" ref="W37:W68" si="25">SUM(R37:V37)</f>
        <v>22763.32</v>
      </c>
      <c r="X37" s="1827">
        <v>0</v>
      </c>
      <c r="Y37" s="1828">
        <v>0</v>
      </c>
      <c r="Z37" s="1828">
        <v>0</v>
      </c>
      <c r="AA37" s="1828">
        <v>-65</v>
      </c>
      <c r="AB37" s="1828">
        <v>0</v>
      </c>
      <c r="AC37" s="1852">
        <f t="shared" ref="AC37:AC68" si="26">SUM(X37:AB37)</f>
        <v>-65</v>
      </c>
      <c r="AD37" s="1853">
        <v>1279945.8306564607</v>
      </c>
      <c r="AE37" s="1828">
        <v>678488.40934353927</v>
      </c>
      <c r="AF37" s="1828">
        <v>359236.84</v>
      </c>
      <c r="AG37" s="1828">
        <v>15057.19</v>
      </c>
      <c r="AH37" s="1828">
        <v>0</v>
      </c>
      <c r="AI37" s="1852">
        <f t="shared" ref="AI37:AI68" si="27">SUM(AD37:AH37)</f>
        <v>2332728.27</v>
      </c>
      <c r="AJ37" s="1853">
        <v>427841.44</v>
      </c>
      <c r="AK37" s="1828">
        <v>0</v>
      </c>
      <c r="AL37" s="1828">
        <v>763799.75</v>
      </c>
      <c r="AM37" s="1828">
        <v>6497.36</v>
      </c>
      <c r="AN37" s="1828">
        <v>0</v>
      </c>
      <c r="AO37" s="1852">
        <f t="shared" ref="AO37:AO68" si="28">SUM(AJ37:AN37)</f>
        <v>1198138.55</v>
      </c>
      <c r="AP37" s="1853"/>
      <c r="AQ37" s="1828"/>
      <c r="AR37" s="1828"/>
      <c r="AS37" s="1828"/>
      <c r="AT37" s="1828"/>
      <c r="AU37" s="1852">
        <f t="shared" ref="AU37:AU68" si="29">SUM(AP37:AT37)</f>
        <v>0</v>
      </c>
    </row>
    <row r="38" spans="1:47" ht="15" customHeight="1" x14ac:dyDescent="0.25">
      <c r="A38" s="1846" t="s">
        <v>86</v>
      </c>
      <c r="B38" s="1834" t="s">
        <v>87</v>
      </c>
      <c r="C38" s="1847" t="s">
        <v>267</v>
      </c>
      <c r="D38" s="1848">
        <f t="shared" si="16"/>
        <v>2219629.6046359986</v>
      </c>
      <c r="E38" s="1849">
        <f t="shared" si="17"/>
        <v>609525.82536400121</v>
      </c>
      <c r="F38" s="1849">
        <f t="shared" si="18"/>
        <v>2271264.33</v>
      </c>
      <c r="G38" s="1849">
        <f t="shared" si="19"/>
        <v>2486.25</v>
      </c>
      <c r="H38" s="1849">
        <f t="shared" si="20"/>
        <v>0</v>
      </c>
      <c r="I38" s="1850">
        <f t="shared" si="21"/>
        <v>5102906.01</v>
      </c>
      <c r="J38" s="1851">
        <f t="shared" si="22"/>
        <v>2486.25</v>
      </c>
      <c r="K38" s="1851">
        <f t="shared" si="23"/>
        <v>2273750.58</v>
      </c>
      <c r="L38" s="1811"/>
      <c r="M38" s="1812"/>
      <c r="N38" s="1812"/>
      <c r="O38" s="1812"/>
      <c r="P38" s="1812"/>
      <c r="Q38" s="1813">
        <f t="shared" si="24"/>
        <v>0</v>
      </c>
      <c r="R38" s="1811">
        <v>143.03</v>
      </c>
      <c r="S38" s="1812">
        <v>82.98</v>
      </c>
      <c r="T38" s="1812">
        <v>0</v>
      </c>
      <c r="U38" s="1812">
        <v>-0.02</v>
      </c>
      <c r="V38" s="1812">
        <v>0</v>
      </c>
      <c r="W38" s="1813">
        <f t="shared" si="25"/>
        <v>225.98999999999998</v>
      </c>
      <c r="X38" s="1827"/>
      <c r="Y38" s="1828"/>
      <c r="Z38" s="1828"/>
      <c r="AA38" s="1828"/>
      <c r="AB38" s="1828"/>
      <c r="AC38" s="1852">
        <f t="shared" si="26"/>
        <v>0</v>
      </c>
      <c r="AD38" s="1853">
        <v>1135244.9846359987</v>
      </c>
      <c r="AE38" s="1828">
        <v>609442.84536400123</v>
      </c>
      <c r="AF38" s="1828">
        <v>320029.92</v>
      </c>
      <c r="AG38" s="1828">
        <v>1195.24</v>
      </c>
      <c r="AH38" s="1828">
        <v>0</v>
      </c>
      <c r="AI38" s="1852">
        <f t="shared" si="27"/>
        <v>2065912.99</v>
      </c>
      <c r="AJ38" s="1853">
        <v>1084241.5900000001</v>
      </c>
      <c r="AK38" s="1828">
        <v>0</v>
      </c>
      <c r="AL38" s="1828">
        <v>1951234.41</v>
      </c>
      <c r="AM38" s="1828">
        <v>1291.03</v>
      </c>
      <c r="AN38" s="1828">
        <v>0</v>
      </c>
      <c r="AO38" s="1852">
        <f t="shared" si="28"/>
        <v>3036767.03</v>
      </c>
      <c r="AP38" s="1853"/>
      <c r="AQ38" s="1828"/>
      <c r="AR38" s="1828"/>
      <c r="AS38" s="1828"/>
      <c r="AT38" s="1828"/>
      <c r="AU38" s="1852">
        <f t="shared" si="29"/>
        <v>0</v>
      </c>
    </row>
    <row r="39" spans="1:47" ht="15" customHeight="1" x14ac:dyDescent="0.25">
      <c r="A39" s="1846" t="s">
        <v>92</v>
      </c>
      <c r="B39" s="1834" t="s">
        <v>93</v>
      </c>
      <c r="C39" s="1847" t="s">
        <v>268</v>
      </c>
      <c r="D39" s="1848">
        <f t="shared" si="16"/>
        <v>753603.30933104979</v>
      </c>
      <c r="E39" s="1849">
        <f t="shared" si="17"/>
        <v>366792.12066895026</v>
      </c>
      <c r="F39" s="1849">
        <f t="shared" si="18"/>
        <v>303606.96999999997</v>
      </c>
      <c r="G39" s="1849">
        <f t="shared" si="19"/>
        <v>32516.34</v>
      </c>
      <c r="H39" s="1849">
        <f t="shared" si="20"/>
        <v>0</v>
      </c>
      <c r="I39" s="1850">
        <f t="shared" si="21"/>
        <v>1456518.74</v>
      </c>
      <c r="J39" s="1851">
        <f t="shared" si="22"/>
        <v>32516.34</v>
      </c>
      <c r="K39" s="1851">
        <f t="shared" si="23"/>
        <v>336123.31</v>
      </c>
      <c r="L39" s="1811"/>
      <c r="M39" s="1812"/>
      <c r="N39" s="1812"/>
      <c r="O39" s="1812"/>
      <c r="P39" s="1812"/>
      <c r="Q39" s="1813">
        <f t="shared" si="24"/>
        <v>0</v>
      </c>
      <c r="R39" s="1811">
        <v>8319.16</v>
      </c>
      <c r="S39" s="1812">
        <v>4819.53</v>
      </c>
      <c r="T39" s="1812">
        <v>0</v>
      </c>
      <c r="U39" s="1812">
        <v>-0.12</v>
      </c>
      <c r="V39" s="1812">
        <v>0</v>
      </c>
      <c r="W39" s="1813">
        <f t="shared" si="25"/>
        <v>13138.569999999998</v>
      </c>
      <c r="X39" s="1827"/>
      <c r="Y39" s="1828"/>
      <c r="Z39" s="1828"/>
      <c r="AA39" s="1828"/>
      <c r="AB39" s="1828"/>
      <c r="AC39" s="1852">
        <f t="shared" si="26"/>
        <v>0</v>
      </c>
      <c r="AD39" s="1853">
        <v>682461.72933104972</v>
      </c>
      <c r="AE39" s="1828">
        <v>361972.59066895023</v>
      </c>
      <c r="AF39" s="1828">
        <v>191580</v>
      </c>
      <c r="AG39" s="1828">
        <v>32517.73</v>
      </c>
      <c r="AH39" s="1828">
        <v>0</v>
      </c>
      <c r="AI39" s="1852">
        <f t="shared" si="27"/>
        <v>1268532.0499999998</v>
      </c>
      <c r="AJ39" s="1853">
        <v>62822.42</v>
      </c>
      <c r="AK39" s="1828">
        <v>0</v>
      </c>
      <c r="AL39" s="1828">
        <v>112026.97</v>
      </c>
      <c r="AM39" s="1828">
        <v>-1.27</v>
      </c>
      <c r="AN39" s="1828">
        <v>0</v>
      </c>
      <c r="AO39" s="1852">
        <f t="shared" si="28"/>
        <v>174848.12000000002</v>
      </c>
      <c r="AP39" s="1853"/>
      <c r="AQ39" s="1828"/>
      <c r="AR39" s="1828"/>
      <c r="AS39" s="1828"/>
      <c r="AT39" s="1828"/>
      <c r="AU39" s="1852">
        <f t="shared" si="29"/>
        <v>0</v>
      </c>
    </row>
    <row r="40" spans="1:47" ht="15" customHeight="1" x14ac:dyDescent="0.25">
      <c r="A40" s="1846" t="s">
        <v>94</v>
      </c>
      <c r="B40" s="1834" t="s">
        <v>95</v>
      </c>
      <c r="C40" s="1847" t="s">
        <v>264</v>
      </c>
      <c r="D40" s="1848">
        <f t="shared" si="16"/>
        <v>1216449.8318227157</v>
      </c>
      <c r="E40" s="1849">
        <f t="shared" si="17"/>
        <v>466842.85817728436</v>
      </c>
      <c r="F40" s="1849">
        <f t="shared" si="18"/>
        <v>875904.8</v>
      </c>
      <c r="G40" s="1849">
        <f t="shared" si="19"/>
        <v>43439.61</v>
      </c>
      <c r="H40" s="1849">
        <f t="shared" si="20"/>
        <v>0</v>
      </c>
      <c r="I40" s="1850">
        <f t="shared" si="21"/>
        <v>2602637.1</v>
      </c>
      <c r="J40" s="1851">
        <f t="shared" si="22"/>
        <v>43439.61</v>
      </c>
      <c r="K40" s="1851">
        <f t="shared" si="23"/>
        <v>919344.41</v>
      </c>
      <c r="L40" s="1811"/>
      <c r="M40" s="1812"/>
      <c r="N40" s="1812"/>
      <c r="O40" s="1812"/>
      <c r="P40" s="1812"/>
      <c r="Q40" s="1813">
        <f t="shared" si="24"/>
        <v>0</v>
      </c>
      <c r="R40" s="1811">
        <v>6556.16</v>
      </c>
      <c r="S40" s="1812">
        <v>3682.87</v>
      </c>
      <c r="T40" s="1812">
        <v>0</v>
      </c>
      <c r="U40" s="1812">
        <v>-0.03</v>
      </c>
      <c r="V40" s="1812">
        <v>0</v>
      </c>
      <c r="W40" s="1813">
        <f t="shared" si="25"/>
        <v>10238.999999999998</v>
      </c>
      <c r="X40" s="1827">
        <v>157.1</v>
      </c>
      <c r="Y40" s="1828">
        <v>50.43</v>
      </c>
      <c r="Z40" s="1828">
        <v>0</v>
      </c>
      <c r="AA40" s="1828">
        <v>-0.01</v>
      </c>
      <c r="AB40" s="1828">
        <v>0</v>
      </c>
      <c r="AC40" s="1852">
        <f t="shared" si="26"/>
        <v>207.52</v>
      </c>
      <c r="AD40" s="1853">
        <v>868421.74182271562</v>
      </c>
      <c r="AE40" s="1828">
        <v>463109.55817728437</v>
      </c>
      <c r="AF40" s="1828">
        <v>244241.81</v>
      </c>
      <c r="AG40" s="1828">
        <v>3881.64</v>
      </c>
      <c r="AH40" s="1828">
        <v>0</v>
      </c>
      <c r="AI40" s="1852">
        <f t="shared" si="27"/>
        <v>1579654.75</v>
      </c>
      <c r="AJ40" s="1853">
        <v>341314.83</v>
      </c>
      <c r="AK40" s="1828">
        <v>0</v>
      </c>
      <c r="AL40" s="1828">
        <v>631662.99</v>
      </c>
      <c r="AM40" s="1828">
        <v>39558.01</v>
      </c>
      <c r="AN40" s="1828">
        <v>0</v>
      </c>
      <c r="AO40" s="1852">
        <f t="shared" si="28"/>
        <v>1012535.8300000001</v>
      </c>
      <c r="AP40" s="1853"/>
      <c r="AQ40" s="1828"/>
      <c r="AR40" s="1828"/>
      <c r="AS40" s="1828"/>
      <c r="AT40" s="1828"/>
      <c r="AU40" s="1852">
        <f t="shared" si="29"/>
        <v>0</v>
      </c>
    </row>
    <row r="41" spans="1:47" ht="15" customHeight="1" x14ac:dyDescent="0.25">
      <c r="A41" s="1846" t="s">
        <v>96</v>
      </c>
      <c r="B41" s="1834" t="s">
        <v>97</v>
      </c>
      <c r="C41" s="1847" t="s">
        <v>266</v>
      </c>
      <c r="D41" s="1848">
        <f t="shared" si="16"/>
        <v>684731.69154349156</v>
      </c>
      <c r="E41" s="1849">
        <f t="shared" si="17"/>
        <v>257607.23845650835</v>
      </c>
      <c r="F41" s="1849">
        <f t="shared" si="18"/>
        <v>490647.17</v>
      </c>
      <c r="G41" s="1849">
        <f t="shared" si="19"/>
        <v>35369.660000000003</v>
      </c>
      <c r="H41" s="1849">
        <f t="shared" si="20"/>
        <v>0</v>
      </c>
      <c r="I41" s="1850">
        <f t="shared" si="21"/>
        <v>1468355.7599999998</v>
      </c>
      <c r="J41" s="1851">
        <f t="shared" si="22"/>
        <v>35369.660000000003</v>
      </c>
      <c r="K41" s="1851">
        <f t="shared" si="23"/>
        <v>526016.82999999996</v>
      </c>
      <c r="L41" s="1811"/>
      <c r="M41" s="1812"/>
      <c r="N41" s="1812"/>
      <c r="O41" s="1812"/>
      <c r="P41" s="1812"/>
      <c r="Q41" s="1813">
        <f t="shared" si="24"/>
        <v>0</v>
      </c>
      <c r="R41" s="1811">
        <v>1046.3599999999999</v>
      </c>
      <c r="S41" s="1812">
        <v>606.35</v>
      </c>
      <c r="T41" s="1812">
        <v>0</v>
      </c>
      <c r="U41" s="1812">
        <v>-0.1</v>
      </c>
      <c r="V41" s="1812">
        <v>0</v>
      </c>
      <c r="W41" s="1813">
        <f t="shared" si="25"/>
        <v>1652.6100000000001</v>
      </c>
      <c r="X41" s="1827"/>
      <c r="Y41" s="1828"/>
      <c r="Z41" s="1828"/>
      <c r="AA41" s="1828"/>
      <c r="AB41" s="1828"/>
      <c r="AC41" s="1852">
        <f t="shared" si="26"/>
        <v>0</v>
      </c>
      <c r="AD41" s="1853">
        <v>485172.54154349159</v>
      </c>
      <c r="AE41" s="1828">
        <v>257000.88845650834</v>
      </c>
      <c r="AF41" s="1828">
        <v>136135.18</v>
      </c>
      <c r="AG41" s="1828">
        <v>35370.14</v>
      </c>
      <c r="AH41" s="1828">
        <v>0</v>
      </c>
      <c r="AI41" s="1852">
        <f t="shared" si="27"/>
        <v>913678.74999999988</v>
      </c>
      <c r="AJ41" s="1853">
        <v>198512.79</v>
      </c>
      <c r="AK41" s="1828">
        <v>0</v>
      </c>
      <c r="AL41" s="1828">
        <v>354511.99</v>
      </c>
      <c r="AM41" s="1828">
        <v>-0.38</v>
      </c>
      <c r="AN41" s="1828">
        <v>0</v>
      </c>
      <c r="AO41" s="1852">
        <f t="shared" si="28"/>
        <v>553024.4</v>
      </c>
      <c r="AP41" s="1853"/>
      <c r="AQ41" s="1828"/>
      <c r="AR41" s="1828"/>
      <c r="AS41" s="1828"/>
      <c r="AT41" s="1828"/>
      <c r="AU41" s="1852">
        <f t="shared" si="29"/>
        <v>0</v>
      </c>
    </row>
    <row r="42" spans="1:47" ht="15" customHeight="1" x14ac:dyDescent="0.25">
      <c r="A42" s="1846" t="s">
        <v>98</v>
      </c>
      <c r="B42" s="1834" t="s">
        <v>99</v>
      </c>
      <c r="C42" s="1847" t="s">
        <v>268</v>
      </c>
      <c r="D42" s="1848">
        <f t="shared" si="16"/>
        <v>677907.04650682444</v>
      </c>
      <c r="E42" s="1849">
        <f t="shared" si="17"/>
        <v>342648.10349317559</v>
      </c>
      <c r="F42" s="1849">
        <f t="shared" si="18"/>
        <v>242356.8</v>
      </c>
      <c r="G42" s="1849">
        <f t="shared" si="19"/>
        <v>19532.63</v>
      </c>
      <c r="H42" s="1849">
        <f t="shared" si="20"/>
        <v>0</v>
      </c>
      <c r="I42" s="1850">
        <f t="shared" si="21"/>
        <v>1282444.58</v>
      </c>
      <c r="J42" s="1851">
        <f t="shared" si="22"/>
        <v>19532.63</v>
      </c>
      <c r="K42" s="1851">
        <f t="shared" si="23"/>
        <v>261889.43</v>
      </c>
      <c r="L42" s="1811"/>
      <c r="M42" s="1812"/>
      <c r="N42" s="1812"/>
      <c r="O42" s="1812"/>
      <c r="P42" s="1812"/>
      <c r="Q42" s="1813">
        <f t="shared" si="24"/>
        <v>0</v>
      </c>
      <c r="R42" s="1811"/>
      <c r="S42" s="1812"/>
      <c r="T42" s="1812"/>
      <c r="U42" s="1812"/>
      <c r="V42" s="1812"/>
      <c r="W42" s="1813">
        <f t="shared" si="25"/>
        <v>0</v>
      </c>
      <c r="X42" s="1827"/>
      <c r="Y42" s="1828"/>
      <c r="Z42" s="1828"/>
      <c r="AA42" s="1828"/>
      <c r="AB42" s="1828"/>
      <c r="AC42" s="1852">
        <f t="shared" si="26"/>
        <v>0</v>
      </c>
      <c r="AD42" s="1853">
        <v>643430.42650682444</v>
      </c>
      <c r="AE42" s="1828">
        <v>342648.10349317559</v>
      </c>
      <c r="AF42" s="1828">
        <v>180876.87</v>
      </c>
      <c r="AG42" s="1828">
        <v>19533.3</v>
      </c>
      <c r="AH42" s="1828">
        <v>0</v>
      </c>
      <c r="AI42" s="1852">
        <f t="shared" si="27"/>
        <v>1186488.7</v>
      </c>
      <c r="AJ42" s="1853">
        <v>34476.620000000003</v>
      </c>
      <c r="AK42" s="1828">
        <v>0</v>
      </c>
      <c r="AL42" s="1828">
        <v>61479.93</v>
      </c>
      <c r="AM42" s="1828">
        <v>-0.67</v>
      </c>
      <c r="AN42" s="1828">
        <v>0</v>
      </c>
      <c r="AO42" s="1852">
        <f t="shared" si="28"/>
        <v>95955.88</v>
      </c>
      <c r="AP42" s="1853"/>
      <c r="AQ42" s="1828"/>
      <c r="AR42" s="1828"/>
      <c r="AS42" s="1828"/>
      <c r="AT42" s="1828"/>
      <c r="AU42" s="1852">
        <f t="shared" si="29"/>
        <v>0</v>
      </c>
    </row>
    <row r="43" spans="1:47" ht="15" customHeight="1" x14ac:dyDescent="0.25">
      <c r="A43" s="1846" t="s">
        <v>100</v>
      </c>
      <c r="B43" s="1834" t="s">
        <v>101</v>
      </c>
      <c r="C43" s="1847" t="s">
        <v>267</v>
      </c>
      <c r="D43" s="1848">
        <f t="shared" si="16"/>
        <v>601594.71075223852</v>
      </c>
      <c r="E43" s="1849">
        <f t="shared" si="17"/>
        <v>216202.59924776139</v>
      </c>
      <c r="F43" s="1849">
        <f t="shared" si="18"/>
        <v>409944.07</v>
      </c>
      <c r="G43" s="1849">
        <f t="shared" si="19"/>
        <v>7154.83</v>
      </c>
      <c r="H43" s="1849">
        <f t="shared" si="20"/>
        <v>0</v>
      </c>
      <c r="I43" s="1850">
        <f t="shared" si="21"/>
        <v>1234896.21</v>
      </c>
      <c r="J43" s="1851">
        <f t="shared" si="22"/>
        <v>7154.83</v>
      </c>
      <c r="K43" s="1851">
        <f t="shared" si="23"/>
        <v>417098.9</v>
      </c>
      <c r="L43" s="1811"/>
      <c r="M43" s="1812"/>
      <c r="N43" s="1812"/>
      <c r="O43" s="1812"/>
      <c r="P43" s="1812"/>
      <c r="Q43" s="1813">
        <f t="shared" si="24"/>
        <v>0</v>
      </c>
      <c r="R43" s="1811"/>
      <c r="S43" s="1812"/>
      <c r="T43" s="1812"/>
      <c r="U43" s="1812"/>
      <c r="V43" s="1812"/>
      <c r="W43" s="1813">
        <f t="shared" si="25"/>
        <v>0</v>
      </c>
      <c r="X43" s="1827"/>
      <c r="Y43" s="1828"/>
      <c r="Z43" s="1828"/>
      <c r="AA43" s="1828"/>
      <c r="AB43" s="1828"/>
      <c r="AC43" s="1852">
        <f t="shared" si="26"/>
        <v>0</v>
      </c>
      <c r="AD43" s="1853">
        <v>406421.65075223858</v>
      </c>
      <c r="AE43" s="1828">
        <v>216202.59924776139</v>
      </c>
      <c r="AF43" s="1828">
        <v>114208.33</v>
      </c>
      <c r="AG43" s="1828">
        <v>6949.63</v>
      </c>
      <c r="AH43" s="1828">
        <v>0</v>
      </c>
      <c r="AI43" s="1852">
        <f t="shared" si="27"/>
        <v>743782.21</v>
      </c>
      <c r="AJ43" s="1853">
        <v>165562.23999999999</v>
      </c>
      <c r="AK43" s="1828">
        <v>0</v>
      </c>
      <c r="AL43" s="1828">
        <v>295735.74</v>
      </c>
      <c r="AM43" s="1828">
        <v>205.2</v>
      </c>
      <c r="AN43" s="1828">
        <v>0</v>
      </c>
      <c r="AO43" s="1852">
        <f t="shared" si="28"/>
        <v>461503.18</v>
      </c>
      <c r="AP43" s="1853">
        <v>29610.82</v>
      </c>
      <c r="AQ43" s="1828">
        <v>0</v>
      </c>
      <c r="AR43" s="1828">
        <v>0</v>
      </c>
      <c r="AS43" s="1828">
        <v>0</v>
      </c>
      <c r="AT43" s="1828">
        <v>0</v>
      </c>
      <c r="AU43" s="1852">
        <f t="shared" si="29"/>
        <v>29610.82</v>
      </c>
    </row>
    <row r="44" spans="1:47" ht="15" customHeight="1" x14ac:dyDescent="0.25">
      <c r="A44" s="1846" t="s">
        <v>102</v>
      </c>
      <c r="B44" s="1834" t="s">
        <v>103</v>
      </c>
      <c r="C44" s="1847" t="s">
        <v>264</v>
      </c>
      <c r="D44" s="1848">
        <f t="shared" si="16"/>
        <v>1084575.4897279032</v>
      </c>
      <c r="E44" s="1849">
        <f t="shared" si="17"/>
        <v>550946.91027209687</v>
      </c>
      <c r="F44" s="1849">
        <f t="shared" si="18"/>
        <v>329544.61000000004</v>
      </c>
      <c r="G44" s="1849">
        <f t="shared" si="19"/>
        <v>105283.39</v>
      </c>
      <c r="H44" s="1849">
        <f t="shared" si="20"/>
        <v>0</v>
      </c>
      <c r="I44" s="1850">
        <f t="shared" si="21"/>
        <v>2070350.4000000001</v>
      </c>
      <c r="J44" s="1851">
        <f t="shared" si="22"/>
        <v>105283.39</v>
      </c>
      <c r="K44" s="1851">
        <f t="shared" si="23"/>
        <v>434828.00000000006</v>
      </c>
      <c r="L44" s="1811"/>
      <c r="M44" s="1812"/>
      <c r="N44" s="1812"/>
      <c r="O44" s="1812"/>
      <c r="P44" s="1812"/>
      <c r="Q44" s="1813">
        <f t="shared" si="24"/>
        <v>0</v>
      </c>
      <c r="R44" s="1811">
        <v>6882.6</v>
      </c>
      <c r="S44" s="1812">
        <v>3990.42</v>
      </c>
      <c r="T44" s="1812">
        <v>0</v>
      </c>
      <c r="U44" s="1812">
        <v>-0.21</v>
      </c>
      <c r="V44" s="1812">
        <v>0</v>
      </c>
      <c r="W44" s="1813">
        <f t="shared" si="25"/>
        <v>10872.810000000001</v>
      </c>
      <c r="X44" s="1827"/>
      <c r="Y44" s="1828"/>
      <c r="Z44" s="1828"/>
      <c r="AA44" s="1828"/>
      <c r="AB44" s="1828"/>
      <c r="AC44" s="1852">
        <f t="shared" si="26"/>
        <v>0</v>
      </c>
      <c r="AD44" s="1853">
        <v>1026336.5697279032</v>
      </c>
      <c r="AE44" s="1828">
        <v>546956.49027209682</v>
      </c>
      <c r="AF44" s="1828">
        <v>288589.71000000002</v>
      </c>
      <c r="AG44" s="1828">
        <v>105274.11</v>
      </c>
      <c r="AH44" s="1828">
        <v>0</v>
      </c>
      <c r="AI44" s="1852">
        <f t="shared" si="27"/>
        <v>1967156.8800000001</v>
      </c>
      <c r="AJ44" s="1853">
        <v>22966.84</v>
      </c>
      <c r="AK44" s="1828">
        <v>0</v>
      </c>
      <c r="AL44" s="1828">
        <v>40954.9</v>
      </c>
      <c r="AM44" s="1828">
        <v>-1.58</v>
      </c>
      <c r="AN44" s="1828">
        <v>0</v>
      </c>
      <c r="AO44" s="1852">
        <f t="shared" si="28"/>
        <v>63920.160000000003</v>
      </c>
      <c r="AP44" s="1853">
        <v>28389.48</v>
      </c>
      <c r="AQ44" s="1828">
        <v>0</v>
      </c>
      <c r="AR44" s="1828">
        <v>0</v>
      </c>
      <c r="AS44" s="1828">
        <v>11.07</v>
      </c>
      <c r="AT44" s="1828">
        <v>0</v>
      </c>
      <c r="AU44" s="1852">
        <f t="shared" si="29"/>
        <v>28400.55</v>
      </c>
    </row>
    <row r="45" spans="1:47" ht="15" customHeight="1" x14ac:dyDescent="0.25">
      <c r="A45" s="1846" t="s">
        <v>104</v>
      </c>
      <c r="B45" s="1834" t="s">
        <v>309</v>
      </c>
      <c r="C45" s="1847" t="s">
        <v>265</v>
      </c>
      <c r="D45" s="1848">
        <f t="shared" si="16"/>
        <v>1701118.9560332536</v>
      </c>
      <c r="E45" s="1849">
        <f t="shared" si="17"/>
        <v>842834.0739667468</v>
      </c>
      <c r="F45" s="1849">
        <f t="shared" si="18"/>
        <v>615370.12</v>
      </c>
      <c r="G45" s="1849">
        <f t="shared" si="19"/>
        <v>85095.37999999999</v>
      </c>
      <c r="H45" s="1849">
        <f t="shared" si="20"/>
        <v>0</v>
      </c>
      <c r="I45" s="1850">
        <f t="shared" si="21"/>
        <v>3244418.5300000003</v>
      </c>
      <c r="J45" s="1851">
        <f t="shared" si="22"/>
        <v>85095.37999999999</v>
      </c>
      <c r="K45" s="1851">
        <f t="shared" si="23"/>
        <v>700465.5</v>
      </c>
      <c r="L45" s="1811"/>
      <c r="M45" s="1812"/>
      <c r="N45" s="1812"/>
      <c r="O45" s="1812"/>
      <c r="P45" s="1812"/>
      <c r="Q45" s="1813">
        <f t="shared" si="24"/>
        <v>0</v>
      </c>
      <c r="R45" s="1811">
        <v>9653.11</v>
      </c>
      <c r="S45" s="1812">
        <v>5538.29</v>
      </c>
      <c r="T45" s="1812">
        <v>0</v>
      </c>
      <c r="U45" s="1812">
        <v>-0.17</v>
      </c>
      <c r="V45" s="1812">
        <v>0</v>
      </c>
      <c r="W45" s="1813">
        <f t="shared" si="25"/>
        <v>15191.230000000001</v>
      </c>
      <c r="X45" s="1827"/>
      <c r="Y45" s="1828"/>
      <c r="Z45" s="1828"/>
      <c r="AA45" s="1828"/>
      <c r="AB45" s="1828"/>
      <c r="AC45" s="1852">
        <f t="shared" si="26"/>
        <v>0</v>
      </c>
      <c r="AD45" s="1853">
        <v>1571115.4460332533</v>
      </c>
      <c r="AE45" s="1828">
        <v>837295.78396674676</v>
      </c>
      <c r="AF45" s="1828">
        <v>441777.7</v>
      </c>
      <c r="AG45" s="1828">
        <v>85096.29</v>
      </c>
      <c r="AH45" s="1828">
        <v>0</v>
      </c>
      <c r="AI45" s="1852">
        <f t="shared" si="27"/>
        <v>2935285.22</v>
      </c>
      <c r="AJ45" s="1853">
        <v>95574.32</v>
      </c>
      <c r="AK45" s="1828">
        <v>0</v>
      </c>
      <c r="AL45" s="1828">
        <v>173592.42</v>
      </c>
      <c r="AM45" s="1828">
        <v>-0.74</v>
      </c>
      <c r="AN45" s="1828">
        <v>0</v>
      </c>
      <c r="AO45" s="1852">
        <f t="shared" si="28"/>
        <v>269166</v>
      </c>
      <c r="AP45" s="1853">
        <v>24776.080000000002</v>
      </c>
      <c r="AQ45" s="1828">
        <v>0</v>
      </c>
      <c r="AR45" s="1828">
        <v>0</v>
      </c>
      <c r="AS45" s="1828">
        <v>0</v>
      </c>
      <c r="AT45" s="1828">
        <v>0</v>
      </c>
      <c r="AU45" s="1852">
        <f t="shared" si="29"/>
        <v>24776.080000000002</v>
      </c>
    </row>
    <row r="46" spans="1:47" ht="15" customHeight="1" x14ac:dyDescent="0.25">
      <c r="A46" s="1846" t="s">
        <v>108</v>
      </c>
      <c r="B46" s="1834" t="s">
        <v>109</v>
      </c>
      <c r="C46" s="1847" t="s">
        <v>266</v>
      </c>
      <c r="D46" s="1848">
        <f t="shared" si="16"/>
        <v>1760527.0640335656</v>
      </c>
      <c r="E46" s="1849">
        <f t="shared" si="17"/>
        <v>603523.64596643462</v>
      </c>
      <c r="F46" s="1849">
        <f t="shared" si="18"/>
        <v>1411310.09</v>
      </c>
      <c r="G46" s="1849">
        <f t="shared" si="19"/>
        <v>49151.29</v>
      </c>
      <c r="H46" s="1849">
        <f t="shared" si="20"/>
        <v>0</v>
      </c>
      <c r="I46" s="1850">
        <f t="shared" si="21"/>
        <v>3824512.09</v>
      </c>
      <c r="J46" s="1851">
        <f t="shared" si="22"/>
        <v>49151.29</v>
      </c>
      <c r="K46" s="1851">
        <f t="shared" si="23"/>
        <v>1460461.3800000001</v>
      </c>
      <c r="L46" s="1811">
        <v>19769.810000000001</v>
      </c>
      <c r="M46" s="1812">
        <v>0</v>
      </c>
      <c r="N46" s="1812">
        <v>6343.69</v>
      </c>
      <c r="O46" s="1812">
        <v>-0.2</v>
      </c>
      <c r="P46" s="1812">
        <v>0</v>
      </c>
      <c r="Q46" s="1813">
        <f t="shared" si="24"/>
        <v>26113.3</v>
      </c>
      <c r="R46" s="1811">
        <v>5806.49</v>
      </c>
      <c r="S46" s="1812">
        <v>3350.92</v>
      </c>
      <c r="T46" s="1812">
        <v>0</v>
      </c>
      <c r="U46" s="1812">
        <v>-0.06</v>
      </c>
      <c r="V46" s="1812">
        <v>0</v>
      </c>
      <c r="W46" s="1813">
        <f t="shared" si="25"/>
        <v>9157.35</v>
      </c>
      <c r="X46" s="1827"/>
      <c r="Y46" s="1828"/>
      <c r="Z46" s="1828"/>
      <c r="AA46" s="1828"/>
      <c r="AB46" s="1828"/>
      <c r="AC46" s="1852">
        <f t="shared" si="26"/>
        <v>0</v>
      </c>
      <c r="AD46" s="1853">
        <v>1125810.6740335654</v>
      </c>
      <c r="AE46" s="1828">
        <v>600172.72596643458</v>
      </c>
      <c r="AF46" s="1828">
        <v>316598.82</v>
      </c>
      <c r="AG46" s="1828">
        <v>28643.5</v>
      </c>
      <c r="AH46" s="1828">
        <v>0</v>
      </c>
      <c r="AI46" s="1852">
        <f t="shared" si="27"/>
        <v>2071225.72</v>
      </c>
      <c r="AJ46" s="1853">
        <v>609140.09</v>
      </c>
      <c r="AK46" s="1828">
        <v>0</v>
      </c>
      <c r="AL46" s="1828">
        <v>1088367.58</v>
      </c>
      <c r="AM46" s="1828">
        <v>20508.05</v>
      </c>
      <c r="AN46" s="1828">
        <v>0</v>
      </c>
      <c r="AO46" s="1852">
        <f t="shared" si="28"/>
        <v>1718015.72</v>
      </c>
      <c r="AP46" s="1853"/>
      <c r="AQ46" s="1828"/>
      <c r="AR46" s="1828"/>
      <c r="AS46" s="1828"/>
      <c r="AT46" s="1828"/>
      <c r="AU46" s="1852">
        <f t="shared" si="29"/>
        <v>0</v>
      </c>
    </row>
    <row r="47" spans="1:47" ht="15" customHeight="1" x14ac:dyDescent="0.25">
      <c r="A47" s="1846" t="s">
        <v>110</v>
      </c>
      <c r="B47" s="1834" t="s">
        <v>111</v>
      </c>
      <c r="C47" s="1847" t="s">
        <v>266</v>
      </c>
      <c r="D47" s="1848">
        <f t="shared" si="16"/>
        <v>6594607.3833221961</v>
      </c>
      <c r="E47" s="1849">
        <f t="shared" si="17"/>
        <v>2639627.026677805</v>
      </c>
      <c r="F47" s="1849">
        <f t="shared" si="18"/>
        <v>4104815.6799999997</v>
      </c>
      <c r="G47" s="1849">
        <f t="shared" si="19"/>
        <v>90061.15</v>
      </c>
      <c r="H47" s="1849">
        <f t="shared" si="20"/>
        <v>0</v>
      </c>
      <c r="I47" s="1850">
        <f t="shared" si="21"/>
        <v>13429111.24</v>
      </c>
      <c r="J47" s="1851">
        <f t="shared" si="22"/>
        <v>90061.15</v>
      </c>
      <c r="K47" s="1851">
        <f t="shared" si="23"/>
        <v>4194876.83</v>
      </c>
      <c r="L47" s="1811">
        <v>126863.98</v>
      </c>
      <c r="M47" s="1812">
        <v>0</v>
      </c>
      <c r="N47" s="1812">
        <v>40707.360000000001</v>
      </c>
      <c r="O47" s="1812">
        <v>-0.18</v>
      </c>
      <c r="P47" s="1812">
        <v>0</v>
      </c>
      <c r="Q47" s="1813">
        <f t="shared" si="24"/>
        <v>167571.16</v>
      </c>
      <c r="R47" s="1811"/>
      <c r="S47" s="1812"/>
      <c r="T47" s="1812"/>
      <c r="U47" s="1812"/>
      <c r="V47" s="1812"/>
      <c r="W47" s="1813">
        <f t="shared" si="25"/>
        <v>0</v>
      </c>
      <c r="X47" s="1827"/>
      <c r="Y47" s="1828"/>
      <c r="Z47" s="1828"/>
      <c r="AA47" s="1828"/>
      <c r="AB47" s="1828"/>
      <c r="AC47" s="1852">
        <f t="shared" si="26"/>
        <v>0</v>
      </c>
      <c r="AD47" s="1853">
        <v>4979631.2133221952</v>
      </c>
      <c r="AE47" s="1828">
        <v>2639627.026677805</v>
      </c>
      <c r="AF47" s="1828">
        <v>1397611.17</v>
      </c>
      <c r="AG47" s="1828">
        <v>22972.16</v>
      </c>
      <c r="AH47" s="1828">
        <v>0</v>
      </c>
      <c r="AI47" s="1852">
        <f t="shared" si="27"/>
        <v>9039841.5700000003</v>
      </c>
      <c r="AJ47" s="1853">
        <v>1488112.19</v>
      </c>
      <c r="AK47" s="1828">
        <v>0</v>
      </c>
      <c r="AL47" s="1828">
        <v>2666497.15</v>
      </c>
      <c r="AM47" s="1828">
        <v>67089.17</v>
      </c>
      <c r="AN47" s="1828">
        <v>0</v>
      </c>
      <c r="AO47" s="1852">
        <f t="shared" si="28"/>
        <v>4221698.51</v>
      </c>
      <c r="AP47" s="1853"/>
      <c r="AQ47" s="1828"/>
      <c r="AR47" s="1828"/>
      <c r="AS47" s="1828"/>
      <c r="AT47" s="1828"/>
      <c r="AU47" s="1852">
        <f t="shared" si="29"/>
        <v>0</v>
      </c>
    </row>
    <row r="48" spans="1:47" ht="15" customHeight="1" x14ac:dyDescent="0.25">
      <c r="A48" s="1846" t="s">
        <v>112</v>
      </c>
      <c r="B48" s="1834" t="s">
        <v>300</v>
      </c>
      <c r="C48" s="1847" t="s">
        <v>265</v>
      </c>
      <c r="D48" s="1848">
        <f t="shared" si="16"/>
        <v>2566575.2035155995</v>
      </c>
      <c r="E48" s="1849">
        <f t="shared" si="17"/>
        <v>1325892.4164844009</v>
      </c>
      <c r="F48" s="1849">
        <f t="shared" si="18"/>
        <v>714043.59000000008</v>
      </c>
      <c r="G48" s="1849">
        <f t="shared" si="19"/>
        <v>10073.400000000001</v>
      </c>
      <c r="H48" s="1849">
        <f t="shared" si="20"/>
        <v>0</v>
      </c>
      <c r="I48" s="1850">
        <f t="shared" si="21"/>
        <v>4616584.6100000003</v>
      </c>
      <c r="J48" s="1851">
        <f t="shared" si="22"/>
        <v>10073.400000000001</v>
      </c>
      <c r="K48" s="1851">
        <f t="shared" si="23"/>
        <v>724116.99000000011</v>
      </c>
      <c r="L48" s="1811">
        <v>64364.61</v>
      </c>
      <c r="M48" s="1812">
        <v>0</v>
      </c>
      <c r="N48" s="1812">
        <v>20653.29</v>
      </c>
      <c r="O48" s="1812">
        <v>-0.14000000000000001</v>
      </c>
      <c r="P48" s="1812">
        <v>0</v>
      </c>
      <c r="Q48" s="1813">
        <f t="shared" si="24"/>
        <v>85017.76</v>
      </c>
      <c r="R48" s="1811">
        <v>20750</v>
      </c>
      <c r="S48" s="1812">
        <v>11902.23</v>
      </c>
      <c r="T48" s="1812">
        <v>0</v>
      </c>
      <c r="U48" s="1812">
        <v>-0.25</v>
      </c>
      <c r="V48" s="1812">
        <v>0</v>
      </c>
      <c r="W48" s="1813">
        <f t="shared" si="25"/>
        <v>32651.98</v>
      </c>
      <c r="X48" s="1853"/>
      <c r="Y48" s="1828"/>
      <c r="Z48" s="1854"/>
      <c r="AA48" s="1854"/>
      <c r="AB48" s="1854"/>
      <c r="AC48" s="1852">
        <f t="shared" si="26"/>
        <v>0</v>
      </c>
      <c r="AD48" s="1853">
        <v>2466120.9935155995</v>
      </c>
      <c r="AE48" s="1828">
        <v>1313990.1864844009</v>
      </c>
      <c r="AF48" s="1854">
        <v>693390.3</v>
      </c>
      <c r="AG48" s="1854">
        <v>10073.790000000001</v>
      </c>
      <c r="AH48" s="1854">
        <v>0</v>
      </c>
      <c r="AI48" s="1852">
        <f t="shared" si="27"/>
        <v>4483575.2700000005</v>
      </c>
      <c r="AJ48" s="1853"/>
      <c r="AK48" s="1828"/>
      <c r="AL48" s="1854"/>
      <c r="AM48" s="1854"/>
      <c r="AN48" s="1854"/>
      <c r="AO48" s="1852">
        <f t="shared" si="28"/>
        <v>0</v>
      </c>
      <c r="AP48" s="1853">
        <v>15339.6</v>
      </c>
      <c r="AQ48" s="1828">
        <v>0</v>
      </c>
      <c r="AR48" s="1854">
        <v>0</v>
      </c>
      <c r="AS48" s="1854">
        <v>0</v>
      </c>
      <c r="AT48" s="1854">
        <v>0</v>
      </c>
      <c r="AU48" s="1852">
        <f t="shared" si="29"/>
        <v>15339.6</v>
      </c>
    </row>
    <row r="49" spans="1:47" ht="15" customHeight="1" x14ac:dyDescent="0.25">
      <c r="A49" s="1846" t="s">
        <v>114</v>
      </c>
      <c r="B49" s="1834" t="s">
        <v>115</v>
      </c>
      <c r="C49" s="1847" t="s">
        <v>265</v>
      </c>
      <c r="D49" s="1848">
        <f t="shared" si="16"/>
        <v>153343.85646304549</v>
      </c>
      <c r="E49" s="1849">
        <f t="shared" si="17"/>
        <v>66234.203536954505</v>
      </c>
      <c r="F49" s="1849">
        <f t="shared" si="18"/>
        <v>84935.37</v>
      </c>
      <c r="G49" s="1849">
        <f t="shared" si="19"/>
        <v>7917.5300000000007</v>
      </c>
      <c r="H49" s="1849">
        <f t="shared" si="20"/>
        <v>0</v>
      </c>
      <c r="I49" s="1850">
        <f t="shared" si="21"/>
        <v>312430.96000000002</v>
      </c>
      <c r="J49" s="1851">
        <f t="shared" si="22"/>
        <v>7917.5300000000007</v>
      </c>
      <c r="K49" s="1851">
        <f t="shared" si="23"/>
        <v>92852.9</v>
      </c>
      <c r="L49" s="1811"/>
      <c r="M49" s="1812"/>
      <c r="N49" s="1812"/>
      <c r="O49" s="1812"/>
      <c r="P49" s="1812"/>
      <c r="Q49" s="1813">
        <f t="shared" si="24"/>
        <v>0</v>
      </c>
      <c r="R49" s="1811">
        <v>404.11</v>
      </c>
      <c r="S49" s="1812">
        <v>234.1</v>
      </c>
      <c r="T49" s="1812">
        <v>0</v>
      </c>
      <c r="U49" s="1812">
        <v>-0.11</v>
      </c>
      <c r="V49" s="1812">
        <v>0</v>
      </c>
      <c r="W49" s="1813">
        <f t="shared" si="25"/>
        <v>638.1</v>
      </c>
      <c r="X49" s="1853"/>
      <c r="Y49" s="1828"/>
      <c r="Z49" s="1854"/>
      <c r="AA49" s="1854"/>
      <c r="AB49" s="1854"/>
      <c r="AC49" s="1852">
        <f t="shared" si="26"/>
        <v>0</v>
      </c>
      <c r="AD49" s="1853">
        <v>124956.5664630455</v>
      </c>
      <c r="AE49" s="1828">
        <v>66000.103536954499</v>
      </c>
      <c r="AF49" s="1854">
        <v>35025.910000000003</v>
      </c>
      <c r="AG49" s="1854">
        <v>1497.51</v>
      </c>
      <c r="AH49" s="1854">
        <v>0</v>
      </c>
      <c r="AI49" s="1852">
        <f t="shared" si="27"/>
        <v>227480.09</v>
      </c>
      <c r="AJ49" s="1853">
        <v>27983.18</v>
      </c>
      <c r="AK49" s="1828">
        <v>0</v>
      </c>
      <c r="AL49" s="1854">
        <v>49909.46</v>
      </c>
      <c r="AM49" s="1854">
        <v>6420.13</v>
      </c>
      <c r="AN49" s="1854">
        <v>0</v>
      </c>
      <c r="AO49" s="1852">
        <f t="shared" si="28"/>
        <v>84312.77</v>
      </c>
      <c r="AP49" s="1853"/>
      <c r="AQ49" s="1828"/>
      <c r="AR49" s="1854"/>
      <c r="AS49" s="1854"/>
      <c r="AT49" s="1854"/>
      <c r="AU49" s="1852">
        <f t="shared" si="29"/>
        <v>0</v>
      </c>
    </row>
    <row r="50" spans="1:47" ht="15" customHeight="1" x14ac:dyDescent="0.25">
      <c r="A50" s="1846" t="s">
        <v>118</v>
      </c>
      <c r="B50" s="1834" t="s">
        <v>119</v>
      </c>
      <c r="C50" s="1847" t="s">
        <v>264</v>
      </c>
      <c r="D50" s="1848">
        <f t="shared" si="16"/>
        <v>1186659.8195419805</v>
      </c>
      <c r="E50" s="1849">
        <f t="shared" si="17"/>
        <v>543132.75045801932</v>
      </c>
      <c r="F50" s="1849">
        <f t="shared" si="18"/>
        <v>592642.3600000001</v>
      </c>
      <c r="G50" s="1849">
        <f t="shared" si="19"/>
        <v>-2783.66</v>
      </c>
      <c r="H50" s="1849">
        <f t="shared" si="20"/>
        <v>0</v>
      </c>
      <c r="I50" s="1850">
        <f t="shared" si="21"/>
        <v>2319651.2699999996</v>
      </c>
      <c r="J50" s="1851">
        <f t="shared" si="22"/>
        <v>-2783.66</v>
      </c>
      <c r="K50" s="1851">
        <f t="shared" si="23"/>
        <v>589858.70000000007</v>
      </c>
      <c r="L50" s="1811"/>
      <c r="M50" s="1812"/>
      <c r="N50" s="1812"/>
      <c r="O50" s="1812"/>
      <c r="P50" s="1812"/>
      <c r="Q50" s="1813">
        <f t="shared" si="24"/>
        <v>0</v>
      </c>
      <c r="R50" s="1811"/>
      <c r="S50" s="1812"/>
      <c r="T50" s="1812"/>
      <c r="U50" s="1812"/>
      <c r="V50" s="1812"/>
      <c r="W50" s="1813">
        <f t="shared" si="25"/>
        <v>0</v>
      </c>
      <c r="X50" s="1827"/>
      <c r="Y50" s="1828"/>
      <c r="Z50" s="1828"/>
      <c r="AA50" s="1828"/>
      <c r="AB50" s="1828"/>
      <c r="AC50" s="1852">
        <f t="shared" si="26"/>
        <v>0</v>
      </c>
      <c r="AD50" s="1853">
        <v>1021682.7195419805</v>
      </c>
      <c r="AE50" s="1828">
        <v>543132.75045801932</v>
      </c>
      <c r="AF50" s="1828">
        <v>287036.28000000003</v>
      </c>
      <c r="AG50" s="1828">
        <v>-3119.12</v>
      </c>
      <c r="AH50" s="1828">
        <v>0</v>
      </c>
      <c r="AI50" s="1852">
        <f t="shared" si="27"/>
        <v>1848732.6299999997</v>
      </c>
      <c r="AJ50" s="1853">
        <v>164977.1</v>
      </c>
      <c r="AK50" s="1828">
        <v>0</v>
      </c>
      <c r="AL50" s="1828">
        <v>305606.08</v>
      </c>
      <c r="AM50" s="1828">
        <v>335.46</v>
      </c>
      <c r="AN50" s="1828">
        <v>0</v>
      </c>
      <c r="AO50" s="1852">
        <f t="shared" si="28"/>
        <v>470918.64000000007</v>
      </c>
      <c r="AP50" s="1853"/>
      <c r="AQ50" s="1828"/>
      <c r="AR50" s="1828"/>
      <c r="AS50" s="1828"/>
      <c r="AT50" s="1828"/>
      <c r="AU50" s="1852">
        <f t="shared" si="29"/>
        <v>0</v>
      </c>
    </row>
    <row r="51" spans="1:47" ht="15" customHeight="1" x14ac:dyDescent="0.25">
      <c r="A51" s="1846" t="s">
        <v>120</v>
      </c>
      <c r="B51" s="1834" t="s">
        <v>121</v>
      </c>
      <c r="C51" s="1847" t="s">
        <v>264</v>
      </c>
      <c r="D51" s="1848">
        <f t="shared" si="16"/>
        <v>1619289.4625024116</v>
      </c>
      <c r="E51" s="1849">
        <f t="shared" si="17"/>
        <v>629377.66749758844</v>
      </c>
      <c r="F51" s="1849">
        <f t="shared" si="18"/>
        <v>1097279.7999999998</v>
      </c>
      <c r="G51" s="1849">
        <f t="shared" si="19"/>
        <v>304069.10000000003</v>
      </c>
      <c r="H51" s="1849">
        <f t="shared" si="20"/>
        <v>0</v>
      </c>
      <c r="I51" s="1850">
        <f t="shared" si="21"/>
        <v>3650016.03</v>
      </c>
      <c r="J51" s="1851">
        <f t="shared" si="22"/>
        <v>304069.10000000003</v>
      </c>
      <c r="K51" s="1851">
        <f t="shared" si="23"/>
        <v>1401348.9</v>
      </c>
      <c r="L51" s="1811"/>
      <c r="M51" s="1812"/>
      <c r="N51" s="1812"/>
      <c r="O51" s="1812"/>
      <c r="P51" s="1812"/>
      <c r="Q51" s="1813">
        <f t="shared" si="24"/>
        <v>0</v>
      </c>
      <c r="R51" s="1811">
        <v>2025.07</v>
      </c>
      <c r="S51" s="1812">
        <v>1173.73</v>
      </c>
      <c r="T51" s="1812">
        <v>0</v>
      </c>
      <c r="U51" s="1812">
        <v>-0.05</v>
      </c>
      <c r="V51" s="1812">
        <v>0</v>
      </c>
      <c r="W51" s="1813">
        <f t="shared" si="25"/>
        <v>3198.75</v>
      </c>
      <c r="X51" s="1827"/>
      <c r="Y51" s="1828"/>
      <c r="Z51" s="1828"/>
      <c r="AA51" s="1828"/>
      <c r="AB51" s="1828"/>
      <c r="AC51" s="1852">
        <f t="shared" si="26"/>
        <v>0</v>
      </c>
      <c r="AD51" s="1853">
        <v>1190122.5925024115</v>
      </c>
      <c r="AE51" s="1828">
        <v>628203.93749758846</v>
      </c>
      <c r="AF51" s="1828">
        <v>333536.73</v>
      </c>
      <c r="AG51" s="1828">
        <v>198362.04</v>
      </c>
      <c r="AH51" s="1828">
        <v>0</v>
      </c>
      <c r="AI51" s="1852">
        <f t="shared" si="27"/>
        <v>2350225.2999999998</v>
      </c>
      <c r="AJ51" s="1853">
        <v>427141.8</v>
      </c>
      <c r="AK51" s="1828">
        <v>0</v>
      </c>
      <c r="AL51" s="1828">
        <v>763743.07</v>
      </c>
      <c r="AM51" s="1828">
        <v>105707.11</v>
      </c>
      <c r="AN51" s="1828">
        <v>0</v>
      </c>
      <c r="AO51" s="1852">
        <f t="shared" si="28"/>
        <v>1296591.98</v>
      </c>
      <c r="AP51" s="1853"/>
      <c r="AQ51" s="1828"/>
      <c r="AR51" s="1828"/>
      <c r="AS51" s="1828"/>
      <c r="AT51" s="1828"/>
      <c r="AU51" s="1852">
        <f t="shared" si="29"/>
        <v>0</v>
      </c>
    </row>
    <row r="52" spans="1:47" ht="15" customHeight="1" x14ac:dyDescent="0.25">
      <c r="A52" s="1846" t="s">
        <v>122</v>
      </c>
      <c r="B52" s="1834" t="s">
        <v>271</v>
      </c>
      <c r="C52" s="1847" t="s">
        <v>266</v>
      </c>
      <c r="D52" s="1848">
        <f t="shared" si="16"/>
        <v>436358.06551354175</v>
      </c>
      <c r="E52" s="1849">
        <f t="shared" si="17"/>
        <v>203498.90448645825</v>
      </c>
      <c r="F52" s="1849">
        <f t="shared" si="18"/>
        <v>201509.68</v>
      </c>
      <c r="G52" s="1849">
        <f t="shared" si="19"/>
        <v>685.66000000000008</v>
      </c>
      <c r="H52" s="1849">
        <f t="shared" si="20"/>
        <v>0</v>
      </c>
      <c r="I52" s="1850">
        <f t="shared" si="21"/>
        <v>842052.30999999994</v>
      </c>
      <c r="J52" s="1851">
        <f t="shared" si="22"/>
        <v>685.66000000000008</v>
      </c>
      <c r="K52" s="1851">
        <f t="shared" si="23"/>
        <v>202195.34</v>
      </c>
      <c r="L52" s="1811"/>
      <c r="M52" s="1812"/>
      <c r="N52" s="1812"/>
      <c r="O52" s="1812"/>
      <c r="P52" s="1812"/>
      <c r="Q52" s="1813">
        <f t="shared" si="24"/>
        <v>0</v>
      </c>
      <c r="R52" s="1811">
        <v>2729.16</v>
      </c>
      <c r="S52" s="1812">
        <v>1570.56</v>
      </c>
      <c r="T52" s="1812">
        <v>0</v>
      </c>
      <c r="U52" s="1812">
        <v>-0.11</v>
      </c>
      <c r="V52" s="1812">
        <v>0</v>
      </c>
      <c r="W52" s="1813">
        <f t="shared" si="25"/>
        <v>4299.6099999999997</v>
      </c>
      <c r="X52" s="1827">
        <v>51.92</v>
      </c>
      <c r="Y52" s="1828">
        <v>16.670000000000002</v>
      </c>
      <c r="Z52" s="1828">
        <v>0</v>
      </c>
      <c r="AA52" s="1828">
        <v>-0.01</v>
      </c>
      <c r="AB52" s="1828">
        <v>0</v>
      </c>
      <c r="AC52" s="1852">
        <f t="shared" si="26"/>
        <v>68.58</v>
      </c>
      <c r="AD52" s="1853">
        <v>380481.06551354175</v>
      </c>
      <c r="AE52" s="1828">
        <v>201911.67448645824</v>
      </c>
      <c r="AF52" s="1828">
        <v>106827.73</v>
      </c>
      <c r="AG52" s="1828">
        <v>234.61</v>
      </c>
      <c r="AH52" s="1828">
        <v>0</v>
      </c>
      <c r="AI52" s="1852">
        <f t="shared" si="27"/>
        <v>689455.08</v>
      </c>
      <c r="AJ52" s="1853">
        <v>53095.92</v>
      </c>
      <c r="AK52" s="1828">
        <v>0</v>
      </c>
      <c r="AL52" s="1828">
        <v>94681.95</v>
      </c>
      <c r="AM52" s="1828">
        <v>451.17</v>
      </c>
      <c r="AN52" s="1828">
        <v>0</v>
      </c>
      <c r="AO52" s="1852">
        <f t="shared" si="28"/>
        <v>148229.04</v>
      </c>
      <c r="AP52" s="1853"/>
      <c r="AQ52" s="1828"/>
      <c r="AR52" s="1828"/>
      <c r="AS52" s="1828"/>
      <c r="AT52" s="1828"/>
      <c r="AU52" s="1852">
        <f t="shared" si="29"/>
        <v>0</v>
      </c>
    </row>
    <row r="53" spans="1:47" ht="15" customHeight="1" x14ac:dyDescent="0.25">
      <c r="A53" s="1846" t="s">
        <v>124</v>
      </c>
      <c r="B53" s="1834" t="s">
        <v>125</v>
      </c>
      <c r="C53" s="1847" t="s">
        <v>267</v>
      </c>
      <c r="D53" s="1848">
        <f t="shared" si="16"/>
        <v>705498.79060386261</v>
      </c>
      <c r="E53" s="1849">
        <f t="shared" si="17"/>
        <v>260149.55939613751</v>
      </c>
      <c r="F53" s="1849">
        <f t="shared" si="18"/>
        <v>531248.64000000001</v>
      </c>
      <c r="G53" s="1849">
        <f t="shared" si="19"/>
        <v>87712.03</v>
      </c>
      <c r="H53" s="1849">
        <f t="shared" si="20"/>
        <v>0</v>
      </c>
      <c r="I53" s="1850">
        <f t="shared" si="21"/>
        <v>1584609.02</v>
      </c>
      <c r="J53" s="1851">
        <f t="shared" si="22"/>
        <v>87712.03</v>
      </c>
      <c r="K53" s="1851">
        <f t="shared" si="23"/>
        <v>618960.67000000004</v>
      </c>
      <c r="L53" s="1811"/>
      <c r="M53" s="1812"/>
      <c r="N53" s="1812"/>
      <c r="O53" s="1812"/>
      <c r="P53" s="1812"/>
      <c r="Q53" s="1813">
        <f t="shared" si="24"/>
        <v>0</v>
      </c>
      <c r="R53" s="1811"/>
      <c r="S53" s="1812"/>
      <c r="T53" s="1812"/>
      <c r="U53" s="1812"/>
      <c r="V53" s="1812"/>
      <c r="W53" s="1813">
        <f t="shared" si="25"/>
        <v>0</v>
      </c>
      <c r="X53" s="1827"/>
      <c r="Y53" s="1828"/>
      <c r="Z53" s="1828"/>
      <c r="AA53" s="1828"/>
      <c r="AB53" s="1828"/>
      <c r="AC53" s="1852">
        <f t="shared" si="26"/>
        <v>0</v>
      </c>
      <c r="AD53" s="1853">
        <v>491864.65060386254</v>
      </c>
      <c r="AE53" s="1828">
        <v>260149.55939613751</v>
      </c>
      <c r="AF53" s="1828">
        <v>137942</v>
      </c>
      <c r="AG53" s="1828">
        <v>87715.26</v>
      </c>
      <c r="AH53" s="1828">
        <v>0</v>
      </c>
      <c r="AI53" s="1852">
        <f t="shared" si="27"/>
        <v>977671.47000000009</v>
      </c>
      <c r="AJ53" s="1853">
        <v>213634.14</v>
      </c>
      <c r="AK53" s="1828">
        <v>0</v>
      </c>
      <c r="AL53" s="1828">
        <v>393306.64</v>
      </c>
      <c r="AM53" s="1828">
        <v>-3.23</v>
      </c>
      <c r="AN53" s="1828">
        <v>0</v>
      </c>
      <c r="AO53" s="1852">
        <f t="shared" si="28"/>
        <v>606937.55000000005</v>
      </c>
      <c r="AP53" s="1853"/>
      <c r="AQ53" s="1828"/>
      <c r="AR53" s="1828"/>
      <c r="AS53" s="1828"/>
      <c r="AT53" s="1828"/>
      <c r="AU53" s="1852">
        <f t="shared" si="29"/>
        <v>0</v>
      </c>
    </row>
    <row r="54" spans="1:47" ht="15" customHeight="1" x14ac:dyDescent="0.25">
      <c r="A54" s="1846" t="s">
        <v>126</v>
      </c>
      <c r="B54" s="1834" t="s">
        <v>127</v>
      </c>
      <c r="C54" s="1847" t="s">
        <v>266</v>
      </c>
      <c r="D54" s="1848">
        <f t="shared" si="16"/>
        <v>401711.01961622405</v>
      </c>
      <c r="E54" s="1849">
        <f t="shared" si="17"/>
        <v>185637.09038377594</v>
      </c>
      <c r="F54" s="1849">
        <f t="shared" si="18"/>
        <v>197602.86</v>
      </c>
      <c r="G54" s="1849">
        <f t="shared" si="19"/>
        <v>4802.28</v>
      </c>
      <c r="H54" s="1849">
        <f t="shared" si="20"/>
        <v>0</v>
      </c>
      <c r="I54" s="1850">
        <f t="shared" si="21"/>
        <v>789753.25</v>
      </c>
      <c r="J54" s="1851">
        <f t="shared" si="22"/>
        <v>4802.28</v>
      </c>
      <c r="K54" s="1851">
        <f t="shared" si="23"/>
        <v>202405.13999999998</v>
      </c>
      <c r="L54" s="1811"/>
      <c r="M54" s="1812"/>
      <c r="N54" s="1812"/>
      <c r="O54" s="1812"/>
      <c r="P54" s="1812"/>
      <c r="Q54" s="1813">
        <f t="shared" si="24"/>
        <v>0</v>
      </c>
      <c r="R54" s="1811"/>
      <c r="S54" s="1812"/>
      <c r="T54" s="1812"/>
      <c r="U54" s="1812"/>
      <c r="V54" s="1812"/>
      <c r="W54" s="1813">
        <f t="shared" si="25"/>
        <v>0</v>
      </c>
      <c r="X54" s="1827"/>
      <c r="Y54" s="1828"/>
      <c r="Z54" s="1828"/>
      <c r="AA54" s="1828"/>
      <c r="AB54" s="1828"/>
      <c r="AC54" s="1852">
        <f t="shared" si="26"/>
        <v>0</v>
      </c>
      <c r="AD54" s="1853">
        <v>348138.12961622403</v>
      </c>
      <c r="AE54" s="1828">
        <v>185637.09038377594</v>
      </c>
      <c r="AF54" s="1828">
        <v>97909.74</v>
      </c>
      <c r="AG54" s="1828">
        <v>4805.5</v>
      </c>
      <c r="AH54" s="1828">
        <v>0</v>
      </c>
      <c r="AI54" s="1852">
        <f t="shared" si="27"/>
        <v>636490.46</v>
      </c>
      <c r="AJ54" s="1853">
        <v>53572.89</v>
      </c>
      <c r="AK54" s="1828">
        <v>0</v>
      </c>
      <c r="AL54" s="1828">
        <v>99693.119999999995</v>
      </c>
      <c r="AM54" s="1828">
        <v>-3.22</v>
      </c>
      <c r="AN54" s="1828">
        <v>0</v>
      </c>
      <c r="AO54" s="1852">
        <f t="shared" si="28"/>
        <v>153262.79</v>
      </c>
      <c r="AP54" s="1853"/>
      <c r="AQ54" s="1828"/>
      <c r="AR54" s="1828"/>
      <c r="AS54" s="1828"/>
      <c r="AT54" s="1828"/>
      <c r="AU54" s="1852">
        <f t="shared" si="29"/>
        <v>0</v>
      </c>
    </row>
    <row r="55" spans="1:47" ht="15" customHeight="1" x14ac:dyDescent="0.25">
      <c r="A55" s="1846" t="s">
        <v>128</v>
      </c>
      <c r="B55" s="1834" t="s">
        <v>129</v>
      </c>
      <c r="C55" s="1847" t="s">
        <v>266</v>
      </c>
      <c r="D55" s="1848">
        <f t="shared" si="16"/>
        <v>647650.02464583423</v>
      </c>
      <c r="E55" s="1849">
        <f t="shared" si="17"/>
        <v>302997.57535416575</v>
      </c>
      <c r="F55" s="1849">
        <f t="shared" si="18"/>
        <v>303327.69</v>
      </c>
      <c r="G55" s="1849">
        <f t="shared" si="19"/>
        <v>26534.329999999998</v>
      </c>
      <c r="H55" s="1849">
        <f t="shared" si="20"/>
        <v>0</v>
      </c>
      <c r="I55" s="1850">
        <f t="shared" si="21"/>
        <v>1280509.6199999999</v>
      </c>
      <c r="J55" s="1851">
        <f t="shared" si="22"/>
        <v>26534.329999999998</v>
      </c>
      <c r="K55" s="1851">
        <f t="shared" si="23"/>
        <v>329862.02</v>
      </c>
      <c r="L55" s="1811"/>
      <c r="M55" s="1812"/>
      <c r="N55" s="1812"/>
      <c r="O55" s="1812"/>
      <c r="P55" s="1812"/>
      <c r="Q55" s="1813">
        <f t="shared" si="24"/>
        <v>0</v>
      </c>
      <c r="R55" s="1811">
        <v>733.19</v>
      </c>
      <c r="S55" s="1812">
        <v>425.3</v>
      </c>
      <c r="T55" s="1812">
        <v>0</v>
      </c>
      <c r="U55" s="1812">
        <v>-0.08</v>
      </c>
      <c r="V55" s="1812">
        <v>0</v>
      </c>
      <c r="W55" s="1813">
        <f t="shared" si="25"/>
        <v>1158.4100000000001</v>
      </c>
      <c r="X55" s="1827"/>
      <c r="Y55" s="1828"/>
      <c r="Z55" s="1828"/>
      <c r="AA55" s="1828"/>
      <c r="AB55" s="1828"/>
      <c r="AC55" s="1852">
        <f t="shared" si="26"/>
        <v>0</v>
      </c>
      <c r="AD55" s="1853">
        <v>569938.94464583427</v>
      </c>
      <c r="AE55" s="1828">
        <v>302572.27535416576</v>
      </c>
      <c r="AF55" s="1828">
        <v>160043.74</v>
      </c>
      <c r="AG55" s="1828">
        <v>26535.43</v>
      </c>
      <c r="AH55" s="1828">
        <v>0</v>
      </c>
      <c r="AI55" s="1852">
        <f t="shared" si="27"/>
        <v>1059090.3899999999</v>
      </c>
      <c r="AJ55" s="1853">
        <v>76977.89</v>
      </c>
      <c r="AK55" s="1828">
        <v>0</v>
      </c>
      <c r="AL55" s="1828">
        <v>143283.95000000001</v>
      </c>
      <c r="AM55" s="1828">
        <v>-1.02</v>
      </c>
      <c r="AN55" s="1828">
        <v>0</v>
      </c>
      <c r="AO55" s="1852">
        <f t="shared" si="28"/>
        <v>220260.82000000004</v>
      </c>
      <c r="AP55" s="1853"/>
      <c r="AQ55" s="1828"/>
      <c r="AR55" s="1828"/>
      <c r="AS55" s="1828"/>
      <c r="AT55" s="1828"/>
      <c r="AU55" s="1852">
        <f t="shared" si="29"/>
        <v>0</v>
      </c>
    </row>
    <row r="56" spans="1:47" ht="15" customHeight="1" x14ac:dyDescent="0.25">
      <c r="A56" s="1846" t="s">
        <v>130</v>
      </c>
      <c r="B56" s="1834" t="s">
        <v>131</v>
      </c>
      <c r="C56" s="1847" t="s">
        <v>268</v>
      </c>
      <c r="D56" s="1848">
        <f t="shared" si="16"/>
        <v>1727491.359186281</v>
      </c>
      <c r="E56" s="1849">
        <f t="shared" si="17"/>
        <v>922202.42081371916</v>
      </c>
      <c r="F56" s="1849">
        <f t="shared" si="18"/>
        <v>484860.65</v>
      </c>
      <c r="G56" s="1849">
        <f t="shared" si="19"/>
        <v>15982.19</v>
      </c>
      <c r="H56" s="1849">
        <f t="shared" si="20"/>
        <v>0</v>
      </c>
      <c r="I56" s="1850">
        <f t="shared" si="21"/>
        <v>3150536.62</v>
      </c>
      <c r="J56" s="1851">
        <f t="shared" si="22"/>
        <v>15982.19</v>
      </c>
      <c r="K56" s="1851">
        <f t="shared" si="23"/>
        <v>500842.84</v>
      </c>
      <c r="L56" s="1811"/>
      <c r="M56" s="1812"/>
      <c r="N56" s="1812"/>
      <c r="O56" s="1812"/>
      <c r="P56" s="1812"/>
      <c r="Q56" s="1813">
        <f t="shared" si="24"/>
        <v>0</v>
      </c>
      <c r="R56" s="1811">
        <v>4053.77</v>
      </c>
      <c r="S56" s="1812">
        <v>2350.14</v>
      </c>
      <c r="T56" s="1812">
        <v>0</v>
      </c>
      <c r="U56" s="1812">
        <v>-0.05</v>
      </c>
      <c r="V56" s="1812">
        <v>0</v>
      </c>
      <c r="W56" s="1813">
        <f t="shared" si="25"/>
        <v>6403.86</v>
      </c>
      <c r="X56" s="1827"/>
      <c r="Y56" s="1828"/>
      <c r="Z56" s="1828"/>
      <c r="AA56" s="1828"/>
      <c r="AB56" s="1828"/>
      <c r="AC56" s="1852">
        <f t="shared" si="26"/>
        <v>0</v>
      </c>
      <c r="AD56" s="1853">
        <v>1723437.589186281</v>
      </c>
      <c r="AE56" s="1828">
        <v>919852.28081371915</v>
      </c>
      <c r="AF56" s="1828">
        <v>484860.65</v>
      </c>
      <c r="AG56" s="1828">
        <v>15982.24</v>
      </c>
      <c r="AH56" s="1828">
        <v>0</v>
      </c>
      <c r="AI56" s="1852">
        <f t="shared" si="27"/>
        <v>3144132.7600000002</v>
      </c>
      <c r="AJ56" s="1853"/>
      <c r="AK56" s="1828"/>
      <c r="AL56" s="1828"/>
      <c r="AM56" s="1828"/>
      <c r="AN56" s="1828"/>
      <c r="AO56" s="1852">
        <f t="shared" si="28"/>
        <v>0</v>
      </c>
      <c r="AP56" s="1853"/>
      <c r="AQ56" s="1828"/>
      <c r="AR56" s="1828"/>
      <c r="AS56" s="1828"/>
      <c r="AT56" s="1828"/>
      <c r="AU56" s="1852">
        <f t="shared" si="29"/>
        <v>0</v>
      </c>
    </row>
    <row r="57" spans="1:47" ht="15" customHeight="1" x14ac:dyDescent="0.25">
      <c r="A57" s="1846" t="s">
        <v>132</v>
      </c>
      <c r="B57" s="1834" t="s">
        <v>133</v>
      </c>
      <c r="C57" s="1847" t="s">
        <v>267</v>
      </c>
      <c r="D57" s="1848">
        <f t="shared" si="16"/>
        <v>4687007.42221082</v>
      </c>
      <c r="E57" s="1849">
        <f t="shared" si="17"/>
        <v>1030654.3677891796</v>
      </c>
      <c r="F57" s="1849">
        <f t="shared" si="18"/>
        <v>5551748.2400000002</v>
      </c>
      <c r="G57" s="1849">
        <f t="shared" si="19"/>
        <v>-13.09</v>
      </c>
      <c r="H57" s="1849">
        <f t="shared" si="20"/>
        <v>0</v>
      </c>
      <c r="I57" s="1850">
        <f t="shared" si="21"/>
        <v>11269396.940000001</v>
      </c>
      <c r="J57" s="1851">
        <f t="shared" si="22"/>
        <v>-13.09</v>
      </c>
      <c r="K57" s="1851">
        <f t="shared" si="23"/>
        <v>5551735.1500000004</v>
      </c>
      <c r="L57" s="1811"/>
      <c r="M57" s="1812"/>
      <c r="N57" s="1812"/>
      <c r="O57" s="1812"/>
      <c r="P57" s="1812"/>
      <c r="Q57" s="1813">
        <f t="shared" si="24"/>
        <v>0</v>
      </c>
      <c r="R57" s="1811">
        <v>11793.89</v>
      </c>
      <c r="S57" s="1812">
        <v>6830.2</v>
      </c>
      <c r="T57" s="1812">
        <v>0</v>
      </c>
      <c r="U57" s="1812">
        <v>-0.15</v>
      </c>
      <c r="V57" s="1812">
        <v>0</v>
      </c>
      <c r="W57" s="1813">
        <f t="shared" si="25"/>
        <v>18623.939999999999</v>
      </c>
      <c r="X57" s="1827"/>
      <c r="Y57" s="1828"/>
      <c r="Z57" s="1828"/>
      <c r="AA57" s="1828"/>
      <c r="AB57" s="1828"/>
      <c r="AC57" s="1852">
        <f t="shared" si="26"/>
        <v>0</v>
      </c>
      <c r="AD57" s="1853">
        <v>1900872.9422108205</v>
      </c>
      <c r="AE57" s="1828">
        <v>1023824.1677891796</v>
      </c>
      <c r="AF57" s="1828">
        <v>536482.12</v>
      </c>
      <c r="AG57" s="1828">
        <v>-3.23</v>
      </c>
      <c r="AH57" s="1828">
        <v>0</v>
      </c>
      <c r="AI57" s="1852">
        <f t="shared" si="27"/>
        <v>3461176.0000000005</v>
      </c>
      <c r="AJ57" s="1853">
        <v>2774340.59</v>
      </c>
      <c r="AK57" s="1828">
        <v>0</v>
      </c>
      <c r="AL57" s="1828">
        <v>5015266.12</v>
      </c>
      <c r="AM57" s="1828">
        <v>-9.7100000000000009</v>
      </c>
      <c r="AN57" s="1828">
        <v>0</v>
      </c>
      <c r="AO57" s="1852">
        <f t="shared" si="28"/>
        <v>7789597</v>
      </c>
      <c r="AP57" s="1853"/>
      <c r="AQ57" s="1828"/>
      <c r="AR57" s="1828"/>
      <c r="AS57" s="1828"/>
      <c r="AT57" s="1828"/>
      <c r="AU57" s="1852">
        <f t="shared" si="29"/>
        <v>0</v>
      </c>
    </row>
    <row r="58" spans="1:47" ht="15" customHeight="1" x14ac:dyDescent="0.25">
      <c r="A58" s="1846" t="s">
        <v>134</v>
      </c>
      <c r="B58" s="1834" t="s">
        <v>135</v>
      </c>
      <c r="C58" s="1847" t="s">
        <v>267</v>
      </c>
      <c r="D58" s="1848">
        <f t="shared" si="16"/>
        <v>1123589.6772694821</v>
      </c>
      <c r="E58" s="1849">
        <f t="shared" si="17"/>
        <v>453371.88273051789</v>
      </c>
      <c r="F58" s="1849">
        <f t="shared" si="18"/>
        <v>718684.06</v>
      </c>
      <c r="G58" s="1849">
        <f t="shared" si="19"/>
        <v>2755.01</v>
      </c>
      <c r="H58" s="1849">
        <f t="shared" si="20"/>
        <v>0</v>
      </c>
      <c r="I58" s="1850">
        <f t="shared" si="21"/>
        <v>2298400.63</v>
      </c>
      <c r="J58" s="1851">
        <f t="shared" si="22"/>
        <v>2755.01</v>
      </c>
      <c r="K58" s="1851">
        <f t="shared" si="23"/>
        <v>721439.07000000007</v>
      </c>
      <c r="L58" s="1811"/>
      <c r="M58" s="1812"/>
      <c r="N58" s="1812"/>
      <c r="O58" s="1812"/>
      <c r="P58" s="1812"/>
      <c r="Q58" s="1813">
        <f t="shared" si="24"/>
        <v>0</v>
      </c>
      <c r="R58" s="1811">
        <v>3503.3</v>
      </c>
      <c r="S58" s="1812">
        <v>2030.89</v>
      </c>
      <c r="T58" s="1812">
        <v>0</v>
      </c>
      <c r="U58" s="1812">
        <v>-0.25</v>
      </c>
      <c r="V58" s="1812">
        <v>0</v>
      </c>
      <c r="W58" s="1813">
        <f t="shared" si="25"/>
        <v>5533.9400000000005</v>
      </c>
      <c r="X58" s="1827"/>
      <c r="Y58" s="1828"/>
      <c r="Z58" s="1828"/>
      <c r="AA58" s="1828"/>
      <c r="AB58" s="1828"/>
      <c r="AC58" s="1852">
        <f t="shared" si="26"/>
        <v>0</v>
      </c>
      <c r="AD58" s="1853">
        <v>851343.35726948211</v>
      </c>
      <c r="AE58" s="1828">
        <v>451340.99273051787</v>
      </c>
      <c r="AF58" s="1828">
        <v>238951.75</v>
      </c>
      <c r="AG58" s="1828">
        <v>1414.02</v>
      </c>
      <c r="AH58" s="1828">
        <v>0</v>
      </c>
      <c r="AI58" s="1852">
        <f t="shared" si="27"/>
        <v>1543050.12</v>
      </c>
      <c r="AJ58" s="1853">
        <v>268743.02</v>
      </c>
      <c r="AK58" s="1828">
        <v>0</v>
      </c>
      <c r="AL58" s="1828">
        <v>479732.31</v>
      </c>
      <c r="AM58" s="1828">
        <v>1341.24</v>
      </c>
      <c r="AN58" s="1828">
        <v>0</v>
      </c>
      <c r="AO58" s="1852">
        <f t="shared" si="28"/>
        <v>749816.57000000007</v>
      </c>
      <c r="AP58" s="1853"/>
      <c r="AQ58" s="1828"/>
      <c r="AR58" s="1828"/>
      <c r="AS58" s="1828"/>
      <c r="AT58" s="1828"/>
      <c r="AU58" s="1852">
        <f t="shared" si="29"/>
        <v>0</v>
      </c>
    </row>
    <row r="59" spans="1:47" ht="15" customHeight="1" x14ac:dyDescent="0.25">
      <c r="A59" s="1846" t="s">
        <v>136</v>
      </c>
      <c r="B59" s="1834" t="s">
        <v>137</v>
      </c>
      <c r="C59" s="1847" t="s">
        <v>266</v>
      </c>
      <c r="D59" s="1848">
        <f t="shared" si="16"/>
        <v>380807.43529379164</v>
      </c>
      <c r="E59" s="1849">
        <f t="shared" si="17"/>
        <v>203141.72470620836</v>
      </c>
      <c r="F59" s="1849">
        <f t="shared" si="18"/>
        <v>107112.65</v>
      </c>
      <c r="G59" s="1849">
        <f t="shared" si="19"/>
        <v>368.49</v>
      </c>
      <c r="H59" s="1849">
        <f t="shared" si="20"/>
        <v>0</v>
      </c>
      <c r="I59" s="1850">
        <f t="shared" si="21"/>
        <v>691430.3</v>
      </c>
      <c r="J59" s="1851">
        <f t="shared" si="22"/>
        <v>368.49</v>
      </c>
      <c r="K59" s="1851">
        <f t="shared" si="23"/>
        <v>107481.14</v>
      </c>
      <c r="L59" s="1811"/>
      <c r="M59" s="1812"/>
      <c r="N59" s="1812"/>
      <c r="O59" s="1812"/>
      <c r="P59" s="1812"/>
      <c r="Q59" s="1813">
        <f t="shared" si="24"/>
        <v>0</v>
      </c>
      <c r="R59" s="1811"/>
      <c r="S59" s="1812"/>
      <c r="T59" s="1812"/>
      <c r="U59" s="1812"/>
      <c r="V59" s="1812"/>
      <c r="W59" s="1813">
        <f t="shared" si="25"/>
        <v>0</v>
      </c>
      <c r="X59" s="1827"/>
      <c r="Y59" s="1828"/>
      <c r="Z59" s="1828"/>
      <c r="AA59" s="1828"/>
      <c r="AB59" s="1828"/>
      <c r="AC59" s="1852">
        <f t="shared" si="26"/>
        <v>0</v>
      </c>
      <c r="AD59" s="1853">
        <v>380807.43529379164</v>
      </c>
      <c r="AE59" s="1828">
        <v>203141.72470620836</v>
      </c>
      <c r="AF59" s="1828">
        <v>107112.65</v>
      </c>
      <c r="AG59" s="1828">
        <v>368.49</v>
      </c>
      <c r="AH59" s="1828">
        <v>0</v>
      </c>
      <c r="AI59" s="1852">
        <f t="shared" si="27"/>
        <v>691430.3</v>
      </c>
      <c r="AJ59" s="1853"/>
      <c r="AK59" s="1828"/>
      <c r="AL59" s="1828"/>
      <c r="AM59" s="1828"/>
      <c r="AN59" s="1828"/>
      <c r="AO59" s="1852">
        <f t="shared" si="28"/>
        <v>0</v>
      </c>
      <c r="AP59" s="1853"/>
      <c r="AQ59" s="1828"/>
      <c r="AR59" s="1828"/>
      <c r="AS59" s="1828"/>
      <c r="AT59" s="1828"/>
      <c r="AU59" s="1852">
        <f t="shared" si="29"/>
        <v>0</v>
      </c>
    </row>
    <row r="60" spans="1:47" ht="15" customHeight="1" x14ac:dyDescent="0.25">
      <c r="A60" s="1846" t="s">
        <v>140</v>
      </c>
      <c r="B60" s="1834" t="s">
        <v>141</v>
      </c>
      <c r="C60" s="1847" t="s">
        <v>267</v>
      </c>
      <c r="D60" s="1848">
        <f t="shared" si="16"/>
        <v>516813.95468757051</v>
      </c>
      <c r="E60" s="1849">
        <f t="shared" si="17"/>
        <v>207360.3053124295</v>
      </c>
      <c r="F60" s="1849">
        <f t="shared" si="18"/>
        <v>341179.08999999997</v>
      </c>
      <c r="G60" s="1849">
        <f t="shared" si="19"/>
        <v>102498.15999999999</v>
      </c>
      <c r="H60" s="1849">
        <f t="shared" si="20"/>
        <v>0</v>
      </c>
      <c r="I60" s="1850">
        <f t="shared" si="21"/>
        <v>1167851.51</v>
      </c>
      <c r="J60" s="1851">
        <f t="shared" si="22"/>
        <v>102498.15999999999</v>
      </c>
      <c r="K60" s="1851">
        <f t="shared" si="23"/>
        <v>443677.24999999994</v>
      </c>
      <c r="L60" s="1811"/>
      <c r="M60" s="1812"/>
      <c r="N60" s="1812"/>
      <c r="O60" s="1812"/>
      <c r="P60" s="1812"/>
      <c r="Q60" s="1813">
        <f t="shared" si="24"/>
        <v>0</v>
      </c>
      <c r="R60" s="1811">
        <v>3178.12</v>
      </c>
      <c r="S60" s="1812">
        <v>1821.98</v>
      </c>
      <c r="T60" s="1812">
        <v>0</v>
      </c>
      <c r="U60" s="1812">
        <v>-0.1</v>
      </c>
      <c r="V60" s="1812">
        <v>0</v>
      </c>
      <c r="W60" s="1813">
        <f t="shared" si="25"/>
        <v>5000</v>
      </c>
      <c r="X60" s="1827"/>
      <c r="Y60" s="1828"/>
      <c r="Z60" s="1828"/>
      <c r="AA60" s="1828"/>
      <c r="AB60" s="1828"/>
      <c r="AC60" s="1852">
        <f t="shared" si="26"/>
        <v>0</v>
      </c>
      <c r="AD60" s="1853">
        <v>386832.33468757052</v>
      </c>
      <c r="AE60" s="1828">
        <v>205538.32531242949</v>
      </c>
      <c r="AF60" s="1828">
        <v>108657.98</v>
      </c>
      <c r="AG60" s="1828">
        <v>102500.87</v>
      </c>
      <c r="AH60" s="1828">
        <v>0</v>
      </c>
      <c r="AI60" s="1852">
        <f t="shared" si="27"/>
        <v>803529.51</v>
      </c>
      <c r="AJ60" s="1853">
        <v>126803.5</v>
      </c>
      <c r="AK60" s="1828">
        <v>0</v>
      </c>
      <c r="AL60" s="1828">
        <v>232521.11</v>
      </c>
      <c r="AM60" s="1828">
        <v>-2.61</v>
      </c>
      <c r="AN60" s="1828">
        <v>0</v>
      </c>
      <c r="AO60" s="1852">
        <f t="shared" si="28"/>
        <v>359322</v>
      </c>
      <c r="AP60" s="1853"/>
      <c r="AQ60" s="1828"/>
      <c r="AR60" s="1828"/>
      <c r="AS60" s="1828"/>
      <c r="AT60" s="1828"/>
      <c r="AU60" s="1852">
        <f t="shared" si="29"/>
        <v>0</v>
      </c>
    </row>
    <row r="61" spans="1:47" ht="15" customHeight="1" x14ac:dyDescent="0.25">
      <c r="A61" s="1846" t="s">
        <v>146</v>
      </c>
      <c r="B61" s="1834" t="s">
        <v>147</v>
      </c>
      <c r="C61" s="1847" t="s">
        <v>264</v>
      </c>
      <c r="D61" s="1848">
        <f t="shared" si="16"/>
        <v>406592.57518096233</v>
      </c>
      <c r="E61" s="1849">
        <f t="shared" si="17"/>
        <v>172722.52481903764</v>
      </c>
      <c r="F61" s="1849">
        <f t="shared" si="18"/>
        <v>243435.08</v>
      </c>
      <c r="G61" s="1849">
        <f t="shared" si="19"/>
        <v>3500.2</v>
      </c>
      <c r="H61" s="1849">
        <f t="shared" si="20"/>
        <v>0</v>
      </c>
      <c r="I61" s="1850">
        <f t="shared" si="21"/>
        <v>826250.38</v>
      </c>
      <c r="J61" s="1851">
        <f t="shared" si="22"/>
        <v>3500.2</v>
      </c>
      <c r="K61" s="1851">
        <f t="shared" si="23"/>
        <v>246935.28</v>
      </c>
      <c r="L61" s="1811"/>
      <c r="M61" s="1812"/>
      <c r="N61" s="1812"/>
      <c r="O61" s="1812"/>
      <c r="P61" s="1812"/>
      <c r="Q61" s="1813">
        <f t="shared" si="24"/>
        <v>0</v>
      </c>
      <c r="R61" s="1811"/>
      <c r="S61" s="1812"/>
      <c r="T61" s="1812"/>
      <c r="U61" s="1812"/>
      <c r="V61" s="1812"/>
      <c r="W61" s="1813">
        <f t="shared" si="25"/>
        <v>0</v>
      </c>
      <c r="X61" s="1827"/>
      <c r="Y61" s="1828"/>
      <c r="Z61" s="1828"/>
      <c r="AA61" s="1828"/>
      <c r="AB61" s="1828"/>
      <c r="AC61" s="1852">
        <f t="shared" si="26"/>
        <v>0</v>
      </c>
      <c r="AD61" s="1853">
        <v>323567.13518096233</v>
      </c>
      <c r="AE61" s="1828">
        <v>172722.52481903764</v>
      </c>
      <c r="AF61" s="1828">
        <v>91032</v>
      </c>
      <c r="AG61" s="1828">
        <v>3500.81</v>
      </c>
      <c r="AH61" s="1828">
        <v>0</v>
      </c>
      <c r="AI61" s="1852">
        <f t="shared" si="27"/>
        <v>590822.47</v>
      </c>
      <c r="AJ61" s="1853">
        <v>83025.440000000002</v>
      </c>
      <c r="AK61" s="1828">
        <v>0</v>
      </c>
      <c r="AL61" s="1828">
        <v>152403.07999999999</v>
      </c>
      <c r="AM61" s="1828">
        <v>-0.61</v>
      </c>
      <c r="AN61" s="1828">
        <v>0</v>
      </c>
      <c r="AO61" s="1852">
        <f t="shared" si="28"/>
        <v>235427.91</v>
      </c>
      <c r="AP61" s="1853"/>
      <c r="AQ61" s="1828"/>
      <c r="AR61" s="1828"/>
      <c r="AS61" s="1828"/>
      <c r="AT61" s="1828"/>
      <c r="AU61" s="1852">
        <f t="shared" si="29"/>
        <v>0</v>
      </c>
    </row>
    <row r="62" spans="1:47" ht="15" customHeight="1" x14ac:dyDescent="0.25">
      <c r="A62" s="1846" t="s">
        <v>148</v>
      </c>
      <c r="B62" s="1834" t="s">
        <v>149</v>
      </c>
      <c r="C62" s="1847" t="s">
        <v>265</v>
      </c>
      <c r="D62" s="1848">
        <f t="shared" si="16"/>
        <v>1098441.4648627071</v>
      </c>
      <c r="E62" s="1849">
        <f t="shared" si="17"/>
        <v>551350.90513729269</v>
      </c>
      <c r="F62" s="1849">
        <f t="shared" si="18"/>
        <v>400088.11</v>
      </c>
      <c r="G62" s="1849">
        <f t="shared" si="19"/>
        <v>313526.87</v>
      </c>
      <c r="H62" s="1849">
        <f t="shared" si="20"/>
        <v>0</v>
      </c>
      <c r="I62" s="1850">
        <f t="shared" si="21"/>
        <v>2363407.3499999996</v>
      </c>
      <c r="J62" s="1851">
        <f t="shared" si="22"/>
        <v>313526.87</v>
      </c>
      <c r="K62" s="1851">
        <f t="shared" si="23"/>
        <v>713614.98</v>
      </c>
      <c r="L62" s="1811"/>
      <c r="M62" s="1812"/>
      <c r="N62" s="1812"/>
      <c r="O62" s="1812"/>
      <c r="P62" s="1812"/>
      <c r="Q62" s="1813">
        <f t="shared" si="24"/>
        <v>0</v>
      </c>
      <c r="R62" s="1811">
        <v>8137.04</v>
      </c>
      <c r="S62" s="1812">
        <v>4670.95</v>
      </c>
      <c r="T62" s="1812">
        <v>0</v>
      </c>
      <c r="U62" s="1812">
        <v>-0.21</v>
      </c>
      <c r="V62" s="1812">
        <v>0</v>
      </c>
      <c r="W62" s="1813">
        <f t="shared" si="25"/>
        <v>12807.78</v>
      </c>
      <c r="X62" s="1827"/>
      <c r="Y62" s="1828"/>
      <c r="Z62" s="1828"/>
      <c r="AA62" s="1828"/>
      <c r="AB62" s="1828"/>
      <c r="AC62" s="1852">
        <f t="shared" si="26"/>
        <v>0</v>
      </c>
      <c r="AD62" s="1853">
        <v>1027911.9248627072</v>
      </c>
      <c r="AE62" s="1828">
        <v>546679.95513729274</v>
      </c>
      <c r="AF62" s="1828">
        <v>288827.74</v>
      </c>
      <c r="AG62" s="1828">
        <v>313528.26</v>
      </c>
      <c r="AH62" s="1828">
        <v>0</v>
      </c>
      <c r="AI62" s="1852">
        <f t="shared" si="27"/>
        <v>2176947.88</v>
      </c>
      <c r="AJ62" s="1853">
        <v>62392.5</v>
      </c>
      <c r="AK62" s="1828">
        <v>0</v>
      </c>
      <c r="AL62" s="1828">
        <v>111260.37</v>
      </c>
      <c r="AM62" s="1828">
        <v>-1.18</v>
      </c>
      <c r="AN62" s="1828">
        <v>0</v>
      </c>
      <c r="AO62" s="1852">
        <f t="shared" si="28"/>
        <v>173651.69</v>
      </c>
      <c r="AP62" s="1853"/>
      <c r="AQ62" s="1828"/>
      <c r="AR62" s="1828"/>
      <c r="AS62" s="1828"/>
      <c r="AT62" s="1828"/>
      <c r="AU62" s="1852">
        <f t="shared" si="29"/>
        <v>0</v>
      </c>
    </row>
    <row r="63" spans="1:47" ht="15" customHeight="1" x14ac:dyDescent="0.25">
      <c r="A63" s="1846" t="s">
        <v>150</v>
      </c>
      <c r="B63" s="1834" t="s">
        <v>151</v>
      </c>
      <c r="C63" s="1847" t="s">
        <v>266</v>
      </c>
      <c r="D63" s="1848">
        <f t="shared" si="16"/>
        <v>403205.35348301247</v>
      </c>
      <c r="E63" s="1849">
        <f t="shared" si="17"/>
        <v>206097.78651698749</v>
      </c>
      <c r="F63" s="1849">
        <f t="shared" si="18"/>
        <v>139246.81</v>
      </c>
      <c r="G63" s="1849">
        <f t="shared" si="19"/>
        <v>26906.920000000002</v>
      </c>
      <c r="H63" s="1849">
        <f t="shared" si="20"/>
        <v>0</v>
      </c>
      <c r="I63" s="1850">
        <f t="shared" si="21"/>
        <v>775456.87</v>
      </c>
      <c r="J63" s="1851">
        <f t="shared" si="22"/>
        <v>26906.920000000002</v>
      </c>
      <c r="K63" s="1851">
        <f t="shared" si="23"/>
        <v>166153.73000000001</v>
      </c>
      <c r="L63" s="1811"/>
      <c r="M63" s="1812"/>
      <c r="N63" s="1812"/>
      <c r="O63" s="1812"/>
      <c r="P63" s="1812"/>
      <c r="Q63" s="1813">
        <f t="shared" si="24"/>
        <v>0</v>
      </c>
      <c r="R63" s="1811"/>
      <c r="S63" s="1812"/>
      <c r="T63" s="1812"/>
      <c r="U63" s="1812"/>
      <c r="V63" s="1812"/>
      <c r="W63" s="1813">
        <f t="shared" si="25"/>
        <v>0</v>
      </c>
      <c r="X63" s="1827"/>
      <c r="Y63" s="1828"/>
      <c r="Z63" s="1828"/>
      <c r="AA63" s="1828"/>
      <c r="AB63" s="1828"/>
      <c r="AC63" s="1852">
        <f t="shared" si="26"/>
        <v>0</v>
      </c>
      <c r="AD63" s="1853">
        <v>386442.18348301249</v>
      </c>
      <c r="AE63" s="1828">
        <v>206097.78651698749</v>
      </c>
      <c r="AF63" s="1828">
        <v>108688.45</v>
      </c>
      <c r="AG63" s="1828">
        <v>26907.54</v>
      </c>
      <c r="AH63" s="1828">
        <v>0</v>
      </c>
      <c r="AI63" s="1852">
        <f t="shared" si="27"/>
        <v>728135.96</v>
      </c>
      <c r="AJ63" s="1853">
        <v>16763.169999999998</v>
      </c>
      <c r="AK63" s="1828">
        <v>0</v>
      </c>
      <c r="AL63" s="1828">
        <v>30558.36</v>
      </c>
      <c r="AM63" s="1828">
        <v>-0.62</v>
      </c>
      <c r="AN63" s="1828">
        <v>0</v>
      </c>
      <c r="AO63" s="1852">
        <f t="shared" si="28"/>
        <v>47320.909999999996</v>
      </c>
      <c r="AP63" s="1853"/>
      <c r="AQ63" s="1828"/>
      <c r="AR63" s="1828"/>
      <c r="AS63" s="1828"/>
      <c r="AT63" s="1828"/>
      <c r="AU63" s="1852">
        <f t="shared" si="29"/>
        <v>0</v>
      </c>
    </row>
    <row r="64" spans="1:47" ht="15" customHeight="1" x14ac:dyDescent="0.25">
      <c r="A64" s="1846" t="s">
        <v>152</v>
      </c>
      <c r="B64" s="1834" t="s">
        <v>153</v>
      </c>
      <c r="C64" s="1847" t="s">
        <v>268</v>
      </c>
      <c r="D64" s="1848">
        <f t="shared" si="16"/>
        <v>2100600.9078973294</v>
      </c>
      <c r="E64" s="1849">
        <f t="shared" si="17"/>
        <v>1025317.132102671</v>
      </c>
      <c r="F64" s="1849">
        <f t="shared" si="18"/>
        <v>845194.38</v>
      </c>
      <c r="G64" s="1849">
        <f t="shared" si="19"/>
        <v>30531.35</v>
      </c>
      <c r="H64" s="1849">
        <f t="shared" si="20"/>
        <v>0</v>
      </c>
      <c r="I64" s="1850">
        <f t="shared" si="21"/>
        <v>4001643.7700000005</v>
      </c>
      <c r="J64" s="1851">
        <f t="shared" si="22"/>
        <v>30531.35</v>
      </c>
      <c r="K64" s="1851">
        <f t="shared" si="23"/>
        <v>875725.73</v>
      </c>
      <c r="L64" s="1811"/>
      <c r="M64" s="1812"/>
      <c r="N64" s="1812"/>
      <c r="O64" s="1812"/>
      <c r="P64" s="1812"/>
      <c r="Q64" s="1813">
        <f t="shared" si="24"/>
        <v>0</v>
      </c>
      <c r="R64" s="1811">
        <v>8362.86</v>
      </c>
      <c r="S64" s="1812">
        <v>4844.1099999999997</v>
      </c>
      <c r="T64" s="1812">
        <v>0</v>
      </c>
      <c r="U64" s="1812">
        <v>-0.02</v>
      </c>
      <c r="V64" s="1812">
        <v>0</v>
      </c>
      <c r="W64" s="1813">
        <f t="shared" si="25"/>
        <v>13206.95</v>
      </c>
      <c r="X64" s="1827"/>
      <c r="Y64" s="1828"/>
      <c r="Z64" s="1828"/>
      <c r="AA64" s="1828"/>
      <c r="AB64" s="1828"/>
      <c r="AC64" s="1852">
        <f t="shared" si="26"/>
        <v>0</v>
      </c>
      <c r="AD64" s="1853">
        <v>1920825.2578973293</v>
      </c>
      <c r="AE64" s="1828">
        <v>1020473.022102671</v>
      </c>
      <c r="AF64" s="1828">
        <v>539524.91</v>
      </c>
      <c r="AG64" s="1828">
        <v>35784.379999999997</v>
      </c>
      <c r="AH64" s="1828">
        <v>0</v>
      </c>
      <c r="AI64" s="1852">
        <f t="shared" si="27"/>
        <v>3516607.5700000003</v>
      </c>
      <c r="AJ64" s="1853">
        <v>171412.79</v>
      </c>
      <c r="AK64" s="1828">
        <v>0</v>
      </c>
      <c r="AL64" s="1828">
        <v>305669.46999999997</v>
      </c>
      <c r="AM64" s="1828">
        <v>-5253.01</v>
      </c>
      <c r="AN64" s="1828">
        <v>0</v>
      </c>
      <c r="AO64" s="1852">
        <f t="shared" si="28"/>
        <v>471829.25</v>
      </c>
      <c r="AP64" s="1853"/>
      <c r="AQ64" s="1828"/>
      <c r="AR64" s="1828"/>
      <c r="AS64" s="1828"/>
      <c r="AT64" s="1828"/>
      <c r="AU64" s="1852">
        <f t="shared" si="29"/>
        <v>0</v>
      </c>
    </row>
    <row r="65" spans="1:47" ht="15" customHeight="1" x14ac:dyDescent="0.25">
      <c r="A65" s="1846" t="s">
        <v>154</v>
      </c>
      <c r="B65" s="1834" t="s">
        <v>155</v>
      </c>
      <c r="C65" s="1847" t="s">
        <v>265</v>
      </c>
      <c r="D65" s="1848">
        <f t="shared" si="16"/>
        <v>484023.95405911427</v>
      </c>
      <c r="E65" s="1849">
        <f t="shared" si="17"/>
        <v>239203.32594088578</v>
      </c>
      <c r="F65" s="1849">
        <f t="shared" si="18"/>
        <v>187758.9</v>
      </c>
      <c r="G65" s="1849">
        <f t="shared" si="19"/>
        <v>38081.269999999997</v>
      </c>
      <c r="H65" s="1849">
        <f t="shared" si="20"/>
        <v>0</v>
      </c>
      <c r="I65" s="1850">
        <f t="shared" si="21"/>
        <v>949067.45</v>
      </c>
      <c r="J65" s="1851">
        <f t="shared" si="22"/>
        <v>38081.269999999997</v>
      </c>
      <c r="K65" s="1851">
        <f t="shared" si="23"/>
        <v>225840.16999999998</v>
      </c>
      <c r="L65" s="1811"/>
      <c r="M65" s="1812"/>
      <c r="N65" s="1812"/>
      <c r="O65" s="1812"/>
      <c r="P65" s="1812"/>
      <c r="Q65" s="1813">
        <f t="shared" si="24"/>
        <v>0</v>
      </c>
      <c r="R65" s="1811"/>
      <c r="S65" s="1812"/>
      <c r="T65" s="1812"/>
      <c r="U65" s="1812"/>
      <c r="V65" s="1812"/>
      <c r="W65" s="1813">
        <f t="shared" si="25"/>
        <v>0</v>
      </c>
      <c r="X65" s="1827"/>
      <c r="Y65" s="1828"/>
      <c r="Z65" s="1828"/>
      <c r="AA65" s="1828"/>
      <c r="AB65" s="1828"/>
      <c r="AC65" s="1852">
        <f t="shared" si="26"/>
        <v>0</v>
      </c>
      <c r="AD65" s="1853">
        <v>449582.77405911428</v>
      </c>
      <c r="AE65" s="1828">
        <v>239203.32594088578</v>
      </c>
      <c r="AF65" s="1828">
        <v>126342.45</v>
      </c>
      <c r="AG65" s="1828">
        <v>25467.69</v>
      </c>
      <c r="AH65" s="1828">
        <v>0</v>
      </c>
      <c r="AI65" s="1852">
        <f t="shared" si="27"/>
        <v>840596.24</v>
      </c>
      <c r="AJ65" s="1853">
        <v>34441.18</v>
      </c>
      <c r="AK65" s="1828">
        <v>0</v>
      </c>
      <c r="AL65" s="1828">
        <v>61416.45</v>
      </c>
      <c r="AM65" s="1828">
        <v>12613.58</v>
      </c>
      <c r="AN65" s="1828">
        <v>0</v>
      </c>
      <c r="AO65" s="1852">
        <f t="shared" si="28"/>
        <v>108471.21</v>
      </c>
      <c r="AP65" s="1853"/>
      <c r="AQ65" s="1828"/>
      <c r="AR65" s="1828"/>
      <c r="AS65" s="1828"/>
      <c r="AT65" s="1828"/>
      <c r="AU65" s="1852">
        <f t="shared" si="29"/>
        <v>0</v>
      </c>
    </row>
    <row r="66" spans="1:47" ht="15" customHeight="1" x14ac:dyDescent="0.25">
      <c r="A66" s="1846" t="s">
        <v>156</v>
      </c>
      <c r="B66" s="1834" t="s">
        <v>157</v>
      </c>
      <c r="C66" s="1847" t="s">
        <v>266</v>
      </c>
      <c r="D66" s="1848">
        <f t="shared" si="16"/>
        <v>491408.97686099948</v>
      </c>
      <c r="E66" s="1849">
        <f t="shared" si="17"/>
        <v>209721.58313900055</v>
      </c>
      <c r="F66" s="1849">
        <f t="shared" si="18"/>
        <v>281265.14</v>
      </c>
      <c r="G66" s="1849">
        <f t="shared" si="19"/>
        <v>509.61999999999995</v>
      </c>
      <c r="H66" s="1849">
        <f t="shared" si="20"/>
        <v>0</v>
      </c>
      <c r="I66" s="1850">
        <f t="shared" si="21"/>
        <v>982905.32000000007</v>
      </c>
      <c r="J66" s="1851">
        <f t="shared" si="22"/>
        <v>509.61999999999995</v>
      </c>
      <c r="K66" s="1851">
        <f t="shared" si="23"/>
        <v>281774.76</v>
      </c>
      <c r="L66" s="1811"/>
      <c r="M66" s="1812"/>
      <c r="N66" s="1812"/>
      <c r="O66" s="1812"/>
      <c r="P66" s="1812"/>
      <c r="Q66" s="1813">
        <f t="shared" si="24"/>
        <v>0</v>
      </c>
      <c r="R66" s="1811"/>
      <c r="S66" s="1812"/>
      <c r="T66" s="1812"/>
      <c r="U66" s="1812"/>
      <c r="V66" s="1812"/>
      <c r="W66" s="1813">
        <f t="shared" si="25"/>
        <v>0</v>
      </c>
      <c r="X66" s="1827"/>
      <c r="Y66" s="1828"/>
      <c r="Z66" s="1828"/>
      <c r="AA66" s="1828"/>
      <c r="AB66" s="1828"/>
      <c r="AC66" s="1852">
        <f t="shared" si="26"/>
        <v>0</v>
      </c>
      <c r="AD66" s="1853">
        <v>396030.95686099946</v>
      </c>
      <c r="AE66" s="1828">
        <v>209721.58313900055</v>
      </c>
      <c r="AF66" s="1828">
        <v>111112.73</v>
      </c>
      <c r="AG66" s="1828">
        <v>491.03</v>
      </c>
      <c r="AH66" s="1828">
        <v>0</v>
      </c>
      <c r="AI66" s="1852">
        <f t="shared" si="27"/>
        <v>717356.3</v>
      </c>
      <c r="AJ66" s="1853">
        <v>95378.02</v>
      </c>
      <c r="AK66" s="1828">
        <v>0</v>
      </c>
      <c r="AL66" s="1828">
        <v>170152.41</v>
      </c>
      <c r="AM66" s="1828">
        <v>18.59</v>
      </c>
      <c r="AN66" s="1828">
        <v>0</v>
      </c>
      <c r="AO66" s="1852">
        <f t="shared" si="28"/>
        <v>265549.02</v>
      </c>
      <c r="AP66" s="1853"/>
      <c r="AQ66" s="1828"/>
      <c r="AR66" s="1828"/>
      <c r="AS66" s="1828"/>
      <c r="AT66" s="1828"/>
      <c r="AU66" s="1852">
        <f t="shared" si="29"/>
        <v>0</v>
      </c>
    </row>
    <row r="67" spans="1:47" ht="15" customHeight="1" x14ac:dyDescent="0.25">
      <c r="A67" s="1846" t="s">
        <v>162</v>
      </c>
      <c r="B67" s="1834" t="s">
        <v>163</v>
      </c>
      <c r="C67" s="1847" t="s">
        <v>264</v>
      </c>
      <c r="D67" s="1848">
        <f t="shared" si="16"/>
        <v>1057159.4599495418</v>
      </c>
      <c r="E67" s="1849">
        <f t="shared" si="17"/>
        <v>529521.04005045816</v>
      </c>
      <c r="F67" s="1849">
        <f t="shared" si="18"/>
        <v>397816.80999999994</v>
      </c>
      <c r="G67" s="1849">
        <f t="shared" si="19"/>
        <v>3021.3399999999997</v>
      </c>
      <c r="H67" s="1849">
        <f t="shared" si="20"/>
        <v>0</v>
      </c>
      <c r="I67" s="1850">
        <f t="shared" si="21"/>
        <v>1987518.65</v>
      </c>
      <c r="J67" s="1851">
        <f t="shared" si="22"/>
        <v>3021.3399999999997</v>
      </c>
      <c r="K67" s="1851">
        <f t="shared" si="23"/>
        <v>400838.14999999997</v>
      </c>
      <c r="L67" s="1811"/>
      <c r="M67" s="1812"/>
      <c r="N67" s="1812"/>
      <c r="O67" s="1812"/>
      <c r="P67" s="1812"/>
      <c r="Q67" s="1813">
        <f t="shared" si="24"/>
        <v>0</v>
      </c>
      <c r="R67" s="1811">
        <v>1440.18</v>
      </c>
      <c r="S67" s="1812">
        <v>816.03</v>
      </c>
      <c r="T67" s="1812">
        <v>0</v>
      </c>
      <c r="U67" s="1812">
        <v>-0.02</v>
      </c>
      <c r="V67" s="1812">
        <v>0</v>
      </c>
      <c r="W67" s="1813">
        <f t="shared" si="25"/>
        <v>2256.19</v>
      </c>
      <c r="X67" s="1827"/>
      <c r="Y67" s="1828"/>
      <c r="Z67" s="1828"/>
      <c r="AA67" s="1828"/>
      <c r="AB67" s="1828"/>
      <c r="AC67" s="1852">
        <f t="shared" si="26"/>
        <v>0</v>
      </c>
      <c r="AD67" s="1853">
        <v>993570.19994954183</v>
      </c>
      <c r="AE67" s="1828">
        <v>528705.01005045814</v>
      </c>
      <c r="AF67" s="1828">
        <v>279231.71999999997</v>
      </c>
      <c r="AG67" s="1828">
        <v>2765.18</v>
      </c>
      <c r="AH67" s="1828">
        <v>0</v>
      </c>
      <c r="AI67" s="1852">
        <f t="shared" si="27"/>
        <v>1804272.1099999999</v>
      </c>
      <c r="AJ67" s="1853">
        <v>62149.08</v>
      </c>
      <c r="AK67" s="1828">
        <v>0</v>
      </c>
      <c r="AL67" s="1828">
        <v>118585.09</v>
      </c>
      <c r="AM67" s="1828">
        <v>256.18</v>
      </c>
      <c r="AN67" s="1828">
        <v>0</v>
      </c>
      <c r="AO67" s="1852">
        <f t="shared" si="28"/>
        <v>180990.34999999998</v>
      </c>
      <c r="AP67" s="1853"/>
      <c r="AQ67" s="1828"/>
      <c r="AR67" s="1828"/>
      <c r="AS67" s="1828"/>
      <c r="AT67" s="1828"/>
      <c r="AU67" s="1852">
        <f t="shared" si="29"/>
        <v>0</v>
      </c>
    </row>
    <row r="68" spans="1:47" ht="15" customHeight="1" x14ac:dyDescent="0.25">
      <c r="A68" s="1846" t="s">
        <v>164</v>
      </c>
      <c r="B68" s="1834" t="s">
        <v>165</v>
      </c>
      <c r="C68" s="1847" t="s">
        <v>266</v>
      </c>
      <c r="D68" s="1848">
        <f t="shared" si="16"/>
        <v>542938.20153650572</v>
      </c>
      <c r="E68" s="1849">
        <f t="shared" si="17"/>
        <v>215300.28846349427</v>
      </c>
      <c r="F68" s="1849">
        <f t="shared" si="18"/>
        <v>360420.58</v>
      </c>
      <c r="G68" s="1849">
        <f t="shared" si="19"/>
        <v>-26322.54</v>
      </c>
      <c r="H68" s="1849">
        <f t="shared" si="20"/>
        <v>0</v>
      </c>
      <c r="I68" s="1850">
        <f t="shared" si="21"/>
        <v>1092336.5299999998</v>
      </c>
      <c r="J68" s="1851">
        <f t="shared" si="22"/>
        <v>-26322.54</v>
      </c>
      <c r="K68" s="1851">
        <f t="shared" si="23"/>
        <v>334098.04000000004</v>
      </c>
      <c r="L68" s="1811"/>
      <c r="M68" s="1812"/>
      <c r="N68" s="1812"/>
      <c r="O68" s="1812"/>
      <c r="P68" s="1812"/>
      <c r="Q68" s="1813">
        <f t="shared" si="24"/>
        <v>0</v>
      </c>
      <c r="R68" s="1811">
        <v>1038.8499999999999</v>
      </c>
      <c r="S68" s="1812">
        <v>602.5</v>
      </c>
      <c r="T68" s="1812">
        <v>0</v>
      </c>
      <c r="U68" s="1812">
        <v>-0.14000000000000001</v>
      </c>
      <c r="V68" s="1812">
        <v>0</v>
      </c>
      <c r="W68" s="1813">
        <f t="shared" si="25"/>
        <v>1641.2099999999998</v>
      </c>
      <c r="X68" s="1827"/>
      <c r="Y68" s="1828"/>
      <c r="Z68" s="1828"/>
      <c r="AA68" s="1828"/>
      <c r="AB68" s="1828"/>
      <c r="AC68" s="1852">
        <f t="shared" si="26"/>
        <v>0</v>
      </c>
      <c r="AD68" s="1853">
        <v>404222.89153650572</v>
      </c>
      <c r="AE68" s="1828">
        <v>214697.78846349427</v>
      </c>
      <c r="AF68" s="1828">
        <v>113527.35</v>
      </c>
      <c r="AG68" s="1828">
        <v>5974.54</v>
      </c>
      <c r="AH68" s="1828">
        <v>0</v>
      </c>
      <c r="AI68" s="1852">
        <f t="shared" si="27"/>
        <v>738422.57</v>
      </c>
      <c r="AJ68" s="1853">
        <v>137676.46</v>
      </c>
      <c r="AK68" s="1828">
        <v>0</v>
      </c>
      <c r="AL68" s="1828">
        <v>246893.23</v>
      </c>
      <c r="AM68" s="1828">
        <v>-32296.94</v>
      </c>
      <c r="AN68" s="1828">
        <v>0</v>
      </c>
      <c r="AO68" s="1852">
        <f t="shared" si="28"/>
        <v>352272.75</v>
      </c>
      <c r="AP68" s="1853"/>
      <c r="AQ68" s="1828"/>
      <c r="AR68" s="1828"/>
      <c r="AS68" s="1828"/>
      <c r="AT68" s="1828"/>
      <c r="AU68" s="1852">
        <f t="shared" si="29"/>
        <v>0</v>
      </c>
    </row>
    <row r="69" spans="1:47" ht="15" customHeight="1" x14ac:dyDescent="0.25">
      <c r="A69" s="1846" t="s">
        <v>168</v>
      </c>
      <c r="B69" s="1834" t="s">
        <v>169</v>
      </c>
      <c r="C69" s="1847" t="s">
        <v>266</v>
      </c>
      <c r="D69" s="1848">
        <f t="shared" si="16"/>
        <v>664922.69054067531</v>
      </c>
      <c r="E69" s="1849">
        <f t="shared" si="17"/>
        <v>335255.47945932474</v>
      </c>
      <c r="F69" s="1849">
        <f t="shared" si="18"/>
        <v>209560.48</v>
      </c>
      <c r="G69" s="1849">
        <f t="shared" si="19"/>
        <v>7969.61</v>
      </c>
      <c r="H69" s="1849">
        <f t="shared" si="20"/>
        <v>0</v>
      </c>
      <c r="I69" s="1850">
        <f t="shared" si="21"/>
        <v>1217708.2599999998</v>
      </c>
      <c r="J69" s="1851">
        <f t="shared" ref="J69:J100" si="30">G69+H69</f>
        <v>7969.61</v>
      </c>
      <c r="K69" s="1851">
        <f t="shared" ref="K69:K100" si="31">F69+J69</f>
        <v>217530.09</v>
      </c>
      <c r="L69" s="1811"/>
      <c r="M69" s="1812"/>
      <c r="N69" s="1812"/>
      <c r="O69" s="1812"/>
      <c r="P69" s="1812"/>
      <c r="Q69" s="1813">
        <f t="shared" ref="Q69:Q100" si="32">SUM(L69:P69)</f>
        <v>0</v>
      </c>
      <c r="R69" s="1811"/>
      <c r="S69" s="1812"/>
      <c r="T69" s="1812"/>
      <c r="U69" s="1812"/>
      <c r="V69" s="1812"/>
      <c r="W69" s="1813">
        <f t="shared" ref="W69:W100" si="33">SUM(R69:V69)</f>
        <v>0</v>
      </c>
      <c r="X69" s="1827"/>
      <c r="Y69" s="1828"/>
      <c r="Z69" s="1828"/>
      <c r="AA69" s="1828"/>
      <c r="AB69" s="1828"/>
      <c r="AC69" s="1852">
        <f t="shared" ref="AC69:AC100" si="34">SUM(X69:AB69)</f>
        <v>0</v>
      </c>
      <c r="AD69" s="1853">
        <v>629753.34054067533</v>
      </c>
      <c r="AE69" s="1828">
        <v>335255.47945932474</v>
      </c>
      <c r="AF69" s="1828">
        <v>177010.22</v>
      </c>
      <c r="AG69" s="1828">
        <v>7969.67</v>
      </c>
      <c r="AH69" s="1828">
        <v>0</v>
      </c>
      <c r="AI69" s="1852">
        <f t="shared" ref="AI69:AI100" si="35">SUM(AD69:AH69)</f>
        <v>1149988.71</v>
      </c>
      <c r="AJ69" s="1853">
        <v>18253.45</v>
      </c>
      <c r="AK69" s="1828">
        <v>0</v>
      </c>
      <c r="AL69" s="1828">
        <v>32550.26</v>
      </c>
      <c r="AM69" s="1828">
        <v>-0.06</v>
      </c>
      <c r="AN69" s="1828">
        <v>0</v>
      </c>
      <c r="AO69" s="1852">
        <f t="shared" ref="AO69:AO100" si="36">SUM(AJ69:AN69)</f>
        <v>50803.65</v>
      </c>
      <c r="AP69" s="1853">
        <v>16915.900000000001</v>
      </c>
      <c r="AQ69" s="1828">
        <v>0</v>
      </c>
      <c r="AR69" s="1828">
        <v>0</v>
      </c>
      <c r="AS69" s="1828">
        <v>0</v>
      </c>
      <c r="AT69" s="1828">
        <v>0</v>
      </c>
      <c r="AU69" s="1852">
        <f t="shared" ref="AU69:AU100" si="37">SUM(AP69:AT69)</f>
        <v>16915.900000000001</v>
      </c>
    </row>
    <row r="70" spans="1:47" ht="15" customHeight="1" x14ac:dyDescent="0.25">
      <c r="A70" s="1846" t="s">
        <v>170</v>
      </c>
      <c r="B70" s="1834" t="s">
        <v>171</v>
      </c>
      <c r="C70" s="1847" t="s">
        <v>267</v>
      </c>
      <c r="D70" s="1848">
        <f t="shared" ref="D70:D130" si="38">L70+R70+X70+AD70+AJ70+AP70</f>
        <v>984424.49347391829</v>
      </c>
      <c r="E70" s="1849">
        <f t="shared" ref="E70:E130" si="39">M70+S70+Y70+AE70+AK70+AQ70</f>
        <v>370891.88652608171</v>
      </c>
      <c r="F70" s="1849">
        <f t="shared" ref="F70:F130" si="40">N70+T70+Z70+AF70+AL70+AR70</f>
        <v>709570.17</v>
      </c>
      <c r="G70" s="1849">
        <f t="shared" ref="G70:G130" si="41">O70+U70+AA70+AG70+AM70+AS70</f>
        <v>8350.19</v>
      </c>
      <c r="H70" s="1849">
        <f t="shared" ref="H70:H130" si="42">P70+V70+AB70+AH70+AN70+AT70</f>
        <v>0</v>
      </c>
      <c r="I70" s="1850">
        <f t="shared" ref="I70:I124" si="43">Q70+W70+AC70+AI70+AO70+AU70</f>
        <v>2073236.7400000002</v>
      </c>
      <c r="J70" s="1851">
        <f t="shared" si="30"/>
        <v>8350.19</v>
      </c>
      <c r="K70" s="1851">
        <f t="shared" si="31"/>
        <v>717920.36</v>
      </c>
      <c r="L70" s="1811"/>
      <c r="M70" s="1812"/>
      <c r="N70" s="1812"/>
      <c r="O70" s="1812"/>
      <c r="P70" s="1812"/>
      <c r="Q70" s="1813">
        <f t="shared" si="32"/>
        <v>0</v>
      </c>
      <c r="R70" s="1811">
        <v>1077.22</v>
      </c>
      <c r="S70" s="1812">
        <v>624.52</v>
      </c>
      <c r="T70" s="1812">
        <v>0</v>
      </c>
      <c r="U70" s="1812">
        <v>-0.05</v>
      </c>
      <c r="V70" s="1812">
        <v>0</v>
      </c>
      <c r="W70" s="1813">
        <f t="shared" si="33"/>
        <v>1701.69</v>
      </c>
      <c r="X70" s="1827"/>
      <c r="Y70" s="1828"/>
      <c r="Z70" s="1828"/>
      <c r="AA70" s="1828"/>
      <c r="AB70" s="1828"/>
      <c r="AC70" s="1852">
        <f t="shared" si="34"/>
        <v>0</v>
      </c>
      <c r="AD70" s="1853">
        <v>695566.79347391834</v>
      </c>
      <c r="AE70" s="1828">
        <v>370267.36652608169</v>
      </c>
      <c r="AF70" s="1828">
        <v>195506.03</v>
      </c>
      <c r="AG70" s="1828">
        <v>316.49</v>
      </c>
      <c r="AH70" s="1828">
        <v>0</v>
      </c>
      <c r="AI70" s="1852">
        <f t="shared" si="35"/>
        <v>1261656.6800000002</v>
      </c>
      <c r="AJ70" s="1853">
        <v>287780.47999999998</v>
      </c>
      <c r="AK70" s="1828">
        <v>0</v>
      </c>
      <c r="AL70" s="1828">
        <v>514064.14</v>
      </c>
      <c r="AM70" s="1828">
        <v>8033.75</v>
      </c>
      <c r="AN70" s="1828">
        <v>0</v>
      </c>
      <c r="AO70" s="1852">
        <f t="shared" si="36"/>
        <v>809878.37</v>
      </c>
      <c r="AP70" s="1853"/>
      <c r="AQ70" s="1828"/>
      <c r="AR70" s="1828"/>
      <c r="AS70" s="1828"/>
      <c r="AT70" s="1828"/>
      <c r="AU70" s="1852">
        <f t="shared" si="37"/>
        <v>0</v>
      </c>
    </row>
    <row r="71" spans="1:47" ht="15" customHeight="1" x14ac:dyDescent="0.25">
      <c r="A71" s="1846" t="s">
        <v>172</v>
      </c>
      <c r="B71" s="1834" t="s">
        <v>173</v>
      </c>
      <c r="C71" s="1847" t="s">
        <v>267</v>
      </c>
      <c r="D71" s="1848">
        <f t="shared" si="38"/>
        <v>798023.06971454935</v>
      </c>
      <c r="E71" s="1849">
        <f t="shared" si="39"/>
        <v>388400.45028545067</v>
      </c>
      <c r="F71" s="1849">
        <f t="shared" si="40"/>
        <v>323797.71000000002</v>
      </c>
      <c r="G71" s="1849">
        <f t="shared" si="41"/>
        <v>29149.649999999998</v>
      </c>
      <c r="H71" s="1849">
        <f t="shared" si="42"/>
        <v>0</v>
      </c>
      <c r="I71" s="1850">
        <f t="shared" si="43"/>
        <v>1539370.88</v>
      </c>
      <c r="J71" s="1851">
        <f t="shared" si="30"/>
        <v>29149.649999999998</v>
      </c>
      <c r="K71" s="1851">
        <f t="shared" si="31"/>
        <v>352947.36000000004</v>
      </c>
      <c r="L71" s="1811"/>
      <c r="M71" s="1812"/>
      <c r="N71" s="1812"/>
      <c r="O71" s="1812"/>
      <c r="P71" s="1812"/>
      <c r="Q71" s="1813">
        <f t="shared" si="32"/>
        <v>0</v>
      </c>
      <c r="R71" s="1811">
        <v>3629.04</v>
      </c>
      <c r="S71" s="1812">
        <v>1995.7</v>
      </c>
      <c r="T71" s="1812">
        <v>0</v>
      </c>
      <c r="U71" s="1812">
        <v>-0.11</v>
      </c>
      <c r="V71" s="1812">
        <v>0</v>
      </c>
      <c r="W71" s="1813">
        <f t="shared" si="33"/>
        <v>5624.63</v>
      </c>
      <c r="X71" s="1827"/>
      <c r="Y71" s="1828"/>
      <c r="Z71" s="1828"/>
      <c r="AA71" s="1828"/>
      <c r="AB71" s="1828"/>
      <c r="AC71" s="1852">
        <f t="shared" si="34"/>
        <v>0</v>
      </c>
      <c r="AD71" s="1853">
        <v>727382.62971454929</v>
      </c>
      <c r="AE71" s="1828">
        <v>386404.75028545066</v>
      </c>
      <c r="AF71" s="1828">
        <v>204301.04</v>
      </c>
      <c r="AG71" s="1828">
        <v>28223.98</v>
      </c>
      <c r="AH71" s="1828">
        <v>0</v>
      </c>
      <c r="AI71" s="1852">
        <f t="shared" si="35"/>
        <v>1346312.4</v>
      </c>
      <c r="AJ71" s="1853">
        <v>67011.399999999994</v>
      </c>
      <c r="AK71" s="1828">
        <v>0</v>
      </c>
      <c r="AL71" s="1828">
        <v>119496.67</v>
      </c>
      <c r="AM71" s="1828">
        <v>925.78</v>
      </c>
      <c r="AN71" s="1828">
        <v>0</v>
      </c>
      <c r="AO71" s="1852">
        <f t="shared" si="36"/>
        <v>187433.85</v>
      </c>
      <c r="AP71" s="1853"/>
      <c r="AQ71" s="1828"/>
      <c r="AR71" s="1828"/>
      <c r="AS71" s="1828"/>
      <c r="AT71" s="1828"/>
      <c r="AU71" s="1852">
        <f t="shared" si="37"/>
        <v>0</v>
      </c>
    </row>
    <row r="72" spans="1:47" ht="15" customHeight="1" x14ac:dyDescent="0.25">
      <c r="A72" s="1846" t="s">
        <v>174</v>
      </c>
      <c r="B72" s="1834" t="s">
        <v>175</v>
      </c>
      <c r="C72" s="1847" t="s">
        <v>268</v>
      </c>
      <c r="D72" s="1848">
        <f t="shared" si="38"/>
        <v>685882.4147502922</v>
      </c>
      <c r="E72" s="1849">
        <f t="shared" si="39"/>
        <v>340804.24524970783</v>
      </c>
      <c r="F72" s="1849">
        <f t="shared" si="40"/>
        <v>259220.29</v>
      </c>
      <c r="G72" s="1849">
        <f t="shared" si="41"/>
        <v>22149.4</v>
      </c>
      <c r="H72" s="1849">
        <f t="shared" si="42"/>
        <v>0</v>
      </c>
      <c r="I72" s="1850">
        <f t="shared" si="43"/>
        <v>1308056.3500000001</v>
      </c>
      <c r="J72" s="1851">
        <f t="shared" si="30"/>
        <v>22149.4</v>
      </c>
      <c r="K72" s="1851">
        <f t="shared" si="31"/>
        <v>281369.69</v>
      </c>
      <c r="L72" s="1811"/>
      <c r="M72" s="1812"/>
      <c r="N72" s="1812"/>
      <c r="O72" s="1812"/>
      <c r="P72" s="1812"/>
      <c r="Q72" s="1813">
        <f t="shared" si="32"/>
        <v>0</v>
      </c>
      <c r="R72" s="1811">
        <v>2681.6</v>
      </c>
      <c r="S72" s="1812">
        <v>1554.63</v>
      </c>
      <c r="T72" s="1812">
        <v>0</v>
      </c>
      <c r="U72" s="1812">
        <v>-0.15</v>
      </c>
      <c r="V72" s="1812">
        <v>0</v>
      </c>
      <c r="W72" s="1813">
        <f t="shared" si="33"/>
        <v>4236.08</v>
      </c>
      <c r="X72" s="1827"/>
      <c r="Y72" s="1828"/>
      <c r="Z72" s="1828"/>
      <c r="AA72" s="1828"/>
      <c r="AB72" s="1828"/>
      <c r="AC72" s="1852">
        <f t="shared" si="34"/>
        <v>0</v>
      </c>
      <c r="AD72" s="1853">
        <v>638399.78475029219</v>
      </c>
      <c r="AE72" s="1828">
        <v>339249.61524970783</v>
      </c>
      <c r="AF72" s="1828">
        <v>179329.79</v>
      </c>
      <c r="AG72" s="1828">
        <v>21908.560000000001</v>
      </c>
      <c r="AH72" s="1828">
        <v>0</v>
      </c>
      <c r="AI72" s="1852">
        <f t="shared" si="35"/>
        <v>1178887.75</v>
      </c>
      <c r="AJ72" s="1853">
        <v>44801.03</v>
      </c>
      <c r="AK72" s="1828">
        <v>0</v>
      </c>
      <c r="AL72" s="1828">
        <v>79890.5</v>
      </c>
      <c r="AM72" s="1828">
        <v>240.99</v>
      </c>
      <c r="AN72" s="1828">
        <v>0</v>
      </c>
      <c r="AO72" s="1852">
        <f t="shared" si="36"/>
        <v>124932.52</v>
      </c>
      <c r="AP72" s="1853"/>
      <c r="AQ72" s="1828"/>
      <c r="AR72" s="1828"/>
      <c r="AS72" s="1828"/>
      <c r="AT72" s="1828"/>
      <c r="AU72" s="1852">
        <f t="shared" si="37"/>
        <v>0</v>
      </c>
    </row>
    <row r="73" spans="1:47" ht="15" customHeight="1" x14ac:dyDescent="0.25">
      <c r="A73" s="1846" t="s">
        <v>178</v>
      </c>
      <c r="B73" s="1834" t="s">
        <v>179</v>
      </c>
      <c r="C73" s="1847" t="s">
        <v>265</v>
      </c>
      <c r="D73" s="1848">
        <f t="shared" si="38"/>
        <v>2093334.0540315332</v>
      </c>
      <c r="E73" s="1849">
        <f t="shared" si="39"/>
        <v>1019940.3959684669</v>
      </c>
      <c r="F73" s="1849">
        <f t="shared" si="40"/>
        <v>739300.11</v>
      </c>
      <c r="G73" s="1849">
        <f t="shared" si="41"/>
        <v>54435.25</v>
      </c>
      <c r="H73" s="1849">
        <f t="shared" si="42"/>
        <v>0</v>
      </c>
      <c r="I73" s="1850">
        <f t="shared" si="43"/>
        <v>3907009.8100000005</v>
      </c>
      <c r="J73" s="1851">
        <f t="shared" si="30"/>
        <v>54435.25</v>
      </c>
      <c r="K73" s="1851">
        <f t="shared" si="31"/>
        <v>793735.36</v>
      </c>
      <c r="L73" s="1811">
        <v>46797.69</v>
      </c>
      <c r="M73" s="1812">
        <v>0</v>
      </c>
      <c r="N73" s="1812">
        <v>15016.4</v>
      </c>
      <c r="O73" s="1812">
        <v>-0.13</v>
      </c>
      <c r="P73" s="1812">
        <v>0</v>
      </c>
      <c r="Q73" s="1813">
        <f t="shared" si="32"/>
        <v>61813.960000000006</v>
      </c>
      <c r="R73" s="1811">
        <v>14164.17</v>
      </c>
      <c r="S73" s="1812">
        <v>8211.31</v>
      </c>
      <c r="T73" s="1812">
        <v>0</v>
      </c>
      <c r="U73" s="1812">
        <v>-0.22</v>
      </c>
      <c r="V73" s="1812">
        <v>0</v>
      </c>
      <c r="W73" s="1813">
        <f t="shared" si="33"/>
        <v>22375.26</v>
      </c>
      <c r="X73" s="1827">
        <v>1729.85</v>
      </c>
      <c r="Y73" s="1828">
        <v>555.11</v>
      </c>
      <c r="Z73" s="1828">
        <v>0</v>
      </c>
      <c r="AA73" s="1828">
        <v>0</v>
      </c>
      <c r="AB73" s="1828">
        <v>0</v>
      </c>
      <c r="AC73" s="1852">
        <f t="shared" si="34"/>
        <v>2284.96</v>
      </c>
      <c r="AD73" s="1853">
        <v>1901999.0140315332</v>
      </c>
      <c r="AE73" s="1828">
        <v>1011173.9759684668</v>
      </c>
      <c r="AF73" s="1828">
        <v>534367.07999999996</v>
      </c>
      <c r="AG73" s="1828">
        <v>49454.45</v>
      </c>
      <c r="AH73" s="1828">
        <v>0</v>
      </c>
      <c r="AI73" s="1852">
        <f t="shared" si="35"/>
        <v>3496994.5200000005</v>
      </c>
      <c r="AJ73" s="1853">
        <v>106501.07</v>
      </c>
      <c r="AK73" s="1828">
        <v>0</v>
      </c>
      <c r="AL73" s="1828">
        <v>189916.63</v>
      </c>
      <c r="AM73" s="1828">
        <v>4981.1499999999996</v>
      </c>
      <c r="AN73" s="1828">
        <v>0</v>
      </c>
      <c r="AO73" s="1852">
        <f t="shared" si="36"/>
        <v>301398.85000000003</v>
      </c>
      <c r="AP73" s="1853">
        <v>22142.26</v>
      </c>
      <c r="AQ73" s="1828">
        <v>0</v>
      </c>
      <c r="AR73" s="1828">
        <v>0</v>
      </c>
      <c r="AS73" s="1828">
        <v>0</v>
      </c>
      <c r="AT73" s="1828">
        <v>0</v>
      </c>
      <c r="AU73" s="1852">
        <f t="shared" si="37"/>
        <v>22142.26</v>
      </c>
    </row>
    <row r="74" spans="1:47" ht="15" customHeight="1" x14ac:dyDescent="0.25">
      <c r="A74" s="1846" t="s">
        <v>182</v>
      </c>
      <c r="B74" s="1834" t="s">
        <v>183</v>
      </c>
      <c r="C74" s="1847" t="s">
        <v>266</v>
      </c>
      <c r="D74" s="1848">
        <f t="shared" si="38"/>
        <v>570124.3251073506</v>
      </c>
      <c r="E74" s="1849">
        <f t="shared" si="39"/>
        <v>182109.55489264944</v>
      </c>
      <c r="F74" s="1849">
        <f t="shared" si="40"/>
        <v>504620.77</v>
      </c>
      <c r="G74" s="1849">
        <f t="shared" si="41"/>
        <v>3064.97</v>
      </c>
      <c r="H74" s="1849">
        <f t="shared" si="42"/>
        <v>0</v>
      </c>
      <c r="I74" s="1850">
        <f t="shared" si="43"/>
        <v>1259919.6200000001</v>
      </c>
      <c r="J74" s="1851">
        <f t="shared" si="30"/>
        <v>3064.97</v>
      </c>
      <c r="K74" s="1851">
        <f t="shared" si="31"/>
        <v>507685.74</v>
      </c>
      <c r="L74" s="1811"/>
      <c r="M74" s="1812"/>
      <c r="N74" s="1812"/>
      <c r="O74" s="1812"/>
      <c r="P74" s="1812"/>
      <c r="Q74" s="1813">
        <f t="shared" si="32"/>
        <v>0</v>
      </c>
      <c r="R74" s="1811"/>
      <c r="S74" s="1812"/>
      <c r="T74" s="1812"/>
      <c r="U74" s="1812"/>
      <c r="V74" s="1812"/>
      <c r="W74" s="1813">
        <f t="shared" si="33"/>
        <v>0</v>
      </c>
      <c r="X74" s="1827"/>
      <c r="Y74" s="1828"/>
      <c r="Z74" s="1828"/>
      <c r="AA74" s="1828"/>
      <c r="AB74" s="1828"/>
      <c r="AC74" s="1852">
        <f t="shared" si="34"/>
        <v>0</v>
      </c>
      <c r="AD74" s="1853">
        <v>341666.0751073506</v>
      </c>
      <c r="AE74" s="1828">
        <v>182109.55489264944</v>
      </c>
      <c r="AF74" s="1828">
        <v>96076.26</v>
      </c>
      <c r="AG74" s="1828">
        <v>2244.37</v>
      </c>
      <c r="AH74" s="1828">
        <v>0</v>
      </c>
      <c r="AI74" s="1852">
        <f t="shared" si="35"/>
        <v>622096.26</v>
      </c>
      <c r="AJ74" s="1853">
        <v>228458.25</v>
      </c>
      <c r="AK74" s="1828">
        <v>0</v>
      </c>
      <c r="AL74" s="1828">
        <v>408544.51</v>
      </c>
      <c r="AM74" s="1828">
        <v>820.6</v>
      </c>
      <c r="AN74" s="1828">
        <v>0</v>
      </c>
      <c r="AO74" s="1852">
        <f t="shared" si="36"/>
        <v>637823.36</v>
      </c>
      <c r="AP74" s="1853"/>
      <c r="AQ74" s="1828"/>
      <c r="AR74" s="1828"/>
      <c r="AS74" s="1828"/>
      <c r="AT74" s="1828"/>
      <c r="AU74" s="1852">
        <f t="shared" si="37"/>
        <v>0</v>
      </c>
    </row>
    <row r="75" spans="1:47" ht="15" customHeight="1" x14ac:dyDescent="0.25">
      <c r="A75" s="1846" t="s">
        <v>184</v>
      </c>
      <c r="B75" s="1834" t="s">
        <v>185</v>
      </c>
      <c r="C75" s="1847" t="s">
        <v>266</v>
      </c>
      <c r="D75" s="1848">
        <f t="shared" si="38"/>
        <v>1049373.3924054212</v>
      </c>
      <c r="E75" s="1849">
        <f t="shared" si="39"/>
        <v>458644.88759457885</v>
      </c>
      <c r="F75" s="1849">
        <f t="shared" si="40"/>
        <v>522876.82999999996</v>
      </c>
      <c r="G75" s="1849">
        <f t="shared" si="41"/>
        <v>18089.850000000002</v>
      </c>
      <c r="H75" s="1849">
        <f t="shared" si="42"/>
        <v>0</v>
      </c>
      <c r="I75" s="1850">
        <f t="shared" si="43"/>
        <v>2048984.96</v>
      </c>
      <c r="J75" s="1851">
        <f t="shared" si="30"/>
        <v>18089.850000000002</v>
      </c>
      <c r="K75" s="1851">
        <f t="shared" si="31"/>
        <v>540966.67999999993</v>
      </c>
      <c r="L75" s="1811"/>
      <c r="M75" s="1812"/>
      <c r="N75" s="1812"/>
      <c r="O75" s="1812"/>
      <c r="P75" s="1812"/>
      <c r="Q75" s="1813">
        <f t="shared" si="32"/>
        <v>0</v>
      </c>
      <c r="R75" s="1811">
        <v>117.54</v>
      </c>
      <c r="S75" s="1812">
        <v>68.19</v>
      </c>
      <c r="T75" s="1812">
        <v>0</v>
      </c>
      <c r="U75" s="1812">
        <v>-0.02</v>
      </c>
      <c r="V75" s="1812">
        <v>0</v>
      </c>
      <c r="W75" s="1813">
        <f t="shared" si="33"/>
        <v>185.71</v>
      </c>
      <c r="X75" s="1827"/>
      <c r="Y75" s="1828"/>
      <c r="Z75" s="1828"/>
      <c r="AA75" s="1828"/>
      <c r="AB75" s="1828"/>
      <c r="AC75" s="1852">
        <f t="shared" si="34"/>
        <v>0</v>
      </c>
      <c r="AD75" s="1853">
        <v>865397.64240542112</v>
      </c>
      <c r="AE75" s="1828">
        <v>458576.69759457884</v>
      </c>
      <c r="AF75" s="1828">
        <v>242857.4</v>
      </c>
      <c r="AG75" s="1828">
        <v>17554.04</v>
      </c>
      <c r="AH75" s="1828">
        <v>0</v>
      </c>
      <c r="AI75" s="1852">
        <f t="shared" si="35"/>
        <v>1584385.7799999998</v>
      </c>
      <c r="AJ75" s="1853">
        <v>157006.85</v>
      </c>
      <c r="AK75" s="1828">
        <v>0</v>
      </c>
      <c r="AL75" s="1828">
        <v>280019.43</v>
      </c>
      <c r="AM75" s="1828">
        <v>535.83000000000004</v>
      </c>
      <c r="AN75" s="1828">
        <v>0</v>
      </c>
      <c r="AO75" s="1852">
        <f t="shared" si="36"/>
        <v>437562.11000000004</v>
      </c>
      <c r="AP75" s="1853">
        <v>26851.360000000001</v>
      </c>
      <c r="AQ75" s="1828">
        <v>0</v>
      </c>
      <c r="AR75" s="1828">
        <v>0</v>
      </c>
      <c r="AS75" s="1828">
        <v>0</v>
      </c>
      <c r="AT75" s="1828">
        <v>0</v>
      </c>
      <c r="AU75" s="1852">
        <f t="shared" si="37"/>
        <v>26851.360000000001</v>
      </c>
    </row>
    <row r="76" spans="1:47" ht="15" customHeight="1" x14ac:dyDescent="0.25">
      <c r="A76" s="1846" t="s">
        <v>186</v>
      </c>
      <c r="B76" s="1834" t="s">
        <v>187</v>
      </c>
      <c r="C76" s="1847" t="s">
        <v>264</v>
      </c>
      <c r="D76" s="1848">
        <f t="shared" si="38"/>
        <v>857310.10091031785</v>
      </c>
      <c r="E76" s="1849">
        <f t="shared" si="39"/>
        <v>330385.39908968221</v>
      </c>
      <c r="F76" s="1849">
        <f t="shared" si="40"/>
        <v>594778.77</v>
      </c>
      <c r="G76" s="1849">
        <f t="shared" si="41"/>
        <v>5080.7800000000007</v>
      </c>
      <c r="H76" s="1849">
        <f t="shared" si="42"/>
        <v>0</v>
      </c>
      <c r="I76" s="1850">
        <f t="shared" si="43"/>
        <v>1787555.0500000003</v>
      </c>
      <c r="J76" s="1851">
        <f t="shared" si="30"/>
        <v>5080.7800000000007</v>
      </c>
      <c r="K76" s="1851">
        <f t="shared" si="31"/>
        <v>599859.55000000005</v>
      </c>
      <c r="L76" s="1811"/>
      <c r="M76" s="1812"/>
      <c r="N76" s="1812"/>
      <c r="O76" s="1812"/>
      <c r="P76" s="1812"/>
      <c r="Q76" s="1813">
        <f t="shared" si="32"/>
        <v>0</v>
      </c>
      <c r="R76" s="1811">
        <v>1229.4000000000001</v>
      </c>
      <c r="S76" s="1812">
        <v>712.12</v>
      </c>
      <c r="T76" s="1812">
        <v>0</v>
      </c>
      <c r="U76" s="1812">
        <v>-0.04</v>
      </c>
      <c r="V76" s="1812">
        <v>0</v>
      </c>
      <c r="W76" s="1813">
        <f t="shared" si="33"/>
        <v>1941.48</v>
      </c>
      <c r="X76" s="1827">
        <v>114.25</v>
      </c>
      <c r="Y76" s="1828">
        <v>36.659999999999997</v>
      </c>
      <c r="Z76" s="1828">
        <v>0</v>
      </c>
      <c r="AA76" s="1828">
        <v>0</v>
      </c>
      <c r="AB76" s="1828">
        <v>0</v>
      </c>
      <c r="AC76" s="1852">
        <f t="shared" si="34"/>
        <v>150.91</v>
      </c>
      <c r="AD76" s="1853">
        <v>620700.48091031786</v>
      </c>
      <c r="AE76" s="1828">
        <v>329636.61908968218</v>
      </c>
      <c r="AF76" s="1828">
        <v>174320.89</v>
      </c>
      <c r="AG76" s="1828">
        <v>4220.5600000000004</v>
      </c>
      <c r="AH76" s="1828">
        <v>0</v>
      </c>
      <c r="AI76" s="1852">
        <f t="shared" si="35"/>
        <v>1128878.5500000003</v>
      </c>
      <c r="AJ76" s="1853">
        <v>235265.97</v>
      </c>
      <c r="AK76" s="1828">
        <v>0</v>
      </c>
      <c r="AL76" s="1828">
        <v>420457.88</v>
      </c>
      <c r="AM76" s="1828">
        <v>860.26</v>
      </c>
      <c r="AN76" s="1828">
        <v>0</v>
      </c>
      <c r="AO76" s="1852">
        <f t="shared" si="36"/>
        <v>656584.11</v>
      </c>
      <c r="AP76" s="1853"/>
      <c r="AQ76" s="1828"/>
      <c r="AR76" s="1828"/>
      <c r="AS76" s="1828"/>
      <c r="AT76" s="1828"/>
      <c r="AU76" s="1852">
        <f t="shared" si="37"/>
        <v>0</v>
      </c>
    </row>
    <row r="77" spans="1:47" ht="15" customHeight="1" x14ac:dyDescent="0.25">
      <c r="A77" s="1846" t="s">
        <v>188</v>
      </c>
      <c r="B77" s="1834" t="s">
        <v>189</v>
      </c>
      <c r="C77" s="1847" t="s">
        <v>267</v>
      </c>
      <c r="D77" s="1848">
        <f t="shared" si="38"/>
        <v>9546531.4066256993</v>
      </c>
      <c r="E77" s="1849">
        <f t="shared" si="39"/>
        <v>2989629.4333743001</v>
      </c>
      <c r="F77" s="1849">
        <f t="shared" si="40"/>
        <v>8536605.1099999994</v>
      </c>
      <c r="G77" s="1849">
        <f t="shared" si="41"/>
        <v>162422.54999999999</v>
      </c>
      <c r="H77" s="1849">
        <f t="shared" si="42"/>
        <v>0</v>
      </c>
      <c r="I77" s="1850">
        <f t="shared" si="43"/>
        <v>21235188.5</v>
      </c>
      <c r="J77" s="1851">
        <f t="shared" si="30"/>
        <v>162422.54999999999</v>
      </c>
      <c r="K77" s="1851">
        <f t="shared" si="31"/>
        <v>8699027.6600000001</v>
      </c>
      <c r="L77" s="1811">
        <v>79429.89</v>
      </c>
      <c r="M77" s="1812">
        <v>0</v>
      </c>
      <c r="N77" s="1812">
        <v>25487.48</v>
      </c>
      <c r="O77" s="1812">
        <v>-0.18</v>
      </c>
      <c r="P77" s="1812">
        <v>0</v>
      </c>
      <c r="Q77" s="1813">
        <f t="shared" si="32"/>
        <v>104917.19</v>
      </c>
      <c r="R77" s="1811">
        <v>42599.18</v>
      </c>
      <c r="S77" s="1812">
        <v>24578.27</v>
      </c>
      <c r="T77" s="1812">
        <v>0</v>
      </c>
      <c r="U77" s="1812">
        <v>-7.0000000000000007E-2</v>
      </c>
      <c r="V77" s="1812">
        <v>0</v>
      </c>
      <c r="W77" s="1813">
        <f t="shared" si="33"/>
        <v>67177.37999999999</v>
      </c>
      <c r="X77" s="1827"/>
      <c r="Y77" s="1828"/>
      <c r="Z77" s="1828"/>
      <c r="AA77" s="1828"/>
      <c r="AB77" s="1828"/>
      <c r="AC77" s="1852">
        <f t="shared" si="34"/>
        <v>0</v>
      </c>
      <c r="AD77" s="1853">
        <v>5593839.7166256998</v>
      </c>
      <c r="AE77" s="1828">
        <v>2965051.1633743001</v>
      </c>
      <c r="AF77" s="1828">
        <v>1569972.46</v>
      </c>
      <c r="AG77" s="1828">
        <v>161912.95999999999</v>
      </c>
      <c r="AH77" s="1828">
        <v>0</v>
      </c>
      <c r="AI77" s="1852">
        <f t="shared" si="35"/>
        <v>10290776.300000001</v>
      </c>
      <c r="AJ77" s="1853">
        <v>3830662.62</v>
      </c>
      <c r="AK77" s="1828">
        <v>0</v>
      </c>
      <c r="AL77" s="1828">
        <v>6941145.1699999999</v>
      </c>
      <c r="AM77" s="1828">
        <v>509.84</v>
      </c>
      <c r="AN77" s="1828">
        <v>0</v>
      </c>
      <c r="AO77" s="1852">
        <f t="shared" si="36"/>
        <v>10772317.629999999</v>
      </c>
      <c r="AP77" s="1853"/>
      <c r="AQ77" s="1828"/>
      <c r="AR77" s="1828"/>
      <c r="AS77" s="1828"/>
      <c r="AT77" s="1828"/>
      <c r="AU77" s="1852">
        <f t="shared" si="37"/>
        <v>0</v>
      </c>
    </row>
    <row r="78" spans="1:47" ht="15" customHeight="1" x14ac:dyDescent="0.25">
      <c r="A78" s="1846" t="s">
        <v>190</v>
      </c>
      <c r="B78" s="1834" t="s">
        <v>191</v>
      </c>
      <c r="C78" s="1847" t="s">
        <v>268</v>
      </c>
      <c r="D78" s="1848">
        <f t="shared" si="38"/>
        <v>1859460.4989561622</v>
      </c>
      <c r="E78" s="1849">
        <f t="shared" si="39"/>
        <v>949271.02104383789</v>
      </c>
      <c r="F78" s="1849">
        <f t="shared" si="40"/>
        <v>653903.98</v>
      </c>
      <c r="G78" s="1849">
        <f t="shared" si="41"/>
        <v>34494.800000000003</v>
      </c>
      <c r="H78" s="1849">
        <f t="shared" si="42"/>
        <v>0</v>
      </c>
      <c r="I78" s="1850">
        <f t="shared" si="43"/>
        <v>3497130.3</v>
      </c>
      <c r="J78" s="1851">
        <f t="shared" si="30"/>
        <v>34494.800000000003</v>
      </c>
      <c r="K78" s="1851">
        <f t="shared" si="31"/>
        <v>688398.78</v>
      </c>
      <c r="L78" s="1811"/>
      <c r="M78" s="1812"/>
      <c r="N78" s="1812"/>
      <c r="O78" s="1812"/>
      <c r="P78" s="1812"/>
      <c r="Q78" s="1813">
        <f t="shared" si="32"/>
        <v>0</v>
      </c>
      <c r="R78" s="1811">
        <v>1082.26</v>
      </c>
      <c r="S78" s="1812">
        <v>380.64</v>
      </c>
      <c r="T78" s="1812">
        <v>0</v>
      </c>
      <c r="U78" s="1812">
        <v>-0.06</v>
      </c>
      <c r="V78" s="1812">
        <v>0</v>
      </c>
      <c r="W78" s="1813">
        <f t="shared" si="33"/>
        <v>1462.8400000000001</v>
      </c>
      <c r="X78" s="1827"/>
      <c r="Y78" s="1828"/>
      <c r="Z78" s="1828"/>
      <c r="AA78" s="1828"/>
      <c r="AB78" s="1828"/>
      <c r="AC78" s="1852">
        <f t="shared" si="34"/>
        <v>0</v>
      </c>
      <c r="AD78" s="1853">
        <v>1777567.1789561622</v>
      </c>
      <c r="AE78" s="1828">
        <v>948890.38104383787</v>
      </c>
      <c r="AF78" s="1828">
        <v>500114.42</v>
      </c>
      <c r="AG78" s="1828">
        <v>34495.24</v>
      </c>
      <c r="AH78" s="1828">
        <v>0</v>
      </c>
      <c r="AI78" s="1852">
        <f t="shared" si="35"/>
        <v>3261067.22</v>
      </c>
      <c r="AJ78" s="1853">
        <v>80811.06</v>
      </c>
      <c r="AK78" s="1828">
        <v>0</v>
      </c>
      <c r="AL78" s="1828">
        <v>153789.56</v>
      </c>
      <c r="AM78" s="1828">
        <v>-0.38</v>
      </c>
      <c r="AN78" s="1828">
        <v>0</v>
      </c>
      <c r="AO78" s="1852">
        <f t="shared" si="36"/>
        <v>234600.24</v>
      </c>
      <c r="AP78" s="1853"/>
      <c r="AQ78" s="1828"/>
      <c r="AR78" s="1828"/>
      <c r="AS78" s="1828"/>
      <c r="AT78" s="1828"/>
      <c r="AU78" s="1852">
        <f t="shared" si="37"/>
        <v>0</v>
      </c>
    </row>
    <row r="79" spans="1:47" ht="15" customHeight="1" x14ac:dyDescent="0.25">
      <c r="A79" s="1846" t="s">
        <v>194</v>
      </c>
      <c r="B79" s="1834" t="s">
        <v>195</v>
      </c>
      <c r="C79" s="1847" t="s">
        <v>267</v>
      </c>
      <c r="D79" s="1848">
        <f t="shared" si="38"/>
        <v>411090.20312146551</v>
      </c>
      <c r="E79" s="1849">
        <f t="shared" si="39"/>
        <v>139342.28687853453</v>
      </c>
      <c r="F79" s="1849">
        <f t="shared" si="40"/>
        <v>343141.33</v>
      </c>
      <c r="G79" s="1849">
        <f t="shared" si="41"/>
        <v>6653.81</v>
      </c>
      <c r="H79" s="1849">
        <f t="shared" si="42"/>
        <v>0</v>
      </c>
      <c r="I79" s="1850">
        <f t="shared" si="43"/>
        <v>900227.63000000012</v>
      </c>
      <c r="J79" s="1851">
        <f t="shared" si="30"/>
        <v>6653.81</v>
      </c>
      <c r="K79" s="1851">
        <f t="shared" si="31"/>
        <v>349795.14</v>
      </c>
      <c r="L79" s="1811"/>
      <c r="M79" s="1812"/>
      <c r="N79" s="1812"/>
      <c r="O79" s="1812"/>
      <c r="P79" s="1812"/>
      <c r="Q79" s="1813">
        <f t="shared" si="32"/>
        <v>0</v>
      </c>
      <c r="R79" s="1811"/>
      <c r="S79" s="1812"/>
      <c r="T79" s="1812"/>
      <c r="U79" s="1812"/>
      <c r="V79" s="1812"/>
      <c r="W79" s="1813">
        <f t="shared" si="33"/>
        <v>0</v>
      </c>
      <c r="X79" s="1827"/>
      <c r="Y79" s="1828"/>
      <c r="Z79" s="1828"/>
      <c r="AA79" s="1828"/>
      <c r="AB79" s="1828"/>
      <c r="AC79" s="1852">
        <f t="shared" si="34"/>
        <v>0</v>
      </c>
      <c r="AD79" s="1853">
        <v>260120.06312146547</v>
      </c>
      <c r="AE79" s="1828">
        <v>139342.28687853453</v>
      </c>
      <c r="AF79" s="1828">
        <v>73272.3</v>
      </c>
      <c r="AG79" s="1828">
        <v>3735.28</v>
      </c>
      <c r="AH79" s="1828">
        <v>0</v>
      </c>
      <c r="AI79" s="1852">
        <f t="shared" si="35"/>
        <v>476469.93</v>
      </c>
      <c r="AJ79" s="1853">
        <v>150970.14000000001</v>
      </c>
      <c r="AK79" s="1828">
        <v>0</v>
      </c>
      <c r="AL79" s="1828">
        <v>269869.03000000003</v>
      </c>
      <c r="AM79" s="1828">
        <v>2918.53</v>
      </c>
      <c r="AN79" s="1828">
        <v>0</v>
      </c>
      <c r="AO79" s="1852">
        <f t="shared" si="36"/>
        <v>423757.70000000007</v>
      </c>
      <c r="AP79" s="1853"/>
      <c r="AQ79" s="1828"/>
      <c r="AR79" s="1828"/>
      <c r="AS79" s="1828"/>
      <c r="AT79" s="1828"/>
      <c r="AU79" s="1852">
        <f t="shared" si="37"/>
        <v>0</v>
      </c>
    </row>
    <row r="80" spans="1:47" ht="15" customHeight="1" x14ac:dyDescent="0.25">
      <c r="A80" s="1846" t="s">
        <v>198</v>
      </c>
      <c r="B80" s="1834" t="s">
        <v>199</v>
      </c>
      <c r="C80" s="1847" t="s">
        <v>266</v>
      </c>
      <c r="D80" s="1848">
        <f t="shared" si="38"/>
        <v>365026.84462300315</v>
      </c>
      <c r="E80" s="1849">
        <f t="shared" si="39"/>
        <v>178353.02537699678</v>
      </c>
      <c r="F80" s="1849">
        <f t="shared" si="40"/>
        <v>147311.27000000002</v>
      </c>
      <c r="G80" s="1849">
        <f t="shared" si="41"/>
        <v>2468.7900000000004</v>
      </c>
      <c r="H80" s="1849">
        <f t="shared" si="42"/>
        <v>0</v>
      </c>
      <c r="I80" s="1850">
        <f t="shared" si="43"/>
        <v>693159.92999999993</v>
      </c>
      <c r="J80" s="1851">
        <f t="shared" si="30"/>
        <v>2468.7900000000004</v>
      </c>
      <c r="K80" s="1851">
        <f t="shared" si="31"/>
        <v>149780.06000000003</v>
      </c>
      <c r="L80" s="1811"/>
      <c r="M80" s="1812"/>
      <c r="N80" s="1812"/>
      <c r="O80" s="1812"/>
      <c r="P80" s="1812"/>
      <c r="Q80" s="1813">
        <f t="shared" si="32"/>
        <v>0</v>
      </c>
      <c r="R80" s="1811"/>
      <c r="S80" s="1812"/>
      <c r="T80" s="1812"/>
      <c r="U80" s="1812"/>
      <c r="V80" s="1812"/>
      <c r="W80" s="1813">
        <f t="shared" si="33"/>
        <v>0</v>
      </c>
      <c r="X80" s="1827"/>
      <c r="Y80" s="1828"/>
      <c r="Z80" s="1828"/>
      <c r="AA80" s="1828"/>
      <c r="AB80" s="1828"/>
      <c r="AC80" s="1852">
        <f t="shared" si="34"/>
        <v>0</v>
      </c>
      <c r="AD80" s="1853">
        <v>335247.71462300315</v>
      </c>
      <c r="AE80" s="1828">
        <v>178353.02537699678</v>
      </c>
      <c r="AF80" s="1828">
        <v>94208.36</v>
      </c>
      <c r="AG80" s="1828">
        <v>2470.0100000000002</v>
      </c>
      <c r="AH80" s="1828">
        <v>0</v>
      </c>
      <c r="AI80" s="1852">
        <f t="shared" si="35"/>
        <v>610279.11</v>
      </c>
      <c r="AJ80" s="1853">
        <v>29779.13</v>
      </c>
      <c r="AK80" s="1828">
        <v>0</v>
      </c>
      <c r="AL80" s="1828">
        <v>53102.91</v>
      </c>
      <c r="AM80" s="1828">
        <v>-1.22</v>
      </c>
      <c r="AN80" s="1828">
        <v>0</v>
      </c>
      <c r="AO80" s="1852">
        <f t="shared" si="36"/>
        <v>82880.820000000007</v>
      </c>
      <c r="AP80" s="1853"/>
      <c r="AQ80" s="1828"/>
      <c r="AR80" s="1828"/>
      <c r="AS80" s="1828"/>
      <c r="AT80" s="1828"/>
      <c r="AU80" s="1852">
        <f t="shared" si="37"/>
        <v>0</v>
      </c>
    </row>
    <row r="81" spans="1:47" ht="15" customHeight="1" x14ac:dyDescent="0.25">
      <c r="A81" s="1846" t="s">
        <v>202</v>
      </c>
      <c r="B81" s="1834" t="s">
        <v>203</v>
      </c>
      <c r="C81" s="1847" t="s">
        <v>265</v>
      </c>
      <c r="D81" s="1848">
        <f t="shared" si="38"/>
        <v>2670018.099393853</v>
      </c>
      <c r="E81" s="1849">
        <f t="shared" si="39"/>
        <v>1040726.9806061471</v>
      </c>
      <c r="F81" s="1849">
        <f t="shared" si="40"/>
        <v>1814171.4</v>
      </c>
      <c r="G81" s="1849">
        <f t="shared" si="41"/>
        <v>94809.87</v>
      </c>
      <c r="H81" s="1849">
        <f t="shared" si="42"/>
        <v>0</v>
      </c>
      <c r="I81" s="1850">
        <f t="shared" si="43"/>
        <v>5619726.3499999996</v>
      </c>
      <c r="J81" s="1851">
        <f t="shared" si="30"/>
        <v>94809.87</v>
      </c>
      <c r="K81" s="1851">
        <f t="shared" si="31"/>
        <v>1908981.27</v>
      </c>
      <c r="L81" s="1811"/>
      <c r="M81" s="1812"/>
      <c r="N81" s="1812"/>
      <c r="O81" s="1812"/>
      <c r="P81" s="1812"/>
      <c r="Q81" s="1813">
        <f t="shared" si="32"/>
        <v>0</v>
      </c>
      <c r="R81" s="1811">
        <v>9048.51</v>
      </c>
      <c r="S81" s="1812">
        <v>5245.4</v>
      </c>
      <c r="T81" s="1812">
        <v>0</v>
      </c>
      <c r="U81" s="1812">
        <v>-0.19</v>
      </c>
      <c r="V81" s="1812">
        <v>0</v>
      </c>
      <c r="W81" s="1813">
        <f t="shared" si="33"/>
        <v>14293.72</v>
      </c>
      <c r="X81" s="1827"/>
      <c r="Y81" s="1828"/>
      <c r="Z81" s="1828"/>
      <c r="AA81" s="1828"/>
      <c r="AB81" s="1828"/>
      <c r="AC81" s="1852">
        <f t="shared" si="34"/>
        <v>0</v>
      </c>
      <c r="AD81" s="1853">
        <v>1951956.1193938528</v>
      </c>
      <c r="AE81" s="1828">
        <v>1035481.5806061471</v>
      </c>
      <c r="AF81" s="1828">
        <v>547990.25</v>
      </c>
      <c r="AG81" s="1828">
        <v>74211.399999999994</v>
      </c>
      <c r="AH81" s="1828">
        <v>0</v>
      </c>
      <c r="AI81" s="1852">
        <f t="shared" si="35"/>
        <v>3609639.3499999996</v>
      </c>
      <c r="AJ81" s="1853">
        <v>709013.47</v>
      </c>
      <c r="AK81" s="1828">
        <v>0</v>
      </c>
      <c r="AL81" s="1828">
        <v>1266181.1499999999</v>
      </c>
      <c r="AM81" s="1828">
        <v>20598.66</v>
      </c>
      <c r="AN81" s="1828">
        <v>0</v>
      </c>
      <c r="AO81" s="1852">
        <f t="shared" si="36"/>
        <v>1995793.2799999998</v>
      </c>
      <c r="AP81" s="1853"/>
      <c r="AQ81" s="1828"/>
      <c r="AR81" s="1828"/>
      <c r="AS81" s="1828"/>
      <c r="AT81" s="1828"/>
      <c r="AU81" s="1852">
        <f t="shared" si="37"/>
        <v>0</v>
      </c>
    </row>
    <row r="82" spans="1:47" ht="15" customHeight="1" x14ac:dyDescent="0.25">
      <c r="A82" s="1846" t="s">
        <v>204</v>
      </c>
      <c r="B82" s="1834" t="s">
        <v>205</v>
      </c>
      <c r="C82" s="1847" t="s">
        <v>265</v>
      </c>
      <c r="D82" s="1848">
        <f t="shared" si="38"/>
        <v>915313.71929759451</v>
      </c>
      <c r="E82" s="1849">
        <f t="shared" si="39"/>
        <v>476456.07070240553</v>
      </c>
      <c r="F82" s="1849">
        <f t="shared" si="40"/>
        <v>289189.40000000002</v>
      </c>
      <c r="G82" s="1849">
        <f t="shared" si="41"/>
        <v>25937.600000000002</v>
      </c>
      <c r="H82" s="1849">
        <f t="shared" si="42"/>
        <v>0</v>
      </c>
      <c r="I82" s="1850">
        <f t="shared" si="43"/>
        <v>1706896.79</v>
      </c>
      <c r="J82" s="1851">
        <f t="shared" si="30"/>
        <v>25937.600000000002</v>
      </c>
      <c r="K82" s="1851">
        <f t="shared" si="31"/>
        <v>315127</v>
      </c>
      <c r="L82" s="1811"/>
      <c r="M82" s="1812"/>
      <c r="N82" s="1812"/>
      <c r="O82" s="1812"/>
      <c r="P82" s="1812"/>
      <c r="Q82" s="1813">
        <f t="shared" si="32"/>
        <v>0</v>
      </c>
      <c r="R82" s="1811">
        <v>6539.29</v>
      </c>
      <c r="S82" s="1812">
        <v>3790.6</v>
      </c>
      <c r="T82" s="1812">
        <v>0</v>
      </c>
      <c r="U82" s="1812">
        <v>-0.12</v>
      </c>
      <c r="V82" s="1812">
        <v>0</v>
      </c>
      <c r="W82" s="1813">
        <f t="shared" si="33"/>
        <v>10329.769999999999</v>
      </c>
      <c r="X82" s="1827">
        <v>555.14</v>
      </c>
      <c r="Y82" s="1828">
        <v>178.14</v>
      </c>
      <c r="Z82" s="1828">
        <v>0</v>
      </c>
      <c r="AA82" s="1828">
        <v>0</v>
      </c>
      <c r="AB82" s="1828">
        <v>0</v>
      </c>
      <c r="AC82" s="1852">
        <f t="shared" si="34"/>
        <v>733.28</v>
      </c>
      <c r="AD82" s="1853">
        <v>886357.14929759444</v>
      </c>
      <c r="AE82" s="1828">
        <v>472487.33070240554</v>
      </c>
      <c r="AF82" s="1828">
        <v>249251.76</v>
      </c>
      <c r="AG82" s="1828">
        <v>25799.47</v>
      </c>
      <c r="AH82" s="1828">
        <v>0</v>
      </c>
      <c r="AI82" s="1852">
        <f t="shared" si="35"/>
        <v>1633895.71</v>
      </c>
      <c r="AJ82" s="1853">
        <v>21862.14</v>
      </c>
      <c r="AK82" s="1828">
        <v>0</v>
      </c>
      <c r="AL82" s="1828">
        <v>39937.64</v>
      </c>
      <c r="AM82" s="1828">
        <v>138.25</v>
      </c>
      <c r="AN82" s="1828">
        <v>0</v>
      </c>
      <c r="AO82" s="1852">
        <f t="shared" si="36"/>
        <v>61938.03</v>
      </c>
      <c r="AP82" s="1853"/>
      <c r="AQ82" s="1828"/>
      <c r="AR82" s="1828"/>
      <c r="AS82" s="1828"/>
      <c r="AT82" s="1828"/>
      <c r="AU82" s="1852">
        <f t="shared" si="37"/>
        <v>0</v>
      </c>
    </row>
    <row r="83" spans="1:47" ht="15" customHeight="1" x14ac:dyDescent="0.25">
      <c r="A83" s="1846" t="s">
        <v>206</v>
      </c>
      <c r="B83" s="1834" t="s">
        <v>207</v>
      </c>
      <c r="C83" s="1847" t="s">
        <v>267</v>
      </c>
      <c r="D83" s="1848">
        <f t="shared" si="38"/>
        <v>3582640.8846559399</v>
      </c>
      <c r="E83" s="1849">
        <f t="shared" si="39"/>
        <v>1301914.8753440604</v>
      </c>
      <c r="F83" s="1849">
        <f t="shared" si="40"/>
        <v>2720091.05</v>
      </c>
      <c r="G83" s="1849">
        <f t="shared" si="41"/>
        <v>15988.989999999998</v>
      </c>
      <c r="H83" s="1849">
        <f t="shared" si="42"/>
        <v>0</v>
      </c>
      <c r="I83" s="1850">
        <f t="shared" si="43"/>
        <v>7620635.7999999989</v>
      </c>
      <c r="J83" s="1851">
        <f t="shared" si="30"/>
        <v>15988.989999999998</v>
      </c>
      <c r="K83" s="1851">
        <f t="shared" si="31"/>
        <v>2736080.04</v>
      </c>
      <c r="L83" s="1811"/>
      <c r="M83" s="1812"/>
      <c r="N83" s="1812"/>
      <c r="O83" s="1812"/>
      <c r="P83" s="1812"/>
      <c r="Q83" s="1813">
        <f t="shared" si="32"/>
        <v>0</v>
      </c>
      <c r="R83" s="1811">
        <v>4931.25</v>
      </c>
      <c r="S83" s="1812">
        <v>2856.37</v>
      </c>
      <c r="T83" s="1812">
        <v>0</v>
      </c>
      <c r="U83" s="1812">
        <v>-0.04</v>
      </c>
      <c r="V83" s="1812">
        <v>0</v>
      </c>
      <c r="W83" s="1813">
        <f t="shared" si="33"/>
        <v>7787.58</v>
      </c>
      <c r="X83" s="1827"/>
      <c r="Y83" s="1828"/>
      <c r="Z83" s="1828"/>
      <c r="AA83" s="1828"/>
      <c r="AB83" s="1828"/>
      <c r="AC83" s="1852">
        <f t="shared" si="34"/>
        <v>0</v>
      </c>
      <c r="AD83" s="1853">
        <v>2438706.5546559398</v>
      </c>
      <c r="AE83" s="1828">
        <v>1299058.5053440602</v>
      </c>
      <c r="AF83" s="1828">
        <v>685623.33</v>
      </c>
      <c r="AG83" s="1828">
        <v>9058.9699999999993</v>
      </c>
      <c r="AH83" s="1828">
        <v>0</v>
      </c>
      <c r="AI83" s="1852">
        <f t="shared" si="35"/>
        <v>4432447.3599999994</v>
      </c>
      <c r="AJ83" s="1853">
        <v>1139003.08</v>
      </c>
      <c r="AK83" s="1828">
        <v>0</v>
      </c>
      <c r="AL83" s="1828">
        <v>2034467.72</v>
      </c>
      <c r="AM83" s="1828">
        <v>6930.06</v>
      </c>
      <c r="AN83" s="1828">
        <v>0</v>
      </c>
      <c r="AO83" s="1852">
        <f t="shared" si="36"/>
        <v>3180400.86</v>
      </c>
      <c r="AP83" s="1853"/>
      <c r="AQ83" s="1828"/>
      <c r="AR83" s="1828"/>
      <c r="AS83" s="1828"/>
      <c r="AT83" s="1828"/>
      <c r="AU83" s="1852">
        <f t="shared" si="37"/>
        <v>0</v>
      </c>
    </row>
    <row r="84" spans="1:47" ht="15" customHeight="1" x14ac:dyDescent="0.25">
      <c r="A84" s="1846" t="s">
        <v>208</v>
      </c>
      <c r="B84" s="1834" t="s">
        <v>209</v>
      </c>
      <c r="C84" s="1847" t="s">
        <v>268</v>
      </c>
      <c r="D84" s="1848">
        <f t="shared" si="38"/>
        <v>1244708.0522842528</v>
      </c>
      <c r="E84" s="1849">
        <f t="shared" si="39"/>
        <v>664477.46771574719</v>
      </c>
      <c r="F84" s="1849">
        <f t="shared" si="40"/>
        <v>349750.68</v>
      </c>
      <c r="G84" s="1849">
        <f t="shared" si="41"/>
        <v>19876.09</v>
      </c>
      <c r="H84" s="1849">
        <f t="shared" si="42"/>
        <v>0</v>
      </c>
      <c r="I84" s="1850">
        <f t="shared" si="43"/>
        <v>2278812.2900000005</v>
      </c>
      <c r="J84" s="1851">
        <f t="shared" si="30"/>
        <v>19876.09</v>
      </c>
      <c r="K84" s="1851">
        <f t="shared" si="31"/>
        <v>369626.77</v>
      </c>
      <c r="L84" s="1811"/>
      <c r="M84" s="1812"/>
      <c r="N84" s="1812"/>
      <c r="O84" s="1812"/>
      <c r="P84" s="1812"/>
      <c r="Q84" s="1813">
        <f t="shared" si="32"/>
        <v>0</v>
      </c>
      <c r="R84" s="1811">
        <v>1565.25</v>
      </c>
      <c r="S84" s="1812">
        <v>892.88</v>
      </c>
      <c r="T84" s="1812">
        <v>0</v>
      </c>
      <c r="U84" s="1812">
        <v>-7.0000000000000007E-2</v>
      </c>
      <c r="V84" s="1812">
        <v>0</v>
      </c>
      <c r="W84" s="1813">
        <f t="shared" si="33"/>
        <v>2458.06</v>
      </c>
      <c r="X84" s="1853"/>
      <c r="Y84" s="1854"/>
      <c r="Z84" s="1854"/>
      <c r="AA84" s="1854"/>
      <c r="AB84" s="1854"/>
      <c r="AC84" s="1852">
        <f t="shared" si="34"/>
        <v>0</v>
      </c>
      <c r="AD84" s="1853">
        <v>1243142.8022842528</v>
      </c>
      <c r="AE84" s="1854">
        <v>663584.58771574718</v>
      </c>
      <c r="AF84" s="1854">
        <v>349750.68</v>
      </c>
      <c r="AG84" s="1854">
        <v>19876.16</v>
      </c>
      <c r="AH84" s="1854">
        <v>0</v>
      </c>
      <c r="AI84" s="1852">
        <f t="shared" si="35"/>
        <v>2276354.2300000004</v>
      </c>
      <c r="AJ84" s="1853"/>
      <c r="AK84" s="1854"/>
      <c r="AL84" s="1854"/>
      <c r="AM84" s="1854"/>
      <c r="AN84" s="1854"/>
      <c r="AO84" s="1852">
        <f t="shared" si="36"/>
        <v>0</v>
      </c>
      <c r="AP84" s="1853"/>
      <c r="AQ84" s="1854"/>
      <c r="AR84" s="1854"/>
      <c r="AS84" s="1854"/>
      <c r="AT84" s="1854"/>
      <c r="AU84" s="1852">
        <f t="shared" si="37"/>
        <v>0</v>
      </c>
    </row>
    <row r="85" spans="1:47" ht="15" customHeight="1" x14ac:dyDescent="0.25">
      <c r="A85" s="1846" t="s">
        <v>210</v>
      </c>
      <c r="B85" s="1834" t="s">
        <v>211</v>
      </c>
      <c r="C85" s="1847" t="s">
        <v>268</v>
      </c>
      <c r="D85" s="1848">
        <f t="shared" si="38"/>
        <v>1136178.0093902624</v>
      </c>
      <c r="E85" s="1849">
        <f t="shared" si="39"/>
        <v>606886.5306097375</v>
      </c>
      <c r="F85" s="1849">
        <f t="shared" si="40"/>
        <v>317783.49</v>
      </c>
      <c r="G85" s="1849">
        <f t="shared" si="41"/>
        <v>25372.78</v>
      </c>
      <c r="H85" s="1849">
        <f t="shared" si="42"/>
        <v>0</v>
      </c>
      <c r="I85" s="1850">
        <f t="shared" si="43"/>
        <v>2086220.81</v>
      </c>
      <c r="J85" s="1851">
        <f t="shared" si="30"/>
        <v>25372.78</v>
      </c>
      <c r="K85" s="1851">
        <f t="shared" si="31"/>
        <v>343156.27</v>
      </c>
      <c r="L85" s="1811"/>
      <c r="M85" s="1812"/>
      <c r="N85" s="1812"/>
      <c r="O85" s="1812"/>
      <c r="P85" s="1812"/>
      <c r="Q85" s="1813">
        <f t="shared" si="32"/>
        <v>0</v>
      </c>
      <c r="R85" s="1811">
        <v>6706.33</v>
      </c>
      <c r="S85" s="1812">
        <v>3865.24</v>
      </c>
      <c r="T85" s="1812">
        <v>0</v>
      </c>
      <c r="U85" s="1812">
        <v>-0.23</v>
      </c>
      <c r="V85" s="1812">
        <v>0</v>
      </c>
      <c r="W85" s="1813">
        <f t="shared" si="33"/>
        <v>10571.34</v>
      </c>
      <c r="X85" s="1827">
        <v>39.39</v>
      </c>
      <c r="Y85" s="1854">
        <v>12.64</v>
      </c>
      <c r="Z85" s="1828">
        <v>0</v>
      </c>
      <c r="AA85" s="1828">
        <v>0</v>
      </c>
      <c r="AB85" s="1828">
        <v>0</v>
      </c>
      <c r="AC85" s="1852">
        <f t="shared" si="34"/>
        <v>52.03</v>
      </c>
      <c r="AD85" s="1853">
        <v>1129432.2893902624</v>
      </c>
      <c r="AE85" s="1854">
        <v>603008.65060973749</v>
      </c>
      <c r="AF85" s="1828">
        <v>317783.49</v>
      </c>
      <c r="AG85" s="1828">
        <v>25373.01</v>
      </c>
      <c r="AH85" s="1828">
        <v>0</v>
      </c>
      <c r="AI85" s="1852">
        <f t="shared" si="35"/>
        <v>2075597.44</v>
      </c>
      <c r="AJ85" s="1853"/>
      <c r="AK85" s="1854"/>
      <c r="AL85" s="1828"/>
      <c r="AM85" s="1828"/>
      <c r="AN85" s="1828"/>
      <c r="AO85" s="1852">
        <f t="shared" si="36"/>
        <v>0</v>
      </c>
      <c r="AP85" s="1853"/>
      <c r="AQ85" s="1854"/>
      <c r="AR85" s="1828"/>
      <c r="AS85" s="1828"/>
      <c r="AT85" s="1828"/>
      <c r="AU85" s="1852">
        <f t="shared" si="37"/>
        <v>0</v>
      </c>
    </row>
    <row r="86" spans="1:47" ht="15" customHeight="1" x14ac:dyDescent="0.25">
      <c r="A86" s="1846" t="s">
        <v>212</v>
      </c>
      <c r="B86" s="1834" t="s">
        <v>213</v>
      </c>
      <c r="C86" s="1847" t="s">
        <v>267</v>
      </c>
      <c r="D86" s="1848">
        <f t="shared" si="38"/>
        <v>1219492.5056204053</v>
      </c>
      <c r="E86" s="1849">
        <f t="shared" si="39"/>
        <v>469991.6343795947</v>
      </c>
      <c r="F86" s="1849">
        <f t="shared" si="40"/>
        <v>842874.94000000006</v>
      </c>
      <c r="G86" s="1849">
        <f t="shared" si="41"/>
        <v>194287.43</v>
      </c>
      <c r="H86" s="1849">
        <f t="shared" si="42"/>
        <v>0</v>
      </c>
      <c r="I86" s="1850">
        <f t="shared" si="43"/>
        <v>2726646.5100000002</v>
      </c>
      <c r="J86" s="1851">
        <f t="shared" si="30"/>
        <v>194287.43</v>
      </c>
      <c r="K86" s="1851">
        <f t="shared" si="31"/>
        <v>1037162.3700000001</v>
      </c>
      <c r="L86" s="1811"/>
      <c r="M86" s="1812"/>
      <c r="N86" s="1812"/>
      <c r="O86" s="1812"/>
      <c r="P86" s="1812"/>
      <c r="Q86" s="1813">
        <f t="shared" si="32"/>
        <v>0</v>
      </c>
      <c r="R86" s="1811">
        <v>5044.13</v>
      </c>
      <c r="S86" s="1812">
        <v>2925.74</v>
      </c>
      <c r="T86" s="1812">
        <v>0</v>
      </c>
      <c r="U86" s="1812">
        <v>-0.06</v>
      </c>
      <c r="V86" s="1812">
        <v>0</v>
      </c>
      <c r="W86" s="1813">
        <f t="shared" si="33"/>
        <v>7969.8099999999995</v>
      </c>
      <c r="X86" s="1827"/>
      <c r="Y86" s="1854"/>
      <c r="Z86" s="1828"/>
      <c r="AA86" s="1828"/>
      <c r="AB86" s="1828"/>
      <c r="AC86" s="1852">
        <f t="shared" si="34"/>
        <v>0</v>
      </c>
      <c r="AD86" s="1853">
        <v>883151.05562040536</v>
      </c>
      <c r="AE86" s="1854">
        <v>467065.89437959471</v>
      </c>
      <c r="AF86" s="1828">
        <v>247671.42</v>
      </c>
      <c r="AG86" s="1828">
        <v>180554.68</v>
      </c>
      <c r="AH86" s="1828">
        <v>0</v>
      </c>
      <c r="AI86" s="1852">
        <f t="shared" si="35"/>
        <v>1778443.05</v>
      </c>
      <c r="AJ86" s="1853">
        <v>331297.32</v>
      </c>
      <c r="AK86" s="1854">
        <v>0</v>
      </c>
      <c r="AL86" s="1828">
        <v>595203.52</v>
      </c>
      <c r="AM86" s="1828">
        <v>13732.81</v>
      </c>
      <c r="AN86" s="1828">
        <v>0</v>
      </c>
      <c r="AO86" s="1852">
        <f t="shared" si="36"/>
        <v>940233.65000000014</v>
      </c>
      <c r="AP86" s="1853"/>
      <c r="AQ86" s="1854"/>
      <c r="AR86" s="1828"/>
      <c r="AS86" s="1828"/>
      <c r="AT86" s="1828"/>
      <c r="AU86" s="1852">
        <f t="shared" si="37"/>
        <v>0</v>
      </c>
    </row>
    <row r="87" spans="1:47" ht="15" customHeight="1" x14ac:dyDescent="0.25">
      <c r="A87" s="1846" t="s">
        <v>214</v>
      </c>
      <c r="B87" s="1834" t="s">
        <v>215</v>
      </c>
      <c r="C87" s="1847" t="s">
        <v>268</v>
      </c>
      <c r="D87" s="1848">
        <f t="shared" si="38"/>
        <v>1781708.2503966533</v>
      </c>
      <c r="E87" s="1849">
        <f t="shared" si="39"/>
        <v>928933.20960334688</v>
      </c>
      <c r="F87" s="1849">
        <f t="shared" si="40"/>
        <v>513805.73</v>
      </c>
      <c r="G87" s="1849">
        <f t="shared" si="41"/>
        <v>-2552.9899999999998</v>
      </c>
      <c r="H87" s="1849">
        <f t="shared" si="42"/>
        <v>0</v>
      </c>
      <c r="I87" s="1850">
        <f t="shared" si="43"/>
        <v>3221894.2</v>
      </c>
      <c r="J87" s="1851">
        <f t="shared" si="30"/>
        <v>-2552.9899999999998</v>
      </c>
      <c r="K87" s="1851">
        <f t="shared" si="31"/>
        <v>511252.74</v>
      </c>
      <c r="L87" s="1811"/>
      <c r="M87" s="1812"/>
      <c r="N87" s="1812"/>
      <c r="O87" s="1812"/>
      <c r="P87" s="1812"/>
      <c r="Q87" s="1813">
        <f t="shared" si="32"/>
        <v>0</v>
      </c>
      <c r="R87" s="1811">
        <v>9150.85</v>
      </c>
      <c r="S87" s="1812">
        <v>5270.43</v>
      </c>
      <c r="T87" s="1812">
        <v>0</v>
      </c>
      <c r="U87" s="1812">
        <v>-0.16</v>
      </c>
      <c r="V87" s="1812">
        <v>0</v>
      </c>
      <c r="W87" s="1813">
        <f t="shared" si="33"/>
        <v>14421.12</v>
      </c>
      <c r="X87" s="1827"/>
      <c r="Y87" s="1854"/>
      <c r="Z87" s="1828"/>
      <c r="AA87" s="1828"/>
      <c r="AB87" s="1828"/>
      <c r="AC87" s="1852">
        <f t="shared" si="34"/>
        <v>0</v>
      </c>
      <c r="AD87" s="1853">
        <v>1732640.0103966531</v>
      </c>
      <c r="AE87" s="1854">
        <v>923662.77960334683</v>
      </c>
      <c r="AF87" s="1828">
        <v>487247.92</v>
      </c>
      <c r="AG87" s="1828">
        <v>-2552.4</v>
      </c>
      <c r="AH87" s="1828">
        <v>0</v>
      </c>
      <c r="AI87" s="1852">
        <f t="shared" si="35"/>
        <v>3140998.31</v>
      </c>
      <c r="AJ87" s="1853">
        <v>14893.05</v>
      </c>
      <c r="AK87" s="1854">
        <v>0</v>
      </c>
      <c r="AL87" s="1828">
        <v>26557.81</v>
      </c>
      <c r="AM87" s="1828">
        <v>-0.43</v>
      </c>
      <c r="AN87" s="1828">
        <v>0</v>
      </c>
      <c r="AO87" s="1852">
        <f t="shared" si="36"/>
        <v>41450.43</v>
      </c>
      <c r="AP87" s="1853">
        <v>25024.34</v>
      </c>
      <c r="AQ87" s="1854">
        <v>0</v>
      </c>
      <c r="AR87" s="1828">
        <v>0</v>
      </c>
      <c r="AS87" s="1828">
        <v>0</v>
      </c>
      <c r="AT87" s="1828">
        <v>0</v>
      </c>
      <c r="AU87" s="1852">
        <f t="shared" si="37"/>
        <v>25024.34</v>
      </c>
    </row>
    <row r="88" spans="1:47" ht="15" customHeight="1" x14ac:dyDescent="0.25">
      <c r="A88" s="1846" t="s">
        <v>216</v>
      </c>
      <c r="B88" s="1834" t="s">
        <v>217</v>
      </c>
      <c r="C88" s="1847" t="s">
        <v>264</v>
      </c>
      <c r="D88" s="1848">
        <f t="shared" si="38"/>
        <v>971029.67238876736</v>
      </c>
      <c r="E88" s="1849">
        <f t="shared" si="39"/>
        <v>517603.39761123271</v>
      </c>
      <c r="F88" s="1849">
        <f t="shared" si="40"/>
        <v>273060.26</v>
      </c>
      <c r="G88" s="1849">
        <f t="shared" si="41"/>
        <v>10666.84</v>
      </c>
      <c r="H88" s="1849">
        <f t="shared" si="42"/>
        <v>0</v>
      </c>
      <c r="I88" s="1850">
        <f t="shared" si="43"/>
        <v>1772360.1700000002</v>
      </c>
      <c r="J88" s="1851">
        <f t="shared" si="30"/>
        <v>10666.84</v>
      </c>
      <c r="K88" s="1851">
        <f t="shared" si="31"/>
        <v>283727.10000000003</v>
      </c>
      <c r="L88" s="1811"/>
      <c r="M88" s="1812"/>
      <c r="N88" s="1812"/>
      <c r="O88" s="1812"/>
      <c r="P88" s="1812"/>
      <c r="Q88" s="1813">
        <f t="shared" si="32"/>
        <v>0</v>
      </c>
      <c r="R88" s="1811"/>
      <c r="S88" s="1812"/>
      <c r="T88" s="1812"/>
      <c r="U88" s="1812"/>
      <c r="V88" s="1812"/>
      <c r="W88" s="1813">
        <f t="shared" si="33"/>
        <v>0</v>
      </c>
      <c r="X88" s="1827"/>
      <c r="Y88" s="1828"/>
      <c r="Z88" s="1828"/>
      <c r="AA88" s="1828"/>
      <c r="AB88" s="1828"/>
      <c r="AC88" s="1852">
        <f t="shared" si="34"/>
        <v>0</v>
      </c>
      <c r="AD88" s="1853">
        <v>971029.67238876736</v>
      </c>
      <c r="AE88" s="1828">
        <v>517603.39761123271</v>
      </c>
      <c r="AF88" s="1828">
        <v>273060.26</v>
      </c>
      <c r="AG88" s="1828">
        <v>10666.84</v>
      </c>
      <c r="AH88" s="1828">
        <v>0</v>
      </c>
      <c r="AI88" s="1852">
        <f t="shared" si="35"/>
        <v>1772360.1700000002</v>
      </c>
      <c r="AJ88" s="1853"/>
      <c r="AK88" s="1828"/>
      <c r="AL88" s="1828"/>
      <c r="AM88" s="1828"/>
      <c r="AN88" s="1828"/>
      <c r="AO88" s="1852">
        <f t="shared" si="36"/>
        <v>0</v>
      </c>
      <c r="AP88" s="1853"/>
      <c r="AQ88" s="1828"/>
      <c r="AR88" s="1828"/>
      <c r="AS88" s="1828"/>
      <c r="AT88" s="1828"/>
      <c r="AU88" s="1852">
        <f t="shared" si="37"/>
        <v>0</v>
      </c>
    </row>
    <row r="89" spans="1:47" ht="15" customHeight="1" x14ac:dyDescent="0.25">
      <c r="A89" s="1846" t="s">
        <v>218</v>
      </c>
      <c r="B89" s="1834" t="s">
        <v>219</v>
      </c>
      <c r="C89" s="1847" t="s">
        <v>267</v>
      </c>
      <c r="D89" s="1848">
        <f t="shared" si="38"/>
        <v>2747896.3295544777</v>
      </c>
      <c r="E89" s="1849">
        <f t="shared" si="39"/>
        <v>918214.24044552236</v>
      </c>
      <c r="F89" s="1849">
        <f t="shared" si="40"/>
        <v>2321223.7200000002</v>
      </c>
      <c r="G89" s="1849">
        <f t="shared" si="41"/>
        <v>85036.89</v>
      </c>
      <c r="H89" s="1849">
        <f t="shared" si="42"/>
        <v>0</v>
      </c>
      <c r="I89" s="1850">
        <f t="shared" si="43"/>
        <v>6072371.1799999997</v>
      </c>
      <c r="J89" s="1851">
        <f t="shared" si="30"/>
        <v>85036.89</v>
      </c>
      <c r="K89" s="1851">
        <f t="shared" si="31"/>
        <v>2406260.6100000003</v>
      </c>
      <c r="L89" s="1811"/>
      <c r="M89" s="1812"/>
      <c r="N89" s="1812"/>
      <c r="O89" s="1812"/>
      <c r="P89" s="1812"/>
      <c r="Q89" s="1813">
        <f t="shared" si="32"/>
        <v>0</v>
      </c>
      <c r="R89" s="1811">
        <v>20825.22</v>
      </c>
      <c r="S89" s="1812">
        <v>12062.8</v>
      </c>
      <c r="T89" s="1812">
        <v>0</v>
      </c>
      <c r="U89" s="1812">
        <v>-0.02</v>
      </c>
      <c r="V89" s="1812">
        <v>0</v>
      </c>
      <c r="W89" s="1813">
        <f t="shared" si="33"/>
        <v>32888.000000000007</v>
      </c>
      <c r="X89" s="1827">
        <v>549.05999999999995</v>
      </c>
      <c r="Y89" s="1828">
        <v>176.2</v>
      </c>
      <c r="Z89" s="1828">
        <v>0</v>
      </c>
      <c r="AA89" s="1828">
        <v>0</v>
      </c>
      <c r="AB89" s="1828">
        <v>0</v>
      </c>
      <c r="AC89" s="1852">
        <f t="shared" si="34"/>
        <v>725.26</v>
      </c>
      <c r="AD89" s="1853">
        <v>1694519.7295544776</v>
      </c>
      <c r="AE89" s="1828">
        <v>905975.24044552236</v>
      </c>
      <c r="AF89" s="1828">
        <v>477012.38</v>
      </c>
      <c r="AG89" s="1828">
        <v>70088.820000000007</v>
      </c>
      <c r="AH89" s="1828">
        <v>0</v>
      </c>
      <c r="AI89" s="1852">
        <f t="shared" si="35"/>
        <v>3147596.1699999995</v>
      </c>
      <c r="AJ89" s="1853">
        <v>1032002.32</v>
      </c>
      <c r="AK89" s="1828">
        <v>0</v>
      </c>
      <c r="AL89" s="1828">
        <v>1844211.34</v>
      </c>
      <c r="AM89" s="1828">
        <v>14948.09</v>
      </c>
      <c r="AN89" s="1828">
        <v>0</v>
      </c>
      <c r="AO89" s="1852">
        <f t="shared" si="36"/>
        <v>2891161.75</v>
      </c>
      <c r="AP89" s="1853"/>
      <c r="AQ89" s="1828"/>
      <c r="AR89" s="1828"/>
      <c r="AS89" s="1828"/>
      <c r="AT89" s="1828"/>
      <c r="AU89" s="1852">
        <f t="shared" si="37"/>
        <v>0</v>
      </c>
    </row>
    <row r="90" spans="1:47" ht="15" customHeight="1" x14ac:dyDescent="0.25">
      <c r="A90" s="1846" t="s">
        <v>220</v>
      </c>
      <c r="B90" s="1834" t="s">
        <v>221</v>
      </c>
      <c r="C90" s="1847" t="s">
        <v>267</v>
      </c>
      <c r="D90" s="1848">
        <f t="shared" si="38"/>
        <v>2128708.1314103985</v>
      </c>
      <c r="E90" s="1849">
        <f t="shared" si="39"/>
        <v>883688.21858960122</v>
      </c>
      <c r="F90" s="1849">
        <f t="shared" si="40"/>
        <v>1289124</v>
      </c>
      <c r="G90" s="1849">
        <f t="shared" si="41"/>
        <v>10584.69</v>
      </c>
      <c r="H90" s="1849">
        <f t="shared" si="42"/>
        <v>0</v>
      </c>
      <c r="I90" s="1850">
        <f t="shared" si="43"/>
        <v>4312105.04</v>
      </c>
      <c r="J90" s="1851">
        <f t="shared" si="30"/>
        <v>10584.69</v>
      </c>
      <c r="K90" s="1851">
        <f t="shared" si="31"/>
        <v>1299708.69</v>
      </c>
      <c r="L90" s="1811"/>
      <c r="M90" s="1812"/>
      <c r="N90" s="1812"/>
      <c r="O90" s="1812"/>
      <c r="P90" s="1812"/>
      <c r="Q90" s="1813">
        <f t="shared" si="32"/>
        <v>0</v>
      </c>
      <c r="R90" s="1811">
        <v>12620.02</v>
      </c>
      <c r="S90" s="1812">
        <v>7270.68</v>
      </c>
      <c r="T90" s="1812">
        <v>0</v>
      </c>
      <c r="U90" s="1812">
        <v>-0.12</v>
      </c>
      <c r="V90" s="1812">
        <v>0</v>
      </c>
      <c r="W90" s="1813">
        <f t="shared" si="33"/>
        <v>19890.580000000002</v>
      </c>
      <c r="X90" s="1827"/>
      <c r="Y90" s="1828"/>
      <c r="Z90" s="1828"/>
      <c r="AA90" s="1828"/>
      <c r="AB90" s="1828"/>
      <c r="AC90" s="1852">
        <f t="shared" si="34"/>
        <v>0</v>
      </c>
      <c r="AD90" s="1853">
        <v>1653801.1214103987</v>
      </c>
      <c r="AE90" s="1828">
        <v>876417.53858960117</v>
      </c>
      <c r="AF90" s="1828">
        <v>464121.12</v>
      </c>
      <c r="AG90" s="1828">
        <v>7883.84</v>
      </c>
      <c r="AH90" s="1828">
        <v>0</v>
      </c>
      <c r="AI90" s="1852">
        <f t="shared" si="35"/>
        <v>3002223.62</v>
      </c>
      <c r="AJ90" s="1853">
        <v>462286.99</v>
      </c>
      <c r="AK90" s="1828">
        <v>0</v>
      </c>
      <c r="AL90" s="1828">
        <v>825002.88</v>
      </c>
      <c r="AM90" s="1828">
        <v>2700.97</v>
      </c>
      <c r="AN90" s="1828">
        <v>0</v>
      </c>
      <c r="AO90" s="1852">
        <f t="shared" si="36"/>
        <v>1289990.8400000001</v>
      </c>
      <c r="AP90" s="1853"/>
      <c r="AQ90" s="1828"/>
      <c r="AR90" s="1828"/>
      <c r="AS90" s="1828"/>
      <c r="AT90" s="1828"/>
      <c r="AU90" s="1852">
        <f t="shared" si="37"/>
        <v>0</v>
      </c>
    </row>
    <row r="91" spans="1:47" ht="15" customHeight="1" x14ac:dyDescent="0.25">
      <c r="A91" s="1846" t="s">
        <v>224</v>
      </c>
      <c r="B91" s="1834" t="s">
        <v>225</v>
      </c>
      <c r="C91" s="1847" t="s">
        <v>264</v>
      </c>
      <c r="D91" s="1848">
        <f t="shared" si="38"/>
        <v>634799.01332090492</v>
      </c>
      <c r="E91" s="1849">
        <f t="shared" si="39"/>
        <v>296925.04667909496</v>
      </c>
      <c r="F91" s="1849">
        <f t="shared" si="40"/>
        <v>290923.84999999998</v>
      </c>
      <c r="G91" s="1849">
        <f t="shared" si="41"/>
        <v>179938.24</v>
      </c>
      <c r="H91" s="1849">
        <f t="shared" si="42"/>
        <v>0</v>
      </c>
      <c r="I91" s="1850">
        <f t="shared" si="43"/>
        <v>1402586.15</v>
      </c>
      <c r="J91" s="1851">
        <f t="shared" si="30"/>
        <v>179938.24</v>
      </c>
      <c r="K91" s="1851">
        <f t="shared" si="31"/>
        <v>470862.08999999997</v>
      </c>
      <c r="L91" s="1811"/>
      <c r="M91" s="1812"/>
      <c r="N91" s="1812"/>
      <c r="O91" s="1812"/>
      <c r="P91" s="1812"/>
      <c r="Q91" s="1813">
        <f t="shared" si="32"/>
        <v>0</v>
      </c>
      <c r="R91" s="1811"/>
      <c r="S91" s="1812"/>
      <c r="T91" s="1812"/>
      <c r="U91" s="1812"/>
      <c r="V91" s="1812"/>
      <c r="W91" s="1813">
        <f t="shared" si="33"/>
        <v>0</v>
      </c>
      <c r="X91" s="1827"/>
      <c r="Y91" s="1828"/>
      <c r="Z91" s="1828"/>
      <c r="AA91" s="1828"/>
      <c r="AB91" s="1828"/>
      <c r="AC91" s="1852">
        <f t="shared" si="34"/>
        <v>0</v>
      </c>
      <c r="AD91" s="1853">
        <v>559778.94332090497</v>
      </c>
      <c r="AE91" s="1828">
        <v>296925.04667909496</v>
      </c>
      <c r="AF91" s="1828">
        <v>157145.53</v>
      </c>
      <c r="AG91" s="1828">
        <v>134738.25</v>
      </c>
      <c r="AH91" s="1828">
        <v>0</v>
      </c>
      <c r="AI91" s="1852">
        <f t="shared" si="35"/>
        <v>1148587.77</v>
      </c>
      <c r="AJ91" s="1853">
        <v>75020.070000000007</v>
      </c>
      <c r="AK91" s="1828">
        <v>0</v>
      </c>
      <c r="AL91" s="1828">
        <v>133778.32</v>
      </c>
      <c r="AM91" s="1828">
        <v>45199.99</v>
      </c>
      <c r="AN91" s="1828">
        <v>0</v>
      </c>
      <c r="AO91" s="1852">
        <f t="shared" si="36"/>
        <v>253998.38</v>
      </c>
      <c r="AP91" s="1853"/>
      <c r="AQ91" s="1828"/>
      <c r="AR91" s="1828"/>
      <c r="AS91" s="1828"/>
      <c r="AT91" s="1828"/>
      <c r="AU91" s="1852">
        <f t="shared" si="37"/>
        <v>0</v>
      </c>
    </row>
    <row r="92" spans="1:47" ht="15" customHeight="1" x14ac:dyDescent="0.25">
      <c r="A92" s="1846" t="s">
        <v>226</v>
      </c>
      <c r="B92" s="1834" t="s">
        <v>227</v>
      </c>
      <c r="C92" s="1847" t="s">
        <v>264</v>
      </c>
      <c r="D92" s="1848">
        <f t="shared" si="38"/>
        <v>796720.95977106923</v>
      </c>
      <c r="E92" s="1849">
        <f t="shared" si="39"/>
        <v>424616.51022893074</v>
      </c>
      <c r="F92" s="1849">
        <f t="shared" si="40"/>
        <v>224029.83</v>
      </c>
      <c r="G92" s="1849">
        <f t="shared" si="41"/>
        <v>50383.42</v>
      </c>
      <c r="H92" s="1849">
        <f t="shared" si="42"/>
        <v>0</v>
      </c>
      <c r="I92" s="1850">
        <f t="shared" si="43"/>
        <v>1495750.72</v>
      </c>
      <c r="J92" s="1851">
        <f t="shared" si="30"/>
        <v>50383.42</v>
      </c>
      <c r="K92" s="1851">
        <f t="shared" si="31"/>
        <v>274413.25</v>
      </c>
      <c r="L92" s="1811"/>
      <c r="M92" s="1812"/>
      <c r="N92" s="1812"/>
      <c r="O92" s="1812"/>
      <c r="P92" s="1812"/>
      <c r="Q92" s="1813">
        <f t="shared" si="32"/>
        <v>0</v>
      </c>
      <c r="R92" s="1811"/>
      <c r="S92" s="1812"/>
      <c r="T92" s="1812"/>
      <c r="U92" s="1812"/>
      <c r="V92" s="1812"/>
      <c r="W92" s="1813">
        <f t="shared" si="33"/>
        <v>0</v>
      </c>
      <c r="X92" s="1827"/>
      <c r="Y92" s="1828"/>
      <c r="Z92" s="1828"/>
      <c r="AA92" s="1828"/>
      <c r="AB92" s="1828"/>
      <c r="AC92" s="1852">
        <f t="shared" si="34"/>
        <v>0</v>
      </c>
      <c r="AD92" s="1853">
        <v>796720.95977106923</v>
      </c>
      <c r="AE92" s="1828">
        <v>424616.51022893074</v>
      </c>
      <c r="AF92" s="1828">
        <v>224029.83</v>
      </c>
      <c r="AG92" s="1828">
        <v>50383.42</v>
      </c>
      <c r="AH92" s="1828">
        <v>0</v>
      </c>
      <c r="AI92" s="1852">
        <f t="shared" si="35"/>
        <v>1495750.72</v>
      </c>
      <c r="AJ92" s="1853"/>
      <c r="AK92" s="1828"/>
      <c r="AL92" s="1828"/>
      <c r="AM92" s="1828"/>
      <c r="AN92" s="1828"/>
      <c r="AO92" s="1852">
        <f t="shared" si="36"/>
        <v>0</v>
      </c>
      <c r="AP92" s="1853"/>
      <c r="AQ92" s="1828"/>
      <c r="AR92" s="1828"/>
      <c r="AS92" s="1828"/>
      <c r="AT92" s="1828"/>
      <c r="AU92" s="1852">
        <f t="shared" si="37"/>
        <v>0</v>
      </c>
    </row>
    <row r="93" spans="1:47" ht="15" customHeight="1" x14ac:dyDescent="0.25">
      <c r="A93" s="1846" t="s">
        <v>228</v>
      </c>
      <c r="B93" s="1834" t="s">
        <v>229</v>
      </c>
      <c r="C93" s="1847" t="s">
        <v>268</v>
      </c>
      <c r="D93" s="1848">
        <f t="shared" si="38"/>
        <v>2208014.6572586442</v>
      </c>
      <c r="E93" s="1849">
        <f t="shared" si="39"/>
        <v>1096993.3427413555</v>
      </c>
      <c r="F93" s="1849">
        <f t="shared" si="40"/>
        <v>844588.82000000007</v>
      </c>
      <c r="G93" s="1849">
        <f t="shared" si="41"/>
        <v>98737.91</v>
      </c>
      <c r="H93" s="1849">
        <f t="shared" si="42"/>
        <v>0</v>
      </c>
      <c r="I93" s="1850">
        <f t="shared" si="43"/>
        <v>4248334.7299999995</v>
      </c>
      <c r="J93" s="1851">
        <f t="shared" si="30"/>
        <v>98737.91</v>
      </c>
      <c r="K93" s="1851">
        <f t="shared" si="31"/>
        <v>943326.7300000001</v>
      </c>
      <c r="L93" s="1811"/>
      <c r="M93" s="1812"/>
      <c r="N93" s="1812"/>
      <c r="O93" s="1812"/>
      <c r="P93" s="1812"/>
      <c r="Q93" s="1813">
        <f t="shared" si="32"/>
        <v>0</v>
      </c>
      <c r="R93" s="1811">
        <v>591.21</v>
      </c>
      <c r="S93" s="1812">
        <v>342.92</v>
      </c>
      <c r="T93" s="1812">
        <v>0</v>
      </c>
      <c r="U93" s="1812">
        <v>-0.03</v>
      </c>
      <c r="V93" s="1812">
        <v>0</v>
      </c>
      <c r="W93" s="1813">
        <f t="shared" si="33"/>
        <v>934.10000000000014</v>
      </c>
      <c r="X93" s="1827"/>
      <c r="Y93" s="1828"/>
      <c r="Z93" s="1828"/>
      <c r="AA93" s="1828"/>
      <c r="AB93" s="1828"/>
      <c r="AC93" s="1852">
        <f t="shared" si="34"/>
        <v>0</v>
      </c>
      <c r="AD93" s="1853">
        <v>2059987.7972586444</v>
      </c>
      <c r="AE93" s="1828">
        <v>1096650.4227413556</v>
      </c>
      <c r="AF93" s="1828">
        <v>579025.52</v>
      </c>
      <c r="AG93" s="1828">
        <v>98739.71</v>
      </c>
      <c r="AH93" s="1828">
        <v>0</v>
      </c>
      <c r="AI93" s="1852">
        <f t="shared" si="35"/>
        <v>3834403.4499999997</v>
      </c>
      <c r="AJ93" s="1853">
        <v>147435.65</v>
      </c>
      <c r="AK93" s="1828">
        <v>0</v>
      </c>
      <c r="AL93" s="1828">
        <v>265563.3</v>
      </c>
      <c r="AM93" s="1828">
        <v>-1.77</v>
      </c>
      <c r="AN93" s="1828">
        <v>0</v>
      </c>
      <c r="AO93" s="1852">
        <f t="shared" si="36"/>
        <v>412997.17999999993</v>
      </c>
      <c r="AP93" s="1853"/>
      <c r="AQ93" s="1828"/>
      <c r="AR93" s="1828"/>
      <c r="AS93" s="1828"/>
      <c r="AT93" s="1828"/>
      <c r="AU93" s="1852">
        <f t="shared" si="37"/>
        <v>0</v>
      </c>
    </row>
    <row r="94" spans="1:47" ht="15" customHeight="1" x14ac:dyDescent="0.25">
      <c r="A94" s="1846" t="s">
        <v>232</v>
      </c>
      <c r="B94" s="1834" t="s">
        <v>233</v>
      </c>
      <c r="C94" s="1847" t="s">
        <v>267</v>
      </c>
      <c r="D94" s="1848">
        <f t="shared" si="38"/>
        <v>1290678.945630355</v>
      </c>
      <c r="E94" s="1849">
        <f t="shared" si="39"/>
        <v>491986.38436964498</v>
      </c>
      <c r="F94" s="1849">
        <f t="shared" si="40"/>
        <v>908265.87</v>
      </c>
      <c r="G94" s="1849">
        <f t="shared" si="41"/>
        <v>16990.11</v>
      </c>
      <c r="H94" s="1849">
        <f t="shared" si="42"/>
        <v>0</v>
      </c>
      <c r="I94" s="1850">
        <f t="shared" si="43"/>
        <v>2707921.31</v>
      </c>
      <c r="J94" s="1851">
        <f t="shared" si="30"/>
        <v>16990.11</v>
      </c>
      <c r="K94" s="1851">
        <f t="shared" si="31"/>
        <v>925255.98</v>
      </c>
      <c r="L94" s="1811"/>
      <c r="M94" s="1812"/>
      <c r="N94" s="1812"/>
      <c r="O94" s="1812"/>
      <c r="P94" s="1812"/>
      <c r="Q94" s="1813">
        <f t="shared" si="32"/>
        <v>0</v>
      </c>
      <c r="R94" s="1811">
        <v>1931.79</v>
      </c>
      <c r="S94" s="1812">
        <v>1050.4100000000001</v>
      </c>
      <c r="T94" s="1812">
        <v>0</v>
      </c>
      <c r="U94" s="1812">
        <v>-0.01</v>
      </c>
      <c r="V94" s="1812">
        <v>0</v>
      </c>
      <c r="W94" s="1813">
        <f t="shared" si="33"/>
        <v>2982.1899999999996</v>
      </c>
      <c r="X94" s="1827">
        <v>0</v>
      </c>
      <c r="Y94" s="1828">
        <v>0</v>
      </c>
      <c r="Z94" s="1828">
        <v>0</v>
      </c>
      <c r="AA94" s="1828">
        <v>918.22</v>
      </c>
      <c r="AB94" s="1828">
        <v>0</v>
      </c>
      <c r="AC94" s="1852">
        <f t="shared" si="34"/>
        <v>918.22</v>
      </c>
      <c r="AD94" s="1853">
        <v>925632.49563035497</v>
      </c>
      <c r="AE94" s="1828">
        <v>490935.974369645</v>
      </c>
      <c r="AF94" s="1828">
        <v>259841.28</v>
      </c>
      <c r="AG94" s="1828">
        <v>727.58</v>
      </c>
      <c r="AH94" s="1828">
        <v>0</v>
      </c>
      <c r="AI94" s="1852">
        <f t="shared" si="35"/>
        <v>1677137.33</v>
      </c>
      <c r="AJ94" s="1853">
        <v>363114.66</v>
      </c>
      <c r="AK94" s="1828">
        <v>0</v>
      </c>
      <c r="AL94" s="1828">
        <v>648424.59</v>
      </c>
      <c r="AM94" s="1828">
        <v>15344.32</v>
      </c>
      <c r="AN94" s="1828">
        <v>0</v>
      </c>
      <c r="AO94" s="1852">
        <f t="shared" si="36"/>
        <v>1026883.57</v>
      </c>
      <c r="AP94" s="1853"/>
      <c r="AQ94" s="1828"/>
      <c r="AR94" s="1828"/>
      <c r="AS94" s="1828"/>
      <c r="AT94" s="1828"/>
      <c r="AU94" s="1852">
        <f t="shared" si="37"/>
        <v>0</v>
      </c>
    </row>
    <row r="95" spans="1:47" ht="15" customHeight="1" x14ac:dyDescent="0.25">
      <c r="A95" s="1846" t="s">
        <v>234</v>
      </c>
      <c r="B95" s="1834" t="s">
        <v>235</v>
      </c>
      <c r="C95" s="1847" t="s">
        <v>268</v>
      </c>
      <c r="D95" s="1848">
        <f t="shared" si="38"/>
        <v>1763037.6804693257</v>
      </c>
      <c r="E95" s="1849">
        <f t="shared" si="39"/>
        <v>856782.38953067397</v>
      </c>
      <c r="F95" s="1849">
        <f t="shared" si="40"/>
        <v>690674.54</v>
      </c>
      <c r="G95" s="1849">
        <f t="shared" si="41"/>
        <v>18832.46</v>
      </c>
      <c r="H95" s="1849">
        <f t="shared" si="42"/>
        <v>0</v>
      </c>
      <c r="I95" s="1850">
        <f t="shared" si="43"/>
        <v>3329327.07</v>
      </c>
      <c r="J95" s="1851">
        <f t="shared" si="30"/>
        <v>18832.46</v>
      </c>
      <c r="K95" s="1851">
        <f t="shared" si="31"/>
        <v>709507</v>
      </c>
      <c r="L95" s="1811"/>
      <c r="M95" s="1812"/>
      <c r="N95" s="1812"/>
      <c r="O95" s="1812"/>
      <c r="P95" s="1812"/>
      <c r="Q95" s="1813">
        <f t="shared" si="32"/>
        <v>0</v>
      </c>
      <c r="R95" s="1811">
        <v>6630.66</v>
      </c>
      <c r="S95" s="1812">
        <v>3828.12</v>
      </c>
      <c r="T95" s="1812">
        <v>0</v>
      </c>
      <c r="U95" s="1812">
        <v>-0.24</v>
      </c>
      <c r="V95" s="1812">
        <v>0</v>
      </c>
      <c r="W95" s="1813">
        <f t="shared" si="33"/>
        <v>10458.539999999999</v>
      </c>
      <c r="X95" s="1827"/>
      <c r="Y95" s="1828"/>
      <c r="Z95" s="1828"/>
      <c r="AA95" s="1828"/>
      <c r="AB95" s="1828"/>
      <c r="AC95" s="1852">
        <f t="shared" si="34"/>
        <v>0</v>
      </c>
      <c r="AD95" s="1853">
        <v>1600182.0504693259</v>
      </c>
      <c r="AE95" s="1828">
        <v>852954.26953067398</v>
      </c>
      <c r="AF95" s="1828">
        <v>449981.46</v>
      </c>
      <c r="AG95" s="1828">
        <v>18833.25</v>
      </c>
      <c r="AH95" s="1828">
        <v>0</v>
      </c>
      <c r="AI95" s="1852">
        <f t="shared" si="35"/>
        <v>2921951.03</v>
      </c>
      <c r="AJ95" s="1853">
        <v>131336.43</v>
      </c>
      <c r="AK95" s="1828">
        <v>0</v>
      </c>
      <c r="AL95" s="1828">
        <v>240693.08</v>
      </c>
      <c r="AM95" s="1828">
        <v>-0.55000000000000004</v>
      </c>
      <c r="AN95" s="1828">
        <v>0</v>
      </c>
      <c r="AO95" s="1852">
        <f t="shared" si="36"/>
        <v>372028.96</v>
      </c>
      <c r="AP95" s="1853">
        <v>24888.54</v>
      </c>
      <c r="AQ95" s="1828">
        <v>0</v>
      </c>
      <c r="AR95" s="1828">
        <v>0</v>
      </c>
      <c r="AS95" s="1828">
        <v>0</v>
      </c>
      <c r="AT95" s="1828">
        <v>0</v>
      </c>
      <c r="AU95" s="1852">
        <f t="shared" si="37"/>
        <v>24888.54</v>
      </c>
    </row>
    <row r="96" spans="1:47" ht="15" customHeight="1" x14ac:dyDescent="0.25">
      <c r="A96" s="1846" t="s">
        <v>236</v>
      </c>
      <c r="B96" s="1834" t="s">
        <v>237</v>
      </c>
      <c r="C96" s="1847" t="s">
        <v>266</v>
      </c>
      <c r="D96" s="1848">
        <f t="shared" si="38"/>
        <v>866374.75089700613</v>
      </c>
      <c r="E96" s="1849">
        <f t="shared" si="39"/>
        <v>375202.12910299381</v>
      </c>
      <c r="F96" s="1849">
        <f t="shared" si="40"/>
        <v>482538.87</v>
      </c>
      <c r="G96" s="1849">
        <f t="shared" si="41"/>
        <v>118451.69</v>
      </c>
      <c r="H96" s="1849">
        <f t="shared" si="42"/>
        <v>0</v>
      </c>
      <c r="I96" s="1850">
        <f t="shared" si="43"/>
        <v>1842567.4399999997</v>
      </c>
      <c r="J96" s="1851">
        <f t="shared" si="30"/>
        <v>118451.69</v>
      </c>
      <c r="K96" s="1851">
        <f t="shared" si="31"/>
        <v>600990.56000000006</v>
      </c>
      <c r="L96" s="1811"/>
      <c r="M96" s="1812"/>
      <c r="N96" s="1812"/>
      <c r="O96" s="1812"/>
      <c r="P96" s="1812"/>
      <c r="Q96" s="1813">
        <f t="shared" si="32"/>
        <v>0</v>
      </c>
      <c r="R96" s="1811">
        <v>4276.62</v>
      </c>
      <c r="S96" s="1812">
        <v>2467.75</v>
      </c>
      <c r="T96" s="1812">
        <v>0</v>
      </c>
      <c r="U96" s="1812">
        <v>-0.19</v>
      </c>
      <c r="V96" s="1812">
        <v>0</v>
      </c>
      <c r="W96" s="1813">
        <f t="shared" si="33"/>
        <v>6744.18</v>
      </c>
      <c r="X96" s="1827"/>
      <c r="Y96" s="1828"/>
      <c r="Z96" s="1828"/>
      <c r="AA96" s="1828"/>
      <c r="AB96" s="1828"/>
      <c r="AC96" s="1852">
        <f t="shared" si="34"/>
        <v>0</v>
      </c>
      <c r="AD96" s="1853">
        <v>702906.21089700609</v>
      </c>
      <c r="AE96" s="1828">
        <v>372734.37910299381</v>
      </c>
      <c r="AF96" s="1828">
        <v>197303.91</v>
      </c>
      <c r="AG96" s="1828">
        <v>118453.02</v>
      </c>
      <c r="AH96" s="1828">
        <v>0</v>
      </c>
      <c r="AI96" s="1852">
        <f t="shared" si="35"/>
        <v>1391397.5199999998</v>
      </c>
      <c r="AJ96" s="1853">
        <v>159191.92000000001</v>
      </c>
      <c r="AK96" s="1828">
        <v>0</v>
      </c>
      <c r="AL96" s="1828">
        <v>285234.96000000002</v>
      </c>
      <c r="AM96" s="1828">
        <v>-1.1399999999999999</v>
      </c>
      <c r="AN96" s="1828">
        <v>0</v>
      </c>
      <c r="AO96" s="1852">
        <f t="shared" si="36"/>
        <v>444425.74</v>
      </c>
      <c r="AP96" s="1853"/>
      <c r="AQ96" s="1828"/>
      <c r="AR96" s="1828"/>
      <c r="AS96" s="1828"/>
      <c r="AT96" s="1828"/>
      <c r="AU96" s="1852">
        <f t="shared" si="37"/>
        <v>0</v>
      </c>
    </row>
    <row r="97" spans="1:47" ht="15" customHeight="1" x14ac:dyDescent="0.25">
      <c r="A97" s="1846" t="s">
        <v>242</v>
      </c>
      <c r="B97" s="1834" t="s">
        <v>243</v>
      </c>
      <c r="C97" s="1847" t="s">
        <v>268</v>
      </c>
      <c r="D97" s="1848">
        <f t="shared" si="38"/>
        <v>2432470.4123582658</v>
      </c>
      <c r="E97" s="1849">
        <f t="shared" si="39"/>
        <v>1287213.7876417339</v>
      </c>
      <c r="F97" s="1849">
        <f t="shared" si="40"/>
        <v>715336.8899999999</v>
      </c>
      <c r="G97" s="1849">
        <f t="shared" si="41"/>
        <v>9513.1600000000017</v>
      </c>
      <c r="H97" s="1849">
        <f t="shared" si="42"/>
        <v>0</v>
      </c>
      <c r="I97" s="1850">
        <f t="shared" si="43"/>
        <v>4444534.25</v>
      </c>
      <c r="J97" s="1851">
        <f t="shared" si="30"/>
        <v>9513.1600000000017</v>
      </c>
      <c r="K97" s="1851">
        <f t="shared" si="31"/>
        <v>724850.04999999993</v>
      </c>
      <c r="L97" s="1811"/>
      <c r="M97" s="1812"/>
      <c r="N97" s="1812"/>
      <c r="O97" s="1812"/>
      <c r="P97" s="1812"/>
      <c r="Q97" s="1813">
        <f t="shared" si="32"/>
        <v>0</v>
      </c>
      <c r="R97" s="1811">
        <v>6641.61</v>
      </c>
      <c r="S97" s="1812">
        <v>3847.1</v>
      </c>
      <c r="T97" s="1812">
        <v>0</v>
      </c>
      <c r="U97" s="1812">
        <v>-0.17</v>
      </c>
      <c r="V97" s="1812">
        <v>0</v>
      </c>
      <c r="W97" s="1813">
        <f t="shared" si="33"/>
        <v>10488.539999999999</v>
      </c>
      <c r="X97" s="1827"/>
      <c r="Y97" s="1828"/>
      <c r="Z97" s="1828"/>
      <c r="AA97" s="1828"/>
      <c r="AB97" s="1828"/>
      <c r="AC97" s="1852">
        <f t="shared" si="34"/>
        <v>0</v>
      </c>
      <c r="AD97" s="1853">
        <v>2404791.5423582662</v>
      </c>
      <c r="AE97" s="1828">
        <v>1283366.6876417338</v>
      </c>
      <c r="AF97" s="1828">
        <v>676523.44</v>
      </c>
      <c r="AG97" s="1828">
        <v>9514.0400000000009</v>
      </c>
      <c r="AH97" s="1828">
        <v>0</v>
      </c>
      <c r="AI97" s="1852">
        <f t="shared" si="35"/>
        <v>4374195.71</v>
      </c>
      <c r="AJ97" s="1853">
        <v>21037.26</v>
      </c>
      <c r="AK97" s="1828">
        <v>0</v>
      </c>
      <c r="AL97" s="1828">
        <v>38813.449999999997</v>
      </c>
      <c r="AM97" s="1828">
        <v>-0.71</v>
      </c>
      <c r="AN97" s="1828">
        <v>0</v>
      </c>
      <c r="AO97" s="1852">
        <f t="shared" si="36"/>
        <v>59849.999999999993</v>
      </c>
      <c r="AP97" s="1853"/>
      <c r="AQ97" s="1828"/>
      <c r="AR97" s="1828"/>
      <c r="AS97" s="1828"/>
      <c r="AT97" s="1828"/>
      <c r="AU97" s="1852">
        <f t="shared" si="37"/>
        <v>0</v>
      </c>
    </row>
    <row r="98" spans="1:47" ht="15" customHeight="1" x14ac:dyDescent="0.25">
      <c r="A98" s="1846" t="s">
        <v>244</v>
      </c>
      <c r="B98" s="1834" t="s">
        <v>245</v>
      </c>
      <c r="C98" s="1847" t="s">
        <v>268</v>
      </c>
      <c r="D98" s="1848">
        <f t="shared" si="38"/>
        <v>1487356.7280283612</v>
      </c>
      <c r="E98" s="1849">
        <f t="shared" si="39"/>
        <v>662311.65197163878</v>
      </c>
      <c r="F98" s="1849">
        <f t="shared" si="40"/>
        <v>801177.74</v>
      </c>
      <c r="G98" s="1849">
        <f t="shared" si="41"/>
        <v>29001.86</v>
      </c>
      <c r="H98" s="1849">
        <f t="shared" si="42"/>
        <v>0</v>
      </c>
      <c r="I98" s="1850">
        <f t="shared" si="43"/>
        <v>2979847.9799999995</v>
      </c>
      <c r="J98" s="1851">
        <f t="shared" si="30"/>
        <v>29001.86</v>
      </c>
      <c r="K98" s="1851">
        <f t="shared" si="31"/>
        <v>830179.6</v>
      </c>
      <c r="L98" s="1811"/>
      <c r="M98" s="1812"/>
      <c r="N98" s="1812"/>
      <c r="O98" s="1812"/>
      <c r="P98" s="1812"/>
      <c r="Q98" s="1813">
        <f t="shared" si="32"/>
        <v>0</v>
      </c>
      <c r="R98" s="1811">
        <v>3424.54</v>
      </c>
      <c r="S98" s="1812">
        <v>1985.56</v>
      </c>
      <c r="T98" s="1812">
        <v>0</v>
      </c>
      <c r="U98" s="1812">
        <v>-0.09</v>
      </c>
      <c r="V98" s="1812">
        <v>0</v>
      </c>
      <c r="W98" s="1813">
        <f t="shared" si="33"/>
        <v>5410.01</v>
      </c>
      <c r="X98" s="1827"/>
      <c r="Y98" s="1828"/>
      <c r="Z98" s="1828"/>
      <c r="AA98" s="1828"/>
      <c r="AB98" s="1828"/>
      <c r="AC98" s="1852">
        <f t="shared" si="34"/>
        <v>0</v>
      </c>
      <c r="AD98" s="1853">
        <v>1237602.2180283612</v>
      </c>
      <c r="AE98" s="1828">
        <v>660326.09197163873</v>
      </c>
      <c r="AF98" s="1828">
        <v>348136.49</v>
      </c>
      <c r="AG98" s="1828">
        <v>29002.62</v>
      </c>
      <c r="AH98" s="1828">
        <v>0</v>
      </c>
      <c r="AI98" s="1852">
        <f t="shared" si="35"/>
        <v>2275067.42</v>
      </c>
      <c r="AJ98" s="1853">
        <v>246329.97</v>
      </c>
      <c r="AK98" s="1828">
        <v>0</v>
      </c>
      <c r="AL98" s="1828">
        <v>453041.25</v>
      </c>
      <c r="AM98" s="1828">
        <v>-0.67</v>
      </c>
      <c r="AN98" s="1828">
        <v>0</v>
      </c>
      <c r="AO98" s="1852">
        <f t="shared" si="36"/>
        <v>699370.54999999993</v>
      </c>
      <c r="AP98" s="1853"/>
      <c r="AQ98" s="1828"/>
      <c r="AR98" s="1828"/>
      <c r="AS98" s="1828"/>
      <c r="AT98" s="1828"/>
      <c r="AU98" s="1852">
        <f t="shared" si="37"/>
        <v>0</v>
      </c>
    </row>
    <row r="99" spans="1:47" ht="15" customHeight="1" x14ac:dyDescent="0.25">
      <c r="A99" s="1846" t="s">
        <v>246</v>
      </c>
      <c r="B99" s="1834" t="s">
        <v>310</v>
      </c>
      <c r="C99" s="1847" t="s">
        <v>264</v>
      </c>
      <c r="D99" s="1848">
        <f t="shared" si="38"/>
        <v>2154320.3660825524</v>
      </c>
      <c r="E99" s="1849">
        <f t="shared" si="39"/>
        <v>716180.01391744788</v>
      </c>
      <c r="F99" s="1849">
        <f t="shared" si="40"/>
        <v>1834728.25</v>
      </c>
      <c r="G99" s="1849">
        <f t="shared" si="41"/>
        <v>5070.1000000000004</v>
      </c>
      <c r="H99" s="1849">
        <f t="shared" si="42"/>
        <v>0</v>
      </c>
      <c r="I99" s="1850">
        <f t="shared" si="43"/>
        <v>4710298.7300000004</v>
      </c>
      <c r="J99" s="1851">
        <f t="shared" si="30"/>
        <v>5070.1000000000004</v>
      </c>
      <c r="K99" s="1851">
        <f t="shared" si="31"/>
        <v>1839798.35</v>
      </c>
      <c r="L99" s="1811"/>
      <c r="M99" s="1812"/>
      <c r="N99" s="1812"/>
      <c r="O99" s="1812"/>
      <c r="P99" s="1812"/>
      <c r="Q99" s="1813">
        <f t="shared" si="32"/>
        <v>0</v>
      </c>
      <c r="R99" s="1811">
        <v>5650.05</v>
      </c>
      <c r="S99" s="1812">
        <v>3274</v>
      </c>
      <c r="T99" s="1812">
        <v>0</v>
      </c>
      <c r="U99" s="1812">
        <v>-0.05</v>
      </c>
      <c r="V99" s="1812">
        <v>0</v>
      </c>
      <c r="W99" s="1813">
        <f t="shared" si="33"/>
        <v>8924</v>
      </c>
      <c r="X99" s="1827"/>
      <c r="Y99" s="1828"/>
      <c r="Z99" s="1828"/>
      <c r="AA99" s="1828"/>
      <c r="AB99" s="1828"/>
      <c r="AC99" s="1852">
        <f t="shared" si="34"/>
        <v>0</v>
      </c>
      <c r="AD99" s="1853">
        <v>1333912.0560825523</v>
      </c>
      <c r="AE99" s="1828">
        <v>712906.01391744788</v>
      </c>
      <c r="AF99" s="1828">
        <v>375450.09</v>
      </c>
      <c r="AG99" s="1828">
        <v>844.2</v>
      </c>
      <c r="AH99" s="1828">
        <v>0</v>
      </c>
      <c r="AI99" s="1852">
        <f t="shared" si="35"/>
        <v>2423112.3600000003</v>
      </c>
      <c r="AJ99" s="1853">
        <v>814758.26</v>
      </c>
      <c r="AK99" s="1828">
        <v>0</v>
      </c>
      <c r="AL99" s="1828">
        <v>1459278.16</v>
      </c>
      <c r="AM99" s="1828">
        <v>4225.95</v>
      </c>
      <c r="AN99" s="1828">
        <v>0</v>
      </c>
      <c r="AO99" s="1852">
        <f t="shared" si="36"/>
        <v>2278262.37</v>
      </c>
      <c r="AP99" s="1853"/>
      <c r="AQ99" s="1828"/>
      <c r="AR99" s="1828"/>
      <c r="AS99" s="1828"/>
      <c r="AT99" s="1828"/>
      <c r="AU99" s="1852">
        <f t="shared" si="37"/>
        <v>0</v>
      </c>
    </row>
    <row r="100" spans="1:47" ht="15" customHeight="1" x14ac:dyDescent="0.25">
      <c r="A100" s="1846" t="s">
        <v>14</v>
      </c>
      <c r="B100" s="1834" t="s">
        <v>15</v>
      </c>
      <c r="C100" s="1847" t="s">
        <v>267</v>
      </c>
      <c r="D100" s="1848">
        <f t="shared" si="38"/>
        <v>8047328.2893751543</v>
      </c>
      <c r="E100" s="1849">
        <f t="shared" si="39"/>
        <v>2318943.7706248458</v>
      </c>
      <c r="F100" s="1849">
        <f t="shared" si="40"/>
        <v>7884199.8200000003</v>
      </c>
      <c r="G100" s="1849">
        <f t="shared" si="41"/>
        <v>273791.88</v>
      </c>
      <c r="H100" s="1849">
        <f t="shared" si="42"/>
        <v>0</v>
      </c>
      <c r="I100" s="1850">
        <f t="shared" si="43"/>
        <v>18524263.759999998</v>
      </c>
      <c r="J100" s="1851">
        <f t="shared" si="30"/>
        <v>273791.88</v>
      </c>
      <c r="K100" s="1851">
        <f t="shared" si="31"/>
        <v>8157991.7000000002</v>
      </c>
      <c r="L100" s="1811">
        <v>16454.419999999998</v>
      </c>
      <c r="M100" s="1812">
        <v>0</v>
      </c>
      <c r="N100" s="1812">
        <v>5279.45</v>
      </c>
      <c r="O100" s="1812">
        <v>-0.03</v>
      </c>
      <c r="P100" s="1812">
        <v>0</v>
      </c>
      <c r="Q100" s="1813">
        <f t="shared" si="32"/>
        <v>21733.84</v>
      </c>
      <c r="R100" s="1811">
        <v>12523.24</v>
      </c>
      <c r="S100" s="1812">
        <v>7253.97</v>
      </c>
      <c r="T100" s="1812">
        <v>0</v>
      </c>
      <c r="U100" s="1812">
        <v>0</v>
      </c>
      <c r="V100" s="1812">
        <v>0</v>
      </c>
      <c r="W100" s="1813">
        <f t="shared" si="33"/>
        <v>19777.21</v>
      </c>
      <c r="X100" s="1827"/>
      <c r="Y100" s="1828"/>
      <c r="Z100" s="1828"/>
      <c r="AA100" s="1828"/>
      <c r="AB100" s="1828"/>
      <c r="AC100" s="1852">
        <f t="shared" si="34"/>
        <v>0</v>
      </c>
      <c r="AD100" s="1853">
        <v>4308895.2693751547</v>
      </c>
      <c r="AE100" s="1828">
        <v>2311689.8006248455</v>
      </c>
      <c r="AF100" s="1828">
        <v>1214425.53</v>
      </c>
      <c r="AG100" s="1828">
        <v>57293.43</v>
      </c>
      <c r="AH100" s="1828">
        <v>0</v>
      </c>
      <c r="AI100" s="1852">
        <f t="shared" si="35"/>
        <v>7892304.0300000003</v>
      </c>
      <c r="AJ100" s="1853">
        <v>3709455.36</v>
      </c>
      <c r="AK100" s="1828">
        <v>0</v>
      </c>
      <c r="AL100" s="1828">
        <v>6664494.8399999999</v>
      </c>
      <c r="AM100" s="1828">
        <v>216498.48</v>
      </c>
      <c r="AN100" s="1828">
        <v>0</v>
      </c>
      <c r="AO100" s="1852">
        <f t="shared" si="36"/>
        <v>10590448.68</v>
      </c>
      <c r="AP100" s="1853"/>
      <c r="AQ100" s="1828"/>
      <c r="AR100" s="1828"/>
      <c r="AS100" s="1828"/>
      <c r="AT100" s="1828"/>
      <c r="AU100" s="1852">
        <f t="shared" si="37"/>
        <v>0</v>
      </c>
    </row>
    <row r="101" spans="1:47" ht="15" customHeight="1" x14ac:dyDescent="0.25">
      <c r="A101" s="1846" t="s">
        <v>34</v>
      </c>
      <c r="B101" s="1834" t="s">
        <v>35</v>
      </c>
      <c r="C101" s="1847" t="s">
        <v>268</v>
      </c>
      <c r="D101" s="1848">
        <f t="shared" si="38"/>
        <v>1355816.4173045466</v>
      </c>
      <c r="E101" s="1849">
        <f t="shared" si="39"/>
        <v>670966.14269545348</v>
      </c>
      <c r="F101" s="1849">
        <f t="shared" si="40"/>
        <v>479418.08999999997</v>
      </c>
      <c r="G101" s="1849">
        <f t="shared" si="41"/>
        <v>34870.58</v>
      </c>
      <c r="H101" s="1849">
        <f t="shared" si="42"/>
        <v>0</v>
      </c>
      <c r="I101" s="1850">
        <f t="shared" si="43"/>
        <v>2541071.23</v>
      </c>
      <c r="J101" s="1851">
        <f t="shared" ref="J101:J124" si="44">G101+H101</f>
        <v>34870.58</v>
      </c>
      <c r="K101" s="1851">
        <f t="shared" ref="K101:K124" si="45">F101+J101</f>
        <v>514288.67</v>
      </c>
      <c r="L101" s="1811"/>
      <c r="M101" s="1812"/>
      <c r="N101" s="1812"/>
      <c r="O101" s="1812"/>
      <c r="P101" s="1812"/>
      <c r="Q101" s="1813">
        <f t="shared" ref="Q101:Q124" si="46">SUM(L101:P101)</f>
        <v>0</v>
      </c>
      <c r="R101" s="1811">
        <v>7927.76</v>
      </c>
      <c r="S101" s="1812">
        <v>4593.37</v>
      </c>
      <c r="T101" s="1812">
        <v>0</v>
      </c>
      <c r="U101" s="1812">
        <v>-0.13</v>
      </c>
      <c r="V101" s="1812">
        <v>0</v>
      </c>
      <c r="W101" s="1813">
        <f t="shared" ref="W101:W124" si="47">SUM(R101:V101)</f>
        <v>12521.000000000002</v>
      </c>
      <c r="X101" s="1827"/>
      <c r="Y101" s="1828"/>
      <c r="Z101" s="1828"/>
      <c r="AA101" s="1828"/>
      <c r="AB101" s="1828"/>
      <c r="AC101" s="1852">
        <f t="shared" ref="AC101:AC124" si="48">SUM(X101:AB101)</f>
        <v>0</v>
      </c>
      <c r="AD101" s="1853">
        <v>1250848.4473045466</v>
      </c>
      <c r="AE101" s="1828">
        <v>666372.77269545349</v>
      </c>
      <c r="AF101" s="1828">
        <v>351676.54</v>
      </c>
      <c r="AG101" s="1828">
        <v>34871.040000000001</v>
      </c>
      <c r="AH101" s="1828">
        <v>0</v>
      </c>
      <c r="AI101" s="1852">
        <f t="shared" ref="AI101:AI124" si="49">SUM(AD101:AH101)</f>
        <v>2303768.8000000003</v>
      </c>
      <c r="AJ101" s="1853">
        <v>67002.16</v>
      </c>
      <c r="AK101" s="1828">
        <v>0</v>
      </c>
      <c r="AL101" s="1828">
        <v>127741.55</v>
      </c>
      <c r="AM101" s="1828">
        <v>-0.33</v>
      </c>
      <c r="AN101" s="1828">
        <v>0</v>
      </c>
      <c r="AO101" s="1852">
        <f t="shared" ref="AO101:AO124" si="50">SUM(AJ101:AN101)</f>
        <v>194743.38000000003</v>
      </c>
      <c r="AP101" s="1853">
        <v>30038.05</v>
      </c>
      <c r="AQ101" s="1828">
        <v>0</v>
      </c>
      <c r="AR101" s="1828">
        <v>0</v>
      </c>
      <c r="AS101" s="1828">
        <v>0</v>
      </c>
      <c r="AT101" s="1828">
        <v>0</v>
      </c>
      <c r="AU101" s="1852">
        <f t="shared" ref="AU101:AU124" si="51">SUM(AP101:AT101)</f>
        <v>30038.05</v>
      </c>
    </row>
    <row r="102" spans="1:47" ht="15" customHeight="1" x14ac:dyDescent="0.25">
      <c r="A102" s="1846" t="s">
        <v>52</v>
      </c>
      <c r="B102" s="1834" t="s">
        <v>53</v>
      </c>
      <c r="C102" s="1847" t="s">
        <v>265</v>
      </c>
      <c r="D102" s="1848">
        <f t="shared" si="38"/>
        <v>3855334.4058061526</v>
      </c>
      <c r="E102" s="1849">
        <f t="shared" si="39"/>
        <v>1331758.214193847</v>
      </c>
      <c r="F102" s="1849">
        <f t="shared" si="40"/>
        <v>3084936.65</v>
      </c>
      <c r="G102" s="1849">
        <f t="shared" si="41"/>
        <v>32765.84</v>
      </c>
      <c r="H102" s="1849">
        <f t="shared" si="42"/>
        <v>0</v>
      </c>
      <c r="I102" s="1850">
        <f t="shared" si="43"/>
        <v>8304795.1099999985</v>
      </c>
      <c r="J102" s="1851">
        <f t="shared" si="44"/>
        <v>32765.84</v>
      </c>
      <c r="K102" s="1851">
        <f t="shared" si="45"/>
        <v>3117702.4899999998</v>
      </c>
      <c r="L102" s="1811"/>
      <c r="M102" s="1812"/>
      <c r="N102" s="1812"/>
      <c r="O102" s="1812"/>
      <c r="P102" s="1812"/>
      <c r="Q102" s="1813">
        <f t="shared" si="46"/>
        <v>0</v>
      </c>
      <c r="R102" s="1811"/>
      <c r="S102" s="1812"/>
      <c r="T102" s="1812"/>
      <c r="U102" s="1812"/>
      <c r="V102" s="1812"/>
      <c r="W102" s="1813">
        <f t="shared" si="47"/>
        <v>0</v>
      </c>
      <c r="X102" s="1827"/>
      <c r="Y102" s="1828"/>
      <c r="Z102" s="1828"/>
      <c r="AA102" s="1828"/>
      <c r="AB102" s="1828"/>
      <c r="AC102" s="1852">
        <f t="shared" si="48"/>
        <v>0</v>
      </c>
      <c r="AD102" s="1853">
        <v>2523599.6258061528</v>
      </c>
      <c r="AE102" s="1828">
        <v>1331758.214193847</v>
      </c>
      <c r="AF102" s="1828">
        <v>707193.52</v>
      </c>
      <c r="AG102" s="1828">
        <v>34511.1</v>
      </c>
      <c r="AH102" s="1828">
        <v>0</v>
      </c>
      <c r="AI102" s="1852">
        <f t="shared" si="49"/>
        <v>4597062.459999999</v>
      </c>
      <c r="AJ102" s="1853">
        <v>1303548.72</v>
      </c>
      <c r="AK102" s="1828">
        <v>0</v>
      </c>
      <c r="AL102" s="1828">
        <v>2377743.13</v>
      </c>
      <c r="AM102" s="1828">
        <v>-1745.26</v>
      </c>
      <c r="AN102" s="1828">
        <v>0</v>
      </c>
      <c r="AO102" s="1852">
        <f t="shared" si="50"/>
        <v>3679546.59</v>
      </c>
      <c r="AP102" s="1853">
        <v>28186.06</v>
      </c>
      <c r="AQ102" s="1828">
        <v>0</v>
      </c>
      <c r="AR102" s="1828">
        <v>0</v>
      </c>
      <c r="AS102" s="1828">
        <v>0</v>
      </c>
      <c r="AT102" s="1828">
        <v>0</v>
      </c>
      <c r="AU102" s="1852">
        <f t="shared" si="51"/>
        <v>28186.06</v>
      </c>
    </row>
    <row r="103" spans="1:47" ht="15" customHeight="1" x14ac:dyDescent="0.25">
      <c r="A103" s="1846" t="s">
        <v>54</v>
      </c>
      <c r="B103" s="1834" t="s">
        <v>55</v>
      </c>
      <c r="C103" s="1847" t="s">
        <v>264</v>
      </c>
      <c r="D103" s="1848">
        <f t="shared" si="38"/>
        <v>7296626.8663972002</v>
      </c>
      <c r="E103" s="1849">
        <f t="shared" si="39"/>
        <v>2864046.9536027997</v>
      </c>
      <c r="F103" s="1849">
        <f t="shared" si="40"/>
        <v>4837564.18</v>
      </c>
      <c r="G103" s="1849">
        <f t="shared" si="41"/>
        <v>202498.54</v>
      </c>
      <c r="H103" s="1849">
        <f t="shared" si="42"/>
        <v>260602.06</v>
      </c>
      <c r="I103" s="1850">
        <f t="shared" si="43"/>
        <v>15461338.599999998</v>
      </c>
      <c r="J103" s="1851">
        <f t="shared" si="44"/>
        <v>463100.6</v>
      </c>
      <c r="K103" s="1851">
        <f t="shared" si="45"/>
        <v>5300664.7799999993</v>
      </c>
      <c r="L103" s="1811">
        <v>28995.75</v>
      </c>
      <c r="M103" s="1812">
        <v>0</v>
      </c>
      <c r="N103" s="1812">
        <v>9303.7199999999993</v>
      </c>
      <c r="O103" s="1812">
        <v>-0.1</v>
      </c>
      <c r="P103" s="1812">
        <v>0</v>
      </c>
      <c r="Q103" s="1813">
        <f t="shared" si="46"/>
        <v>38299.370000000003</v>
      </c>
      <c r="R103" s="1811">
        <v>14070.35</v>
      </c>
      <c r="S103" s="1812">
        <v>8156.62</v>
      </c>
      <c r="T103" s="1812">
        <v>0</v>
      </c>
      <c r="U103" s="1812">
        <v>-0.3</v>
      </c>
      <c r="V103" s="1812">
        <v>0</v>
      </c>
      <c r="W103" s="1813">
        <f t="shared" si="47"/>
        <v>22226.670000000002</v>
      </c>
      <c r="X103" s="1827"/>
      <c r="Y103" s="1828"/>
      <c r="Z103" s="1828"/>
      <c r="AA103" s="1828"/>
      <c r="AB103" s="1828"/>
      <c r="AC103" s="1852">
        <f t="shared" si="48"/>
        <v>0</v>
      </c>
      <c r="AD103" s="1853">
        <v>5384302.746397201</v>
      </c>
      <c r="AE103" s="1828">
        <v>2855890.3336027996</v>
      </c>
      <c r="AF103" s="1828">
        <v>1511512.76</v>
      </c>
      <c r="AG103" s="1828">
        <v>157060.91</v>
      </c>
      <c r="AH103" s="1828">
        <v>0</v>
      </c>
      <c r="AI103" s="1852">
        <f t="shared" si="49"/>
        <v>9908766.75</v>
      </c>
      <c r="AJ103" s="1853">
        <v>1856898.34</v>
      </c>
      <c r="AK103" s="1828">
        <v>0</v>
      </c>
      <c r="AL103" s="1828">
        <v>3316747.7</v>
      </c>
      <c r="AM103" s="1828">
        <v>45438.03</v>
      </c>
      <c r="AN103" s="1828">
        <v>260602.06</v>
      </c>
      <c r="AO103" s="1852">
        <f t="shared" si="50"/>
        <v>5479686.1299999999</v>
      </c>
      <c r="AP103" s="1853">
        <v>12359.68</v>
      </c>
      <c r="AQ103" s="1828">
        <v>0</v>
      </c>
      <c r="AR103" s="1828">
        <v>0</v>
      </c>
      <c r="AS103" s="1828">
        <v>0</v>
      </c>
      <c r="AT103" s="1828">
        <v>0</v>
      </c>
      <c r="AU103" s="1852">
        <f t="shared" si="51"/>
        <v>12359.68</v>
      </c>
    </row>
    <row r="104" spans="1:47" ht="15" customHeight="1" x14ac:dyDescent="0.25">
      <c r="A104" s="1846" t="s">
        <v>66</v>
      </c>
      <c r="B104" s="1834" t="s">
        <v>67</v>
      </c>
      <c r="C104" s="1847" t="s">
        <v>265</v>
      </c>
      <c r="D104" s="1848">
        <f t="shared" si="38"/>
        <v>2836326.139513453</v>
      </c>
      <c r="E104" s="1849">
        <f t="shared" si="39"/>
        <v>1436055.8704865468</v>
      </c>
      <c r="F104" s="1849">
        <f t="shared" si="40"/>
        <v>935359.01</v>
      </c>
      <c r="G104" s="1849">
        <f t="shared" si="41"/>
        <v>2863.26</v>
      </c>
      <c r="H104" s="1849">
        <f t="shared" si="42"/>
        <v>0</v>
      </c>
      <c r="I104" s="1850">
        <f t="shared" si="43"/>
        <v>5210604.2799999993</v>
      </c>
      <c r="J104" s="1851">
        <f t="shared" si="44"/>
        <v>2863.26</v>
      </c>
      <c r="K104" s="1851">
        <f t="shared" si="45"/>
        <v>938222.27</v>
      </c>
      <c r="L104" s="1811"/>
      <c r="M104" s="1812"/>
      <c r="N104" s="1812"/>
      <c r="O104" s="1812"/>
      <c r="P104" s="1812"/>
      <c r="Q104" s="1813">
        <f t="shared" si="46"/>
        <v>0</v>
      </c>
      <c r="R104" s="1811">
        <v>22090.83</v>
      </c>
      <c r="S104" s="1812">
        <v>12526.11</v>
      </c>
      <c r="T104" s="1812">
        <v>0</v>
      </c>
      <c r="U104" s="1812">
        <v>-0.1</v>
      </c>
      <c r="V104" s="1812">
        <v>0</v>
      </c>
      <c r="W104" s="1813">
        <f t="shared" si="47"/>
        <v>34616.840000000004</v>
      </c>
      <c r="X104" s="1827">
        <v>1687.85</v>
      </c>
      <c r="Y104" s="1828">
        <v>541.62</v>
      </c>
      <c r="Z104" s="1828">
        <v>0</v>
      </c>
      <c r="AA104" s="1828">
        <v>0</v>
      </c>
      <c r="AB104" s="1828">
        <v>0</v>
      </c>
      <c r="AC104" s="1852">
        <f t="shared" si="48"/>
        <v>2229.4699999999998</v>
      </c>
      <c r="AD104" s="1853">
        <v>2675436.9795134529</v>
      </c>
      <c r="AE104" s="1828">
        <v>1422988.1404865468</v>
      </c>
      <c r="AF104" s="1828">
        <v>751780.51</v>
      </c>
      <c r="AG104" s="1828">
        <v>2863.46</v>
      </c>
      <c r="AH104" s="1828">
        <v>0</v>
      </c>
      <c r="AI104" s="1852">
        <f t="shared" si="49"/>
        <v>4853069.09</v>
      </c>
      <c r="AJ104" s="1853">
        <v>102946.6</v>
      </c>
      <c r="AK104" s="1828">
        <v>0</v>
      </c>
      <c r="AL104" s="1828">
        <v>183578.5</v>
      </c>
      <c r="AM104" s="1828">
        <v>-0.1</v>
      </c>
      <c r="AN104" s="1828">
        <v>0</v>
      </c>
      <c r="AO104" s="1852">
        <f t="shared" si="50"/>
        <v>286525</v>
      </c>
      <c r="AP104" s="1853">
        <v>34163.879999999997</v>
      </c>
      <c r="AQ104" s="1828">
        <v>0</v>
      </c>
      <c r="AR104" s="1828">
        <v>0</v>
      </c>
      <c r="AS104" s="1828">
        <v>0</v>
      </c>
      <c r="AT104" s="1828">
        <v>0</v>
      </c>
      <c r="AU104" s="1852">
        <f t="shared" si="51"/>
        <v>34163.879999999997</v>
      </c>
    </row>
    <row r="105" spans="1:47" ht="15" customHeight="1" x14ac:dyDescent="0.25">
      <c r="A105" s="1846" t="s">
        <v>82</v>
      </c>
      <c r="B105" s="1834" t="s">
        <v>311</v>
      </c>
      <c r="C105" s="1847" t="s">
        <v>264</v>
      </c>
      <c r="D105" s="1848">
        <f t="shared" si="38"/>
        <v>662974.65001223201</v>
      </c>
      <c r="E105" s="1849">
        <f t="shared" si="39"/>
        <v>319102.40998776798</v>
      </c>
      <c r="F105" s="1849">
        <f t="shared" si="40"/>
        <v>279910.06</v>
      </c>
      <c r="G105" s="1849">
        <f t="shared" si="41"/>
        <v>6488.25</v>
      </c>
      <c r="H105" s="1849">
        <f t="shared" si="42"/>
        <v>0</v>
      </c>
      <c r="I105" s="1850">
        <f t="shared" si="43"/>
        <v>1268475.3699999999</v>
      </c>
      <c r="J105" s="1851">
        <f t="shared" si="44"/>
        <v>6488.25</v>
      </c>
      <c r="K105" s="1851">
        <f t="shared" si="45"/>
        <v>286398.31</v>
      </c>
      <c r="L105" s="1811"/>
      <c r="M105" s="1812"/>
      <c r="N105" s="1812"/>
      <c r="O105" s="1812"/>
      <c r="P105" s="1812"/>
      <c r="Q105" s="1813">
        <f t="shared" si="46"/>
        <v>0</v>
      </c>
      <c r="R105" s="1811"/>
      <c r="S105" s="1812"/>
      <c r="T105" s="1812"/>
      <c r="U105" s="1812"/>
      <c r="V105" s="1812"/>
      <c r="W105" s="1813">
        <f t="shared" si="47"/>
        <v>0</v>
      </c>
      <c r="X105" s="1827"/>
      <c r="Y105" s="1828"/>
      <c r="Z105" s="1828"/>
      <c r="AA105" s="1828"/>
      <c r="AB105" s="1828"/>
      <c r="AC105" s="1852">
        <f t="shared" si="48"/>
        <v>0</v>
      </c>
      <c r="AD105" s="1853">
        <v>600611.260012232</v>
      </c>
      <c r="AE105" s="1828">
        <v>319102.40998776798</v>
      </c>
      <c r="AF105" s="1828">
        <v>168701.65</v>
      </c>
      <c r="AG105" s="1828">
        <v>6413.35</v>
      </c>
      <c r="AH105" s="1828">
        <v>0</v>
      </c>
      <c r="AI105" s="1852">
        <f t="shared" si="49"/>
        <v>1094828.67</v>
      </c>
      <c r="AJ105" s="1853">
        <v>62363.39</v>
      </c>
      <c r="AK105" s="1828">
        <v>0</v>
      </c>
      <c r="AL105" s="1828">
        <v>111208.41</v>
      </c>
      <c r="AM105" s="1828">
        <v>74.900000000000006</v>
      </c>
      <c r="AN105" s="1828">
        <v>0</v>
      </c>
      <c r="AO105" s="1852">
        <f t="shared" si="50"/>
        <v>173646.69999999998</v>
      </c>
      <c r="AP105" s="1853"/>
      <c r="AQ105" s="1828"/>
      <c r="AR105" s="1828"/>
      <c r="AS105" s="1828"/>
      <c r="AT105" s="1828"/>
      <c r="AU105" s="1852">
        <f t="shared" si="51"/>
        <v>0</v>
      </c>
    </row>
    <row r="106" spans="1:47" ht="15" customHeight="1" x14ac:dyDescent="0.25">
      <c r="A106" s="1846" t="s">
        <v>88</v>
      </c>
      <c r="B106" s="1834" t="s">
        <v>89</v>
      </c>
      <c r="C106" s="1847" t="s">
        <v>267</v>
      </c>
      <c r="D106" s="1848">
        <f t="shared" si="38"/>
        <v>1454547.8529143217</v>
      </c>
      <c r="E106" s="1849">
        <f t="shared" si="39"/>
        <v>551177.0570856781</v>
      </c>
      <c r="F106" s="1849">
        <f t="shared" si="40"/>
        <v>966108.99</v>
      </c>
      <c r="G106" s="1849">
        <f t="shared" si="41"/>
        <v>12312.94</v>
      </c>
      <c r="H106" s="1849">
        <f t="shared" si="42"/>
        <v>0</v>
      </c>
      <c r="I106" s="1850">
        <f t="shared" si="43"/>
        <v>2984146.84</v>
      </c>
      <c r="J106" s="1851">
        <f t="shared" si="44"/>
        <v>12312.94</v>
      </c>
      <c r="K106" s="1851">
        <f t="shared" si="45"/>
        <v>978421.92999999993</v>
      </c>
      <c r="L106" s="1811">
        <v>44569.47</v>
      </c>
      <c r="M106" s="1812">
        <v>0</v>
      </c>
      <c r="N106" s="1812">
        <v>14301.48</v>
      </c>
      <c r="O106" s="1812">
        <v>-0.12</v>
      </c>
      <c r="P106" s="1812">
        <v>0</v>
      </c>
      <c r="Q106" s="1813">
        <f t="shared" si="46"/>
        <v>58870.829999999994</v>
      </c>
      <c r="R106" s="1811">
        <v>7661.93</v>
      </c>
      <c r="S106" s="1812">
        <v>4395.12</v>
      </c>
      <c r="T106" s="1812">
        <v>0</v>
      </c>
      <c r="U106" s="1812">
        <v>-0.05</v>
      </c>
      <c r="V106" s="1812">
        <v>0</v>
      </c>
      <c r="W106" s="1813">
        <f t="shared" si="47"/>
        <v>12057</v>
      </c>
      <c r="X106" s="1827"/>
      <c r="Y106" s="1828"/>
      <c r="Z106" s="1828"/>
      <c r="AA106" s="1828"/>
      <c r="AB106" s="1828"/>
      <c r="AC106" s="1852">
        <f t="shared" si="48"/>
        <v>0</v>
      </c>
      <c r="AD106" s="1853">
        <v>1031294.4529143218</v>
      </c>
      <c r="AE106" s="1828">
        <v>546781.9370856781</v>
      </c>
      <c r="AF106" s="1828">
        <v>289467.82</v>
      </c>
      <c r="AG106" s="1828">
        <v>5524.3</v>
      </c>
      <c r="AH106" s="1828">
        <v>0</v>
      </c>
      <c r="AI106" s="1852">
        <f t="shared" si="49"/>
        <v>1873068.51</v>
      </c>
      <c r="AJ106" s="1853">
        <v>371022</v>
      </c>
      <c r="AK106" s="1828">
        <v>0</v>
      </c>
      <c r="AL106" s="1828">
        <v>662339.68999999994</v>
      </c>
      <c r="AM106" s="1828">
        <v>6788.81</v>
      </c>
      <c r="AN106" s="1828">
        <v>0</v>
      </c>
      <c r="AO106" s="1852">
        <f t="shared" si="50"/>
        <v>1040150.5</v>
      </c>
      <c r="AP106" s="1853"/>
      <c r="AQ106" s="1828"/>
      <c r="AR106" s="1828"/>
      <c r="AS106" s="1828"/>
      <c r="AT106" s="1828"/>
      <c r="AU106" s="1852">
        <f t="shared" si="51"/>
        <v>0</v>
      </c>
    </row>
    <row r="107" spans="1:47" ht="15" customHeight="1" x14ac:dyDescent="0.25">
      <c r="A107" s="1846" t="s">
        <v>90</v>
      </c>
      <c r="B107" s="1834" t="s">
        <v>91</v>
      </c>
      <c r="C107" s="1847" t="s">
        <v>268</v>
      </c>
      <c r="D107" s="1848">
        <f t="shared" si="38"/>
        <v>458621.98791276099</v>
      </c>
      <c r="E107" s="1849">
        <f t="shared" si="39"/>
        <v>240907.78208723903</v>
      </c>
      <c r="F107" s="1849">
        <f t="shared" si="40"/>
        <v>139758.51999999999</v>
      </c>
      <c r="G107" s="1849">
        <f t="shared" si="41"/>
        <v>1568.77</v>
      </c>
      <c r="H107" s="1849">
        <f t="shared" si="42"/>
        <v>0</v>
      </c>
      <c r="I107" s="1850">
        <f t="shared" si="43"/>
        <v>840857.06</v>
      </c>
      <c r="J107" s="1851">
        <f t="shared" si="44"/>
        <v>1568.77</v>
      </c>
      <c r="K107" s="1851">
        <f t="shared" si="45"/>
        <v>141327.28999999998</v>
      </c>
      <c r="L107" s="1811"/>
      <c r="M107" s="1812"/>
      <c r="N107" s="1812"/>
      <c r="O107" s="1812"/>
      <c r="P107" s="1812"/>
      <c r="Q107" s="1813">
        <f t="shared" si="46"/>
        <v>0</v>
      </c>
      <c r="R107" s="1811"/>
      <c r="S107" s="1812"/>
      <c r="T107" s="1812"/>
      <c r="U107" s="1812"/>
      <c r="V107" s="1812"/>
      <c r="W107" s="1813">
        <f t="shared" si="47"/>
        <v>0</v>
      </c>
      <c r="X107" s="1827"/>
      <c r="Y107" s="1828"/>
      <c r="Z107" s="1828"/>
      <c r="AA107" s="1828"/>
      <c r="AB107" s="1828"/>
      <c r="AC107" s="1852">
        <f t="shared" si="48"/>
        <v>0</v>
      </c>
      <c r="AD107" s="1853">
        <v>451468.03791276098</v>
      </c>
      <c r="AE107" s="1828">
        <v>240907.78208723903</v>
      </c>
      <c r="AF107" s="1828">
        <v>127001.54</v>
      </c>
      <c r="AG107" s="1828">
        <v>1569.1</v>
      </c>
      <c r="AH107" s="1828">
        <v>0</v>
      </c>
      <c r="AI107" s="1852">
        <f t="shared" si="49"/>
        <v>820946.46000000008</v>
      </c>
      <c r="AJ107" s="1853">
        <v>7153.95</v>
      </c>
      <c r="AK107" s="1828">
        <v>0</v>
      </c>
      <c r="AL107" s="1828">
        <v>12756.98</v>
      </c>
      <c r="AM107" s="1828">
        <v>-0.33</v>
      </c>
      <c r="AN107" s="1828">
        <v>0</v>
      </c>
      <c r="AO107" s="1852">
        <f t="shared" si="50"/>
        <v>19910.599999999999</v>
      </c>
      <c r="AP107" s="1853"/>
      <c r="AQ107" s="1828"/>
      <c r="AR107" s="1828"/>
      <c r="AS107" s="1828"/>
      <c r="AT107" s="1828"/>
      <c r="AU107" s="1852">
        <f t="shared" si="51"/>
        <v>0</v>
      </c>
    </row>
    <row r="108" spans="1:47" ht="15" customHeight="1" x14ac:dyDescent="0.25">
      <c r="A108" s="1846" t="s">
        <v>106</v>
      </c>
      <c r="B108" s="1834" t="s">
        <v>107</v>
      </c>
      <c r="C108" s="1847" t="s">
        <v>264</v>
      </c>
      <c r="D108" s="1848">
        <f t="shared" si="38"/>
        <v>6465149.8709571147</v>
      </c>
      <c r="E108" s="1849">
        <f t="shared" si="39"/>
        <v>3204044.8190428866</v>
      </c>
      <c r="F108" s="1849">
        <f t="shared" si="40"/>
        <v>2446652.27</v>
      </c>
      <c r="G108" s="1849">
        <f t="shared" si="41"/>
        <v>126505.02</v>
      </c>
      <c r="H108" s="1849">
        <f t="shared" si="42"/>
        <v>0</v>
      </c>
      <c r="I108" s="1850">
        <f t="shared" si="43"/>
        <v>12242351.98</v>
      </c>
      <c r="J108" s="1851">
        <f t="shared" si="44"/>
        <v>126505.02</v>
      </c>
      <c r="K108" s="1851">
        <f t="shared" si="45"/>
        <v>2573157.29</v>
      </c>
      <c r="L108" s="1811"/>
      <c r="M108" s="1812"/>
      <c r="N108" s="1812"/>
      <c r="O108" s="1812"/>
      <c r="P108" s="1812"/>
      <c r="Q108" s="1813">
        <f t="shared" si="46"/>
        <v>0</v>
      </c>
      <c r="R108" s="1811">
        <v>12479.7</v>
      </c>
      <c r="S108" s="1812">
        <v>7230.54</v>
      </c>
      <c r="T108" s="1812">
        <v>0</v>
      </c>
      <c r="U108" s="1812">
        <v>-0.06</v>
      </c>
      <c r="V108" s="1812">
        <v>0</v>
      </c>
      <c r="W108" s="1813">
        <f t="shared" si="47"/>
        <v>19710.18</v>
      </c>
      <c r="X108" s="1827">
        <v>700.14</v>
      </c>
      <c r="Y108" s="1828">
        <v>224.68</v>
      </c>
      <c r="Z108" s="1828">
        <v>0</v>
      </c>
      <c r="AA108" s="1828">
        <v>0</v>
      </c>
      <c r="AB108" s="1828">
        <v>0</v>
      </c>
      <c r="AC108" s="1852">
        <f t="shared" si="48"/>
        <v>924.81999999999994</v>
      </c>
      <c r="AD108" s="1853">
        <v>6010338.6909571141</v>
      </c>
      <c r="AE108" s="1828">
        <v>3196589.5990428864</v>
      </c>
      <c r="AF108" s="1828">
        <v>1688842.49</v>
      </c>
      <c r="AG108" s="1828">
        <v>126509.11</v>
      </c>
      <c r="AH108" s="1828">
        <v>0</v>
      </c>
      <c r="AI108" s="1852">
        <f t="shared" si="49"/>
        <v>11022279.890000001</v>
      </c>
      <c r="AJ108" s="1853">
        <v>421338.65</v>
      </c>
      <c r="AK108" s="1828">
        <v>0</v>
      </c>
      <c r="AL108" s="1828">
        <v>757809.78</v>
      </c>
      <c r="AM108" s="1828">
        <v>-4.03</v>
      </c>
      <c r="AN108" s="1828">
        <v>0</v>
      </c>
      <c r="AO108" s="1852">
        <f t="shared" si="50"/>
        <v>1179144.4000000001</v>
      </c>
      <c r="AP108" s="1853">
        <v>20292.689999999999</v>
      </c>
      <c r="AQ108" s="1828">
        <v>0</v>
      </c>
      <c r="AR108" s="1828">
        <v>0</v>
      </c>
      <c r="AS108" s="1828">
        <v>0</v>
      </c>
      <c r="AT108" s="1828">
        <v>0</v>
      </c>
      <c r="AU108" s="1852">
        <f t="shared" si="51"/>
        <v>20292.689999999999</v>
      </c>
    </row>
    <row r="109" spans="1:47" ht="15" customHeight="1" x14ac:dyDescent="0.25">
      <c r="A109" s="1846" t="s">
        <v>116</v>
      </c>
      <c r="B109" s="1834" t="s">
        <v>117</v>
      </c>
      <c r="C109" s="1847" t="s">
        <v>266</v>
      </c>
      <c r="D109" s="1848">
        <f t="shared" si="38"/>
        <v>1695277.1204841379</v>
      </c>
      <c r="E109" s="1849">
        <f t="shared" si="39"/>
        <v>819560.60951586207</v>
      </c>
      <c r="F109" s="1849">
        <f t="shared" si="40"/>
        <v>705288.99</v>
      </c>
      <c r="G109" s="1849">
        <f t="shared" si="41"/>
        <v>-14.58</v>
      </c>
      <c r="H109" s="1849">
        <f t="shared" si="42"/>
        <v>0</v>
      </c>
      <c r="I109" s="1850">
        <f t="shared" si="43"/>
        <v>3220112.1399999997</v>
      </c>
      <c r="J109" s="1851">
        <f t="shared" si="44"/>
        <v>-14.58</v>
      </c>
      <c r="K109" s="1851">
        <f t="shared" si="45"/>
        <v>705274.41</v>
      </c>
      <c r="L109" s="1811"/>
      <c r="M109" s="1812"/>
      <c r="N109" s="1812"/>
      <c r="O109" s="1812"/>
      <c r="P109" s="1812"/>
      <c r="Q109" s="1813">
        <f t="shared" si="46"/>
        <v>0</v>
      </c>
      <c r="R109" s="1811">
        <v>6405.2</v>
      </c>
      <c r="S109" s="1812">
        <v>3710.16</v>
      </c>
      <c r="T109" s="1812">
        <v>0</v>
      </c>
      <c r="U109" s="1812">
        <v>-0.08</v>
      </c>
      <c r="V109" s="1812">
        <v>0</v>
      </c>
      <c r="W109" s="1813">
        <f t="shared" si="47"/>
        <v>10115.280000000001</v>
      </c>
      <c r="X109" s="1827"/>
      <c r="Y109" s="1828"/>
      <c r="Z109" s="1828"/>
      <c r="AA109" s="1828"/>
      <c r="AB109" s="1828"/>
      <c r="AC109" s="1852">
        <f t="shared" si="48"/>
        <v>0</v>
      </c>
      <c r="AD109" s="1853">
        <v>1535199.5904841379</v>
      </c>
      <c r="AE109" s="1828">
        <v>815850.44951586204</v>
      </c>
      <c r="AF109" s="1828">
        <v>431255.32</v>
      </c>
      <c r="AG109" s="1828">
        <v>-12.36</v>
      </c>
      <c r="AH109" s="1828">
        <v>0</v>
      </c>
      <c r="AI109" s="1852">
        <f t="shared" si="49"/>
        <v>2782293</v>
      </c>
      <c r="AJ109" s="1853">
        <v>153672.32999999999</v>
      </c>
      <c r="AK109" s="1828">
        <v>0</v>
      </c>
      <c r="AL109" s="1828">
        <v>274033.67</v>
      </c>
      <c r="AM109" s="1828">
        <v>-2.14</v>
      </c>
      <c r="AN109" s="1828">
        <v>0</v>
      </c>
      <c r="AO109" s="1852">
        <f t="shared" si="50"/>
        <v>427703.86</v>
      </c>
      <c r="AP109" s="1853"/>
      <c r="AQ109" s="1828"/>
      <c r="AR109" s="1828"/>
      <c r="AS109" s="1828"/>
      <c r="AT109" s="1828"/>
      <c r="AU109" s="1852">
        <f t="shared" si="51"/>
        <v>0</v>
      </c>
    </row>
    <row r="110" spans="1:47" ht="15" customHeight="1" x14ac:dyDescent="0.25">
      <c r="A110" s="1846" t="s">
        <v>138</v>
      </c>
      <c r="B110" s="1834" t="s">
        <v>139</v>
      </c>
      <c r="C110" s="1847" t="s">
        <v>265</v>
      </c>
      <c r="D110" s="1848">
        <f t="shared" si="38"/>
        <v>4177927.3379255207</v>
      </c>
      <c r="E110" s="1849">
        <f t="shared" si="39"/>
        <v>1927368.3020744796</v>
      </c>
      <c r="F110" s="1849">
        <f t="shared" si="40"/>
        <v>2009905.96</v>
      </c>
      <c r="G110" s="1849">
        <f t="shared" si="41"/>
        <v>67499.320000000007</v>
      </c>
      <c r="H110" s="1849">
        <f t="shared" si="42"/>
        <v>0</v>
      </c>
      <c r="I110" s="1850">
        <f t="shared" si="43"/>
        <v>8182700.9200000018</v>
      </c>
      <c r="J110" s="1851">
        <f t="shared" si="44"/>
        <v>67499.320000000007</v>
      </c>
      <c r="K110" s="1851">
        <f t="shared" si="45"/>
        <v>2077405.28</v>
      </c>
      <c r="L110" s="1811"/>
      <c r="M110" s="1812"/>
      <c r="N110" s="1812"/>
      <c r="O110" s="1812"/>
      <c r="P110" s="1812"/>
      <c r="Q110" s="1813">
        <f t="shared" si="46"/>
        <v>0</v>
      </c>
      <c r="R110" s="1811">
        <v>23016.85</v>
      </c>
      <c r="S110" s="1812">
        <v>13000.34</v>
      </c>
      <c r="T110" s="1812">
        <v>0</v>
      </c>
      <c r="U110" s="1812">
        <v>-0.19</v>
      </c>
      <c r="V110" s="1812">
        <v>0</v>
      </c>
      <c r="W110" s="1813">
        <f t="shared" si="47"/>
        <v>36017</v>
      </c>
      <c r="X110" s="1827">
        <v>296.67</v>
      </c>
      <c r="Y110" s="1828">
        <v>95.2</v>
      </c>
      <c r="Z110" s="1828">
        <v>0</v>
      </c>
      <c r="AA110" s="1828">
        <v>-0.01</v>
      </c>
      <c r="AB110" s="1828">
        <v>0</v>
      </c>
      <c r="AC110" s="1852">
        <f t="shared" si="48"/>
        <v>391.86</v>
      </c>
      <c r="AD110" s="1853">
        <v>3603043.7579255207</v>
      </c>
      <c r="AE110" s="1828">
        <v>1914272.7620744796</v>
      </c>
      <c r="AF110" s="1828">
        <v>1012049.36</v>
      </c>
      <c r="AG110" s="1828">
        <v>62170.98</v>
      </c>
      <c r="AH110" s="1828">
        <v>0</v>
      </c>
      <c r="AI110" s="1852">
        <f t="shared" si="49"/>
        <v>6591536.8600000013</v>
      </c>
      <c r="AJ110" s="1853">
        <v>551570.06000000006</v>
      </c>
      <c r="AK110" s="1828">
        <v>0</v>
      </c>
      <c r="AL110" s="1828">
        <v>997856.6</v>
      </c>
      <c r="AM110" s="1828">
        <v>5328.54</v>
      </c>
      <c r="AN110" s="1828">
        <v>0</v>
      </c>
      <c r="AO110" s="1852">
        <f t="shared" si="50"/>
        <v>1554755.2000000002</v>
      </c>
      <c r="AP110" s="1853"/>
      <c r="AQ110" s="1828"/>
      <c r="AR110" s="1828"/>
      <c r="AS110" s="1828"/>
      <c r="AT110" s="1828"/>
      <c r="AU110" s="1852">
        <f t="shared" si="51"/>
        <v>0</v>
      </c>
    </row>
    <row r="111" spans="1:47" ht="15" customHeight="1" x14ac:dyDescent="0.25">
      <c r="A111" s="1846" t="s">
        <v>142</v>
      </c>
      <c r="B111" s="1834" t="s">
        <v>143</v>
      </c>
      <c r="C111" s="1847" t="s">
        <v>267</v>
      </c>
      <c r="D111" s="1848">
        <f t="shared" si="38"/>
        <v>1419360.0328172189</v>
      </c>
      <c r="E111" s="1849">
        <f t="shared" si="39"/>
        <v>470097.64718278107</v>
      </c>
      <c r="F111" s="1849">
        <f t="shared" si="40"/>
        <v>1208444.08</v>
      </c>
      <c r="G111" s="1849">
        <f t="shared" si="41"/>
        <v>-10.79</v>
      </c>
      <c r="H111" s="1849">
        <f t="shared" si="42"/>
        <v>0</v>
      </c>
      <c r="I111" s="1850">
        <f t="shared" si="43"/>
        <v>3097890.9699999997</v>
      </c>
      <c r="J111" s="1851">
        <f t="shared" si="44"/>
        <v>-10.79</v>
      </c>
      <c r="K111" s="1851">
        <f t="shared" si="45"/>
        <v>1208433.29</v>
      </c>
      <c r="L111" s="1811"/>
      <c r="M111" s="1812"/>
      <c r="N111" s="1812"/>
      <c r="O111" s="1812"/>
      <c r="P111" s="1812"/>
      <c r="Q111" s="1813">
        <f t="shared" si="46"/>
        <v>0</v>
      </c>
      <c r="R111" s="1811">
        <v>6627.62</v>
      </c>
      <c r="S111" s="1812">
        <v>3811.36</v>
      </c>
      <c r="T111" s="1812">
        <v>0</v>
      </c>
      <c r="U111" s="1812">
        <v>-0.08</v>
      </c>
      <c r="V111" s="1812">
        <v>0</v>
      </c>
      <c r="W111" s="1813">
        <f t="shared" si="47"/>
        <v>10438.9</v>
      </c>
      <c r="X111" s="1827"/>
      <c r="Y111" s="1828"/>
      <c r="Z111" s="1828"/>
      <c r="AA111" s="1828"/>
      <c r="AB111" s="1828"/>
      <c r="AC111" s="1852">
        <f t="shared" si="48"/>
        <v>0</v>
      </c>
      <c r="AD111" s="1853">
        <v>874058.70281721896</v>
      </c>
      <c r="AE111" s="1828">
        <v>466286.28718278109</v>
      </c>
      <c r="AF111" s="1828">
        <v>245860.45</v>
      </c>
      <c r="AG111" s="1828">
        <v>-6.21</v>
      </c>
      <c r="AH111" s="1828">
        <v>0</v>
      </c>
      <c r="AI111" s="1852">
        <f t="shared" si="49"/>
        <v>1586199.23</v>
      </c>
      <c r="AJ111" s="1853">
        <v>538673.71</v>
      </c>
      <c r="AK111" s="1828">
        <v>0</v>
      </c>
      <c r="AL111" s="1828">
        <v>962583.63</v>
      </c>
      <c r="AM111" s="1828">
        <v>-4.5</v>
      </c>
      <c r="AN111" s="1828">
        <v>0</v>
      </c>
      <c r="AO111" s="1852">
        <f t="shared" si="50"/>
        <v>1501252.8399999999</v>
      </c>
      <c r="AP111" s="1853"/>
      <c r="AQ111" s="1828"/>
      <c r="AR111" s="1828"/>
      <c r="AS111" s="1828"/>
      <c r="AT111" s="1828"/>
      <c r="AU111" s="1852">
        <f t="shared" si="51"/>
        <v>0</v>
      </c>
    </row>
    <row r="112" spans="1:47" ht="15" customHeight="1" x14ac:dyDescent="0.25">
      <c r="A112" s="1846" t="s">
        <v>144</v>
      </c>
      <c r="B112" s="1834" t="s">
        <v>145</v>
      </c>
      <c r="C112" s="1847" t="s">
        <v>267</v>
      </c>
      <c r="D112" s="1848">
        <f t="shared" si="38"/>
        <v>575192.88880476227</v>
      </c>
      <c r="E112" s="1849">
        <f t="shared" si="39"/>
        <v>193753.04119523775</v>
      </c>
      <c r="F112" s="1849">
        <f t="shared" si="40"/>
        <v>481261.16</v>
      </c>
      <c r="G112" s="1849">
        <f t="shared" si="41"/>
        <v>-9.41</v>
      </c>
      <c r="H112" s="1849">
        <f t="shared" si="42"/>
        <v>0</v>
      </c>
      <c r="I112" s="1850">
        <f t="shared" si="43"/>
        <v>1250197.6800000002</v>
      </c>
      <c r="J112" s="1851">
        <f t="shared" si="44"/>
        <v>-9.41</v>
      </c>
      <c r="K112" s="1851">
        <f t="shared" si="45"/>
        <v>481251.75</v>
      </c>
      <c r="L112" s="1811"/>
      <c r="M112" s="1812"/>
      <c r="N112" s="1812"/>
      <c r="O112" s="1812"/>
      <c r="P112" s="1812"/>
      <c r="Q112" s="1813">
        <f t="shared" si="46"/>
        <v>0</v>
      </c>
      <c r="R112" s="1811">
        <v>2819.24</v>
      </c>
      <c r="S112" s="1812">
        <v>1609.16</v>
      </c>
      <c r="T112" s="1812">
        <v>0</v>
      </c>
      <c r="U112" s="1812">
        <v>-0.12</v>
      </c>
      <c r="V112" s="1812">
        <v>0</v>
      </c>
      <c r="W112" s="1813">
        <f t="shared" si="47"/>
        <v>4428.28</v>
      </c>
      <c r="X112" s="1827"/>
      <c r="Y112" s="1828"/>
      <c r="Z112" s="1828"/>
      <c r="AA112" s="1828"/>
      <c r="AB112" s="1828"/>
      <c r="AC112" s="1852">
        <f t="shared" si="48"/>
        <v>0</v>
      </c>
      <c r="AD112" s="1853">
        <v>359746.22880476224</v>
      </c>
      <c r="AE112" s="1828">
        <v>192143.88119523774</v>
      </c>
      <c r="AF112" s="1828">
        <v>101232.74</v>
      </c>
      <c r="AG112" s="1828">
        <v>-5.85</v>
      </c>
      <c r="AH112" s="1828">
        <v>0</v>
      </c>
      <c r="AI112" s="1852">
        <f t="shared" si="49"/>
        <v>653117</v>
      </c>
      <c r="AJ112" s="1853">
        <v>212627.42</v>
      </c>
      <c r="AK112" s="1828">
        <v>0</v>
      </c>
      <c r="AL112" s="1828">
        <v>380028.42</v>
      </c>
      <c r="AM112" s="1828">
        <v>-3.44</v>
      </c>
      <c r="AN112" s="1828">
        <v>0</v>
      </c>
      <c r="AO112" s="1852">
        <f t="shared" si="50"/>
        <v>592652.4</v>
      </c>
      <c r="AP112" s="1853"/>
      <c r="AQ112" s="1828"/>
      <c r="AR112" s="1828"/>
      <c r="AS112" s="1828"/>
      <c r="AT112" s="1828"/>
      <c r="AU112" s="1852">
        <f t="shared" si="51"/>
        <v>0</v>
      </c>
    </row>
    <row r="113" spans="1:47" ht="15" customHeight="1" x14ac:dyDescent="0.25">
      <c r="A113" s="1846" t="s">
        <v>158</v>
      </c>
      <c r="B113" s="1834" t="s">
        <v>159</v>
      </c>
      <c r="C113" s="1847" t="s">
        <v>264</v>
      </c>
      <c r="D113" s="1848">
        <f t="shared" si="38"/>
        <v>11984874.969815092</v>
      </c>
      <c r="E113" s="1849">
        <f t="shared" si="39"/>
        <v>4887784.2501849066</v>
      </c>
      <c r="F113" s="1849">
        <f t="shared" si="40"/>
        <v>7482478.5199999996</v>
      </c>
      <c r="G113" s="1849">
        <f t="shared" si="41"/>
        <v>-17.66</v>
      </c>
      <c r="H113" s="1849">
        <f t="shared" si="42"/>
        <v>0</v>
      </c>
      <c r="I113" s="1850">
        <f t="shared" si="43"/>
        <v>24355120.079999998</v>
      </c>
      <c r="J113" s="1851">
        <f t="shared" si="44"/>
        <v>-17.66</v>
      </c>
      <c r="K113" s="1851">
        <f t="shared" si="45"/>
        <v>7482460.8599999994</v>
      </c>
      <c r="L113" s="1811"/>
      <c r="M113" s="1812"/>
      <c r="N113" s="1812"/>
      <c r="O113" s="1812"/>
      <c r="P113" s="1812"/>
      <c r="Q113" s="1813">
        <f t="shared" si="46"/>
        <v>0</v>
      </c>
      <c r="R113" s="1811">
        <v>38626.04</v>
      </c>
      <c r="S113" s="1812">
        <v>22373.75</v>
      </c>
      <c r="T113" s="1812">
        <v>0</v>
      </c>
      <c r="U113" s="1812">
        <v>-0.02</v>
      </c>
      <c r="V113" s="1812">
        <v>0</v>
      </c>
      <c r="W113" s="1813">
        <f t="shared" si="47"/>
        <v>60999.770000000004</v>
      </c>
      <c r="X113" s="1827"/>
      <c r="Y113" s="1828"/>
      <c r="Z113" s="1828"/>
      <c r="AA113" s="1828"/>
      <c r="AB113" s="1828"/>
      <c r="AC113" s="1852">
        <f t="shared" si="48"/>
        <v>0</v>
      </c>
      <c r="AD113" s="1853">
        <v>9182356.9398150928</v>
      </c>
      <c r="AE113" s="1828">
        <v>4865410.5001849066</v>
      </c>
      <c r="AF113" s="1828">
        <v>2576807.39</v>
      </c>
      <c r="AG113" s="1828">
        <v>-10.83</v>
      </c>
      <c r="AH113" s="1828">
        <v>0</v>
      </c>
      <c r="AI113" s="1852">
        <f t="shared" si="49"/>
        <v>16624564</v>
      </c>
      <c r="AJ113" s="1853">
        <v>2747982.24</v>
      </c>
      <c r="AK113" s="1828">
        <v>0</v>
      </c>
      <c r="AL113" s="1828">
        <v>4905671.13</v>
      </c>
      <c r="AM113" s="1828">
        <v>-6.81</v>
      </c>
      <c r="AN113" s="1828">
        <v>0</v>
      </c>
      <c r="AO113" s="1852">
        <f t="shared" si="50"/>
        <v>7653646.5600000005</v>
      </c>
      <c r="AP113" s="1853">
        <v>15909.75</v>
      </c>
      <c r="AQ113" s="1828">
        <v>0</v>
      </c>
      <c r="AR113" s="1828">
        <v>0</v>
      </c>
      <c r="AS113" s="1828">
        <v>0</v>
      </c>
      <c r="AT113" s="1828">
        <v>0</v>
      </c>
      <c r="AU113" s="1852">
        <f t="shared" si="51"/>
        <v>15909.75</v>
      </c>
    </row>
    <row r="114" spans="1:47" ht="15" customHeight="1" x14ac:dyDescent="0.25">
      <c r="A114" s="1846" t="s">
        <v>160</v>
      </c>
      <c r="B114" s="1834" t="s">
        <v>161</v>
      </c>
      <c r="C114" s="1847" t="s">
        <v>264</v>
      </c>
      <c r="D114" s="1848">
        <f t="shared" si="38"/>
        <v>14336116.825732989</v>
      </c>
      <c r="E114" s="1849">
        <f t="shared" si="39"/>
        <v>7580023.1142670093</v>
      </c>
      <c r="F114" s="1849">
        <f t="shared" si="40"/>
        <v>4013997.12</v>
      </c>
      <c r="G114" s="1849">
        <f t="shared" si="41"/>
        <v>-19.279999999999998</v>
      </c>
      <c r="H114" s="1849">
        <f t="shared" si="42"/>
        <v>0</v>
      </c>
      <c r="I114" s="1850">
        <f t="shared" si="43"/>
        <v>25930117.780000005</v>
      </c>
      <c r="J114" s="1851">
        <f t="shared" si="44"/>
        <v>-19.279999999999998</v>
      </c>
      <c r="K114" s="1851">
        <f t="shared" si="45"/>
        <v>4013977.8400000003</v>
      </c>
      <c r="L114" s="1811">
        <v>102855.32</v>
      </c>
      <c r="M114" s="1812">
        <v>0</v>
      </c>
      <c r="N114" s="1812">
        <v>33003.14</v>
      </c>
      <c r="O114" s="1812">
        <v>-0.15</v>
      </c>
      <c r="P114" s="1812">
        <v>0</v>
      </c>
      <c r="Q114" s="1813">
        <f t="shared" si="46"/>
        <v>135858.31000000003</v>
      </c>
      <c r="R114" s="1811">
        <v>47519.6</v>
      </c>
      <c r="S114" s="1812">
        <v>27557.200000000001</v>
      </c>
      <c r="T114" s="1812">
        <v>0</v>
      </c>
      <c r="U114" s="1812">
        <v>-7.0000000000000007E-2</v>
      </c>
      <c r="V114" s="1812">
        <v>0</v>
      </c>
      <c r="W114" s="1813">
        <f t="shared" si="47"/>
        <v>75076.73</v>
      </c>
      <c r="X114" s="1827">
        <v>5056.7700000000004</v>
      </c>
      <c r="Y114" s="1828">
        <v>1622.72</v>
      </c>
      <c r="Z114" s="1828">
        <v>0</v>
      </c>
      <c r="AA114" s="1828">
        <v>0</v>
      </c>
      <c r="AB114" s="1828">
        <v>0</v>
      </c>
      <c r="AC114" s="1852">
        <f t="shared" si="48"/>
        <v>6679.4900000000007</v>
      </c>
      <c r="AD114" s="1853">
        <v>14152014.37573299</v>
      </c>
      <c r="AE114" s="1828">
        <v>7550843.1942670094</v>
      </c>
      <c r="AF114" s="1828">
        <v>3980993.98</v>
      </c>
      <c r="AG114" s="1828">
        <v>-19.059999999999999</v>
      </c>
      <c r="AH114" s="1828">
        <v>0</v>
      </c>
      <c r="AI114" s="1852">
        <f t="shared" si="49"/>
        <v>25683832.490000002</v>
      </c>
      <c r="AJ114" s="1853"/>
      <c r="AK114" s="1828"/>
      <c r="AL114" s="1828"/>
      <c r="AM114" s="1828"/>
      <c r="AN114" s="1828"/>
      <c r="AO114" s="1852">
        <f t="shared" si="50"/>
        <v>0</v>
      </c>
      <c r="AP114" s="1853">
        <v>28670.76</v>
      </c>
      <c r="AQ114" s="1828">
        <v>0</v>
      </c>
      <c r="AR114" s="1828">
        <v>0</v>
      </c>
      <c r="AS114" s="1828">
        <v>0</v>
      </c>
      <c r="AT114" s="1828">
        <v>0</v>
      </c>
      <c r="AU114" s="1852">
        <f t="shared" si="51"/>
        <v>28670.76</v>
      </c>
    </row>
    <row r="115" spans="1:47" ht="15" customHeight="1" x14ac:dyDescent="0.25">
      <c r="A115" s="1846" t="s">
        <v>166</v>
      </c>
      <c r="B115" s="1834" t="s">
        <v>167</v>
      </c>
      <c r="C115" s="1847" t="s">
        <v>268</v>
      </c>
      <c r="D115" s="1848">
        <f t="shared" si="38"/>
        <v>408381.01040186966</v>
      </c>
      <c r="E115" s="1849">
        <f t="shared" si="39"/>
        <v>190632.31959813033</v>
      </c>
      <c r="F115" s="1849">
        <f t="shared" si="40"/>
        <v>186982.72999999998</v>
      </c>
      <c r="G115" s="1849">
        <f t="shared" si="41"/>
        <v>282.71999999999997</v>
      </c>
      <c r="H115" s="1849">
        <f t="shared" si="42"/>
        <v>0</v>
      </c>
      <c r="I115" s="1850">
        <f t="shared" si="43"/>
        <v>786278.77999999991</v>
      </c>
      <c r="J115" s="1851">
        <f t="shared" si="44"/>
        <v>282.71999999999997</v>
      </c>
      <c r="K115" s="1851">
        <f t="shared" si="45"/>
        <v>187265.44999999998</v>
      </c>
      <c r="L115" s="1811"/>
      <c r="M115" s="1812"/>
      <c r="N115" s="1812"/>
      <c r="O115" s="1812"/>
      <c r="P115" s="1812"/>
      <c r="Q115" s="1813">
        <f t="shared" si="46"/>
        <v>0</v>
      </c>
      <c r="R115" s="1811"/>
      <c r="S115" s="1812"/>
      <c r="T115" s="1812"/>
      <c r="U115" s="1812"/>
      <c r="V115" s="1812"/>
      <c r="W115" s="1813">
        <f t="shared" si="47"/>
        <v>0</v>
      </c>
      <c r="X115" s="1827"/>
      <c r="Y115" s="1828"/>
      <c r="Z115" s="1828"/>
      <c r="AA115" s="1828"/>
      <c r="AB115" s="1828"/>
      <c r="AC115" s="1852">
        <f t="shared" si="48"/>
        <v>0</v>
      </c>
      <c r="AD115" s="1853">
        <v>360193.48040186969</v>
      </c>
      <c r="AE115" s="1828">
        <v>190632.31959813033</v>
      </c>
      <c r="AF115" s="1828">
        <v>101036.97</v>
      </c>
      <c r="AG115" s="1828">
        <v>283.94</v>
      </c>
      <c r="AH115" s="1828">
        <v>0</v>
      </c>
      <c r="AI115" s="1852">
        <f t="shared" si="49"/>
        <v>652146.71</v>
      </c>
      <c r="AJ115" s="1853">
        <v>48187.53</v>
      </c>
      <c r="AK115" s="1828">
        <v>0</v>
      </c>
      <c r="AL115" s="1828">
        <v>85945.76</v>
      </c>
      <c r="AM115" s="1828">
        <v>-1.22</v>
      </c>
      <c r="AN115" s="1828">
        <v>0</v>
      </c>
      <c r="AO115" s="1852">
        <f t="shared" si="50"/>
        <v>134132.06999999998</v>
      </c>
      <c r="AP115" s="1853"/>
      <c r="AQ115" s="1828"/>
      <c r="AR115" s="1828"/>
      <c r="AS115" s="1828"/>
      <c r="AT115" s="1828"/>
      <c r="AU115" s="1852">
        <f t="shared" si="51"/>
        <v>0</v>
      </c>
    </row>
    <row r="116" spans="1:47" ht="15" customHeight="1" x14ac:dyDescent="0.25">
      <c r="A116" s="1846" t="s">
        <v>176</v>
      </c>
      <c r="B116" s="1834" t="s">
        <v>177</v>
      </c>
      <c r="C116" s="1847" t="s">
        <v>266</v>
      </c>
      <c r="D116" s="1848">
        <f t="shared" si="38"/>
        <v>2419457.6514173597</v>
      </c>
      <c r="E116" s="1849">
        <f t="shared" si="39"/>
        <v>1289864.5985826405</v>
      </c>
      <c r="F116" s="1849">
        <f t="shared" si="40"/>
        <v>676799.51</v>
      </c>
      <c r="G116" s="1849">
        <f t="shared" si="41"/>
        <v>-8.7799999999999994</v>
      </c>
      <c r="H116" s="1849">
        <f t="shared" si="42"/>
        <v>0</v>
      </c>
      <c r="I116" s="1850">
        <f t="shared" si="43"/>
        <v>4386112.9799999995</v>
      </c>
      <c r="J116" s="1851">
        <f t="shared" si="44"/>
        <v>-8.7799999999999994</v>
      </c>
      <c r="K116" s="1851">
        <f t="shared" si="45"/>
        <v>676790.73</v>
      </c>
      <c r="L116" s="1811"/>
      <c r="M116" s="1812"/>
      <c r="N116" s="1812"/>
      <c r="O116" s="1812"/>
      <c r="P116" s="1812"/>
      <c r="Q116" s="1813">
        <f t="shared" si="46"/>
        <v>0</v>
      </c>
      <c r="R116" s="1811">
        <v>12450.89</v>
      </c>
      <c r="S116" s="1812">
        <v>7212.07</v>
      </c>
      <c r="T116" s="1812">
        <v>0</v>
      </c>
      <c r="U116" s="1812">
        <v>-0.04</v>
      </c>
      <c r="V116" s="1812">
        <v>0</v>
      </c>
      <c r="W116" s="1813">
        <f t="shared" si="47"/>
        <v>19662.919999999998</v>
      </c>
      <c r="X116" s="1853"/>
      <c r="Y116" s="1828"/>
      <c r="Z116" s="1854"/>
      <c r="AA116" s="1854"/>
      <c r="AB116" s="1854"/>
      <c r="AC116" s="1852">
        <f t="shared" si="48"/>
        <v>0</v>
      </c>
      <c r="AD116" s="1853">
        <v>2407006.7614173596</v>
      </c>
      <c r="AE116" s="1828">
        <v>1282652.5285826405</v>
      </c>
      <c r="AF116" s="1854">
        <v>676799.51</v>
      </c>
      <c r="AG116" s="1854">
        <v>-8.74</v>
      </c>
      <c r="AH116" s="1854">
        <v>0</v>
      </c>
      <c r="AI116" s="1852">
        <f t="shared" si="49"/>
        <v>4366450.0599999996</v>
      </c>
      <c r="AJ116" s="1853"/>
      <c r="AK116" s="1828"/>
      <c r="AL116" s="1854"/>
      <c r="AM116" s="1854"/>
      <c r="AN116" s="1854"/>
      <c r="AO116" s="1852">
        <f t="shared" si="50"/>
        <v>0</v>
      </c>
      <c r="AP116" s="1853"/>
      <c r="AQ116" s="1828"/>
      <c r="AR116" s="1854"/>
      <c r="AS116" s="1854"/>
      <c r="AT116" s="1854"/>
      <c r="AU116" s="1852">
        <f t="shared" si="51"/>
        <v>0</v>
      </c>
    </row>
    <row r="117" spans="1:47" ht="15" customHeight="1" x14ac:dyDescent="0.25">
      <c r="A117" s="1846" t="s">
        <v>180</v>
      </c>
      <c r="B117" s="1834" t="s">
        <v>181</v>
      </c>
      <c r="C117" s="1847" t="s">
        <v>264</v>
      </c>
      <c r="D117" s="1848">
        <f t="shared" si="38"/>
        <v>7066674.7495565936</v>
      </c>
      <c r="E117" s="1849">
        <f t="shared" si="39"/>
        <v>3515302.890443407</v>
      </c>
      <c r="F117" s="1849">
        <f t="shared" si="40"/>
        <v>2629630.2400000002</v>
      </c>
      <c r="G117" s="1849">
        <f t="shared" si="41"/>
        <v>123772.14</v>
      </c>
      <c r="H117" s="1849">
        <f t="shared" si="42"/>
        <v>0</v>
      </c>
      <c r="I117" s="1850">
        <f t="shared" si="43"/>
        <v>13335380.02</v>
      </c>
      <c r="J117" s="1851">
        <f t="shared" si="44"/>
        <v>123772.14</v>
      </c>
      <c r="K117" s="1851">
        <f t="shared" si="45"/>
        <v>2753402.3800000004</v>
      </c>
      <c r="L117" s="1811"/>
      <c r="M117" s="1812"/>
      <c r="N117" s="1812"/>
      <c r="O117" s="1812"/>
      <c r="P117" s="1812"/>
      <c r="Q117" s="1813">
        <f t="shared" si="46"/>
        <v>0</v>
      </c>
      <c r="R117" s="1811">
        <v>3500.53</v>
      </c>
      <c r="S117" s="1812">
        <v>2027.66</v>
      </c>
      <c r="T117" s="1812">
        <v>0</v>
      </c>
      <c r="U117" s="1812">
        <v>-0.08</v>
      </c>
      <c r="V117" s="1812">
        <v>0</v>
      </c>
      <c r="W117" s="1813">
        <f t="shared" si="47"/>
        <v>5528.1100000000006</v>
      </c>
      <c r="X117" s="1827"/>
      <c r="Y117" s="1828"/>
      <c r="Z117" s="1828"/>
      <c r="AA117" s="1828"/>
      <c r="AB117" s="1828"/>
      <c r="AC117" s="1852">
        <f t="shared" si="48"/>
        <v>0</v>
      </c>
      <c r="AD117" s="1853">
        <v>6623834.4695565933</v>
      </c>
      <c r="AE117" s="1828">
        <v>3513275.2304434069</v>
      </c>
      <c r="AF117" s="1828">
        <v>1859466.18</v>
      </c>
      <c r="AG117" s="1828">
        <v>101596.72</v>
      </c>
      <c r="AH117" s="1828">
        <v>0</v>
      </c>
      <c r="AI117" s="1852">
        <f t="shared" si="49"/>
        <v>12098172.6</v>
      </c>
      <c r="AJ117" s="1853">
        <v>431890.37</v>
      </c>
      <c r="AK117" s="1828">
        <v>0</v>
      </c>
      <c r="AL117" s="1828">
        <v>770164.06</v>
      </c>
      <c r="AM117" s="1828">
        <v>22175.5</v>
      </c>
      <c r="AN117" s="1828">
        <v>0</v>
      </c>
      <c r="AO117" s="1852">
        <f t="shared" si="50"/>
        <v>1224229.9300000002</v>
      </c>
      <c r="AP117" s="1853">
        <v>7449.38</v>
      </c>
      <c r="AQ117" s="1828">
        <v>0</v>
      </c>
      <c r="AR117" s="1828">
        <v>0</v>
      </c>
      <c r="AS117" s="1828">
        <v>0</v>
      </c>
      <c r="AT117" s="1828">
        <v>0</v>
      </c>
      <c r="AU117" s="1852">
        <f t="shared" si="51"/>
        <v>7449.38</v>
      </c>
    </row>
    <row r="118" spans="1:47" ht="15" customHeight="1" x14ac:dyDescent="0.25">
      <c r="A118" s="1846" t="s">
        <v>192</v>
      </c>
      <c r="B118" s="1834" t="s">
        <v>193</v>
      </c>
      <c r="C118" s="1847" t="s">
        <v>268</v>
      </c>
      <c r="D118" s="1848">
        <f t="shared" si="38"/>
        <v>534677.74159681343</v>
      </c>
      <c r="E118" s="1849">
        <f t="shared" si="39"/>
        <v>242901.52840318656</v>
      </c>
      <c r="F118" s="1849">
        <f t="shared" si="40"/>
        <v>277494.02</v>
      </c>
      <c r="G118" s="1849">
        <f t="shared" si="41"/>
        <v>11016.75</v>
      </c>
      <c r="H118" s="1849">
        <f t="shared" si="42"/>
        <v>0</v>
      </c>
      <c r="I118" s="1850">
        <f t="shared" si="43"/>
        <v>1066090.04</v>
      </c>
      <c r="J118" s="1851">
        <f t="shared" si="44"/>
        <v>11016.75</v>
      </c>
      <c r="K118" s="1851">
        <f t="shared" si="45"/>
        <v>288510.77</v>
      </c>
      <c r="L118" s="1811"/>
      <c r="M118" s="1812"/>
      <c r="N118" s="1812"/>
      <c r="O118" s="1812"/>
      <c r="P118" s="1812"/>
      <c r="Q118" s="1813">
        <f t="shared" si="46"/>
        <v>0</v>
      </c>
      <c r="R118" s="1811">
        <v>2879.53</v>
      </c>
      <c r="S118" s="1812">
        <v>1658.7</v>
      </c>
      <c r="T118" s="1812">
        <v>0</v>
      </c>
      <c r="U118" s="1812">
        <v>-0.32</v>
      </c>
      <c r="V118" s="1812">
        <v>0</v>
      </c>
      <c r="W118" s="1813">
        <f t="shared" si="47"/>
        <v>4537.9100000000008</v>
      </c>
      <c r="X118" s="1827"/>
      <c r="Y118" s="1828"/>
      <c r="Z118" s="1828"/>
      <c r="AA118" s="1828"/>
      <c r="AB118" s="1828"/>
      <c r="AC118" s="1852">
        <f t="shared" si="48"/>
        <v>0</v>
      </c>
      <c r="AD118" s="1853">
        <v>451317.24159681343</v>
      </c>
      <c r="AE118" s="1828">
        <v>241242.82840318655</v>
      </c>
      <c r="AF118" s="1828">
        <v>127033.92</v>
      </c>
      <c r="AG118" s="1828">
        <v>11020.36</v>
      </c>
      <c r="AH118" s="1828">
        <v>0</v>
      </c>
      <c r="AI118" s="1852">
        <f t="shared" si="49"/>
        <v>830614.35</v>
      </c>
      <c r="AJ118" s="1853">
        <v>80480.97</v>
      </c>
      <c r="AK118" s="1828">
        <v>0</v>
      </c>
      <c r="AL118" s="1828">
        <v>150460.1</v>
      </c>
      <c r="AM118" s="1828">
        <v>-3.29</v>
      </c>
      <c r="AN118" s="1828">
        <v>0</v>
      </c>
      <c r="AO118" s="1852">
        <f t="shared" si="50"/>
        <v>230937.78</v>
      </c>
      <c r="AP118" s="1853"/>
      <c r="AQ118" s="1828"/>
      <c r="AR118" s="1828"/>
      <c r="AS118" s="1828"/>
      <c r="AT118" s="1828"/>
      <c r="AU118" s="1852">
        <f t="shared" si="51"/>
        <v>0</v>
      </c>
    </row>
    <row r="119" spans="1:47" ht="15" customHeight="1" x14ac:dyDescent="0.25">
      <c r="A119" s="1846" t="s">
        <v>196</v>
      </c>
      <c r="B119" s="1834" t="s">
        <v>312</v>
      </c>
      <c r="C119" s="1847" t="s">
        <v>266</v>
      </c>
      <c r="D119" s="1848">
        <f t="shared" si="38"/>
        <v>16964142.88619839</v>
      </c>
      <c r="E119" s="1849">
        <f t="shared" si="39"/>
        <v>8901000.1038016081</v>
      </c>
      <c r="F119" s="1849">
        <f t="shared" si="40"/>
        <v>4778640.21</v>
      </c>
      <c r="G119" s="1849">
        <f t="shared" si="41"/>
        <v>-14.31</v>
      </c>
      <c r="H119" s="1849">
        <f t="shared" si="42"/>
        <v>0</v>
      </c>
      <c r="I119" s="1850">
        <f t="shared" si="43"/>
        <v>30643768.889999997</v>
      </c>
      <c r="J119" s="1851">
        <f t="shared" si="44"/>
        <v>-14.31</v>
      </c>
      <c r="K119" s="1851">
        <f t="shared" si="45"/>
        <v>4778625.9000000004</v>
      </c>
      <c r="L119" s="1811">
        <v>366624.96</v>
      </c>
      <c r="M119" s="1812">
        <v>0</v>
      </c>
      <c r="N119" s="1812">
        <v>117636.89</v>
      </c>
      <c r="O119" s="1812">
        <v>-0.05</v>
      </c>
      <c r="P119" s="1812">
        <v>0</v>
      </c>
      <c r="Q119" s="1813">
        <f t="shared" si="46"/>
        <v>484261.80000000005</v>
      </c>
      <c r="R119" s="1811">
        <v>56045.87</v>
      </c>
      <c r="S119" s="1812">
        <v>32472.44</v>
      </c>
      <c r="T119" s="1812">
        <v>0</v>
      </c>
      <c r="U119" s="1812">
        <v>-0.05</v>
      </c>
      <c r="V119" s="1812">
        <v>0</v>
      </c>
      <c r="W119" s="1813">
        <f t="shared" si="47"/>
        <v>88518.26</v>
      </c>
      <c r="X119" s="1827"/>
      <c r="Y119" s="1828"/>
      <c r="Z119" s="1828"/>
      <c r="AA119" s="1828"/>
      <c r="AB119" s="1828"/>
      <c r="AC119" s="1852">
        <f t="shared" si="48"/>
        <v>0</v>
      </c>
      <c r="AD119" s="1853">
        <v>16541472.056198392</v>
      </c>
      <c r="AE119" s="1828">
        <v>8868527.6638016086</v>
      </c>
      <c r="AF119" s="1828">
        <v>4661003.32</v>
      </c>
      <c r="AG119" s="1828">
        <v>-14.21</v>
      </c>
      <c r="AH119" s="1828">
        <v>0</v>
      </c>
      <c r="AI119" s="1852">
        <f t="shared" si="49"/>
        <v>30070988.829999998</v>
      </c>
      <c r="AJ119" s="1853"/>
      <c r="AK119" s="1828"/>
      <c r="AL119" s="1828"/>
      <c r="AM119" s="1828"/>
      <c r="AN119" s="1828"/>
      <c r="AO119" s="1852">
        <f t="shared" si="50"/>
        <v>0</v>
      </c>
      <c r="AP119" s="1853"/>
      <c r="AQ119" s="1828"/>
      <c r="AR119" s="1828"/>
      <c r="AS119" s="1828"/>
      <c r="AT119" s="1828"/>
      <c r="AU119" s="1852">
        <f t="shared" si="51"/>
        <v>0</v>
      </c>
    </row>
    <row r="120" spans="1:47" ht="15" customHeight="1" x14ac:dyDescent="0.25">
      <c r="A120" s="1846" t="s">
        <v>200</v>
      </c>
      <c r="B120" s="1834" t="s">
        <v>313</v>
      </c>
      <c r="C120" s="1847" t="s">
        <v>265</v>
      </c>
      <c r="D120" s="1848">
        <f t="shared" si="38"/>
        <v>7273055.98062592</v>
      </c>
      <c r="E120" s="1849">
        <f t="shared" si="39"/>
        <v>3348695.0193740791</v>
      </c>
      <c r="F120" s="1849">
        <f t="shared" si="40"/>
        <v>3366847.5999999996</v>
      </c>
      <c r="G120" s="1849">
        <f t="shared" si="41"/>
        <v>19557.309999999998</v>
      </c>
      <c r="H120" s="1849">
        <f t="shared" si="42"/>
        <v>0</v>
      </c>
      <c r="I120" s="1850">
        <f t="shared" si="43"/>
        <v>14008155.91</v>
      </c>
      <c r="J120" s="1851">
        <f t="shared" si="44"/>
        <v>19557.309999999998</v>
      </c>
      <c r="K120" s="1851">
        <f t="shared" si="45"/>
        <v>3386404.9099999997</v>
      </c>
      <c r="L120" s="1811">
        <v>78351</v>
      </c>
      <c r="M120" s="1812">
        <v>0</v>
      </c>
      <c r="N120" s="1812">
        <v>25141.16</v>
      </c>
      <c r="O120" s="1812">
        <v>-0.21</v>
      </c>
      <c r="P120" s="1812">
        <v>0</v>
      </c>
      <c r="Q120" s="1813">
        <f t="shared" si="46"/>
        <v>103491.95</v>
      </c>
      <c r="R120" s="1811">
        <v>34367.019999999997</v>
      </c>
      <c r="S120" s="1812">
        <v>19919.689999999999</v>
      </c>
      <c r="T120" s="1812">
        <v>0</v>
      </c>
      <c r="U120" s="1812">
        <v>-0.2</v>
      </c>
      <c r="V120" s="1812">
        <v>0</v>
      </c>
      <c r="W120" s="1813">
        <f t="shared" si="47"/>
        <v>54286.509999999995</v>
      </c>
      <c r="X120" s="1827"/>
      <c r="Y120" s="1828"/>
      <c r="Z120" s="1828"/>
      <c r="AA120" s="1828"/>
      <c r="AB120" s="1828"/>
      <c r="AC120" s="1852">
        <f t="shared" si="48"/>
        <v>0</v>
      </c>
      <c r="AD120" s="1853">
        <v>6274187.7606259203</v>
      </c>
      <c r="AE120" s="1828">
        <v>3328775.3293740791</v>
      </c>
      <c r="AF120" s="1828">
        <v>1761488.18</v>
      </c>
      <c r="AG120" s="1828">
        <v>19561.439999999999</v>
      </c>
      <c r="AH120" s="1828">
        <v>0</v>
      </c>
      <c r="AI120" s="1852">
        <f t="shared" si="49"/>
        <v>11384012.709999999</v>
      </c>
      <c r="AJ120" s="1853">
        <v>886150.2</v>
      </c>
      <c r="AK120" s="1828">
        <v>0</v>
      </c>
      <c r="AL120" s="1828">
        <v>1580218.26</v>
      </c>
      <c r="AM120" s="1828">
        <v>-3.72</v>
      </c>
      <c r="AN120" s="1828">
        <v>0</v>
      </c>
      <c r="AO120" s="1852">
        <f t="shared" si="50"/>
        <v>2466364.7399999998</v>
      </c>
      <c r="AP120" s="1853"/>
      <c r="AQ120" s="1828"/>
      <c r="AR120" s="1828"/>
      <c r="AS120" s="1828"/>
      <c r="AT120" s="1828"/>
      <c r="AU120" s="1852">
        <f t="shared" si="51"/>
        <v>0</v>
      </c>
    </row>
    <row r="121" spans="1:47" ht="15" customHeight="1" x14ac:dyDescent="0.25">
      <c r="A121" s="1846" t="s">
        <v>222</v>
      </c>
      <c r="B121" s="1834" t="s">
        <v>223</v>
      </c>
      <c r="C121" s="1847" t="s">
        <v>264</v>
      </c>
      <c r="D121" s="1848">
        <f t="shared" si="38"/>
        <v>4410566.2386645451</v>
      </c>
      <c r="E121" s="1849">
        <f t="shared" si="39"/>
        <v>1781296.6513354555</v>
      </c>
      <c r="F121" s="1849">
        <f t="shared" si="40"/>
        <v>2765194</v>
      </c>
      <c r="G121" s="1849">
        <f t="shared" si="41"/>
        <v>649014.69999999995</v>
      </c>
      <c r="H121" s="1849">
        <f t="shared" si="42"/>
        <v>0</v>
      </c>
      <c r="I121" s="1850">
        <f t="shared" si="43"/>
        <v>9606071.5899999999</v>
      </c>
      <c r="J121" s="1851">
        <f t="shared" si="44"/>
        <v>649014.69999999995</v>
      </c>
      <c r="K121" s="1851">
        <f t="shared" si="45"/>
        <v>3414208.7</v>
      </c>
      <c r="L121" s="1811"/>
      <c r="M121" s="1812"/>
      <c r="N121" s="1812"/>
      <c r="O121" s="1812"/>
      <c r="P121" s="1812"/>
      <c r="Q121" s="1813">
        <f t="shared" si="46"/>
        <v>0</v>
      </c>
      <c r="R121" s="1811">
        <v>11396.41</v>
      </c>
      <c r="S121" s="1812">
        <v>6604.8</v>
      </c>
      <c r="T121" s="1812">
        <v>0</v>
      </c>
      <c r="U121" s="1812">
        <v>-0.08</v>
      </c>
      <c r="V121" s="1812">
        <v>0</v>
      </c>
      <c r="W121" s="1813">
        <f t="shared" si="47"/>
        <v>18001.129999999997</v>
      </c>
      <c r="X121" s="1827"/>
      <c r="Y121" s="1828"/>
      <c r="Z121" s="1828"/>
      <c r="AA121" s="1828"/>
      <c r="AB121" s="1828"/>
      <c r="AC121" s="1852">
        <f t="shared" si="48"/>
        <v>0</v>
      </c>
      <c r="AD121" s="1853">
        <v>3356242.1086645443</v>
      </c>
      <c r="AE121" s="1828">
        <v>1774691.8513354554</v>
      </c>
      <c r="AF121" s="1828">
        <v>941174.33</v>
      </c>
      <c r="AG121" s="1828">
        <v>649020.68999999994</v>
      </c>
      <c r="AH121" s="1828">
        <v>0</v>
      </c>
      <c r="AI121" s="1852">
        <f t="shared" si="49"/>
        <v>6721128.9800000004</v>
      </c>
      <c r="AJ121" s="1853">
        <v>1021475.32</v>
      </c>
      <c r="AK121" s="1828">
        <v>0</v>
      </c>
      <c r="AL121" s="1828">
        <v>1824019.67</v>
      </c>
      <c r="AM121" s="1828">
        <v>-5.91</v>
      </c>
      <c r="AN121" s="1828">
        <v>0</v>
      </c>
      <c r="AO121" s="1852">
        <f t="shared" si="50"/>
        <v>2845489.0799999996</v>
      </c>
      <c r="AP121" s="1853">
        <v>21452.400000000001</v>
      </c>
      <c r="AQ121" s="1828">
        <v>0</v>
      </c>
      <c r="AR121" s="1828">
        <v>0</v>
      </c>
      <c r="AS121" s="1828">
        <v>0</v>
      </c>
      <c r="AT121" s="1828">
        <v>0</v>
      </c>
      <c r="AU121" s="1852">
        <f t="shared" si="51"/>
        <v>21452.400000000001</v>
      </c>
    </row>
    <row r="122" spans="1:47" ht="15" customHeight="1" x14ac:dyDescent="0.25">
      <c r="A122" s="1846" t="s">
        <v>230</v>
      </c>
      <c r="B122" s="1834" t="s">
        <v>231</v>
      </c>
      <c r="C122" s="1847" t="s">
        <v>264</v>
      </c>
      <c r="D122" s="1848">
        <f t="shared" si="38"/>
        <v>12226627.856519883</v>
      </c>
      <c r="E122" s="1849">
        <f t="shared" si="39"/>
        <v>4539135.7734801155</v>
      </c>
      <c r="F122" s="1849">
        <f t="shared" si="40"/>
        <v>9044577.4100000001</v>
      </c>
      <c r="G122" s="1849">
        <f t="shared" si="41"/>
        <v>30674.560000000001</v>
      </c>
      <c r="H122" s="1849">
        <f t="shared" si="42"/>
        <v>0</v>
      </c>
      <c r="I122" s="1850">
        <f t="shared" si="43"/>
        <v>25841015.599999998</v>
      </c>
      <c r="J122" s="1851">
        <f t="shared" si="44"/>
        <v>30674.560000000001</v>
      </c>
      <c r="K122" s="1851">
        <f t="shared" si="45"/>
        <v>9075251.9700000007</v>
      </c>
      <c r="L122" s="1811"/>
      <c r="M122" s="1812"/>
      <c r="N122" s="1812"/>
      <c r="O122" s="1812"/>
      <c r="P122" s="1812"/>
      <c r="Q122" s="1813">
        <f t="shared" si="46"/>
        <v>0</v>
      </c>
      <c r="R122" s="1811"/>
      <c r="S122" s="1812"/>
      <c r="T122" s="1812"/>
      <c r="U122" s="1812"/>
      <c r="V122" s="1812"/>
      <c r="W122" s="1813">
        <f t="shared" si="47"/>
        <v>0</v>
      </c>
      <c r="X122" s="1827"/>
      <c r="Y122" s="1828"/>
      <c r="Z122" s="1828"/>
      <c r="AA122" s="1828"/>
      <c r="AB122" s="1828"/>
      <c r="AC122" s="1852">
        <f t="shared" si="48"/>
        <v>0</v>
      </c>
      <c r="AD122" s="1853">
        <v>8630998.4865198843</v>
      </c>
      <c r="AE122" s="1828">
        <v>4539135.7734801155</v>
      </c>
      <c r="AF122" s="1828">
        <v>2415821.27</v>
      </c>
      <c r="AG122" s="1828">
        <v>17610.810000000001</v>
      </c>
      <c r="AH122" s="1828">
        <v>0</v>
      </c>
      <c r="AI122" s="1852">
        <f t="shared" si="49"/>
        <v>15603566.34</v>
      </c>
      <c r="AJ122" s="1853">
        <v>3589826.51</v>
      </c>
      <c r="AK122" s="1828">
        <v>0</v>
      </c>
      <c r="AL122" s="1828">
        <v>6628756.1399999997</v>
      </c>
      <c r="AM122" s="1828">
        <v>13063.75</v>
      </c>
      <c r="AN122" s="1828">
        <v>0</v>
      </c>
      <c r="AO122" s="1852">
        <f t="shared" si="50"/>
        <v>10231646.399999999</v>
      </c>
      <c r="AP122" s="1853">
        <v>5802.86</v>
      </c>
      <c r="AQ122" s="1828">
        <v>0</v>
      </c>
      <c r="AR122" s="1828">
        <v>0</v>
      </c>
      <c r="AS122" s="1828">
        <v>0</v>
      </c>
      <c r="AT122" s="1828">
        <v>0</v>
      </c>
      <c r="AU122" s="1852">
        <f t="shared" si="51"/>
        <v>5802.86</v>
      </c>
    </row>
    <row r="123" spans="1:47" ht="15" customHeight="1" x14ac:dyDescent="0.25">
      <c r="A123" s="1846" t="s">
        <v>238</v>
      </c>
      <c r="B123" s="1834" t="s">
        <v>239</v>
      </c>
      <c r="C123" s="1847" t="s">
        <v>264</v>
      </c>
      <c r="D123" s="1848">
        <f t="shared" si="38"/>
        <v>418261.34874644945</v>
      </c>
      <c r="E123" s="1849">
        <f t="shared" si="39"/>
        <v>162402.69125355053</v>
      </c>
      <c r="F123" s="1849">
        <f t="shared" si="40"/>
        <v>287592.43</v>
      </c>
      <c r="G123" s="1849">
        <f t="shared" si="41"/>
        <v>282623.60000000003</v>
      </c>
      <c r="H123" s="1849">
        <f t="shared" si="42"/>
        <v>0</v>
      </c>
      <c r="I123" s="1850">
        <f t="shared" si="43"/>
        <v>1150880.07</v>
      </c>
      <c r="J123" s="1851">
        <f t="shared" si="44"/>
        <v>282623.60000000003</v>
      </c>
      <c r="K123" s="1851">
        <f t="shared" si="45"/>
        <v>570216.03</v>
      </c>
      <c r="L123" s="1811"/>
      <c r="M123" s="1812"/>
      <c r="N123" s="1812"/>
      <c r="O123" s="1812"/>
      <c r="P123" s="1812"/>
      <c r="Q123" s="1813">
        <f t="shared" si="46"/>
        <v>0</v>
      </c>
      <c r="R123" s="1811"/>
      <c r="S123" s="1812"/>
      <c r="T123" s="1812"/>
      <c r="U123" s="1812"/>
      <c r="V123" s="1812"/>
      <c r="W123" s="1813">
        <f t="shared" si="47"/>
        <v>0</v>
      </c>
      <c r="X123" s="1827"/>
      <c r="Y123" s="1828"/>
      <c r="Z123" s="1828"/>
      <c r="AA123" s="1828"/>
      <c r="AB123" s="1828"/>
      <c r="AC123" s="1852">
        <f t="shared" si="48"/>
        <v>0</v>
      </c>
      <c r="AD123" s="1853">
        <v>307062.18874644948</v>
      </c>
      <c r="AE123" s="1828">
        <v>162402.69125355053</v>
      </c>
      <c r="AF123" s="1828">
        <v>86114.43</v>
      </c>
      <c r="AG123" s="1828">
        <v>16871.009999999998</v>
      </c>
      <c r="AH123" s="1828">
        <v>0</v>
      </c>
      <c r="AI123" s="1852">
        <f t="shared" si="49"/>
        <v>572450.32000000007</v>
      </c>
      <c r="AJ123" s="1853">
        <v>111199.16</v>
      </c>
      <c r="AK123" s="1828">
        <v>0</v>
      </c>
      <c r="AL123" s="1828">
        <v>201478</v>
      </c>
      <c r="AM123" s="1828">
        <v>265752.59000000003</v>
      </c>
      <c r="AN123" s="1828">
        <v>0</v>
      </c>
      <c r="AO123" s="1852">
        <f t="shared" si="50"/>
        <v>578429.75</v>
      </c>
      <c r="AP123" s="1853"/>
      <c r="AQ123" s="1828"/>
      <c r="AR123" s="1828"/>
      <c r="AS123" s="1828"/>
      <c r="AT123" s="1828"/>
      <c r="AU123" s="1852">
        <f t="shared" si="51"/>
        <v>0</v>
      </c>
    </row>
    <row r="124" spans="1:47" ht="15" customHeight="1" x14ac:dyDescent="0.25">
      <c r="A124" s="1846" t="s">
        <v>240</v>
      </c>
      <c r="B124" s="1834" t="s">
        <v>241</v>
      </c>
      <c r="C124" s="1847" t="s">
        <v>267</v>
      </c>
      <c r="D124" s="1848">
        <f t="shared" si="38"/>
        <v>1565432.8753828621</v>
      </c>
      <c r="E124" s="1849">
        <f t="shared" si="39"/>
        <v>556517.92461713811</v>
      </c>
      <c r="F124" s="1849">
        <f t="shared" si="40"/>
        <v>1226243.01</v>
      </c>
      <c r="G124" s="1849">
        <f t="shared" si="41"/>
        <v>16230.74</v>
      </c>
      <c r="H124" s="1849">
        <f t="shared" si="42"/>
        <v>0</v>
      </c>
      <c r="I124" s="1850">
        <f t="shared" si="43"/>
        <v>3364424.55</v>
      </c>
      <c r="J124" s="1851">
        <f t="shared" si="44"/>
        <v>16230.74</v>
      </c>
      <c r="K124" s="1851">
        <f t="shared" si="45"/>
        <v>1242473.75</v>
      </c>
      <c r="L124" s="1811"/>
      <c r="M124" s="1812"/>
      <c r="N124" s="1812"/>
      <c r="O124" s="1812"/>
      <c r="P124" s="1812"/>
      <c r="Q124" s="1813">
        <f t="shared" si="46"/>
        <v>0</v>
      </c>
      <c r="R124" s="1811"/>
      <c r="S124" s="1812"/>
      <c r="T124" s="1812"/>
      <c r="U124" s="1812"/>
      <c r="V124" s="1812"/>
      <c r="W124" s="1813">
        <f t="shared" si="47"/>
        <v>0</v>
      </c>
      <c r="X124" s="1827"/>
      <c r="Y124" s="1828"/>
      <c r="Z124" s="1828"/>
      <c r="AA124" s="1828"/>
      <c r="AB124" s="1828"/>
      <c r="AC124" s="1852">
        <f t="shared" si="48"/>
        <v>0</v>
      </c>
      <c r="AD124" s="1853">
        <v>1043430.415382862</v>
      </c>
      <c r="AE124" s="1828">
        <v>556517.92461713811</v>
      </c>
      <c r="AF124" s="1828">
        <v>293479.82</v>
      </c>
      <c r="AG124" s="1828">
        <v>8734.56</v>
      </c>
      <c r="AH124" s="1828">
        <v>0</v>
      </c>
      <c r="AI124" s="1852">
        <f t="shared" si="49"/>
        <v>1902162.7200000002</v>
      </c>
      <c r="AJ124" s="1853">
        <v>522002.46</v>
      </c>
      <c r="AK124" s="1828">
        <v>0</v>
      </c>
      <c r="AL124" s="1828">
        <v>932763.19</v>
      </c>
      <c r="AM124" s="1828">
        <v>7496.18</v>
      </c>
      <c r="AN124" s="1828">
        <v>0</v>
      </c>
      <c r="AO124" s="1852">
        <f t="shared" si="50"/>
        <v>1462261.8299999998</v>
      </c>
      <c r="AP124" s="1853"/>
      <c r="AQ124" s="1828"/>
      <c r="AR124" s="1828"/>
      <c r="AS124" s="1828"/>
      <c r="AT124" s="1828"/>
      <c r="AU124" s="1852">
        <f t="shared" si="51"/>
        <v>0</v>
      </c>
    </row>
    <row r="125" spans="1:47" ht="15" customHeight="1" x14ac:dyDescent="0.25">
      <c r="A125" s="1276"/>
      <c r="B125" s="849"/>
      <c r="C125" s="849"/>
      <c r="D125" s="1277"/>
      <c r="E125" s="1277"/>
      <c r="F125" s="1277"/>
      <c r="G125" s="1277"/>
      <c r="H125" s="1277"/>
      <c r="I125" s="1277"/>
      <c r="J125" s="1197"/>
      <c r="K125" s="1197"/>
      <c r="L125" s="1278"/>
      <c r="M125" s="1278"/>
      <c r="N125" s="1278"/>
      <c r="O125" s="1278"/>
      <c r="P125" s="1278"/>
      <c r="Q125" s="1278"/>
      <c r="R125" s="1737"/>
      <c r="S125" s="1737"/>
      <c r="T125" s="1737"/>
      <c r="U125" s="1737"/>
      <c r="V125" s="1737"/>
      <c r="W125" s="1737"/>
      <c r="X125" s="1279"/>
      <c r="Y125" s="1279"/>
      <c r="Z125" s="1279"/>
      <c r="AA125" s="1279"/>
      <c r="AB125" s="1279"/>
      <c r="AC125" s="1280"/>
      <c r="AD125" s="1281"/>
      <c r="AE125" s="1282"/>
      <c r="AF125" s="1282"/>
      <c r="AG125" s="1282"/>
      <c r="AH125" s="1282"/>
      <c r="AI125" s="1281"/>
      <c r="AJ125" s="1281"/>
      <c r="AK125" s="1282"/>
      <c r="AL125" s="1282"/>
      <c r="AM125" s="1282"/>
      <c r="AN125" s="1282"/>
      <c r="AO125" s="1281"/>
      <c r="AP125" s="1281"/>
      <c r="AQ125" s="1282"/>
      <c r="AR125" s="1282"/>
      <c r="AS125" s="1282"/>
      <c r="AT125" s="1282"/>
      <c r="AU125" s="1281"/>
    </row>
    <row r="126" spans="1:47" ht="15" customHeight="1" x14ac:dyDescent="0.25">
      <c r="A126" s="1276" t="s">
        <v>266</v>
      </c>
      <c r="B126" s="849"/>
      <c r="C126" s="849"/>
      <c r="D126" s="1795">
        <f t="shared" si="38"/>
        <v>47362472.898564376</v>
      </c>
      <c r="E126" s="1796">
        <f t="shared" si="39"/>
        <v>21868360.21143562</v>
      </c>
      <c r="F126" s="1796">
        <f t="shared" si="40"/>
        <v>21999670.870000005</v>
      </c>
      <c r="G126" s="1796">
        <f t="shared" si="41"/>
        <v>555554.64999999991</v>
      </c>
      <c r="H126" s="1796">
        <f t="shared" si="42"/>
        <v>0</v>
      </c>
      <c r="I126" s="1797">
        <f>SUM(D126:H126)</f>
        <v>91786058.63000001</v>
      </c>
      <c r="J126" s="1479">
        <f>G126+H126</f>
        <v>555554.64999999991</v>
      </c>
      <c r="K126" s="1479">
        <f>F126+G126+H126</f>
        <v>22555225.520000003</v>
      </c>
      <c r="L126" s="1795">
        <v>513258.75</v>
      </c>
      <c r="M126" s="1814">
        <v>0</v>
      </c>
      <c r="N126" s="1814">
        <v>164687.94</v>
      </c>
      <c r="O126" s="1814">
        <v>-0.43</v>
      </c>
      <c r="P126" s="1814">
        <v>0</v>
      </c>
      <c r="Q126" s="1815">
        <f>SUM(L126:P126)</f>
        <v>677946.25999999989</v>
      </c>
      <c r="R126" s="1795">
        <v>212176.89</v>
      </c>
      <c r="S126" s="1814">
        <v>120798.50000000001</v>
      </c>
      <c r="T126" s="1814">
        <v>0</v>
      </c>
      <c r="U126" s="1814">
        <v>-1.21</v>
      </c>
      <c r="V126" s="1814">
        <v>0</v>
      </c>
      <c r="W126" s="1815">
        <f>SUM(R126:V126)</f>
        <v>332974.18</v>
      </c>
      <c r="X126" s="1795">
        <v>11304.53</v>
      </c>
      <c r="Y126" s="1829">
        <v>3627.6400000000003</v>
      </c>
      <c r="Z126" s="1829">
        <v>0</v>
      </c>
      <c r="AA126" s="1829">
        <v>-0.01</v>
      </c>
      <c r="AB126" s="1829">
        <v>0</v>
      </c>
      <c r="AC126" s="1830">
        <f>SUM(X126:AB126)</f>
        <v>14932.160000000002</v>
      </c>
      <c r="AD126" s="1795">
        <v>40793749.62856438</v>
      </c>
      <c r="AE126" s="1829">
        <v>21743934.071435619</v>
      </c>
      <c r="AF126" s="1829">
        <v>11471349.070000004</v>
      </c>
      <c r="AG126" s="1829">
        <v>394270.35</v>
      </c>
      <c r="AH126" s="1829">
        <v>0</v>
      </c>
      <c r="AI126" s="1830">
        <f>SUM(AD126:AH126)</f>
        <v>74403303.120000005</v>
      </c>
      <c r="AJ126" s="1795">
        <v>5788215.8399999989</v>
      </c>
      <c r="AK126" s="1829">
        <v>0</v>
      </c>
      <c r="AL126" s="1829">
        <v>10363633.859999999</v>
      </c>
      <c r="AM126" s="1829">
        <v>161285.94999999998</v>
      </c>
      <c r="AN126" s="1829">
        <v>0</v>
      </c>
      <c r="AO126" s="1815">
        <f>SUM(AJ126:AN126)</f>
        <v>16313135.649999999</v>
      </c>
      <c r="AP126" s="1795">
        <v>43767.26</v>
      </c>
      <c r="AQ126" s="1829">
        <v>0</v>
      </c>
      <c r="AR126" s="1829">
        <v>0</v>
      </c>
      <c r="AS126" s="1829">
        <v>0</v>
      </c>
      <c r="AT126" s="1829">
        <v>0</v>
      </c>
      <c r="AU126" s="1815">
        <f>SUM(AP126:AT126)</f>
        <v>43767.26</v>
      </c>
    </row>
    <row r="127" spans="1:47" ht="15" customHeight="1" x14ac:dyDescent="0.25">
      <c r="A127" s="1276" t="s">
        <v>264</v>
      </c>
      <c r="B127" s="849"/>
      <c r="C127" s="849"/>
      <c r="D127" s="1795">
        <f t="shared" si="38"/>
        <v>80436122.735659614</v>
      </c>
      <c r="E127" s="1796">
        <f t="shared" si="39"/>
        <v>35881280.93434041</v>
      </c>
      <c r="F127" s="1796">
        <f t="shared" si="40"/>
        <v>41690123.589999989</v>
      </c>
      <c r="G127" s="1796">
        <f t="shared" si="41"/>
        <v>2370084.1999999997</v>
      </c>
      <c r="H127" s="1796">
        <f t="shared" si="42"/>
        <v>260602.06</v>
      </c>
      <c r="I127" s="1797">
        <f t="shared" ref="I127:I130" si="52">SUM(D127:H127)</f>
        <v>160638213.51999998</v>
      </c>
      <c r="J127" s="1479">
        <f t="shared" ref="J127:J130" si="53">G127+H127</f>
        <v>2630686.2599999998</v>
      </c>
      <c r="K127" s="1479">
        <f t="shared" ref="K127:K130" si="54">F127+G127+H127</f>
        <v>44320809.849999994</v>
      </c>
      <c r="L127" s="1795">
        <v>131851.07</v>
      </c>
      <c r="M127" s="1814">
        <v>0</v>
      </c>
      <c r="N127" s="1814">
        <v>42306.86</v>
      </c>
      <c r="O127" s="1814">
        <v>-0.25</v>
      </c>
      <c r="P127" s="1814">
        <v>0</v>
      </c>
      <c r="Q127" s="1815">
        <f t="shared" ref="Q127:Q130" si="55">SUM(L127:P127)</f>
        <v>174157.68</v>
      </c>
      <c r="R127" s="1795">
        <v>173687.96</v>
      </c>
      <c r="S127" s="1814">
        <v>100435.81999999998</v>
      </c>
      <c r="T127" s="1814">
        <v>0</v>
      </c>
      <c r="U127" s="1814">
        <v>-1.86</v>
      </c>
      <c r="V127" s="1814">
        <v>0</v>
      </c>
      <c r="W127" s="1815">
        <f t="shared" ref="W127:W130" si="56">SUM(R127:V127)</f>
        <v>274121.92</v>
      </c>
      <c r="X127" s="1795">
        <v>6028.2600000000011</v>
      </c>
      <c r="Y127" s="1829">
        <v>1934.4900000000002</v>
      </c>
      <c r="Z127" s="1829">
        <v>0</v>
      </c>
      <c r="AA127" s="1829">
        <v>-0.01</v>
      </c>
      <c r="AB127" s="1829">
        <v>0</v>
      </c>
      <c r="AC127" s="1830">
        <f t="shared" ref="AC127:AC130" si="57">SUM(X127:AB127)</f>
        <v>7962.7400000000016</v>
      </c>
      <c r="AD127" s="1795">
        <v>67400639.075659603</v>
      </c>
      <c r="AE127" s="1829">
        <v>35778910.624340408</v>
      </c>
      <c r="AF127" s="1829">
        <v>18926370.329999998</v>
      </c>
      <c r="AG127" s="1829">
        <v>1827449.6199999996</v>
      </c>
      <c r="AH127" s="1829">
        <v>0</v>
      </c>
      <c r="AI127" s="1830">
        <f t="shared" ref="AI127:AI130" si="58">SUM(AD127:AH127)</f>
        <v>123933369.65000002</v>
      </c>
      <c r="AJ127" s="1795">
        <v>12568423.67</v>
      </c>
      <c r="AK127" s="1829">
        <v>0</v>
      </c>
      <c r="AL127" s="1829">
        <v>22721446.399999995</v>
      </c>
      <c r="AM127" s="1829">
        <v>542625.63000000012</v>
      </c>
      <c r="AN127" s="1829">
        <v>260602.06</v>
      </c>
      <c r="AO127" s="1815">
        <f t="shared" ref="AO127:AO130" si="59">SUM(AJ127:AN127)</f>
        <v>36093097.759999998</v>
      </c>
      <c r="AP127" s="1795">
        <v>155492.70000000001</v>
      </c>
      <c r="AQ127" s="1829">
        <v>0</v>
      </c>
      <c r="AR127" s="1829">
        <v>0</v>
      </c>
      <c r="AS127" s="1829">
        <v>11.07</v>
      </c>
      <c r="AT127" s="1829">
        <v>0</v>
      </c>
      <c r="AU127" s="1815">
        <f t="shared" ref="AU127:AU130" si="60">SUM(AP127:AT127)</f>
        <v>155503.77000000002</v>
      </c>
    </row>
    <row r="128" spans="1:47" ht="15" customHeight="1" x14ac:dyDescent="0.25">
      <c r="A128" s="1276" t="s">
        <v>267</v>
      </c>
      <c r="B128" s="849"/>
      <c r="C128" s="849"/>
      <c r="D128" s="1795">
        <f t="shared" si="38"/>
        <v>86217352.925948352</v>
      </c>
      <c r="E128" s="1796">
        <f t="shared" si="39"/>
        <v>25347288.714051656</v>
      </c>
      <c r="F128" s="1796">
        <f t="shared" si="40"/>
        <v>82676704.929999992</v>
      </c>
      <c r="G128" s="1796">
        <f t="shared" si="41"/>
        <v>2085429.0200000003</v>
      </c>
      <c r="H128" s="1796">
        <f t="shared" si="42"/>
        <v>76396.11</v>
      </c>
      <c r="I128" s="1797">
        <f t="shared" si="52"/>
        <v>196403171.70000002</v>
      </c>
      <c r="J128" s="1479">
        <f t="shared" si="53"/>
        <v>2161825.1300000004</v>
      </c>
      <c r="K128" s="1479">
        <f t="shared" si="54"/>
        <v>84838530.059999987</v>
      </c>
      <c r="L128" s="1795">
        <v>313075.83</v>
      </c>
      <c r="M128" s="1814">
        <v>0</v>
      </c>
      <c r="N128" s="1814">
        <v>100459.11</v>
      </c>
      <c r="O128" s="1814">
        <v>132.17999999999998</v>
      </c>
      <c r="P128" s="1814">
        <v>76396.11</v>
      </c>
      <c r="Q128" s="1815">
        <f t="shared" si="55"/>
        <v>490063.23</v>
      </c>
      <c r="R128" s="1795">
        <v>165533.85</v>
      </c>
      <c r="S128" s="1814">
        <v>95364.93</v>
      </c>
      <c r="T128" s="1814">
        <v>0</v>
      </c>
      <c r="U128" s="1814">
        <v>-1.6800000000000002</v>
      </c>
      <c r="V128" s="1814">
        <v>0</v>
      </c>
      <c r="W128" s="1815">
        <f t="shared" si="56"/>
        <v>260897.1</v>
      </c>
      <c r="X128" s="1795">
        <v>549.05999999999995</v>
      </c>
      <c r="Y128" s="1829">
        <v>176.2</v>
      </c>
      <c r="Z128" s="1829">
        <v>0</v>
      </c>
      <c r="AA128" s="1829">
        <v>918.22</v>
      </c>
      <c r="AB128" s="1829">
        <v>0</v>
      </c>
      <c r="AC128" s="1830">
        <f t="shared" si="57"/>
        <v>1643.48</v>
      </c>
      <c r="AD128" s="1795">
        <v>47299462.215948343</v>
      </c>
      <c r="AE128" s="1829">
        <v>25251747.584051657</v>
      </c>
      <c r="AF128" s="1829">
        <v>13308168.76</v>
      </c>
      <c r="AG128" s="1829">
        <v>1276224.4000000001</v>
      </c>
      <c r="AH128" s="1829">
        <v>0</v>
      </c>
      <c r="AI128" s="1830">
        <f t="shared" si="58"/>
        <v>87135602.960000008</v>
      </c>
      <c r="AJ128" s="1795">
        <v>38409121.150000006</v>
      </c>
      <c r="AK128" s="1829">
        <v>0</v>
      </c>
      <c r="AL128" s="1829">
        <v>69268077.059999987</v>
      </c>
      <c r="AM128" s="1829">
        <v>808155.90000000014</v>
      </c>
      <c r="AN128" s="1829">
        <v>0</v>
      </c>
      <c r="AO128" s="1815">
        <f t="shared" si="59"/>
        <v>108485354.11</v>
      </c>
      <c r="AP128" s="1795">
        <v>29610.82</v>
      </c>
      <c r="AQ128" s="1829">
        <v>0</v>
      </c>
      <c r="AR128" s="1829">
        <v>0</v>
      </c>
      <c r="AS128" s="1829">
        <v>0</v>
      </c>
      <c r="AT128" s="1829">
        <v>0</v>
      </c>
      <c r="AU128" s="1815">
        <f t="shared" si="60"/>
        <v>29610.82</v>
      </c>
    </row>
    <row r="129" spans="1:47" ht="15" customHeight="1" x14ac:dyDescent="0.25">
      <c r="A129" s="1276" t="s">
        <v>265</v>
      </c>
      <c r="B129" s="849"/>
      <c r="C129" s="849"/>
      <c r="D129" s="1795">
        <f t="shared" si="38"/>
        <v>48569102.763400882</v>
      </c>
      <c r="E129" s="1796">
        <f t="shared" si="39"/>
        <v>20788855.176599119</v>
      </c>
      <c r="F129" s="1796">
        <f t="shared" si="40"/>
        <v>26757039.020000003</v>
      </c>
      <c r="G129" s="1796">
        <f t="shared" si="41"/>
        <v>2227017.5100000002</v>
      </c>
      <c r="H129" s="1796">
        <f t="shared" si="42"/>
        <v>0</v>
      </c>
      <c r="I129" s="1797">
        <f t="shared" si="52"/>
        <v>98342014.470000014</v>
      </c>
      <c r="J129" s="1479">
        <f t="shared" si="53"/>
        <v>2227017.5100000002</v>
      </c>
      <c r="K129" s="1479">
        <f t="shared" si="54"/>
        <v>28984056.530000005</v>
      </c>
      <c r="L129" s="1795">
        <v>655508.17999999993</v>
      </c>
      <c r="M129" s="1814">
        <v>0</v>
      </c>
      <c r="N129" s="1814">
        <v>210339.01</v>
      </c>
      <c r="O129" s="1814">
        <v>-0.89</v>
      </c>
      <c r="P129" s="1814">
        <v>0</v>
      </c>
      <c r="Q129" s="1815">
        <f t="shared" si="55"/>
        <v>865846.29999999993</v>
      </c>
      <c r="R129" s="1795">
        <v>226194.81</v>
      </c>
      <c r="S129" s="1814">
        <v>129731.24999999997</v>
      </c>
      <c r="T129" s="1814">
        <v>0</v>
      </c>
      <c r="U129" s="1814">
        <v>-2.58</v>
      </c>
      <c r="V129" s="1814">
        <v>0</v>
      </c>
      <c r="W129" s="1815">
        <f t="shared" si="56"/>
        <v>355923.47999999992</v>
      </c>
      <c r="X129" s="1795">
        <v>7146.82</v>
      </c>
      <c r="Y129" s="1829">
        <v>2293.4</v>
      </c>
      <c r="Z129" s="1829">
        <v>0</v>
      </c>
      <c r="AA129" s="1829">
        <v>-65.02000000000001</v>
      </c>
      <c r="AB129" s="1829">
        <v>0</v>
      </c>
      <c r="AC129" s="1830">
        <f t="shared" si="57"/>
        <v>9375.1999999999989</v>
      </c>
      <c r="AD129" s="1795">
        <v>38863123.593400873</v>
      </c>
      <c r="AE129" s="1829">
        <v>20656830.52659912</v>
      </c>
      <c r="AF129" s="1829">
        <v>10917805.600000001</v>
      </c>
      <c r="AG129" s="1829">
        <v>1259062.7500000002</v>
      </c>
      <c r="AH129" s="1829">
        <v>0</v>
      </c>
      <c r="AI129" s="1830">
        <f t="shared" si="58"/>
        <v>71696822.469999999</v>
      </c>
      <c r="AJ129" s="1795">
        <v>8651772.0500000026</v>
      </c>
      <c r="AK129" s="1829">
        <v>0</v>
      </c>
      <c r="AL129" s="1829">
        <v>15628894.41</v>
      </c>
      <c r="AM129" s="1829">
        <v>968023.25</v>
      </c>
      <c r="AN129" s="1829">
        <v>0</v>
      </c>
      <c r="AO129" s="1815">
        <f t="shared" si="59"/>
        <v>25248689.710000001</v>
      </c>
      <c r="AP129" s="1795">
        <v>165357.31</v>
      </c>
      <c r="AQ129" s="1829">
        <v>0</v>
      </c>
      <c r="AR129" s="1829">
        <v>0</v>
      </c>
      <c r="AS129" s="1829">
        <v>0</v>
      </c>
      <c r="AT129" s="1829">
        <v>0</v>
      </c>
      <c r="AU129" s="1815">
        <f t="shared" si="60"/>
        <v>165357.31</v>
      </c>
    </row>
    <row r="130" spans="1:47" ht="15" customHeight="1" x14ac:dyDescent="0.25">
      <c r="A130" s="1276" t="s">
        <v>268</v>
      </c>
      <c r="B130" s="849"/>
      <c r="C130" s="849"/>
      <c r="D130" s="1795">
        <f t="shared" si="38"/>
        <v>27863639.626426809</v>
      </c>
      <c r="E130" s="1796">
        <f t="shared" si="39"/>
        <v>13849516.313573191</v>
      </c>
      <c r="F130" s="1796">
        <f t="shared" si="40"/>
        <v>10532570.860000003</v>
      </c>
      <c r="G130" s="1796">
        <f t="shared" si="41"/>
        <v>607979.42999999982</v>
      </c>
      <c r="H130" s="1796">
        <f t="shared" si="42"/>
        <v>0</v>
      </c>
      <c r="I130" s="1797">
        <f t="shared" si="52"/>
        <v>52853706.229999997</v>
      </c>
      <c r="J130" s="1479">
        <f t="shared" si="53"/>
        <v>607979.42999999982</v>
      </c>
      <c r="K130" s="1479">
        <f t="shared" si="54"/>
        <v>11140550.290000003</v>
      </c>
      <c r="L130" s="1795"/>
      <c r="M130" s="1814"/>
      <c r="N130" s="1814"/>
      <c r="O130" s="1814"/>
      <c r="P130" s="1814"/>
      <c r="Q130" s="1815">
        <f t="shared" si="55"/>
        <v>0</v>
      </c>
      <c r="R130" s="1795">
        <v>79906.5</v>
      </c>
      <c r="S130" s="1814">
        <v>45921.63</v>
      </c>
      <c r="T130" s="1814">
        <v>0</v>
      </c>
      <c r="U130" s="1814">
        <v>-2.1800000000000006</v>
      </c>
      <c r="V130" s="1814">
        <v>0</v>
      </c>
      <c r="W130" s="1815">
        <f t="shared" si="56"/>
        <v>125825.95000000001</v>
      </c>
      <c r="X130" s="1795">
        <v>39.39</v>
      </c>
      <c r="Y130" s="1829">
        <v>12.64</v>
      </c>
      <c r="Z130" s="1829">
        <v>0</v>
      </c>
      <c r="AA130" s="1829">
        <v>0</v>
      </c>
      <c r="AB130" s="1829">
        <v>0</v>
      </c>
      <c r="AC130" s="1830">
        <f t="shared" si="57"/>
        <v>52.03</v>
      </c>
      <c r="AD130" s="1795">
        <v>25910464.186426807</v>
      </c>
      <c r="AE130" s="1829">
        <v>13803582.043573191</v>
      </c>
      <c r="AF130" s="1829">
        <v>7284760.7500000019</v>
      </c>
      <c r="AG130" s="1829">
        <v>595869.41999999993</v>
      </c>
      <c r="AH130" s="1829">
        <v>0</v>
      </c>
      <c r="AI130" s="1830">
        <f t="shared" si="58"/>
        <v>47594676.399999999</v>
      </c>
      <c r="AJ130" s="1795">
        <v>1793278.62</v>
      </c>
      <c r="AK130" s="1829">
        <v>0</v>
      </c>
      <c r="AL130" s="1829">
        <v>3247810.1100000003</v>
      </c>
      <c r="AM130" s="1829">
        <v>12112.189999999999</v>
      </c>
      <c r="AN130" s="1829">
        <v>0</v>
      </c>
      <c r="AO130" s="1815">
        <f t="shared" si="59"/>
        <v>5053200.9200000009</v>
      </c>
      <c r="AP130" s="1795">
        <v>79950.929999999993</v>
      </c>
      <c r="AQ130" s="1829">
        <v>0</v>
      </c>
      <c r="AR130" s="1829">
        <v>0</v>
      </c>
      <c r="AS130" s="1829">
        <v>0</v>
      </c>
      <c r="AT130" s="1829">
        <v>0</v>
      </c>
      <c r="AU130" s="1815">
        <f t="shared" si="60"/>
        <v>79950.929999999993</v>
      </c>
    </row>
    <row r="131" spans="1:47" ht="15" customHeight="1" x14ac:dyDescent="0.25">
      <c r="A131" s="1276" t="s">
        <v>9</v>
      </c>
      <c r="B131" s="849"/>
      <c r="C131" s="1283"/>
      <c r="D131" s="1795">
        <f t="shared" ref="D131" si="61">SUM(D126:D130)</f>
        <v>290448690.95000005</v>
      </c>
      <c r="E131" s="1796">
        <f t="shared" ref="E131:H131" si="62">SUM(E126:E130)</f>
        <v>117735301.35000001</v>
      </c>
      <c r="F131" s="1796">
        <f t="shared" si="62"/>
        <v>183656109.27000001</v>
      </c>
      <c r="G131" s="1796">
        <f t="shared" si="62"/>
        <v>7846064.8100000005</v>
      </c>
      <c r="H131" s="1796">
        <f t="shared" si="62"/>
        <v>336998.17</v>
      </c>
      <c r="I131" s="1797">
        <f>SUM(I126:I130)</f>
        <v>600023164.55000007</v>
      </c>
      <c r="J131" s="1479">
        <f>SUM(J126:J130)</f>
        <v>8183062.9800000004</v>
      </c>
      <c r="K131" s="1479">
        <f>SUM(K126:K130)</f>
        <v>191839172.24999997</v>
      </c>
      <c r="L131" s="1816">
        <f t="shared" ref="L131:P131" si="63">SUM(L126:L130)</f>
        <v>1613693.83</v>
      </c>
      <c r="M131" s="1817">
        <f t="shared" si="63"/>
        <v>0</v>
      </c>
      <c r="N131" s="1817">
        <f t="shared" si="63"/>
        <v>517792.92</v>
      </c>
      <c r="O131" s="1817">
        <f t="shared" si="63"/>
        <v>130.60999999999999</v>
      </c>
      <c r="P131" s="1817">
        <f t="shared" si="63"/>
        <v>76396.11</v>
      </c>
      <c r="Q131" s="1818">
        <f>SUM(Q126:Q130)</f>
        <v>2208013.4699999997</v>
      </c>
      <c r="R131" s="1816">
        <f t="shared" ref="R131:V131" si="64">SUM(R126:R130)</f>
        <v>857500.01</v>
      </c>
      <c r="S131" s="1817">
        <f t="shared" si="64"/>
        <v>492252.13</v>
      </c>
      <c r="T131" s="1817">
        <f t="shared" si="64"/>
        <v>0</v>
      </c>
      <c r="U131" s="1817">
        <f t="shared" si="64"/>
        <v>-9.5100000000000016</v>
      </c>
      <c r="V131" s="1817">
        <f t="shared" si="64"/>
        <v>0</v>
      </c>
      <c r="W131" s="1818">
        <f>SUM(W126:W130)</f>
        <v>1349742.63</v>
      </c>
      <c r="X131" s="1816">
        <f t="shared" ref="X131:AB131" si="65">SUM(X126:X130)</f>
        <v>25068.06</v>
      </c>
      <c r="Y131" s="1831">
        <f t="shared" si="65"/>
        <v>8044.3700000000017</v>
      </c>
      <c r="Z131" s="1831">
        <f t="shared" si="65"/>
        <v>0</v>
      </c>
      <c r="AA131" s="1831">
        <f t="shared" si="65"/>
        <v>853.18000000000006</v>
      </c>
      <c r="AB131" s="1831">
        <f t="shared" si="65"/>
        <v>0</v>
      </c>
      <c r="AC131" s="1832">
        <f>SUM(AC126:AC130)</f>
        <v>33965.61</v>
      </c>
      <c r="AD131" s="1816">
        <f t="shared" ref="AD131:AH131" si="66">SUM(AD126:AD130)</f>
        <v>220267438.70000002</v>
      </c>
      <c r="AE131" s="1831">
        <f t="shared" si="66"/>
        <v>117235004.84999999</v>
      </c>
      <c r="AF131" s="1831">
        <f t="shared" si="66"/>
        <v>61908454.510000005</v>
      </c>
      <c r="AG131" s="1831">
        <f t="shared" si="66"/>
        <v>5352876.54</v>
      </c>
      <c r="AH131" s="1831">
        <f t="shared" si="66"/>
        <v>0</v>
      </c>
      <c r="AI131" s="1832">
        <f>SUM(AI126:AI130)</f>
        <v>404763774.60000002</v>
      </c>
      <c r="AJ131" s="1816">
        <f t="shared" ref="AJ131:AN131" si="67">SUM(AJ126:AJ130)</f>
        <v>67210811.330000013</v>
      </c>
      <c r="AK131" s="1831">
        <f t="shared" si="67"/>
        <v>0</v>
      </c>
      <c r="AL131" s="1831">
        <f t="shared" si="67"/>
        <v>121229861.83999997</v>
      </c>
      <c r="AM131" s="1831">
        <f t="shared" si="67"/>
        <v>2492202.9200000004</v>
      </c>
      <c r="AN131" s="1831">
        <f t="shared" si="67"/>
        <v>260602.06</v>
      </c>
      <c r="AO131" s="1818">
        <f>SUM(AO126:AO130)</f>
        <v>191193478.14999998</v>
      </c>
      <c r="AP131" s="1816">
        <f t="shared" ref="AP131:AT131" si="68">SUM(AP126:AP130)</f>
        <v>474179.02</v>
      </c>
      <c r="AQ131" s="1831">
        <f t="shared" si="68"/>
        <v>0</v>
      </c>
      <c r="AR131" s="1831">
        <f t="shared" si="68"/>
        <v>0</v>
      </c>
      <c r="AS131" s="1831">
        <f t="shared" si="68"/>
        <v>11.07</v>
      </c>
      <c r="AT131" s="1831">
        <f t="shared" si="68"/>
        <v>0</v>
      </c>
      <c r="AU131" s="1818">
        <f>SUM(AU126:AU130)</f>
        <v>474190.09</v>
      </c>
    </row>
    <row r="132" spans="1:47" x14ac:dyDescent="0.25">
      <c r="L132" s="1413"/>
      <c r="M132" s="1413"/>
      <c r="N132" s="1413"/>
      <c r="O132" s="1413"/>
      <c r="P132" s="1413"/>
      <c r="Q132" s="1413"/>
      <c r="R132" s="1413"/>
      <c r="S132" s="1413"/>
      <c r="T132" s="1413"/>
      <c r="U132" s="1413"/>
      <c r="V132" s="1413"/>
      <c r="W132" s="1413"/>
      <c r="X132" s="1195"/>
      <c r="Y132" s="1195"/>
      <c r="Z132" s="1195"/>
      <c r="AA132" s="1195"/>
      <c r="AB132" s="1195"/>
      <c r="AC132" s="1195"/>
      <c r="AD132" s="1195"/>
      <c r="AJ132" s="1195"/>
      <c r="AP132" s="1195"/>
    </row>
    <row r="133" spans="1:47" s="369" customFormat="1" x14ac:dyDescent="0.25">
      <c r="A133" s="917" t="s">
        <v>1278</v>
      </c>
      <c r="B133" s="676"/>
      <c r="C133" s="676"/>
      <c r="D133" s="931"/>
      <c r="E133" s="931"/>
      <c r="F133" s="931"/>
      <c r="G133" s="931"/>
      <c r="H133" s="931"/>
      <c r="I133" s="931"/>
      <c r="J133" s="931"/>
      <c r="K133" s="931"/>
      <c r="L133" s="931"/>
      <c r="M133" s="931"/>
      <c r="N133" s="931"/>
      <c r="O133" s="931"/>
      <c r="P133" s="931"/>
      <c r="Q133" s="931"/>
      <c r="R133" s="931"/>
      <c r="S133" s="931"/>
      <c r="T133" s="931"/>
      <c r="U133" s="931"/>
      <c r="V133" s="931"/>
      <c r="W133" s="931"/>
      <c r="X133" s="932"/>
      <c r="Y133" s="932"/>
      <c r="Z133" s="932"/>
      <c r="AA133" s="932"/>
      <c r="AB133" s="932"/>
      <c r="AC133" s="932"/>
      <c r="AD133" s="932"/>
      <c r="AJ133" s="932"/>
      <c r="AP133" s="932"/>
    </row>
    <row r="134" spans="1:47" s="369" customFormat="1" x14ac:dyDescent="0.25">
      <c r="D134" s="931"/>
      <c r="E134" s="931"/>
      <c r="F134" s="931"/>
      <c r="G134" s="931"/>
      <c r="H134" s="931"/>
      <c r="I134" s="931"/>
      <c r="J134" s="931"/>
      <c r="K134" s="931"/>
      <c r="L134" s="931"/>
      <c r="M134" s="931"/>
      <c r="N134" s="931"/>
      <c r="O134" s="931"/>
      <c r="P134" s="931"/>
      <c r="Q134" s="931"/>
      <c r="R134" s="931"/>
      <c r="S134" s="931"/>
      <c r="T134" s="931"/>
      <c r="U134" s="931"/>
      <c r="V134" s="931"/>
      <c r="W134" s="931"/>
      <c r="X134" s="932"/>
      <c r="Y134" s="932"/>
      <c r="Z134" s="932"/>
      <c r="AA134" s="932"/>
      <c r="AB134" s="932"/>
      <c r="AC134" s="932"/>
      <c r="AD134" s="932"/>
      <c r="AJ134" s="932"/>
      <c r="AP134" s="932"/>
    </row>
    <row r="135" spans="1:47" s="389" customFormat="1" x14ac:dyDescent="0.25">
      <c r="A135" s="389" t="s">
        <v>248</v>
      </c>
      <c r="D135" s="933"/>
      <c r="E135" s="933"/>
      <c r="F135" s="933"/>
      <c r="G135" s="933"/>
      <c r="H135" s="933"/>
      <c r="I135" s="933"/>
      <c r="J135" s="933"/>
      <c r="K135" s="933"/>
      <c r="L135" s="933"/>
      <c r="M135" s="933"/>
      <c r="N135" s="933"/>
      <c r="O135" s="933"/>
      <c r="P135" s="933"/>
      <c r="Q135" s="933"/>
      <c r="R135" s="933"/>
      <c r="S135" s="933"/>
      <c r="T135" s="933"/>
      <c r="U135" s="933"/>
      <c r="V135" s="933"/>
      <c r="W135" s="933"/>
      <c r="X135" s="934"/>
      <c r="Y135" s="934"/>
      <c r="Z135" s="934"/>
      <c r="AA135" s="934"/>
      <c r="AB135" s="934"/>
      <c r="AC135" s="934"/>
      <c r="AD135" s="934"/>
      <c r="AJ135" s="934"/>
      <c r="AP135" s="934"/>
    </row>
    <row r="136" spans="1:47" x14ac:dyDescent="0.25">
      <c r="A136" s="390" t="s">
        <v>249</v>
      </c>
      <c r="B136" s="391" t="s">
        <v>250</v>
      </c>
      <c r="C136" s="391"/>
    </row>
  </sheetData>
  <autoFilter ref="A3:C124"/>
  <sortState ref="A5:CK124">
    <sortCondition ref="A5:A124"/>
  </sortState>
  <hyperlinks>
    <hyperlink ref="B136" r:id="rId1"/>
  </hyperlinks>
  <pageMargins left="0.7" right="0.7" top="0.75" bottom="0.75" header="0.3" footer="0.3"/>
  <pageSetup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136"/>
  <sheetViews>
    <sheetView workbookViewId="0">
      <pane xSplit="3" ySplit="4" topLeftCell="F116" activePane="bottomRight" state="frozen"/>
      <selection pane="topRight" activeCell="D1" sqref="D1"/>
      <selection pane="bottomLeft" activeCell="A5" sqref="A5"/>
      <selection pane="bottomRight" activeCell="D126" sqref="D126:H130"/>
    </sheetView>
  </sheetViews>
  <sheetFormatPr defaultRowHeight="15.75" x14ac:dyDescent="0.25"/>
  <cols>
    <col min="1" max="1" width="9.375" style="265" customWidth="1"/>
    <col min="2" max="2" width="29.75" style="265" customWidth="1"/>
    <col min="3" max="3" width="18.625" style="265" customWidth="1"/>
    <col min="4" max="4" width="12.75" style="265" customWidth="1"/>
    <col min="5" max="5" width="8.375" style="265" bestFit="1" customWidth="1"/>
    <col min="6" max="6" width="11.5" style="265" bestFit="1" customWidth="1"/>
    <col min="7" max="7" width="13.375" style="265" customWidth="1"/>
    <col min="8" max="8" width="11.875" style="265" customWidth="1"/>
    <col min="9" max="9" width="13.375" style="265" customWidth="1"/>
    <col min="10" max="11" width="13.625" style="265" customWidth="1"/>
    <col min="12" max="12" width="10.875" style="265" customWidth="1"/>
    <col min="13" max="13" width="10.875" style="670" bestFit="1" customWidth="1"/>
    <col min="14" max="14" width="9.25" style="265" bestFit="1" customWidth="1"/>
    <col min="15" max="15" width="10.375" style="265" customWidth="1"/>
    <col min="16" max="16" width="9.25" style="265" customWidth="1"/>
    <col min="17" max="17" width="11" style="265" bestFit="1" customWidth="1"/>
    <col min="18" max="18" width="13" style="265" customWidth="1"/>
    <col min="19" max="19" width="12.25" style="265" customWidth="1"/>
    <col min="20" max="20" width="12.625" style="265" customWidth="1"/>
    <col min="21" max="21" width="10.125" style="265" customWidth="1"/>
    <col min="22" max="22" width="12.75" style="265" customWidth="1"/>
    <col min="23" max="23" width="11.875" style="265" customWidth="1"/>
    <col min="24" max="16384" width="9" style="265"/>
  </cols>
  <sheetData>
    <row r="1" spans="1:23" x14ac:dyDescent="0.25">
      <c r="A1" s="64" t="s">
        <v>1281</v>
      </c>
      <c r="J1" s="682"/>
      <c r="K1" s="682"/>
      <c r="L1" s="682"/>
      <c r="N1" s="682"/>
      <c r="O1" s="682"/>
      <c r="P1" s="682"/>
    </row>
    <row r="2" spans="1:23" x14ac:dyDescent="0.25">
      <c r="J2" s="682"/>
      <c r="K2" s="682"/>
      <c r="L2" s="682"/>
      <c r="N2" s="682"/>
      <c r="O2" s="682"/>
      <c r="P2" s="682"/>
    </row>
    <row r="3" spans="1:23" s="683" customFormat="1" ht="47.25" x14ac:dyDescent="0.25">
      <c r="A3" s="686" t="s">
        <v>4</v>
      </c>
      <c r="B3" s="687" t="s">
        <v>5</v>
      </c>
      <c r="C3" s="850" t="s">
        <v>251</v>
      </c>
      <c r="D3" s="688" t="s">
        <v>314</v>
      </c>
      <c r="E3" s="689" t="s">
        <v>315</v>
      </c>
      <c r="F3" s="681" t="s">
        <v>316</v>
      </c>
      <c r="G3" s="690" t="s">
        <v>928</v>
      </c>
      <c r="H3" s="1199" t="s">
        <v>929</v>
      </c>
      <c r="I3" s="1199" t="s">
        <v>281</v>
      </c>
      <c r="J3" s="930" t="s">
        <v>930</v>
      </c>
      <c r="K3" s="930" t="s">
        <v>931</v>
      </c>
      <c r="L3" s="762" t="s">
        <v>319</v>
      </c>
      <c r="M3" s="935" t="s">
        <v>593</v>
      </c>
      <c r="N3" s="763" t="s">
        <v>320</v>
      </c>
      <c r="O3" s="1198" t="s">
        <v>933</v>
      </c>
      <c r="P3" s="1198" t="s">
        <v>934</v>
      </c>
      <c r="Q3" s="764" t="s">
        <v>321</v>
      </c>
      <c r="R3" s="762" t="s">
        <v>954</v>
      </c>
      <c r="S3" s="763" t="s">
        <v>955</v>
      </c>
      <c r="T3" s="763" t="s">
        <v>956</v>
      </c>
      <c r="U3" s="1198" t="s">
        <v>957</v>
      </c>
      <c r="V3" s="1198" t="s">
        <v>958</v>
      </c>
      <c r="W3" s="1198" t="s">
        <v>959</v>
      </c>
    </row>
    <row r="4" spans="1:23" x14ac:dyDescent="0.25">
      <c r="A4" s="679">
        <v>999</v>
      </c>
      <c r="B4" s="684" t="s">
        <v>9</v>
      </c>
      <c r="C4" s="851"/>
      <c r="D4" s="943">
        <f t="shared" ref="D4:W4" si="0">SUM(D5:D124)</f>
        <v>19646715.850000001</v>
      </c>
      <c r="E4" s="944">
        <f t="shared" si="0"/>
        <v>0</v>
      </c>
      <c r="F4" s="945">
        <f t="shared" si="0"/>
        <v>19646715.850000001</v>
      </c>
      <c r="G4" s="946">
        <f t="shared" si="0"/>
        <v>731319.99</v>
      </c>
      <c r="H4" s="946">
        <f t="shared" si="0"/>
        <v>31744770.149999999</v>
      </c>
      <c r="I4" s="946">
        <f t="shared" si="0"/>
        <v>71769521.840000004</v>
      </c>
      <c r="J4" s="945">
        <f t="shared" si="0"/>
        <v>32476090.140000004</v>
      </c>
      <c r="K4" s="945">
        <f t="shared" si="0"/>
        <v>52122805.990000002</v>
      </c>
      <c r="L4" s="937">
        <f t="shared" si="0"/>
        <v>0</v>
      </c>
      <c r="M4" s="936">
        <f t="shared" si="0"/>
        <v>0</v>
      </c>
      <c r="N4" s="936">
        <f t="shared" si="0"/>
        <v>0</v>
      </c>
      <c r="O4" s="936">
        <f t="shared" si="0"/>
        <v>731319.99</v>
      </c>
      <c r="P4" s="936">
        <f t="shared" si="0"/>
        <v>0</v>
      </c>
      <c r="Q4" s="1528">
        <f t="shared" si="0"/>
        <v>731319.99</v>
      </c>
      <c r="R4" s="937">
        <f t="shared" si="0"/>
        <v>19646715.850000001</v>
      </c>
      <c r="S4" s="936">
        <f t="shared" si="0"/>
        <v>0</v>
      </c>
      <c r="T4" s="936">
        <f t="shared" si="0"/>
        <v>19646715.850000001</v>
      </c>
      <c r="U4" s="936">
        <f t="shared" si="0"/>
        <v>0</v>
      </c>
      <c r="V4" s="936">
        <f t="shared" si="0"/>
        <v>31744770.149999999</v>
      </c>
      <c r="W4" s="936">
        <f t="shared" si="0"/>
        <v>71038201.849999994</v>
      </c>
    </row>
    <row r="5" spans="1:23" ht="15" customHeight="1" x14ac:dyDescent="0.25">
      <c r="A5" s="680" t="s">
        <v>10</v>
      </c>
      <c r="B5" s="685" t="s">
        <v>11</v>
      </c>
      <c r="C5" s="852" t="s">
        <v>264</v>
      </c>
      <c r="D5" s="947">
        <f t="shared" ref="D5:D36" si="1">L5+R5</f>
        <v>53999.97</v>
      </c>
      <c r="E5" s="947">
        <f t="shared" ref="E5:E36" si="2">M5+S5</f>
        <v>0</v>
      </c>
      <c r="F5" s="947">
        <f t="shared" ref="F5:F36" si="3">N5+T5</f>
        <v>53999.97</v>
      </c>
      <c r="G5" s="949">
        <f t="shared" ref="G5:G36" si="4">O5+U5</f>
        <v>0</v>
      </c>
      <c r="H5" s="949">
        <f t="shared" ref="H5:H36" si="5">P5+V5</f>
        <v>87252.059999999983</v>
      </c>
      <c r="I5" s="1200">
        <f t="shared" ref="I5:I36" si="6">SUM(D5:H5)</f>
        <v>195252</v>
      </c>
      <c r="J5" s="948">
        <f t="shared" ref="J5:J36" si="7">G5+H5</f>
        <v>87252.059999999983</v>
      </c>
      <c r="K5" s="1200">
        <f t="shared" ref="K5:K36" si="8">F5+J5</f>
        <v>141252.02999999997</v>
      </c>
      <c r="L5" s="942"/>
      <c r="M5" s="938"/>
      <c r="N5" s="938"/>
      <c r="O5" s="938"/>
      <c r="P5" s="938"/>
      <c r="Q5" s="939">
        <f t="shared" ref="Q5:Q36" si="9">SUM(L5:P5)</f>
        <v>0</v>
      </c>
      <c r="R5" s="940">
        <v>53999.97</v>
      </c>
      <c r="S5" s="941">
        <v>0</v>
      </c>
      <c r="T5" s="941">
        <v>53999.97</v>
      </c>
      <c r="U5" s="941">
        <v>0</v>
      </c>
      <c r="V5" s="941">
        <v>87252.059999999983</v>
      </c>
      <c r="W5" s="941">
        <f t="shared" ref="W5:W36" si="10">SUM(R5:V5)</f>
        <v>195252</v>
      </c>
    </row>
    <row r="6" spans="1:23" ht="15" customHeight="1" x14ac:dyDescent="0.25">
      <c r="A6" s="680" t="s">
        <v>12</v>
      </c>
      <c r="B6" s="685" t="s">
        <v>13</v>
      </c>
      <c r="C6" s="852" t="s">
        <v>265</v>
      </c>
      <c r="D6" s="947">
        <f t="shared" si="1"/>
        <v>483046.27</v>
      </c>
      <c r="E6" s="947">
        <f t="shared" si="2"/>
        <v>0</v>
      </c>
      <c r="F6" s="947">
        <f t="shared" si="3"/>
        <v>483046.27</v>
      </c>
      <c r="G6" s="949">
        <f t="shared" si="4"/>
        <v>41769.269999999997</v>
      </c>
      <c r="H6" s="949">
        <f t="shared" si="5"/>
        <v>780496.46</v>
      </c>
      <c r="I6" s="1200">
        <f t="shared" si="6"/>
        <v>1788358.27</v>
      </c>
      <c r="J6" s="948">
        <f t="shared" si="7"/>
        <v>822265.73</v>
      </c>
      <c r="K6" s="1200">
        <f t="shared" si="8"/>
        <v>1305312</v>
      </c>
      <c r="L6" s="950">
        <v>0</v>
      </c>
      <c r="M6" s="938">
        <v>0</v>
      </c>
      <c r="N6" s="938">
        <v>0</v>
      </c>
      <c r="O6" s="938">
        <v>41769.269999999997</v>
      </c>
      <c r="P6" s="938">
        <v>0</v>
      </c>
      <c r="Q6" s="939">
        <f t="shared" si="9"/>
        <v>41769.269999999997</v>
      </c>
      <c r="R6" s="940">
        <v>483046.27</v>
      </c>
      <c r="S6" s="941">
        <v>0</v>
      </c>
      <c r="T6" s="941">
        <v>483046.27</v>
      </c>
      <c r="U6" s="941">
        <v>0</v>
      </c>
      <c r="V6" s="941">
        <v>780496.46</v>
      </c>
      <c r="W6" s="941">
        <f t="shared" si="10"/>
        <v>1746589</v>
      </c>
    </row>
    <row r="7" spans="1:23" ht="15" customHeight="1" x14ac:dyDescent="0.25">
      <c r="A7" s="680" t="s">
        <v>16</v>
      </c>
      <c r="B7" s="685" t="s">
        <v>297</v>
      </c>
      <c r="C7" s="852" t="s">
        <v>265</v>
      </c>
      <c r="D7" s="947">
        <f t="shared" si="1"/>
        <v>76605.88</v>
      </c>
      <c r="E7" s="947">
        <f t="shared" si="2"/>
        <v>0</v>
      </c>
      <c r="F7" s="947">
        <f t="shared" si="3"/>
        <v>76605.88</v>
      </c>
      <c r="G7" s="949">
        <f t="shared" si="4"/>
        <v>0</v>
      </c>
      <c r="H7" s="949">
        <f t="shared" si="5"/>
        <v>123778.23999999999</v>
      </c>
      <c r="I7" s="1200">
        <f t="shared" si="6"/>
        <v>276990</v>
      </c>
      <c r="J7" s="948">
        <f t="shared" si="7"/>
        <v>123778.23999999999</v>
      </c>
      <c r="K7" s="1200">
        <f t="shared" si="8"/>
        <v>200384.12</v>
      </c>
      <c r="L7" s="951"/>
      <c r="M7" s="941"/>
      <c r="N7" s="941"/>
      <c r="O7" s="941"/>
      <c r="P7" s="941"/>
      <c r="Q7" s="939">
        <f t="shared" si="9"/>
        <v>0</v>
      </c>
      <c r="R7" s="940">
        <v>76605.88</v>
      </c>
      <c r="S7" s="941">
        <v>0</v>
      </c>
      <c r="T7" s="941">
        <v>76605.88</v>
      </c>
      <c r="U7" s="941">
        <v>0</v>
      </c>
      <c r="V7" s="941">
        <v>123778.23999999999</v>
      </c>
      <c r="W7" s="941">
        <f t="shared" si="10"/>
        <v>276990</v>
      </c>
    </row>
    <row r="8" spans="1:23" ht="15" customHeight="1" x14ac:dyDescent="0.25">
      <c r="A8" s="680" t="s">
        <v>18</v>
      </c>
      <c r="B8" s="685" t="s">
        <v>19</v>
      </c>
      <c r="C8" s="852" t="s">
        <v>266</v>
      </c>
      <c r="D8" s="947">
        <f t="shared" si="1"/>
        <v>48105.53</v>
      </c>
      <c r="E8" s="947">
        <f t="shared" si="2"/>
        <v>0</v>
      </c>
      <c r="F8" s="947">
        <f t="shared" si="3"/>
        <v>48105.53</v>
      </c>
      <c r="G8" s="949">
        <f t="shared" si="4"/>
        <v>0</v>
      </c>
      <c r="H8" s="949">
        <f t="shared" si="5"/>
        <v>77727.939999999988</v>
      </c>
      <c r="I8" s="1200">
        <f t="shared" si="6"/>
        <v>173939</v>
      </c>
      <c r="J8" s="948">
        <f t="shared" si="7"/>
        <v>77727.939999999988</v>
      </c>
      <c r="K8" s="1200">
        <f t="shared" si="8"/>
        <v>125833.46999999999</v>
      </c>
      <c r="L8" s="951"/>
      <c r="M8" s="941"/>
      <c r="N8" s="941"/>
      <c r="O8" s="941"/>
      <c r="P8" s="941"/>
      <c r="Q8" s="939">
        <f t="shared" si="9"/>
        <v>0</v>
      </c>
      <c r="R8" s="940">
        <v>48105.53</v>
      </c>
      <c r="S8" s="941">
        <v>0</v>
      </c>
      <c r="T8" s="941">
        <v>48105.53</v>
      </c>
      <c r="U8" s="941">
        <v>0</v>
      </c>
      <c r="V8" s="941">
        <v>77727.939999999988</v>
      </c>
      <c r="W8" s="941">
        <f t="shared" si="10"/>
        <v>173939</v>
      </c>
    </row>
    <row r="9" spans="1:23" ht="15" customHeight="1" x14ac:dyDescent="0.25">
      <c r="A9" s="680" t="s">
        <v>20</v>
      </c>
      <c r="B9" s="685" t="s">
        <v>21</v>
      </c>
      <c r="C9" s="852" t="s">
        <v>265</v>
      </c>
      <c r="D9" s="947">
        <f t="shared" si="1"/>
        <v>41521.06</v>
      </c>
      <c r="E9" s="947">
        <f t="shared" si="2"/>
        <v>0</v>
      </c>
      <c r="F9" s="947">
        <f t="shared" si="3"/>
        <v>41521.06</v>
      </c>
      <c r="G9" s="949">
        <f t="shared" si="4"/>
        <v>0</v>
      </c>
      <c r="H9" s="949">
        <f t="shared" si="5"/>
        <v>67088.87999999999</v>
      </c>
      <c r="I9" s="1200">
        <f t="shared" si="6"/>
        <v>150131</v>
      </c>
      <c r="J9" s="948">
        <f t="shared" si="7"/>
        <v>67088.87999999999</v>
      </c>
      <c r="K9" s="1200">
        <f t="shared" si="8"/>
        <v>108609.93999999999</v>
      </c>
      <c r="L9" s="951"/>
      <c r="M9" s="941"/>
      <c r="N9" s="941"/>
      <c r="O9" s="941"/>
      <c r="P9" s="941"/>
      <c r="Q9" s="939">
        <f t="shared" si="9"/>
        <v>0</v>
      </c>
      <c r="R9" s="940">
        <v>41521.06</v>
      </c>
      <c r="S9" s="941">
        <v>0</v>
      </c>
      <c r="T9" s="941">
        <v>41521.06</v>
      </c>
      <c r="U9" s="941">
        <v>0</v>
      </c>
      <c r="V9" s="941">
        <v>67088.87999999999</v>
      </c>
      <c r="W9" s="941">
        <f t="shared" si="10"/>
        <v>150131</v>
      </c>
    </row>
    <row r="10" spans="1:23" ht="15" customHeight="1" x14ac:dyDescent="0.25">
      <c r="A10" s="680" t="s">
        <v>22</v>
      </c>
      <c r="B10" s="685" t="s">
        <v>23</v>
      </c>
      <c r="C10" s="852" t="s">
        <v>265</v>
      </c>
      <c r="D10" s="947">
        <f t="shared" si="1"/>
        <v>41559.22</v>
      </c>
      <c r="E10" s="947">
        <f t="shared" si="2"/>
        <v>0</v>
      </c>
      <c r="F10" s="947">
        <f t="shared" si="3"/>
        <v>41559.22</v>
      </c>
      <c r="G10" s="949">
        <f t="shared" si="4"/>
        <v>0</v>
      </c>
      <c r="H10" s="949">
        <f t="shared" si="5"/>
        <v>67150.559999999998</v>
      </c>
      <c r="I10" s="1200">
        <f t="shared" si="6"/>
        <v>150269</v>
      </c>
      <c r="J10" s="948">
        <f t="shared" si="7"/>
        <v>67150.559999999998</v>
      </c>
      <c r="K10" s="1200">
        <f t="shared" si="8"/>
        <v>108709.78</v>
      </c>
      <c r="L10" s="951"/>
      <c r="M10" s="941"/>
      <c r="N10" s="941"/>
      <c r="O10" s="941"/>
      <c r="P10" s="941"/>
      <c r="Q10" s="939">
        <f t="shared" si="9"/>
        <v>0</v>
      </c>
      <c r="R10" s="940">
        <v>41559.22</v>
      </c>
      <c r="S10" s="941">
        <v>0</v>
      </c>
      <c r="T10" s="941">
        <v>41559.22</v>
      </c>
      <c r="U10" s="941">
        <v>0</v>
      </c>
      <c r="V10" s="941">
        <v>67150.559999999998</v>
      </c>
      <c r="W10" s="941">
        <f t="shared" si="10"/>
        <v>150269</v>
      </c>
    </row>
    <row r="11" spans="1:23" ht="15" customHeight="1" x14ac:dyDescent="0.25">
      <c r="A11" s="680" t="s">
        <v>24</v>
      </c>
      <c r="B11" s="685" t="s">
        <v>25</v>
      </c>
      <c r="C11" s="852" t="s">
        <v>267</v>
      </c>
      <c r="D11" s="947">
        <f t="shared" si="1"/>
        <v>1104467.3600000001</v>
      </c>
      <c r="E11" s="947">
        <f t="shared" si="2"/>
        <v>0</v>
      </c>
      <c r="F11" s="947">
        <f t="shared" si="3"/>
        <v>1104467.3600000001</v>
      </c>
      <c r="G11" s="949">
        <f t="shared" si="4"/>
        <v>0</v>
      </c>
      <c r="H11" s="949">
        <f t="shared" si="5"/>
        <v>1784576.2799999998</v>
      </c>
      <c r="I11" s="1200">
        <f t="shared" si="6"/>
        <v>3993511</v>
      </c>
      <c r="J11" s="948">
        <f t="shared" si="7"/>
        <v>1784576.2799999998</v>
      </c>
      <c r="K11" s="1200">
        <f t="shared" si="8"/>
        <v>2889043.6399999997</v>
      </c>
      <c r="L11" s="951"/>
      <c r="M11" s="941"/>
      <c r="N11" s="941"/>
      <c r="O11" s="941"/>
      <c r="P11" s="941"/>
      <c r="Q11" s="939">
        <f t="shared" si="9"/>
        <v>0</v>
      </c>
      <c r="R11" s="940">
        <v>1104467.3600000001</v>
      </c>
      <c r="S11" s="941">
        <v>0</v>
      </c>
      <c r="T11" s="941">
        <v>1104467.3600000001</v>
      </c>
      <c r="U11" s="941">
        <v>0</v>
      </c>
      <c r="V11" s="941">
        <v>1784576.2799999998</v>
      </c>
      <c r="W11" s="941">
        <f t="shared" si="10"/>
        <v>3993511</v>
      </c>
    </row>
    <row r="12" spans="1:23" ht="15" customHeight="1" x14ac:dyDescent="0.25">
      <c r="A12" s="680" t="s">
        <v>26</v>
      </c>
      <c r="B12" s="685" t="s">
        <v>685</v>
      </c>
      <c r="C12" s="852" t="s">
        <v>265</v>
      </c>
      <c r="D12" s="947">
        <f t="shared" si="1"/>
        <v>183851.62</v>
      </c>
      <c r="E12" s="947">
        <f t="shared" si="2"/>
        <v>0</v>
      </c>
      <c r="F12" s="947">
        <f t="shared" si="3"/>
        <v>183851.62</v>
      </c>
      <c r="G12" s="949">
        <f t="shared" si="4"/>
        <v>3690.93</v>
      </c>
      <c r="H12" s="949">
        <f t="shared" si="5"/>
        <v>297063.75999999995</v>
      </c>
      <c r="I12" s="1200">
        <f t="shared" si="6"/>
        <v>668457.92999999993</v>
      </c>
      <c r="J12" s="948">
        <f t="shared" si="7"/>
        <v>300754.68999999994</v>
      </c>
      <c r="K12" s="1200">
        <f t="shared" si="8"/>
        <v>484606.30999999994</v>
      </c>
      <c r="L12" s="950">
        <v>0</v>
      </c>
      <c r="M12" s="938">
        <v>0</v>
      </c>
      <c r="N12" s="938">
        <v>0</v>
      </c>
      <c r="O12" s="938">
        <v>3690.93</v>
      </c>
      <c r="P12" s="938">
        <v>0</v>
      </c>
      <c r="Q12" s="939">
        <f t="shared" si="9"/>
        <v>3690.93</v>
      </c>
      <c r="R12" s="940">
        <v>183851.62</v>
      </c>
      <c r="S12" s="941">
        <v>0</v>
      </c>
      <c r="T12" s="941">
        <v>183851.62</v>
      </c>
      <c r="U12" s="941">
        <v>0</v>
      </c>
      <c r="V12" s="941">
        <v>297063.75999999995</v>
      </c>
      <c r="W12" s="941">
        <f t="shared" si="10"/>
        <v>664767</v>
      </c>
    </row>
    <row r="13" spans="1:23" ht="15" customHeight="1" x14ac:dyDescent="0.25">
      <c r="A13" s="680" t="s">
        <v>27</v>
      </c>
      <c r="B13" s="685" t="s">
        <v>28</v>
      </c>
      <c r="C13" s="852" t="s">
        <v>265</v>
      </c>
      <c r="D13" s="947">
        <f t="shared" si="1"/>
        <v>23717.16</v>
      </c>
      <c r="E13" s="947">
        <f t="shared" si="2"/>
        <v>0</v>
      </c>
      <c r="F13" s="947">
        <f t="shared" si="3"/>
        <v>23717.16</v>
      </c>
      <c r="G13" s="949">
        <f t="shared" si="4"/>
        <v>0</v>
      </c>
      <c r="H13" s="949">
        <f t="shared" si="5"/>
        <v>38321.68</v>
      </c>
      <c r="I13" s="1200">
        <f t="shared" si="6"/>
        <v>85756</v>
      </c>
      <c r="J13" s="948">
        <f t="shared" si="7"/>
        <v>38321.68</v>
      </c>
      <c r="K13" s="1200">
        <f t="shared" si="8"/>
        <v>62038.84</v>
      </c>
      <c r="L13" s="950"/>
      <c r="M13" s="938"/>
      <c r="N13" s="938"/>
      <c r="O13" s="938"/>
      <c r="P13" s="938"/>
      <c r="Q13" s="939">
        <f t="shared" si="9"/>
        <v>0</v>
      </c>
      <c r="R13" s="940">
        <v>23717.16</v>
      </c>
      <c r="S13" s="941">
        <v>0</v>
      </c>
      <c r="T13" s="941">
        <v>23717.16</v>
      </c>
      <c r="U13" s="941">
        <v>0</v>
      </c>
      <c r="V13" s="941">
        <v>38321.68</v>
      </c>
      <c r="W13" s="941">
        <f t="shared" si="10"/>
        <v>85756</v>
      </c>
    </row>
    <row r="14" spans="1:23" ht="15" customHeight="1" x14ac:dyDescent="0.25">
      <c r="A14" s="680" t="s">
        <v>29</v>
      </c>
      <c r="B14" s="685" t="s">
        <v>901</v>
      </c>
      <c r="C14" s="852" t="s">
        <v>265</v>
      </c>
      <c r="D14" s="947">
        <f t="shared" si="1"/>
        <v>75080.899999999994</v>
      </c>
      <c r="E14" s="947">
        <f t="shared" si="2"/>
        <v>0</v>
      </c>
      <c r="F14" s="947">
        <f t="shared" si="3"/>
        <v>75080.899999999994</v>
      </c>
      <c r="G14" s="949">
        <f t="shared" si="4"/>
        <v>0</v>
      </c>
      <c r="H14" s="949">
        <f t="shared" si="5"/>
        <v>121314.19999999998</v>
      </c>
      <c r="I14" s="1200">
        <f t="shared" si="6"/>
        <v>271476</v>
      </c>
      <c r="J14" s="948">
        <f t="shared" si="7"/>
        <v>121314.19999999998</v>
      </c>
      <c r="K14" s="1200">
        <f t="shared" si="8"/>
        <v>196395.09999999998</v>
      </c>
      <c r="L14" s="951"/>
      <c r="M14" s="941"/>
      <c r="N14" s="941"/>
      <c r="O14" s="941"/>
      <c r="P14" s="941"/>
      <c r="Q14" s="939">
        <f t="shared" si="9"/>
        <v>0</v>
      </c>
      <c r="R14" s="940">
        <v>75080.899999999994</v>
      </c>
      <c r="S14" s="941">
        <v>0</v>
      </c>
      <c r="T14" s="941">
        <v>75080.899999999994</v>
      </c>
      <c r="U14" s="941">
        <v>0</v>
      </c>
      <c r="V14" s="941">
        <v>121314.19999999998</v>
      </c>
      <c r="W14" s="941">
        <f t="shared" si="10"/>
        <v>271476</v>
      </c>
    </row>
    <row r="15" spans="1:23" ht="15" customHeight="1" x14ac:dyDescent="0.25">
      <c r="A15" s="680" t="s">
        <v>30</v>
      </c>
      <c r="B15" s="685" t="s">
        <v>31</v>
      </c>
      <c r="C15" s="852" t="s">
        <v>268</v>
      </c>
      <c r="D15" s="947">
        <f t="shared" si="1"/>
        <v>38675.47</v>
      </c>
      <c r="E15" s="947">
        <f t="shared" si="2"/>
        <v>0</v>
      </c>
      <c r="F15" s="947">
        <f t="shared" si="3"/>
        <v>38675.47</v>
      </c>
      <c r="G15" s="949">
        <f t="shared" si="4"/>
        <v>0</v>
      </c>
      <c r="H15" s="949">
        <f t="shared" si="5"/>
        <v>62491.06</v>
      </c>
      <c r="I15" s="1200">
        <f t="shared" si="6"/>
        <v>139842</v>
      </c>
      <c r="J15" s="948">
        <f t="shared" si="7"/>
        <v>62491.06</v>
      </c>
      <c r="K15" s="1200">
        <f t="shared" si="8"/>
        <v>101166.53</v>
      </c>
      <c r="L15" s="951"/>
      <c r="M15" s="941"/>
      <c r="N15" s="941"/>
      <c r="O15" s="941"/>
      <c r="P15" s="941"/>
      <c r="Q15" s="939">
        <f t="shared" si="9"/>
        <v>0</v>
      </c>
      <c r="R15" s="940">
        <v>38675.47</v>
      </c>
      <c r="S15" s="941">
        <v>0</v>
      </c>
      <c r="T15" s="941">
        <v>38675.47</v>
      </c>
      <c r="U15" s="941">
        <v>0</v>
      </c>
      <c r="V15" s="941">
        <v>62491.06</v>
      </c>
      <c r="W15" s="941">
        <f t="shared" si="10"/>
        <v>139842</v>
      </c>
    </row>
    <row r="16" spans="1:23" ht="15" customHeight="1" x14ac:dyDescent="0.25">
      <c r="A16" s="680" t="s">
        <v>32</v>
      </c>
      <c r="B16" s="685" t="s">
        <v>33</v>
      </c>
      <c r="C16" s="852" t="s">
        <v>265</v>
      </c>
      <c r="D16" s="947">
        <f t="shared" si="1"/>
        <v>20126.23</v>
      </c>
      <c r="E16" s="947">
        <f t="shared" si="2"/>
        <v>0</v>
      </c>
      <c r="F16" s="947">
        <f t="shared" si="3"/>
        <v>20126.23</v>
      </c>
      <c r="G16" s="949">
        <f t="shared" si="4"/>
        <v>0</v>
      </c>
      <c r="H16" s="949">
        <f t="shared" si="5"/>
        <v>32519.54</v>
      </c>
      <c r="I16" s="1200">
        <f t="shared" si="6"/>
        <v>72772</v>
      </c>
      <c r="J16" s="948">
        <f t="shared" si="7"/>
        <v>32519.54</v>
      </c>
      <c r="K16" s="1200">
        <f t="shared" si="8"/>
        <v>52645.770000000004</v>
      </c>
      <c r="L16" s="951"/>
      <c r="M16" s="941"/>
      <c r="N16" s="941"/>
      <c r="O16" s="941"/>
      <c r="P16" s="941"/>
      <c r="Q16" s="939">
        <f t="shared" si="9"/>
        <v>0</v>
      </c>
      <c r="R16" s="940">
        <v>20126.23</v>
      </c>
      <c r="S16" s="941">
        <v>0</v>
      </c>
      <c r="T16" s="941">
        <v>20126.23</v>
      </c>
      <c r="U16" s="941">
        <v>0</v>
      </c>
      <c r="V16" s="941">
        <v>32519.54</v>
      </c>
      <c r="W16" s="941">
        <f t="shared" si="10"/>
        <v>72772</v>
      </c>
    </row>
    <row r="17" spans="1:23" ht="15" customHeight="1" x14ac:dyDescent="0.25">
      <c r="A17" s="680" t="s">
        <v>36</v>
      </c>
      <c r="B17" s="685" t="s">
        <v>37</v>
      </c>
      <c r="C17" s="852" t="s">
        <v>264</v>
      </c>
      <c r="D17" s="947">
        <f t="shared" si="1"/>
        <v>51662.15</v>
      </c>
      <c r="E17" s="947">
        <f t="shared" si="2"/>
        <v>0</v>
      </c>
      <c r="F17" s="947">
        <f t="shared" si="3"/>
        <v>51662.15</v>
      </c>
      <c r="G17" s="949">
        <f t="shared" si="4"/>
        <v>0</v>
      </c>
      <c r="H17" s="949">
        <f t="shared" si="5"/>
        <v>83474.7</v>
      </c>
      <c r="I17" s="1200">
        <f t="shared" si="6"/>
        <v>186799</v>
      </c>
      <c r="J17" s="948">
        <f t="shared" si="7"/>
        <v>83474.7</v>
      </c>
      <c r="K17" s="1200">
        <f t="shared" si="8"/>
        <v>135136.85</v>
      </c>
      <c r="L17" s="950"/>
      <c r="M17" s="938"/>
      <c r="N17" s="938"/>
      <c r="O17" s="938"/>
      <c r="P17" s="938"/>
      <c r="Q17" s="939">
        <f t="shared" si="9"/>
        <v>0</v>
      </c>
      <c r="R17" s="940">
        <v>51662.15</v>
      </c>
      <c r="S17" s="941">
        <v>0</v>
      </c>
      <c r="T17" s="941">
        <v>51662.15</v>
      </c>
      <c r="U17" s="941">
        <v>0</v>
      </c>
      <c r="V17" s="941">
        <v>83474.7</v>
      </c>
      <c r="W17" s="941">
        <f t="shared" si="10"/>
        <v>186799</v>
      </c>
    </row>
    <row r="18" spans="1:23" ht="15" customHeight="1" x14ac:dyDescent="0.25">
      <c r="A18" s="680" t="s">
        <v>38</v>
      </c>
      <c r="B18" s="685" t="s">
        <v>39</v>
      </c>
      <c r="C18" s="852" t="s">
        <v>268</v>
      </c>
      <c r="D18" s="947">
        <f t="shared" si="1"/>
        <v>70243.759999999995</v>
      </c>
      <c r="E18" s="947">
        <f t="shared" si="2"/>
        <v>0</v>
      </c>
      <c r="F18" s="947">
        <f t="shared" si="3"/>
        <v>70243.759999999995</v>
      </c>
      <c r="G18" s="949">
        <f t="shared" si="4"/>
        <v>0</v>
      </c>
      <c r="H18" s="949">
        <f t="shared" si="5"/>
        <v>113498.48000000001</v>
      </c>
      <c r="I18" s="1200">
        <f t="shared" si="6"/>
        <v>253986</v>
      </c>
      <c r="J18" s="948">
        <f t="shared" si="7"/>
        <v>113498.48000000001</v>
      </c>
      <c r="K18" s="1200">
        <f t="shared" si="8"/>
        <v>183742.24</v>
      </c>
      <c r="L18" s="951"/>
      <c r="M18" s="941"/>
      <c r="N18" s="941"/>
      <c r="O18" s="941"/>
      <c r="P18" s="941"/>
      <c r="Q18" s="939">
        <f t="shared" si="9"/>
        <v>0</v>
      </c>
      <c r="R18" s="940">
        <v>70243.759999999995</v>
      </c>
      <c r="S18" s="941">
        <v>0</v>
      </c>
      <c r="T18" s="941">
        <v>70243.759999999995</v>
      </c>
      <c r="U18" s="941">
        <v>0</v>
      </c>
      <c r="V18" s="941">
        <v>113498.48000000001</v>
      </c>
      <c r="W18" s="941">
        <f t="shared" si="10"/>
        <v>253986</v>
      </c>
    </row>
    <row r="19" spans="1:23" ht="15" customHeight="1" x14ac:dyDescent="0.25">
      <c r="A19" s="680" t="s">
        <v>40</v>
      </c>
      <c r="B19" s="685" t="s">
        <v>41</v>
      </c>
      <c r="C19" s="852" t="s">
        <v>266</v>
      </c>
      <c r="D19" s="947">
        <f t="shared" si="1"/>
        <v>59110.34</v>
      </c>
      <c r="E19" s="947">
        <f t="shared" si="2"/>
        <v>0</v>
      </c>
      <c r="F19" s="947">
        <f t="shared" si="3"/>
        <v>59110.34</v>
      </c>
      <c r="G19" s="949">
        <f t="shared" si="4"/>
        <v>0</v>
      </c>
      <c r="H19" s="949">
        <f t="shared" si="5"/>
        <v>95509.319999999992</v>
      </c>
      <c r="I19" s="1200">
        <f t="shared" si="6"/>
        <v>213730</v>
      </c>
      <c r="J19" s="948">
        <f t="shared" si="7"/>
        <v>95509.319999999992</v>
      </c>
      <c r="K19" s="1200">
        <f t="shared" si="8"/>
        <v>154619.65999999997</v>
      </c>
      <c r="L19" s="951"/>
      <c r="M19" s="941"/>
      <c r="N19" s="941"/>
      <c r="O19" s="941"/>
      <c r="P19" s="941"/>
      <c r="Q19" s="939">
        <f t="shared" si="9"/>
        <v>0</v>
      </c>
      <c r="R19" s="940">
        <v>59110.34</v>
      </c>
      <c r="S19" s="941">
        <v>0</v>
      </c>
      <c r="T19" s="941">
        <v>59110.34</v>
      </c>
      <c r="U19" s="941">
        <v>0</v>
      </c>
      <c r="V19" s="941">
        <v>95509.319999999992</v>
      </c>
      <c r="W19" s="941">
        <f t="shared" si="10"/>
        <v>213730</v>
      </c>
    </row>
    <row r="20" spans="1:23" ht="15" customHeight="1" x14ac:dyDescent="0.25">
      <c r="A20" s="680" t="s">
        <v>42</v>
      </c>
      <c r="B20" s="685" t="s">
        <v>43</v>
      </c>
      <c r="C20" s="852" t="s">
        <v>265</v>
      </c>
      <c r="D20" s="947">
        <f t="shared" si="1"/>
        <v>145450.49</v>
      </c>
      <c r="E20" s="947">
        <f t="shared" si="2"/>
        <v>0</v>
      </c>
      <c r="F20" s="947">
        <f t="shared" si="3"/>
        <v>145450.49</v>
      </c>
      <c r="G20" s="949">
        <f t="shared" si="4"/>
        <v>10487.5</v>
      </c>
      <c r="H20" s="949">
        <f t="shared" si="5"/>
        <v>235016.02000000002</v>
      </c>
      <c r="I20" s="1200">
        <f t="shared" si="6"/>
        <v>536404.5</v>
      </c>
      <c r="J20" s="948">
        <f t="shared" si="7"/>
        <v>245503.52000000002</v>
      </c>
      <c r="K20" s="1200">
        <f t="shared" si="8"/>
        <v>390954.01</v>
      </c>
      <c r="L20" s="950">
        <v>0</v>
      </c>
      <c r="M20" s="938">
        <v>0</v>
      </c>
      <c r="N20" s="938">
        <v>0</v>
      </c>
      <c r="O20" s="938">
        <v>10487.5</v>
      </c>
      <c r="P20" s="938">
        <v>0</v>
      </c>
      <c r="Q20" s="939">
        <f t="shared" si="9"/>
        <v>10487.5</v>
      </c>
      <c r="R20" s="940">
        <v>145450.49</v>
      </c>
      <c r="S20" s="941">
        <v>0</v>
      </c>
      <c r="T20" s="941">
        <v>145450.49</v>
      </c>
      <c r="U20" s="941">
        <v>0</v>
      </c>
      <c r="V20" s="941">
        <v>235016.02000000002</v>
      </c>
      <c r="W20" s="941">
        <f t="shared" si="10"/>
        <v>525917</v>
      </c>
    </row>
    <row r="21" spans="1:23" ht="15" customHeight="1" x14ac:dyDescent="0.25">
      <c r="A21" s="680" t="s">
        <v>44</v>
      </c>
      <c r="B21" s="685" t="s">
        <v>45</v>
      </c>
      <c r="C21" s="852" t="s">
        <v>266</v>
      </c>
      <c r="D21" s="947">
        <f t="shared" si="1"/>
        <v>81042.820000000007</v>
      </c>
      <c r="E21" s="947">
        <f t="shared" si="2"/>
        <v>0</v>
      </c>
      <c r="F21" s="947">
        <f t="shared" si="3"/>
        <v>81042.820000000007</v>
      </c>
      <c r="G21" s="949">
        <f t="shared" si="4"/>
        <v>3810.61</v>
      </c>
      <c r="H21" s="949">
        <f t="shared" si="5"/>
        <v>130947.36000000002</v>
      </c>
      <c r="I21" s="1200">
        <f t="shared" si="6"/>
        <v>296843.61</v>
      </c>
      <c r="J21" s="948">
        <f t="shared" si="7"/>
        <v>134757.97</v>
      </c>
      <c r="K21" s="1200">
        <f t="shared" si="8"/>
        <v>215800.79</v>
      </c>
      <c r="L21" s="951">
        <v>0</v>
      </c>
      <c r="M21" s="941">
        <v>0</v>
      </c>
      <c r="N21" s="941">
        <v>0</v>
      </c>
      <c r="O21" s="941">
        <v>3810.61</v>
      </c>
      <c r="P21" s="941">
        <v>0</v>
      </c>
      <c r="Q21" s="939">
        <f t="shared" si="9"/>
        <v>3810.61</v>
      </c>
      <c r="R21" s="940">
        <v>81042.820000000007</v>
      </c>
      <c r="S21" s="941">
        <v>0</v>
      </c>
      <c r="T21" s="941">
        <v>81042.820000000007</v>
      </c>
      <c r="U21" s="941">
        <v>0</v>
      </c>
      <c r="V21" s="941">
        <v>130947.36000000002</v>
      </c>
      <c r="W21" s="941">
        <f t="shared" si="10"/>
        <v>293033</v>
      </c>
    </row>
    <row r="22" spans="1:23" ht="15" customHeight="1" x14ac:dyDescent="0.25">
      <c r="A22" s="680" t="s">
        <v>46</v>
      </c>
      <c r="B22" s="685" t="s">
        <v>47</v>
      </c>
      <c r="C22" s="852" t="s">
        <v>268</v>
      </c>
      <c r="D22" s="947">
        <f t="shared" si="1"/>
        <v>78110.960000000006</v>
      </c>
      <c r="E22" s="947">
        <f t="shared" si="2"/>
        <v>0</v>
      </c>
      <c r="F22" s="947">
        <f t="shared" si="3"/>
        <v>78110.960000000006</v>
      </c>
      <c r="G22" s="949">
        <f t="shared" si="4"/>
        <v>0</v>
      </c>
      <c r="H22" s="949">
        <f t="shared" si="5"/>
        <v>126210.08000000002</v>
      </c>
      <c r="I22" s="1200">
        <f t="shared" si="6"/>
        <v>282432</v>
      </c>
      <c r="J22" s="948">
        <f t="shared" si="7"/>
        <v>126210.08000000002</v>
      </c>
      <c r="K22" s="1200">
        <f t="shared" si="8"/>
        <v>204321.04000000004</v>
      </c>
      <c r="L22" s="951"/>
      <c r="M22" s="941"/>
      <c r="N22" s="941"/>
      <c r="O22" s="941"/>
      <c r="P22" s="941"/>
      <c r="Q22" s="939">
        <f t="shared" si="9"/>
        <v>0</v>
      </c>
      <c r="R22" s="940">
        <v>78110.960000000006</v>
      </c>
      <c r="S22" s="941">
        <v>0</v>
      </c>
      <c r="T22" s="941">
        <v>78110.960000000006</v>
      </c>
      <c r="U22" s="941">
        <v>0</v>
      </c>
      <c r="V22" s="941">
        <v>126210.08000000002</v>
      </c>
      <c r="W22" s="941">
        <f t="shared" si="10"/>
        <v>282432</v>
      </c>
    </row>
    <row r="23" spans="1:23" ht="15" customHeight="1" x14ac:dyDescent="0.25">
      <c r="A23" s="680" t="s">
        <v>48</v>
      </c>
      <c r="B23" s="685" t="s">
        <v>269</v>
      </c>
      <c r="C23" s="852" t="s">
        <v>266</v>
      </c>
      <c r="D23" s="947">
        <f t="shared" si="1"/>
        <v>60303.17</v>
      </c>
      <c r="E23" s="947">
        <f t="shared" si="2"/>
        <v>0</v>
      </c>
      <c r="F23" s="947">
        <f t="shared" si="3"/>
        <v>60303.17</v>
      </c>
      <c r="G23" s="949">
        <f t="shared" si="4"/>
        <v>0</v>
      </c>
      <c r="H23" s="949">
        <f t="shared" si="5"/>
        <v>97436.659999999989</v>
      </c>
      <c r="I23" s="1200">
        <f t="shared" si="6"/>
        <v>218043</v>
      </c>
      <c r="J23" s="948">
        <f t="shared" si="7"/>
        <v>97436.659999999989</v>
      </c>
      <c r="K23" s="1200">
        <f t="shared" si="8"/>
        <v>157739.82999999999</v>
      </c>
      <c r="L23" s="951"/>
      <c r="M23" s="941"/>
      <c r="N23" s="941"/>
      <c r="O23" s="941"/>
      <c r="P23" s="941"/>
      <c r="Q23" s="939">
        <f t="shared" si="9"/>
        <v>0</v>
      </c>
      <c r="R23" s="940">
        <v>60303.17</v>
      </c>
      <c r="S23" s="941">
        <v>0</v>
      </c>
      <c r="T23" s="941">
        <v>60303.17</v>
      </c>
      <c r="U23" s="941">
        <v>0</v>
      </c>
      <c r="V23" s="941">
        <v>97436.659999999989</v>
      </c>
      <c r="W23" s="941">
        <f t="shared" si="10"/>
        <v>218043</v>
      </c>
    </row>
    <row r="24" spans="1:23" ht="15" customHeight="1" x14ac:dyDescent="0.25">
      <c r="A24" s="680" t="s">
        <v>50</v>
      </c>
      <c r="B24" s="685" t="s">
        <v>51</v>
      </c>
      <c r="C24" s="852" t="s">
        <v>265</v>
      </c>
      <c r="D24" s="947">
        <f t="shared" si="1"/>
        <v>48773.7</v>
      </c>
      <c r="E24" s="947">
        <f t="shared" si="2"/>
        <v>0</v>
      </c>
      <c r="F24" s="947">
        <f t="shared" si="3"/>
        <v>48773.7</v>
      </c>
      <c r="G24" s="949">
        <f t="shared" si="4"/>
        <v>0</v>
      </c>
      <c r="H24" s="949">
        <f t="shared" si="5"/>
        <v>78807.600000000006</v>
      </c>
      <c r="I24" s="1200">
        <f t="shared" si="6"/>
        <v>176355</v>
      </c>
      <c r="J24" s="948">
        <f t="shared" si="7"/>
        <v>78807.600000000006</v>
      </c>
      <c r="K24" s="1200">
        <f t="shared" si="8"/>
        <v>127581.3</v>
      </c>
      <c r="L24" s="951"/>
      <c r="M24" s="941"/>
      <c r="N24" s="941"/>
      <c r="O24" s="941"/>
      <c r="P24" s="941"/>
      <c r="Q24" s="939">
        <f t="shared" si="9"/>
        <v>0</v>
      </c>
      <c r="R24" s="940">
        <v>48773.7</v>
      </c>
      <c r="S24" s="941">
        <v>0</v>
      </c>
      <c r="T24" s="941">
        <v>48773.7</v>
      </c>
      <c r="U24" s="941">
        <v>0</v>
      </c>
      <c r="V24" s="941">
        <v>78807.600000000006</v>
      </c>
      <c r="W24" s="941">
        <f t="shared" si="10"/>
        <v>176355</v>
      </c>
    </row>
    <row r="25" spans="1:23" ht="15" customHeight="1" x14ac:dyDescent="0.25">
      <c r="A25" s="680" t="s">
        <v>56</v>
      </c>
      <c r="B25" s="685" t="s">
        <v>295</v>
      </c>
      <c r="C25" s="852" t="s">
        <v>266</v>
      </c>
      <c r="D25" s="947">
        <f t="shared" si="1"/>
        <v>309759.17</v>
      </c>
      <c r="E25" s="947">
        <f t="shared" si="2"/>
        <v>0</v>
      </c>
      <c r="F25" s="947">
        <f t="shared" si="3"/>
        <v>309759.17</v>
      </c>
      <c r="G25" s="949">
        <f t="shared" si="4"/>
        <v>95584.48000000001</v>
      </c>
      <c r="H25" s="949">
        <f t="shared" si="5"/>
        <v>500502.66000000003</v>
      </c>
      <c r="I25" s="1200">
        <f t="shared" si="6"/>
        <v>1215605.48</v>
      </c>
      <c r="J25" s="948">
        <f t="shared" si="7"/>
        <v>596087.14</v>
      </c>
      <c r="K25" s="1200">
        <f t="shared" si="8"/>
        <v>905846.31</v>
      </c>
      <c r="L25" s="950">
        <v>0</v>
      </c>
      <c r="M25" s="938">
        <v>0</v>
      </c>
      <c r="N25" s="938">
        <v>0</v>
      </c>
      <c r="O25" s="938">
        <v>95584.48000000001</v>
      </c>
      <c r="P25" s="938">
        <v>0</v>
      </c>
      <c r="Q25" s="939">
        <f t="shared" si="9"/>
        <v>95584.48000000001</v>
      </c>
      <c r="R25" s="940">
        <v>309759.17</v>
      </c>
      <c r="S25" s="941">
        <v>0</v>
      </c>
      <c r="T25" s="941">
        <v>309759.17</v>
      </c>
      <c r="U25" s="941">
        <v>0</v>
      </c>
      <c r="V25" s="941">
        <v>500502.66000000003</v>
      </c>
      <c r="W25" s="941">
        <f t="shared" si="10"/>
        <v>1120021</v>
      </c>
    </row>
    <row r="26" spans="1:23" ht="15" customHeight="1" x14ac:dyDescent="0.25">
      <c r="A26" s="680" t="s">
        <v>58</v>
      </c>
      <c r="B26" s="685" t="s">
        <v>59</v>
      </c>
      <c r="C26" s="852" t="s">
        <v>267</v>
      </c>
      <c r="D26" s="947">
        <f t="shared" si="1"/>
        <v>50809.78</v>
      </c>
      <c r="E26" s="947">
        <f t="shared" si="2"/>
        <v>0</v>
      </c>
      <c r="F26" s="947">
        <f t="shared" si="3"/>
        <v>50809.78</v>
      </c>
      <c r="G26" s="949">
        <f t="shared" si="4"/>
        <v>0</v>
      </c>
      <c r="H26" s="949">
        <f t="shared" si="5"/>
        <v>82097.440000000002</v>
      </c>
      <c r="I26" s="1200">
        <f t="shared" si="6"/>
        <v>183717</v>
      </c>
      <c r="J26" s="948">
        <f t="shared" si="7"/>
        <v>82097.440000000002</v>
      </c>
      <c r="K26" s="1200">
        <f t="shared" si="8"/>
        <v>132907.22</v>
      </c>
      <c r="L26" s="951"/>
      <c r="M26" s="941"/>
      <c r="N26" s="941"/>
      <c r="O26" s="941"/>
      <c r="P26" s="941"/>
      <c r="Q26" s="939">
        <f t="shared" si="9"/>
        <v>0</v>
      </c>
      <c r="R26" s="940">
        <v>50809.78</v>
      </c>
      <c r="S26" s="941">
        <v>0</v>
      </c>
      <c r="T26" s="941">
        <v>50809.78</v>
      </c>
      <c r="U26" s="941">
        <v>0</v>
      </c>
      <c r="V26" s="941">
        <v>82097.440000000002</v>
      </c>
      <c r="W26" s="941">
        <f t="shared" si="10"/>
        <v>183717</v>
      </c>
    </row>
    <row r="27" spans="1:23" ht="15" customHeight="1" x14ac:dyDescent="0.25">
      <c r="A27" s="680" t="s">
        <v>60</v>
      </c>
      <c r="B27" s="685" t="s">
        <v>61</v>
      </c>
      <c r="C27" s="852" t="s">
        <v>265</v>
      </c>
      <c r="D27" s="947">
        <f t="shared" si="1"/>
        <v>17281.189999999999</v>
      </c>
      <c r="E27" s="947">
        <f t="shared" si="2"/>
        <v>0</v>
      </c>
      <c r="F27" s="947">
        <f t="shared" si="3"/>
        <v>17281.189999999999</v>
      </c>
      <c r="G27" s="949">
        <f t="shared" si="4"/>
        <v>0</v>
      </c>
      <c r="H27" s="949">
        <f t="shared" si="5"/>
        <v>27922.619999999995</v>
      </c>
      <c r="I27" s="1200">
        <f t="shared" si="6"/>
        <v>62484.999999999993</v>
      </c>
      <c r="J27" s="948">
        <f t="shared" si="7"/>
        <v>27922.619999999995</v>
      </c>
      <c r="K27" s="1200">
        <f t="shared" si="8"/>
        <v>45203.81</v>
      </c>
      <c r="L27" s="951"/>
      <c r="M27" s="941"/>
      <c r="N27" s="941"/>
      <c r="O27" s="941"/>
      <c r="P27" s="941"/>
      <c r="Q27" s="939">
        <f t="shared" si="9"/>
        <v>0</v>
      </c>
      <c r="R27" s="940">
        <v>17281.189999999999</v>
      </c>
      <c r="S27" s="941">
        <v>0</v>
      </c>
      <c r="T27" s="941">
        <v>17281.189999999999</v>
      </c>
      <c r="U27" s="941">
        <v>0</v>
      </c>
      <c r="V27" s="941">
        <v>27922.619999999995</v>
      </c>
      <c r="W27" s="941">
        <f t="shared" si="10"/>
        <v>62484.999999999993</v>
      </c>
    </row>
    <row r="28" spans="1:23" ht="15" customHeight="1" x14ac:dyDescent="0.25">
      <c r="A28" s="680" t="s">
        <v>62</v>
      </c>
      <c r="B28" s="685" t="s">
        <v>63</v>
      </c>
      <c r="C28" s="852" t="s">
        <v>267</v>
      </c>
      <c r="D28" s="947">
        <f t="shared" si="1"/>
        <v>79178.77</v>
      </c>
      <c r="E28" s="947">
        <f t="shared" si="2"/>
        <v>0</v>
      </c>
      <c r="F28" s="947">
        <f t="shared" si="3"/>
        <v>79178.77</v>
      </c>
      <c r="G28" s="949">
        <f t="shared" si="4"/>
        <v>0</v>
      </c>
      <c r="H28" s="949">
        <f t="shared" si="5"/>
        <v>127935.46000000002</v>
      </c>
      <c r="I28" s="1200">
        <f t="shared" si="6"/>
        <v>286293</v>
      </c>
      <c r="J28" s="948">
        <f t="shared" si="7"/>
        <v>127935.46000000002</v>
      </c>
      <c r="K28" s="1200">
        <f t="shared" si="8"/>
        <v>207114.23000000004</v>
      </c>
      <c r="L28" s="951"/>
      <c r="M28" s="941"/>
      <c r="N28" s="941"/>
      <c r="O28" s="941"/>
      <c r="P28" s="941"/>
      <c r="Q28" s="939">
        <f t="shared" si="9"/>
        <v>0</v>
      </c>
      <c r="R28" s="940">
        <v>79178.77</v>
      </c>
      <c r="S28" s="941">
        <v>0</v>
      </c>
      <c r="T28" s="941">
        <v>79178.77</v>
      </c>
      <c r="U28" s="941">
        <v>0</v>
      </c>
      <c r="V28" s="941">
        <v>127935.46000000002</v>
      </c>
      <c r="W28" s="941">
        <f t="shared" si="10"/>
        <v>286293</v>
      </c>
    </row>
    <row r="29" spans="1:23" ht="15" customHeight="1" x14ac:dyDescent="0.25">
      <c r="A29" s="680" t="s">
        <v>64</v>
      </c>
      <c r="B29" s="685" t="s">
        <v>65</v>
      </c>
      <c r="C29" s="852" t="s">
        <v>266</v>
      </c>
      <c r="D29" s="947">
        <f t="shared" si="1"/>
        <v>22929.77</v>
      </c>
      <c r="E29" s="947">
        <f t="shared" si="2"/>
        <v>0</v>
      </c>
      <c r="F29" s="947">
        <f t="shared" si="3"/>
        <v>22929.77</v>
      </c>
      <c r="G29" s="949">
        <f t="shared" si="4"/>
        <v>0</v>
      </c>
      <c r="H29" s="949">
        <f t="shared" si="5"/>
        <v>37049.459999999992</v>
      </c>
      <c r="I29" s="1200">
        <f t="shared" si="6"/>
        <v>82909</v>
      </c>
      <c r="J29" s="948">
        <f t="shared" si="7"/>
        <v>37049.459999999992</v>
      </c>
      <c r="K29" s="1200">
        <f t="shared" si="8"/>
        <v>59979.229999999996</v>
      </c>
      <c r="L29" s="951"/>
      <c r="M29" s="941"/>
      <c r="N29" s="941"/>
      <c r="O29" s="941"/>
      <c r="P29" s="941"/>
      <c r="Q29" s="939">
        <f t="shared" si="9"/>
        <v>0</v>
      </c>
      <c r="R29" s="940">
        <v>22929.77</v>
      </c>
      <c r="S29" s="941">
        <v>0</v>
      </c>
      <c r="T29" s="941">
        <v>22929.77</v>
      </c>
      <c r="U29" s="941">
        <v>0</v>
      </c>
      <c r="V29" s="941">
        <v>37049.459999999992</v>
      </c>
      <c r="W29" s="941">
        <f t="shared" si="10"/>
        <v>82909</v>
      </c>
    </row>
    <row r="30" spans="1:23" ht="15" customHeight="1" x14ac:dyDescent="0.25">
      <c r="A30" s="680" t="s">
        <v>68</v>
      </c>
      <c r="B30" s="685" t="s">
        <v>69</v>
      </c>
      <c r="C30" s="852" t="s">
        <v>268</v>
      </c>
      <c r="D30" s="947">
        <f t="shared" si="1"/>
        <v>68915.7</v>
      </c>
      <c r="E30" s="947">
        <f t="shared" si="2"/>
        <v>0</v>
      </c>
      <c r="F30" s="947">
        <f t="shared" si="3"/>
        <v>68915.7</v>
      </c>
      <c r="G30" s="949">
        <f t="shared" si="4"/>
        <v>0</v>
      </c>
      <c r="H30" s="949">
        <f t="shared" si="5"/>
        <v>111352.6</v>
      </c>
      <c r="I30" s="1200">
        <f t="shared" si="6"/>
        <v>249184</v>
      </c>
      <c r="J30" s="948">
        <f t="shared" si="7"/>
        <v>111352.6</v>
      </c>
      <c r="K30" s="1200">
        <f t="shared" si="8"/>
        <v>180268.3</v>
      </c>
      <c r="L30" s="951"/>
      <c r="M30" s="941"/>
      <c r="N30" s="941"/>
      <c r="O30" s="941"/>
      <c r="P30" s="941"/>
      <c r="Q30" s="939">
        <f t="shared" si="9"/>
        <v>0</v>
      </c>
      <c r="R30" s="940">
        <v>68915.7</v>
      </c>
      <c r="S30" s="941">
        <v>0</v>
      </c>
      <c r="T30" s="941">
        <v>68915.7</v>
      </c>
      <c r="U30" s="941">
        <v>0</v>
      </c>
      <c r="V30" s="941">
        <v>111352.6</v>
      </c>
      <c r="W30" s="941">
        <f t="shared" si="10"/>
        <v>249184</v>
      </c>
    </row>
    <row r="31" spans="1:23" ht="15" customHeight="1" x14ac:dyDescent="0.25">
      <c r="A31" s="680" t="s">
        <v>70</v>
      </c>
      <c r="B31" s="685" t="s">
        <v>71</v>
      </c>
      <c r="C31" s="852" t="s">
        <v>264</v>
      </c>
      <c r="D31" s="947">
        <f t="shared" si="1"/>
        <v>42218.55</v>
      </c>
      <c r="E31" s="947">
        <f t="shared" si="2"/>
        <v>0</v>
      </c>
      <c r="F31" s="947">
        <f t="shared" si="3"/>
        <v>42218.55</v>
      </c>
      <c r="G31" s="949">
        <f t="shared" si="4"/>
        <v>0</v>
      </c>
      <c r="H31" s="949">
        <f t="shared" si="5"/>
        <v>68215.900000000009</v>
      </c>
      <c r="I31" s="1200">
        <f t="shared" si="6"/>
        <v>152653</v>
      </c>
      <c r="J31" s="948">
        <f t="shared" si="7"/>
        <v>68215.900000000009</v>
      </c>
      <c r="K31" s="1200">
        <f t="shared" si="8"/>
        <v>110434.45000000001</v>
      </c>
      <c r="L31" s="951"/>
      <c r="M31" s="941"/>
      <c r="N31" s="941"/>
      <c r="O31" s="941"/>
      <c r="P31" s="941"/>
      <c r="Q31" s="939">
        <f t="shared" si="9"/>
        <v>0</v>
      </c>
      <c r="R31" s="942">
        <v>42218.55</v>
      </c>
      <c r="S31" s="938">
        <v>0</v>
      </c>
      <c r="T31" s="938">
        <v>42218.55</v>
      </c>
      <c r="U31" s="938">
        <v>0</v>
      </c>
      <c r="V31" s="938">
        <v>68215.900000000009</v>
      </c>
      <c r="W31" s="941">
        <f t="shared" si="10"/>
        <v>152653</v>
      </c>
    </row>
    <row r="32" spans="1:23" ht="15" customHeight="1" x14ac:dyDescent="0.25">
      <c r="A32" s="680" t="s">
        <v>72</v>
      </c>
      <c r="B32" s="685" t="s">
        <v>73</v>
      </c>
      <c r="C32" s="852" t="s">
        <v>266</v>
      </c>
      <c r="D32" s="947">
        <f t="shared" si="1"/>
        <v>18586.59</v>
      </c>
      <c r="E32" s="947">
        <f t="shared" si="2"/>
        <v>0</v>
      </c>
      <c r="F32" s="947">
        <f t="shared" si="3"/>
        <v>18586.59</v>
      </c>
      <c r="G32" s="949">
        <f t="shared" si="4"/>
        <v>0</v>
      </c>
      <c r="H32" s="949">
        <f t="shared" si="5"/>
        <v>30031.82</v>
      </c>
      <c r="I32" s="1200">
        <f t="shared" si="6"/>
        <v>67205</v>
      </c>
      <c r="J32" s="948">
        <f t="shared" si="7"/>
        <v>30031.82</v>
      </c>
      <c r="K32" s="1200">
        <f t="shared" si="8"/>
        <v>48618.41</v>
      </c>
      <c r="L32" s="951"/>
      <c r="M32" s="941"/>
      <c r="N32" s="941"/>
      <c r="O32" s="941"/>
      <c r="P32" s="941"/>
      <c r="Q32" s="939">
        <f t="shared" si="9"/>
        <v>0</v>
      </c>
      <c r="R32" s="940">
        <v>18586.59</v>
      </c>
      <c r="S32" s="941">
        <v>0</v>
      </c>
      <c r="T32" s="941">
        <v>18586.59</v>
      </c>
      <c r="U32" s="941">
        <v>0</v>
      </c>
      <c r="V32" s="941">
        <v>30031.82</v>
      </c>
      <c r="W32" s="941">
        <f t="shared" si="10"/>
        <v>67205</v>
      </c>
    </row>
    <row r="33" spans="1:23" ht="15" customHeight="1" x14ac:dyDescent="0.25">
      <c r="A33" s="680" t="s">
        <v>74</v>
      </c>
      <c r="B33" s="685" t="s">
        <v>302</v>
      </c>
      <c r="C33" s="852" t="s">
        <v>267</v>
      </c>
      <c r="D33" s="947">
        <f t="shared" si="1"/>
        <v>1763533.7</v>
      </c>
      <c r="E33" s="947">
        <f t="shared" si="2"/>
        <v>0</v>
      </c>
      <c r="F33" s="947">
        <f t="shared" si="3"/>
        <v>1763533.7</v>
      </c>
      <c r="G33" s="949">
        <f t="shared" si="4"/>
        <v>0</v>
      </c>
      <c r="H33" s="949">
        <f t="shared" si="5"/>
        <v>2849482.4499999993</v>
      </c>
      <c r="I33" s="1200">
        <f t="shared" si="6"/>
        <v>6376549.8499999996</v>
      </c>
      <c r="J33" s="948">
        <f t="shared" si="7"/>
        <v>2849482.4499999993</v>
      </c>
      <c r="K33" s="1200">
        <f t="shared" si="8"/>
        <v>4613016.1499999994</v>
      </c>
      <c r="L33" s="951"/>
      <c r="M33" s="941"/>
      <c r="N33" s="941"/>
      <c r="O33" s="941"/>
      <c r="P33" s="941"/>
      <c r="Q33" s="939">
        <f t="shared" si="9"/>
        <v>0</v>
      </c>
      <c r="R33" s="940">
        <v>1763533.7</v>
      </c>
      <c r="S33" s="941">
        <v>0</v>
      </c>
      <c r="T33" s="941">
        <v>1763533.7</v>
      </c>
      <c r="U33" s="941">
        <v>0</v>
      </c>
      <c r="V33" s="941">
        <v>2849482.4499999993</v>
      </c>
      <c r="W33" s="941">
        <f t="shared" si="10"/>
        <v>6376549.8499999996</v>
      </c>
    </row>
    <row r="34" spans="1:23" ht="15" customHeight="1" x14ac:dyDescent="0.25">
      <c r="A34" s="680" t="s">
        <v>76</v>
      </c>
      <c r="B34" s="685" t="s">
        <v>77</v>
      </c>
      <c r="C34" s="852" t="s">
        <v>267</v>
      </c>
      <c r="D34" s="947">
        <f t="shared" si="1"/>
        <v>52154.17</v>
      </c>
      <c r="E34" s="947">
        <f t="shared" si="2"/>
        <v>0</v>
      </c>
      <c r="F34" s="947">
        <f t="shared" si="3"/>
        <v>52154.17</v>
      </c>
      <c r="G34" s="949">
        <f t="shared" si="4"/>
        <v>102301.47</v>
      </c>
      <c r="H34" s="949">
        <f t="shared" si="5"/>
        <v>84269.66</v>
      </c>
      <c r="I34" s="1200">
        <f t="shared" si="6"/>
        <v>290879.46999999997</v>
      </c>
      <c r="J34" s="948">
        <f t="shared" si="7"/>
        <v>186571.13</v>
      </c>
      <c r="K34" s="1200">
        <f t="shared" si="8"/>
        <v>238725.3</v>
      </c>
      <c r="L34" s="950">
        <v>0</v>
      </c>
      <c r="M34" s="938">
        <v>0</v>
      </c>
      <c r="N34" s="938">
        <v>0</v>
      </c>
      <c r="O34" s="938">
        <v>102301.47</v>
      </c>
      <c r="P34" s="938">
        <v>0</v>
      </c>
      <c r="Q34" s="939">
        <f t="shared" si="9"/>
        <v>102301.47</v>
      </c>
      <c r="R34" s="940">
        <v>52154.17</v>
      </c>
      <c r="S34" s="941">
        <v>0</v>
      </c>
      <c r="T34" s="941">
        <v>52154.17</v>
      </c>
      <c r="U34" s="941">
        <v>0</v>
      </c>
      <c r="V34" s="941">
        <v>84269.66</v>
      </c>
      <c r="W34" s="941">
        <f t="shared" si="10"/>
        <v>188578</v>
      </c>
    </row>
    <row r="35" spans="1:23" ht="15" customHeight="1" x14ac:dyDescent="0.25">
      <c r="A35" s="680" t="s">
        <v>78</v>
      </c>
      <c r="B35" s="685" t="s">
        <v>79</v>
      </c>
      <c r="C35" s="852" t="s">
        <v>268</v>
      </c>
      <c r="D35" s="947">
        <f t="shared" si="1"/>
        <v>33946.75</v>
      </c>
      <c r="E35" s="947">
        <f t="shared" si="2"/>
        <v>0</v>
      </c>
      <c r="F35" s="947">
        <f t="shared" si="3"/>
        <v>33946.75</v>
      </c>
      <c r="G35" s="949">
        <f t="shared" si="4"/>
        <v>0</v>
      </c>
      <c r="H35" s="949">
        <f t="shared" si="5"/>
        <v>54850.5</v>
      </c>
      <c r="I35" s="1200">
        <f t="shared" si="6"/>
        <v>122744</v>
      </c>
      <c r="J35" s="948">
        <f t="shared" si="7"/>
        <v>54850.5</v>
      </c>
      <c r="K35" s="1200">
        <f t="shared" si="8"/>
        <v>88797.25</v>
      </c>
      <c r="L35" s="951"/>
      <c r="M35" s="941"/>
      <c r="N35" s="941"/>
      <c r="O35" s="941"/>
      <c r="P35" s="941"/>
      <c r="Q35" s="939">
        <f t="shared" si="9"/>
        <v>0</v>
      </c>
      <c r="R35" s="940">
        <v>33946.75</v>
      </c>
      <c r="S35" s="941">
        <v>0</v>
      </c>
      <c r="T35" s="941">
        <v>33946.75</v>
      </c>
      <c r="U35" s="941">
        <v>0</v>
      </c>
      <c r="V35" s="941">
        <v>54850.5</v>
      </c>
      <c r="W35" s="941">
        <f t="shared" si="10"/>
        <v>122744</v>
      </c>
    </row>
    <row r="36" spans="1:23" ht="15" customHeight="1" x14ac:dyDescent="0.25">
      <c r="A36" s="680" t="s">
        <v>80</v>
      </c>
      <c r="B36" s="685" t="s">
        <v>81</v>
      </c>
      <c r="C36" s="852" t="s">
        <v>266</v>
      </c>
      <c r="D36" s="947">
        <f t="shared" si="1"/>
        <v>86095.95</v>
      </c>
      <c r="E36" s="947">
        <f t="shared" si="2"/>
        <v>0</v>
      </c>
      <c r="F36" s="947">
        <f t="shared" si="3"/>
        <v>86095.95</v>
      </c>
      <c r="G36" s="949">
        <f t="shared" si="4"/>
        <v>0</v>
      </c>
      <c r="H36" s="949">
        <f t="shared" si="5"/>
        <v>139112.1</v>
      </c>
      <c r="I36" s="1200">
        <f t="shared" si="6"/>
        <v>311304</v>
      </c>
      <c r="J36" s="948">
        <f t="shared" si="7"/>
        <v>139112.1</v>
      </c>
      <c r="K36" s="1200">
        <f t="shared" si="8"/>
        <v>225208.05</v>
      </c>
      <c r="L36" s="951"/>
      <c r="M36" s="941"/>
      <c r="N36" s="941"/>
      <c r="O36" s="941"/>
      <c r="P36" s="941"/>
      <c r="Q36" s="939">
        <f t="shared" si="9"/>
        <v>0</v>
      </c>
      <c r="R36" s="940">
        <v>86095.95</v>
      </c>
      <c r="S36" s="941">
        <v>0</v>
      </c>
      <c r="T36" s="941">
        <v>86095.95</v>
      </c>
      <c r="U36" s="941">
        <v>0</v>
      </c>
      <c r="V36" s="941">
        <v>139112.1</v>
      </c>
      <c r="W36" s="941">
        <f t="shared" si="10"/>
        <v>311304</v>
      </c>
    </row>
    <row r="37" spans="1:23" ht="15" customHeight="1" x14ac:dyDescent="0.25">
      <c r="A37" s="680" t="s">
        <v>84</v>
      </c>
      <c r="B37" s="685" t="s">
        <v>308</v>
      </c>
      <c r="C37" s="852" t="s">
        <v>265</v>
      </c>
      <c r="D37" s="947">
        <f t="shared" ref="D37:D68" si="11">L37+R37</f>
        <v>100890.26</v>
      </c>
      <c r="E37" s="947">
        <f t="shared" ref="E37:E68" si="12">M37+S37</f>
        <v>0</v>
      </c>
      <c r="F37" s="947">
        <f t="shared" ref="F37:F68" si="13">N37+T37</f>
        <v>100890.26</v>
      </c>
      <c r="G37" s="949">
        <f t="shared" ref="G37:G68" si="14">O37+U37</f>
        <v>0</v>
      </c>
      <c r="H37" s="949">
        <f t="shared" ref="H37:H68" si="15">P37+V37</f>
        <v>163016.47999999998</v>
      </c>
      <c r="I37" s="1200">
        <f t="shared" ref="I37:I68" si="16">SUM(D37:H37)</f>
        <v>364797</v>
      </c>
      <c r="J37" s="948">
        <f t="shared" ref="J37:J68" si="17">G37+H37</f>
        <v>163016.47999999998</v>
      </c>
      <c r="K37" s="1200">
        <f t="shared" ref="K37:K68" si="18">F37+J37</f>
        <v>263906.74</v>
      </c>
      <c r="L37" s="951"/>
      <c r="M37" s="941"/>
      <c r="N37" s="941"/>
      <c r="O37" s="941"/>
      <c r="P37" s="941"/>
      <c r="Q37" s="939">
        <f t="shared" ref="Q37:Q68" si="19">SUM(L37:P37)</f>
        <v>0</v>
      </c>
      <c r="R37" s="940">
        <v>100890.26</v>
      </c>
      <c r="S37" s="941">
        <v>0</v>
      </c>
      <c r="T37" s="941">
        <v>100890.26</v>
      </c>
      <c r="U37" s="941">
        <v>0</v>
      </c>
      <c r="V37" s="941">
        <v>163016.47999999998</v>
      </c>
      <c r="W37" s="941">
        <f t="shared" ref="W37:W68" si="20">SUM(R37:V37)</f>
        <v>364797</v>
      </c>
    </row>
    <row r="38" spans="1:23" ht="15" customHeight="1" x14ac:dyDescent="0.25">
      <c r="A38" s="680" t="s">
        <v>86</v>
      </c>
      <c r="B38" s="685" t="s">
        <v>87</v>
      </c>
      <c r="C38" s="852" t="s">
        <v>267</v>
      </c>
      <c r="D38" s="947">
        <f t="shared" si="11"/>
        <v>91929</v>
      </c>
      <c r="E38" s="947">
        <f t="shared" si="12"/>
        <v>0</v>
      </c>
      <c r="F38" s="947">
        <f t="shared" si="13"/>
        <v>91929</v>
      </c>
      <c r="G38" s="949">
        <f t="shared" si="14"/>
        <v>0</v>
      </c>
      <c r="H38" s="949">
        <f t="shared" si="15"/>
        <v>148536.99999999997</v>
      </c>
      <c r="I38" s="1200">
        <f t="shared" si="16"/>
        <v>332395</v>
      </c>
      <c r="J38" s="948">
        <f t="shared" si="17"/>
        <v>148536.99999999997</v>
      </c>
      <c r="K38" s="1200">
        <f t="shared" si="18"/>
        <v>240465.99999999997</v>
      </c>
      <c r="L38" s="951"/>
      <c r="M38" s="941"/>
      <c r="N38" s="941"/>
      <c r="O38" s="941"/>
      <c r="P38" s="941"/>
      <c r="Q38" s="939">
        <f t="shared" si="19"/>
        <v>0</v>
      </c>
      <c r="R38" s="940">
        <v>91929</v>
      </c>
      <c r="S38" s="941">
        <v>0</v>
      </c>
      <c r="T38" s="941">
        <v>91929</v>
      </c>
      <c r="U38" s="941">
        <v>0</v>
      </c>
      <c r="V38" s="941">
        <v>148536.99999999997</v>
      </c>
      <c r="W38" s="941">
        <f t="shared" si="20"/>
        <v>332395</v>
      </c>
    </row>
    <row r="39" spans="1:23" ht="15" customHeight="1" x14ac:dyDescent="0.25">
      <c r="A39" s="680" t="s">
        <v>92</v>
      </c>
      <c r="B39" s="685" t="s">
        <v>93</v>
      </c>
      <c r="C39" s="852" t="s">
        <v>268</v>
      </c>
      <c r="D39" s="947">
        <f t="shared" si="11"/>
        <v>29562.36</v>
      </c>
      <c r="E39" s="947">
        <f t="shared" si="12"/>
        <v>0</v>
      </c>
      <c r="F39" s="947">
        <f t="shared" si="13"/>
        <v>29562.36</v>
      </c>
      <c r="G39" s="949">
        <f t="shared" si="14"/>
        <v>0</v>
      </c>
      <c r="H39" s="949">
        <f t="shared" si="15"/>
        <v>47766.279999999992</v>
      </c>
      <c r="I39" s="1200">
        <f t="shared" si="16"/>
        <v>106891</v>
      </c>
      <c r="J39" s="948">
        <f t="shared" si="17"/>
        <v>47766.279999999992</v>
      </c>
      <c r="K39" s="1200">
        <f t="shared" si="18"/>
        <v>77328.639999999985</v>
      </c>
      <c r="L39" s="951"/>
      <c r="M39" s="941"/>
      <c r="N39" s="941"/>
      <c r="O39" s="941"/>
      <c r="P39" s="941"/>
      <c r="Q39" s="939">
        <f t="shared" si="19"/>
        <v>0</v>
      </c>
      <c r="R39" s="940">
        <v>29562.36</v>
      </c>
      <c r="S39" s="941">
        <v>0</v>
      </c>
      <c r="T39" s="941">
        <v>29562.36</v>
      </c>
      <c r="U39" s="941">
        <v>0</v>
      </c>
      <c r="V39" s="941">
        <v>47766.279999999992</v>
      </c>
      <c r="W39" s="941">
        <f t="shared" si="20"/>
        <v>106891</v>
      </c>
    </row>
    <row r="40" spans="1:23" ht="15" customHeight="1" x14ac:dyDescent="0.25">
      <c r="A40" s="680" t="s">
        <v>94</v>
      </c>
      <c r="B40" s="685" t="s">
        <v>95</v>
      </c>
      <c r="C40" s="852" t="s">
        <v>264</v>
      </c>
      <c r="D40" s="947">
        <f t="shared" si="11"/>
        <v>105711.63</v>
      </c>
      <c r="E40" s="947">
        <f t="shared" si="12"/>
        <v>0</v>
      </c>
      <c r="F40" s="947">
        <f t="shared" si="13"/>
        <v>105711.63</v>
      </c>
      <c r="G40" s="949">
        <f t="shared" si="14"/>
        <v>2563.64</v>
      </c>
      <c r="H40" s="949">
        <f t="shared" si="15"/>
        <v>170806.74</v>
      </c>
      <c r="I40" s="1200">
        <f t="shared" si="16"/>
        <v>384793.64</v>
      </c>
      <c r="J40" s="948">
        <f t="shared" si="17"/>
        <v>173370.38</v>
      </c>
      <c r="K40" s="1200">
        <f t="shared" si="18"/>
        <v>279082.01</v>
      </c>
      <c r="L40" s="950">
        <v>0</v>
      </c>
      <c r="M40" s="938">
        <v>0</v>
      </c>
      <c r="N40" s="938">
        <v>0</v>
      </c>
      <c r="O40" s="938">
        <v>2563.64</v>
      </c>
      <c r="P40" s="938">
        <v>0</v>
      </c>
      <c r="Q40" s="939">
        <f t="shared" si="19"/>
        <v>2563.64</v>
      </c>
      <c r="R40" s="940">
        <v>105711.63</v>
      </c>
      <c r="S40" s="941">
        <v>0</v>
      </c>
      <c r="T40" s="941">
        <v>105711.63</v>
      </c>
      <c r="U40" s="941">
        <v>0</v>
      </c>
      <c r="V40" s="941">
        <v>170806.74</v>
      </c>
      <c r="W40" s="941">
        <f t="shared" si="20"/>
        <v>382230</v>
      </c>
    </row>
    <row r="41" spans="1:23" ht="15" customHeight="1" x14ac:dyDescent="0.25">
      <c r="A41" s="680" t="s">
        <v>96</v>
      </c>
      <c r="B41" s="685" t="s">
        <v>97</v>
      </c>
      <c r="C41" s="852" t="s">
        <v>266</v>
      </c>
      <c r="D41" s="947">
        <f t="shared" si="11"/>
        <v>85774.3</v>
      </c>
      <c r="E41" s="947">
        <f t="shared" si="12"/>
        <v>0</v>
      </c>
      <c r="F41" s="947">
        <f t="shared" si="13"/>
        <v>85774.3</v>
      </c>
      <c r="G41" s="949">
        <f t="shared" si="14"/>
        <v>0</v>
      </c>
      <c r="H41" s="949">
        <f t="shared" si="15"/>
        <v>138592.40000000002</v>
      </c>
      <c r="I41" s="1200">
        <f t="shared" si="16"/>
        <v>310141</v>
      </c>
      <c r="J41" s="948">
        <f t="shared" si="17"/>
        <v>138592.40000000002</v>
      </c>
      <c r="K41" s="1200">
        <f t="shared" si="18"/>
        <v>224366.7</v>
      </c>
      <c r="L41" s="950"/>
      <c r="M41" s="938"/>
      <c r="N41" s="938"/>
      <c r="O41" s="938"/>
      <c r="P41" s="938"/>
      <c r="Q41" s="939">
        <f t="shared" si="19"/>
        <v>0</v>
      </c>
      <c r="R41" s="940">
        <v>85774.3</v>
      </c>
      <c r="S41" s="941">
        <v>0</v>
      </c>
      <c r="T41" s="941">
        <v>85774.3</v>
      </c>
      <c r="U41" s="941">
        <v>0</v>
      </c>
      <c r="V41" s="941">
        <v>138592.40000000002</v>
      </c>
      <c r="W41" s="941">
        <f t="shared" si="20"/>
        <v>310141</v>
      </c>
    </row>
    <row r="42" spans="1:23" ht="15" customHeight="1" x14ac:dyDescent="0.25">
      <c r="A42" s="680" t="s">
        <v>98</v>
      </c>
      <c r="B42" s="685" t="s">
        <v>99</v>
      </c>
      <c r="C42" s="852" t="s">
        <v>268</v>
      </c>
      <c r="D42" s="947">
        <f t="shared" si="11"/>
        <v>70881.81</v>
      </c>
      <c r="E42" s="947">
        <f t="shared" si="12"/>
        <v>0</v>
      </c>
      <c r="F42" s="947">
        <f t="shared" si="13"/>
        <v>70881.81</v>
      </c>
      <c r="G42" s="949">
        <f t="shared" si="14"/>
        <v>0</v>
      </c>
      <c r="H42" s="949">
        <f t="shared" si="15"/>
        <v>114529.37999999998</v>
      </c>
      <c r="I42" s="1200">
        <f t="shared" si="16"/>
        <v>256292.99999999997</v>
      </c>
      <c r="J42" s="948">
        <f t="shared" si="17"/>
        <v>114529.37999999998</v>
      </c>
      <c r="K42" s="1200">
        <f t="shared" si="18"/>
        <v>185411.18999999997</v>
      </c>
      <c r="L42" s="951"/>
      <c r="M42" s="941"/>
      <c r="N42" s="941"/>
      <c r="O42" s="941"/>
      <c r="P42" s="941"/>
      <c r="Q42" s="939">
        <f t="shared" si="19"/>
        <v>0</v>
      </c>
      <c r="R42" s="940">
        <v>70881.81</v>
      </c>
      <c r="S42" s="941">
        <v>0</v>
      </c>
      <c r="T42" s="941">
        <v>70881.81</v>
      </c>
      <c r="U42" s="941">
        <v>0</v>
      </c>
      <c r="V42" s="941">
        <v>114529.37999999998</v>
      </c>
      <c r="W42" s="941">
        <f t="shared" si="20"/>
        <v>256292.99999999997</v>
      </c>
    </row>
    <row r="43" spans="1:23" ht="15" customHeight="1" x14ac:dyDescent="0.25">
      <c r="A43" s="680" t="s">
        <v>100</v>
      </c>
      <c r="B43" s="685" t="s">
        <v>101</v>
      </c>
      <c r="C43" s="852" t="s">
        <v>267</v>
      </c>
      <c r="D43" s="947">
        <f t="shared" si="11"/>
        <v>35355.03</v>
      </c>
      <c r="E43" s="947">
        <f t="shared" si="12"/>
        <v>0</v>
      </c>
      <c r="F43" s="947">
        <f t="shared" si="13"/>
        <v>35355.03</v>
      </c>
      <c r="G43" s="949">
        <f t="shared" si="14"/>
        <v>0</v>
      </c>
      <c r="H43" s="949">
        <f t="shared" si="15"/>
        <v>57125.94</v>
      </c>
      <c r="I43" s="1200">
        <f t="shared" si="16"/>
        <v>127836</v>
      </c>
      <c r="J43" s="948">
        <f t="shared" si="17"/>
        <v>57125.94</v>
      </c>
      <c r="K43" s="1200">
        <f t="shared" si="18"/>
        <v>92480.97</v>
      </c>
      <c r="L43" s="950"/>
      <c r="M43" s="938"/>
      <c r="N43" s="938"/>
      <c r="O43" s="938"/>
      <c r="P43" s="938"/>
      <c r="Q43" s="939">
        <f t="shared" si="19"/>
        <v>0</v>
      </c>
      <c r="R43" s="940">
        <v>35355.03</v>
      </c>
      <c r="S43" s="941">
        <v>0</v>
      </c>
      <c r="T43" s="941">
        <v>35355.03</v>
      </c>
      <c r="U43" s="941">
        <v>0</v>
      </c>
      <c r="V43" s="941">
        <v>57125.94</v>
      </c>
      <c r="W43" s="941">
        <f t="shared" si="20"/>
        <v>127836</v>
      </c>
    </row>
    <row r="44" spans="1:23" ht="15" customHeight="1" x14ac:dyDescent="0.25">
      <c r="A44" s="680" t="s">
        <v>102</v>
      </c>
      <c r="B44" s="685" t="s">
        <v>103</v>
      </c>
      <c r="C44" s="852" t="s">
        <v>264</v>
      </c>
      <c r="D44" s="947">
        <f t="shared" si="11"/>
        <v>43195.38</v>
      </c>
      <c r="E44" s="947">
        <f t="shared" si="12"/>
        <v>0</v>
      </c>
      <c r="F44" s="947">
        <f t="shared" si="13"/>
        <v>43195.38</v>
      </c>
      <c r="G44" s="949">
        <f t="shared" si="14"/>
        <v>0</v>
      </c>
      <c r="H44" s="949">
        <f t="shared" si="15"/>
        <v>69794.239999999991</v>
      </c>
      <c r="I44" s="1200">
        <f t="shared" si="16"/>
        <v>156185</v>
      </c>
      <c r="J44" s="948">
        <f t="shared" si="17"/>
        <v>69794.239999999991</v>
      </c>
      <c r="K44" s="1200">
        <f t="shared" si="18"/>
        <v>112989.62</v>
      </c>
      <c r="L44" s="951"/>
      <c r="M44" s="941"/>
      <c r="N44" s="941"/>
      <c r="O44" s="941"/>
      <c r="P44" s="941"/>
      <c r="Q44" s="939">
        <f t="shared" si="19"/>
        <v>0</v>
      </c>
      <c r="R44" s="940">
        <v>43195.38</v>
      </c>
      <c r="S44" s="941">
        <v>0</v>
      </c>
      <c r="T44" s="941">
        <v>43195.38</v>
      </c>
      <c r="U44" s="941">
        <v>0</v>
      </c>
      <c r="V44" s="941">
        <v>69794.239999999991</v>
      </c>
      <c r="W44" s="941">
        <f t="shared" si="20"/>
        <v>156185</v>
      </c>
    </row>
    <row r="45" spans="1:23" ht="15" customHeight="1" x14ac:dyDescent="0.25">
      <c r="A45" s="680" t="s">
        <v>104</v>
      </c>
      <c r="B45" s="685" t="s">
        <v>309</v>
      </c>
      <c r="C45" s="852" t="s">
        <v>265</v>
      </c>
      <c r="D45" s="947">
        <f t="shared" si="11"/>
        <v>113692.21</v>
      </c>
      <c r="E45" s="947">
        <f t="shared" si="12"/>
        <v>0</v>
      </c>
      <c r="F45" s="947">
        <f t="shared" si="13"/>
        <v>113692.21</v>
      </c>
      <c r="G45" s="949">
        <f t="shared" si="14"/>
        <v>0</v>
      </c>
      <c r="H45" s="949">
        <f t="shared" si="15"/>
        <v>183701.58000000002</v>
      </c>
      <c r="I45" s="1200">
        <f t="shared" si="16"/>
        <v>411086</v>
      </c>
      <c r="J45" s="948">
        <f t="shared" si="17"/>
        <v>183701.58000000002</v>
      </c>
      <c r="K45" s="1200">
        <f t="shared" si="18"/>
        <v>297393.79000000004</v>
      </c>
      <c r="L45" s="951"/>
      <c r="M45" s="941"/>
      <c r="N45" s="941"/>
      <c r="O45" s="941"/>
      <c r="P45" s="941"/>
      <c r="Q45" s="939">
        <f t="shared" si="19"/>
        <v>0</v>
      </c>
      <c r="R45" s="940">
        <v>113692.21</v>
      </c>
      <c r="S45" s="941">
        <v>0</v>
      </c>
      <c r="T45" s="941">
        <v>113692.21</v>
      </c>
      <c r="U45" s="941">
        <v>0</v>
      </c>
      <c r="V45" s="941">
        <v>183701.58000000002</v>
      </c>
      <c r="W45" s="941">
        <f t="shared" si="20"/>
        <v>411086</v>
      </c>
    </row>
    <row r="46" spans="1:23" ht="15" customHeight="1" x14ac:dyDescent="0.25">
      <c r="A46" s="680" t="s">
        <v>108</v>
      </c>
      <c r="B46" s="685" t="s">
        <v>109</v>
      </c>
      <c r="C46" s="852" t="s">
        <v>266</v>
      </c>
      <c r="D46" s="947">
        <f t="shared" si="11"/>
        <v>183926.28</v>
      </c>
      <c r="E46" s="947">
        <f t="shared" si="12"/>
        <v>0</v>
      </c>
      <c r="F46" s="947">
        <f t="shared" si="13"/>
        <v>183926.28</v>
      </c>
      <c r="G46" s="949">
        <f t="shared" si="14"/>
        <v>0</v>
      </c>
      <c r="H46" s="949">
        <f t="shared" si="15"/>
        <v>297184.44</v>
      </c>
      <c r="I46" s="1200">
        <f t="shared" si="16"/>
        <v>665037</v>
      </c>
      <c r="J46" s="948">
        <f t="shared" si="17"/>
        <v>297184.44</v>
      </c>
      <c r="K46" s="1200">
        <f t="shared" si="18"/>
        <v>481110.72</v>
      </c>
      <c r="L46" s="951"/>
      <c r="M46" s="941"/>
      <c r="N46" s="941"/>
      <c r="O46" s="941"/>
      <c r="P46" s="941"/>
      <c r="Q46" s="939">
        <f t="shared" si="19"/>
        <v>0</v>
      </c>
      <c r="R46" s="940">
        <v>183926.28</v>
      </c>
      <c r="S46" s="941">
        <v>0</v>
      </c>
      <c r="T46" s="941">
        <v>183926.28</v>
      </c>
      <c r="U46" s="941">
        <v>0</v>
      </c>
      <c r="V46" s="941">
        <v>297184.44</v>
      </c>
      <c r="W46" s="941">
        <f t="shared" si="20"/>
        <v>665037</v>
      </c>
    </row>
    <row r="47" spans="1:23" ht="15" customHeight="1" x14ac:dyDescent="0.25">
      <c r="A47" s="680" t="s">
        <v>110</v>
      </c>
      <c r="B47" s="685" t="s">
        <v>111</v>
      </c>
      <c r="C47" s="852" t="s">
        <v>266</v>
      </c>
      <c r="D47" s="947">
        <f t="shared" si="11"/>
        <v>438148.06</v>
      </c>
      <c r="E47" s="947">
        <f t="shared" si="12"/>
        <v>0</v>
      </c>
      <c r="F47" s="947">
        <f t="shared" si="13"/>
        <v>438148.06</v>
      </c>
      <c r="G47" s="949">
        <f t="shared" si="14"/>
        <v>64113.48</v>
      </c>
      <c r="H47" s="949">
        <f t="shared" si="15"/>
        <v>707950.88</v>
      </c>
      <c r="I47" s="1200">
        <f t="shared" si="16"/>
        <v>1648360.48</v>
      </c>
      <c r="J47" s="948">
        <f t="shared" si="17"/>
        <v>772064.36</v>
      </c>
      <c r="K47" s="1200">
        <f t="shared" si="18"/>
        <v>1210212.42</v>
      </c>
      <c r="L47" s="950">
        <v>0</v>
      </c>
      <c r="M47" s="938">
        <v>0</v>
      </c>
      <c r="N47" s="938">
        <v>0</v>
      </c>
      <c r="O47" s="938">
        <v>64113.48</v>
      </c>
      <c r="P47" s="938">
        <v>0</v>
      </c>
      <c r="Q47" s="939">
        <f t="shared" si="19"/>
        <v>64113.48</v>
      </c>
      <c r="R47" s="940">
        <v>438148.06</v>
      </c>
      <c r="S47" s="941">
        <v>0</v>
      </c>
      <c r="T47" s="941">
        <v>438148.06</v>
      </c>
      <c r="U47" s="941">
        <v>0</v>
      </c>
      <c r="V47" s="941">
        <v>707950.88</v>
      </c>
      <c r="W47" s="941">
        <f t="shared" si="20"/>
        <v>1584247</v>
      </c>
    </row>
    <row r="48" spans="1:23" ht="15" customHeight="1" x14ac:dyDescent="0.25">
      <c r="A48" s="680" t="s">
        <v>112</v>
      </c>
      <c r="B48" s="685" t="s">
        <v>300</v>
      </c>
      <c r="C48" s="852" t="s">
        <v>265</v>
      </c>
      <c r="D48" s="947">
        <f t="shared" si="11"/>
        <v>31526.26</v>
      </c>
      <c r="E48" s="947">
        <f t="shared" si="12"/>
        <v>0</v>
      </c>
      <c r="F48" s="947">
        <f t="shared" si="13"/>
        <v>31526.26</v>
      </c>
      <c r="G48" s="949">
        <f t="shared" si="14"/>
        <v>47724.3</v>
      </c>
      <c r="H48" s="949">
        <f t="shared" si="15"/>
        <v>50939.479999999996</v>
      </c>
      <c r="I48" s="1200">
        <f t="shared" si="16"/>
        <v>161716.29999999999</v>
      </c>
      <c r="J48" s="948">
        <f t="shared" si="17"/>
        <v>98663.78</v>
      </c>
      <c r="K48" s="1200">
        <f t="shared" si="18"/>
        <v>130190.04</v>
      </c>
      <c r="L48" s="950">
        <v>0</v>
      </c>
      <c r="M48" s="938">
        <v>0</v>
      </c>
      <c r="N48" s="938">
        <v>0</v>
      </c>
      <c r="O48" s="938">
        <v>47724.3</v>
      </c>
      <c r="P48" s="938">
        <v>0</v>
      </c>
      <c r="Q48" s="939">
        <f t="shared" si="19"/>
        <v>47724.3</v>
      </c>
      <c r="R48" s="940">
        <v>31526.26</v>
      </c>
      <c r="S48" s="941">
        <v>0</v>
      </c>
      <c r="T48" s="941">
        <v>31526.26</v>
      </c>
      <c r="U48" s="941">
        <v>0</v>
      </c>
      <c r="V48" s="941">
        <v>50939.479999999996</v>
      </c>
      <c r="W48" s="941">
        <f t="shared" si="20"/>
        <v>113992</v>
      </c>
    </row>
    <row r="49" spans="1:23" ht="15" customHeight="1" x14ac:dyDescent="0.25">
      <c r="A49" s="680" t="s">
        <v>114</v>
      </c>
      <c r="B49" s="685" t="s">
        <v>115</v>
      </c>
      <c r="C49" s="852" t="s">
        <v>265</v>
      </c>
      <c r="D49" s="947">
        <f t="shared" si="11"/>
        <v>20153.599999999999</v>
      </c>
      <c r="E49" s="947">
        <f t="shared" si="12"/>
        <v>0</v>
      </c>
      <c r="F49" s="947">
        <f t="shared" si="13"/>
        <v>20153.599999999999</v>
      </c>
      <c r="G49" s="949">
        <f t="shared" si="14"/>
        <v>0</v>
      </c>
      <c r="H49" s="949">
        <f t="shared" si="15"/>
        <v>32563.800000000003</v>
      </c>
      <c r="I49" s="1200">
        <f t="shared" si="16"/>
        <v>72871</v>
      </c>
      <c r="J49" s="948">
        <f t="shared" si="17"/>
        <v>32563.800000000003</v>
      </c>
      <c r="K49" s="1200">
        <f t="shared" si="18"/>
        <v>52717.4</v>
      </c>
      <c r="L49" s="950"/>
      <c r="M49" s="938"/>
      <c r="N49" s="938"/>
      <c r="O49" s="938"/>
      <c r="P49" s="938"/>
      <c r="Q49" s="939">
        <f t="shared" si="19"/>
        <v>0</v>
      </c>
      <c r="R49" s="940">
        <v>20153.599999999999</v>
      </c>
      <c r="S49" s="941">
        <v>0</v>
      </c>
      <c r="T49" s="941">
        <v>20153.599999999999</v>
      </c>
      <c r="U49" s="941">
        <v>0</v>
      </c>
      <c r="V49" s="941">
        <v>32563.800000000003</v>
      </c>
      <c r="W49" s="941">
        <f t="shared" si="20"/>
        <v>72871</v>
      </c>
    </row>
    <row r="50" spans="1:23" ht="15" customHeight="1" x14ac:dyDescent="0.25">
      <c r="A50" s="680" t="s">
        <v>118</v>
      </c>
      <c r="B50" s="685" t="s">
        <v>119</v>
      </c>
      <c r="C50" s="852" t="s">
        <v>264</v>
      </c>
      <c r="D50" s="947">
        <f t="shared" si="11"/>
        <v>104964.92</v>
      </c>
      <c r="E50" s="947">
        <f t="shared" si="12"/>
        <v>0</v>
      </c>
      <c r="F50" s="947">
        <f t="shared" si="13"/>
        <v>104964.92</v>
      </c>
      <c r="G50" s="949">
        <f t="shared" si="14"/>
        <v>0</v>
      </c>
      <c r="H50" s="949">
        <f t="shared" si="15"/>
        <v>169600.15999999997</v>
      </c>
      <c r="I50" s="1200">
        <f t="shared" si="16"/>
        <v>379530</v>
      </c>
      <c r="J50" s="948">
        <f t="shared" si="17"/>
        <v>169600.15999999997</v>
      </c>
      <c r="K50" s="1200">
        <f t="shared" si="18"/>
        <v>274565.07999999996</v>
      </c>
      <c r="L50" s="951"/>
      <c r="M50" s="941"/>
      <c r="N50" s="941"/>
      <c r="O50" s="941"/>
      <c r="P50" s="941"/>
      <c r="Q50" s="939">
        <f t="shared" si="19"/>
        <v>0</v>
      </c>
      <c r="R50" s="940">
        <v>104964.92</v>
      </c>
      <c r="S50" s="941">
        <v>0</v>
      </c>
      <c r="T50" s="941">
        <v>104964.92</v>
      </c>
      <c r="U50" s="941">
        <v>0</v>
      </c>
      <c r="V50" s="941">
        <v>169600.15999999997</v>
      </c>
      <c r="W50" s="941">
        <f t="shared" si="20"/>
        <v>379530</v>
      </c>
    </row>
    <row r="51" spans="1:23" ht="15" customHeight="1" x14ac:dyDescent="0.25">
      <c r="A51" s="680" t="s">
        <v>120</v>
      </c>
      <c r="B51" s="685" t="s">
        <v>121</v>
      </c>
      <c r="C51" s="852" t="s">
        <v>264</v>
      </c>
      <c r="D51" s="947">
        <f t="shared" si="11"/>
        <v>180573.5</v>
      </c>
      <c r="E51" s="947">
        <f t="shared" si="12"/>
        <v>0</v>
      </c>
      <c r="F51" s="947">
        <f t="shared" si="13"/>
        <v>180573.5</v>
      </c>
      <c r="G51" s="949">
        <f t="shared" si="14"/>
        <v>18982.53</v>
      </c>
      <c r="H51" s="949">
        <f t="shared" si="15"/>
        <v>291767</v>
      </c>
      <c r="I51" s="1200">
        <f t="shared" si="16"/>
        <v>671896.53</v>
      </c>
      <c r="J51" s="948">
        <f t="shared" si="17"/>
        <v>310749.53000000003</v>
      </c>
      <c r="K51" s="1200">
        <f t="shared" si="18"/>
        <v>491323.03</v>
      </c>
      <c r="L51" s="950">
        <v>0</v>
      </c>
      <c r="M51" s="938">
        <v>0</v>
      </c>
      <c r="N51" s="938">
        <v>0</v>
      </c>
      <c r="O51" s="938">
        <v>18982.53</v>
      </c>
      <c r="P51" s="938">
        <v>0</v>
      </c>
      <c r="Q51" s="939">
        <f t="shared" si="19"/>
        <v>18982.53</v>
      </c>
      <c r="R51" s="940">
        <v>180573.5</v>
      </c>
      <c r="S51" s="941">
        <v>0</v>
      </c>
      <c r="T51" s="941">
        <v>180573.5</v>
      </c>
      <c r="U51" s="941">
        <v>0</v>
      </c>
      <c r="V51" s="941">
        <v>291767</v>
      </c>
      <c r="W51" s="941">
        <f t="shared" si="20"/>
        <v>652914</v>
      </c>
    </row>
    <row r="52" spans="1:23" ht="15" customHeight="1" x14ac:dyDescent="0.25">
      <c r="A52" s="680" t="s">
        <v>122</v>
      </c>
      <c r="B52" s="685" t="s">
        <v>271</v>
      </c>
      <c r="C52" s="852" t="s">
        <v>266</v>
      </c>
      <c r="D52" s="947">
        <f t="shared" si="11"/>
        <v>46953.91</v>
      </c>
      <c r="E52" s="947">
        <f t="shared" si="12"/>
        <v>0</v>
      </c>
      <c r="F52" s="947">
        <f t="shared" si="13"/>
        <v>46953.91</v>
      </c>
      <c r="G52" s="949">
        <f t="shared" si="14"/>
        <v>0</v>
      </c>
      <c r="H52" s="949">
        <f t="shared" si="15"/>
        <v>75867.179999999993</v>
      </c>
      <c r="I52" s="1200">
        <f t="shared" si="16"/>
        <v>169775</v>
      </c>
      <c r="J52" s="948">
        <f t="shared" si="17"/>
        <v>75867.179999999993</v>
      </c>
      <c r="K52" s="1200">
        <f t="shared" si="18"/>
        <v>122821.09</v>
      </c>
      <c r="L52" s="951"/>
      <c r="M52" s="941"/>
      <c r="N52" s="941"/>
      <c r="O52" s="941"/>
      <c r="P52" s="941"/>
      <c r="Q52" s="939">
        <f t="shared" si="19"/>
        <v>0</v>
      </c>
      <c r="R52" s="940">
        <v>46953.91</v>
      </c>
      <c r="S52" s="941">
        <v>0</v>
      </c>
      <c r="T52" s="941">
        <v>46953.91</v>
      </c>
      <c r="U52" s="941">
        <v>0</v>
      </c>
      <c r="V52" s="941">
        <v>75867.179999999993</v>
      </c>
      <c r="W52" s="941">
        <f t="shared" si="20"/>
        <v>169775</v>
      </c>
    </row>
    <row r="53" spans="1:23" ht="15" customHeight="1" x14ac:dyDescent="0.25">
      <c r="A53" s="680" t="s">
        <v>124</v>
      </c>
      <c r="B53" s="685" t="s">
        <v>125</v>
      </c>
      <c r="C53" s="852" t="s">
        <v>267</v>
      </c>
      <c r="D53" s="947">
        <f t="shared" si="11"/>
        <v>24682.09</v>
      </c>
      <c r="E53" s="947">
        <f t="shared" si="12"/>
        <v>0</v>
      </c>
      <c r="F53" s="947">
        <f t="shared" si="13"/>
        <v>24682.09</v>
      </c>
      <c r="G53" s="949">
        <f t="shared" si="14"/>
        <v>0</v>
      </c>
      <c r="H53" s="949">
        <f t="shared" si="15"/>
        <v>39880.82</v>
      </c>
      <c r="I53" s="1200">
        <f t="shared" si="16"/>
        <v>89245</v>
      </c>
      <c r="J53" s="948">
        <f t="shared" si="17"/>
        <v>39880.82</v>
      </c>
      <c r="K53" s="1200">
        <f t="shared" si="18"/>
        <v>64562.91</v>
      </c>
      <c r="L53" s="950"/>
      <c r="M53" s="938"/>
      <c r="N53" s="938"/>
      <c r="O53" s="938"/>
      <c r="P53" s="938"/>
      <c r="Q53" s="939">
        <f t="shared" si="19"/>
        <v>0</v>
      </c>
      <c r="R53" s="940">
        <v>24682.09</v>
      </c>
      <c r="S53" s="941">
        <v>0</v>
      </c>
      <c r="T53" s="941">
        <v>24682.09</v>
      </c>
      <c r="U53" s="941">
        <v>0</v>
      </c>
      <c r="V53" s="941">
        <v>39880.82</v>
      </c>
      <c r="W53" s="941">
        <f t="shared" si="20"/>
        <v>89245</v>
      </c>
    </row>
    <row r="54" spans="1:23" ht="15" customHeight="1" x14ac:dyDescent="0.25">
      <c r="A54" s="680" t="s">
        <v>126</v>
      </c>
      <c r="B54" s="685" t="s">
        <v>127</v>
      </c>
      <c r="C54" s="852" t="s">
        <v>266</v>
      </c>
      <c r="D54" s="947">
        <f t="shared" si="11"/>
        <v>35071.83</v>
      </c>
      <c r="E54" s="947">
        <f t="shared" si="12"/>
        <v>0</v>
      </c>
      <c r="F54" s="947">
        <f t="shared" si="13"/>
        <v>35071.83</v>
      </c>
      <c r="G54" s="949">
        <f t="shared" si="14"/>
        <v>0</v>
      </c>
      <c r="H54" s="949">
        <f t="shared" si="15"/>
        <v>56668.34</v>
      </c>
      <c r="I54" s="1200">
        <f t="shared" si="16"/>
        <v>126812</v>
      </c>
      <c r="J54" s="948">
        <f t="shared" si="17"/>
        <v>56668.34</v>
      </c>
      <c r="K54" s="1200">
        <f t="shared" si="18"/>
        <v>91740.17</v>
      </c>
      <c r="L54" s="950"/>
      <c r="M54" s="938"/>
      <c r="N54" s="938"/>
      <c r="O54" s="938"/>
      <c r="P54" s="938"/>
      <c r="Q54" s="939">
        <f t="shared" si="19"/>
        <v>0</v>
      </c>
      <c r="R54" s="940">
        <v>35071.83</v>
      </c>
      <c r="S54" s="941">
        <v>0</v>
      </c>
      <c r="T54" s="941">
        <v>35071.83</v>
      </c>
      <c r="U54" s="941">
        <v>0</v>
      </c>
      <c r="V54" s="941">
        <v>56668.34</v>
      </c>
      <c r="W54" s="941">
        <f t="shared" si="20"/>
        <v>126812</v>
      </c>
    </row>
    <row r="55" spans="1:23" ht="15" customHeight="1" x14ac:dyDescent="0.25">
      <c r="A55" s="680" t="s">
        <v>128</v>
      </c>
      <c r="B55" s="685" t="s">
        <v>129</v>
      </c>
      <c r="C55" s="852" t="s">
        <v>266</v>
      </c>
      <c r="D55" s="947">
        <f t="shared" si="11"/>
        <v>31324.91</v>
      </c>
      <c r="E55" s="947">
        <f t="shared" si="12"/>
        <v>0</v>
      </c>
      <c r="F55" s="947">
        <f t="shared" si="13"/>
        <v>31324.91</v>
      </c>
      <c r="G55" s="949">
        <f t="shared" si="14"/>
        <v>23.42</v>
      </c>
      <c r="H55" s="949">
        <f t="shared" si="15"/>
        <v>50614.180000000008</v>
      </c>
      <c r="I55" s="1200">
        <f t="shared" si="16"/>
        <v>113287.42000000001</v>
      </c>
      <c r="J55" s="948">
        <f t="shared" si="17"/>
        <v>50637.600000000006</v>
      </c>
      <c r="K55" s="1200">
        <f t="shared" si="18"/>
        <v>81962.510000000009</v>
      </c>
      <c r="L55" s="950">
        <v>0</v>
      </c>
      <c r="M55" s="938">
        <v>0</v>
      </c>
      <c r="N55" s="938">
        <v>0</v>
      </c>
      <c r="O55" s="938">
        <v>23.42</v>
      </c>
      <c r="P55" s="938">
        <v>0</v>
      </c>
      <c r="Q55" s="939">
        <f t="shared" si="19"/>
        <v>23.42</v>
      </c>
      <c r="R55" s="940">
        <v>31324.91</v>
      </c>
      <c r="S55" s="941">
        <v>0</v>
      </c>
      <c r="T55" s="941">
        <v>31324.91</v>
      </c>
      <c r="U55" s="941">
        <v>0</v>
      </c>
      <c r="V55" s="941">
        <v>50614.180000000008</v>
      </c>
      <c r="W55" s="941">
        <f t="shared" si="20"/>
        <v>113264</v>
      </c>
    </row>
    <row r="56" spans="1:23" ht="15" customHeight="1" x14ac:dyDescent="0.25">
      <c r="A56" s="680" t="s">
        <v>130</v>
      </c>
      <c r="B56" s="685" t="s">
        <v>131</v>
      </c>
      <c r="C56" s="852" t="s">
        <v>268</v>
      </c>
      <c r="D56" s="947">
        <f t="shared" si="11"/>
        <v>61874.89</v>
      </c>
      <c r="E56" s="947">
        <f t="shared" si="12"/>
        <v>0</v>
      </c>
      <c r="F56" s="947">
        <f t="shared" si="13"/>
        <v>61874.89</v>
      </c>
      <c r="G56" s="949">
        <f t="shared" si="14"/>
        <v>0</v>
      </c>
      <c r="H56" s="949">
        <f t="shared" si="15"/>
        <v>99976.22</v>
      </c>
      <c r="I56" s="1200">
        <f t="shared" si="16"/>
        <v>223726</v>
      </c>
      <c r="J56" s="948">
        <f t="shared" si="17"/>
        <v>99976.22</v>
      </c>
      <c r="K56" s="1200">
        <f t="shared" si="18"/>
        <v>161851.10999999999</v>
      </c>
      <c r="L56" s="951"/>
      <c r="M56" s="941"/>
      <c r="N56" s="941"/>
      <c r="O56" s="941"/>
      <c r="P56" s="941"/>
      <c r="Q56" s="939">
        <f t="shared" si="19"/>
        <v>0</v>
      </c>
      <c r="R56" s="940">
        <v>61874.89</v>
      </c>
      <c r="S56" s="941">
        <v>0</v>
      </c>
      <c r="T56" s="941">
        <v>61874.89</v>
      </c>
      <c r="U56" s="941">
        <v>0</v>
      </c>
      <c r="V56" s="941">
        <v>99976.22</v>
      </c>
      <c r="W56" s="941">
        <f t="shared" si="20"/>
        <v>223726</v>
      </c>
    </row>
    <row r="57" spans="1:23" ht="15" customHeight="1" x14ac:dyDescent="0.25">
      <c r="A57" s="680" t="s">
        <v>132</v>
      </c>
      <c r="B57" s="685" t="s">
        <v>133</v>
      </c>
      <c r="C57" s="852" t="s">
        <v>267</v>
      </c>
      <c r="D57" s="947">
        <f t="shared" si="11"/>
        <v>723970.77</v>
      </c>
      <c r="E57" s="947">
        <f t="shared" si="12"/>
        <v>0</v>
      </c>
      <c r="F57" s="947">
        <f t="shared" si="13"/>
        <v>723970.77</v>
      </c>
      <c r="G57" s="949">
        <f t="shared" si="14"/>
        <v>0</v>
      </c>
      <c r="H57" s="949">
        <f t="shared" si="15"/>
        <v>1169777.4600000002</v>
      </c>
      <c r="I57" s="1200">
        <f t="shared" si="16"/>
        <v>2617719</v>
      </c>
      <c r="J57" s="948">
        <f t="shared" si="17"/>
        <v>1169777.4600000002</v>
      </c>
      <c r="K57" s="1200">
        <f t="shared" si="18"/>
        <v>1893748.2300000002</v>
      </c>
      <c r="L57" s="951"/>
      <c r="M57" s="941"/>
      <c r="N57" s="941"/>
      <c r="O57" s="941"/>
      <c r="P57" s="941"/>
      <c r="Q57" s="939">
        <f t="shared" si="19"/>
        <v>0</v>
      </c>
      <c r="R57" s="940">
        <v>723970.77</v>
      </c>
      <c r="S57" s="941">
        <v>0</v>
      </c>
      <c r="T57" s="941">
        <v>723970.77</v>
      </c>
      <c r="U57" s="941">
        <v>0</v>
      </c>
      <c r="V57" s="941">
        <v>1169777.4600000002</v>
      </c>
      <c r="W57" s="941">
        <f t="shared" si="20"/>
        <v>2617719</v>
      </c>
    </row>
    <row r="58" spans="1:23" ht="15" customHeight="1" x14ac:dyDescent="0.25">
      <c r="A58" s="680" t="s">
        <v>134</v>
      </c>
      <c r="B58" s="685" t="s">
        <v>135</v>
      </c>
      <c r="C58" s="852" t="s">
        <v>267</v>
      </c>
      <c r="D58" s="947">
        <f t="shared" si="11"/>
        <v>73081.600000000006</v>
      </c>
      <c r="E58" s="947">
        <f t="shared" si="12"/>
        <v>0</v>
      </c>
      <c r="F58" s="947">
        <f t="shared" si="13"/>
        <v>73081.600000000006</v>
      </c>
      <c r="G58" s="949">
        <f t="shared" si="14"/>
        <v>2891.83</v>
      </c>
      <c r="H58" s="949">
        <f t="shared" si="15"/>
        <v>118083.79999999999</v>
      </c>
      <c r="I58" s="1200">
        <f t="shared" si="16"/>
        <v>267138.82999999996</v>
      </c>
      <c r="J58" s="948">
        <f t="shared" si="17"/>
        <v>120975.62999999999</v>
      </c>
      <c r="K58" s="1200">
        <f t="shared" si="18"/>
        <v>194057.22999999998</v>
      </c>
      <c r="L58" s="950">
        <v>0</v>
      </c>
      <c r="M58" s="938">
        <v>0</v>
      </c>
      <c r="N58" s="938">
        <v>0</v>
      </c>
      <c r="O58" s="938">
        <v>2891.83</v>
      </c>
      <c r="P58" s="938">
        <v>0</v>
      </c>
      <c r="Q58" s="939">
        <f t="shared" si="19"/>
        <v>2891.83</v>
      </c>
      <c r="R58" s="940">
        <v>73081.600000000006</v>
      </c>
      <c r="S58" s="941">
        <v>0</v>
      </c>
      <c r="T58" s="941">
        <v>73081.600000000006</v>
      </c>
      <c r="U58" s="941">
        <v>0</v>
      </c>
      <c r="V58" s="941">
        <v>118083.79999999999</v>
      </c>
      <c r="W58" s="941">
        <f t="shared" si="20"/>
        <v>264247</v>
      </c>
    </row>
    <row r="59" spans="1:23" ht="15" customHeight="1" x14ac:dyDescent="0.25">
      <c r="A59" s="680" t="s">
        <v>136</v>
      </c>
      <c r="B59" s="685" t="s">
        <v>137</v>
      </c>
      <c r="C59" s="852" t="s">
        <v>266</v>
      </c>
      <c r="D59" s="947">
        <f t="shared" si="11"/>
        <v>34804.93</v>
      </c>
      <c r="E59" s="947">
        <f t="shared" si="12"/>
        <v>0</v>
      </c>
      <c r="F59" s="947">
        <f t="shared" si="13"/>
        <v>34804.93</v>
      </c>
      <c r="G59" s="949">
        <f t="shared" si="14"/>
        <v>0</v>
      </c>
      <c r="H59" s="949">
        <f t="shared" si="15"/>
        <v>56237.140000000014</v>
      </c>
      <c r="I59" s="1200">
        <f t="shared" si="16"/>
        <v>125847.00000000001</v>
      </c>
      <c r="J59" s="948">
        <f t="shared" si="17"/>
        <v>56237.140000000014</v>
      </c>
      <c r="K59" s="1200">
        <f t="shared" si="18"/>
        <v>91042.07</v>
      </c>
      <c r="L59" s="951"/>
      <c r="M59" s="941"/>
      <c r="N59" s="941"/>
      <c r="O59" s="941"/>
      <c r="P59" s="941"/>
      <c r="Q59" s="939">
        <f t="shared" si="19"/>
        <v>0</v>
      </c>
      <c r="R59" s="940">
        <v>34804.93</v>
      </c>
      <c r="S59" s="941">
        <v>0</v>
      </c>
      <c r="T59" s="941">
        <v>34804.93</v>
      </c>
      <c r="U59" s="941">
        <v>0</v>
      </c>
      <c r="V59" s="941">
        <v>56237.140000000014</v>
      </c>
      <c r="W59" s="941">
        <f t="shared" si="20"/>
        <v>125847.00000000001</v>
      </c>
    </row>
    <row r="60" spans="1:23" ht="15" customHeight="1" x14ac:dyDescent="0.25">
      <c r="A60" s="680" t="s">
        <v>140</v>
      </c>
      <c r="B60" s="685" t="s">
        <v>141</v>
      </c>
      <c r="C60" s="852" t="s">
        <v>267</v>
      </c>
      <c r="D60" s="947">
        <f t="shared" si="11"/>
        <v>20863.830000000002</v>
      </c>
      <c r="E60" s="947">
        <f t="shared" si="12"/>
        <v>0</v>
      </c>
      <c r="F60" s="947">
        <f t="shared" si="13"/>
        <v>20863.830000000002</v>
      </c>
      <c r="G60" s="949">
        <f t="shared" si="14"/>
        <v>0</v>
      </c>
      <c r="H60" s="949">
        <f t="shared" si="15"/>
        <v>33711.339999999997</v>
      </c>
      <c r="I60" s="1200">
        <f t="shared" si="16"/>
        <v>75439</v>
      </c>
      <c r="J60" s="948">
        <f t="shared" si="17"/>
        <v>33711.339999999997</v>
      </c>
      <c r="K60" s="1200">
        <f t="shared" si="18"/>
        <v>54575.17</v>
      </c>
      <c r="L60" s="951"/>
      <c r="M60" s="941"/>
      <c r="N60" s="941"/>
      <c r="O60" s="941"/>
      <c r="P60" s="941"/>
      <c r="Q60" s="939">
        <f t="shared" si="19"/>
        <v>0</v>
      </c>
      <c r="R60" s="940">
        <v>20863.830000000002</v>
      </c>
      <c r="S60" s="941">
        <v>0</v>
      </c>
      <c r="T60" s="941">
        <v>20863.830000000002</v>
      </c>
      <c r="U60" s="941">
        <v>0</v>
      </c>
      <c r="V60" s="941">
        <v>33711.339999999997</v>
      </c>
      <c r="W60" s="941">
        <f t="shared" si="20"/>
        <v>75439</v>
      </c>
    </row>
    <row r="61" spans="1:23" ht="15" customHeight="1" x14ac:dyDescent="0.25">
      <c r="A61" s="680" t="s">
        <v>146</v>
      </c>
      <c r="B61" s="685" t="s">
        <v>147</v>
      </c>
      <c r="C61" s="852" t="s">
        <v>264</v>
      </c>
      <c r="D61" s="947">
        <f t="shared" si="11"/>
        <v>41627.53</v>
      </c>
      <c r="E61" s="947">
        <f t="shared" si="12"/>
        <v>0</v>
      </c>
      <c r="F61" s="947">
        <f t="shared" si="13"/>
        <v>41627.53</v>
      </c>
      <c r="G61" s="949">
        <f t="shared" si="14"/>
        <v>0</v>
      </c>
      <c r="H61" s="949">
        <f t="shared" si="15"/>
        <v>67260.94</v>
      </c>
      <c r="I61" s="1200">
        <f t="shared" si="16"/>
        <v>150516</v>
      </c>
      <c r="J61" s="948">
        <f t="shared" si="17"/>
        <v>67260.94</v>
      </c>
      <c r="K61" s="1200">
        <f t="shared" si="18"/>
        <v>108888.47</v>
      </c>
      <c r="L61" s="950"/>
      <c r="M61" s="938"/>
      <c r="N61" s="938"/>
      <c r="O61" s="938"/>
      <c r="P61" s="938"/>
      <c r="Q61" s="939">
        <f t="shared" si="19"/>
        <v>0</v>
      </c>
      <c r="R61" s="940">
        <v>41627.53</v>
      </c>
      <c r="S61" s="941">
        <v>0</v>
      </c>
      <c r="T61" s="941">
        <v>41627.53</v>
      </c>
      <c r="U61" s="941">
        <v>0</v>
      </c>
      <c r="V61" s="941">
        <v>67260.94</v>
      </c>
      <c r="W61" s="941">
        <f t="shared" si="20"/>
        <v>150516</v>
      </c>
    </row>
    <row r="62" spans="1:23" ht="15" customHeight="1" x14ac:dyDescent="0.25">
      <c r="A62" s="680" t="s">
        <v>148</v>
      </c>
      <c r="B62" s="685" t="s">
        <v>149</v>
      </c>
      <c r="C62" s="852" t="s">
        <v>265</v>
      </c>
      <c r="D62" s="947">
        <f t="shared" si="11"/>
        <v>96199.7</v>
      </c>
      <c r="E62" s="947">
        <f t="shared" si="12"/>
        <v>0</v>
      </c>
      <c r="F62" s="947">
        <f t="shared" si="13"/>
        <v>96199.7</v>
      </c>
      <c r="G62" s="949">
        <f t="shared" si="14"/>
        <v>2210.25</v>
      </c>
      <c r="H62" s="949">
        <f t="shared" si="15"/>
        <v>155437.6</v>
      </c>
      <c r="I62" s="1200">
        <f t="shared" si="16"/>
        <v>350047.25</v>
      </c>
      <c r="J62" s="948">
        <f t="shared" si="17"/>
        <v>157647.85</v>
      </c>
      <c r="K62" s="1200">
        <f t="shared" si="18"/>
        <v>253847.55</v>
      </c>
      <c r="L62" s="951">
        <v>0</v>
      </c>
      <c r="M62" s="941">
        <v>0</v>
      </c>
      <c r="N62" s="941">
        <v>0</v>
      </c>
      <c r="O62" s="941">
        <v>2210.25</v>
      </c>
      <c r="P62" s="941">
        <v>0</v>
      </c>
      <c r="Q62" s="939">
        <f t="shared" si="19"/>
        <v>2210.25</v>
      </c>
      <c r="R62" s="940">
        <v>96199.7</v>
      </c>
      <c r="S62" s="941">
        <v>0</v>
      </c>
      <c r="T62" s="941">
        <v>96199.7</v>
      </c>
      <c r="U62" s="941">
        <v>0</v>
      </c>
      <c r="V62" s="941">
        <v>155437.6</v>
      </c>
      <c r="W62" s="941">
        <f t="shared" si="20"/>
        <v>347837</v>
      </c>
    </row>
    <row r="63" spans="1:23" ht="15" customHeight="1" x14ac:dyDescent="0.25">
      <c r="A63" s="680" t="s">
        <v>150</v>
      </c>
      <c r="B63" s="685" t="s">
        <v>151</v>
      </c>
      <c r="C63" s="852" t="s">
        <v>266</v>
      </c>
      <c r="D63" s="947">
        <f t="shared" si="11"/>
        <v>31803.94</v>
      </c>
      <c r="E63" s="947">
        <f t="shared" si="12"/>
        <v>0</v>
      </c>
      <c r="F63" s="947">
        <f t="shared" si="13"/>
        <v>31803.94</v>
      </c>
      <c r="G63" s="949">
        <f t="shared" si="14"/>
        <v>0</v>
      </c>
      <c r="H63" s="949">
        <f t="shared" si="15"/>
        <v>51388.12</v>
      </c>
      <c r="I63" s="1200">
        <f t="shared" si="16"/>
        <v>114996</v>
      </c>
      <c r="J63" s="948">
        <f t="shared" si="17"/>
        <v>51388.12</v>
      </c>
      <c r="K63" s="1200">
        <f t="shared" si="18"/>
        <v>83192.06</v>
      </c>
      <c r="L63" s="951"/>
      <c r="M63" s="941"/>
      <c r="N63" s="941"/>
      <c r="O63" s="941"/>
      <c r="P63" s="941"/>
      <c r="Q63" s="939">
        <f t="shared" si="19"/>
        <v>0</v>
      </c>
      <c r="R63" s="940">
        <v>31803.94</v>
      </c>
      <c r="S63" s="941">
        <v>0</v>
      </c>
      <c r="T63" s="941">
        <v>31803.94</v>
      </c>
      <c r="U63" s="941">
        <v>0</v>
      </c>
      <c r="V63" s="941">
        <v>51388.12</v>
      </c>
      <c r="W63" s="941">
        <f t="shared" si="20"/>
        <v>114996</v>
      </c>
    </row>
    <row r="64" spans="1:23" ht="15" customHeight="1" x14ac:dyDescent="0.25">
      <c r="A64" s="680" t="s">
        <v>152</v>
      </c>
      <c r="B64" s="685" t="s">
        <v>153</v>
      </c>
      <c r="C64" s="852" t="s">
        <v>268</v>
      </c>
      <c r="D64" s="947">
        <f t="shared" si="11"/>
        <v>150347.37</v>
      </c>
      <c r="E64" s="947">
        <f t="shared" si="12"/>
        <v>0</v>
      </c>
      <c r="F64" s="947">
        <f t="shared" si="13"/>
        <v>150347.37</v>
      </c>
      <c r="G64" s="949">
        <f t="shared" si="14"/>
        <v>0</v>
      </c>
      <c r="H64" s="949">
        <f t="shared" si="15"/>
        <v>242928.26</v>
      </c>
      <c r="I64" s="1200">
        <f t="shared" si="16"/>
        <v>543623</v>
      </c>
      <c r="J64" s="948">
        <f t="shared" si="17"/>
        <v>242928.26</v>
      </c>
      <c r="K64" s="1200">
        <f t="shared" si="18"/>
        <v>393275.63</v>
      </c>
      <c r="L64" s="951"/>
      <c r="M64" s="941"/>
      <c r="N64" s="941"/>
      <c r="O64" s="941"/>
      <c r="P64" s="941"/>
      <c r="Q64" s="939">
        <f t="shared" si="19"/>
        <v>0</v>
      </c>
      <c r="R64" s="940">
        <v>150347.37</v>
      </c>
      <c r="S64" s="941">
        <v>0</v>
      </c>
      <c r="T64" s="941">
        <v>150347.37</v>
      </c>
      <c r="U64" s="941">
        <v>0</v>
      </c>
      <c r="V64" s="941">
        <v>242928.26</v>
      </c>
      <c r="W64" s="941">
        <f t="shared" si="20"/>
        <v>543623</v>
      </c>
    </row>
    <row r="65" spans="1:23" ht="15" customHeight="1" x14ac:dyDescent="0.25">
      <c r="A65" s="680" t="s">
        <v>154</v>
      </c>
      <c r="B65" s="685" t="s">
        <v>155</v>
      </c>
      <c r="C65" s="852" t="s">
        <v>265</v>
      </c>
      <c r="D65" s="947">
        <f t="shared" si="11"/>
        <v>0</v>
      </c>
      <c r="E65" s="947">
        <f t="shared" si="12"/>
        <v>0</v>
      </c>
      <c r="F65" s="947">
        <f t="shared" si="13"/>
        <v>0</v>
      </c>
      <c r="G65" s="949">
        <f t="shared" si="14"/>
        <v>0</v>
      </c>
      <c r="H65" s="949">
        <f t="shared" si="15"/>
        <v>0</v>
      </c>
      <c r="I65" s="1200">
        <f t="shared" si="16"/>
        <v>0</v>
      </c>
      <c r="J65" s="948">
        <f t="shared" si="17"/>
        <v>0</v>
      </c>
      <c r="K65" s="1200">
        <f t="shared" si="18"/>
        <v>0</v>
      </c>
      <c r="L65" s="951"/>
      <c r="M65" s="941"/>
      <c r="N65" s="941"/>
      <c r="O65" s="941"/>
      <c r="P65" s="941"/>
      <c r="Q65" s="939">
        <f t="shared" si="19"/>
        <v>0</v>
      </c>
      <c r="R65" s="940"/>
      <c r="S65" s="941"/>
      <c r="T65" s="941"/>
      <c r="U65" s="941"/>
      <c r="V65" s="941"/>
      <c r="W65" s="941">
        <f t="shared" si="20"/>
        <v>0</v>
      </c>
    </row>
    <row r="66" spans="1:23" ht="15" customHeight="1" x14ac:dyDescent="0.25">
      <c r="A66" s="680" t="s">
        <v>156</v>
      </c>
      <c r="B66" s="685" t="s">
        <v>157</v>
      </c>
      <c r="C66" s="852" t="s">
        <v>266</v>
      </c>
      <c r="D66" s="947">
        <f t="shared" si="11"/>
        <v>30381.54</v>
      </c>
      <c r="E66" s="947">
        <f t="shared" si="12"/>
        <v>0</v>
      </c>
      <c r="F66" s="947">
        <f t="shared" si="13"/>
        <v>30381.54</v>
      </c>
      <c r="G66" s="949">
        <f t="shared" si="14"/>
        <v>10200.51</v>
      </c>
      <c r="H66" s="949">
        <f t="shared" si="15"/>
        <v>49089.919999999998</v>
      </c>
      <c r="I66" s="1200">
        <f t="shared" si="16"/>
        <v>120053.51</v>
      </c>
      <c r="J66" s="948">
        <f t="shared" si="17"/>
        <v>59290.43</v>
      </c>
      <c r="K66" s="1200">
        <f t="shared" si="18"/>
        <v>89671.97</v>
      </c>
      <c r="L66" s="950">
        <v>0</v>
      </c>
      <c r="M66" s="938">
        <v>0</v>
      </c>
      <c r="N66" s="938">
        <v>0</v>
      </c>
      <c r="O66" s="938">
        <v>10200.51</v>
      </c>
      <c r="P66" s="938">
        <v>0</v>
      </c>
      <c r="Q66" s="939">
        <f t="shared" si="19"/>
        <v>10200.51</v>
      </c>
      <c r="R66" s="940">
        <v>30381.54</v>
      </c>
      <c r="S66" s="941">
        <v>0</v>
      </c>
      <c r="T66" s="941">
        <v>30381.54</v>
      </c>
      <c r="U66" s="941">
        <v>0</v>
      </c>
      <c r="V66" s="941">
        <v>49089.919999999998</v>
      </c>
      <c r="W66" s="941">
        <f t="shared" si="20"/>
        <v>109853</v>
      </c>
    </row>
    <row r="67" spans="1:23" ht="15" customHeight="1" x14ac:dyDescent="0.25">
      <c r="A67" s="680" t="s">
        <v>162</v>
      </c>
      <c r="B67" s="685" t="s">
        <v>163</v>
      </c>
      <c r="C67" s="852" t="s">
        <v>264</v>
      </c>
      <c r="D67" s="947">
        <f t="shared" si="11"/>
        <v>82467.12</v>
      </c>
      <c r="E67" s="947">
        <f t="shared" si="12"/>
        <v>0</v>
      </c>
      <c r="F67" s="947">
        <f t="shared" si="13"/>
        <v>82467.12</v>
      </c>
      <c r="G67" s="949">
        <f t="shared" si="14"/>
        <v>0</v>
      </c>
      <c r="H67" s="949">
        <f t="shared" si="15"/>
        <v>133248.76</v>
      </c>
      <c r="I67" s="1200">
        <f t="shared" si="16"/>
        <v>298183</v>
      </c>
      <c r="J67" s="948">
        <f t="shared" si="17"/>
        <v>133248.76</v>
      </c>
      <c r="K67" s="1200">
        <f t="shared" si="18"/>
        <v>215715.88</v>
      </c>
      <c r="L67" s="951"/>
      <c r="M67" s="941"/>
      <c r="N67" s="941"/>
      <c r="O67" s="941"/>
      <c r="P67" s="941"/>
      <c r="Q67" s="939">
        <f t="shared" si="19"/>
        <v>0</v>
      </c>
      <c r="R67" s="940">
        <v>82467.12</v>
      </c>
      <c r="S67" s="941">
        <v>0</v>
      </c>
      <c r="T67" s="941">
        <v>82467.12</v>
      </c>
      <c r="U67" s="941">
        <v>0</v>
      </c>
      <c r="V67" s="941">
        <v>133248.76</v>
      </c>
      <c r="W67" s="941">
        <f t="shared" si="20"/>
        <v>298183</v>
      </c>
    </row>
    <row r="68" spans="1:23" ht="15" customHeight="1" x14ac:dyDescent="0.25">
      <c r="A68" s="680" t="s">
        <v>164</v>
      </c>
      <c r="B68" s="685" t="s">
        <v>165</v>
      </c>
      <c r="C68" s="852" t="s">
        <v>266</v>
      </c>
      <c r="D68" s="947">
        <f t="shared" si="11"/>
        <v>21859.73</v>
      </c>
      <c r="E68" s="947">
        <f t="shared" si="12"/>
        <v>0</v>
      </c>
      <c r="F68" s="947">
        <f t="shared" si="13"/>
        <v>21859.73</v>
      </c>
      <c r="G68" s="949">
        <f t="shared" si="14"/>
        <v>0</v>
      </c>
      <c r="H68" s="949">
        <f t="shared" si="15"/>
        <v>35320.540000000008</v>
      </c>
      <c r="I68" s="1200">
        <f t="shared" si="16"/>
        <v>79040</v>
      </c>
      <c r="J68" s="948">
        <f t="shared" si="17"/>
        <v>35320.540000000008</v>
      </c>
      <c r="K68" s="1200">
        <f t="shared" si="18"/>
        <v>57180.270000000004</v>
      </c>
      <c r="L68" s="951"/>
      <c r="M68" s="941"/>
      <c r="N68" s="941"/>
      <c r="O68" s="941"/>
      <c r="P68" s="941"/>
      <c r="Q68" s="939">
        <f t="shared" si="19"/>
        <v>0</v>
      </c>
      <c r="R68" s="940">
        <v>21859.73</v>
      </c>
      <c r="S68" s="941">
        <v>0</v>
      </c>
      <c r="T68" s="941">
        <v>21859.73</v>
      </c>
      <c r="U68" s="941">
        <v>0</v>
      </c>
      <c r="V68" s="941">
        <v>35320.540000000008</v>
      </c>
      <c r="W68" s="941">
        <f t="shared" si="20"/>
        <v>79040</v>
      </c>
    </row>
    <row r="69" spans="1:23" ht="15" customHeight="1" x14ac:dyDescent="0.25">
      <c r="A69" s="680" t="s">
        <v>168</v>
      </c>
      <c r="B69" s="685" t="s">
        <v>169</v>
      </c>
      <c r="C69" s="852" t="s">
        <v>266</v>
      </c>
      <c r="D69" s="947">
        <f t="shared" ref="D69:D100" si="21">L69+R69</f>
        <v>28829.46</v>
      </c>
      <c r="E69" s="947">
        <f t="shared" ref="E69:E100" si="22">M69+S69</f>
        <v>0</v>
      </c>
      <c r="F69" s="947">
        <f t="shared" ref="F69:F100" si="23">N69+T69</f>
        <v>28829.46</v>
      </c>
      <c r="G69" s="949">
        <f t="shared" ref="G69:G100" si="24">O69+U69</f>
        <v>0</v>
      </c>
      <c r="H69" s="949">
        <f t="shared" ref="H69:H100" si="25">P69+V69</f>
        <v>46582.080000000002</v>
      </c>
      <c r="I69" s="1200">
        <f t="shared" ref="I69:I100" si="26">SUM(D69:H69)</f>
        <v>104241</v>
      </c>
      <c r="J69" s="948">
        <f t="shared" ref="J69:J100" si="27">G69+H69</f>
        <v>46582.080000000002</v>
      </c>
      <c r="K69" s="1200">
        <f t="shared" ref="K69:K100" si="28">F69+J69</f>
        <v>75411.540000000008</v>
      </c>
      <c r="L69" s="951"/>
      <c r="M69" s="941"/>
      <c r="N69" s="941"/>
      <c r="O69" s="941"/>
      <c r="P69" s="941"/>
      <c r="Q69" s="939">
        <f t="shared" ref="Q69:Q100" si="29">SUM(L69:P69)</f>
        <v>0</v>
      </c>
      <c r="R69" s="940">
        <v>28829.46</v>
      </c>
      <c r="S69" s="941">
        <v>0</v>
      </c>
      <c r="T69" s="941">
        <v>28829.46</v>
      </c>
      <c r="U69" s="941">
        <v>0</v>
      </c>
      <c r="V69" s="941">
        <v>46582.080000000002</v>
      </c>
      <c r="W69" s="941">
        <f t="shared" ref="W69:W100" si="30">SUM(R69:V69)</f>
        <v>104241</v>
      </c>
    </row>
    <row r="70" spans="1:23" ht="15" customHeight="1" x14ac:dyDescent="0.25">
      <c r="A70" s="680" t="s">
        <v>170</v>
      </c>
      <c r="B70" s="685" t="s">
        <v>171</v>
      </c>
      <c r="C70" s="852" t="s">
        <v>267</v>
      </c>
      <c r="D70" s="947">
        <f t="shared" si="21"/>
        <v>22701.05</v>
      </c>
      <c r="E70" s="947">
        <f t="shared" si="22"/>
        <v>0</v>
      </c>
      <c r="F70" s="947">
        <f t="shared" si="23"/>
        <v>22701.05</v>
      </c>
      <c r="G70" s="949">
        <f t="shared" si="24"/>
        <v>0</v>
      </c>
      <c r="H70" s="949">
        <f t="shared" si="25"/>
        <v>36679.899999999994</v>
      </c>
      <c r="I70" s="1200">
        <f t="shared" si="26"/>
        <v>82082</v>
      </c>
      <c r="J70" s="948">
        <f t="shared" si="27"/>
        <v>36679.899999999994</v>
      </c>
      <c r="K70" s="1200">
        <f t="shared" si="28"/>
        <v>59380.95</v>
      </c>
      <c r="L70" s="951"/>
      <c r="M70" s="941"/>
      <c r="N70" s="941"/>
      <c r="O70" s="941"/>
      <c r="P70" s="941"/>
      <c r="Q70" s="939">
        <f t="shared" si="29"/>
        <v>0</v>
      </c>
      <c r="R70" s="940">
        <v>22701.05</v>
      </c>
      <c r="S70" s="941">
        <v>0</v>
      </c>
      <c r="T70" s="941">
        <v>22701.05</v>
      </c>
      <c r="U70" s="941">
        <v>0</v>
      </c>
      <c r="V70" s="941">
        <v>36679.899999999994</v>
      </c>
      <c r="W70" s="941">
        <f t="shared" si="30"/>
        <v>82082</v>
      </c>
    </row>
    <row r="71" spans="1:23" ht="15" customHeight="1" x14ac:dyDescent="0.25">
      <c r="A71" s="680" t="s">
        <v>172</v>
      </c>
      <c r="B71" s="685" t="s">
        <v>173</v>
      </c>
      <c r="C71" s="852" t="s">
        <v>267</v>
      </c>
      <c r="D71" s="947">
        <f t="shared" si="21"/>
        <v>20580.62</v>
      </c>
      <c r="E71" s="947">
        <f t="shared" si="22"/>
        <v>0</v>
      </c>
      <c r="F71" s="947">
        <f t="shared" si="23"/>
        <v>20580.62</v>
      </c>
      <c r="G71" s="949">
        <f t="shared" si="24"/>
        <v>0</v>
      </c>
      <c r="H71" s="949">
        <f t="shared" si="25"/>
        <v>33253.760000000002</v>
      </c>
      <c r="I71" s="1200">
        <f t="shared" si="26"/>
        <v>74415</v>
      </c>
      <c r="J71" s="948">
        <f t="shared" si="27"/>
        <v>33253.760000000002</v>
      </c>
      <c r="K71" s="1200">
        <f t="shared" si="28"/>
        <v>53834.380000000005</v>
      </c>
      <c r="L71" s="951"/>
      <c r="M71" s="941"/>
      <c r="N71" s="941"/>
      <c r="O71" s="941"/>
      <c r="P71" s="941"/>
      <c r="Q71" s="939">
        <f t="shared" si="29"/>
        <v>0</v>
      </c>
      <c r="R71" s="940">
        <v>20580.62</v>
      </c>
      <c r="S71" s="941">
        <v>0</v>
      </c>
      <c r="T71" s="941">
        <v>20580.62</v>
      </c>
      <c r="U71" s="941">
        <v>0</v>
      </c>
      <c r="V71" s="941">
        <v>33253.760000000002</v>
      </c>
      <c r="W71" s="941">
        <f t="shared" si="30"/>
        <v>74415</v>
      </c>
    </row>
    <row r="72" spans="1:23" ht="15" customHeight="1" x14ac:dyDescent="0.25">
      <c r="A72" s="680" t="s">
        <v>174</v>
      </c>
      <c r="B72" s="685" t="s">
        <v>175</v>
      </c>
      <c r="C72" s="852" t="s">
        <v>268</v>
      </c>
      <c r="D72" s="947">
        <f t="shared" si="21"/>
        <v>25229.14</v>
      </c>
      <c r="E72" s="947">
        <f t="shared" si="22"/>
        <v>0</v>
      </c>
      <c r="F72" s="947">
        <f t="shared" si="23"/>
        <v>25229.14</v>
      </c>
      <c r="G72" s="949">
        <f t="shared" si="24"/>
        <v>0</v>
      </c>
      <c r="H72" s="949">
        <f t="shared" si="25"/>
        <v>40764.720000000001</v>
      </c>
      <c r="I72" s="1200">
        <f t="shared" si="26"/>
        <v>91223</v>
      </c>
      <c r="J72" s="948">
        <f t="shared" si="27"/>
        <v>40764.720000000001</v>
      </c>
      <c r="K72" s="1200">
        <f t="shared" si="28"/>
        <v>65993.86</v>
      </c>
      <c r="L72" s="950"/>
      <c r="M72" s="938"/>
      <c r="N72" s="938"/>
      <c r="O72" s="938"/>
      <c r="P72" s="938"/>
      <c r="Q72" s="939">
        <f t="shared" si="29"/>
        <v>0</v>
      </c>
      <c r="R72" s="940">
        <v>25229.14</v>
      </c>
      <c r="S72" s="941">
        <v>0</v>
      </c>
      <c r="T72" s="941">
        <v>25229.14</v>
      </c>
      <c r="U72" s="941">
        <v>0</v>
      </c>
      <c r="V72" s="941">
        <v>40764.720000000001</v>
      </c>
      <c r="W72" s="941">
        <f t="shared" si="30"/>
        <v>91223</v>
      </c>
    </row>
    <row r="73" spans="1:23" ht="15" customHeight="1" x14ac:dyDescent="0.25">
      <c r="A73" s="680" t="s">
        <v>178</v>
      </c>
      <c r="B73" s="685" t="s">
        <v>179</v>
      </c>
      <c r="C73" s="852" t="s">
        <v>265</v>
      </c>
      <c r="D73" s="947">
        <f t="shared" si="21"/>
        <v>54131.33</v>
      </c>
      <c r="E73" s="947">
        <f t="shared" si="22"/>
        <v>0</v>
      </c>
      <c r="F73" s="947">
        <f t="shared" si="23"/>
        <v>54131.33</v>
      </c>
      <c r="G73" s="949">
        <f t="shared" si="24"/>
        <v>0</v>
      </c>
      <c r="H73" s="949">
        <f t="shared" si="25"/>
        <v>87464.34</v>
      </c>
      <c r="I73" s="1200">
        <f t="shared" si="26"/>
        <v>195727</v>
      </c>
      <c r="J73" s="948">
        <f t="shared" si="27"/>
        <v>87464.34</v>
      </c>
      <c r="K73" s="1200">
        <f t="shared" si="28"/>
        <v>141595.66999999998</v>
      </c>
      <c r="L73" s="951"/>
      <c r="M73" s="941"/>
      <c r="N73" s="941"/>
      <c r="O73" s="941"/>
      <c r="P73" s="941"/>
      <c r="Q73" s="939">
        <f t="shared" si="29"/>
        <v>0</v>
      </c>
      <c r="R73" s="940">
        <v>54131.33</v>
      </c>
      <c r="S73" s="941">
        <v>0</v>
      </c>
      <c r="T73" s="941">
        <v>54131.33</v>
      </c>
      <c r="U73" s="941">
        <v>0</v>
      </c>
      <c r="V73" s="941">
        <v>87464.34</v>
      </c>
      <c r="W73" s="941">
        <f t="shared" si="30"/>
        <v>195727</v>
      </c>
    </row>
    <row r="74" spans="1:23" ht="15" customHeight="1" x14ac:dyDescent="0.25">
      <c r="A74" s="680" t="s">
        <v>182</v>
      </c>
      <c r="B74" s="685" t="s">
        <v>183</v>
      </c>
      <c r="C74" s="852" t="s">
        <v>266</v>
      </c>
      <c r="D74" s="947">
        <f t="shared" si="21"/>
        <v>49649.87</v>
      </c>
      <c r="E74" s="947">
        <f t="shared" si="22"/>
        <v>0</v>
      </c>
      <c r="F74" s="947">
        <f t="shared" si="23"/>
        <v>49649.87</v>
      </c>
      <c r="G74" s="949">
        <f t="shared" si="24"/>
        <v>0</v>
      </c>
      <c r="H74" s="949">
        <f t="shared" si="25"/>
        <v>80223.259999999995</v>
      </c>
      <c r="I74" s="1200">
        <f t="shared" si="26"/>
        <v>179523</v>
      </c>
      <c r="J74" s="948">
        <f t="shared" si="27"/>
        <v>80223.259999999995</v>
      </c>
      <c r="K74" s="1200">
        <f t="shared" si="28"/>
        <v>129873.13</v>
      </c>
      <c r="L74" s="951"/>
      <c r="M74" s="941"/>
      <c r="N74" s="941"/>
      <c r="O74" s="941"/>
      <c r="P74" s="941"/>
      <c r="Q74" s="939">
        <f t="shared" si="29"/>
        <v>0</v>
      </c>
      <c r="R74" s="940">
        <v>49649.87</v>
      </c>
      <c r="S74" s="941">
        <v>0</v>
      </c>
      <c r="T74" s="941">
        <v>49649.87</v>
      </c>
      <c r="U74" s="941">
        <v>0</v>
      </c>
      <c r="V74" s="941">
        <v>80223.259999999995</v>
      </c>
      <c r="W74" s="941">
        <f t="shared" si="30"/>
        <v>179523</v>
      </c>
    </row>
    <row r="75" spans="1:23" ht="15" customHeight="1" x14ac:dyDescent="0.25">
      <c r="A75" s="680" t="s">
        <v>184</v>
      </c>
      <c r="B75" s="685" t="s">
        <v>185</v>
      </c>
      <c r="C75" s="852" t="s">
        <v>266</v>
      </c>
      <c r="D75" s="947">
        <f t="shared" si="21"/>
        <v>56055.68</v>
      </c>
      <c r="E75" s="947">
        <f t="shared" si="22"/>
        <v>0</v>
      </c>
      <c r="F75" s="947">
        <f t="shared" si="23"/>
        <v>56055.68</v>
      </c>
      <c r="G75" s="949">
        <f t="shared" si="24"/>
        <v>0</v>
      </c>
      <c r="H75" s="949">
        <f t="shared" si="25"/>
        <v>90573.640000000014</v>
      </c>
      <c r="I75" s="1200">
        <f t="shared" si="26"/>
        <v>202685</v>
      </c>
      <c r="J75" s="948">
        <f t="shared" si="27"/>
        <v>90573.640000000014</v>
      </c>
      <c r="K75" s="1200">
        <f t="shared" si="28"/>
        <v>146629.32</v>
      </c>
      <c r="L75" s="951"/>
      <c r="M75" s="941"/>
      <c r="N75" s="941"/>
      <c r="O75" s="941"/>
      <c r="P75" s="941"/>
      <c r="Q75" s="939">
        <f t="shared" si="29"/>
        <v>0</v>
      </c>
      <c r="R75" s="940">
        <v>56055.68</v>
      </c>
      <c r="S75" s="941">
        <v>0</v>
      </c>
      <c r="T75" s="941">
        <v>56055.68</v>
      </c>
      <c r="U75" s="941">
        <v>0</v>
      </c>
      <c r="V75" s="941">
        <v>90573.640000000014</v>
      </c>
      <c r="W75" s="941">
        <f t="shared" si="30"/>
        <v>202685</v>
      </c>
    </row>
    <row r="76" spans="1:23" ht="15" customHeight="1" x14ac:dyDescent="0.25">
      <c r="A76" s="680" t="s">
        <v>186</v>
      </c>
      <c r="B76" s="685" t="s">
        <v>187</v>
      </c>
      <c r="C76" s="852" t="s">
        <v>264</v>
      </c>
      <c r="D76" s="947">
        <f t="shared" si="21"/>
        <v>65800.19</v>
      </c>
      <c r="E76" s="947">
        <f t="shared" si="22"/>
        <v>0</v>
      </c>
      <c r="F76" s="947">
        <f t="shared" si="23"/>
        <v>65800.19</v>
      </c>
      <c r="G76" s="949">
        <f t="shared" si="24"/>
        <v>0</v>
      </c>
      <c r="H76" s="949">
        <f t="shared" si="25"/>
        <v>106318.62</v>
      </c>
      <c r="I76" s="1200">
        <f t="shared" si="26"/>
        <v>237919</v>
      </c>
      <c r="J76" s="948">
        <f t="shared" si="27"/>
        <v>106318.62</v>
      </c>
      <c r="K76" s="1200">
        <f t="shared" si="28"/>
        <v>172118.81</v>
      </c>
      <c r="L76" s="951"/>
      <c r="M76" s="941"/>
      <c r="N76" s="941"/>
      <c r="O76" s="941"/>
      <c r="P76" s="941"/>
      <c r="Q76" s="939">
        <f t="shared" si="29"/>
        <v>0</v>
      </c>
      <c r="R76" s="942">
        <v>65800.19</v>
      </c>
      <c r="S76" s="938">
        <v>0</v>
      </c>
      <c r="T76" s="938">
        <v>65800.19</v>
      </c>
      <c r="U76" s="938">
        <v>0</v>
      </c>
      <c r="V76" s="938">
        <v>106318.62</v>
      </c>
      <c r="W76" s="941">
        <f t="shared" si="30"/>
        <v>237919</v>
      </c>
    </row>
    <row r="77" spans="1:23" ht="15" customHeight="1" x14ac:dyDescent="0.25">
      <c r="A77" s="680" t="s">
        <v>188</v>
      </c>
      <c r="B77" s="685" t="s">
        <v>189</v>
      </c>
      <c r="C77" s="852" t="s">
        <v>267</v>
      </c>
      <c r="D77" s="947">
        <f t="shared" si="21"/>
        <v>1240346.21</v>
      </c>
      <c r="E77" s="947">
        <f t="shared" si="22"/>
        <v>0</v>
      </c>
      <c r="F77" s="947">
        <f t="shared" si="23"/>
        <v>1240346.21</v>
      </c>
      <c r="G77" s="949">
        <f t="shared" si="24"/>
        <v>0</v>
      </c>
      <c r="H77" s="949">
        <f t="shared" si="25"/>
        <v>2004126.58</v>
      </c>
      <c r="I77" s="1200">
        <f t="shared" si="26"/>
        <v>4484819</v>
      </c>
      <c r="J77" s="948">
        <f t="shared" si="27"/>
        <v>2004126.58</v>
      </c>
      <c r="K77" s="1200">
        <f t="shared" si="28"/>
        <v>3244472.79</v>
      </c>
      <c r="L77" s="951"/>
      <c r="M77" s="941"/>
      <c r="N77" s="941"/>
      <c r="O77" s="941"/>
      <c r="P77" s="941"/>
      <c r="Q77" s="939">
        <f t="shared" si="29"/>
        <v>0</v>
      </c>
      <c r="R77" s="940">
        <v>1240346.21</v>
      </c>
      <c r="S77" s="941">
        <v>0</v>
      </c>
      <c r="T77" s="941">
        <v>1240346.21</v>
      </c>
      <c r="U77" s="941">
        <v>0</v>
      </c>
      <c r="V77" s="941">
        <v>2004126.58</v>
      </c>
      <c r="W77" s="941">
        <f t="shared" si="30"/>
        <v>4484819</v>
      </c>
    </row>
    <row r="78" spans="1:23" ht="15" customHeight="1" x14ac:dyDescent="0.25">
      <c r="A78" s="680" t="s">
        <v>190</v>
      </c>
      <c r="B78" s="685" t="s">
        <v>191</v>
      </c>
      <c r="C78" s="852" t="s">
        <v>268</v>
      </c>
      <c r="D78" s="947">
        <f t="shared" si="21"/>
        <v>40412.019999999997</v>
      </c>
      <c r="E78" s="947">
        <f t="shared" si="22"/>
        <v>0</v>
      </c>
      <c r="F78" s="947">
        <f t="shared" si="23"/>
        <v>40412.019999999997</v>
      </c>
      <c r="G78" s="949">
        <f t="shared" si="24"/>
        <v>0</v>
      </c>
      <c r="H78" s="949">
        <f t="shared" si="25"/>
        <v>65296.960000000006</v>
      </c>
      <c r="I78" s="1200">
        <f t="shared" si="26"/>
        <v>146121</v>
      </c>
      <c r="J78" s="948">
        <f t="shared" si="27"/>
        <v>65296.960000000006</v>
      </c>
      <c r="K78" s="1200">
        <f t="shared" si="28"/>
        <v>105708.98000000001</v>
      </c>
      <c r="L78" s="951"/>
      <c r="M78" s="941"/>
      <c r="N78" s="941"/>
      <c r="O78" s="941"/>
      <c r="P78" s="941"/>
      <c r="Q78" s="939">
        <f t="shared" si="29"/>
        <v>0</v>
      </c>
      <c r="R78" s="940">
        <v>40412.019999999997</v>
      </c>
      <c r="S78" s="941">
        <v>0</v>
      </c>
      <c r="T78" s="941">
        <v>40412.019999999997</v>
      </c>
      <c r="U78" s="941">
        <v>0</v>
      </c>
      <c r="V78" s="941">
        <v>65296.960000000006</v>
      </c>
      <c r="W78" s="941">
        <f t="shared" si="30"/>
        <v>146121</v>
      </c>
    </row>
    <row r="79" spans="1:23" ht="15" customHeight="1" x14ac:dyDescent="0.25">
      <c r="A79" s="680" t="s">
        <v>194</v>
      </c>
      <c r="B79" s="685" t="s">
        <v>195</v>
      </c>
      <c r="C79" s="852" t="s">
        <v>267</v>
      </c>
      <c r="D79" s="947">
        <f t="shared" si="21"/>
        <v>29765.919999999998</v>
      </c>
      <c r="E79" s="947">
        <f t="shared" si="22"/>
        <v>0</v>
      </c>
      <c r="F79" s="947">
        <f t="shared" si="23"/>
        <v>29765.919999999998</v>
      </c>
      <c r="G79" s="949">
        <f t="shared" si="24"/>
        <v>0</v>
      </c>
      <c r="H79" s="949">
        <f t="shared" si="25"/>
        <v>48095.16</v>
      </c>
      <c r="I79" s="1200">
        <f t="shared" si="26"/>
        <v>107627</v>
      </c>
      <c r="J79" s="948">
        <f t="shared" si="27"/>
        <v>48095.16</v>
      </c>
      <c r="K79" s="1200">
        <f t="shared" si="28"/>
        <v>77861.08</v>
      </c>
      <c r="L79" s="950"/>
      <c r="M79" s="938"/>
      <c r="N79" s="938"/>
      <c r="O79" s="938"/>
      <c r="P79" s="938"/>
      <c r="Q79" s="939">
        <f t="shared" si="29"/>
        <v>0</v>
      </c>
      <c r="R79" s="940">
        <v>29765.919999999998</v>
      </c>
      <c r="S79" s="941">
        <v>0</v>
      </c>
      <c r="T79" s="941">
        <v>29765.919999999998</v>
      </c>
      <c r="U79" s="941">
        <v>0</v>
      </c>
      <c r="V79" s="941">
        <v>48095.16</v>
      </c>
      <c r="W79" s="941">
        <f t="shared" si="30"/>
        <v>107627</v>
      </c>
    </row>
    <row r="80" spans="1:23" ht="15" customHeight="1" x14ac:dyDescent="0.25">
      <c r="A80" s="680" t="s">
        <v>198</v>
      </c>
      <c r="B80" s="685" t="s">
        <v>199</v>
      </c>
      <c r="C80" s="852" t="s">
        <v>266</v>
      </c>
      <c r="D80" s="947">
        <f t="shared" si="21"/>
        <v>11497.66</v>
      </c>
      <c r="E80" s="947">
        <f t="shared" si="22"/>
        <v>0</v>
      </c>
      <c r="F80" s="947">
        <f t="shared" si="23"/>
        <v>11497.66</v>
      </c>
      <c r="G80" s="949">
        <f t="shared" si="24"/>
        <v>0</v>
      </c>
      <c r="H80" s="949">
        <f t="shared" si="25"/>
        <v>18577.68</v>
      </c>
      <c r="I80" s="1200">
        <f t="shared" si="26"/>
        <v>41573</v>
      </c>
      <c r="J80" s="948">
        <f t="shared" si="27"/>
        <v>18577.68</v>
      </c>
      <c r="K80" s="1200">
        <f t="shared" si="28"/>
        <v>30075.34</v>
      </c>
      <c r="L80" s="951"/>
      <c r="M80" s="941"/>
      <c r="N80" s="941"/>
      <c r="O80" s="941"/>
      <c r="P80" s="941"/>
      <c r="Q80" s="939">
        <f t="shared" si="29"/>
        <v>0</v>
      </c>
      <c r="R80" s="940">
        <v>11497.66</v>
      </c>
      <c r="S80" s="941">
        <v>0</v>
      </c>
      <c r="T80" s="941">
        <v>11497.66</v>
      </c>
      <c r="U80" s="941">
        <v>0</v>
      </c>
      <c r="V80" s="941">
        <v>18577.68</v>
      </c>
      <c r="W80" s="941">
        <f t="shared" si="30"/>
        <v>41573</v>
      </c>
    </row>
    <row r="81" spans="1:23" ht="15" customHeight="1" x14ac:dyDescent="0.25">
      <c r="A81" s="680" t="s">
        <v>202</v>
      </c>
      <c r="B81" s="685" t="s">
        <v>203</v>
      </c>
      <c r="C81" s="852" t="s">
        <v>265</v>
      </c>
      <c r="D81" s="947">
        <f t="shared" si="21"/>
        <v>185887.42</v>
      </c>
      <c r="E81" s="947">
        <f t="shared" si="22"/>
        <v>0</v>
      </c>
      <c r="F81" s="947">
        <f t="shared" si="23"/>
        <v>185887.42</v>
      </c>
      <c r="G81" s="949">
        <f t="shared" si="24"/>
        <v>612.94000000000005</v>
      </c>
      <c r="H81" s="949">
        <f t="shared" si="25"/>
        <v>300353.15999999997</v>
      </c>
      <c r="I81" s="1200">
        <f t="shared" si="26"/>
        <v>672740.94</v>
      </c>
      <c r="J81" s="948">
        <f t="shared" si="27"/>
        <v>300966.09999999998</v>
      </c>
      <c r="K81" s="1200">
        <f t="shared" si="28"/>
        <v>486853.52</v>
      </c>
      <c r="L81" s="951">
        <v>0</v>
      </c>
      <c r="M81" s="941">
        <v>0</v>
      </c>
      <c r="N81" s="941">
        <v>0</v>
      </c>
      <c r="O81" s="941">
        <v>612.94000000000005</v>
      </c>
      <c r="P81" s="941">
        <v>0</v>
      </c>
      <c r="Q81" s="939">
        <f t="shared" si="29"/>
        <v>612.94000000000005</v>
      </c>
      <c r="R81" s="940">
        <v>185887.42</v>
      </c>
      <c r="S81" s="941">
        <v>0</v>
      </c>
      <c r="T81" s="941">
        <v>185887.42</v>
      </c>
      <c r="U81" s="941">
        <v>0</v>
      </c>
      <c r="V81" s="941">
        <v>300353.15999999997</v>
      </c>
      <c r="W81" s="941">
        <f t="shared" si="30"/>
        <v>672128</v>
      </c>
    </row>
    <row r="82" spans="1:23" ht="15" customHeight="1" x14ac:dyDescent="0.25">
      <c r="A82" s="680" t="s">
        <v>204</v>
      </c>
      <c r="B82" s="685" t="s">
        <v>205</v>
      </c>
      <c r="C82" s="852" t="s">
        <v>265</v>
      </c>
      <c r="D82" s="947">
        <f t="shared" si="21"/>
        <v>22304.73</v>
      </c>
      <c r="E82" s="947">
        <f t="shared" si="22"/>
        <v>0</v>
      </c>
      <c r="F82" s="947">
        <f t="shared" si="23"/>
        <v>22304.73</v>
      </c>
      <c r="G82" s="949">
        <f t="shared" si="24"/>
        <v>0</v>
      </c>
      <c r="H82" s="949">
        <f t="shared" si="25"/>
        <v>36039.539999999994</v>
      </c>
      <c r="I82" s="1200">
        <f t="shared" si="26"/>
        <v>80649</v>
      </c>
      <c r="J82" s="948">
        <f t="shared" si="27"/>
        <v>36039.539999999994</v>
      </c>
      <c r="K82" s="1200">
        <f t="shared" si="28"/>
        <v>58344.26999999999</v>
      </c>
      <c r="L82" s="950"/>
      <c r="M82" s="938"/>
      <c r="N82" s="938"/>
      <c r="O82" s="938"/>
      <c r="P82" s="938"/>
      <c r="Q82" s="939">
        <f t="shared" si="29"/>
        <v>0</v>
      </c>
      <c r="R82" s="940">
        <v>22304.73</v>
      </c>
      <c r="S82" s="941">
        <v>0</v>
      </c>
      <c r="T82" s="941">
        <v>22304.73</v>
      </c>
      <c r="U82" s="941">
        <v>0</v>
      </c>
      <c r="V82" s="941">
        <v>36039.539999999994</v>
      </c>
      <c r="W82" s="941">
        <f t="shared" si="30"/>
        <v>80649</v>
      </c>
    </row>
    <row r="83" spans="1:23" ht="15" customHeight="1" x14ac:dyDescent="0.25">
      <c r="A83" s="680" t="s">
        <v>206</v>
      </c>
      <c r="B83" s="685" t="s">
        <v>207</v>
      </c>
      <c r="C83" s="852" t="s">
        <v>267</v>
      </c>
      <c r="D83" s="947">
        <f t="shared" si="21"/>
        <v>237994.3</v>
      </c>
      <c r="E83" s="947">
        <f t="shared" si="22"/>
        <v>0</v>
      </c>
      <c r="F83" s="947">
        <f t="shared" si="23"/>
        <v>237994.3</v>
      </c>
      <c r="G83" s="949">
        <f t="shared" si="24"/>
        <v>0</v>
      </c>
      <c r="H83" s="949">
        <f t="shared" si="25"/>
        <v>384546.4</v>
      </c>
      <c r="I83" s="1200">
        <f t="shared" si="26"/>
        <v>860535</v>
      </c>
      <c r="J83" s="948">
        <f t="shared" si="27"/>
        <v>384546.4</v>
      </c>
      <c r="K83" s="1200">
        <f t="shared" si="28"/>
        <v>622540.69999999995</v>
      </c>
      <c r="L83" s="951"/>
      <c r="M83" s="941"/>
      <c r="N83" s="941"/>
      <c r="O83" s="941"/>
      <c r="P83" s="941"/>
      <c r="Q83" s="939">
        <f t="shared" si="29"/>
        <v>0</v>
      </c>
      <c r="R83" s="940">
        <v>237994.3</v>
      </c>
      <c r="S83" s="941">
        <v>0</v>
      </c>
      <c r="T83" s="941">
        <v>237994.3</v>
      </c>
      <c r="U83" s="941">
        <v>0</v>
      </c>
      <c r="V83" s="941">
        <v>384546.4</v>
      </c>
      <c r="W83" s="941">
        <f t="shared" si="30"/>
        <v>860535</v>
      </c>
    </row>
    <row r="84" spans="1:23" ht="15" customHeight="1" x14ac:dyDescent="0.25">
      <c r="A84" s="680" t="s">
        <v>208</v>
      </c>
      <c r="B84" s="685" t="s">
        <v>209</v>
      </c>
      <c r="C84" s="852" t="s">
        <v>268</v>
      </c>
      <c r="D84" s="947">
        <f t="shared" si="21"/>
        <v>55078.01</v>
      </c>
      <c r="E84" s="947">
        <f t="shared" si="22"/>
        <v>0</v>
      </c>
      <c r="F84" s="947">
        <f t="shared" si="23"/>
        <v>55078.01</v>
      </c>
      <c r="G84" s="949">
        <f t="shared" si="24"/>
        <v>0</v>
      </c>
      <c r="H84" s="949">
        <f t="shared" si="25"/>
        <v>88993.98000000001</v>
      </c>
      <c r="I84" s="1200">
        <f t="shared" si="26"/>
        <v>199150</v>
      </c>
      <c r="J84" s="948">
        <f t="shared" si="27"/>
        <v>88993.98000000001</v>
      </c>
      <c r="K84" s="1200">
        <f t="shared" si="28"/>
        <v>144071.99000000002</v>
      </c>
      <c r="L84" s="951"/>
      <c r="M84" s="941"/>
      <c r="N84" s="941"/>
      <c r="O84" s="941"/>
      <c r="P84" s="941"/>
      <c r="Q84" s="939">
        <f t="shared" si="29"/>
        <v>0</v>
      </c>
      <c r="R84" s="940">
        <v>55078.01</v>
      </c>
      <c r="S84" s="941">
        <v>0</v>
      </c>
      <c r="T84" s="941">
        <v>55078.01</v>
      </c>
      <c r="U84" s="941">
        <v>0</v>
      </c>
      <c r="V84" s="941">
        <v>88993.98000000001</v>
      </c>
      <c r="W84" s="941">
        <f t="shared" si="30"/>
        <v>199150</v>
      </c>
    </row>
    <row r="85" spans="1:23" ht="15" customHeight="1" x14ac:dyDescent="0.25">
      <c r="A85" s="680" t="s">
        <v>210</v>
      </c>
      <c r="B85" s="685" t="s">
        <v>211</v>
      </c>
      <c r="C85" s="852" t="s">
        <v>268</v>
      </c>
      <c r="D85" s="947">
        <f t="shared" si="21"/>
        <v>35631.870000000003</v>
      </c>
      <c r="E85" s="947">
        <f t="shared" si="22"/>
        <v>0</v>
      </c>
      <c r="F85" s="947">
        <f t="shared" si="23"/>
        <v>35631.870000000003</v>
      </c>
      <c r="G85" s="949">
        <f t="shared" si="24"/>
        <v>0</v>
      </c>
      <c r="H85" s="949">
        <f t="shared" si="25"/>
        <v>57573.259999999995</v>
      </c>
      <c r="I85" s="1200">
        <f t="shared" si="26"/>
        <v>128837</v>
      </c>
      <c r="J85" s="948">
        <f t="shared" si="27"/>
        <v>57573.259999999995</v>
      </c>
      <c r="K85" s="1200">
        <f t="shared" si="28"/>
        <v>93205.13</v>
      </c>
      <c r="L85" s="951"/>
      <c r="M85" s="941"/>
      <c r="N85" s="941"/>
      <c r="O85" s="941"/>
      <c r="P85" s="941"/>
      <c r="Q85" s="939">
        <f t="shared" si="29"/>
        <v>0</v>
      </c>
      <c r="R85" s="940">
        <v>35631.870000000003</v>
      </c>
      <c r="S85" s="941">
        <v>0</v>
      </c>
      <c r="T85" s="941">
        <v>35631.870000000003</v>
      </c>
      <c r="U85" s="941">
        <v>0</v>
      </c>
      <c r="V85" s="941">
        <v>57573.259999999995</v>
      </c>
      <c r="W85" s="941">
        <f t="shared" si="30"/>
        <v>128837</v>
      </c>
    </row>
    <row r="86" spans="1:23" ht="15" customHeight="1" x14ac:dyDescent="0.25">
      <c r="A86" s="680" t="s">
        <v>212</v>
      </c>
      <c r="B86" s="685" t="s">
        <v>213</v>
      </c>
      <c r="C86" s="852" t="s">
        <v>267</v>
      </c>
      <c r="D86" s="947">
        <f t="shared" si="21"/>
        <v>50069.97</v>
      </c>
      <c r="E86" s="947">
        <f t="shared" si="22"/>
        <v>0</v>
      </c>
      <c r="F86" s="947">
        <f t="shared" si="23"/>
        <v>50069.97</v>
      </c>
      <c r="G86" s="949">
        <f t="shared" si="24"/>
        <v>0</v>
      </c>
      <c r="H86" s="949">
        <f t="shared" si="25"/>
        <v>80902.06</v>
      </c>
      <c r="I86" s="1200">
        <f t="shared" si="26"/>
        <v>181042</v>
      </c>
      <c r="J86" s="948">
        <f t="shared" si="27"/>
        <v>80902.06</v>
      </c>
      <c r="K86" s="1200">
        <f t="shared" si="28"/>
        <v>130972.03</v>
      </c>
      <c r="L86" s="951"/>
      <c r="M86" s="941"/>
      <c r="N86" s="941"/>
      <c r="O86" s="941"/>
      <c r="P86" s="941"/>
      <c r="Q86" s="939">
        <f t="shared" si="29"/>
        <v>0</v>
      </c>
      <c r="R86" s="940">
        <v>50069.97</v>
      </c>
      <c r="S86" s="941">
        <v>0</v>
      </c>
      <c r="T86" s="941">
        <v>50069.97</v>
      </c>
      <c r="U86" s="941">
        <v>0</v>
      </c>
      <c r="V86" s="941">
        <v>80902.06</v>
      </c>
      <c r="W86" s="941">
        <f t="shared" si="30"/>
        <v>181042</v>
      </c>
    </row>
    <row r="87" spans="1:23" ht="15" customHeight="1" x14ac:dyDescent="0.25">
      <c r="A87" s="680" t="s">
        <v>214</v>
      </c>
      <c r="B87" s="685" t="s">
        <v>215</v>
      </c>
      <c r="C87" s="852" t="s">
        <v>268</v>
      </c>
      <c r="D87" s="947">
        <f t="shared" si="21"/>
        <v>55619.54</v>
      </c>
      <c r="E87" s="947">
        <f t="shared" si="22"/>
        <v>0</v>
      </c>
      <c r="F87" s="947">
        <f t="shared" si="23"/>
        <v>55619.54</v>
      </c>
      <c r="G87" s="949">
        <f t="shared" si="24"/>
        <v>0</v>
      </c>
      <c r="H87" s="949">
        <f t="shared" si="25"/>
        <v>89868.919999999984</v>
      </c>
      <c r="I87" s="1200">
        <f t="shared" si="26"/>
        <v>201108</v>
      </c>
      <c r="J87" s="948">
        <f t="shared" si="27"/>
        <v>89868.919999999984</v>
      </c>
      <c r="K87" s="1200">
        <f t="shared" si="28"/>
        <v>145488.46</v>
      </c>
      <c r="L87" s="951"/>
      <c r="M87" s="941"/>
      <c r="N87" s="941"/>
      <c r="O87" s="941"/>
      <c r="P87" s="941"/>
      <c r="Q87" s="939">
        <f t="shared" si="29"/>
        <v>0</v>
      </c>
      <c r="R87" s="940">
        <v>55619.54</v>
      </c>
      <c r="S87" s="941">
        <v>0</v>
      </c>
      <c r="T87" s="941">
        <v>55619.54</v>
      </c>
      <c r="U87" s="941">
        <v>0</v>
      </c>
      <c r="V87" s="941">
        <v>89868.919999999984</v>
      </c>
      <c r="W87" s="941">
        <f t="shared" si="30"/>
        <v>201108</v>
      </c>
    </row>
    <row r="88" spans="1:23" ht="15" customHeight="1" x14ac:dyDescent="0.25">
      <c r="A88" s="680" t="s">
        <v>216</v>
      </c>
      <c r="B88" s="685" t="s">
        <v>217</v>
      </c>
      <c r="C88" s="852" t="s">
        <v>264</v>
      </c>
      <c r="D88" s="947">
        <f t="shared" si="21"/>
        <v>39257.089999999997</v>
      </c>
      <c r="E88" s="947">
        <f t="shared" si="22"/>
        <v>0</v>
      </c>
      <c r="F88" s="947">
        <f t="shared" si="23"/>
        <v>39257.089999999997</v>
      </c>
      <c r="G88" s="949">
        <f t="shared" si="24"/>
        <v>1147.97</v>
      </c>
      <c r="H88" s="949">
        <f t="shared" si="25"/>
        <v>63430.820000000007</v>
      </c>
      <c r="I88" s="1200">
        <f t="shared" si="26"/>
        <v>143092.97</v>
      </c>
      <c r="J88" s="948">
        <f t="shared" si="27"/>
        <v>64578.790000000008</v>
      </c>
      <c r="K88" s="1200">
        <f t="shared" si="28"/>
        <v>103835.88</v>
      </c>
      <c r="L88" s="951">
        <v>0</v>
      </c>
      <c r="M88" s="941">
        <v>0</v>
      </c>
      <c r="N88" s="941">
        <v>0</v>
      </c>
      <c r="O88" s="941">
        <v>1147.97</v>
      </c>
      <c r="P88" s="941">
        <v>0</v>
      </c>
      <c r="Q88" s="939">
        <f t="shared" si="29"/>
        <v>1147.97</v>
      </c>
      <c r="R88" s="940">
        <v>39257.089999999997</v>
      </c>
      <c r="S88" s="941">
        <v>0</v>
      </c>
      <c r="T88" s="941">
        <v>39257.089999999997</v>
      </c>
      <c r="U88" s="941">
        <v>0</v>
      </c>
      <c r="V88" s="941">
        <v>63430.820000000007</v>
      </c>
      <c r="W88" s="941">
        <f t="shared" si="30"/>
        <v>141945</v>
      </c>
    </row>
    <row r="89" spans="1:23" ht="15" customHeight="1" x14ac:dyDescent="0.25">
      <c r="A89" s="680" t="s">
        <v>218</v>
      </c>
      <c r="B89" s="685" t="s">
        <v>219</v>
      </c>
      <c r="C89" s="852" t="s">
        <v>267</v>
      </c>
      <c r="D89" s="947">
        <f t="shared" si="21"/>
        <v>266359.67999999999</v>
      </c>
      <c r="E89" s="947">
        <f t="shared" si="22"/>
        <v>0</v>
      </c>
      <c r="F89" s="947">
        <f t="shared" si="23"/>
        <v>266359.67999999999</v>
      </c>
      <c r="G89" s="949">
        <f t="shared" si="24"/>
        <v>4790.97</v>
      </c>
      <c r="H89" s="949">
        <f t="shared" si="25"/>
        <v>430378.64</v>
      </c>
      <c r="I89" s="1200">
        <f t="shared" si="26"/>
        <v>967888.97</v>
      </c>
      <c r="J89" s="948">
        <f t="shared" si="27"/>
        <v>435169.61</v>
      </c>
      <c r="K89" s="1200">
        <f t="shared" si="28"/>
        <v>701529.29</v>
      </c>
      <c r="L89" s="951">
        <v>0</v>
      </c>
      <c r="M89" s="941">
        <v>0</v>
      </c>
      <c r="N89" s="941">
        <v>0</v>
      </c>
      <c r="O89" s="941">
        <v>4790.97</v>
      </c>
      <c r="P89" s="941">
        <v>0</v>
      </c>
      <c r="Q89" s="939">
        <f t="shared" si="29"/>
        <v>4790.97</v>
      </c>
      <c r="R89" s="940">
        <v>266359.67999999999</v>
      </c>
      <c r="S89" s="941">
        <v>0</v>
      </c>
      <c r="T89" s="941">
        <v>266359.67999999999</v>
      </c>
      <c r="U89" s="941">
        <v>0</v>
      </c>
      <c r="V89" s="941">
        <v>430378.64</v>
      </c>
      <c r="W89" s="941">
        <f t="shared" si="30"/>
        <v>963098</v>
      </c>
    </row>
    <row r="90" spans="1:23" ht="15" customHeight="1" x14ac:dyDescent="0.25">
      <c r="A90" s="680" t="s">
        <v>220</v>
      </c>
      <c r="B90" s="685" t="s">
        <v>221</v>
      </c>
      <c r="C90" s="852" t="s">
        <v>267</v>
      </c>
      <c r="D90" s="947">
        <f t="shared" si="21"/>
        <v>152729.14000000001</v>
      </c>
      <c r="E90" s="947">
        <f t="shared" si="22"/>
        <v>0</v>
      </c>
      <c r="F90" s="947">
        <f t="shared" si="23"/>
        <v>152729.14000000001</v>
      </c>
      <c r="G90" s="949">
        <f t="shared" si="24"/>
        <v>13642.15</v>
      </c>
      <c r="H90" s="949">
        <f t="shared" si="25"/>
        <v>246776.72000000003</v>
      </c>
      <c r="I90" s="1200">
        <f t="shared" si="26"/>
        <v>565877.15000000014</v>
      </c>
      <c r="J90" s="948">
        <f t="shared" si="27"/>
        <v>260418.87000000002</v>
      </c>
      <c r="K90" s="1200">
        <f t="shared" si="28"/>
        <v>413148.01</v>
      </c>
      <c r="L90" s="951">
        <v>0</v>
      </c>
      <c r="M90" s="941">
        <v>0</v>
      </c>
      <c r="N90" s="941">
        <v>0</v>
      </c>
      <c r="O90" s="941">
        <v>13642.15</v>
      </c>
      <c r="P90" s="941">
        <v>0</v>
      </c>
      <c r="Q90" s="939">
        <f t="shared" si="29"/>
        <v>13642.15</v>
      </c>
      <c r="R90" s="940">
        <v>152729.14000000001</v>
      </c>
      <c r="S90" s="941">
        <v>0</v>
      </c>
      <c r="T90" s="941">
        <v>152729.14000000001</v>
      </c>
      <c r="U90" s="941">
        <v>0</v>
      </c>
      <c r="V90" s="941">
        <v>246776.72000000003</v>
      </c>
      <c r="W90" s="941">
        <f t="shared" si="30"/>
        <v>552235</v>
      </c>
    </row>
    <row r="91" spans="1:23" ht="15" customHeight="1" x14ac:dyDescent="0.25">
      <c r="A91" s="680" t="s">
        <v>224</v>
      </c>
      <c r="B91" s="685" t="s">
        <v>225</v>
      </c>
      <c r="C91" s="852" t="s">
        <v>264</v>
      </c>
      <c r="D91" s="947">
        <f t="shared" si="21"/>
        <v>65274.99</v>
      </c>
      <c r="E91" s="947">
        <f t="shared" si="22"/>
        <v>0</v>
      </c>
      <c r="F91" s="947">
        <f t="shared" si="23"/>
        <v>65274.99</v>
      </c>
      <c r="G91" s="949">
        <f t="shared" si="24"/>
        <v>0</v>
      </c>
      <c r="H91" s="949">
        <f t="shared" si="25"/>
        <v>105470.02</v>
      </c>
      <c r="I91" s="1200">
        <f t="shared" si="26"/>
        <v>236020</v>
      </c>
      <c r="J91" s="948">
        <f t="shared" si="27"/>
        <v>105470.02</v>
      </c>
      <c r="K91" s="1200">
        <f t="shared" si="28"/>
        <v>170745.01</v>
      </c>
      <c r="L91" s="951"/>
      <c r="M91" s="941"/>
      <c r="N91" s="941"/>
      <c r="O91" s="941"/>
      <c r="P91" s="941"/>
      <c r="Q91" s="939">
        <f t="shared" si="29"/>
        <v>0</v>
      </c>
      <c r="R91" s="940">
        <v>65274.99</v>
      </c>
      <c r="S91" s="941">
        <v>0</v>
      </c>
      <c r="T91" s="941">
        <v>65274.99</v>
      </c>
      <c r="U91" s="941">
        <v>0</v>
      </c>
      <c r="V91" s="941">
        <v>105470.02</v>
      </c>
      <c r="W91" s="941">
        <f t="shared" si="30"/>
        <v>236020</v>
      </c>
    </row>
    <row r="92" spans="1:23" ht="15" customHeight="1" x14ac:dyDescent="0.25">
      <c r="A92" s="680" t="s">
        <v>226</v>
      </c>
      <c r="B92" s="685" t="s">
        <v>227</v>
      </c>
      <c r="C92" s="852" t="s">
        <v>264</v>
      </c>
      <c r="D92" s="947">
        <f t="shared" si="21"/>
        <v>67288.94</v>
      </c>
      <c r="E92" s="947">
        <f t="shared" si="22"/>
        <v>0</v>
      </c>
      <c r="F92" s="947">
        <f t="shared" si="23"/>
        <v>67288.94</v>
      </c>
      <c r="G92" s="949">
        <f t="shared" si="24"/>
        <v>6763.38</v>
      </c>
      <c r="H92" s="949">
        <f t="shared" si="25"/>
        <v>108724.12</v>
      </c>
      <c r="I92" s="1200">
        <f t="shared" si="26"/>
        <v>250065.38</v>
      </c>
      <c r="J92" s="948">
        <f t="shared" si="27"/>
        <v>115487.5</v>
      </c>
      <c r="K92" s="1200">
        <f t="shared" si="28"/>
        <v>182776.44</v>
      </c>
      <c r="L92" s="951">
        <v>0</v>
      </c>
      <c r="M92" s="941">
        <v>0</v>
      </c>
      <c r="N92" s="941">
        <v>0</v>
      </c>
      <c r="O92" s="941">
        <v>6763.38</v>
      </c>
      <c r="P92" s="941">
        <v>0</v>
      </c>
      <c r="Q92" s="939">
        <f t="shared" si="29"/>
        <v>6763.38</v>
      </c>
      <c r="R92" s="940">
        <v>67288.94</v>
      </c>
      <c r="S92" s="941">
        <v>0</v>
      </c>
      <c r="T92" s="941">
        <v>67288.94</v>
      </c>
      <c r="U92" s="941">
        <v>0</v>
      </c>
      <c r="V92" s="941">
        <v>108724.12</v>
      </c>
      <c r="W92" s="941">
        <f t="shared" si="30"/>
        <v>243302</v>
      </c>
    </row>
    <row r="93" spans="1:23" ht="15" customHeight="1" x14ac:dyDescent="0.25">
      <c r="A93" s="680" t="s">
        <v>228</v>
      </c>
      <c r="B93" s="685" t="s">
        <v>229</v>
      </c>
      <c r="C93" s="852" t="s">
        <v>268</v>
      </c>
      <c r="D93" s="947">
        <f t="shared" si="21"/>
        <v>107513.46</v>
      </c>
      <c r="E93" s="947">
        <f t="shared" si="22"/>
        <v>0</v>
      </c>
      <c r="F93" s="947">
        <f t="shared" si="23"/>
        <v>107513.46</v>
      </c>
      <c r="G93" s="949">
        <f t="shared" si="24"/>
        <v>7255.51</v>
      </c>
      <c r="H93" s="949">
        <f t="shared" si="25"/>
        <v>173718.08</v>
      </c>
      <c r="I93" s="1200">
        <f t="shared" si="26"/>
        <v>396000.51</v>
      </c>
      <c r="J93" s="948">
        <f t="shared" si="27"/>
        <v>180973.59</v>
      </c>
      <c r="K93" s="1200">
        <f t="shared" si="28"/>
        <v>288487.05</v>
      </c>
      <c r="L93" s="950">
        <v>0</v>
      </c>
      <c r="M93" s="938">
        <v>0</v>
      </c>
      <c r="N93" s="938">
        <v>0</v>
      </c>
      <c r="O93" s="938">
        <v>7255.51</v>
      </c>
      <c r="P93" s="938">
        <v>0</v>
      </c>
      <c r="Q93" s="939">
        <f t="shared" si="29"/>
        <v>7255.51</v>
      </c>
      <c r="R93" s="940">
        <v>107513.46</v>
      </c>
      <c r="S93" s="941">
        <v>0</v>
      </c>
      <c r="T93" s="941">
        <v>107513.46</v>
      </c>
      <c r="U93" s="941">
        <v>0</v>
      </c>
      <c r="V93" s="941">
        <v>173718.08</v>
      </c>
      <c r="W93" s="941">
        <f t="shared" si="30"/>
        <v>388745</v>
      </c>
    </row>
    <row r="94" spans="1:23" ht="15" customHeight="1" x14ac:dyDescent="0.25">
      <c r="A94" s="680" t="s">
        <v>232</v>
      </c>
      <c r="B94" s="685" t="s">
        <v>233</v>
      </c>
      <c r="C94" s="852" t="s">
        <v>267</v>
      </c>
      <c r="D94" s="947">
        <f t="shared" si="21"/>
        <v>50078.27</v>
      </c>
      <c r="E94" s="947">
        <f t="shared" si="22"/>
        <v>0</v>
      </c>
      <c r="F94" s="947">
        <f t="shared" si="23"/>
        <v>50078.27</v>
      </c>
      <c r="G94" s="949">
        <f t="shared" si="24"/>
        <v>0</v>
      </c>
      <c r="H94" s="949">
        <f t="shared" si="25"/>
        <v>80915.459999999992</v>
      </c>
      <c r="I94" s="1200">
        <f t="shared" si="26"/>
        <v>181072</v>
      </c>
      <c r="J94" s="948">
        <f t="shared" si="27"/>
        <v>80915.459999999992</v>
      </c>
      <c r="K94" s="1200">
        <f t="shared" si="28"/>
        <v>130993.72999999998</v>
      </c>
      <c r="L94" s="951"/>
      <c r="M94" s="941"/>
      <c r="N94" s="941"/>
      <c r="O94" s="941"/>
      <c r="P94" s="941"/>
      <c r="Q94" s="939">
        <f t="shared" si="29"/>
        <v>0</v>
      </c>
      <c r="R94" s="940">
        <v>50078.27</v>
      </c>
      <c r="S94" s="941">
        <v>0</v>
      </c>
      <c r="T94" s="941">
        <v>50078.27</v>
      </c>
      <c r="U94" s="941">
        <v>0</v>
      </c>
      <c r="V94" s="941">
        <v>80915.459999999992</v>
      </c>
      <c r="W94" s="941">
        <f t="shared" si="30"/>
        <v>181072</v>
      </c>
    </row>
    <row r="95" spans="1:23" ht="15" customHeight="1" x14ac:dyDescent="0.25">
      <c r="A95" s="680" t="s">
        <v>234</v>
      </c>
      <c r="B95" s="685" t="s">
        <v>235</v>
      </c>
      <c r="C95" s="852" t="s">
        <v>268</v>
      </c>
      <c r="D95" s="947">
        <f t="shared" si="21"/>
        <v>50151.55</v>
      </c>
      <c r="E95" s="947">
        <f t="shared" si="22"/>
        <v>0</v>
      </c>
      <c r="F95" s="947">
        <f t="shared" si="23"/>
        <v>50151.55</v>
      </c>
      <c r="G95" s="949">
        <f t="shared" si="24"/>
        <v>34123.4</v>
      </c>
      <c r="H95" s="949">
        <f t="shared" si="25"/>
        <v>81033.899999999994</v>
      </c>
      <c r="I95" s="1200">
        <f t="shared" si="26"/>
        <v>215460.4</v>
      </c>
      <c r="J95" s="948">
        <f t="shared" si="27"/>
        <v>115157.29999999999</v>
      </c>
      <c r="K95" s="1200">
        <f t="shared" si="28"/>
        <v>165308.84999999998</v>
      </c>
      <c r="L95" s="950">
        <v>0</v>
      </c>
      <c r="M95" s="938">
        <v>0</v>
      </c>
      <c r="N95" s="938">
        <v>0</v>
      </c>
      <c r="O95" s="938">
        <v>34123.4</v>
      </c>
      <c r="P95" s="938">
        <v>0</v>
      </c>
      <c r="Q95" s="939">
        <f t="shared" si="29"/>
        <v>34123.4</v>
      </c>
      <c r="R95" s="940">
        <v>50151.55</v>
      </c>
      <c r="S95" s="941">
        <v>0</v>
      </c>
      <c r="T95" s="941">
        <v>50151.55</v>
      </c>
      <c r="U95" s="941">
        <v>0</v>
      </c>
      <c r="V95" s="941">
        <v>81033.899999999994</v>
      </c>
      <c r="W95" s="941">
        <f t="shared" si="30"/>
        <v>181337</v>
      </c>
    </row>
    <row r="96" spans="1:23" ht="15" customHeight="1" x14ac:dyDescent="0.25">
      <c r="A96" s="680" t="s">
        <v>236</v>
      </c>
      <c r="B96" s="685" t="s">
        <v>237</v>
      </c>
      <c r="C96" s="852" t="s">
        <v>266</v>
      </c>
      <c r="D96" s="947">
        <f t="shared" si="21"/>
        <v>46305.36</v>
      </c>
      <c r="E96" s="947">
        <f t="shared" si="22"/>
        <v>0</v>
      </c>
      <c r="F96" s="947">
        <f t="shared" si="23"/>
        <v>46305.36</v>
      </c>
      <c r="G96" s="949">
        <f t="shared" si="24"/>
        <v>10446.379999999999</v>
      </c>
      <c r="H96" s="949">
        <f t="shared" si="25"/>
        <v>74819.28</v>
      </c>
      <c r="I96" s="1200">
        <f t="shared" si="26"/>
        <v>177876.38</v>
      </c>
      <c r="J96" s="948">
        <f t="shared" si="27"/>
        <v>85265.66</v>
      </c>
      <c r="K96" s="1200">
        <f t="shared" si="28"/>
        <v>131571.02000000002</v>
      </c>
      <c r="L96" s="951">
        <v>0</v>
      </c>
      <c r="M96" s="941">
        <v>0</v>
      </c>
      <c r="N96" s="941">
        <v>0</v>
      </c>
      <c r="O96" s="941">
        <v>10446.379999999999</v>
      </c>
      <c r="P96" s="941">
        <v>0</v>
      </c>
      <c r="Q96" s="939">
        <f t="shared" si="29"/>
        <v>10446.379999999999</v>
      </c>
      <c r="R96" s="940">
        <v>46305.36</v>
      </c>
      <c r="S96" s="941">
        <v>0</v>
      </c>
      <c r="T96" s="941">
        <v>46305.36</v>
      </c>
      <c r="U96" s="941">
        <v>0</v>
      </c>
      <c r="V96" s="941">
        <v>74819.28</v>
      </c>
      <c r="W96" s="941">
        <f t="shared" si="30"/>
        <v>167430</v>
      </c>
    </row>
    <row r="97" spans="1:23" ht="15" customHeight="1" x14ac:dyDescent="0.25">
      <c r="A97" s="680" t="s">
        <v>242</v>
      </c>
      <c r="B97" s="685" t="s">
        <v>243</v>
      </c>
      <c r="C97" s="852" t="s">
        <v>268</v>
      </c>
      <c r="D97" s="947">
        <f t="shared" si="21"/>
        <v>74229.63</v>
      </c>
      <c r="E97" s="947">
        <f t="shared" si="22"/>
        <v>0</v>
      </c>
      <c r="F97" s="947">
        <f t="shared" si="23"/>
        <v>74229.63</v>
      </c>
      <c r="G97" s="949">
        <f t="shared" si="24"/>
        <v>0</v>
      </c>
      <c r="H97" s="949">
        <f t="shared" si="25"/>
        <v>119938.73999999999</v>
      </c>
      <c r="I97" s="1200">
        <f t="shared" si="26"/>
        <v>268398</v>
      </c>
      <c r="J97" s="948">
        <f t="shared" si="27"/>
        <v>119938.73999999999</v>
      </c>
      <c r="K97" s="1200">
        <f t="shared" si="28"/>
        <v>194168.37</v>
      </c>
      <c r="L97" s="951"/>
      <c r="M97" s="941"/>
      <c r="N97" s="941"/>
      <c r="O97" s="941"/>
      <c r="P97" s="941"/>
      <c r="Q97" s="939">
        <f t="shared" si="29"/>
        <v>0</v>
      </c>
      <c r="R97" s="940">
        <v>74229.63</v>
      </c>
      <c r="S97" s="941">
        <v>0</v>
      </c>
      <c r="T97" s="941">
        <v>74229.63</v>
      </c>
      <c r="U97" s="941">
        <v>0</v>
      </c>
      <c r="V97" s="941">
        <v>119938.73999999999</v>
      </c>
      <c r="W97" s="941">
        <f t="shared" si="30"/>
        <v>268398</v>
      </c>
    </row>
    <row r="98" spans="1:23" ht="15" customHeight="1" x14ac:dyDescent="0.25">
      <c r="A98" s="680" t="s">
        <v>244</v>
      </c>
      <c r="B98" s="685" t="s">
        <v>245</v>
      </c>
      <c r="C98" s="852" t="s">
        <v>268</v>
      </c>
      <c r="D98" s="947">
        <f t="shared" si="21"/>
        <v>80545.27</v>
      </c>
      <c r="E98" s="947">
        <f t="shared" si="22"/>
        <v>0</v>
      </c>
      <c r="F98" s="947">
        <f t="shared" si="23"/>
        <v>80545.27</v>
      </c>
      <c r="G98" s="949">
        <f t="shared" si="24"/>
        <v>0</v>
      </c>
      <c r="H98" s="949">
        <f t="shared" si="25"/>
        <v>130143.45999999999</v>
      </c>
      <c r="I98" s="1200">
        <f t="shared" si="26"/>
        <v>291234</v>
      </c>
      <c r="J98" s="948">
        <f t="shared" si="27"/>
        <v>130143.45999999999</v>
      </c>
      <c r="K98" s="1200">
        <f t="shared" si="28"/>
        <v>210688.72999999998</v>
      </c>
      <c r="L98" s="951"/>
      <c r="M98" s="941"/>
      <c r="N98" s="941"/>
      <c r="O98" s="941"/>
      <c r="P98" s="941"/>
      <c r="Q98" s="939">
        <f t="shared" si="29"/>
        <v>0</v>
      </c>
      <c r="R98" s="940">
        <v>80545.27</v>
      </c>
      <c r="S98" s="941">
        <v>0</v>
      </c>
      <c r="T98" s="941">
        <v>80545.27</v>
      </c>
      <c r="U98" s="941">
        <v>0</v>
      </c>
      <c r="V98" s="941">
        <v>130143.45999999999</v>
      </c>
      <c r="W98" s="941">
        <f t="shared" si="30"/>
        <v>291234</v>
      </c>
    </row>
    <row r="99" spans="1:23" ht="15" customHeight="1" x14ac:dyDescent="0.25">
      <c r="A99" s="680" t="s">
        <v>246</v>
      </c>
      <c r="B99" s="685" t="s">
        <v>310</v>
      </c>
      <c r="C99" s="852" t="s">
        <v>264</v>
      </c>
      <c r="D99" s="947">
        <f t="shared" si="21"/>
        <v>178269.97</v>
      </c>
      <c r="E99" s="947">
        <f t="shared" si="22"/>
        <v>0</v>
      </c>
      <c r="F99" s="947">
        <f t="shared" si="23"/>
        <v>178269.97</v>
      </c>
      <c r="G99" s="949">
        <f t="shared" si="24"/>
        <v>1083.26</v>
      </c>
      <c r="H99" s="949">
        <f t="shared" si="25"/>
        <v>288045.06</v>
      </c>
      <c r="I99" s="1200">
        <f t="shared" si="26"/>
        <v>645668.26</v>
      </c>
      <c r="J99" s="948">
        <f t="shared" si="27"/>
        <v>289128.32000000001</v>
      </c>
      <c r="K99" s="1200">
        <f t="shared" si="28"/>
        <v>467398.29000000004</v>
      </c>
      <c r="L99" s="951">
        <v>0</v>
      </c>
      <c r="M99" s="941">
        <v>0</v>
      </c>
      <c r="N99" s="941">
        <v>0</v>
      </c>
      <c r="O99" s="941">
        <v>1083.26</v>
      </c>
      <c r="P99" s="941">
        <v>0</v>
      </c>
      <c r="Q99" s="939">
        <f t="shared" si="29"/>
        <v>1083.26</v>
      </c>
      <c r="R99" s="940">
        <v>178269.97</v>
      </c>
      <c r="S99" s="941">
        <v>0</v>
      </c>
      <c r="T99" s="941">
        <v>178269.97</v>
      </c>
      <c r="U99" s="941">
        <v>0</v>
      </c>
      <c r="V99" s="941">
        <v>288045.06</v>
      </c>
      <c r="W99" s="941">
        <f t="shared" si="30"/>
        <v>644585</v>
      </c>
    </row>
    <row r="100" spans="1:23" ht="15" customHeight="1" x14ac:dyDescent="0.25">
      <c r="A100" s="680" t="s">
        <v>14</v>
      </c>
      <c r="B100" s="685" t="s">
        <v>15</v>
      </c>
      <c r="C100" s="852" t="s">
        <v>267</v>
      </c>
      <c r="D100" s="947">
        <f t="shared" si="21"/>
        <v>1096733.49</v>
      </c>
      <c r="E100" s="947">
        <f t="shared" si="22"/>
        <v>0</v>
      </c>
      <c r="F100" s="947">
        <f t="shared" si="23"/>
        <v>1096733.49</v>
      </c>
      <c r="G100" s="949">
        <f t="shared" si="24"/>
        <v>0</v>
      </c>
      <c r="H100" s="949">
        <f t="shared" si="25"/>
        <v>1772080.0199999996</v>
      </c>
      <c r="I100" s="1200">
        <f t="shared" si="26"/>
        <v>3965546.9999999995</v>
      </c>
      <c r="J100" s="948">
        <f t="shared" si="27"/>
        <v>1772080.0199999996</v>
      </c>
      <c r="K100" s="1200">
        <f t="shared" si="28"/>
        <v>2868813.51</v>
      </c>
      <c r="L100" s="951"/>
      <c r="M100" s="941"/>
      <c r="N100" s="941"/>
      <c r="O100" s="941"/>
      <c r="P100" s="941"/>
      <c r="Q100" s="939">
        <f t="shared" si="29"/>
        <v>0</v>
      </c>
      <c r="R100" s="940">
        <v>1096733.49</v>
      </c>
      <c r="S100" s="941">
        <v>0</v>
      </c>
      <c r="T100" s="941">
        <v>1096733.49</v>
      </c>
      <c r="U100" s="941">
        <v>0</v>
      </c>
      <c r="V100" s="941">
        <v>1772080.0199999996</v>
      </c>
      <c r="W100" s="941">
        <f t="shared" si="30"/>
        <v>3965546.9999999995</v>
      </c>
    </row>
    <row r="101" spans="1:23" ht="15" customHeight="1" x14ac:dyDescent="0.25">
      <c r="A101" s="680" t="s">
        <v>34</v>
      </c>
      <c r="B101" s="685" t="s">
        <v>35</v>
      </c>
      <c r="C101" s="852" t="s">
        <v>268</v>
      </c>
      <c r="D101" s="947">
        <f t="shared" ref="D101:D124" si="31">L101+R101</f>
        <v>43491.040000000001</v>
      </c>
      <c r="E101" s="947">
        <f t="shared" ref="E101:E124" si="32">M101+S101</f>
        <v>0</v>
      </c>
      <c r="F101" s="947">
        <f t="shared" ref="F101:F124" si="33">N101+T101</f>
        <v>43491.040000000001</v>
      </c>
      <c r="G101" s="949">
        <f t="shared" ref="G101:G124" si="34">O101+U101</f>
        <v>0</v>
      </c>
      <c r="H101" s="949">
        <f t="shared" ref="H101:H124" si="35">P101+V101</f>
        <v>70271.920000000013</v>
      </c>
      <c r="I101" s="1200">
        <f t="shared" ref="I101:I124" si="36">SUM(D101:H101)</f>
        <v>157254</v>
      </c>
      <c r="J101" s="948">
        <f t="shared" ref="J101:J124" si="37">G101+H101</f>
        <v>70271.920000000013</v>
      </c>
      <c r="K101" s="1200">
        <f t="shared" ref="K101:K124" si="38">F101+J101</f>
        <v>113762.96000000002</v>
      </c>
      <c r="L101" s="951"/>
      <c r="M101" s="941"/>
      <c r="N101" s="941"/>
      <c r="O101" s="941"/>
      <c r="P101" s="941"/>
      <c r="Q101" s="939">
        <f t="shared" ref="Q101:Q124" si="39">SUM(L101:P101)</f>
        <v>0</v>
      </c>
      <c r="R101" s="940">
        <v>43491.040000000001</v>
      </c>
      <c r="S101" s="941">
        <v>0</v>
      </c>
      <c r="T101" s="941">
        <v>43491.040000000001</v>
      </c>
      <c r="U101" s="941">
        <v>0</v>
      </c>
      <c r="V101" s="941">
        <v>70271.920000000013</v>
      </c>
      <c r="W101" s="941">
        <f t="shared" ref="W101:W124" si="40">SUM(R101:V101)</f>
        <v>157254</v>
      </c>
    </row>
    <row r="102" spans="1:23" ht="15" customHeight="1" x14ac:dyDescent="0.25">
      <c r="A102" s="680" t="s">
        <v>52</v>
      </c>
      <c r="B102" s="685" t="s">
        <v>53</v>
      </c>
      <c r="C102" s="852" t="s">
        <v>265</v>
      </c>
      <c r="D102" s="947">
        <f t="shared" si="31"/>
        <v>126568.26</v>
      </c>
      <c r="E102" s="947">
        <f t="shared" si="32"/>
        <v>0</v>
      </c>
      <c r="F102" s="947">
        <f t="shared" si="33"/>
        <v>126568.26</v>
      </c>
      <c r="G102" s="949">
        <f t="shared" si="34"/>
        <v>0</v>
      </c>
      <c r="H102" s="949">
        <f t="shared" si="35"/>
        <v>204506.47999999998</v>
      </c>
      <c r="I102" s="1200">
        <f t="shared" si="36"/>
        <v>457643</v>
      </c>
      <c r="J102" s="948">
        <f t="shared" si="37"/>
        <v>204506.47999999998</v>
      </c>
      <c r="K102" s="1200">
        <f t="shared" si="38"/>
        <v>331074.74</v>
      </c>
      <c r="L102" s="951"/>
      <c r="M102" s="941"/>
      <c r="N102" s="941"/>
      <c r="O102" s="941"/>
      <c r="P102" s="941"/>
      <c r="Q102" s="939">
        <f t="shared" si="39"/>
        <v>0</v>
      </c>
      <c r="R102" s="940">
        <v>126568.26</v>
      </c>
      <c r="S102" s="941">
        <v>0</v>
      </c>
      <c r="T102" s="941">
        <v>126568.26</v>
      </c>
      <c r="U102" s="941">
        <v>0</v>
      </c>
      <c r="V102" s="941">
        <v>204506.47999999998</v>
      </c>
      <c r="W102" s="941">
        <f t="shared" si="40"/>
        <v>457643</v>
      </c>
    </row>
    <row r="103" spans="1:23" ht="15" customHeight="1" x14ac:dyDescent="0.25">
      <c r="A103" s="680" t="s">
        <v>54</v>
      </c>
      <c r="B103" s="685" t="s">
        <v>55</v>
      </c>
      <c r="C103" s="852" t="s">
        <v>264</v>
      </c>
      <c r="D103" s="947">
        <f t="shared" si="31"/>
        <v>240307.21</v>
      </c>
      <c r="E103" s="947">
        <f t="shared" si="32"/>
        <v>0</v>
      </c>
      <c r="F103" s="947">
        <f t="shared" si="33"/>
        <v>240307.21</v>
      </c>
      <c r="G103" s="949">
        <f t="shared" si="34"/>
        <v>30392.35</v>
      </c>
      <c r="H103" s="949">
        <f t="shared" si="35"/>
        <v>388283.58</v>
      </c>
      <c r="I103" s="1200">
        <f t="shared" si="36"/>
        <v>899290.35</v>
      </c>
      <c r="J103" s="948">
        <f t="shared" si="37"/>
        <v>418675.93</v>
      </c>
      <c r="K103" s="1200">
        <f t="shared" si="38"/>
        <v>658983.14</v>
      </c>
      <c r="L103" s="951">
        <v>0</v>
      </c>
      <c r="M103" s="941">
        <v>0</v>
      </c>
      <c r="N103" s="941">
        <v>0</v>
      </c>
      <c r="O103" s="941">
        <v>30392.35</v>
      </c>
      <c r="P103" s="941">
        <v>0</v>
      </c>
      <c r="Q103" s="939">
        <f t="shared" si="39"/>
        <v>30392.35</v>
      </c>
      <c r="R103" s="940">
        <v>240307.21</v>
      </c>
      <c r="S103" s="941">
        <v>0</v>
      </c>
      <c r="T103" s="941">
        <v>240307.21</v>
      </c>
      <c r="U103" s="941">
        <v>0</v>
      </c>
      <c r="V103" s="941">
        <v>388283.58</v>
      </c>
      <c r="W103" s="941">
        <f t="shared" si="40"/>
        <v>868898</v>
      </c>
    </row>
    <row r="104" spans="1:23" ht="15" customHeight="1" x14ac:dyDescent="0.25">
      <c r="A104" s="680" t="s">
        <v>66</v>
      </c>
      <c r="B104" s="685" t="s">
        <v>67</v>
      </c>
      <c r="C104" s="852" t="s">
        <v>265</v>
      </c>
      <c r="D104" s="947">
        <f t="shared" si="31"/>
        <v>191009.68</v>
      </c>
      <c r="E104" s="947">
        <f t="shared" si="32"/>
        <v>0</v>
      </c>
      <c r="F104" s="947">
        <f t="shared" si="33"/>
        <v>191009.68</v>
      </c>
      <c r="G104" s="949">
        <f t="shared" si="34"/>
        <v>0</v>
      </c>
      <c r="H104" s="949">
        <f t="shared" si="35"/>
        <v>308629.63999999996</v>
      </c>
      <c r="I104" s="1200">
        <f t="shared" si="36"/>
        <v>690649</v>
      </c>
      <c r="J104" s="948">
        <f t="shared" si="37"/>
        <v>308629.63999999996</v>
      </c>
      <c r="K104" s="1200">
        <f t="shared" si="38"/>
        <v>499639.31999999995</v>
      </c>
      <c r="L104" s="951"/>
      <c r="M104" s="941"/>
      <c r="N104" s="941"/>
      <c r="O104" s="941"/>
      <c r="P104" s="941"/>
      <c r="Q104" s="939">
        <f t="shared" si="39"/>
        <v>0</v>
      </c>
      <c r="R104" s="940">
        <v>191009.68</v>
      </c>
      <c r="S104" s="941">
        <v>0</v>
      </c>
      <c r="T104" s="941">
        <v>191009.68</v>
      </c>
      <c r="U104" s="941">
        <v>0</v>
      </c>
      <c r="V104" s="941">
        <v>308629.63999999996</v>
      </c>
      <c r="W104" s="941">
        <f t="shared" si="40"/>
        <v>690649</v>
      </c>
    </row>
    <row r="105" spans="1:23" ht="15" customHeight="1" x14ac:dyDescent="0.25">
      <c r="A105" s="680" t="s">
        <v>82</v>
      </c>
      <c r="B105" s="685" t="s">
        <v>311</v>
      </c>
      <c r="C105" s="852" t="s">
        <v>264</v>
      </c>
      <c r="D105" s="947">
        <f t="shared" si="31"/>
        <v>24086.92</v>
      </c>
      <c r="E105" s="947">
        <f t="shared" si="32"/>
        <v>0</v>
      </c>
      <c r="F105" s="947">
        <f t="shared" si="33"/>
        <v>24086.92</v>
      </c>
      <c r="G105" s="949">
        <f t="shared" si="34"/>
        <v>0</v>
      </c>
      <c r="H105" s="949">
        <f t="shared" si="35"/>
        <v>38919.160000000003</v>
      </c>
      <c r="I105" s="1200">
        <f t="shared" si="36"/>
        <v>87093</v>
      </c>
      <c r="J105" s="948">
        <f t="shared" si="37"/>
        <v>38919.160000000003</v>
      </c>
      <c r="K105" s="1200">
        <f t="shared" si="38"/>
        <v>63006.080000000002</v>
      </c>
      <c r="L105" s="951"/>
      <c r="M105" s="941"/>
      <c r="N105" s="941"/>
      <c r="O105" s="941"/>
      <c r="P105" s="941"/>
      <c r="Q105" s="939">
        <f t="shared" si="39"/>
        <v>0</v>
      </c>
      <c r="R105" s="940">
        <v>24086.92</v>
      </c>
      <c r="S105" s="941">
        <v>0</v>
      </c>
      <c r="T105" s="941">
        <v>24086.92</v>
      </c>
      <c r="U105" s="941">
        <v>0</v>
      </c>
      <c r="V105" s="941">
        <v>38919.160000000003</v>
      </c>
      <c r="W105" s="941">
        <f t="shared" si="40"/>
        <v>87093</v>
      </c>
    </row>
    <row r="106" spans="1:23" ht="15" customHeight="1" x14ac:dyDescent="0.25">
      <c r="A106" s="680" t="s">
        <v>88</v>
      </c>
      <c r="B106" s="685" t="s">
        <v>89</v>
      </c>
      <c r="C106" s="852" t="s">
        <v>267</v>
      </c>
      <c r="D106" s="947">
        <f t="shared" si="31"/>
        <v>89337.3</v>
      </c>
      <c r="E106" s="947">
        <f t="shared" si="32"/>
        <v>0</v>
      </c>
      <c r="F106" s="947">
        <f t="shared" si="33"/>
        <v>89337.3</v>
      </c>
      <c r="G106" s="949">
        <f t="shared" si="34"/>
        <v>0</v>
      </c>
      <c r="H106" s="949">
        <f t="shared" si="35"/>
        <v>144349.4</v>
      </c>
      <c r="I106" s="1200">
        <f t="shared" si="36"/>
        <v>323024</v>
      </c>
      <c r="J106" s="948">
        <f t="shared" si="37"/>
        <v>144349.4</v>
      </c>
      <c r="K106" s="1200">
        <f t="shared" si="38"/>
        <v>233686.7</v>
      </c>
      <c r="L106" s="951"/>
      <c r="M106" s="941"/>
      <c r="N106" s="941"/>
      <c r="O106" s="941"/>
      <c r="P106" s="941"/>
      <c r="Q106" s="939">
        <f t="shared" si="39"/>
        <v>0</v>
      </c>
      <c r="R106" s="940">
        <v>89337.3</v>
      </c>
      <c r="S106" s="941">
        <v>0</v>
      </c>
      <c r="T106" s="941">
        <v>89337.3</v>
      </c>
      <c r="U106" s="941">
        <v>0</v>
      </c>
      <c r="V106" s="941">
        <v>144349.4</v>
      </c>
      <c r="W106" s="941">
        <f t="shared" si="40"/>
        <v>323024</v>
      </c>
    </row>
    <row r="107" spans="1:23" ht="15" customHeight="1" x14ac:dyDescent="0.25">
      <c r="A107" s="680" t="s">
        <v>90</v>
      </c>
      <c r="B107" s="685" t="s">
        <v>91</v>
      </c>
      <c r="C107" s="852" t="s">
        <v>268</v>
      </c>
      <c r="D107" s="947">
        <f t="shared" si="31"/>
        <v>23922.65</v>
      </c>
      <c r="E107" s="947">
        <f t="shared" si="32"/>
        <v>0</v>
      </c>
      <c r="F107" s="947">
        <f t="shared" si="33"/>
        <v>23922.65</v>
      </c>
      <c r="G107" s="949">
        <f t="shared" si="34"/>
        <v>0</v>
      </c>
      <c r="H107" s="949">
        <f t="shared" si="35"/>
        <v>38653.699999999997</v>
      </c>
      <c r="I107" s="1200">
        <f t="shared" si="36"/>
        <v>86499</v>
      </c>
      <c r="J107" s="948">
        <f t="shared" si="37"/>
        <v>38653.699999999997</v>
      </c>
      <c r="K107" s="1200">
        <f t="shared" si="38"/>
        <v>62576.35</v>
      </c>
      <c r="L107" s="951"/>
      <c r="M107" s="941"/>
      <c r="N107" s="941"/>
      <c r="O107" s="941"/>
      <c r="P107" s="941"/>
      <c r="Q107" s="939">
        <f t="shared" si="39"/>
        <v>0</v>
      </c>
      <c r="R107" s="940">
        <v>23922.65</v>
      </c>
      <c r="S107" s="941">
        <v>0</v>
      </c>
      <c r="T107" s="941">
        <v>23922.65</v>
      </c>
      <c r="U107" s="941">
        <v>0</v>
      </c>
      <c r="V107" s="941">
        <v>38653.699999999997</v>
      </c>
      <c r="W107" s="941">
        <f t="shared" si="40"/>
        <v>86499</v>
      </c>
    </row>
    <row r="108" spans="1:23" ht="15" customHeight="1" x14ac:dyDescent="0.25">
      <c r="A108" s="680" t="s">
        <v>106</v>
      </c>
      <c r="B108" s="685" t="s">
        <v>107</v>
      </c>
      <c r="C108" s="852" t="s">
        <v>264</v>
      </c>
      <c r="D108" s="947">
        <f t="shared" si="31"/>
        <v>148282.81</v>
      </c>
      <c r="E108" s="947">
        <f t="shared" si="32"/>
        <v>0</v>
      </c>
      <c r="F108" s="947">
        <f t="shared" si="33"/>
        <v>148282.81</v>
      </c>
      <c r="G108" s="949">
        <f t="shared" si="34"/>
        <v>0</v>
      </c>
      <c r="H108" s="949">
        <f t="shared" si="35"/>
        <v>239592.38</v>
      </c>
      <c r="I108" s="1200">
        <f t="shared" si="36"/>
        <v>536158</v>
      </c>
      <c r="J108" s="948">
        <f t="shared" si="37"/>
        <v>239592.38</v>
      </c>
      <c r="K108" s="1200">
        <f t="shared" si="38"/>
        <v>387875.19</v>
      </c>
      <c r="L108" s="951"/>
      <c r="M108" s="941"/>
      <c r="N108" s="941"/>
      <c r="O108" s="941"/>
      <c r="P108" s="941"/>
      <c r="Q108" s="939">
        <f t="shared" si="39"/>
        <v>0</v>
      </c>
      <c r="R108" s="940">
        <v>148282.81</v>
      </c>
      <c r="S108" s="941">
        <v>0</v>
      </c>
      <c r="T108" s="941">
        <v>148282.81</v>
      </c>
      <c r="U108" s="941">
        <v>0</v>
      </c>
      <c r="V108" s="941">
        <v>239592.38</v>
      </c>
      <c r="W108" s="941">
        <f t="shared" si="40"/>
        <v>536158</v>
      </c>
    </row>
    <row r="109" spans="1:23" ht="15" customHeight="1" x14ac:dyDescent="0.25">
      <c r="A109" s="680" t="s">
        <v>116</v>
      </c>
      <c r="B109" s="685" t="s">
        <v>117</v>
      </c>
      <c r="C109" s="852" t="s">
        <v>266</v>
      </c>
      <c r="D109" s="947">
        <f t="shared" si="31"/>
        <v>140295.59</v>
      </c>
      <c r="E109" s="947">
        <f t="shared" si="32"/>
        <v>0</v>
      </c>
      <c r="F109" s="947">
        <f t="shared" si="33"/>
        <v>140295.59</v>
      </c>
      <c r="G109" s="949">
        <f t="shared" si="34"/>
        <v>0</v>
      </c>
      <c r="H109" s="949">
        <f t="shared" si="35"/>
        <v>226686.82</v>
      </c>
      <c r="I109" s="1200">
        <f t="shared" si="36"/>
        <v>507278</v>
      </c>
      <c r="J109" s="948">
        <f t="shared" si="37"/>
        <v>226686.82</v>
      </c>
      <c r="K109" s="1200">
        <f t="shared" si="38"/>
        <v>366982.41000000003</v>
      </c>
      <c r="L109" s="951"/>
      <c r="M109" s="941"/>
      <c r="N109" s="941"/>
      <c r="O109" s="941"/>
      <c r="P109" s="941"/>
      <c r="Q109" s="939">
        <f t="shared" si="39"/>
        <v>0</v>
      </c>
      <c r="R109" s="940">
        <v>140295.59</v>
      </c>
      <c r="S109" s="941">
        <v>0</v>
      </c>
      <c r="T109" s="941">
        <v>140295.59</v>
      </c>
      <c r="U109" s="941">
        <v>0</v>
      </c>
      <c r="V109" s="941">
        <v>226686.82</v>
      </c>
      <c r="W109" s="941">
        <f t="shared" si="40"/>
        <v>507278</v>
      </c>
    </row>
    <row r="110" spans="1:23" ht="15" customHeight="1" x14ac:dyDescent="0.25">
      <c r="A110" s="680" t="s">
        <v>138</v>
      </c>
      <c r="B110" s="685" t="s">
        <v>139</v>
      </c>
      <c r="C110" s="852" t="s">
        <v>265</v>
      </c>
      <c r="D110" s="947">
        <f t="shared" si="31"/>
        <v>567982.84</v>
      </c>
      <c r="E110" s="947">
        <f t="shared" si="32"/>
        <v>0</v>
      </c>
      <c r="F110" s="947">
        <f t="shared" si="33"/>
        <v>567982.84</v>
      </c>
      <c r="G110" s="949">
        <f t="shared" si="34"/>
        <v>0</v>
      </c>
      <c r="H110" s="949">
        <f t="shared" si="35"/>
        <v>917735.31999999983</v>
      </c>
      <c r="I110" s="1200">
        <f t="shared" si="36"/>
        <v>2053700.9999999998</v>
      </c>
      <c r="J110" s="948">
        <f t="shared" si="37"/>
        <v>917735.31999999983</v>
      </c>
      <c r="K110" s="1200">
        <f t="shared" si="38"/>
        <v>1485718.1599999997</v>
      </c>
      <c r="L110" s="951"/>
      <c r="M110" s="941"/>
      <c r="N110" s="941"/>
      <c r="O110" s="941"/>
      <c r="P110" s="941"/>
      <c r="Q110" s="939">
        <f t="shared" si="39"/>
        <v>0</v>
      </c>
      <c r="R110" s="940">
        <v>567982.84</v>
      </c>
      <c r="S110" s="941">
        <v>0</v>
      </c>
      <c r="T110" s="941">
        <v>567982.84</v>
      </c>
      <c r="U110" s="941">
        <v>0</v>
      </c>
      <c r="V110" s="941">
        <v>917735.31999999983</v>
      </c>
      <c r="W110" s="941">
        <f t="shared" si="40"/>
        <v>2053700.9999999998</v>
      </c>
    </row>
    <row r="111" spans="1:23" ht="15" customHeight="1" x14ac:dyDescent="0.25">
      <c r="A111" s="680" t="s">
        <v>142</v>
      </c>
      <c r="B111" s="685" t="s">
        <v>143</v>
      </c>
      <c r="C111" s="852" t="s">
        <v>267</v>
      </c>
      <c r="D111" s="947">
        <f t="shared" si="31"/>
        <v>59279.32</v>
      </c>
      <c r="E111" s="947">
        <f t="shared" si="32"/>
        <v>0</v>
      </c>
      <c r="F111" s="947">
        <f t="shared" si="33"/>
        <v>59279.32</v>
      </c>
      <c r="G111" s="949">
        <f t="shared" si="34"/>
        <v>0</v>
      </c>
      <c r="H111" s="949">
        <f t="shared" si="35"/>
        <v>95782.36</v>
      </c>
      <c r="I111" s="1200">
        <f t="shared" si="36"/>
        <v>214341</v>
      </c>
      <c r="J111" s="948">
        <f t="shared" si="37"/>
        <v>95782.36</v>
      </c>
      <c r="K111" s="1200">
        <f t="shared" si="38"/>
        <v>155061.68</v>
      </c>
      <c r="L111" s="951"/>
      <c r="M111" s="941"/>
      <c r="N111" s="941"/>
      <c r="O111" s="941"/>
      <c r="P111" s="941"/>
      <c r="Q111" s="939">
        <f t="shared" si="39"/>
        <v>0</v>
      </c>
      <c r="R111" s="940">
        <v>59279.32</v>
      </c>
      <c r="S111" s="941">
        <v>0</v>
      </c>
      <c r="T111" s="941">
        <v>59279.32</v>
      </c>
      <c r="U111" s="941">
        <v>0</v>
      </c>
      <c r="V111" s="941">
        <v>95782.36</v>
      </c>
      <c r="W111" s="941">
        <f t="shared" si="40"/>
        <v>214341</v>
      </c>
    </row>
    <row r="112" spans="1:23" ht="15" customHeight="1" x14ac:dyDescent="0.25">
      <c r="A112" s="680" t="s">
        <v>144</v>
      </c>
      <c r="B112" s="685" t="s">
        <v>145</v>
      </c>
      <c r="C112" s="852" t="s">
        <v>267</v>
      </c>
      <c r="D112" s="947">
        <f t="shared" si="31"/>
        <v>79646.430000000008</v>
      </c>
      <c r="E112" s="947">
        <f t="shared" si="32"/>
        <v>0</v>
      </c>
      <c r="F112" s="947">
        <f t="shared" si="33"/>
        <v>79646.430000000008</v>
      </c>
      <c r="G112" s="949">
        <f t="shared" si="34"/>
        <v>0</v>
      </c>
      <c r="H112" s="949">
        <f t="shared" si="35"/>
        <v>128691.14000000001</v>
      </c>
      <c r="I112" s="1200">
        <f t="shared" si="36"/>
        <v>287984</v>
      </c>
      <c r="J112" s="948">
        <f t="shared" si="37"/>
        <v>128691.14000000001</v>
      </c>
      <c r="K112" s="1200">
        <f t="shared" si="38"/>
        <v>208337.57</v>
      </c>
      <c r="L112" s="951"/>
      <c r="M112" s="941"/>
      <c r="N112" s="941"/>
      <c r="O112" s="941"/>
      <c r="P112" s="941"/>
      <c r="Q112" s="939">
        <f t="shared" si="39"/>
        <v>0</v>
      </c>
      <c r="R112" s="940">
        <v>79646.430000000008</v>
      </c>
      <c r="S112" s="941">
        <v>0</v>
      </c>
      <c r="T112" s="941">
        <v>79646.430000000008</v>
      </c>
      <c r="U112" s="941">
        <v>0</v>
      </c>
      <c r="V112" s="941">
        <v>128691.14000000001</v>
      </c>
      <c r="W112" s="941">
        <f t="shared" si="40"/>
        <v>287984</v>
      </c>
    </row>
    <row r="113" spans="1:23" ht="15" customHeight="1" x14ac:dyDescent="0.25">
      <c r="A113" s="680" t="s">
        <v>158</v>
      </c>
      <c r="B113" s="685" t="s">
        <v>159</v>
      </c>
      <c r="C113" s="852" t="s">
        <v>264</v>
      </c>
      <c r="D113" s="947">
        <f t="shared" si="31"/>
        <v>537009.43999999994</v>
      </c>
      <c r="E113" s="947">
        <f t="shared" si="32"/>
        <v>0</v>
      </c>
      <c r="F113" s="947">
        <f t="shared" si="33"/>
        <v>537009.43999999994</v>
      </c>
      <c r="G113" s="949">
        <f t="shared" si="34"/>
        <v>0</v>
      </c>
      <c r="H113" s="949">
        <f t="shared" si="35"/>
        <v>867689.12000000011</v>
      </c>
      <c r="I113" s="1200">
        <f t="shared" si="36"/>
        <v>1941708</v>
      </c>
      <c r="J113" s="948">
        <f t="shared" si="37"/>
        <v>867689.12000000011</v>
      </c>
      <c r="K113" s="1200">
        <f t="shared" si="38"/>
        <v>1404698.56</v>
      </c>
      <c r="L113" s="950"/>
      <c r="M113" s="938"/>
      <c r="N113" s="938"/>
      <c r="O113" s="938"/>
      <c r="P113" s="938"/>
      <c r="Q113" s="939">
        <f t="shared" si="39"/>
        <v>0</v>
      </c>
      <c r="R113" s="940">
        <v>537009.43999999994</v>
      </c>
      <c r="S113" s="941">
        <v>0</v>
      </c>
      <c r="T113" s="941">
        <v>537009.43999999994</v>
      </c>
      <c r="U113" s="941">
        <v>0</v>
      </c>
      <c r="V113" s="941">
        <v>867689.12000000011</v>
      </c>
      <c r="W113" s="941">
        <f t="shared" si="40"/>
        <v>1941708</v>
      </c>
    </row>
    <row r="114" spans="1:23" ht="15" customHeight="1" x14ac:dyDescent="0.25">
      <c r="A114" s="680" t="s">
        <v>160</v>
      </c>
      <c r="B114" s="685" t="s">
        <v>161</v>
      </c>
      <c r="C114" s="852" t="s">
        <v>264</v>
      </c>
      <c r="D114" s="947">
        <f t="shared" si="31"/>
        <v>710222.42</v>
      </c>
      <c r="E114" s="947">
        <f t="shared" si="32"/>
        <v>0</v>
      </c>
      <c r="F114" s="947">
        <f t="shared" si="33"/>
        <v>710222.42</v>
      </c>
      <c r="G114" s="949">
        <f t="shared" si="34"/>
        <v>0</v>
      </c>
      <c r="H114" s="949">
        <f t="shared" si="35"/>
        <v>1147563.1600000001</v>
      </c>
      <c r="I114" s="1200">
        <f t="shared" si="36"/>
        <v>2568008</v>
      </c>
      <c r="J114" s="948">
        <f t="shared" si="37"/>
        <v>1147563.1600000001</v>
      </c>
      <c r="K114" s="1200">
        <f t="shared" si="38"/>
        <v>1857785.58</v>
      </c>
      <c r="L114" s="951"/>
      <c r="M114" s="941"/>
      <c r="N114" s="941"/>
      <c r="O114" s="941"/>
      <c r="P114" s="941"/>
      <c r="Q114" s="939">
        <f t="shared" si="39"/>
        <v>0</v>
      </c>
      <c r="R114" s="940">
        <v>710222.42</v>
      </c>
      <c r="S114" s="941">
        <v>0</v>
      </c>
      <c r="T114" s="941">
        <v>710222.42</v>
      </c>
      <c r="U114" s="941">
        <v>0</v>
      </c>
      <c r="V114" s="941">
        <v>1147563.1600000001</v>
      </c>
      <c r="W114" s="941">
        <f t="shared" si="40"/>
        <v>2568008</v>
      </c>
    </row>
    <row r="115" spans="1:23" ht="15" customHeight="1" x14ac:dyDescent="0.25">
      <c r="A115" s="680" t="s">
        <v>166</v>
      </c>
      <c r="B115" s="685" t="s">
        <v>167</v>
      </c>
      <c r="C115" s="852" t="s">
        <v>268</v>
      </c>
      <c r="D115" s="947">
        <f t="shared" si="31"/>
        <v>22764.66</v>
      </c>
      <c r="E115" s="947">
        <f t="shared" si="32"/>
        <v>0</v>
      </c>
      <c r="F115" s="947">
        <f t="shared" si="33"/>
        <v>22764.66</v>
      </c>
      <c r="G115" s="949">
        <f t="shared" si="34"/>
        <v>0</v>
      </c>
      <c r="H115" s="949">
        <f t="shared" si="35"/>
        <v>36782.68</v>
      </c>
      <c r="I115" s="1200">
        <f t="shared" si="36"/>
        <v>82312</v>
      </c>
      <c r="J115" s="948">
        <f t="shared" si="37"/>
        <v>36782.68</v>
      </c>
      <c r="K115" s="1200">
        <f t="shared" si="38"/>
        <v>59547.34</v>
      </c>
      <c r="L115" s="951"/>
      <c r="M115" s="941"/>
      <c r="N115" s="941"/>
      <c r="O115" s="941"/>
      <c r="P115" s="941"/>
      <c r="Q115" s="939">
        <f t="shared" si="39"/>
        <v>0</v>
      </c>
      <c r="R115" s="940">
        <v>22764.66</v>
      </c>
      <c r="S115" s="941">
        <v>0</v>
      </c>
      <c r="T115" s="941">
        <v>22764.66</v>
      </c>
      <c r="U115" s="941">
        <v>0</v>
      </c>
      <c r="V115" s="941">
        <v>36782.68</v>
      </c>
      <c r="W115" s="941">
        <f t="shared" si="40"/>
        <v>82312</v>
      </c>
    </row>
    <row r="116" spans="1:23" ht="15" customHeight="1" x14ac:dyDescent="0.25">
      <c r="A116" s="680" t="s">
        <v>176</v>
      </c>
      <c r="B116" s="685" t="s">
        <v>177</v>
      </c>
      <c r="C116" s="852" t="s">
        <v>266</v>
      </c>
      <c r="D116" s="947">
        <f t="shared" si="31"/>
        <v>263056.95</v>
      </c>
      <c r="E116" s="947">
        <f t="shared" si="32"/>
        <v>0</v>
      </c>
      <c r="F116" s="947">
        <f t="shared" si="33"/>
        <v>263056.95</v>
      </c>
      <c r="G116" s="949">
        <f t="shared" si="34"/>
        <v>0</v>
      </c>
      <c r="H116" s="949">
        <f t="shared" si="35"/>
        <v>425042.10000000009</v>
      </c>
      <c r="I116" s="1200">
        <f t="shared" si="36"/>
        <v>951156.00000000012</v>
      </c>
      <c r="J116" s="948">
        <f t="shared" si="37"/>
        <v>425042.10000000009</v>
      </c>
      <c r="K116" s="1200">
        <f t="shared" si="38"/>
        <v>688099.05</v>
      </c>
      <c r="L116" s="951"/>
      <c r="M116" s="941"/>
      <c r="N116" s="941"/>
      <c r="O116" s="941"/>
      <c r="P116" s="941"/>
      <c r="Q116" s="939">
        <f t="shared" si="39"/>
        <v>0</v>
      </c>
      <c r="R116" s="940">
        <v>263056.95</v>
      </c>
      <c r="S116" s="941">
        <v>0</v>
      </c>
      <c r="T116" s="941">
        <v>263056.95</v>
      </c>
      <c r="U116" s="941">
        <v>0</v>
      </c>
      <c r="V116" s="941">
        <v>425042.10000000009</v>
      </c>
      <c r="W116" s="941">
        <f t="shared" si="40"/>
        <v>951156.00000000012</v>
      </c>
    </row>
    <row r="117" spans="1:23" ht="15" customHeight="1" x14ac:dyDescent="0.25">
      <c r="A117" s="680" t="s">
        <v>180</v>
      </c>
      <c r="B117" s="685" t="s">
        <v>181</v>
      </c>
      <c r="C117" s="852" t="s">
        <v>264</v>
      </c>
      <c r="D117" s="947">
        <f t="shared" si="31"/>
        <v>205940.9</v>
      </c>
      <c r="E117" s="947">
        <f t="shared" si="32"/>
        <v>0</v>
      </c>
      <c r="F117" s="947">
        <f t="shared" si="33"/>
        <v>205940.9</v>
      </c>
      <c r="G117" s="949">
        <f t="shared" si="34"/>
        <v>43754.239999999998</v>
      </c>
      <c r="H117" s="949">
        <f t="shared" si="35"/>
        <v>332755.20000000001</v>
      </c>
      <c r="I117" s="1200">
        <f t="shared" si="36"/>
        <v>788391.24</v>
      </c>
      <c r="J117" s="948">
        <f t="shared" si="37"/>
        <v>376509.44</v>
      </c>
      <c r="K117" s="1200">
        <f t="shared" si="38"/>
        <v>582450.34</v>
      </c>
      <c r="L117" s="950">
        <v>0</v>
      </c>
      <c r="M117" s="938">
        <v>0</v>
      </c>
      <c r="N117" s="938">
        <v>0</v>
      </c>
      <c r="O117" s="938">
        <v>43754.239999999998</v>
      </c>
      <c r="P117" s="938">
        <v>0</v>
      </c>
      <c r="Q117" s="939">
        <f t="shared" si="39"/>
        <v>43754.239999999998</v>
      </c>
      <c r="R117" s="940">
        <v>205940.9</v>
      </c>
      <c r="S117" s="941">
        <v>0</v>
      </c>
      <c r="T117" s="941">
        <v>205940.9</v>
      </c>
      <c r="U117" s="941">
        <v>0</v>
      </c>
      <c r="V117" s="941">
        <v>332755.20000000001</v>
      </c>
      <c r="W117" s="941">
        <f t="shared" si="40"/>
        <v>744637</v>
      </c>
    </row>
    <row r="118" spans="1:23" ht="15" customHeight="1" x14ac:dyDescent="0.25">
      <c r="A118" s="680" t="s">
        <v>192</v>
      </c>
      <c r="B118" s="685" t="s">
        <v>193</v>
      </c>
      <c r="C118" s="852" t="s">
        <v>268</v>
      </c>
      <c r="D118" s="947">
        <f t="shared" si="31"/>
        <v>34159.71</v>
      </c>
      <c r="E118" s="947">
        <f t="shared" si="32"/>
        <v>0</v>
      </c>
      <c r="F118" s="947">
        <f t="shared" si="33"/>
        <v>34159.71</v>
      </c>
      <c r="G118" s="949">
        <f t="shared" si="34"/>
        <v>0</v>
      </c>
      <c r="H118" s="949">
        <f t="shared" si="35"/>
        <v>55194.58</v>
      </c>
      <c r="I118" s="1200">
        <f t="shared" si="36"/>
        <v>123514</v>
      </c>
      <c r="J118" s="948">
        <f t="shared" si="37"/>
        <v>55194.58</v>
      </c>
      <c r="K118" s="1200">
        <f t="shared" si="38"/>
        <v>89354.290000000008</v>
      </c>
      <c r="L118" s="950"/>
      <c r="M118" s="938"/>
      <c r="N118" s="938"/>
      <c r="O118" s="938"/>
      <c r="P118" s="938"/>
      <c r="Q118" s="939">
        <f t="shared" si="39"/>
        <v>0</v>
      </c>
      <c r="R118" s="940">
        <v>34159.71</v>
      </c>
      <c r="S118" s="941">
        <v>0</v>
      </c>
      <c r="T118" s="941">
        <v>34159.71</v>
      </c>
      <c r="U118" s="941">
        <v>0</v>
      </c>
      <c r="V118" s="941">
        <v>55194.58</v>
      </c>
      <c r="W118" s="941">
        <f t="shared" si="40"/>
        <v>123514</v>
      </c>
    </row>
    <row r="119" spans="1:23" ht="15" customHeight="1" x14ac:dyDescent="0.25">
      <c r="A119" s="680" t="s">
        <v>196</v>
      </c>
      <c r="B119" s="685" t="s">
        <v>312</v>
      </c>
      <c r="C119" s="852" t="s">
        <v>266</v>
      </c>
      <c r="D119" s="947">
        <f t="shared" si="31"/>
        <v>1376340.38</v>
      </c>
      <c r="E119" s="947">
        <f t="shared" si="32"/>
        <v>0</v>
      </c>
      <c r="F119" s="947">
        <f t="shared" si="33"/>
        <v>1376340.38</v>
      </c>
      <c r="G119" s="949">
        <f t="shared" si="34"/>
        <v>154991.72</v>
      </c>
      <c r="H119" s="949">
        <f t="shared" si="35"/>
        <v>2223863.2399999998</v>
      </c>
      <c r="I119" s="1200">
        <f t="shared" si="36"/>
        <v>5131535.72</v>
      </c>
      <c r="J119" s="948">
        <f t="shared" si="37"/>
        <v>2378854.96</v>
      </c>
      <c r="K119" s="1200">
        <f t="shared" si="38"/>
        <v>3755195.34</v>
      </c>
      <c r="L119" s="950">
        <v>0</v>
      </c>
      <c r="M119" s="938">
        <v>0</v>
      </c>
      <c r="N119" s="938">
        <v>0</v>
      </c>
      <c r="O119" s="938">
        <v>154991.72</v>
      </c>
      <c r="P119" s="938">
        <v>0</v>
      </c>
      <c r="Q119" s="939">
        <f t="shared" si="39"/>
        <v>154991.72</v>
      </c>
      <c r="R119" s="940">
        <v>1376340.38</v>
      </c>
      <c r="S119" s="941">
        <v>0</v>
      </c>
      <c r="T119" s="941">
        <v>1376340.38</v>
      </c>
      <c r="U119" s="941">
        <v>0</v>
      </c>
      <c r="V119" s="941">
        <v>2223863.2399999998</v>
      </c>
      <c r="W119" s="941">
        <f t="shared" si="40"/>
        <v>4976544</v>
      </c>
    </row>
    <row r="120" spans="1:23" ht="15" customHeight="1" x14ac:dyDescent="0.25">
      <c r="A120" s="680" t="s">
        <v>200</v>
      </c>
      <c r="B120" s="685" t="s">
        <v>313</v>
      </c>
      <c r="C120" s="852" t="s">
        <v>265</v>
      </c>
      <c r="D120" s="947">
        <f t="shared" si="31"/>
        <v>573677.61</v>
      </c>
      <c r="E120" s="947">
        <f t="shared" si="32"/>
        <v>0</v>
      </c>
      <c r="F120" s="947">
        <f t="shared" si="33"/>
        <v>573677.61</v>
      </c>
      <c r="G120" s="949">
        <f t="shared" si="34"/>
        <v>0</v>
      </c>
      <c r="H120" s="949">
        <f t="shared" si="35"/>
        <v>926936.78</v>
      </c>
      <c r="I120" s="1200">
        <f t="shared" si="36"/>
        <v>2074292</v>
      </c>
      <c r="J120" s="948">
        <f t="shared" si="37"/>
        <v>926936.78</v>
      </c>
      <c r="K120" s="1200">
        <f t="shared" si="38"/>
        <v>1500614.3900000001</v>
      </c>
      <c r="L120" s="951"/>
      <c r="M120" s="941"/>
      <c r="N120" s="941"/>
      <c r="O120" s="941"/>
      <c r="P120" s="941"/>
      <c r="Q120" s="939">
        <f t="shared" si="39"/>
        <v>0</v>
      </c>
      <c r="R120" s="940">
        <v>573677.61</v>
      </c>
      <c r="S120" s="941">
        <v>0</v>
      </c>
      <c r="T120" s="941">
        <v>573677.61</v>
      </c>
      <c r="U120" s="941">
        <v>0</v>
      </c>
      <c r="V120" s="941">
        <v>926936.78</v>
      </c>
      <c r="W120" s="941">
        <f t="shared" si="40"/>
        <v>2074292</v>
      </c>
    </row>
    <row r="121" spans="1:23" ht="15" customHeight="1" x14ac:dyDescent="0.25">
      <c r="A121" s="680" t="s">
        <v>222</v>
      </c>
      <c r="B121" s="685" t="s">
        <v>223</v>
      </c>
      <c r="C121" s="852" t="s">
        <v>264</v>
      </c>
      <c r="D121" s="947">
        <f t="shared" si="31"/>
        <v>151319.78</v>
      </c>
      <c r="E121" s="947">
        <f t="shared" si="32"/>
        <v>0</v>
      </c>
      <c r="F121" s="947">
        <f t="shared" si="33"/>
        <v>151319.78</v>
      </c>
      <c r="G121" s="949">
        <f t="shared" si="34"/>
        <v>15961.5</v>
      </c>
      <c r="H121" s="949">
        <f t="shared" si="35"/>
        <v>244499.44</v>
      </c>
      <c r="I121" s="1200">
        <f t="shared" si="36"/>
        <v>563100.5</v>
      </c>
      <c r="J121" s="948">
        <f t="shared" si="37"/>
        <v>260460.94</v>
      </c>
      <c r="K121" s="1200">
        <f t="shared" si="38"/>
        <v>411780.72</v>
      </c>
      <c r="L121" s="951">
        <v>0</v>
      </c>
      <c r="M121" s="941">
        <v>0</v>
      </c>
      <c r="N121" s="941">
        <v>0</v>
      </c>
      <c r="O121" s="941">
        <v>15961.5</v>
      </c>
      <c r="P121" s="941">
        <v>0</v>
      </c>
      <c r="Q121" s="939">
        <f t="shared" si="39"/>
        <v>15961.5</v>
      </c>
      <c r="R121" s="940">
        <v>151319.78</v>
      </c>
      <c r="S121" s="941">
        <v>0</v>
      </c>
      <c r="T121" s="941">
        <v>151319.78</v>
      </c>
      <c r="U121" s="941">
        <v>0</v>
      </c>
      <c r="V121" s="941">
        <v>244499.44</v>
      </c>
      <c r="W121" s="941">
        <f t="shared" si="40"/>
        <v>547139</v>
      </c>
    </row>
    <row r="122" spans="1:23" ht="15" customHeight="1" x14ac:dyDescent="0.25">
      <c r="A122" s="680" t="s">
        <v>230</v>
      </c>
      <c r="B122" s="685" t="s">
        <v>231</v>
      </c>
      <c r="C122" s="852" t="s">
        <v>264</v>
      </c>
      <c r="D122" s="947">
        <f t="shared" si="31"/>
        <v>844915.34</v>
      </c>
      <c r="E122" s="947">
        <f t="shared" si="32"/>
        <v>0</v>
      </c>
      <c r="F122" s="947">
        <f t="shared" si="33"/>
        <v>844915.34</v>
      </c>
      <c r="G122" s="949">
        <f t="shared" si="34"/>
        <v>0</v>
      </c>
      <c r="H122" s="949">
        <f t="shared" si="35"/>
        <v>1365197.3199999998</v>
      </c>
      <c r="I122" s="1200">
        <f t="shared" si="36"/>
        <v>3055028</v>
      </c>
      <c r="J122" s="948">
        <f t="shared" si="37"/>
        <v>1365197.3199999998</v>
      </c>
      <c r="K122" s="1200">
        <f t="shared" si="38"/>
        <v>2210112.6599999997</v>
      </c>
      <c r="L122" s="951"/>
      <c r="M122" s="941"/>
      <c r="N122" s="941"/>
      <c r="O122" s="941"/>
      <c r="P122" s="941"/>
      <c r="Q122" s="939">
        <f t="shared" si="39"/>
        <v>0</v>
      </c>
      <c r="R122" s="940">
        <v>844915.34</v>
      </c>
      <c r="S122" s="941">
        <v>0</v>
      </c>
      <c r="T122" s="941">
        <v>844915.34</v>
      </c>
      <c r="U122" s="941">
        <v>0</v>
      </c>
      <c r="V122" s="941">
        <v>1365197.3199999998</v>
      </c>
      <c r="W122" s="941">
        <f t="shared" si="40"/>
        <v>3055028</v>
      </c>
    </row>
    <row r="123" spans="1:23" ht="15" customHeight="1" x14ac:dyDescent="0.25">
      <c r="A123" s="680" t="s">
        <v>238</v>
      </c>
      <c r="B123" s="685" t="s">
        <v>239</v>
      </c>
      <c r="C123" s="852" t="s">
        <v>264</v>
      </c>
      <c r="D123" s="947">
        <f t="shared" si="31"/>
        <v>82458.009999999995</v>
      </c>
      <c r="E123" s="947">
        <f t="shared" si="32"/>
        <v>0</v>
      </c>
      <c r="F123" s="947">
        <f t="shared" si="33"/>
        <v>82458.009999999995</v>
      </c>
      <c r="G123" s="949">
        <f t="shared" si="34"/>
        <v>0</v>
      </c>
      <c r="H123" s="949">
        <f t="shared" si="35"/>
        <v>133233.98000000001</v>
      </c>
      <c r="I123" s="1200">
        <f t="shared" si="36"/>
        <v>298150</v>
      </c>
      <c r="J123" s="948">
        <f t="shared" si="37"/>
        <v>133233.98000000001</v>
      </c>
      <c r="K123" s="1200">
        <f t="shared" si="38"/>
        <v>215691.99</v>
      </c>
      <c r="L123" s="951"/>
      <c r="M123" s="941"/>
      <c r="N123" s="941"/>
      <c r="O123" s="941"/>
      <c r="P123" s="941"/>
      <c r="Q123" s="939">
        <f t="shared" si="39"/>
        <v>0</v>
      </c>
      <c r="R123" s="940">
        <v>82458.009999999995</v>
      </c>
      <c r="S123" s="941">
        <v>0</v>
      </c>
      <c r="T123" s="941">
        <v>82458.009999999995</v>
      </c>
      <c r="U123" s="941">
        <v>0</v>
      </c>
      <c r="V123" s="941">
        <v>133233.98000000001</v>
      </c>
      <c r="W123" s="941">
        <f t="shared" si="40"/>
        <v>298150</v>
      </c>
    </row>
    <row r="124" spans="1:23" ht="15" customHeight="1" x14ac:dyDescent="0.25">
      <c r="A124" s="680" t="s">
        <v>240</v>
      </c>
      <c r="B124" s="685" t="s">
        <v>241</v>
      </c>
      <c r="C124" s="852" t="s">
        <v>267</v>
      </c>
      <c r="D124" s="947">
        <f t="shared" si="31"/>
        <v>73854.33</v>
      </c>
      <c r="E124" s="947">
        <f t="shared" si="32"/>
        <v>0</v>
      </c>
      <c r="F124" s="947">
        <f t="shared" si="33"/>
        <v>73854.33</v>
      </c>
      <c r="G124" s="949">
        <f t="shared" si="34"/>
        <v>0</v>
      </c>
      <c r="H124" s="949">
        <f t="shared" si="35"/>
        <v>119332.34</v>
      </c>
      <c r="I124" s="1200">
        <f t="shared" si="36"/>
        <v>267041</v>
      </c>
      <c r="J124" s="948">
        <f t="shared" si="37"/>
        <v>119332.34</v>
      </c>
      <c r="K124" s="1200">
        <f t="shared" si="38"/>
        <v>193186.66999999998</v>
      </c>
      <c r="L124" s="951"/>
      <c r="M124" s="941"/>
      <c r="N124" s="941"/>
      <c r="O124" s="941"/>
      <c r="P124" s="941"/>
      <c r="Q124" s="939">
        <f t="shared" si="39"/>
        <v>0</v>
      </c>
      <c r="R124" s="940">
        <v>73854.33</v>
      </c>
      <c r="S124" s="941">
        <v>0</v>
      </c>
      <c r="T124" s="941">
        <v>73854.33</v>
      </c>
      <c r="U124" s="941">
        <v>0</v>
      </c>
      <c r="V124" s="941">
        <v>119332.34</v>
      </c>
      <c r="W124" s="941">
        <f t="shared" si="40"/>
        <v>267041</v>
      </c>
    </row>
    <row r="126" spans="1:23" x14ac:dyDescent="0.25">
      <c r="A126" s="265" t="s">
        <v>266</v>
      </c>
      <c r="D126" s="1479">
        <f t="shared" ref="D126:D130" si="41">L126+R126</f>
        <v>3598013.7199999993</v>
      </c>
      <c r="E126" s="1479">
        <f t="shared" ref="E126:E130" si="42">M126+S126</f>
        <v>0</v>
      </c>
      <c r="F126" s="1479">
        <f t="shared" ref="F126:F130" si="43">N126+T126</f>
        <v>3598013.7199999993</v>
      </c>
      <c r="G126" s="1479">
        <f t="shared" ref="G126:G130" si="44">O126+U126</f>
        <v>339170.60000000003</v>
      </c>
      <c r="H126" s="1479">
        <f t="shared" ref="H126:H130" si="45">P126+V126</f>
        <v>5813598.5600000024</v>
      </c>
      <c r="I126" s="1479">
        <f>SUM(D126:H126)</f>
        <v>13348796.600000001</v>
      </c>
      <c r="J126" s="1479">
        <f>G126+H126</f>
        <v>6152769.160000002</v>
      </c>
      <c r="K126" s="1479">
        <f>F126+G126+H126</f>
        <v>9750782.8800000027</v>
      </c>
      <c r="L126" s="1795">
        <v>0</v>
      </c>
      <c r="M126" s="1796">
        <v>0</v>
      </c>
      <c r="N126" s="1796">
        <v>0</v>
      </c>
      <c r="O126" s="1796">
        <v>339170.60000000003</v>
      </c>
      <c r="P126" s="1796">
        <v>0</v>
      </c>
      <c r="Q126" s="1797">
        <f>SUM(L126:P126)</f>
        <v>339170.60000000003</v>
      </c>
      <c r="R126" s="1795">
        <v>3598013.7199999993</v>
      </c>
      <c r="S126" s="1796">
        <v>0</v>
      </c>
      <c r="T126" s="1796">
        <v>3598013.7199999993</v>
      </c>
      <c r="U126" s="1796">
        <v>0</v>
      </c>
      <c r="V126" s="1796">
        <v>5813598.5600000024</v>
      </c>
      <c r="W126" s="1797">
        <f>SUM(R126:V126)</f>
        <v>13009626</v>
      </c>
    </row>
    <row r="127" spans="1:23" x14ac:dyDescent="0.25">
      <c r="A127" s="265" t="s">
        <v>264</v>
      </c>
      <c r="D127" s="1479">
        <f t="shared" si="41"/>
        <v>4066854.7599999993</v>
      </c>
      <c r="E127" s="1479">
        <f t="shared" si="42"/>
        <v>0</v>
      </c>
      <c r="F127" s="1479">
        <f t="shared" si="43"/>
        <v>4066854.7599999993</v>
      </c>
      <c r="G127" s="1479">
        <f t="shared" si="44"/>
        <v>120648.87</v>
      </c>
      <c r="H127" s="1479">
        <f t="shared" si="45"/>
        <v>6571142.4800000004</v>
      </c>
      <c r="I127" s="1479">
        <f t="shared" ref="I127:I130" si="46">SUM(D127:H127)</f>
        <v>14825500.869999999</v>
      </c>
      <c r="J127" s="1479">
        <f t="shared" ref="J127:J130" si="47">G127+H127</f>
        <v>6691791.3500000006</v>
      </c>
      <c r="K127" s="1479">
        <f t="shared" ref="K127:K130" si="48">F127+G127+H127</f>
        <v>10758646.109999999</v>
      </c>
      <c r="L127" s="1795">
        <v>0</v>
      </c>
      <c r="M127" s="1796">
        <v>0</v>
      </c>
      <c r="N127" s="1796">
        <v>0</v>
      </c>
      <c r="O127" s="1796">
        <v>120648.87</v>
      </c>
      <c r="P127" s="1796">
        <v>0</v>
      </c>
      <c r="Q127" s="1797">
        <f t="shared" ref="Q127:Q130" si="49">SUM(L127:P127)</f>
        <v>120648.87</v>
      </c>
      <c r="R127" s="1795">
        <v>4066854.7599999993</v>
      </c>
      <c r="S127" s="1796">
        <v>0</v>
      </c>
      <c r="T127" s="1796">
        <v>4066854.7599999993</v>
      </c>
      <c r="U127" s="1796">
        <v>0</v>
      </c>
      <c r="V127" s="1796">
        <v>6571142.4800000004</v>
      </c>
      <c r="W127" s="1797">
        <f t="shared" ref="W127:W130" si="50">SUM(R127:V127)</f>
        <v>14704852</v>
      </c>
    </row>
    <row r="128" spans="1:23" x14ac:dyDescent="0.25">
      <c r="A128" s="265" t="s">
        <v>267</v>
      </c>
      <c r="D128" s="1479">
        <f t="shared" si="41"/>
        <v>7489502.1300000008</v>
      </c>
      <c r="E128" s="1479">
        <f t="shared" si="42"/>
        <v>0</v>
      </c>
      <c r="F128" s="1479">
        <f t="shared" si="43"/>
        <v>7489502.1300000008</v>
      </c>
      <c r="G128" s="1479">
        <f t="shared" si="44"/>
        <v>123626.42</v>
      </c>
      <c r="H128" s="1479">
        <f t="shared" si="45"/>
        <v>12101387.59</v>
      </c>
      <c r="I128" s="1479">
        <f t="shared" si="46"/>
        <v>27204018.270000003</v>
      </c>
      <c r="J128" s="1479">
        <f t="shared" si="47"/>
        <v>12225014.01</v>
      </c>
      <c r="K128" s="1479">
        <f t="shared" si="48"/>
        <v>19714516.140000001</v>
      </c>
      <c r="L128" s="1795">
        <v>0</v>
      </c>
      <c r="M128" s="1796">
        <v>0</v>
      </c>
      <c r="N128" s="1796">
        <v>0</v>
      </c>
      <c r="O128" s="1796">
        <v>123626.42</v>
      </c>
      <c r="P128" s="1796">
        <v>0</v>
      </c>
      <c r="Q128" s="1797">
        <f t="shared" si="49"/>
        <v>123626.42</v>
      </c>
      <c r="R128" s="1795">
        <v>7489502.1300000008</v>
      </c>
      <c r="S128" s="1796">
        <v>0</v>
      </c>
      <c r="T128" s="1796">
        <v>7489502.1300000008</v>
      </c>
      <c r="U128" s="1796">
        <v>0</v>
      </c>
      <c r="V128" s="1796">
        <v>12101387.59</v>
      </c>
      <c r="W128" s="1797">
        <f t="shared" si="50"/>
        <v>27080391.850000001</v>
      </c>
    </row>
    <row r="129" spans="1:23" x14ac:dyDescent="0.25">
      <c r="A129" s="265" t="s">
        <v>265</v>
      </c>
      <c r="D129" s="1479">
        <f t="shared" si="41"/>
        <v>3241037.62</v>
      </c>
      <c r="E129" s="1479">
        <f t="shared" si="42"/>
        <v>0</v>
      </c>
      <c r="F129" s="1479">
        <f t="shared" si="43"/>
        <v>3241037.62</v>
      </c>
      <c r="G129" s="1479">
        <f t="shared" si="44"/>
        <v>106495.19</v>
      </c>
      <c r="H129" s="1479">
        <f t="shared" si="45"/>
        <v>5236803.7600000007</v>
      </c>
      <c r="I129" s="1479">
        <f t="shared" si="46"/>
        <v>11825374.190000001</v>
      </c>
      <c r="J129" s="1479">
        <f t="shared" si="47"/>
        <v>5343298.9500000011</v>
      </c>
      <c r="K129" s="1479">
        <f t="shared" si="48"/>
        <v>8584336.5700000003</v>
      </c>
      <c r="L129" s="1795">
        <v>0</v>
      </c>
      <c r="M129" s="1796">
        <v>0</v>
      </c>
      <c r="N129" s="1796">
        <v>0</v>
      </c>
      <c r="O129" s="1796">
        <v>106495.19</v>
      </c>
      <c r="P129" s="1796">
        <v>0</v>
      </c>
      <c r="Q129" s="1797">
        <f t="shared" si="49"/>
        <v>106495.19</v>
      </c>
      <c r="R129" s="1795">
        <v>3241037.62</v>
      </c>
      <c r="S129" s="1796">
        <v>0</v>
      </c>
      <c r="T129" s="1796">
        <v>3241037.62</v>
      </c>
      <c r="U129" s="1796">
        <v>0</v>
      </c>
      <c r="V129" s="1796">
        <v>5236803.7600000007</v>
      </c>
      <c r="W129" s="1797">
        <f t="shared" si="50"/>
        <v>11718879</v>
      </c>
    </row>
    <row r="130" spans="1:23" x14ac:dyDescent="0.25">
      <c r="A130" s="265" t="s">
        <v>268</v>
      </c>
      <c r="D130" s="1479">
        <f t="shared" si="41"/>
        <v>1251307.6200000001</v>
      </c>
      <c r="E130" s="1479">
        <f t="shared" si="42"/>
        <v>0</v>
      </c>
      <c r="F130" s="1479">
        <f t="shared" si="43"/>
        <v>1251307.6200000001</v>
      </c>
      <c r="G130" s="1479">
        <f t="shared" si="44"/>
        <v>41378.910000000003</v>
      </c>
      <c r="H130" s="1479">
        <f t="shared" si="45"/>
        <v>2021837.76</v>
      </c>
      <c r="I130" s="1479">
        <f t="shared" si="46"/>
        <v>4565831.91</v>
      </c>
      <c r="J130" s="1479">
        <f t="shared" si="47"/>
        <v>2063216.67</v>
      </c>
      <c r="K130" s="1479">
        <f t="shared" si="48"/>
        <v>3314524.29</v>
      </c>
      <c r="L130" s="1795">
        <v>0</v>
      </c>
      <c r="M130" s="1796">
        <v>0</v>
      </c>
      <c r="N130" s="1796">
        <v>0</v>
      </c>
      <c r="O130" s="1796">
        <v>41378.910000000003</v>
      </c>
      <c r="P130" s="1796">
        <v>0</v>
      </c>
      <c r="Q130" s="1797">
        <f t="shared" si="49"/>
        <v>41378.910000000003</v>
      </c>
      <c r="R130" s="1795">
        <v>1251307.6200000001</v>
      </c>
      <c r="S130" s="1796">
        <v>0</v>
      </c>
      <c r="T130" s="1796">
        <v>1251307.6200000001</v>
      </c>
      <c r="U130" s="1796">
        <v>0</v>
      </c>
      <c r="V130" s="1796">
        <v>2021837.76</v>
      </c>
      <c r="W130" s="1797">
        <f t="shared" si="50"/>
        <v>4524453</v>
      </c>
    </row>
    <row r="131" spans="1:23" x14ac:dyDescent="0.25">
      <c r="A131" s="265" t="s">
        <v>9</v>
      </c>
      <c r="D131" s="1480">
        <f t="shared" ref="D131:H131" si="51">SUM(D126:D130)</f>
        <v>19646715.850000001</v>
      </c>
      <c r="E131" s="1480">
        <f t="shared" si="51"/>
        <v>0</v>
      </c>
      <c r="F131" s="1480">
        <f t="shared" si="51"/>
        <v>19646715.850000001</v>
      </c>
      <c r="G131" s="1480">
        <f t="shared" si="51"/>
        <v>731319.99000000011</v>
      </c>
      <c r="H131" s="1480">
        <f t="shared" si="51"/>
        <v>31744770.150000006</v>
      </c>
      <c r="I131" s="1480">
        <f>SUM(I126:I130)</f>
        <v>71769521.840000004</v>
      </c>
      <c r="J131" s="1480">
        <f>SUM(J126:J130)</f>
        <v>32476090.140000008</v>
      </c>
      <c r="K131" s="1480">
        <f>SUM(K126:K130)</f>
        <v>52122805.990000002</v>
      </c>
      <c r="L131" s="1798">
        <f t="shared" ref="L131:P131" si="52">SUM(L126:L130)</f>
        <v>0</v>
      </c>
      <c r="M131" s="1799">
        <f t="shared" si="52"/>
        <v>0</v>
      </c>
      <c r="N131" s="1799">
        <f t="shared" si="52"/>
        <v>0</v>
      </c>
      <c r="O131" s="1799">
        <f t="shared" si="52"/>
        <v>731319.99000000011</v>
      </c>
      <c r="P131" s="1799">
        <f t="shared" si="52"/>
        <v>0</v>
      </c>
      <c r="Q131" s="1800">
        <f>SUM(Q126:Q130)</f>
        <v>731319.99000000011</v>
      </c>
      <c r="R131" s="1798">
        <f t="shared" ref="R131:V131" si="53">SUM(R126:R130)</f>
        <v>19646715.850000001</v>
      </c>
      <c r="S131" s="1799">
        <f t="shared" si="53"/>
        <v>0</v>
      </c>
      <c r="T131" s="1799">
        <f t="shared" si="53"/>
        <v>19646715.850000001</v>
      </c>
      <c r="U131" s="1799">
        <f t="shared" si="53"/>
        <v>0</v>
      </c>
      <c r="V131" s="1799">
        <f t="shared" si="53"/>
        <v>31744770.150000006</v>
      </c>
      <c r="W131" s="1800">
        <f>SUM(W126:W130)</f>
        <v>71038201.849999994</v>
      </c>
    </row>
    <row r="133" spans="1:23" s="369" customFormat="1" x14ac:dyDescent="0.25">
      <c r="A133" s="917" t="s">
        <v>1282</v>
      </c>
      <c r="B133" s="676"/>
      <c r="C133" s="676"/>
      <c r="D133" s="629"/>
      <c r="M133" s="931"/>
    </row>
    <row r="134" spans="1:23" s="369" customFormat="1" x14ac:dyDescent="0.25">
      <c r="M134" s="931"/>
    </row>
    <row r="135" spans="1:23" s="389" customFormat="1" x14ac:dyDescent="0.25">
      <c r="A135" s="389" t="s">
        <v>248</v>
      </c>
      <c r="M135" s="933"/>
    </row>
    <row r="136" spans="1:23" x14ac:dyDescent="0.25">
      <c r="A136" s="390" t="s">
        <v>249</v>
      </c>
      <c r="B136" s="391" t="s">
        <v>250</v>
      </c>
      <c r="C136" s="391"/>
    </row>
  </sheetData>
  <autoFilter ref="A3:C124"/>
  <sortState ref="A4:W124">
    <sortCondition ref="A4:A124"/>
  </sortState>
  <hyperlinks>
    <hyperlink ref="B136" r:id="rId1"/>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A136"/>
  <sheetViews>
    <sheetView zoomScale="110" zoomScaleNormal="110" workbookViewId="0">
      <pane xSplit="3" ySplit="4" topLeftCell="D5" activePane="bottomRight" state="frozen"/>
      <selection pane="topRight" activeCell="D1" sqref="D1"/>
      <selection pane="bottomLeft" activeCell="A6" sqref="A6"/>
      <selection pane="bottomRight" activeCell="D5" sqref="D5:H5"/>
    </sheetView>
  </sheetViews>
  <sheetFormatPr defaultRowHeight="15.75" x14ac:dyDescent="0.25"/>
  <cols>
    <col min="1" max="1" width="9.5" style="265" customWidth="1"/>
    <col min="2" max="2" width="30.75" style="265" customWidth="1"/>
    <col min="3" max="3" width="16" style="265" customWidth="1"/>
    <col min="4" max="14" width="12.875" style="265" customWidth="1"/>
    <col min="15" max="15" width="12.75" style="265" customWidth="1"/>
    <col min="16" max="53" width="12.875" style="265" customWidth="1"/>
    <col min="54" max="119" width="12.875" style="682" customWidth="1"/>
    <col min="120" max="131" width="12.875" style="265" customWidth="1"/>
    <col min="132" max="16384" width="9" style="265"/>
  </cols>
  <sheetData>
    <row r="1" spans="1:131" x14ac:dyDescent="0.25">
      <c r="A1" s="64" t="s">
        <v>1279</v>
      </c>
      <c r="D1" s="682"/>
    </row>
    <row r="2" spans="1:131" x14ac:dyDescent="0.25">
      <c r="F2" s="682"/>
      <c r="G2" s="682"/>
    </row>
    <row r="3" spans="1:131" s="2049" customFormat="1" ht="34.5" customHeight="1" x14ac:dyDescent="0.25">
      <c r="A3" s="2032" t="s">
        <v>4</v>
      </c>
      <c r="B3" s="2033" t="s">
        <v>5</v>
      </c>
      <c r="C3" s="2033" t="s">
        <v>251</v>
      </c>
      <c r="D3" s="2034" t="s">
        <v>314</v>
      </c>
      <c r="E3" s="2035" t="s">
        <v>315</v>
      </c>
      <c r="F3" s="2035" t="s">
        <v>316</v>
      </c>
      <c r="G3" s="2035" t="s">
        <v>928</v>
      </c>
      <c r="H3" s="2035" t="s">
        <v>929</v>
      </c>
      <c r="I3" s="2035" t="s">
        <v>281</v>
      </c>
      <c r="J3" s="2036" t="s">
        <v>408</v>
      </c>
      <c r="K3" s="2037" t="s">
        <v>931</v>
      </c>
      <c r="L3" s="2034" t="s">
        <v>322</v>
      </c>
      <c r="M3" s="2035" t="s">
        <v>323</v>
      </c>
      <c r="N3" s="2035" t="s">
        <v>324</v>
      </c>
      <c r="O3" s="2038" t="s">
        <v>989</v>
      </c>
      <c r="P3" s="2038" t="s">
        <v>990</v>
      </c>
      <c r="Q3" s="2039" t="s">
        <v>325</v>
      </c>
      <c r="R3" s="2034" t="s">
        <v>326</v>
      </c>
      <c r="S3" s="2035" t="s">
        <v>327</v>
      </c>
      <c r="T3" s="2035" t="s">
        <v>328</v>
      </c>
      <c r="U3" s="2038" t="s">
        <v>991</v>
      </c>
      <c r="V3" s="2038" t="s">
        <v>992</v>
      </c>
      <c r="W3" s="2039" t="s">
        <v>329</v>
      </c>
      <c r="X3" s="2034" t="s">
        <v>330</v>
      </c>
      <c r="Y3" s="2035" t="s">
        <v>331</v>
      </c>
      <c r="Z3" s="2035" t="s">
        <v>332</v>
      </c>
      <c r="AA3" s="2038" t="s">
        <v>993</v>
      </c>
      <c r="AB3" s="2038" t="s">
        <v>994</v>
      </c>
      <c r="AC3" s="2039" t="s">
        <v>333</v>
      </c>
      <c r="AD3" s="2034" t="s">
        <v>334</v>
      </c>
      <c r="AE3" s="2035" t="s">
        <v>335</v>
      </c>
      <c r="AF3" s="2035" t="s">
        <v>336</v>
      </c>
      <c r="AG3" s="2038" t="s">
        <v>995</v>
      </c>
      <c r="AH3" s="2038" t="s">
        <v>996</v>
      </c>
      <c r="AI3" s="2039" t="s">
        <v>337</v>
      </c>
      <c r="AJ3" s="2034" t="s">
        <v>752</v>
      </c>
      <c r="AK3" s="2035" t="s">
        <v>338</v>
      </c>
      <c r="AL3" s="2035" t="s">
        <v>339</v>
      </c>
      <c r="AM3" s="2038" t="s">
        <v>997</v>
      </c>
      <c r="AN3" s="2038" t="s">
        <v>998</v>
      </c>
      <c r="AO3" s="2039" t="s">
        <v>340</v>
      </c>
      <c r="AP3" s="2034" t="s">
        <v>341</v>
      </c>
      <c r="AQ3" s="2035" t="s">
        <v>342</v>
      </c>
      <c r="AR3" s="2035" t="s">
        <v>343</v>
      </c>
      <c r="AS3" s="2038" t="s">
        <v>999</v>
      </c>
      <c r="AT3" s="2038" t="s">
        <v>1000</v>
      </c>
      <c r="AU3" s="2039" t="s">
        <v>344</v>
      </c>
      <c r="AV3" s="2040" t="s">
        <v>345</v>
      </c>
      <c r="AW3" s="2040" t="s">
        <v>346</v>
      </c>
      <c r="AX3" s="2040" t="s">
        <v>347</v>
      </c>
      <c r="AY3" s="2041" t="s">
        <v>1001</v>
      </c>
      <c r="AZ3" s="2041" t="s">
        <v>1002</v>
      </c>
      <c r="BA3" s="2040" t="s">
        <v>348</v>
      </c>
      <c r="BB3" s="2042" t="s">
        <v>349</v>
      </c>
      <c r="BC3" s="2042" t="s">
        <v>350</v>
      </c>
      <c r="BD3" s="2042" t="s">
        <v>351</v>
      </c>
      <c r="BE3" s="2043" t="s">
        <v>985</v>
      </c>
      <c r="BF3" s="2043" t="s">
        <v>986</v>
      </c>
      <c r="BG3" s="2042" t="s">
        <v>352</v>
      </c>
      <c r="BH3" s="2044" t="s">
        <v>353</v>
      </c>
      <c r="BI3" s="2045" t="s">
        <v>354</v>
      </c>
      <c r="BJ3" s="2045" t="s">
        <v>355</v>
      </c>
      <c r="BK3" s="2046" t="s">
        <v>988</v>
      </c>
      <c r="BL3" s="2046" t="s">
        <v>987</v>
      </c>
      <c r="BM3" s="2047" t="s">
        <v>356</v>
      </c>
      <c r="BN3" s="2044" t="s">
        <v>357</v>
      </c>
      <c r="BO3" s="2045" t="s">
        <v>358</v>
      </c>
      <c r="BP3" s="2045" t="s">
        <v>359</v>
      </c>
      <c r="BQ3" s="2046" t="s">
        <v>1003</v>
      </c>
      <c r="BR3" s="2046" t="s">
        <v>1004</v>
      </c>
      <c r="BS3" s="2047" t="s">
        <v>360</v>
      </c>
      <c r="BT3" s="2044" t="s">
        <v>361</v>
      </c>
      <c r="BU3" s="2045" t="s">
        <v>362</v>
      </c>
      <c r="BV3" s="2045" t="s">
        <v>363</v>
      </c>
      <c r="BW3" s="2046" t="s">
        <v>1005</v>
      </c>
      <c r="BX3" s="2046" t="s">
        <v>1006</v>
      </c>
      <c r="BY3" s="2047" t="s">
        <v>364</v>
      </c>
      <c r="BZ3" s="2044" t="s">
        <v>365</v>
      </c>
      <c r="CA3" s="2045" t="s">
        <v>366</v>
      </c>
      <c r="CB3" s="2045" t="s">
        <v>367</v>
      </c>
      <c r="CC3" s="2046" t="s">
        <v>1007</v>
      </c>
      <c r="CD3" s="2046" t="s">
        <v>1008</v>
      </c>
      <c r="CE3" s="2047" t="s">
        <v>368</v>
      </c>
      <c r="CF3" s="2044" t="s">
        <v>369</v>
      </c>
      <c r="CG3" s="2045" t="s">
        <v>370</v>
      </c>
      <c r="CH3" s="2045" t="s">
        <v>371</v>
      </c>
      <c r="CI3" s="2046" t="s">
        <v>1009</v>
      </c>
      <c r="CJ3" s="2046" t="s">
        <v>1010</v>
      </c>
      <c r="CK3" s="2047" t="s">
        <v>372</v>
      </c>
      <c r="CL3" s="2044" t="s">
        <v>373</v>
      </c>
      <c r="CM3" s="2045" t="s">
        <v>374</v>
      </c>
      <c r="CN3" s="2045" t="s">
        <v>375</v>
      </c>
      <c r="CO3" s="2046" t="s">
        <v>1011</v>
      </c>
      <c r="CP3" s="2046" t="s">
        <v>1012</v>
      </c>
      <c r="CQ3" s="2047" t="s">
        <v>376</v>
      </c>
      <c r="CR3" s="2044" t="s">
        <v>377</v>
      </c>
      <c r="CS3" s="2045" t="s">
        <v>378</v>
      </c>
      <c r="CT3" s="2045" t="s">
        <v>379</v>
      </c>
      <c r="CU3" s="2046" t="s">
        <v>1013</v>
      </c>
      <c r="CV3" s="2046" t="s">
        <v>1014</v>
      </c>
      <c r="CW3" s="2047" t="s">
        <v>380</v>
      </c>
      <c r="CX3" s="2044" t="s">
        <v>381</v>
      </c>
      <c r="CY3" s="2045" t="s">
        <v>382</v>
      </c>
      <c r="CZ3" s="2045" t="s">
        <v>383</v>
      </c>
      <c r="DA3" s="2046" t="s">
        <v>1015</v>
      </c>
      <c r="DB3" s="2046" t="s">
        <v>1016</v>
      </c>
      <c r="DC3" s="2047" t="s">
        <v>384</v>
      </c>
      <c r="DD3" s="2034" t="s">
        <v>833</v>
      </c>
      <c r="DE3" s="2035" t="s">
        <v>834</v>
      </c>
      <c r="DF3" s="2035" t="s">
        <v>835</v>
      </c>
      <c r="DG3" s="2038" t="s">
        <v>1017</v>
      </c>
      <c r="DH3" s="2038" t="s">
        <v>1018</v>
      </c>
      <c r="DI3" s="2039" t="s">
        <v>836</v>
      </c>
      <c r="DJ3" s="2048" t="s">
        <v>1078</v>
      </c>
      <c r="DK3" s="2038" t="s">
        <v>1079</v>
      </c>
      <c r="DL3" s="2038" t="s">
        <v>1077</v>
      </c>
      <c r="DM3" s="2038" t="s">
        <v>1076</v>
      </c>
      <c r="DN3" s="2038" t="s">
        <v>1075</v>
      </c>
      <c r="DO3" s="2039" t="s">
        <v>1074</v>
      </c>
      <c r="DP3" s="2034" t="s">
        <v>1182</v>
      </c>
      <c r="DQ3" s="2035" t="s">
        <v>385</v>
      </c>
      <c r="DR3" s="2035" t="s">
        <v>386</v>
      </c>
      <c r="DS3" s="2038" t="s">
        <v>1019</v>
      </c>
      <c r="DT3" s="2038" t="s">
        <v>1020</v>
      </c>
      <c r="DU3" s="2039" t="s">
        <v>387</v>
      </c>
      <c r="DV3" s="2034" t="s">
        <v>388</v>
      </c>
      <c r="DW3" s="2035" t="s">
        <v>389</v>
      </c>
      <c r="DX3" s="2035" t="s">
        <v>390</v>
      </c>
      <c r="DY3" s="2038" t="s">
        <v>1021</v>
      </c>
      <c r="DZ3" s="2038" t="s">
        <v>1022</v>
      </c>
      <c r="EA3" s="2039" t="s">
        <v>391</v>
      </c>
    </row>
    <row r="4" spans="1:131" s="2049" customFormat="1" ht="15" x14ac:dyDescent="0.25">
      <c r="A4" s="2050">
        <v>999</v>
      </c>
      <c r="B4" s="2051" t="s">
        <v>9</v>
      </c>
      <c r="C4" s="2051"/>
      <c r="D4" s="2052">
        <f t="shared" ref="D4:AC4" si="0">SUM(D5:D124)</f>
        <v>13157473.210000001</v>
      </c>
      <c r="E4" s="2053">
        <f t="shared" si="0"/>
        <v>9131449.1799999997</v>
      </c>
      <c r="F4" s="2053">
        <f t="shared" si="0"/>
        <v>4472477.5800000019</v>
      </c>
      <c r="G4" s="2053">
        <f t="shared" si="0"/>
        <v>1592003.4499999981</v>
      </c>
      <c r="H4" s="2053">
        <f t="shared" si="0"/>
        <v>2371817.1500000004</v>
      </c>
      <c r="I4" s="2053">
        <f t="shared" si="0"/>
        <v>30725220.570000004</v>
      </c>
      <c r="J4" s="2053">
        <f t="shared" si="0"/>
        <v>3963820.600000002</v>
      </c>
      <c r="K4" s="2054">
        <f t="shared" si="0"/>
        <v>8436298.1799999997</v>
      </c>
      <c r="L4" s="2055">
        <f t="shared" si="0"/>
        <v>0</v>
      </c>
      <c r="M4" s="2056">
        <f t="shared" si="0"/>
        <v>9382.23</v>
      </c>
      <c r="N4" s="2056">
        <f t="shared" si="0"/>
        <v>0</v>
      </c>
      <c r="O4" s="2056">
        <f t="shared" si="0"/>
        <v>0</v>
      </c>
      <c r="P4" s="2056">
        <f t="shared" si="0"/>
        <v>0</v>
      </c>
      <c r="Q4" s="2057">
        <f t="shared" si="0"/>
        <v>9382.23</v>
      </c>
      <c r="R4" s="2055">
        <f t="shared" si="0"/>
        <v>0</v>
      </c>
      <c r="S4" s="2056">
        <f t="shared" si="0"/>
        <v>0</v>
      </c>
      <c r="T4" s="2056">
        <f t="shared" si="0"/>
        <v>0</v>
      </c>
      <c r="U4" s="2056">
        <f t="shared" si="0"/>
        <v>160963.85999999999</v>
      </c>
      <c r="V4" s="2056">
        <f t="shared" si="0"/>
        <v>113386.01000000001</v>
      </c>
      <c r="W4" s="2057">
        <f t="shared" si="0"/>
        <v>274349.87</v>
      </c>
      <c r="X4" s="2055">
        <f t="shared" si="0"/>
        <v>1400417.6000000003</v>
      </c>
      <c r="Y4" s="2056">
        <f t="shared" si="0"/>
        <v>8336.3799999999992</v>
      </c>
      <c r="Z4" s="2056">
        <f t="shared" si="0"/>
        <v>258410.88000000003</v>
      </c>
      <c r="AA4" s="2056">
        <f t="shared" si="0"/>
        <v>396.77000000000044</v>
      </c>
      <c r="AB4" s="2056">
        <f t="shared" si="0"/>
        <v>6013.99</v>
      </c>
      <c r="AC4" s="2057">
        <f t="shared" si="0"/>
        <v>1673575.6200000006</v>
      </c>
      <c r="AD4" s="2055">
        <f t="shared" ref="AD4:BI4" si="1">SUM(AD5:AD124)</f>
        <v>4407042.6800000025</v>
      </c>
      <c r="AE4" s="2056">
        <f t="shared" si="1"/>
        <v>0</v>
      </c>
      <c r="AF4" s="2056">
        <f t="shared" si="1"/>
        <v>1101760.57</v>
      </c>
      <c r="AG4" s="2056">
        <f t="shared" si="1"/>
        <v>1213984.9000000001</v>
      </c>
      <c r="AH4" s="2056">
        <f t="shared" si="1"/>
        <v>2155150.2000000002</v>
      </c>
      <c r="AI4" s="2057">
        <f t="shared" si="1"/>
        <v>8877938.3499999996</v>
      </c>
      <c r="AJ4" s="2055">
        <f t="shared" si="1"/>
        <v>277103.26</v>
      </c>
      <c r="AK4" s="2056">
        <f t="shared" si="1"/>
        <v>70489.19</v>
      </c>
      <c r="AL4" s="2056">
        <f t="shared" si="1"/>
        <v>63759.739999999991</v>
      </c>
      <c r="AM4" s="2056">
        <f t="shared" si="1"/>
        <v>-0.88000000000000023</v>
      </c>
      <c r="AN4" s="2056">
        <f t="shared" si="1"/>
        <v>0</v>
      </c>
      <c r="AO4" s="2057">
        <f t="shared" si="1"/>
        <v>411351.31</v>
      </c>
      <c r="AP4" s="2055">
        <f t="shared" si="1"/>
        <v>373493.79999999993</v>
      </c>
      <c r="AQ4" s="2056">
        <f t="shared" si="1"/>
        <v>93373.490000000049</v>
      </c>
      <c r="AR4" s="2056">
        <f t="shared" si="1"/>
        <v>0</v>
      </c>
      <c r="AS4" s="2056">
        <f t="shared" si="1"/>
        <v>0</v>
      </c>
      <c r="AT4" s="2056">
        <f t="shared" si="1"/>
        <v>346.5</v>
      </c>
      <c r="AU4" s="2057">
        <f t="shared" si="1"/>
        <v>467213.79000000021</v>
      </c>
      <c r="AV4" s="2058">
        <f t="shared" si="1"/>
        <v>443889.66999999987</v>
      </c>
      <c r="AW4" s="2058">
        <f t="shared" si="1"/>
        <v>110972.47999999998</v>
      </c>
      <c r="AX4" s="2058">
        <f t="shared" si="1"/>
        <v>0</v>
      </c>
      <c r="AY4" s="2058">
        <f t="shared" si="1"/>
        <v>0</v>
      </c>
      <c r="AZ4" s="2058">
        <f t="shared" si="1"/>
        <v>0</v>
      </c>
      <c r="BA4" s="2058">
        <f t="shared" si="1"/>
        <v>554862.15000000014</v>
      </c>
      <c r="BB4" s="2058">
        <f t="shared" si="1"/>
        <v>70073.780000000013</v>
      </c>
      <c r="BC4" s="2058">
        <f t="shared" si="1"/>
        <v>126541.90999999999</v>
      </c>
      <c r="BD4" s="2058">
        <f t="shared" si="1"/>
        <v>0</v>
      </c>
      <c r="BE4" s="2058">
        <f t="shared" si="1"/>
        <v>174.98</v>
      </c>
      <c r="BF4" s="2058">
        <f t="shared" si="1"/>
        <v>285</v>
      </c>
      <c r="BG4" s="2058">
        <f t="shared" si="1"/>
        <v>197075.67000000004</v>
      </c>
      <c r="BH4" s="2055">
        <f t="shared" si="1"/>
        <v>2761257.39</v>
      </c>
      <c r="BI4" s="2056">
        <f t="shared" si="1"/>
        <v>349760.18</v>
      </c>
      <c r="BJ4" s="2056">
        <f t="shared" ref="BJ4:CO4" si="2">SUM(BJ5:BJ124)</f>
        <v>570660.84</v>
      </c>
      <c r="BK4" s="2056">
        <f t="shared" si="2"/>
        <v>44885.210000000036</v>
      </c>
      <c r="BL4" s="2056">
        <f t="shared" si="2"/>
        <v>8501.4599999999991</v>
      </c>
      <c r="BM4" s="2057">
        <f t="shared" si="2"/>
        <v>3735065.0800000005</v>
      </c>
      <c r="BN4" s="2055">
        <f t="shared" si="2"/>
        <v>-16775.14</v>
      </c>
      <c r="BO4" s="2056">
        <f t="shared" si="2"/>
        <v>-16775.14</v>
      </c>
      <c r="BP4" s="2056">
        <f t="shared" si="2"/>
        <v>0</v>
      </c>
      <c r="BQ4" s="2056">
        <f t="shared" si="2"/>
        <v>0.16</v>
      </c>
      <c r="BR4" s="2056">
        <f t="shared" si="2"/>
        <v>0</v>
      </c>
      <c r="BS4" s="2057">
        <f t="shared" si="2"/>
        <v>-33550.120000000003</v>
      </c>
      <c r="BT4" s="2055">
        <f t="shared" si="2"/>
        <v>1884092.2500000019</v>
      </c>
      <c r="BU4" s="2056">
        <f t="shared" si="2"/>
        <v>8021993.0000000009</v>
      </c>
      <c r="BV4" s="2056">
        <f t="shared" si="2"/>
        <v>1817093.9900000007</v>
      </c>
      <c r="BW4" s="2056">
        <f t="shared" si="2"/>
        <v>26769.479999999989</v>
      </c>
      <c r="BX4" s="2056">
        <f t="shared" si="2"/>
        <v>9210.16</v>
      </c>
      <c r="BY4" s="2057">
        <f t="shared" si="2"/>
        <v>11759158.880000001</v>
      </c>
      <c r="BZ4" s="2055">
        <f t="shared" si="2"/>
        <v>375012.41999999987</v>
      </c>
      <c r="CA4" s="2056">
        <f t="shared" si="2"/>
        <v>0</v>
      </c>
      <c r="CB4" s="2056">
        <f t="shared" si="2"/>
        <v>346304.05999999994</v>
      </c>
      <c r="CC4" s="2056">
        <f t="shared" si="2"/>
        <v>49278.630000000005</v>
      </c>
      <c r="CD4" s="2056">
        <f t="shared" si="2"/>
        <v>151.93</v>
      </c>
      <c r="CE4" s="2057">
        <f t="shared" si="2"/>
        <v>770747.03999999969</v>
      </c>
      <c r="CF4" s="2055">
        <f t="shared" si="2"/>
        <v>4539.72</v>
      </c>
      <c r="CG4" s="2056">
        <f t="shared" si="2"/>
        <v>0</v>
      </c>
      <c r="CH4" s="2056">
        <f t="shared" si="2"/>
        <v>8558.15</v>
      </c>
      <c r="CI4" s="2056">
        <f t="shared" si="2"/>
        <v>-0.01</v>
      </c>
      <c r="CJ4" s="2056">
        <f t="shared" si="2"/>
        <v>0</v>
      </c>
      <c r="CK4" s="2057">
        <f t="shared" si="2"/>
        <v>13097.86</v>
      </c>
      <c r="CL4" s="2055">
        <f t="shared" si="2"/>
        <v>-3582.0699999999997</v>
      </c>
      <c r="CM4" s="2056">
        <f t="shared" si="2"/>
        <v>0</v>
      </c>
      <c r="CN4" s="2056">
        <f t="shared" si="2"/>
        <v>0</v>
      </c>
      <c r="CO4" s="2056">
        <f t="shared" si="2"/>
        <v>0</v>
      </c>
      <c r="CP4" s="2056">
        <f t="shared" ref="CP4:DU4" si="3">SUM(CP5:CP124)</f>
        <v>0</v>
      </c>
      <c r="CQ4" s="2057">
        <f t="shared" si="3"/>
        <v>-3582.0699999999997</v>
      </c>
      <c r="CR4" s="2055">
        <f t="shared" si="3"/>
        <v>-8762.69</v>
      </c>
      <c r="CS4" s="2056">
        <f t="shared" si="3"/>
        <v>-8762.69</v>
      </c>
      <c r="CT4" s="2056">
        <f t="shared" si="3"/>
        <v>0</v>
      </c>
      <c r="CU4" s="2056">
        <f t="shared" si="3"/>
        <v>0.08</v>
      </c>
      <c r="CV4" s="2056">
        <f t="shared" si="3"/>
        <v>0</v>
      </c>
      <c r="CW4" s="2057">
        <f t="shared" si="3"/>
        <v>-17525.3</v>
      </c>
      <c r="CX4" s="2055">
        <f t="shared" si="3"/>
        <v>-19924.310000000001</v>
      </c>
      <c r="CY4" s="2056">
        <f t="shared" si="3"/>
        <v>-19824.310000000001</v>
      </c>
      <c r="CZ4" s="2056">
        <f t="shared" si="3"/>
        <v>0</v>
      </c>
      <c r="DA4" s="2056">
        <f t="shared" si="3"/>
        <v>6.0000000000000005E-2</v>
      </c>
      <c r="DB4" s="2056">
        <f t="shared" si="3"/>
        <v>0</v>
      </c>
      <c r="DC4" s="2057">
        <f t="shared" si="3"/>
        <v>-39748.559999999998</v>
      </c>
      <c r="DD4" s="2055">
        <f t="shared" si="3"/>
        <v>-53025.729999999996</v>
      </c>
      <c r="DE4" s="2056">
        <f t="shared" si="3"/>
        <v>0</v>
      </c>
      <c r="DF4" s="2056">
        <f t="shared" si="3"/>
        <v>0</v>
      </c>
      <c r="DG4" s="2056">
        <f t="shared" si="3"/>
        <v>0</v>
      </c>
      <c r="DH4" s="2056">
        <f t="shared" si="3"/>
        <v>0</v>
      </c>
      <c r="DI4" s="2057">
        <f t="shared" si="3"/>
        <v>-53025.729999999996</v>
      </c>
      <c r="DJ4" s="2055">
        <f t="shared" si="3"/>
        <v>-9617.0499999999993</v>
      </c>
      <c r="DK4" s="2056">
        <f t="shared" si="3"/>
        <v>-9617.0499999999993</v>
      </c>
      <c r="DL4" s="2056">
        <f t="shared" si="3"/>
        <v>0</v>
      </c>
      <c r="DM4" s="2056">
        <f t="shared" si="3"/>
        <v>0</v>
      </c>
      <c r="DN4" s="2056">
        <f t="shared" si="3"/>
        <v>0</v>
      </c>
      <c r="DO4" s="2057">
        <f t="shared" si="3"/>
        <v>-19234.099999999999</v>
      </c>
      <c r="DP4" s="2055">
        <f t="shared" si="3"/>
        <v>573303.94000000018</v>
      </c>
      <c r="DQ4" s="2056">
        <f t="shared" si="3"/>
        <v>395579.51000000007</v>
      </c>
      <c r="DR4" s="2056">
        <f t="shared" si="3"/>
        <v>177724.24</v>
      </c>
      <c r="DS4" s="2056">
        <f t="shared" si="3"/>
        <v>17715.070000000003</v>
      </c>
      <c r="DT4" s="2056">
        <f t="shared" si="3"/>
        <v>10589.04</v>
      </c>
      <c r="DU4" s="2057">
        <f t="shared" si="3"/>
        <v>1174911.8</v>
      </c>
      <c r="DV4" s="2055">
        <f t="shared" ref="DV4:EA4" si="4">SUM(DV5:DV124)</f>
        <v>698933.69000000018</v>
      </c>
      <c r="DW4" s="2056">
        <f t="shared" si="4"/>
        <v>0</v>
      </c>
      <c r="DX4" s="2056">
        <f t="shared" si="4"/>
        <v>128205.11</v>
      </c>
      <c r="DY4" s="2056">
        <f t="shared" si="4"/>
        <v>77835.14</v>
      </c>
      <c r="DZ4" s="2056">
        <f t="shared" si="4"/>
        <v>68182.86</v>
      </c>
      <c r="EA4" s="2057">
        <f t="shared" si="4"/>
        <v>973156.7999999997</v>
      </c>
    </row>
    <row r="5" spans="1:131" s="2049" customFormat="1" ht="15" customHeight="1" x14ac:dyDescent="0.25">
      <c r="A5" s="2059" t="s">
        <v>10</v>
      </c>
      <c r="B5" s="2060" t="s">
        <v>11</v>
      </c>
      <c r="C5" s="2061" t="s">
        <v>264</v>
      </c>
      <c r="D5" s="2062">
        <f>L5+R5+X5+AD5+AJ5+AP5+AV5+BB5+BH5+BN5+BT5+BZ5+CF5+CL5+CR5+CX5+DD5+DJ5+DP5+DV5</f>
        <v>75043.116412817908</v>
      </c>
      <c r="E5" s="2063">
        <f>M5+S5+Y5+AE5+AK5+AQ5+AW5+BC5+BI5+BO5+BU5+CA5+CG5+CM5+CS5+CY5+DE5+DK5+DQ5+DW5</f>
        <v>10340.553587182094</v>
      </c>
      <c r="F5" s="2063">
        <f>N5+T5+Z5+AF5+AL5+AR5+AX5+BD5+BJ5+BP5+BV5+CB5+CH5+CN5+CT5+CZ5+DF5+DL5+DR5+DX5</f>
        <v>20671.060000000001</v>
      </c>
      <c r="G5" s="2063">
        <f>O5+U5+AA5+AG5+AM5+AS5+AY5+BE5+BK5+BQ5+BW5+CC5+CI5+CO5+CU5+DA5+DG5+DM5+DS5+DY5</f>
        <v>234.57999999999998</v>
      </c>
      <c r="H5" s="2063">
        <f>P5+V5+AB5+AH5+AN5+AT5+AZ5+BF5+BL5+BR5+BX5+CD5+CJ5+CP5+CV5+DB5+DH5+DN5+DT5+DZ5</f>
        <v>0</v>
      </c>
      <c r="I5" s="2063">
        <f t="shared" ref="I5:I36" si="5">SUM(D5:H5)</f>
        <v>106289.31</v>
      </c>
      <c r="J5" s="2063">
        <f t="shared" ref="J5:J36" si="6">G5+H5</f>
        <v>234.57999999999998</v>
      </c>
      <c r="K5" s="2064">
        <f t="shared" ref="K5:K36" si="7">F5+J5</f>
        <v>20905.640000000003</v>
      </c>
      <c r="L5" s="2065">
        <v>0</v>
      </c>
      <c r="M5" s="2066">
        <v>866.23</v>
      </c>
      <c r="N5" s="2066">
        <v>0</v>
      </c>
      <c r="O5" s="2066">
        <v>0</v>
      </c>
      <c r="P5" s="2066">
        <v>0</v>
      </c>
      <c r="Q5" s="2067">
        <f t="shared" ref="Q5:Q36" si="8">SUM(L5:P5)</f>
        <v>866.23</v>
      </c>
      <c r="R5" s="2068">
        <v>0</v>
      </c>
      <c r="S5" s="2069">
        <v>0</v>
      </c>
      <c r="T5" s="2069">
        <v>0</v>
      </c>
      <c r="U5" s="2069">
        <v>234.64</v>
      </c>
      <c r="V5" s="2070">
        <v>0</v>
      </c>
      <c r="W5" s="2071">
        <f t="shared" ref="W5:W36" si="9">SUM(R5:V5)</f>
        <v>234.64</v>
      </c>
      <c r="X5" s="2068">
        <v>4525.3500000000004</v>
      </c>
      <c r="Y5" s="2069">
        <v>26.94</v>
      </c>
      <c r="Z5" s="2069">
        <v>835.03</v>
      </c>
      <c r="AA5" s="2069">
        <v>0</v>
      </c>
      <c r="AB5" s="2069">
        <v>0</v>
      </c>
      <c r="AC5" s="2071">
        <f t="shared" ref="AC5:AC36" si="10">SUM(X5:AB5)</f>
        <v>5387.32</v>
      </c>
      <c r="AD5" s="2072">
        <v>38220.79</v>
      </c>
      <c r="AE5" s="2073">
        <v>0</v>
      </c>
      <c r="AF5" s="2073">
        <v>9555.2199999999993</v>
      </c>
      <c r="AG5" s="2073">
        <v>0</v>
      </c>
      <c r="AH5" s="2073">
        <v>0</v>
      </c>
      <c r="AI5" s="2074">
        <f t="shared" ref="AI5:AI36" si="11">SUM(AD5:AH5)</f>
        <v>47776.01</v>
      </c>
      <c r="AJ5" s="2075"/>
      <c r="AK5" s="2076"/>
      <c r="AL5" s="2076"/>
      <c r="AM5" s="2076"/>
      <c r="AN5" s="2076"/>
      <c r="AO5" s="2077">
        <f t="shared" ref="AO5:AO36" si="12">SUM(AJ5:AN5)</f>
        <v>0</v>
      </c>
      <c r="AP5" s="2075">
        <v>675.8</v>
      </c>
      <c r="AQ5" s="2076">
        <v>168.95</v>
      </c>
      <c r="AR5" s="2076">
        <v>0</v>
      </c>
      <c r="AS5" s="2076">
        <v>0</v>
      </c>
      <c r="AT5" s="2076">
        <v>0</v>
      </c>
      <c r="AU5" s="2077">
        <f t="shared" ref="AU5:AU36" si="13">SUM(AP5:AT5)</f>
        <v>844.75</v>
      </c>
      <c r="AV5" s="2078">
        <v>119.94</v>
      </c>
      <c r="AW5" s="2079">
        <v>29.98</v>
      </c>
      <c r="AX5" s="2079">
        <v>0</v>
      </c>
      <c r="AY5" s="2079">
        <v>0</v>
      </c>
      <c r="AZ5" s="2080">
        <v>0</v>
      </c>
      <c r="BA5" s="2081">
        <f t="shared" ref="BA5:BA36" si="14">SUM(AV5:AZ5)</f>
        <v>149.91999999999999</v>
      </c>
      <c r="BB5" s="2082">
        <v>6.56</v>
      </c>
      <c r="BC5" s="2083">
        <v>11.84</v>
      </c>
      <c r="BD5" s="2083">
        <v>0</v>
      </c>
      <c r="BE5" s="2083">
        <v>0</v>
      </c>
      <c r="BF5" s="2083">
        <v>0</v>
      </c>
      <c r="BG5" s="2084">
        <f t="shared" ref="BG5:BG36" si="15">SUM(BB5:BF5)</f>
        <v>18.399999999999999</v>
      </c>
      <c r="BH5" s="2085">
        <v>9296.07</v>
      </c>
      <c r="BI5" s="2086">
        <v>1177.52</v>
      </c>
      <c r="BJ5" s="2086">
        <v>1921.2</v>
      </c>
      <c r="BK5" s="2086">
        <v>-0.03</v>
      </c>
      <c r="BL5" s="2086">
        <v>0</v>
      </c>
      <c r="BM5" s="2087">
        <f t="shared" ref="BM5:BM36" si="16">SUM(BH5:BL5)</f>
        <v>12394.76</v>
      </c>
      <c r="BN5" s="2072"/>
      <c r="BO5" s="2073"/>
      <c r="BP5" s="2073"/>
      <c r="BQ5" s="2073"/>
      <c r="BR5" s="2073"/>
      <c r="BS5" s="2074">
        <f t="shared" ref="BS5:BS36" si="17">SUM(BN5:BR5)</f>
        <v>0</v>
      </c>
      <c r="BT5" s="2072">
        <v>968.37641281790684</v>
      </c>
      <c r="BU5" s="2073">
        <v>6066.9535871820935</v>
      </c>
      <c r="BV5" s="2073">
        <v>1290.51</v>
      </c>
      <c r="BW5" s="2073">
        <v>-0.05</v>
      </c>
      <c r="BX5" s="2073">
        <v>0</v>
      </c>
      <c r="BY5" s="2074">
        <f t="shared" ref="BY5:BY36" si="18">SUM(BT5:BX5)</f>
        <v>8325.7900000000009</v>
      </c>
      <c r="BZ5" s="2072">
        <v>3657.59</v>
      </c>
      <c r="CA5" s="2073">
        <v>0</v>
      </c>
      <c r="CB5" s="2073">
        <v>3377.57</v>
      </c>
      <c r="CC5" s="2073">
        <v>0</v>
      </c>
      <c r="CD5" s="2073">
        <v>0</v>
      </c>
      <c r="CE5" s="2074">
        <f t="shared" ref="CE5:CE36" si="19">SUM(BZ5:CD5)</f>
        <v>7035.16</v>
      </c>
      <c r="CF5" s="2085"/>
      <c r="CG5" s="2086"/>
      <c r="CH5" s="2086"/>
      <c r="CI5" s="2086"/>
      <c r="CJ5" s="2086"/>
      <c r="CK5" s="2087">
        <f t="shared" ref="CK5:CK36" si="20">SUM(CF5:CJ5)</f>
        <v>0</v>
      </c>
      <c r="CL5" s="2072"/>
      <c r="CM5" s="2073"/>
      <c r="CN5" s="2073"/>
      <c r="CO5" s="2073"/>
      <c r="CP5" s="2073"/>
      <c r="CQ5" s="2074">
        <f t="shared" ref="CQ5:CQ36" si="21">SUM(CL5:CP5)</f>
        <v>0</v>
      </c>
      <c r="CR5" s="2085"/>
      <c r="CS5" s="2086"/>
      <c r="CT5" s="2086"/>
      <c r="CU5" s="2086"/>
      <c r="CV5" s="2086"/>
      <c r="CW5" s="2087">
        <f t="shared" ref="CW5:CW36" si="22">SUM(CR5:CV5)</f>
        <v>0</v>
      </c>
      <c r="CX5" s="2072">
        <v>-63.5</v>
      </c>
      <c r="CY5" s="2073">
        <v>-63.5</v>
      </c>
      <c r="CZ5" s="2073">
        <v>0</v>
      </c>
      <c r="DA5" s="2073">
        <v>0</v>
      </c>
      <c r="DB5" s="2073">
        <v>0</v>
      </c>
      <c r="DC5" s="2074">
        <f t="shared" ref="DC5:DC36" si="23">SUM(CX5:DB5)</f>
        <v>-127</v>
      </c>
      <c r="DD5" s="2072">
        <v>-373</v>
      </c>
      <c r="DE5" s="2073">
        <v>0</v>
      </c>
      <c r="DF5" s="2073">
        <v>0</v>
      </c>
      <c r="DG5" s="2073">
        <v>0</v>
      </c>
      <c r="DH5" s="2073">
        <v>0</v>
      </c>
      <c r="DI5" s="2074">
        <f t="shared" ref="DI5:DI36" si="24">SUM(DD5:DH5)</f>
        <v>-373</v>
      </c>
      <c r="DJ5" s="2072">
        <v>-30</v>
      </c>
      <c r="DK5" s="2073">
        <v>-30</v>
      </c>
      <c r="DL5" s="2073">
        <v>0</v>
      </c>
      <c r="DM5" s="2073">
        <v>0</v>
      </c>
      <c r="DN5" s="2073">
        <v>0</v>
      </c>
      <c r="DO5" s="2074">
        <f t="shared" ref="DO5:DO36" si="25">SUM(DJ5:DN5)</f>
        <v>-60</v>
      </c>
      <c r="DP5" s="2072">
        <v>3022.67</v>
      </c>
      <c r="DQ5" s="2073">
        <v>2085.64</v>
      </c>
      <c r="DR5" s="2073">
        <v>937.03</v>
      </c>
      <c r="DS5" s="2073">
        <v>-0.01</v>
      </c>
      <c r="DT5" s="2073">
        <v>0</v>
      </c>
      <c r="DU5" s="2088">
        <f t="shared" ref="DU5:DU36" si="26">SUM(DP5:DT5)</f>
        <v>6045.329999999999</v>
      </c>
      <c r="DV5" s="2072">
        <v>15016.47</v>
      </c>
      <c r="DW5" s="2073">
        <v>0</v>
      </c>
      <c r="DX5" s="2073">
        <v>2754.5</v>
      </c>
      <c r="DY5" s="2073">
        <v>0.03</v>
      </c>
      <c r="DZ5" s="2073">
        <v>0</v>
      </c>
      <c r="EA5" s="2074">
        <f t="shared" ref="EA5:EA36" si="27">SUM(DV5:DZ5)</f>
        <v>17771</v>
      </c>
    </row>
    <row r="6" spans="1:131" s="2049" customFormat="1" ht="15" customHeight="1" x14ac:dyDescent="0.25">
      <c r="A6" s="2089" t="s">
        <v>12</v>
      </c>
      <c r="B6" s="2090" t="s">
        <v>13</v>
      </c>
      <c r="C6" s="2091" t="s">
        <v>265</v>
      </c>
      <c r="D6" s="2092">
        <f t="shared" ref="D6:D69" si="28">L6+R6+X6+AD6+AJ6+AP6+AV6+BB6+BH6+BN6+BT6+BZ6+CF6+CL6+CR6+CX6+DD6+DJ6+DP6+DV6</f>
        <v>239707.6518660039</v>
      </c>
      <c r="E6" s="2093">
        <f t="shared" ref="E6:E69" si="29">M6+S6+Y6+AE6+AK6+AQ6+AW6+BC6+BI6+BO6+BU6+CA6+CG6+CM6+CS6+CY6+DE6+DK6+DQ6+DW6</f>
        <v>83166.57813399611</v>
      </c>
      <c r="F6" s="2093">
        <f t="shared" ref="F6:F69" si="30">N6+T6+Z6+AF6+AL6+AR6+AX6+BD6+BJ6+BP6+BV6+CB6+CH6+CN6+CT6+CZ6+DF6+DL6+DR6+DX6</f>
        <v>54066.930000000008</v>
      </c>
      <c r="G6" s="2093">
        <f t="shared" ref="G6:G69" si="31">O6+U6+AA6+AG6+AM6+AS6+AY6+BE6+BK6+BQ6+BW6+CC6+CI6+CO6+CU6+DA6+DG6+DM6+DS6+DY6</f>
        <v>28669.549999999996</v>
      </c>
      <c r="H6" s="2093">
        <f t="shared" ref="H6:H69" si="32">P6+V6+AB6+AH6+AN6+AT6+AZ6+BF6+BL6+BR6+BX6+CD6+CJ6+CP6+CV6+DB6+DH6+DN6+DT6+DZ6</f>
        <v>0</v>
      </c>
      <c r="I6" s="2093">
        <f t="shared" si="5"/>
        <v>405610.70999999996</v>
      </c>
      <c r="J6" s="2093">
        <f t="shared" si="6"/>
        <v>28669.549999999996</v>
      </c>
      <c r="K6" s="2094">
        <f t="shared" si="7"/>
        <v>82736.48000000001</v>
      </c>
      <c r="L6" s="2095"/>
      <c r="M6" s="2096"/>
      <c r="N6" s="2096"/>
      <c r="O6" s="2096"/>
      <c r="P6" s="2096"/>
      <c r="Q6" s="2097">
        <f t="shared" si="8"/>
        <v>0</v>
      </c>
      <c r="R6" s="2098"/>
      <c r="S6" s="2099"/>
      <c r="T6" s="2099"/>
      <c r="U6" s="2099"/>
      <c r="V6" s="2099"/>
      <c r="W6" s="2100">
        <f t="shared" si="9"/>
        <v>0</v>
      </c>
      <c r="X6" s="2101">
        <v>27403.18</v>
      </c>
      <c r="Y6" s="2102">
        <v>163.11000000000001</v>
      </c>
      <c r="Z6" s="2102">
        <v>5056.54</v>
      </c>
      <c r="AA6" s="2102">
        <v>0.01</v>
      </c>
      <c r="AB6" s="2102">
        <v>0</v>
      </c>
      <c r="AC6" s="2100">
        <f t="shared" si="10"/>
        <v>32622.84</v>
      </c>
      <c r="AD6" s="2103">
        <v>104105.59</v>
      </c>
      <c r="AE6" s="2104">
        <v>0</v>
      </c>
      <c r="AF6" s="2104">
        <v>26026.41</v>
      </c>
      <c r="AG6" s="2104">
        <v>28669.61</v>
      </c>
      <c r="AH6" s="2104">
        <v>0</v>
      </c>
      <c r="AI6" s="2105">
        <f t="shared" si="11"/>
        <v>158801.60999999999</v>
      </c>
      <c r="AJ6" s="2098"/>
      <c r="AK6" s="2099"/>
      <c r="AL6" s="2099"/>
      <c r="AM6" s="2099"/>
      <c r="AN6" s="2099"/>
      <c r="AO6" s="2106">
        <f t="shared" si="12"/>
        <v>0</v>
      </c>
      <c r="AP6" s="2101">
        <v>18317.48</v>
      </c>
      <c r="AQ6" s="2102">
        <v>4579.38</v>
      </c>
      <c r="AR6" s="2102">
        <v>0</v>
      </c>
      <c r="AS6" s="2102">
        <v>0</v>
      </c>
      <c r="AT6" s="2102">
        <v>0</v>
      </c>
      <c r="AU6" s="2106">
        <f t="shared" si="13"/>
        <v>22896.86</v>
      </c>
      <c r="AV6" s="2107">
        <v>20809.41</v>
      </c>
      <c r="AW6" s="2108">
        <v>5202.37</v>
      </c>
      <c r="AX6" s="2108">
        <v>0</v>
      </c>
      <c r="AY6" s="2108">
        <v>0</v>
      </c>
      <c r="AZ6" s="2109">
        <v>0</v>
      </c>
      <c r="BA6" s="2110">
        <f t="shared" si="14"/>
        <v>26011.78</v>
      </c>
      <c r="BB6" s="2111">
        <v>6056.67</v>
      </c>
      <c r="BC6" s="2112">
        <v>10937.33</v>
      </c>
      <c r="BD6" s="2112">
        <v>0</v>
      </c>
      <c r="BE6" s="2112">
        <v>0</v>
      </c>
      <c r="BF6" s="2113">
        <v>0</v>
      </c>
      <c r="BG6" s="2114">
        <f t="shared" si="15"/>
        <v>16994</v>
      </c>
      <c r="BH6" s="2115">
        <v>54707.199999999997</v>
      </c>
      <c r="BI6" s="2116">
        <v>6929.59</v>
      </c>
      <c r="BJ6" s="2116">
        <v>11306.18</v>
      </c>
      <c r="BK6" s="2116">
        <v>-0.08</v>
      </c>
      <c r="BL6" s="2116">
        <v>0</v>
      </c>
      <c r="BM6" s="2117">
        <f t="shared" si="16"/>
        <v>72942.89</v>
      </c>
      <c r="BN6" s="2103"/>
      <c r="BO6" s="2104"/>
      <c r="BP6" s="2104"/>
      <c r="BQ6" s="2104"/>
      <c r="BR6" s="2104"/>
      <c r="BS6" s="2105">
        <f t="shared" si="17"/>
        <v>0</v>
      </c>
      <c r="BT6" s="2103">
        <v>8734.8818660038924</v>
      </c>
      <c r="BU6" s="2104">
        <v>55354.798133996112</v>
      </c>
      <c r="BV6" s="2104">
        <v>11756.11</v>
      </c>
      <c r="BW6" s="2104">
        <v>-0.06</v>
      </c>
      <c r="BX6" s="2104">
        <v>0</v>
      </c>
      <c r="BY6" s="2105">
        <f t="shared" si="18"/>
        <v>75845.73000000001</v>
      </c>
      <c r="BZ6" s="2115"/>
      <c r="CA6" s="2116"/>
      <c r="CB6" s="2116"/>
      <c r="CC6" s="2116"/>
      <c r="CD6" s="2116"/>
      <c r="CE6" s="2105">
        <f t="shared" si="19"/>
        <v>0</v>
      </c>
      <c r="CF6" s="2115"/>
      <c r="CG6" s="2116"/>
      <c r="CH6" s="2116"/>
      <c r="CI6" s="2116"/>
      <c r="CJ6" s="2116"/>
      <c r="CK6" s="2117">
        <f t="shared" si="20"/>
        <v>0</v>
      </c>
      <c r="CL6" s="2115"/>
      <c r="CM6" s="2116"/>
      <c r="CN6" s="2116"/>
      <c r="CO6" s="2116"/>
      <c r="CP6" s="2116"/>
      <c r="CQ6" s="2105">
        <f t="shared" si="21"/>
        <v>0</v>
      </c>
      <c r="CR6" s="2103"/>
      <c r="CS6" s="2104"/>
      <c r="CT6" s="2104"/>
      <c r="CU6" s="2104"/>
      <c r="CV6" s="2104"/>
      <c r="CW6" s="2117">
        <f t="shared" si="22"/>
        <v>0</v>
      </c>
      <c r="CX6" s="2103"/>
      <c r="CY6" s="2104"/>
      <c r="CZ6" s="2104"/>
      <c r="DA6" s="2104"/>
      <c r="DB6" s="2104"/>
      <c r="DC6" s="2105">
        <f t="shared" si="23"/>
        <v>0</v>
      </c>
      <c r="DD6" s="2103"/>
      <c r="DE6" s="2104"/>
      <c r="DF6" s="2104"/>
      <c r="DG6" s="2104"/>
      <c r="DH6" s="2104"/>
      <c r="DI6" s="2105">
        <f t="shared" si="24"/>
        <v>0</v>
      </c>
      <c r="DJ6" s="2103"/>
      <c r="DK6" s="2104"/>
      <c r="DL6" s="2104"/>
      <c r="DM6" s="2104"/>
      <c r="DN6" s="2104"/>
      <c r="DO6" s="2105">
        <f t="shared" si="25"/>
        <v>0</v>
      </c>
      <c r="DP6" s="2103"/>
      <c r="DQ6" s="2104"/>
      <c r="DR6" s="2104"/>
      <c r="DS6" s="2104"/>
      <c r="DT6" s="2104"/>
      <c r="DU6" s="2118">
        <f t="shared" si="26"/>
        <v>0</v>
      </c>
      <c r="DV6" s="2115">
        <v>-426.76</v>
      </c>
      <c r="DW6" s="2116">
        <v>0</v>
      </c>
      <c r="DX6" s="2116">
        <v>-78.31</v>
      </c>
      <c r="DY6" s="2116">
        <v>7.0000000000000007E-2</v>
      </c>
      <c r="DZ6" s="2116">
        <v>0</v>
      </c>
      <c r="EA6" s="2105">
        <f t="shared" si="27"/>
        <v>-505</v>
      </c>
    </row>
    <row r="7" spans="1:131" s="2049" customFormat="1" ht="15" customHeight="1" x14ac:dyDescent="0.25">
      <c r="A7" s="2089" t="s">
        <v>16</v>
      </c>
      <c r="B7" s="2090" t="s">
        <v>297</v>
      </c>
      <c r="C7" s="2091" t="s">
        <v>265</v>
      </c>
      <c r="D7" s="2092">
        <f t="shared" si="28"/>
        <v>94785.241430093927</v>
      </c>
      <c r="E7" s="2093">
        <f t="shared" si="29"/>
        <v>19669.938569906069</v>
      </c>
      <c r="F7" s="2093">
        <f t="shared" si="30"/>
        <v>23466.14</v>
      </c>
      <c r="G7" s="2093">
        <f t="shared" si="31"/>
        <v>302.27999999999997</v>
      </c>
      <c r="H7" s="2093">
        <f t="shared" si="32"/>
        <v>0</v>
      </c>
      <c r="I7" s="2093">
        <f t="shared" si="5"/>
        <v>138223.6</v>
      </c>
      <c r="J7" s="2093">
        <f t="shared" si="6"/>
        <v>302.27999999999997</v>
      </c>
      <c r="K7" s="2094">
        <f t="shared" si="7"/>
        <v>23768.42</v>
      </c>
      <c r="L7" s="2095"/>
      <c r="M7" s="2096"/>
      <c r="N7" s="2096"/>
      <c r="O7" s="2096"/>
      <c r="P7" s="2096"/>
      <c r="Q7" s="2097">
        <f t="shared" si="8"/>
        <v>0</v>
      </c>
      <c r="R7" s="2098"/>
      <c r="S7" s="2099"/>
      <c r="T7" s="2099"/>
      <c r="U7" s="2099"/>
      <c r="V7" s="2099"/>
      <c r="W7" s="2100">
        <f t="shared" si="9"/>
        <v>0</v>
      </c>
      <c r="X7" s="2101">
        <v>3770.77</v>
      </c>
      <c r="Y7" s="2102">
        <v>22.45</v>
      </c>
      <c r="Z7" s="2102">
        <v>695.79</v>
      </c>
      <c r="AA7" s="2102">
        <v>-0.01</v>
      </c>
      <c r="AB7" s="2102">
        <v>0</v>
      </c>
      <c r="AC7" s="2100">
        <f t="shared" si="10"/>
        <v>4489</v>
      </c>
      <c r="AD7" s="2103">
        <v>49985.98</v>
      </c>
      <c r="AE7" s="2104">
        <v>0</v>
      </c>
      <c r="AF7" s="2104">
        <v>12496.46</v>
      </c>
      <c r="AG7" s="2104">
        <v>0</v>
      </c>
      <c r="AH7" s="2104">
        <v>0</v>
      </c>
      <c r="AI7" s="2105">
        <f t="shared" si="11"/>
        <v>62482.44</v>
      </c>
      <c r="AJ7" s="2098"/>
      <c r="AK7" s="2099"/>
      <c r="AL7" s="2099"/>
      <c r="AM7" s="2099"/>
      <c r="AN7" s="2099"/>
      <c r="AO7" s="2106">
        <f t="shared" si="12"/>
        <v>0</v>
      </c>
      <c r="AP7" s="2101">
        <v>3940.39</v>
      </c>
      <c r="AQ7" s="2102">
        <v>985.1</v>
      </c>
      <c r="AR7" s="2102">
        <v>0</v>
      </c>
      <c r="AS7" s="2102">
        <v>0</v>
      </c>
      <c r="AT7" s="2102">
        <v>0</v>
      </c>
      <c r="AU7" s="2106">
        <f t="shared" si="13"/>
        <v>4925.49</v>
      </c>
      <c r="AV7" s="2107">
        <v>613.96</v>
      </c>
      <c r="AW7" s="2108">
        <v>153.49</v>
      </c>
      <c r="AX7" s="2108">
        <v>0</v>
      </c>
      <c r="AY7" s="2108">
        <v>0</v>
      </c>
      <c r="AZ7" s="2109">
        <v>0</v>
      </c>
      <c r="BA7" s="2110">
        <f t="shared" si="14"/>
        <v>767.45</v>
      </c>
      <c r="BB7" s="2119"/>
      <c r="BC7" s="2120"/>
      <c r="BD7" s="2120"/>
      <c r="BE7" s="2120"/>
      <c r="BF7" s="2120"/>
      <c r="BG7" s="2114">
        <f t="shared" si="15"/>
        <v>0</v>
      </c>
      <c r="BH7" s="2103">
        <v>3774.47</v>
      </c>
      <c r="BI7" s="2104">
        <v>478.1</v>
      </c>
      <c r="BJ7" s="2104">
        <v>780.05</v>
      </c>
      <c r="BK7" s="2104">
        <v>0</v>
      </c>
      <c r="BL7" s="2104">
        <v>0</v>
      </c>
      <c r="BM7" s="2117">
        <f t="shared" si="16"/>
        <v>5032.62</v>
      </c>
      <c r="BN7" s="2103"/>
      <c r="BO7" s="2104"/>
      <c r="BP7" s="2104"/>
      <c r="BQ7" s="2104"/>
      <c r="BR7" s="2104"/>
      <c r="BS7" s="2105">
        <f t="shared" si="17"/>
        <v>0</v>
      </c>
      <c r="BT7" s="2103">
        <v>6880.5514300939294</v>
      </c>
      <c r="BU7" s="2104">
        <v>10915.168569906071</v>
      </c>
      <c r="BV7" s="2104">
        <v>3264.31</v>
      </c>
      <c r="BW7" s="2104">
        <v>0.02</v>
      </c>
      <c r="BX7" s="2104">
        <v>0</v>
      </c>
      <c r="BY7" s="2105">
        <f t="shared" si="18"/>
        <v>21060.050000000003</v>
      </c>
      <c r="BZ7" s="2103">
        <v>216.74</v>
      </c>
      <c r="CA7" s="2104">
        <v>0</v>
      </c>
      <c r="CB7" s="2104">
        <v>200.14</v>
      </c>
      <c r="CC7" s="2104">
        <v>0</v>
      </c>
      <c r="CD7" s="2104">
        <v>0</v>
      </c>
      <c r="CE7" s="2105">
        <f t="shared" si="19"/>
        <v>416.88</v>
      </c>
      <c r="CF7" s="2115"/>
      <c r="CG7" s="2116"/>
      <c r="CH7" s="2116"/>
      <c r="CI7" s="2116"/>
      <c r="CJ7" s="2116"/>
      <c r="CK7" s="2117">
        <f t="shared" si="20"/>
        <v>0</v>
      </c>
      <c r="CL7" s="2103"/>
      <c r="CM7" s="2104"/>
      <c r="CN7" s="2104"/>
      <c r="CO7" s="2104"/>
      <c r="CP7" s="2104"/>
      <c r="CQ7" s="2105">
        <f t="shared" si="21"/>
        <v>0</v>
      </c>
      <c r="CR7" s="2115"/>
      <c r="CS7" s="2116"/>
      <c r="CT7" s="2116"/>
      <c r="CU7" s="2116"/>
      <c r="CV7" s="2116"/>
      <c r="CW7" s="2117">
        <f t="shared" si="22"/>
        <v>0</v>
      </c>
      <c r="CX7" s="2103"/>
      <c r="CY7" s="2104"/>
      <c r="CZ7" s="2104"/>
      <c r="DA7" s="2104"/>
      <c r="DB7" s="2104"/>
      <c r="DC7" s="2105">
        <f t="shared" si="23"/>
        <v>0</v>
      </c>
      <c r="DD7" s="2103">
        <v>-152</v>
      </c>
      <c r="DE7" s="2104">
        <v>0</v>
      </c>
      <c r="DF7" s="2104">
        <v>0</v>
      </c>
      <c r="DG7" s="2104">
        <v>0</v>
      </c>
      <c r="DH7" s="2104">
        <v>0</v>
      </c>
      <c r="DI7" s="2105">
        <f t="shared" si="24"/>
        <v>-152</v>
      </c>
      <c r="DJ7" s="2103"/>
      <c r="DK7" s="2104"/>
      <c r="DL7" s="2104"/>
      <c r="DM7" s="2104"/>
      <c r="DN7" s="2104"/>
      <c r="DO7" s="2105">
        <f t="shared" si="25"/>
        <v>0</v>
      </c>
      <c r="DP7" s="2103">
        <v>10312.51</v>
      </c>
      <c r="DQ7" s="2104">
        <v>7115.63</v>
      </c>
      <c r="DR7" s="2104">
        <v>3196.87</v>
      </c>
      <c r="DS7" s="2104">
        <v>302.31</v>
      </c>
      <c r="DT7" s="2104">
        <v>0</v>
      </c>
      <c r="DU7" s="2118">
        <f t="shared" si="26"/>
        <v>20927.32</v>
      </c>
      <c r="DV7" s="2103">
        <v>15441.87</v>
      </c>
      <c r="DW7" s="2104">
        <v>0</v>
      </c>
      <c r="DX7" s="2104">
        <v>2832.5200000000004</v>
      </c>
      <c r="DY7" s="2104">
        <v>-0.04</v>
      </c>
      <c r="DZ7" s="2104">
        <v>0</v>
      </c>
      <c r="EA7" s="2105">
        <f t="shared" si="27"/>
        <v>18274.349999999999</v>
      </c>
    </row>
    <row r="8" spans="1:131" s="2049" customFormat="1" ht="15" customHeight="1" x14ac:dyDescent="0.25">
      <c r="A8" s="2089" t="s">
        <v>18</v>
      </c>
      <c r="B8" s="2090" t="s">
        <v>19</v>
      </c>
      <c r="C8" s="2091" t="s">
        <v>266</v>
      </c>
      <c r="D8" s="2092">
        <f t="shared" si="28"/>
        <v>18763.089838876156</v>
      </c>
      <c r="E8" s="2093">
        <f t="shared" si="29"/>
        <v>28748.780161123839</v>
      </c>
      <c r="F8" s="2093">
        <f t="shared" si="30"/>
        <v>8910.369999999999</v>
      </c>
      <c r="G8" s="2093">
        <f t="shared" si="31"/>
        <v>1.0000000000000002E-2</v>
      </c>
      <c r="H8" s="2093">
        <f t="shared" si="32"/>
        <v>0</v>
      </c>
      <c r="I8" s="2093">
        <f t="shared" si="5"/>
        <v>56422.249999999993</v>
      </c>
      <c r="J8" s="2093">
        <f t="shared" si="6"/>
        <v>1.0000000000000002E-2</v>
      </c>
      <c r="K8" s="2094">
        <f t="shared" si="7"/>
        <v>8910.3799999999992</v>
      </c>
      <c r="L8" s="2095"/>
      <c r="M8" s="2096"/>
      <c r="N8" s="2096"/>
      <c r="O8" s="2096"/>
      <c r="P8" s="2096"/>
      <c r="Q8" s="2097">
        <f t="shared" si="8"/>
        <v>0</v>
      </c>
      <c r="R8" s="2101"/>
      <c r="S8" s="2102"/>
      <c r="T8" s="2102"/>
      <c r="U8" s="2102"/>
      <c r="V8" s="2102"/>
      <c r="W8" s="2100">
        <f t="shared" si="9"/>
        <v>0</v>
      </c>
      <c r="X8" s="2101">
        <v>490.77</v>
      </c>
      <c r="Y8" s="2102">
        <v>2.92</v>
      </c>
      <c r="Z8" s="2102">
        <v>90.56</v>
      </c>
      <c r="AA8" s="2102">
        <v>0</v>
      </c>
      <c r="AB8" s="2102">
        <v>0</v>
      </c>
      <c r="AC8" s="2100">
        <f t="shared" si="10"/>
        <v>584.25</v>
      </c>
      <c r="AD8" s="2103">
        <v>2932.6</v>
      </c>
      <c r="AE8" s="2104">
        <v>0</v>
      </c>
      <c r="AF8" s="2104">
        <v>733.15</v>
      </c>
      <c r="AG8" s="2104">
        <v>0</v>
      </c>
      <c r="AH8" s="2104">
        <v>0</v>
      </c>
      <c r="AI8" s="2105">
        <f t="shared" si="11"/>
        <v>3665.75</v>
      </c>
      <c r="AJ8" s="2098"/>
      <c r="AK8" s="2099"/>
      <c r="AL8" s="2099"/>
      <c r="AM8" s="2099"/>
      <c r="AN8" s="2099"/>
      <c r="AO8" s="2106">
        <f t="shared" si="12"/>
        <v>0</v>
      </c>
      <c r="AP8" s="2101"/>
      <c r="AQ8" s="2102"/>
      <c r="AR8" s="2102"/>
      <c r="AS8" s="2102"/>
      <c r="AT8" s="2102"/>
      <c r="AU8" s="2106">
        <f t="shared" si="13"/>
        <v>0</v>
      </c>
      <c r="AV8" s="2107"/>
      <c r="AW8" s="2108"/>
      <c r="AX8" s="2108"/>
      <c r="AY8" s="2108"/>
      <c r="AZ8" s="2109"/>
      <c r="BA8" s="2110">
        <f t="shared" si="14"/>
        <v>0</v>
      </c>
      <c r="BB8" s="2119"/>
      <c r="BC8" s="2120"/>
      <c r="BD8" s="2120"/>
      <c r="BE8" s="2120"/>
      <c r="BF8" s="2120"/>
      <c r="BG8" s="2114">
        <f t="shared" si="15"/>
        <v>0</v>
      </c>
      <c r="BH8" s="2103">
        <v>7981.91</v>
      </c>
      <c r="BI8" s="2104">
        <v>1011.04</v>
      </c>
      <c r="BJ8" s="2104">
        <v>1649.59</v>
      </c>
      <c r="BK8" s="2104">
        <v>0</v>
      </c>
      <c r="BL8" s="2104">
        <v>0</v>
      </c>
      <c r="BM8" s="2117">
        <f t="shared" si="16"/>
        <v>10642.54</v>
      </c>
      <c r="BN8" s="2103"/>
      <c r="BO8" s="2104"/>
      <c r="BP8" s="2104"/>
      <c r="BQ8" s="2104"/>
      <c r="BR8" s="2104"/>
      <c r="BS8" s="2105">
        <f t="shared" si="17"/>
        <v>0</v>
      </c>
      <c r="BT8" s="2103">
        <v>4301.8798388761588</v>
      </c>
      <c r="BU8" s="2104">
        <v>27121.170161123839</v>
      </c>
      <c r="BV8" s="2104">
        <v>5763.98</v>
      </c>
      <c r="BW8" s="2104">
        <v>-0.03</v>
      </c>
      <c r="BX8" s="2104">
        <v>0</v>
      </c>
      <c r="BY8" s="2105">
        <f t="shared" si="18"/>
        <v>37187</v>
      </c>
      <c r="BZ8" s="2115"/>
      <c r="CA8" s="2116"/>
      <c r="CB8" s="2116"/>
      <c r="CC8" s="2116"/>
      <c r="CD8" s="2116"/>
      <c r="CE8" s="2105">
        <f t="shared" si="19"/>
        <v>0</v>
      </c>
      <c r="CF8" s="2115"/>
      <c r="CG8" s="2116"/>
      <c r="CH8" s="2116"/>
      <c r="CI8" s="2116"/>
      <c r="CJ8" s="2116"/>
      <c r="CK8" s="2117">
        <f t="shared" si="20"/>
        <v>0</v>
      </c>
      <c r="CL8" s="2103"/>
      <c r="CM8" s="2104"/>
      <c r="CN8" s="2104"/>
      <c r="CO8" s="2104"/>
      <c r="CP8" s="2104"/>
      <c r="CQ8" s="2105">
        <f t="shared" si="21"/>
        <v>0</v>
      </c>
      <c r="CR8" s="2103"/>
      <c r="CS8" s="2104"/>
      <c r="CT8" s="2104"/>
      <c r="CU8" s="2104"/>
      <c r="CV8" s="2104"/>
      <c r="CW8" s="2117">
        <f t="shared" si="22"/>
        <v>0</v>
      </c>
      <c r="CX8" s="2103"/>
      <c r="CY8" s="2104"/>
      <c r="CZ8" s="2104"/>
      <c r="DA8" s="2104"/>
      <c r="DB8" s="2104"/>
      <c r="DC8" s="2105">
        <f t="shared" si="23"/>
        <v>0</v>
      </c>
      <c r="DD8" s="2103"/>
      <c r="DE8" s="2104"/>
      <c r="DF8" s="2104"/>
      <c r="DG8" s="2104"/>
      <c r="DH8" s="2104"/>
      <c r="DI8" s="2105">
        <f t="shared" si="24"/>
        <v>0</v>
      </c>
      <c r="DJ8" s="2103"/>
      <c r="DK8" s="2104"/>
      <c r="DL8" s="2104"/>
      <c r="DM8" s="2104"/>
      <c r="DN8" s="2104"/>
      <c r="DO8" s="2105">
        <f t="shared" si="25"/>
        <v>0</v>
      </c>
      <c r="DP8" s="2103">
        <v>889.36</v>
      </c>
      <c r="DQ8" s="2104">
        <v>613.65</v>
      </c>
      <c r="DR8" s="2104">
        <v>275.7</v>
      </c>
      <c r="DS8" s="2104">
        <v>0</v>
      </c>
      <c r="DT8" s="2104">
        <v>0</v>
      </c>
      <c r="DU8" s="2118">
        <f t="shared" si="26"/>
        <v>1778.71</v>
      </c>
      <c r="DV8" s="2103">
        <v>2166.5700000000002</v>
      </c>
      <c r="DW8" s="2104">
        <v>0</v>
      </c>
      <c r="DX8" s="2104">
        <v>397.39</v>
      </c>
      <c r="DY8" s="2104">
        <v>0.04</v>
      </c>
      <c r="DZ8" s="2104">
        <v>0</v>
      </c>
      <c r="EA8" s="2105">
        <f t="shared" si="27"/>
        <v>2564</v>
      </c>
    </row>
    <row r="9" spans="1:131" s="2049" customFormat="1" ht="15" customHeight="1" x14ac:dyDescent="0.25">
      <c r="A9" s="2089" t="s">
        <v>20</v>
      </c>
      <c r="B9" s="2090" t="s">
        <v>21</v>
      </c>
      <c r="C9" s="2091" t="s">
        <v>265</v>
      </c>
      <c r="D9" s="2092">
        <f t="shared" si="28"/>
        <v>44218.531869831335</v>
      </c>
      <c r="E9" s="2093">
        <f t="shared" si="29"/>
        <v>9333.5381301686702</v>
      </c>
      <c r="F9" s="2093">
        <f t="shared" si="30"/>
        <v>11391.179999999998</v>
      </c>
      <c r="G9" s="2093">
        <f t="shared" si="31"/>
        <v>0.03</v>
      </c>
      <c r="H9" s="2093">
        <f t="shared" si="32"/>
        <v>0</v>
      </c>
      <c r="I9" s="2093">
        <f t="shared" si="5"/>
        <v>64943.280000000006</v>
      </c>
      <c r="J9" s="2093">
        <f t="shared" si="6"/>
        <v>0.03</v>
      </c>
      <c r="K9" s="2094">
        <f t="shared" si="7"/>
        <v>11391.21</v>
      </c>
      <c r="L9" s="2095"/>
      <c r="M9" s="2096"/>
      <c r="N9" s="2096"/>
      <c r="O9" s="2096"/>
      <c r="P9" s="2096"/>
      <c r="Q9" s="2097">
        <f t="shared" si="8"/>
        <v>0</v>
      </c>
      <c r="R9" s="2098"/>
      <c r="S9" s="2099"/>
      <c r="T9" s="2099"/>
      <c r="U9" s="2099"/>
      <c r="V9" s="2099"/>
      <c r="W9" s="2100">
        <f t="shared" si="9"/>
        <v>0</v>
      </c>
      <c r="X9" s="2101">
        <v>4934.76</v>
      </c>
      <c r="Y9" s="2102">
        <v>29.39</v>
      </c>
      <c r="Z9" s="2102">
        <v>910.59</v>
      </c>
      <c r="AA9" s="2102">
        <v>-0.02</v>
      </c>
      <c r="AB9" s="2102">
        <v>0</v>
      </c>
      <c r="AC9" s="2100">
        <f t="shared" si="10"/>
        <v>5874.72</v>
      </c>
      <c r="AD9" s="2103">
        <v>23884.53</v>
      </c>
      <c r="AE9" s="2104">
        <v>0</v>
      </c>
      <c r="AF9" s="2104">
        <v>5971.11</v>
      </c>
      <c r="AG9" s="2104">
        <v>0</v>
      </c>
      <c r="AH9" s="2104">
        <v>0</v>
      </c>
      <c r="AI9" s="2105">
        <f t="shared" si="11"/>
        <v>29855.64</v>
      </c>
      <c r="AJ9" s="2098"/>
      <c r="AK9" s="2099"/>
      <c r="AL9" s="2099"/>
      <c r="AM9" s="2099"/>
      <c r="AN9" s="2099"/>
      <c r="AO9" s="2106">
        <f t="shared" si="12"/>
        <v>0</v>
      </c>
      <c r="AP9" s="2098"/>
      <c r="AQ9" s="2099"/>
      <c r="AR9" s="2099"/>
      <c r="AS9" s="2099"/>
      <c r="AT9" s="2099"/>
      <c r="AU9" s="2106">
        <f t="shared" si="13"/>
        <v>0</v>
      </c>
      <c r="AV9" s="2107"/>
      <c r="AW9" s="2108"/>
      <c r="AX9" s="2108"/>
      <c r="AY9" s="2108"/>
      <c r="AZ9" s="2109"/>
      <c r="BA9" s="2110">
        <f t="shared" si="14"/>
        <v>0</v>
      </c>
      <c r="BB9" s="2111">
        <v>42.48</v>
      </c>
      <c r="BC9" s="2112">
        <v>76.72</v>
      </c>
      <c r="BD9" s="2112">
        <v>0</v>
      </c>
      <c r="BE9" s="2112">
        <v>0</v>
      </c>
      <c r="BF9" s="2113">
        <v>0</v>
      </c>
      <c r="BG9" s="2114">
        <f t="shared" si="15"/>
        <v>119.19999999999999</v>
      </c>
      <c r="BH9" s="2103">
        <v>10428.76</v>
      </c>
      <c r="BI9" s="2104">
        <v>1320.97</v>
      </c>
      <c r="BJ9" s="2104">
        <v>2155.27</v>
      </c>
      <c r="BK9" s="2104">
        <v>0</v>
      </c>
      <c r="BL9" s="2104">
        <v>0</v>
      </c>
      <c r="BM9" s="2117">
        <f t="shared" si="16"/>
        <v>13905</v>
      </c>
      <c r="BN9" s="2103"/>
      <c r="BO9" s="2104"/>
      <c r="BP9" s="2104"/>
      <c r="BQ9" s="2104"/>
      <c r="BR9" s="2104"/>
      <c r="BS9" s="2105">
        <f t="shared" si="17"/>
        <v>0</v>
      </c>
      <c r="BT9" s="2103">
        <v>853.0918698313294</v>
      </c>
      <c r="BU9" s="2104">
        <v>5103.6781301686706</v>
      </c>
      <c r="BV9" s="2104">
        <v>1092.6600000000001</v>
      </c>
      <c r="BW9" s="2104">
        <v>-0.03</v>
      </c>
      <c r="BX9" s="2104">
        <v>0</v>
      </c>
      <c r="BY9" s="2105">
        <f t="shared" si="18"/>
        <v>7049.4000000000005</v>
      </c>
      <c r="BZ9" s="2115"/>
      <c r="CA9" s="2116"/>
      <c r="CB9" s="2116"/>
      <c r="CC9" s="2116"/>
      <c r="CD9" s="2116"/>
      <c r="CE9" s="2105">
        <f t="shared" si="19"/>
        <v>0</v>
      </c>
      <c r="CF9" s="2115"/>
      <c r="CG9" s="2116"/>
      <c r="CH9" s="2116"/>
      <c r="CI9" s="2116"/>
      <c r="CJ9" s="2116"/>
      <c r="CK9" s="2117">
        <f t="shared" si="20"/>
        <v>0</v>
      </c>
      <c r="CL9" s="2103"/>
      <c r="CM9" s="2104"/>
      <c r="CN9" s="2104"/>
      <c r="CO9" s="2104"/>
      <c r="CP9" s="2104"/>
      <c r="CQ9" s="2105">
        <f t="shared" si="21"/>
        <v>0</v>
      </c>
      <c r="CR9" s="2103"/>
      <c r="CS9" s="2104"/>
      <c r="CT9" s="2104"/>
      <c r="CU9" s="2104"/>
      <c r="CV9" s="2104"/>
      <c r="CW9" s="2117">
        <f t="shared" si="22"/>
        <v>0</v>
      </c>
      <c r="CX9" s="2103"/>
      <c r="CY9" s="2104"/>
      <c r="CZ9" s="2104"/>
      <c r="DA9" s="2104"/>
      <c r="DB9" s="2104"/>
      <c r="DC9" s="2105">
        <f t="shared" si="23"/>
        <v>0</v>
      </c>
      <c r="DD9" s="2103"/>
      <c r="DE9" s="2104"/>
      <c r="DF9" s="2104"/>
      <c r="DG9" s="2104"/>
      <c r="DH9" s="2104"/>
      <c r="DI9" s="2105">
        <f t="shared" si="24"/>
        <v>0</v>
      </c>
      <c r="DJ9" s="2103"/>
      <c r="DK9" s="2104"/>
      <c r="DL9" s="2104"/>
      <c r="DM9" s="2104"/>
      <c r="DN9" s="2104"/>
      <c r="DO9" s="2105">
        <f t="shared" si="25"/>
        <v>0</v>
      </c>
      <c r="DP9" s="2103">
        <v>4062</v>
      </c>
      <c r="DQ9" s="2104">
        <v>2802.78</v>
      </c>
      <c r="DR9" s="2104">
        <v>1259.22</v>
      </c>
      <c r="DS9" s="2104">
        <v>0</v>
      </c>
      <c r="DT9" s="2104">
        <v>0</v>
      </c>
      <c r="DU9" s="2118">
        <f t="shared" si="26"/>
        <v>8124.0000000000009</v>
      </c>
      <c r="DV9" s="2103">
        <v>12.91</v>
      </c>
      <c r="DW9" s="2104">
        <v>0</v>
      </c>
      <c r="DX9" s="2104">
        <v>2.33</v>
      </c>
      <c r="DY9" s="2104">
        <v>0.08</v>
      </c>
      <c r="DZ9" s="2104">
        <v>0</v>
      </c>
      <c r="EA9" s="2105">
        <f t="shared" si="27"/>
        <v>15.32</v>
      </c>
    </row>
    <row r="10" spans="1:131" s="2049" customFormat="1" ht="15" customHeight="1" x14ac:dyDescent="0.25">
      <c r="A10" s="2089" t="s">
        <v>22</v>
      </c>
      <c r="B10" s="2090" t="s">
        <v>23</v>
      </c>
      <c r="C10" s="2091" t="s">
        <v>265</v>
      </c>
      <c r="D10" s="2092">
        <f t="shared" si="28"/>
        <v>25614.958193113078</v>
      </c>
      <c r="E10" s="2093">
        <f t="shared" si="29"/>
        <v>12860.831806886923</v>
      </c>
      <c r="F10" s="2093">
        <f t="shared" si="30"/>
        <v>6457.94</v>
      </c>
      <c r="G10" s="2093">
        <f t="shared" si="31"/>
        <v>-0.09</v>
      </c>
      <c r="H10" s="2093">
        <f t="shared" si="32"/>
        <v>0</v>
      </c>
      <c r="I10" s="2093">
        <f t="shared" si="5"/>
        <v>44933.640000000007</v>
      </c>
      <c r="J10" s="2093">
        <f t="shared" si="6"/>
        <v>-0.09</v>
      </c>
      <c r="K10" s="2094">
        <f t="shared" si="7"/>
        <v>6457.8499999999995</v>
      </c>
      <c r="L10" s="2095"/>
      <c r="M10" s="2096"/>
      <c r="N10" s="2096"/>
      <c r="O10" s="2096"/>
      <c r="P10" s="2096"/>
      <c r="Q10" s="2097">
        <f t="shared" si="8"/>
        <v>0</v>
      </c>
      <c r="R10" s="2098"/>
      <c r="S10" s="2099"/>
      <c r="T10" s="2099"/>
      <c r="U10" s="2099"/>
      <c r="V10" s="2099"/>
      <c r="W10" s="2100">
        <f t="shared" si="9"/>
        <v>0</v>
      </c>
      <c r="X10" s="2101">
        <v>2458.5700000000002</v>
      </c>
      <c r="Y10" s="2102">
        <v>14.63</v>
      </c>
      <c r="Z10" s="2102">
        <v>453.66</v>
      </c>
      <c r="AA10" s="2102">
        <v>0.01</v>
      </c>
      <c r="AB10" s="2102">
        <v>0</v>
      </c>
      <c r="AC10" s="2100">
        <f t="shared" si="10"/>
        <v>2926.8700000000003</v>
      </c>
      <c r="AD10" s="2103">
        <v>3425.96</v>
      </c>
      <c r="AE10" s="2104">
        <v>0</v>
      </c>
      <c r="AF10" s="2104">
        <v>856.49</v>
      </c>
      <c r="AG10" s="2104">
        <v>0</v>
      </c>
      <c r="AH10" s="2104">
        <v>0</v>
      </c>
      <c r="AI10" s="2105">
        <f t="shared" si="11"/>
        <v>4282.45</v>
      </c>
      <c r="AJ10" s="2098"/>
      <c r="AK10" s="2099"/>
      <c r="AL10" s="2099"/>
      <c r="AM10" s="2099"/>
      <c r="AN10" s="2099"/>
      <c r="AO10" s="2106">
        <f t="shared" si="12"/>
        <v>0</v>
      </c>
      <c r="AP10" s="2098">
        <v>2074.2600000000002</v>
      </c>
      <c r="AQ10" s="2099">
        <v>518.57000000000005</v>
      </c>
      <c r="AR10" s="2099">
        <v>0</v>
      </c>
      <c r="AS10" s="2099">
        <v>0</v>
      </c>
      <c r="AT10" s="2099">
        <v>0</v>
      </c>
      <c r="AU10" s="2106">
        <f t="shared" si="13"/>
        <v>2592.8300000000004</v>
      </c>
      <c r="AV10" s="2107">
        <v>1536</v>
      </c>
      <c r="AW10" s="2108">
        <v>384</v>
      </c>
      <c r="AX10" s="2108">
        <v>0</v>
      </c>
      <c r="AY10" s="2108">
        <v>0</v>
      </c>
      <c r="AZ10" s="2109">
        <v>0</v>
      </c>
      <c r="BA10" s="2110">
        <f t="shared" si="14"/>
        <v>1920</v>
      </c>
      <c r="BB10" s="2119"/>
      <c r="BC10" s="2120"/>
      <c r="BD10" s="2120"/>
      <c r="BE10" s="2120"/>
      <c r="BF10" s="2120"/>
      <c r="BG10" s="2114">
        <f t="shared" si="15"/>
        <v>0</v>
      </c>
      <c r="BH10" s="2103">
        <v>13255.05</v>
      </c>
      <c r="BI10" s="2104">
        <v>1679.01</v>
      </c>
      <c r="BJ10" s="2104">
        <v>2739.41</v>
      </c>
      <c r="BK10" s="2104">
        <v>-0.11</v>
      </c>
      <c r="BL10" s="2104">
        <v>0</v>
      </c>
      <c r="BM10" s="2117">
        <f t="shared" si="16"/>
        <v>17673.36</v>
      </c>
      <c r="BN10" s="2103"/>
      <c r="BO10" s="2104"/>
      <c r="BP10" s="2104"/>
      <c r="BQ10" s="2104"/>
      <c r="BR10" s="2104"/>
      <c r="BS10" s="2105">
        <f t="shared" si="17"/>
        <v>0</v>
      </c>
      <c r="BT10" s="2103">
        <v>1827.208193113076</v>
      </c>
      <c r="BU10" s="2104">
        <v>10264.621806886924</v>
      </c>
      <c r="BV10" s="2104">
        <v>2218.0100000000002</v>
      </c>
      <c r="BW10" s="2104">
        <v>-0.01</v>
      </c>
      <c r="BX10" s="2104">
        <v>0</v>
      </c>
      <c r="BY10" s="2105">
        <f t="shared" si="18"/>
        <v>14309.83</v>
      </c>
      <c r="BZ10" s="2115"/>
      <c r="CA10" s="2116"/>
      <c r="CB10" s="2116"/>
      <c r="CC10" s="2116"/>
      <c r="CD10" s="2116"/>
      <c r="CE10" s="2105">
        <f t="shared" si="19"/>
        <v>0</v>
      </c>
      <c r="CF10" s="2115"/>
      <c r="CG10" s="2116"/>
      <c r="CH10" s="2116"/>
      <c r="CI10" s="2116"/>
      <c r="CJ10" s="2116"/>
      <c r="CK10" s="2117">
        <f t="shared" si="20"/>
        <v>0</v>
      </c>
      <c r="CL10" s="2115"/>
      <c r="CM10" s="2116"/>
      <c r="CN10" s="2116"/>
      <c r="CO10" s="2116"/>
      <c r="CP10" s="2116"/>
      <c r="CQ10" s="2105">
        <f t="shared" si="21"/>
        <v>0</v>
      </c>
      <c r="CR10" s="2115"/>
      <c r="CS10" s="2116"/>
      <c r="CT10" s="2116"/>
      <c r="CU10" s="2116"/>
      <c r="CV10" s="2116"/>
      <c r="CW10" s="2117">
        <f t="shared" si="22"/>
        <v>0</v>
      </c>
      <c r="CX10" s="2103"/>
      <c r="CY10" s="2104"/>
      <c r="CZ10" s="2104"/>
      <c r="DA10" s="2104"/>
      <c r="DB10" s="2104"/>
      <c r="DC10" s="2105">
        <f t="shared" si="23"/>
        <v>0</v>
      </c>
      <c r="DD10" s="2103"/>
      <c r="DE10" s="2104"/>
      <c r="DF10" s="2104"/>
      <c r="DG10" s="2104"/>
      <c r="DH10" s="2104"/>
      <c r="DI10" s="2105">
        <f t="shared" si="24"/>
        <v>0</v>
      </c>
      <c r="DJ10" s="2103"/>
      <c r="DK10" s="2104"/>
      <c r="DL10" s="2104"/>
      <c r="DM10" s="2104"/>
      <c r="DN10" s="2104"/>
      <c r="DO10" s="2105">
        <f t="shared" si="25"/>
        <v>0</v>
      </c>
      <c r="DP10" s="2103"/>
      <c r="DQ10" s="2104"/>
      <c r="DR10" s="2104"/>
      <c r="DS10" s="2104"/>
      <c r="DT10" s="2104"/>
      <c r="DU10" s="2118">
        <f t="shared" si="26"/>
        <v>0</v>
      </c>
      <c r="DV10" s="2115">
        <v>1037.9100000000001</v>
      </c>
      <c r="DW10" s="2116">
        <v>0</v>
      </c>
      <c r="DX10" s="2116">
        <v>190.37</v>
      </c>
      <c r="DY10" s="2116">
        <v>0.02</v>
      </c>
      <c r="DZ10" s="2116">
        <v>0</v>
      </c>
      <c r="EA10" s="2105">
        <f t="shared" si="27"/>
        <v>1228.3000000000002</v>
      </c>
    </row>
    <row r="11" spans="1:131" s="2049" customFormat="1" ht="15" customHeight="1" x14ac:dyDescent="0.25">
      <c r="A11" s="2089" t="s">
        <v>24</v>
      </c>
      <c r="B11" s="2090" t="s">
        <v>25</v>
      </c>
      <c r="C11" s="2091" t="s">
        <v>267</v>
      </c>
      <c r="D11" s="2092">
        <f t="shared" si="28"/>
        <v>337328.79450756434</v>
      </c>
      <c r="E11" s="2093">
        <f t="shared" si="29"/>
        <v>64040.735492435706</v>
      </c>
      <c r="F11" s="2093">
        <f t="shared" si="30"/>
        <v>104725.52</v>
      </c>
      <c r="G11" s="2093">
        <f t="shared" si="31"/>
        <v>1131274.58</v>
      </c>
      <c r="H11" s="2093">
        <f t="shared" si="32"/>
        <v>0</v>
      </c>
      <c r="I11" s="2093">
        <f t="shared" si="5"/>
        <v>1637369.6300000001</v>
      </c>
      <c r="J11" s="2093">
        <f t="shared" si="6"/>
        <v>1131274.58</v>
      </c>
      <c r="K11" s="2094">
        <f t="shared" si="7"/>
        <v>1236000.1000000001</v>
      </c>
      <c r="L11" s="2095"/>
      <c r="M11" s="2096"/>
      <c r="N11" s="2096"/>
      <c r="O11" s="2096"/>
      <c r="P11" s="2096"/>
      <c r="Q11" s="2097">
        <f t="shared" si="8"/>
        <v>0</v>
      </c>
      <c r="R11" s="2098"/>
      <c r="S11" s="2099"/>
      <c r="T11" s="2099"/>
      <c r="U11" s="2099"/>
      <c r="V11" s="2099"/>
      <c r="W11" s="2100">
        <f t="shared" si="9"/>
        <v>0</v>
      </c>
      <c r="X11" s="2101">
        <v>34271.160000000003</v>
      </c>
      <c r="Y11" s="2102">
        <v>204</v>
      </c>
      <c r="Z11" s="2102">
        <v>6323.85</v>
      </c>
      <c r="AA11" s="2102">
        <v>401.51</v>
      </c>
      <c r="AB11" s="2102">
        <v>0</v>
      </c>
      <c r="AC11" s="2100">
        <f t="shared" si="10"/>
        <v>41200.520000000004</v>
      </c>
      <c r="AD11" s="2103">
        <v>121782.62</v>
      </c>
      <c r="AE11" s="2104">
        <v>0</v>
      </c>
      <c r="AF11" s="2104">
        <v>30445.69</v>
      </c>
      <c r="AG11" s="2104">
        <v>1118884.48</v>
      </c>
      <c r="AH11" s="2104">
        <v>0</v>
      </c>
      <c r="AI11" s="2105">
        <f t="shared" si="11"/>
        <v>1271112.79</v>
      </c>
      <c r="AJ11" s="2101">
        <v>11910.72</v>
      </c>
      <c r="AK11" s="2102">
        <v>4936.41</v>
      </c>
      <c r="AL11" s="2102">
        <v>3090.33</v>
      </c>
      <c r="AM11" s="2102">
        <v>-0.05</v>
      </c>
      <c r="AN11" s="2102">
        <v>0</v>
      </c>
      <c r="AO11" s="2106">
        <f t="shared" si="12"/>
        <v>19937.41</v>
      </c>
      <c r="AP11" s="2101">
        <v>17313.599999999999</v>
      </c>
      <c r="AQ11" s="2102">
        <v>4328.3999999999996</v>
      </c>
      <c r="AR11" s="2102">
        <v>0</v>
      </c>
      <c r="AS11" s="2102">
        <v>0</v>
      </c>
      <c r="AT11" s="2102">
        <v>0</v>
      </c>
      <c r="AU11" s="2106">
        <f t="shared" si="13"/>
        <v>21642</v>
      </c>
      <c r="AV11" s="2107">
        <v>11380.62</v>
      </c>
      <c r="AW11" s="2108">
        <v>2845.17</v>
      </c>
      <c r="AX11" s="2108">
        <v>0</v>
      </c>
      <c r="AY11" s="2108">
        <v>0</v>
      </c>
      <c r="AZ11" s="2109">
        <v>0</v>
      </c>
      <c r="BA11" s="2110">
        <f t="shared" si="14"/>
        <v>14225.79</v>
      </c>
      <c r="BB11" s="2111">
        <v>4413.6400000000003</v>
      </c>
      <c r="BC11" s="2112">
        <v>7970.36</v>
      </c>
      <c r="BD11" s="2112">
        <v>0</v>
      </c>
      <c r="BE11" s="2112">
        <v>0</v>
      </c>
      <c r="BF11" s="2113">
        <v>0</v>
      </c>
      <c r="BG11" s="2114">
        <f t="shared" si="15"/>
        <v>12384</v>
      </c>
      <c r="BH11" s="2103">
        <v>69162.05</v>
      </c>
      <c r="BI11" s="2104">
        <v>8760.51</v>
      </c>
      <c r="BJ11" s="2104">
        <v>14293.5</v>
      </c>
      <c r="BK11" s="2104">
        <v>11909.6</v>
      </c>
      <c r="BL11" s="2104">
        <v>0</v>
      </c>
      <c r="BM11" s="2117">
        <f t="shared" si="16"/>
        <v>104125.66</v>
      </c>
      <c r="BN11" s="2103">
        <v>-934.5</v>
      </c>
      <c r="BO11" s="2104">
        <v>-934.5</v>
      </c>
      <c r="BP11" s="2104">
        <v>0</v>
      </c>
      <c r="BQ11" s="2104">
        <v>0</v>
      </c>
      <c r="BR11" s="2104">
        <v>0</v>
      </c>
      <c r="BS11" s="2105">
        <f t="shared" si="17"/>
        <v>-1869</v>
      </c>
      <c r="BT11" s="2103">
        <v>12058.644507564306</v>
      </c>
      <c r="BU11" s="2104">
        <v>30880.345492435696</v>
      </c>
      <c r="BV11" s="2104">
        <v>7876.45</v>
      </c>
      <c r="BW11" s="2104">
        <v>-0.19</v>
      </c>
      <c r="BX11" s="2104">
        <v>0</v>
      </c>
      <c r="BY11" s="2105">
        <f t="shared" si="18"/>
        <v>50815.25</v>
      </c>
      <c r="BZ11" s="2103">
        <v>39372.47</v>
      </c>
      <c r="CA11" s="2104">
        <v>0</v>
      </c>
      <c r="CB11" s="2104">
        <v>36358.42</v>
      </c>
      <c r="CC11" s="2104">
        <v>0</v>
      </c>
      <c r="CD11" s="2104">
        <v>0</v>
      </c>
      <c r="CE11" s="2105">
        <f t="shared" si="19"/>
        <v>75730.89</v>
      </c>
      <c r="CF11" s="2103">
        <v>366.01</v>
      </c>
      <c r="CG11" s="2104">
        <v>0</v>
      </c>
      <c r="CH11" s="2104">
        <v>689.99</v>
      </c>
      <c r="CI11" s="2104">
        <v>0</v>
      </c>
      <c r="CJ11" s="2104">
        <v>0</v>
      </c>
      <c r="CK11" s="2117">
        <f t="shared" si="20"/>
        <v>1056</v>
      </c>
      <c r="CL11" s="2103">
        <v>-2.44</v>
      </c>
      <c r="CM11" s="2104">
        <v>0</v>
      </c>
      <c r="CN11" s="2104">
        <v>0</v>
      </c>
      <c r="CO11" s="2104">
        <v>0</v>
      </c>
      <c r="CP11" s="2104">
        <v>0</v>
      </c>
      <c r="CQ11" s="2105">
        <f t="shared" si="21"/>
        <v>-2.44</v>
      </c>
      <c r="CR11" s="2103">
        <v>-2255.1999999999998</v>
      </c>
      <c r="CS11" s="2104">
        <v>-2255.1999999999998</v>
      </c>
      <c r="CT11" s="2104">
        <v>0</v>
      </c>
      <c r="CU11" s="2104">
        <v>0.03</v>
      </c>
      <c r="CV11" s="2104">
        <v>0</v>
      </c>
      <c r="CW11" s="2117">
        <f t="shared" si="22"/>
        <v>-4510.37</v>
      </c>
      <c r="CX11" s="2103"/>
      <c r="CY11" s="2104"/>
      <c r="CZ11" s="2104"/>
      <c r="DA11" s="2104"/>
      <c r="DB11" s="2104"/>
      <c r="DC11" s="2105">
        <f t="shared" si="23"/>
        <v>0</v>
      </c>
      <c r="DD11" s="2103">
        <v>-2621</v>
      </c>
      <c r="DE11" s="2104">
        <v>0</v>
      </c>
      <c r="DF11" s="2104">
        <v>0</v>
      </c>
      <c r="DG11" s="2104">
        <v>0</v>
      </c>
      <c r="DH11" s="2104">
        <v>0</v>
      </c>
      <c r="DI11" s="2105">
        <f t="shared" si="24"/>
        <v>-2621</v>
      </c>
      <c r="DJ11" s="2103">
        <v>-1185.5899999999999</v>
      </c>
      <c r="DK11" s="2104">
        <v>-1185.5899999999999</v>
      </c>
      <c r="DL11" s="2104">
        <v>0</v>
      </c>
      <c r="DM11" s="2104">
        <v>0.01</v>
      </c>
      <c r="DN11" s="2104">
        <v>0</v>
      </c>
      <c r="DO11" s="2105">
        <f t="shared" si="25"/>
        <v>-2371.1699999999996</v>
      </c>
      <c r="DP11" s="2103">
        <v>12305.55</v>
      </c>
      <c r="DQ11" s="2104">
        <v>8490.83</v>
      </c>
      <c r="DR11" s="2104">
        <v>3814.72</v>
      </c>
      <c r="DS11" s="2104">
        <v>-0.01</v>
      </c>
      <c r="DT11" s="2104">
        <v>0</v>
      </c>
      <c r="DU11" s="2118">
        <f t="shared" si="26"/>
        <v>24611.09</v>
      </c>
      <c r="DV11" s="2103">
        <v>9990.44</v>
      </c>
      <c r="DW11" s="2104">
        <v>0</v>
      </c>
      <c r="DX11" s="2104">
        <v>1832.57</v>
      </c>
      <c r="DY11" s="2104">
        <v>79.2</v>
      </c>
      <c r="DZ11" s="2104">
        <v>0</v>
      </c>
      <c r="EA11" s="2105">
        <f t="shared" si="27"/>
        <v>11902.210000000001</v>
      </c>
    </row>
    <row r="12" spans="1:131" s="2049" customFormat="1" ht="15" customHeight="1" x14ac:dyDescent="0.25">
      <c r="A12" s="2089" t="s">
        <v>26</v>
      </c>
      <c r="B12" s="2090" t="s">
        <v>685</v>
      </c>
      <c r="C12" s="2091" t="s">
        <v>265</v>
      </c>
      <c r="D12" s="2092">
        <f t="shared" si="28"/>
        <v>171652.91330894147</v>
      </c>
      <c r="E12" s="2093">
        <f t="shared" si="29"/>
        <v>168818.90669105851</v>
      </c>
      <c r="F12" s="2093">
        <f t="shared" si="30"/>
        <v>62538.239999999998</v>
      </c>
      <c r="G12" s="2093">
        <f t="shared" si="31"/>
        <v>-0.23999999999999996</v>
      </c>
      <c r="H12" s="2093">
        <f t="shared" si="32"/>
        <v>0</v>
      </c>
      <c r="I12" s="2093">
        <f t="shared" si="5"/>
        <v>403009.81999999995</v>
      </c>
      <c r="J12" s="2093">
        <f t="shared" si="6"/>
        <v>-0.23999999999999996</v>
      </c>
      <c r="K12" s="2094">
        <f t="shared" si="7"/>
        <v>62538</v>
      </c>
      <c r="L12" s="2095"/>
      <c r="M12" s="2096"/>
      <c r="N12" s="2096"/>
      <c r="O12" s="2096"/>
      <c r="P12" s="2096"/>
      <c r="Q12" s="2097">
        <f t="shared" si="8"/>
        <v>0</v>
      </c>
      <c r="R12" s="2098"/>
      <c r="S12" s="2099"/>
      <c r="T12" s="2099"/>
      <c r="U12" s="2099"/>
      <c r="V12" s="2099"/>
      <c r="W12" s="2100">
        <f t="shared" si="9"/>
        <v>0</v>
      </c>
      <c r="X12" s="2101">
        <v>28666.92</v>
      </c>
      <c r="Y12" s="2102">
        <v>170.65</v>
      </c>
      <c r="Z12" s="2102">
        <v>5289.72</v>
      </c>
      <c r="AA12" s="2102">
        <v>-0.02</v>
      </c>
      <c r="AB12" s="2102">
        <v>0</v>
      </c>
      <c r="AC12" s="2100">
        <f t="shared" si="10"/>
        <v>34127.270000000004</v>
      </c>
      <c r="AD12" s="2103">
        <v>41193.130000000005</v>
      </c>
      <c r="AE12" s="2104">
        <v>0</v>
      </c>
      <c r="AF12" s="2104">
        <v>10298.33</v>
      </c>
      <c r="AG12" s="2104">
        <v>0</v>
      </c>
      <c r="AH12" s="2104">
        <v>0</v>
      </c>
      <c r="AI12" s="2105">
        <f t="shared" si="11"/>
        <v>51491.460000000006</v>
      </c>
      <c r="AJ12" s="2098"/>
      <c r="AK12" s="2099"/>
      <c r="AL12" s="2099"/>
      <c r="AM12" s="2099"/>
      <c r="AN12" s="2099"/>
      <c r="AO12" s="2106">
        <f t="shared" si="12"/>
        <v>0</v>
      </c>
      <c r="AP12" s="2101">
        <v>14347.73</v>
      </c>
      <c r="AQ12" s="2102">
        <v>3586.94</v>
      </c>
      <c r="AR12" s="2102">
        <v>0</v>
      </c>
      <c r="AS12" s="2102">
        <v>0</v>
      </c>
      <c r="AT12" s="2102">
        <v>0</v>
      </c>
      <c r="AU12" s="2106">
        <f t="shared" si="13"/>
        <v>17934.669999999998</v>
      </c>
      <c r="AV12" s="2107">
        <v>9650.83</v>
      </c>
      <c r="AW12" s="2108">
        <v>2412.7199999999998</v>
      </c>
      <c r="AX12" s="2108">
        <v>0</v>
      </c>
      <c r="AY12" s="2108">
        <v>0</v>
      </c>
      <c r="AZ12" s="2109">
        <v>0</v>
      </c>
      <c r="BA12" s="2110">
        <f t="shared" si="14"/>
        <v>12063.55</v>
      </c>
      <c r="BB12" s="2111">
        <v>786.76</v>
      </c>
      <c r="BC12" s="2112">
        <v>1420.76</v>
      </c>
      <c r="BD12" s="2112">
        <v>0</v>
      </c>
      <c r="BE12" s="2112">
        <v>-0.02</v>
      </c>
      <c r="BF12" s="2113">
        <v>0</v>
      </c>
      <c r="BG12" s="2114">
        <f t="shared" si="15"/>
        <v>2207.5</v>
      </c>
      <c r="BH12" s="2103">
        <v>27666.66</v>
      </c>
      <c r="BI12" s="2104">
        <v>3504.48</v>
      </c>
      <c r="BJ12" s="2104">
        <v>5717.8</v>
      </c>
      <c r="BK12" s="2104">
        <v>-0.1</v>
      </c>
      <c r="BL12" s="2104">
        <v>0</v>
      </c>
      <c r="BM12" s="2117">
        <f t="shared" si="16"/>
        <v>36888.840000000004</v>
      </c>
      <c r="BN12" s="2103">
        <v>-464.68</v>
      </c>
      <c r="BO12" s="2104">
        <v>-464.68</v>
      </c>
      <c r="BP12" s="2104">
        <v>0</v>
      </c>
      <c r="BQ12" s="2104">
        <v>0</v>
      </c>
      <c r="BR12" s="2104">
        <v>0</v>
      </c>
      <c r="BS12" s="2105">
        <f t="shared" si="17"/>
        <v>-929.36</v>
      </c>
      <c r="BT12" s="2103">
        <v>29884.31330894147</v>
      </c>
      <c r="BU12" s="2104">
        <v>152553.04669105852</v>
      </c>
      <c r="BV12" s="2104">
        <v>33464.89</v>
      </c>
      <c r="BW12" s="2104">
        <v>-0.23</v>
      </c>
      <c r="BX12" s="2104">
        <v>0</v>
      </c>
      <c r="BY12" s="2105">
        <f t="shared" si="18"/>
        <v>215902.02</v>
      </c>
      <c r="BZ12" s="2103">
        <v>3146.17</v>
      </c>
      <c r="CA12" s="2104">
        <v>0</v>
      </c>
      <c r="CB12" s="2104">
        <v>2905.33</v>
      </c>
      <c r="CC12" s="2104">
        <v>0</v>
      </c>
      <c r="CD12" s="2104">
        <v>0</v>
      </c>
      <c r="CE12" s="2105">
        <f t="shared" si="19"/>
        <v>6051.5</v>
      </c>
      <c r="CF12" s="2115"/>
      <c r="CG12" s="2116"/>
      <c r="CH12" s="2116"/>
      <c r="CI12" s="2116"/>
      <c r="CJ12" s="2116"/>
      <c r="CK12" s="2117">
        <f t="shared" si="20"/>
        <v>0</v>
      </c>
      <c r="CL12" s="2103"/>
      <c r="CM12" s="2104"/>
      <c r="CN12" s="2104"/>
      <c r="CO12" s="2104"/>
      <c r="CP12" s="2104"/>
      <c r="CQ12" s="2105">
        <f t="shared" si="21"/>
        <v>0</v>
      </c>
      <c r="CR12" s="2115"/>
      <c r="CS12" s="2116"/>
      <c r="CT12" s="2116"/>
      <c r="CU12" s="2116"/>
      <c r="CV12" s="2116"/>
      <c r="CW12" s="2117">
        <f t="shared" si="22"/>
        <v>0</v>
      </c>
      <c r="CX12" s="2103">
        <v>-75</v>
      </c>
      <c r="CY12" s="2104">
        <v>-75</v>
      </c>
      <c r="CZ12" s="2104">
        <v>0</v>
      </c>
      <c r="DA12" s="2104">
        <v>0</v>
      </c>
      <c r="DB12" s="2104">
        <v>0</v>
      </c>
      <c r="DC12" s="2105">
        <f t="shared" si="23"/>
        <v>-150</v>
      </c>
      <c r="DD12" s="2103">
        <v>-3782.04</v>
      </c>
      <c r="DE12" s="2104">
        <v>0</v>
      </c>
      <c r="DF12" s="2104">
        <v>0</v>
      </c>
      <c r="DG12" s="2104">
        <v>0</v>
      </c>
      <c r="DH12" s="2104">
        <v>0</v>
      </c>
      <c r="DI12" s="2105">
        <f t="shared" si="24"/>
        <v>-3782.04</v>
      </c>
      <c r="DJ12" s="2103">
        <v>-82.5</v>
      </c>
      <c r="DK12" s="2104">
        <v>-82.5</v>
      </c>
      <c r="DL12" s="2104">
        <v>0</v>
      </c>
      <c r="DM12" s="2104">
        <v>0</v>
      </c>
      <c r="DN12" s="2104">
        <v>0</v>
      </c>
      <c r="DO12" s="2105">
        <f t="shared" si="25"/>
        <v>-165</v>
      </c>
      <c r="DP12" s="2103">
        <v>8394.93</v>
      </c>
      <c r="DQ12" s="2104">
        <v>5792.49</v>
      </c>
      <c r="DR12" s="2104">
        <v>2602.4299999999998</v>
      </c>
      <c r="DS12" s="2104">
        <v>-0.04</v>
      </c>
      <c r="DT12" s="2104">
        <v>0</v>
      </c>
      <c r="DU12" s="2118">
        <f t="shared" si="26"/>
        <v>16789.809999999998</v>
      </c>
      <c r="DV12" s="2103">
        <v>12319.689999999999</v>
      </c>
      <c r="DW12" s="2104">
        <v>0</v>
      </c>
      <c r="DX12" s="2104">
        <v>2259.7400000000002</v>
      </c>
      <c r="DY12" s="2104">
        <v>0.17</v>
      </c>
      <c r="DZ12" s="2104">
        <v>0</v>
      </c>
      <c r="EA12" s="2105">
        <f t="shared" si="27"/>
        <v>14579.599999999999</v>
      </c>
    </row>
    <row r="13" spans="1:131" s="2049" customFormat="1" ht="15" customHeight="1" x14ac:dyDescent="0.25">
      <c r="A13" s="2089" t="s">
        <v>27</v>
      </c>
      <c r="B13" s="2090" t="s">
        <v>28</v>
      </c>
      <c r="C13" s="2091" t="s">
        <v>265</v>
      </c>
      <c r="D13" s="2092">
        <f t="shared" si="28"/>
        <v>5889.56</v>
      </c>
      <c r="E13" s="2093">
        <f t="shared" si="29"/>
        <v>732.93</v>
      </c>
      <c r="F13" s="2093">
        <f t="shared" si="30"/>
        <v>1222.49</v>
      </c>
      <c r="G13" s="2093">
        <f t="shared" si="31"/>
        <v>1.9999999999999997E-2</v>
      </c>
      <c r="H13" s="2093">
        <f t="shared" si="32"/>
        <v>0</v>
      </c>
      <c r="I13" s="2093">
        <f t="shared" si="5"/>
        <v>7845.0000000000009</v>
      </c>
      <c r="J13" s="2093">
        <f t="shared" si="6"/>
        <v>1.9999999999999997E-2</v>
      </c>
      <c r="K13" s="2094">
        <f t="shared" si="7"/>
        <v>1222.51</v>
      </c>
      <c r="L13" s="2095"/>
      <c r="M13" s="2096"/>
      <c r="N13" s="2096"/>
      <c r="O13" s="2096"/>
      <c r="P13" s="2096"/>
      <c r="Q13" s="2097">
        <f t="shared" si="8"/>
        <v>0</v>
      </c>
      <c r="R13" s="2098"/>
      <c r="S13" s="2099"/>
      <c r="T13" s="2099"/>
      <c r="U13" s="2099"/>
      <c r="V13" s="2099"/>
      <c r="W13" s="2100">
        <f t="shared" si="9"/>
        <v>0</v>
      </c>
      <c r="X13" s="2101"/>
      <c r="Y13" s="2102"/>
      <c r="Z13" s="2102"/>
      <c r="AA13" s="2102"/>
      <c r="AB13" s="2102"/>
      <c r="AC13" s="2100">
        <f t="shared" si="10"/>
        <v>0</v>
      </c>
      <c r="AD13" s="2103">
        <v>116</v>
      </c>
      <c r="AE13" s="2104">
        <v>0</v>
      </c>
      <c r="AF13" s="2104">
        <v>29</v>
      </c>
      <c r="AG13" s="2104">
        <v>0</v>
      </c>
      <c r="AH13" s="2104">
        <v>0</v>
      </c>
      <c r="AI13" s="2105">
        <f t="shared" si="11"/>
        <v>145</v>
      </c>
      <c r="AJ13" s="2098"/>
      <c r="AK13" s="2099"/>
      <c r="AL13" s="2099"/>
      <c r="AM13" s="2099"/>
      <c r="AN13" s="2099"/>
      <c r="AO13" s="2106">
        <f t="shared" si="12"/>
        <v>0</v>
      </c>
      <c r="AP13" s="2098"/>
      <c r="AQ13" s="2099"/>
      <c r="AR13" s="2099"/>
      <c r="AS13" s="2099"/>
      <c r="AT13" s="2099"/>
      <c r="AU13" s="2106">
        <f t="shared" si="13"/>
        <v>0</v>
      </c>
      <c r="AV13" s="2121"/>
      <c r="AW13" s="2122"/>
      <c r="AX13" s="2122"/>
      <c r="AY13" s="2122"/>
      <c r="AZ13" s="2123"/>
      <c r="BA13" s="2110">
        <f t="shared" si="14"/>
        <v>0</v>
      </c>
      <c r="BB13" s="2119"/>
      <c r="BC13" s="2120"/>
      <c r="BD13" s="2120"/>
      <c r="BE13" s="2120"/>
      <c r="BF13" s="2120"/>
      <c r="BG13" s="2114">
        <f t="shared" si="15"/>
        <v>0</v>
      </c>
      <c r="BH13" s="2103">
        <v>5786.25</v>
      </c>
      <c r="BI13" s="2104">
        <v>732.93</v>
      </c>
      <c r="BJ13" s="2104">
        <v>1195.83</v>
      </c>
      <c r="BK13" s="2104">
        <v>-0.01</v>
      </c>
      <c r="BL13" s="2104">
        <v>0</v>
      </c>
      <c r="BM13" s="2117">
        <f t="shared" si="16"/>
        <v>7715</v>
      </c>
      <c r="BN13" s="2103"/>
      <c r="BO13" s="2104"/>
      <c r="BP13" s="2104"/>
      <c r="BQ13" s="2104"/>
      <c r="BR13" s="2104"/>
      <c r="BS13" s="2105">
        <f t="shared" si="17"/>
        <v>0</v>
      </c>
      <c r="BT13" s="2103"/>
      <c r="BU13" s="2104"/>
      <c r="BV13" s="2104"/>
      <c r="BW13" s="2104"/>
      <c r="BX13" s="2104"/>
      <c r="BY13" s="2105">
        <f t="shared" si="18"/>
        <v>0</v>
      </c>
      <c r="BZ13" s="2115"/>
      <c r="CA13" s="2116"/>
      <c r="CB13" s="2116"/>
      <c r="CC13" s="2116"/>
      <c r="CD13" s="2116"/>
      <c r="CE13" s="2105">
        <f t="shared" si="19"/>
        <v>0</v>
      </c>
      <c r="CF13" s="2115"/>
      <c r="CG13" s="2116"/>
      <c r="CH13" s="2116"/>
      <c r="CI13" s="2116"/>
      <c r="CJ13" s="2116"/>
      <c r="CK13" s="2117">
        <f t="shared" si="20"/>
        <v>0</v>
      </c>
      <c r="CL13" s="2115"/>
      <c r="CM13" s="2116"/>
      <c r="CN13" s="2116"/>
      <c r="CO13" s="2116"/>
      <c r="CP13" s="2116"/>
      <c r="CQ13" s="2105">
        <f t="shared" si="21"/>
        <v>0</v>
      </c>
      <c r="CR13" s="2115"/>
      <c r="CS13" s="2116"/>
      <c r="CT13" s="2116"/>
      <c r="CU13" s="2116"/>
      <c r="CV13" s="2116"/>
      <c r="CW13" s="2117">
        <f t="shared" si="22"/>
        <v>0</v>
      </c>
      <c r="CX13" s="2103"/>
      <c r="CY13" s="2104"/>
      <c r="CZ13" s="2104"/>
      <c r="DA13" s="2104"/>
      <c r="DB13" s="2104"/>
      <c r="DC13" s="2105">
        <f t="shared" si="23"/>
        <v>0</v>
      </c>
      <c r="DD13" s="2103"/>
      <c r="DE13" s="2104"/>
      <c r="DF13" s="2104"/>
      <c r="DG13" s="2104"/>
      <c r="DH13" s="2104"/>
      <c r="DI13" s="2105">
        <f t="shared" si="24"/>
        <v>0</v>
      </c>
      <c r="DJ13" s="2103"/>
      <c r="DK13" s="2104"/>
      <c r="DL13" s="2104"/>
      <c r="DM13" s="2104"/>
      <c r="DN13" s="2104"/>
      <c r="DO13" s="2105">
        <f t="shared" si="25"/>
        <v>0</v>
      </c>
      <c r="DP13" s="2115"/>
      <c r="DQ13" s="2116"/>
      <c r="DR13" s="2116"/>
      <c r="DS13" s="2116"/>
      <c r="DT13" s="2116"/>
      <c r="DU13" s="2118">
        <f t="shared" si="26"/>
        <v>0</v>
      </c>
      <c r="DV13" s="2115">
        <v>-12.69</v>
      </c>
      <c r="DW13" s="2116">
        <v>0</v>
      </c>
      <c r="DX13" s="2116">
        <v>-2.34</v>
      </c>
      <c r="DY13" s="2116">
        <v>0.03</v>
      </c>
      <c r="DZ13" s="2116">
        <v>0</v>
      </c>
      <c r="EA13" s="2105">
        <f t="shared" si="27"/>
        <v>-15</v>
      </c>
    </row>
    <row r="14" spans="1:131" s="2049" customFormat="1" ht="15" customHeight="1" x14ac:dyDescent="0.25">
      <c r="A14" s="2089" t="s">
        <v>29</v>
      </c>
      <c r="B14" s="2090" t="s">
        <v>901</v>
      </c>
      <c r="C14" s="2091" t="s">
        <v>265</v>
      </c>
      <c r="D14" s="2092">
        <f t="shared" si="28"/>
        <v>101597.67201103523</v>
      </c>
      <c r="E14" s="2093">
        <f t="shared" si="29"/>
        <v>98788.197988964763</v>
      </c>
      <c r="F14" s="2093">
        <f t="shared" si="30"/>
        <v>35739.64</v>
      </c>
      <c r="G14" s="2093">
        <f t="shared" si="31"/>
        <v>-3.0000000000000013E-2</v>
      </c>
      <c r="H14" s="2093">
        <f t="shared" si="32"/>
        <v>0</v>
      </c>
      <c r="I14" s="2093">
        <f t="shared" si="5"/>
        <v>236125.48</v>
      </c>
      <c r="J14" s="2093">
        <f t="shared" si="6"/>
        <v>-3.0000000000000013E-2</v>
      </c>
      <c r="K14" s="2094">
        <f t="shared" si="7"/>
        <v>35739.61</v>
      </c>
      <c r="L14" s="2095"/>
      <c r="M14" s="2096"/>
      <c r="N14" s="2096"/>
      <c r="O14" s="2096"/>
      <c r="P14" s="2096"/>
      <c r="Q14" s="2097">
        <f t="shared" si="8"/>
        <v>0</v>
      </c>
      <c r="R14" s="2098"/>
      <c r="S14" s="2099"/>
      <c r="T14" s="2099"/>
      <c r="U14" s="2099"/>
      <c r="V14" s="2099"/>
      <c r="W14" s="2100">
        <f t="shared" si="9"/>
        <v>0</v>
      </c>
      <c r="X14" s="2101">
        <v>5047.8</v>
      </c>
      <c r="Y14" s="2102">
        <v>30.05</v>
      </c>
      <c r="Z14" s="2102">
        <v>931.44</v>
      </c>
      <c r="AA14" s="2102">
        <v>0</v>
      </c>
      <c r="AB14" s="2102">
        <v>0</v>
      </c>
      <c r="AC14" s="2100">
        <f t="shared" si="10"/>
        <v>6009.2900000000009</v>
      </c>
      <c r="AD14" s="2103">
        <v>10171.959999999999</v>
      </c>
      <c r="AE14" s="2104">
        <v>0</v>
      </c>
      <c r="AF14" s="2104">
        <v>2543.0300000000002</v>
      </c>
      <c r="AG14" s="2104">
        <v>0</v>
      </c>
      <c r="AH14" s="2104">
        <v>0</v>
      </c>
      <c r="AI14" s="2105">
        <f t="shared" si="11"/>
        <v>12714.99</v>
      </c>
      <c r="AJ14" s="2098"/>
      <c r="AK14" s="2099"/>
      <c r="AL14" s="2099"/>
      <c r="AM14" s="2099"/>
      <c r="AN14" s="2099"/>
      <c r="AO14" s="2106">
        <f t="shared" si="12"/>
        <v>0</v>
      </c>
      <c r="AP14" s="2101">
        <v>923.91</v>
      </c>
      <c r="AQ14" s="2102">
        <v>230.98</v>
      </c>
      <c r="AR14" s="2102">
        <v>0</v>
      </c>
      <c r="AS14" s="2102">
        <v>0</v>
      </c>
      <c r="AT14" s="2102">
        <v>0</v>
      </c>
      <c r="AU14" s="2106">
        <f t="shared" si="13"/>
        <v>1154.8899999999999</v>
      </c>
      <c r="AV14" s="2107">
        <v>5116.53</v>
      </c>
      <c r="AW14" s="2108">
        <v>1279.1099999999999</v>
      </c>
      <c r="AX14" s="2108">
        <v>0</v>
      </c>
      <c r="AY14" s="2108">
        <v>0</v>
      </c>
      <c r="AZ14" s="2109">
        <v>0</v>
      </c>
      <c r="BA14" s="2110">
        <f t="shared" si="14"/>
        <v>6395.6399999999994</v>
      </c>
      <c r="BB14" s="2111">
        <v>676.19</v>
      </c>
      <c r="BC14" s="2112">
        <v>1221.1199999999999</v>
      </c>
      <c r="BD14" s="2112">
        <v>0</v>
      </c>
      <c r="BE14" s="2112">
        <v>0</v>
      </c>
      <c r="BF14" s="2113">
        <v>0</v>
      </c>
      <c r="BG14" s="2114">
        <f t="shared" si="15"/>
        <v>1897.31</v>
      </c>
      <c r="BH14" s="2103">
        <v>28352.26</v>
      </c>
      <c r="BI14" s="2104">
        <v>3591.27</v>
      </c>
      <c r="BJ14" s="2104">
        <v>5859.47</v>
      </c>
      <c r="BK14" s="2104">
        <v>0</v>
      </c>
      <c r="BL14" s="2104">
        <v>0</v>
      </c>
      <c r="BM14" s="2117">
        <f t="shared" si="16"/>
        <v>37803</v>
      </c>
      <c r="BN14" s="2103"/>
      <c r="BO14" s="2104"/>
      <c r="BP14" s="2104"/>
      <c r="BQ14" s="2104"/>
      <c r="BR14" s="2104"/>
      <c r="BS14" s="2105">
        <f t="shared" si="17"/>
        <v>0</v>
      </c>
      <c r="BT14" s="2103">
        <v>40635.752011035234</v>
      </c>
      <c r="BU14" s="2104">
        <v>89840.947988964763</v>
      </c>
      <c r="BV14" s="2104">
        <v>23933.59</v>
      </c>
      <c r="BW14" s="2104">
        <v>-0.11</v>
      </c>
      <c r="BX14" s="2104">
        <v>0</v>
      </c>
      <c r="BY14" s="2105">
        <f t="shared" si="18"/>
        <v>154410.18000000002</v>
      </c>
      <c r="BZ14" s="2103"/>
      <c r="CA14" s="2104"/>
      <c r="CB14" s="2104"/>
      <c r="CC14" s="2104"/>
      <c r="CD14" s="2104"/>
      <c r="CE14" s="2105">
        <f t="shared" si="19"/>
        <v>0</v>
      </c>
      <c r="CF14" s="2115"/>
      <c r="CG14" s="2116"/>
      <c r="CH14" s="2116"/>
      <c r="CI14" s="2116"/>
      <c r="CJ14" s="2116"/>
      <c r="CK14" s="2117">
        <f t="shared" si="20"/>
        <v>0</v>
      </c>
      <c r="CL14" s="2103"/>
      <c r="CM14" s="2104"/>
      <c r="CN14" s="2104"/>
      <c r="CO14" s="2104"/>
      <c r="CP14" s="2104"/>
      <c r="CQ14" s="2105">
        <f t="shared" si="21"/>
        <v>0</v>
      </c>
      <c r="CR14" s="2103">
        <v>-48.39</v>
      </c>
      <c r="CS14" s="2104">
        <v>-48.39</v>
      </c>
      <c r="CT14" s="2104">
        <v>0</v>
      </c>
      <c r="CU14" s="2104">
        <v>0.01</v>
      </c>
      <c r="CV14" s="2104">
        <v>0</v>
      </c>
      <c r="CW14" s="2117">
        <f t="shared" si="22"/>
        <v>-96.77</v>
      </c>
      <c r="CX14" s="2103">
        <v>-10.46</v>
      </c>
      <c r="CY14" s="2104">
        <v>-10.46</v>
      </c>
      <c r="CZ14" s="2104">
        <v>0</v>
      </c>
      <c r="DA14" s="2104">
        <v>0.01</v>
      </c>
      <c r="DB14" s="2104">
        <v>0</v>
      </c>
      <c r="DC14" s="2105">
        <f t="shared" si="23"/>
        <v>-20.91</v>
      </c>
      <c r="DD14" s="2103">
        <v>-91.18</v>
      </c>
      <c r="DE14" s="2104">
        <v>0</v>
      </c>
      <c r="DF14" s="2104">
        <v>0</v>
      </c>
      <c r="DG14" s="2104">
        <v>0</v>
      </c>
      <c r="DH14" s="2104">
        <v>0</v>
      </c>
      <c r="DI14" s="2105">
        <f t="shared" si="24"/>
        <v>-91.18</v>
      </c>
      <c r="DJ14" s="2103"/>
      <c r="DK14" s="2104"/>
      <c r="DL14" s="2104"/>
      <c r="DM14" s="2104"/>
      <c r="DN14" s="2104"/>
      <c r="DO14" s="2105">
        <f t="shared" si="25"/>
        <v>0</v>
      </c>
      <c r="DP14" s="2103">
        <v>3845.8</v>
      </c>
      <c r="DQ14" s="2104">
        <v>2653.57</v>
      </c>
      <c r="DR14" s="2104">
        <v>1192.23</v>
      </c>
      <c r="DS14" s="2104">
        <v>0</v>
      </c>
      <c r="DT14" s="2104">
        <v>0</v>
      </c>
      <c r="DU14" s="2118">
        <f t="shared" si="26"/>
        <v>7691.6</v>
      </c>
      <c r="DV14" s="2103">
        <v>6977.5</v>
      </c>
      <c r="DW14" s="2104">
        <v>0</v>
      </c>
      <c r="DX14" s="2104">
        <v>1279.8800000000001</v>
      </c>
      <c r="DY14" s="2104">
        <v>0.06</v>
      </c>
      <c r="DZ14" s="2104">
        <v>0</v>
      </c>
      <c r="EA14" s="2105">
        <f t="shared" si="27"/>
        <v>8257.44</v>
      </c>
    </row>
    <row r="15" spans="1:131" s="2049" customFormat="1" ht="15" customHeight="1" x14ac:dyDescent="0.25">
      <c r="A15" s="2089" t="s">
        <v>30</v>
      </c>
      <c r="B15" s="2090" t="s">
        <v>31</v>
      </c>
      <c r="C15" s="2091" t="s">
        <v>268</v>
      </c>
      <c r="D15" s="2092">
        <f t="shared" si="28"/>
        <v>48041.778344041981</v>
      </c>
      <c r="E15" s="2093">
        <f t="shared" si="29"/>
        <v>12582.65165595802</v>
      </c>
      <c r="F15" s="2093">
        <f t="shared" si="30"/>
        <v>13614.39</v>
      </c>
      <c r="G15" s="2093">
        <f t="shared" si="31"/>
        <v>-0.12000000000000001</v>
      </c>
      <c r="H15" s="2093">
        <f t="shared" si="32"/>
        <v>0</v>
      </c>
      <c r="I15" s="2093">
        <f t="shared" si="5"/>
        <v>74238.700000000012</v>
      </c>
      <c r="J15" s="2093">
        <f t="shared" si="6"/>
        <v>-0.12000000000000001</v>
      </c>
      <c r="K15" s="2094">
        <f t="shared" si="7"/>
        <v>13614.269999999999</v>
      </c>
      <c r="L15" s="2095"/>
      <c r="M15" s="2096"/>
      <c r="N15" s="2096"/>
      <c r="O15" s="2096"/>
      <c r="P15" s="2096"/>
      <c r="Q15" s="2097">
        <f t="shared" si="8"/>
        <v>0</v>
      </c>
      <c r="R15" s="2098"/>
      <c r="S15" s="2099"/>
      <c r="T15" s="2099"/>
      <c r="U15" s="2099"/>
      <c r="V15" s="2099"/>
      <c r="W15" s="2100">
        <f t="shared" si="9"/>
        <v>0</v>
      </c>
      <c r="X15" s="2098">
        <v>236.58</v>
      </c>
      <c r="Y15" s="2099">
        <v>1.41</v>
      </c>
      <c r="Z15" s="2099">
        <v>43.65</v>
      </c>
      <c r="AA15" s="2099">
        <v>0</v>
      </c>
      <c r="AB15" s="2099">
        <v>0</v>
      </c>
      <c r="AC15" s="2100">
        <f t="shared" si="10"/>
        <v>281.64</v>
      </c>
      <c r="AD15" s="2103">
        <v>37216.11</v>
      </c>
      <c r="AE15" s="2104">
        <v>0</v>
      </c>
      <c r="AF15" s="2104">
        <v>9304.0400000000009</v>
      </c>
      <c r="AG15" s="2104">
        <v>0</v>
      </c>
      <c r="AH15" s="2104">
        <v>0</v>
      </c>
      <c r="AI15" s="2105">
        <f t="shared" si="11"/>
        <v>46520.15</v>
      </c>
      <c r="AJ15" s="2098"/>
      <c r="AK15" s="2099"/>
      <c r="AL15" s="2099"/>
      <c r="AM15" s="2099"/>
      <c r="AN15" s="2099"/>
      <c r="AO15" s="2106">
        <f t="shared" si="12"/>
        <v>0</v>
      </c>
      <c r="AP15" s="2098"/>
      <c r="AQ15" s="2099"/>
      <c r="AR15" s="2099"/>
      <c r="AS15" s="2099"/>
      <c r="AT15" s="2099"/>
      <c r="AU15" s="2106">
        <f t="shared" si="13"/>
        <v>0</v>
      </c>
      <c r="AV15" s="2124"/>
      <c r="AW15" s="2125"/>
      <c r="AX15" s="2125"/>
      <c r="AY15" s="2125"/>
      <c r="AZ15" s="2126"/>
      <c r="BA15" s="2110">
        <f t="shared" si="14"/>
        <v>0</v>
      </c>
      <c r="BB15" s="2111"/>
      <c r="BC15" s="2112"/>
      <c r="BD15" s="2112"/>
      <c r="BE15" s="2112"/>
      <c r="BF15" s="2113"/>
      <c r="BG15" s="2114">
        <f t="shared" si="15"/>
        <v>0</v>
      </c>
      <c r="BH15" s="2103">
        <v>5941.79</v>
      </c>
      <c r="BI15" s="2104">
        <v>752.64</v>
      </c>
      <c r="BJ15" s="2104">
        <v>1227.99</v>
      </c>
      <c r="BK15" s="2104">
        <v>-7.0000000000000007E-2</v>
      </c>
      <c r="BL15" s="2104">
        <v>0</v>
      </c>
      <c r="BM15" s="2117">
        <f t="shared" si="16"/>
        <v>7922.35</v>
      </c>
      <c r="BN15" s="2115"/>
      <c r="BO15" s="2116"/>
      <c r="BP15" s="2116"/>
      <c r="BQ15" s="2116"/>
      <c r="BR15" s="2116"/>
      <c r="BS15" s="2105">
        <f t="shared" si="17"/>
        <v>0</v>
      </c>
      <c r="BT15" s="2103">
        <v>1524.0583440419796</v>
      </c>
      <c r="BU15" s="2104">
        <v>9658.3516559580203</v>
      </c>
      <c r="BV15" s="2104">
        <v>2051.21</v>
      </c>
      <c r="BW15" s="2104">
        <v>-0.06</v>
      </c>
      <c r="BX15" s="2104">
        <v>0</v>
      </c>
      <c r="BY15" s="2105">
        <f t="shared" si="18"/>
        <v>13233.56</v>
      </c>
      <c r="BZ15" s="2115"/>
      <c r="CA15" s="2116"/>
      <c r="CB15" s="2116"/>
      <c r="CC15" s="2116"/>
      <c r="CD15" s="2116"/>
      <c r="CE15" s="2105">
        <f t="shared" si="19"/>
        <v>0</v>
      </c>
      <c r="CF15" s="2115"/>
      <c r="CG15" s="2116"/>
      <c r="CH15" s="2116"/>
      <c r="CI15" s="2116"/>
      <c r="CJ15" s="2116"/>
      <c r="CK15" s="2117">
        <f t="shared" si="20"/>
        <v>0</v>
      </c>
      <c r="CL15" s="2115"/>
      <c r="CM15" s="2116"/>
      <c r="CN15" s="2116"/>
      <c r="CO15" s="2116"/>
      <c r="CP15" s="2116"/>
      <c r="CQ15" s="2105">
        <f t="shared" si="21"/>
        <v>0</v>
      </c>
      <c r="CR15" s="2115">
        <v>-45</v>
      </c>
      <c r="CS15" s="2116">
        <v>-45</v>
      </c>
      <c r="CT15" s="2116">
        <v>0</v>
      </c>
      <c r="CU15" s="2116">
        <v>0</v>
      </c>
      <c r="CV15" s="2116">
        <v>0</v>
      </c>
      <c r="CW15" s="2117">
        <f t="shared" si="22"/>
        <v>-90</v>
      </c>
      <c r="CX15" s="2103"/>
      <c r="CY15" s="2104"/>
      <c r="CZ15" s="2104"/>
      <c r="DA15" s="2104"/>
      <c r="DB15" s="2104"/>
      <c r="DC15" s="2105">
        <f t="shared" si="23"/>
        <v>0</v>
      </c>
      <c r="DD15" s="2103"/>
      <c r="DE15" s="2104"/>
      <c r="DF15" s="2104"/>
      <c r="DG15" s="2104"/>
      <c r="DH15" s="2104"/>
      <c r="DI15" s="2105">
        <f t="shared" si="24"/>
        <v>0</v>
      </c>
      <c r="DJ15" s="2103"/>
      <c r="DK15" s="2104"/>
      <c r="DL15" s="2104"/>
      <c r="DM15" s="2104"/>
      <c r="DN15" s="2104"/>
      <c r="DO15" s="2105">
        <f t="shared" si="25"/>
        <v>0</v>
      </c>
      <c r="DP15" s="2103">
        <v>3210.5</v>
      </c>
      <c r="DQ15" s="2104">
        <v>2215.25</v>
      </c>
      <c r="DR15" s="2104">
        <v>995.26</v>
      </c>
      <c r="DS15" s="2104">
        <v>-0.01</v>
      </c>
      <c r="DT15" s="2104">
        <v>0</v>
      </c>
      <c r="DU15" s="2118">
        <f t="shared" si="26"/>
        <v>6421</v>
      </c>
      <c r="DV15" s="2103">
        <v>-42.26</v>
      </c>
      <c r="DW15" s="2104">
        <v>0</v>
      </c>
      <c r="DX15" s="2104">
        <v>-7.76</v>
      </c>
      <c r="DY15" s="2104">
        <v>0.02</v>
      </c>
      <c r="DZ15" s="2104">
        <v>0</v>
      </c>
      <c r="EA15" s="2105">
        <f t="shared" si="27"/>
        <v>-49.999999999999993</v>
      </c>
    </row>
    <row r="16" spans="1:131" s="2049" customFormat="1" ht="15" customHeight="1" x14ac:dyDescent="0.25">
      <c r="A16" s="2089" t="s">
        <v>32</v>
      </c>
      <c r="B16" s="2090" t="s">
        <v>33</v>
      </c>
      <c r="C16" s="2091" t="s">
        <v>265</v>
      </c>
      <c r="D16" s="2092">
        <f t="shared" si="28"/>
        <v>29400.755659911214</v>
      </c>
      <c r="E16" s="2093">
        <f t="shared" si="29"/>
        <v>3735.8543400887866</v>
      </c>
      <c r="F16" s="2093">
        <f t="shared" si="30"/>
        <v>6797.5</v>
      </c>
      <c r="G16" s="2093">
        <f t="shared" si="31"/>
        <v>9.0000000000000011E-2</v>
      </c>
      <c r="H16" s="2093">
        <f t="shared" si="32"/>
        <v>0</v>
      </c>
      <c r="I16" s="2093">
        <f t="shared" si="5"/>
        <v>39934.199999999997</v>
      </c>
      <c r="J16" s="2093">
        <f t="shared" si="6"/>
        <v>9.0000000000000011E-2</v>
      </c>
      <c r="K16" s="2094">
        <f t="shared" si="7"/>
        <v>6797.59</v>
      </c>
      <c r="L16" s="2095"/>
      <c r="M16" s="2096"/>
      <c r="N16" s="2096"/>
      <c r="O16" s="2096"/>
      <c r="P16" s="2096"/>
      <c r="Q16" s="2097">
        <f t="shared" si="8"/>
        <v>0</v>
      </c>
      <c r="R16" s="2098"/>
      <c r="S16" s="2099"/>
      <c r="T16" s="2099"/>
      <c r="U16" s="2099"/>
      <c r="V16" s="2099"/>
      <c r="W16" s="2100">
        <f t="shared" si="9"/>
        <v>0</v>
      </c>
      <c r="X16" s="2101">
        <v>4413.3900000000003</v>
      </c>
      <c r="Y16" s="2102">
        <v>26.27</v>
      </c>
      <c r="Z16" s="2102">
        <v>814.38</v>
      </c>
      <c r="AA16" s="2102">
        <v>0.01</v>
      </c>
      <c r="AB16" s="2102">
        <v>0</v>
      </c>
      <c r="AC16" s="2100">
        <f t="shared" si="10"/>
        <v>5254.0500000000011</v>
      </c>
      <c r="AD16" s="2103">
        <v>12181.79</v>
      </c>
      <c r="AE16" s="2104">
        <v>0</v>
      </c>
      <c r="AF16" s="2104">
        <v>3045.46</v>
      </c>
      <c r="AG16" s="2104">
        <v>0</v>
      </c>
      <c r="AH16" s="2104">
        <v>0</v>
      </c>
      <c r="AI16" s="2105">
        <f t="shared" si="11"/>
        <v>15227.25</v>
      </c>
      <c r="AJ16" s="2098"/>
      <c r="AK16" s="2099"/>
      <c r="AL16" s="2099"/>
      <c r="AM16" s="2099"/>
      <c r="AN16" s="2099"/>
      <c r="AO16" s="2106">
        <f t="shared" si="12"/>
        <v>0</v>
      </c>
      <c r="AP16" s="2101"/>
      <c r="AQ16" s="2102"/>
      <c r="AR16" s="2102"/>
      <c r="AS16" s="2102"/>
      <c r="AT16" s="2102"/>
      <c r="AU16" s="2106">
        <f t="shared" si="13"/>
        <v>0</v>
      </c>
      <c r="AV16" s="2107">
        <v>400</v>
      </c>
      <c r="AW16" s="2108">
        <v>100</v>
      </c>
      <c r="AX16" s="2108">
        <v>0</v>
      </c>
      <c r="AY16" s="2108">
        <v>0</v>
      </c>
      <c r="AZ16" s="2109">
        <v>0</v>
      </c>
      <c r="BA16" s="2110">
        <f t="shared" si="14"/>
        <v>500</v>
      </c>
      <c r="BB16" s="2119"/>
      <c r="BC16" s="2120"/>
      <c r="BD16" s="2120"/>
      <c r="BE16" s="2120"/>
      <c r="BF16" s="2120"/>
      <c r="BG16" s="2114">
        <f t="shared" si="15"/>
        <v>0</v>
      </c>
      <c r="BH16" s="2103">
        <v>5455.48</v>
      </c>
      <c r="BI16" s="2104">
        <v>691.03</v>
      </c>
      <c r="BJ16" s="2104">
        <v>1127.45</v>
      </c>
      <c r="BK16" s="2104">
        <v>0.01</v>
      </c>
      <c r="BL16" s="2104">
        <v>0</v>
      </c>
      <c r="BM16" s="2117">
        <f t="shared" si="16"/>
        <v>7273.9699999999993</v>
      </c>
      <c r="BN16" s="2103"/>
      <c r="BO16" s="2104"/>
      <c r="BP16" s="2104"/>
      <c r="BQ16" s="2104"/>
      <c r="BR16" s="2104"/>
      <c r="BS16" s="2105">
        <f t="shared" si="17"/>
        <v>0</v>
      </c>
      <c r="BT16" s="2103">
        <v>460.54565991121353</v>
      </c>
      <c r="BU16" s="2104">
        <v>2918.5543400887864</v>
      </c>
      <c r="BV16" s="2104">
        <v>619.84</v>
      </c>
      <c r="BW16" s="2104">
        <v>0</v>
      </c>
      <c r="BX16" s="2104">
        <v>0</v>
      </c>
      <c r="BY16" s="2105">
        <f t="shared" si="18"/>
        <v>3998.94</v>
      </c>
      <c r="BZ16" s="2115"/>
      <c r="CA16" s="2116"/>
      <c r="CB16" s="2116"/>
      <c r="CC16" s="2116"/>
      <c r="CD16" s="2116"/>
      <c r="CE16" s="2105">
        <f t="shared" si="19"/>
        <v>0</v>
      </c>
      <c r="CF16" s="2115"/>
      <c r="CG16" s="2116"/>
      <c r="CH16" s="2116"/>
      <c r="CI16" s="2116"/>
      <c r="CJ16" s="2116"/>
      <c r="CK16" s="2117">
        <f t="shared" si="20"/>
        <v>0</v>
      </c>
      <c r="CL16" s="2103"/>
      <c r="CM16" s="2104"/>
      <c r="CN16" s="2104"/>
      <c r="CO16" s="2104"/>
      <c r="CP16" s="2104"/>
      <c r="CQ16" s="2105">
        <f t="shared" si="21"/>
        <v>0</v>
      </c>
      <c r="CR16" s="2103"/>
      <c r="CS16" s="2104"/>
      <c r="CT16" s="2104"/>
      <c r="CU16" s="2104"/>
      <c r="CV16" s="2104"/>
      <c r="CW16" s="2117">
        <f t="shared" si="22"/>
        <v>0</v>
      </c>
      <c r="CX16" s="2103"/>
      <c r="CY16" s="2104"/>
      <c r="CZ16" s="2104"/>
      <c r="DA16" s="2104"/>
      <c r="DB16" s="2104"/>
      <c r="DC16" s="2105">
        <f t="shared" si="23"/>
        <v>0</v>
      </c>
      <c r="DD16" s="2103"/>
      <c r="DE16" s="2104"/>
      <c r="DF16" s="2104"/>
      <c r="DG16" s="2104"/>
      <c r="DH16" s="2104"/>
      <c r="DI16" s="2105">
        <f t="shared" si="24"/>
        <v>0</v>
      </c>
      <c r="DJ16" s="2103"/>
      <c r="DK16" s="2104"/>
      <c r="DL16" s="2104"/>
      <c r="DM16" s="2104"/>
      <c r="DN16" s="2104"/>
      <c r="DO16" s="2105">
        <f t="shared" si="25"/>
        <v>0</v>
      </c>
      <c r="DP16" s="2115"/>
      <c r="DQ16" s="2116"/>
      <c r="DR16" s="2116"/>
      <c r="DS16" s="2116"/>
      <c r="DT16" s="2116"/>
      <c r="DU16" s="2118">
        <f t="shared" si="26"/>
        <v>0</v>
      </c>
      <c r="DV16" s="2103">
        <v>6489.55</v>
      </c>
      <c r="DW16" s="2104">
        <v>0</v>
      </c>
      <c r="DX16" s="2104">
        <v>1190.3699999999999</v>
      </c>
      <c r="DY16" s="2104">
        <v>7.0000000000000007E-2</v>
      </c>
      <c r="DZ16" s="2104">
        <v>0</v>
      </c>
      <c r="EA16" s="2105">
        <f t="shared" si="27"/>
        <v>7679.99</v>
      </c>
    </row>
    <row r="17" spans="1:131" s="2049" customFormat="1" ht="15" customHeight="1" x14ac:dyDescent="0.25">
      <c r="A17" s="2089" t="s">
        <v>36</v>
      </c>
      <c r="B17" s="2090" t="s">
        <v>37</v>
      </c>
      <c r="C17" s="2091" t="s">
        <v>264</v>
      </c>
      <c r="D17" s="2092">
        <f t="shared" si="28"/>
        <v>60637.22693874871</v>
      </c>
      <c r="E17" s="2093">
        <f t="shared" si="29"/>
        <v>30297.973061251283</v>
      </c>
      <c r="F17" s="2093">
        <f t="shared" si="30"/>
        <v>18377.97</v>
      </c>
      <c r="G17" s="2093">
        <f t="shared" si="31"/>
        <v>-0.09</v>
      </c>
      <c r="H17" s="2093">
        <f t="shared" si="32"/>
        <v>0</v>
      </c>
      <c r="I17" s="2093">
        <f t="shared" si="5"/>
        <v>109313.08</v>
      </c>
      <c r="J17" s="2093">
        <f t="shared" si="6"/>
        <v>-0.09</v>
      </c>
      <c r="K17" s="2094">
        <f t="shared" si="7"/>
        <v>18377.88</v>
      </c>
      <c r="L17" s="2095"/>
      <c r="M17" s="2096"/>
      <c r="N17" s="2096"/>
      <c r="O17" s="2096"/>
      <c r="P17" s="2096"/>
      <c r="Q17" s="2097">
        <f t="shared" si="8"/>
        <v>0</v>
      </c>
      <c r="R17" s="2098"/>
      <c r="S17" s="2099"/>
      <c r="T17" s="2099"/>
      <c r="U17" s="2099"/>
      <c r="V17" s="2099"/>
      <c r="W17" s="2100">
        <f t="shared" si="9"/>
        <v>0</v>
      </c>
      <c r="X17" s="2101">
        <v>3205.06</v>
      </c>
      <c r="Y17" s="2102">
        <v>19.09</v>
      </c>
      <c r="Z17" s="2102">
        <v>591.4</v>
      </c>
      <c r="AA17" s="2102">
        <v>-0.01</v>
      </c>
      <c r="AB17" s="2102">
        <v>0</v>
      </c>
      <c r="AC17" s="2100">
        <f t="shared" si="10"/>
        <v>3815.54</v>
      </c>
      <c r="AD17" s="2103">
        <v>25891.74</v>
      </c>
      <c r="AE17" s="2104">
        <v>0</v>
      </c>
      <c r="AF17" s="2104">
        <v>6472.94</v>
      </c>
      <c r="AG17" s="2104">
        <v>0</v>
      </c>
      <c r="AH17" s="2104">
        <v>0</v>
      </c>
      <c r="AI17" s="2105">
        <f t="shared" si="11"/>
        <v>32364.68</v>
      </c>
      <c r="AJ17" s="2101">
        <v>5690.5</v>
      </c>
      <c r="AK17" s="2102">
        <v>3926.45</v>
      </c>
      <c r="AL17" s="2102">
        <v>1764.06</v>
      </c>
      <c r="AM17" s="2102">
        <v>-0.01</v>
      </c>
      <c r="AN17" s="2102">
        <v>0</v>
      </c>
      <c r="AO17" s="2106">
        <f t="shared" si="12"/>
        <v>11381</v>
      </c>
      <c r="AP17" s="2101"/>
      <c r="AQ17" s="2102"/>
      <c r="AR17" s="2102"/>
      <c r="AS17" s="2102"/>
      <c r="AT17" s="2102"/>
      <c r="AU17" s="2106">
        <f t="shared" si="13"/>
        <v>0</v>
      </c>
      <c r="AV17" s="2107">
        <v>113.49</v>
      </c>
      <c r="AW17" s="2108">
        <v>28.37</v>
      </c>
      <c r="AX17" s="2108">
        <v>0</v>
      </c>
      <c r="AY17" s="2108">
        <v>0</v>
      </c>
      <c r="AZ17" s="2109">
        <v>0</v>
      </c>
      <c r="BA17" s="2110">
        <f t="shared" si="14"/>
        <v>141.85999999999999</v>
      </c>
      <c r="BB17" s="2111"/>
      <c r="BC17" s="2112"/>
      <c r="BD17" s="2112"/>
      <c r="BE17" s="2112"/>
      <c r="BF17" s="2113"/>
      <c r="BG17" s="2114">
        <f t="shared" si="15"/>
        <v>0</v>
      </c>
      <c r="BH17" s="2103">
        <v>13500</v>
      </c>
      <c r="BI17" s="2104">
        <v>1710</v>
      </c>
      <c r="BJ17" s="2104">
        <v>2790</v>
      </c>
      <c r="BK17" s="2104">
        <v>0</v>
      </c>
      <c r="BL17" s="2104">
        <v>0</v>
      </c>
      <c r="BM17" s="2117">
        <f t="shared" si="16"/>
        <v>18000</v>
      </c>
      <c r="BN17" s="2103"/>
      <c r="BO17" s="2104"/>
      <c r="BP17" s="2104"/>
      <c r="BQ17" s="2104"/>
      <c r="BR17" s="2104"/>
      <c r="BS17" s="2105">
        <f t="shared" si="17"/>
        <v>0</v>
      </c>
      <c r="BT17" s="2103">
        <v>3480.4169387487145</v>
      </c>
      <c r="BU17" s="2104">
        <v>22056.353061251284</v>
      </c>
      <c r="BV17" s="2104">
        <v>4684.26</v>
      </c>
      <c r="BW17" s="2104">
        <v>-0.03</v>
      </c>
      <c r="BX17" s="2104">
        <v>0</v>
      </c>
      <c r="BY17" s="2105">
        <f t="shared" si="18"/>
        <v>30221</v>
      </c>
      <c r="BZ17" s="2115"/>
      <c r="CA17" s="2116"/>
      <c r="CB17" s="2116"/>
      <c r="CC17" s="2116"/>
      <c r="CD17" s="2116"/>
      <c r="CE17" s="2105">
        <f t="shared" si="19"/>
        <v>0</v>
      </c>
      <c r="CF17" s="2115"/>
      <c r="CG17" s="2116"/>
      <c r="CH17" s="2116"/>
      <c r="CI17" s="2116"/>
      <c r="CJ17" s="2116"/>
      <c r="CK17" s="2117">
        <f t="shared" si="20"/>
        <v>0</v>
      </c>
      <c r="CL17" s="2115"/>
      <c r="CM17" s="2116"/>
      <c r="CN17" s="2116"/>
      <c r="CO17" s="2116"/>
      <c r="CP17" s="2116"/>
      <c r="CQ17" s="2105">
        <f t="shared" si="21"/>
        <v>0</v>
      </c>
      <c r="CR17" s="2115"/>
      <c r="CS17" s="2116"/>
      <c r="CT17" s="2116"/>
      <c r="CU17" s="2116"/>
      <c r="CV17" s="2116"/>
      <c r="CW17" s="2117">
        <f t="shared" si="22"/>
        <v>0</v>
      </c>
      <c r="CX17" s="2103"/>
      <c r="CY17" s="2104"/>
      <c r="CZ17" s="2104"/>
      <c r="DA17" s="2104"/>
      <c r="DB17" s="2104"/>
      <c r="DC17" s="2105">
        <f t="shared" si="23"/>
        <v>0</v>
      </c>
      <c r="DD17" s="2103"/>
      <c r="DE17" s="2104"/>
      <c r="DF17" s="2104"/>
      <c r="DG17" s="2104"/>
      <c r="DH17" s="2104"/>
      <c r="DI17" s="2105">
        <f t="shared" si="24"/>
        <v>0</v>
      </c>
      <c r="DJ17" s="2103"/>
      <c r="DK17" s="2104"/>
      <c r="DL17" s="2104"/>
      <c r="DM17" s="2104"/>
      <c r="DN17" s="2104"/>
      <c r="DO17" s="2105">
        <f t="shared" si="25"/>
        <v>0</v>
      </c>
      <c r="DP17" s="2103">
        <v>3706.81</v>
      </c>
      <c r="DQ17" s="2104">
        <v>2557.71</v>
      </c>
      <c r="DR17" s="2104">
        <v>1149.1300000000001</v>
      </c>
      <c r="DS17" s="2104">
        <v>-0.03</v>
      </c>
      <c r="DT17" s="2104">
        <v>0</v>
      </c>
      <c r="DU17" s="2118">
        <f t="shared" si="26"/>
        <v>7413.6200000000008</v>
      </c>
      <c r="DV17" s="2103">
        <v>5049.21</v>
      </c>
      <c r="DW17" s="2104">
        <v>0</v>
      </c>
      <c r="DX17" s="2104">
        <v>926.18</v>
      </c>
      <c r="DY17" s="2104">
        <v>-0.01</v>
      </c>
      <c r="DZ17" s="2104">
        <v>0</v>
      </c>
      <c r="EA17" s="2105">
        <f t="shared" si="27"/>
        <v>5975.38</v>
      </c>
    </row>
    <row r="18" spans="1:131" s="2049" customFormat="1" ht="15" customHeight="1" x14ac:dyDescent="0.25">
      <c r="A18" s="2089" t="s">
        <v>38</v>
      </c>
      <c r="B18" s="2090" t="s">
        <v>39</v>
      </c>
      <c r="C18" s="2091" t="s">
        <v>268</v>
      </c>
      <c r="D18" s="2092">
        <f t="shared" si="28"/>
        <v>126167.79591295304</v>
      </c>
      <c r="E18" s="2093">
        <f t="shared" si="29"/>
        <v>25827.134087046965</v>
      </c>
      <c r="F18" s="2093">
        <f t="shared" si="30"/>
        <v>33522.880000000005</v>
      </c>
      <c r="G18" s="2093">
        <f t="shared" si="31"/>
        <v>-0.12000000000000001</v>
      </c>
      <c r="H18" s="2093">
        <f t="shared" si="32"/>
        <v>0</v>
      </c>
      <c r="I18" s="2093">
        <f t="shared" si="5"/>
        <v>185517.69</v>
      </c>
      <c r="J18" s="2093">
        <f t="shared" si="6"/>
        <v>-0.12000000000000001</v>
      </c>
      <c r="K18" s="2094">
        <f t="shared" si="7"/>
        <v>33522.76</v>
      </c>
      <c r="L18" s="2095"/>
      <c r="M18" s="2096"/>
      <c r="N18" s="2096"/>
      <c r="O18" s="2096"/>
      <c r="P18" s="2096"/>
      <c r="Q18" s="2097">
        <f t="shared" si="8"/>
        <v>0</v>
      </c>
      <c r="R18" s="2098"/>
      <c r="S18" s="2099"/>
      <c r="T18" s="2099"/>
      <c r="U18" s="2099"/>
      <c r="V18" s="2099"/>
      <c r="W18" s="2100">
        <f t="shared" si="9"/>
        <v>0</v>
      </c>
      <c r="X18" s="2101">
        <v>6973.44</v>
      </c>
      <c r="Y18" s="2102">
        <v>41.52</v>
      </c>
      <c r="Z18" s="2102">
        <v>1286.77</v>
      </c>
      <c r="AA18" s="2102">
        <v>-0.03</v>
      </c>
      <c r="AB18" s="2102">
        <v>0</v>
      </c>
      <c r="AC18" s="2100">
        <f t="shared" si="10"/>
        <v>8301.6999999999989</v>
      </c>
      <c r="AD18" s="2103">
        <v>95888.33</v>
      </c>
      <c r="AE18" s="2104">
        <v>0</v>
      </c>
      <c r="AF18" s="2104">
        <v>23972.06</v>
      </c>
      <c r="AG18" s="2104">
        <v>0</v>
      </c>
      <c r="AH18" s="2104">
        <v>0</v>
      </c>
      <c r="AI18" s="2105">
        <f t="shared" si="11"/>
        <v>119860.39</v>
      </c>
      <c r="AJ18" s="2098"/>
      <c r="AK18" s="2099"/>
      <c r="AL18" s="2099"/>
      <c r="AM18" s="2099"/>
      <c r="AN18" s="2099"/>
      <c r="AO18" s="2106">
        <f t="shared" si="12"/>
        <v>0</v>
      </c>
      <c r="AP18" s="2101"/>
      <c r="AQ18" s="2102"/>
      <c r="AR18" s="2102"/>
      <c r="AS18" s="2102"/>
      <c r="AT18" s="2102"/>
      <c r="AU18" s="2106">
        <f t="shared" si="13"/>
        <v>0</v>
      </c>
      <c r="AV18" s="2107">
        <v>2919.28</v>
      </c>
      <c r="AW18" s="2108">
        <v>729.82</v>
      </c>
      <c r="AX18" s="2108">
        <v>0</v>
      </c>
      <c r="AY18" s="2108">
        <v>0</v>
      </c>
      <c r="AZ18" s="2109">
        <v>0</v>
      </c>
      <c r="BA18" s="2110">
        <f t="shared" si="14"/>
        <v>3649.1000000000004</v>
      </c>
      <c r="BB18" s="2111">
        <v>138.99</v>
      </c>
      <c r="BC18" s="2112">
        <v>251</v>
      </c>
      <c r="BD18" s="2112">
        <v>0</v>
      </c>
      <c r="BE18" s="2112">
        <v>0</v>
      </c>
      <c r="BF18" s="2113">
        <v>0</v>
      </c>
      <c r="BG18" s="2114">
        <f t="shared" si="15"/>
        <v>389.99</v>
      </c>
      <c r="BH18" s="2103">
        <v>8669.86</v>
      </c>
      <c r="BI18" s="2104">
        <v>1098.21</v>
      </c>
      <c r="BJ18" s="2104">
        <v>1791.79</v>
      </c>
      <c r="BK18" s="2104">
        <v>-0.04</v>
      </c>
      <c r="BL18" s="2104">
        <v>0</v>
      </c>
      <c r="BM18" s="2117">
        <f t="shared" si="16"/>
        <v>11559.82</v>
      </c>
      <c r="BN18" s="2103"/>
      <c r="BO18" s="2104"/>
      <c r="BP18" s="2104"/>
      <c r="BQ18" s="2104"/>
      <c r="BR18" s="2104"/>
      <c r="BS18" s="2105">
        <f t="shared" si="17"/>
        <v>0</v>
      </c>
      <c r="BT18" s="2103">
        <v>3757.7159129530337</v>
      </c>
      <c r="BU18" s="2104">
        <v>21429.584087046966</v>
      </c>
      <c r="BV18" s="2104">
        <v>4620.13</v>
      </c>
      <c r="BW18" s="2104">
        <v>-7.0000000000000007E-2</v>
      </c>
      <c r="BX18" s="2104">
        <v>0</v>
      </c>
      <c r="BY18" s="2105">
        <f t="shared" si="18"/>
        <v>29807.360000000001</v>
      </c>
      <c r="BZ18" s="2115"/>
      <c r="CA18" s="2116"/>
      <c r="CB18" s="2116"/>
      <c r="CC18" s="2116"/>
      <c r="CD18" s="2116"/>
      <c r="CE18" s="2105">
        <f t="shared" si="19"/>
        <v>0</v>
      </c>
      <c r="CF18" s="2115"/>
      <c r="CG18" s="2116"/>
      <c r="CH18" s="2116"/>
      <c r="CI18" s="2116"/>
      <c r="CJ18" s="2116"/>
      <c r="CK18" s="2117">
        <f t="shared" si="20"/>
        <v>0</v>
      </c>
      <c r="CL18" s="2103"/>
      <c r="CM18" s="2104"/>
      <c r="CN18" s="2104"/>
      <c r="CO18" s="2104"/>
      <c r="CP18" s="2104"/>
      <c r="CQ18" s="2105">
        <f t="shared" si="21"/>
        <v>0</v>
      </c>
      <c r="CR18" s="2115"/>
      <c r="CS18" s="2116"/>
      <c r="CT18" s="2116"/>
      <c r="CU18" s="2116"/>
      <c r="CV18" s="2116"/>
      <c r="CW18" s="2117">
        <f t="shared" si="22"/>
        <v>0</v>
      </c>
      <c r="CX18" s="2103"/>
      <c r="CY18" s="2104"/>
      <c r="CZ18" s="2104"/>
      <c r="DA18" s="2104"/>
      <c r="DB18" s="2104"/>
      <c r="DC18" s="2105">
        <f t="shared" si="23"/>
        <v>0</v>
      </c>
      <c r="DD18" s="2103"/>
      <c r="DE18" s="2104"/>
      <c r="DF18" s="2104"/>
      <c r="DG18" s="2104"/>
      <c r="DH18" s="2104"/>
      <c r="DI18" s="2105">
        <f t="shared" si="24"/>
        <v>0</v>
      </c>
      <c r="DJ18" s="2103"/>
      <c r="DK18" s="2104"/>
      <c r="DL18" s="2104"/>
      <c r="DM18" s="2104"/>
      <c r="DN18" s="2104"/>
      <c r="DO18" s="2105">
        <f t="shared" si="25"/>
        <v>0</v>
      </c>
      <c r="DP18" s="2103">
        <v>3300</v>
      </c>
      <c r="DQ18" s="2104">
        <v>2277</v>
      </c>
      <c r="DR18" s="2104">
        <v>1023</v>
      </c>
      <c r="DS18" s="2104">
        <v>0</v>
      </c>
      <c r="DT18" s="2104">
        <v>0</v>
      </c>
      <c r="DU18" s="2118">
        <f t="shared" si="26"/>
        <v>6600</v>
      </c>
      <c r="DV18" s="2103">
        <v>4520.18</v>
      </c>
      <c r="DW18" s="2104">
        <v>0</v>
      </c>
      <c r="DX18" s="2104">
        <v>829.13</v>
      </c>
      <c r="DY18" s="2104">
        <v>0.02</v>
      </c>
      <c r="DZ18" s="2104">
        <v>0</v>
      </c>
      <c r="EA18" s="2105">
        <f t="shared" si="27"/>
        <v>5349.3300000000008</v>
      </c>
    </row>
    <row r="19" spans="1:131" s="2049" customFormat="1" ht="15" customHeight="1" x14ac:dyDescent="0.25">
      <c r="A19" s="2089" t="s">
        <v>40</v>
      </c>
      <c r="B19" s="2090" t="s">
        <v>41</v>
      </c>
      <c r="C19" s="2091" t="s">
        <v>266</v>
      </c>
      <c r="D19" s="2092">
        <f t="shared" si="28"/>
        <v>29156.633018101849</v>
      </c>
      <c r="E19" s="2093">
        <f t="shared" si="29"/>
        <v>27666.57698189815</v>
      </c>
      <c r="F19" s="2093">
        <f t="shared" si="30"/>
        <v>11140.52</v>
      </c>
      <c r="G19" s="2093">
        <f t="shared" si="31"/>
        <v>0</v>
      </c>
      <c r="H19" s="2093">
        <f t="shared" si="32"/>
        <v>0</v>
      </c>
      <c r="I19" s="2093">
        <f t="shared" si="5"/>
        <v>67963.73</v>
      </c>
      <c r="J19" s="2093">
        <f t="shared" si="6"/>
        <v>0</v>
      </c>
      <c r="K19" s="2094">
        <f t="shared" si="7"/>
        <v>11140.52</v>
      </c>
      <c r="L19" s="2095"/>
      <c r="M19" s="2096"/>
      <c r="N19" s="2096"/>
      <c r="O19" s="2096"/>
      <c r="P19" s="2096"/>
      <c r="Q19" s="2097">
        <f t="shared" si="8"/>
        <v>0</v>
      </c>
      <c r="R19" s="2098"/>
      <c r="S19" s="2099"/>
      <c r="T19" s="2099"/>
      <c r="U19" s="2099"/>
      <c r="V19" s="2099"/>
      <c r="W19" s="2100">
        <f t="shared" si="9"/>
        <v>0</v>
      </c>
      <c r="X19" s="2098"/>
      <c r="Y19" s="2099"/>
      <c r="Z19" s="2099"/>
      <c r="AA19" s="2099"/>
      <c r="AB19" s="2099"/>
      <c r="AC19" s="2100">
        <f t="shared" si="10"/>
        <v>0</v>
      </c>
      <c r="AD19" s="2103">
        <v>14445.66</v>
      </c>
      <c r="AE19" s="2104">
        <v>0</v>
      </c>
      <c r="AF19" s="2104">
        <v>3611.37</v>
      </c>
      <c r="AG19" s="2104">
        <v>0</v>
      </c>
      <c r="AH19" s="2104">
        <v>0</v>
      </c>
      <c r="AI19" s="2105">
        <f t="shared" si="11"/>
        <v>18057.03</v>
      </c>
      <c r="AJ19" s="2098"/>
      <c r="AK19" s="2099"/>
      <c r="AL19" s="2099"/>
      <c r="AM19" s="2099"/>
      <c r="AN19" s="2099"/>
      <c r="AO19" s="2106">
        <f t="shared" si="12"/>
        <v>0</v>
      </c>
      <c r="AP19" s="2098">
        <v>78.31</v>
      </c>
      <c r="AQ19" s="2099">
        <v>19.579999999999998</v>
      </c>
      <c r="AR19" s="2099">
        <v>0</v>
      </c>
      <c r="AS19" s="2099">
        <v>0</v>
      </c>
      <c r="AT19" s="2099">
        <v>0</v>
      </c>
      <c r="AU19" s="2106">
        <f t="shared" si="13"/>
        <v>97.89</v>
      </c>
      <c r="AV19" s="2107">
        <v>766.08</v>
      </c>
      <c r="AW19" s="2108">
        <v>191.51</v>
      </c>
      <c r="AX19" s="2108">
        <v>0</v>
      </c>
      <c r="AY19" s="2108">
        <v>0</v>
      </c>
      <c r="AZ19" s="2109">
        <v>0</v>
      </c>
      <c r="BA19" s="2110">
        <f t="shared" si="14"/>
        <v>957.59</v>
      </c>
      <c r="BB19" s="2119">
        <v>98.37</v>
      </c>
      <c r="BC19" s="2120">
        <v>177.63</v>
      </c>
      <c r="BD19" s="2120">
        <v>0</v>
      </c>
      <c r="BE19" s="2120">
        <v>0</v>
      </c>
      <c r="BF19" s="2120">
        <v>0</v>
      </c>
      <c r="BG19" s="2114">
        <f t="shared" si="15"/>
        <v>276</v>
      </c>
      <c r="BH19" s="2103">
        <v>6642.75</v>
      </c>
      <c r="BI19" s="2104">
        <v>841.42</v>
      </c>
      <c r="BJ19" s="2104">
        <v>1372.84</v>
      </c>
      <c r="BK19" s="2104">
        <v>-0.01</v>
      </c>
      <c r="BL19" s="2104">
        <v>0</v>
      </c>
      <c r="BM19" s="2117">
        <f t="shared" si="16"/>
        <v>8857</v>
      </c>
      <c r="BN19" s="2103"/>
      <c r="BO19" s="2104"/>
      <c r="BP19" s="2104"/>
      <c r="BQ19" s="2104"/>
      <c r="BR19" s="2104"/>
      <c r="BS19" s="2105">
        <f t="shared" si="17"/>
        <v>0</v>
      </c>
      <c r="BT19" s="2103">
        <v>3809.1430181018532</v>
      </c>
      <c r="BU19" s="2104">
        <v>24139.426981898148</v>
      </c>
      <c r="BV19" s="2104">
        <v>5126.6499999999996</v>
      </c>
      <c r="BW19" s="2104">
        <v>0</v>
      </c>
      <c r="BX19" s="2104">
        <v>0</v>
      </c>
      <c r="BY19" s="2105">
        <f t="shared" si="18"/>
        <v>33075.22</v>
      </c>
      <c r="BZ19" s="2115"/>
      <c r="CA19" s="2116"/>
      <c r="CB19" s="2116"/>
      <c r="CC19" s="2116"/>
      <c r="CD19" s="2116"/>
      <c r="CE19" s="2105">
        <f t="shared" si="19"/>
        <v>0</v>
      </c>
      <c r="CF19" s="2115"/>
      <c r="CG19" s="2116"/>
      <c r="CH19" s="2116"/>
      <c r="CI19" s="2116"/>
      <c r="CJ19" s="2116"/>
      <c r="CK19" s="2117">
        <f t="shared" si="20"/>
        <v>0</v>
      </c>
      <c r="CL19" s="2115"/>
      <c r="CM19" s="2116"/>
      <c r="CN19" s="2116"/>
      <c r="CO19" s="2116"/>
      <c r="CP19" s="2116"/>
      <c r="CQ19" s="2105">
        <f t="shared" si="21"/>
        <v>0</v>
      </c>
      <c r="CR19" s="2103"/>
      <c r="CS19" s="2104"/>
      <c r="CT19" s="2104"/>
      <c r="CU19" s="2104"/>
      <c r="CV19" s="2104"/>
      <c r="CW19" s="2117">
        <f t="shared" si="22"/>
        <v>0</v>
      </c>
      <c r="CX19" s="2103"/>
      <c r="CY19" s="2104"/>
      <c r="CZ19" s="2104"/>
      <c r="DA19" s="2104"/>
      <c r="DB19" s="2104"/>
      <c r="DC19" s="2105">
        <f t="shared" si="23"/>
        <v>0</v>
      </c>
      <c r="DD19" s="2103"/>
      <c r="DE19" s="2104"/>
      <c r="DF19" s="2104"/>
      <c r="DG19" s="2104"/>
      <c r="DH19" s="2104"/>
      <c r="DI19" s="2105">
        <f t="shared" si="24"/>
        <v>0</v>
      </c>
      <c r="DJ19" s="2103"/>
      <c r="DK19" s="2104"/>
      <c r="DL19" s="2104"/>
      <c r="DM19" s="2104"/>
      <c r="DN19" s="2104"/>
      <c r="DO19" s="2105">
        <f t="shared" si="25"/>
        <v>0</v>
      </c>
      <c r="DP19" s="2103">
        <v>3329</v>
      </c>
      <c r="DQ19" s="2104">
        <v>2297.0100000000002</v>
      </c>
      <c r="DR19" s="2104">
        <v>1031.99</v>
      </c>
      <c r="DS19" s="2104">
        <v>0</v>
      </c>
      <c r="DT19" s="2104">
        <v>0</v>
      </c>
      <c r="DU19" s="2118">
        <f t="shared" si="26"/>
        <v>6658</v>
      </c>
      <c r="DV19" s="2115">
        <v>-12.68</v>
      </c>
      <c r="DW19" s="2116">
        <v>0</v>
      </c>
      <c r="DX19" s="2116">
        <v>-2.33</v>
      </c>
      <c r="DY19" s="2116">
        <v>0.01</v>
      </c>
      <c r="DZ19" s="2116">
        <v>0</v>
      </c>
      <c r="EA19" s="2105">
        <f t="shared" si="27"/>
        <v>-15</v>
      </c>
    </row>
    <row r="20" spans="1:131" s="2049" customFormat="1" ht="15" customHeight="1" x14ac:dyDescent="0.25">
      <c r="A20" s="2089" t="s">
        <v>42</v>
      </c>
      <c r="B20" s="2090" t="s">
        <v>43</v>
      </c>
      <c r="C20" s="2091" t="s">
        <v>265</v>
      </c>
      <c r="D20" s="2092">
        <f t="shared" si="28"/>
        <v>146133.67398845038</v>
      </c>
      <c r="E20" s="2093">
        <f t="shared" si="29"/>
        <v>114071.25601154965</v>
      </c>
      <c r="F20" s="2093">
        <f t="shared" si="30"/>
        <v>52058.879999999997</v>
      </c>
      <c r="G20" s="2093">
        <f t="shared" si="31"/>
        <v>-0.19</v>
      </c>
      <c r="H20" s="2093">
        <f t="shared" si="32"/>
        <v>62168.61</v>
      </c>
      <c r="I20" s="2093">
        <f t="shared" si="5"/>
        <v>374432.23</v>
      </c>
      <c r="J20" s="2093">
        <f t="shared" si="6"/>
        <v>62168.42</v>
      </c>
      <c r="K20" s="2094">
        <f t="shared" si="7"/>
        <v>114227.29999999999</v>
      </c>
      <c r="L20" s="2095"/>
      <c r="M20" s="2096"/>
      <c r="N20" s="2096"/>
      <c r="O20" s="2096"/>
      <c r="P20" s="2096"/>
      <c r="Q20" s="2097">
        <f t="shared" si="8"/>
        <v>0</v>
      </c>
      <c r="R20" s="2101">
        <v>0</v>
      </c>
      <c r="S20" s="2102">
        <v>0</v>
      </c>
      <c r="T20" s="2102">
        <v>0</v>
      </c>
      <c r="U20" s="2102">
        <v>0</v>
      </c>
      <c r="V20" s="2102">
        <v>62168.61</v>
      </c>
      <c r="W20" s="2100">
        <f t="shared" si="9"/>
        <v>62168.61</v>
      </c>
      <c r="X20" s="2101">
        <v>12765.48</v>
      </c>
      <c r="Y20" s="2102">
        <v>75.98</v>
      </c>
      <c r="Z20" s="2102">
        <v>2355.5500000000002</v>
      </c>
      <c r="AA20" s="2102">
        <v>-0.01</v>
      </c>
      <c r="AB20" s="2102">
        <v>0</v>
      </c>
      <c r="AC20" s="2100">
        <f t="shared" si="10"/>
        <v>15196.999999999998</v>
      </c>
      <c r="AD20" s="2103">
        <v>72000.009999999995</v>
      </c>
      <c r="AE20" s="2104">
        <v>0</v>
      </c>
      <c r="AF20" s="2104">
        <v>17999.990000000002</v>
      </c>
      <c r="AG20" s="2104">
        <v>0</v>
      </c>
      <c r="AH20" s="2104">
        <v>0</v>
      </c>
      <c r="AI20" s="2105">
        <f t="shared" si="11"/>
        <v>90000</v>
      </c>
      <c r="AJ20" s="2098"/>
      <c r="AK20" s="2099"/>
      <c r="AL20" s="2099"/>
      <c r="AM20" s="2099"/>
      <c r="AN20" s="2099"/>
      <c r="AO20" s="2106">
        <f t="shared" si="12"/>
        <v>0</v>
      </c>
      <c r="AP20" s="2101">
        <v>631.78</v>
      </c>
      <c r="AQ20" s="2102">
        <v>157.94999999999999</v>
      </c>
      <c r="AR20" s="2102">
        <v>0</v>
      </c>
      <c r="AS20" s="2102">
        <v>0</v>
      </c>
      <c r="AT20" s="2102">
        <v>0</v>
      </c>
      <c r="AU20" s="2106">
        <f t="shared" si="13"/>
        <v>789.73</v>
      </c>
      <c r="AV20" s="2107">
        <v>4352.01</v>
      </c>
      <c r="AW20" s="2108">
        <v>1087.99</v>
      </c>
      <c r="AX20" s="2108">
        <v>0</v>
      </c>
      <c r="AY20" s="2108">
        <v>0</v>
      </c>
      <c r="AZ20" s="2109">
        <v>0</v>
      </c>
      <c r="BA20" s="2110">
        <f t="shared" si="14"/>
        <v>5440</v>
      </c>
      <c r="BB20" s="2111">
        <v>80.19</v>
      </c>
      <c r="BC20" s="2112">
        <v>144.81</v>
      </c>
      <c r="BD20" s="2112">
        <v>0</v>
      </c>
      <c r="BE20" s="2112">
        <v>0</v>
      </c>
      <c r="BF20" s="2113">
        <v>0</v>
      </c>
      <c r="BG20" s="2114">
        <f t="shared" si="15"/>
        <v>225</v>
      </c>
      <c r="BH20" s="2103">
        <v>24668.28</v>
      </c>
      <c r="BI20" s="2104">
        <v>3124.66</v>
      </c>
      <c r="BJ20" s="2104">
        <v>5098.1099999999997</v>
      </c>
      <c r="BK20" s="2104">
        <v>-0.05</v>
      </c>
      <c r="BL20" s="2104">
        <v>0</v>
      </c>
      <c r="BM20" s="2117">
        <f t="shared" si="16"/>
        <v>32890.999999999993</v>
      </c>
      <c r="BN20" s="2103"/>
      <c r="BO20" s="2104"/>
      <c r="BP20" s="2104"/>
      <c r="BQ20" s="2104"/>
      <c r="BR20" s="2104"/>
      <c r="BS20" s="2105">
        <f t="shared" si="17"/>
        <v>0</v>
      </c>
      <c r="BT20" s="2103">
        <v>16820.103988450363</v>
      </c>
      <c r="BU20" s="2104">
        <v>105684.84601154964</v>
      </c>
      <c r="BV20" s="2104">
        <v>22471.279999999999</v>
      </c>
      <c r="BW20" s="2104">
        <v>-0.13</v>
      </c>
      <c r="BX20" s="2104">
        <v>0</v>
      </c>
      <c r="BY20" s="2105">
        <f t="shared" si="18"/>
        <v>144976.1</v>
      </c>
      <c r="BZ20" s="2103">
        <v>973.14</v>
      </c>
      <c r="CA20" s="2104">
        <v>0</v>
      </c>
      <c r="CB20" s="2104">
        <v>898.65</v>
      </c>
      <c r="CC20" s="2104">
        <v>0</v>
      </c>
      <c r="CD20" s="2104">
        <v>0</v>
      </c>
      <c r="CE20" s="2105">
        <f t="shared" si="19"/>
        <v>1871.79</v>
      </c>
      <c r="CF20" s="2115"/>
      <c r="CG20" s="2116"/>
      <c r="CH20" s="2116"/>
      <c r="CI20" s="2116"/>
      <c r="CJ20" s="2116"/>
      <c r="CK20" s="2117">
        <f t="shared" si="20"/>
        <v>0</v>
      </c>
      <c r="CL20" s="2103"/>
      <c r="CM20" s="2104"/>
      <c r="CN20" s="2104"/>
      <c r="CO20" s="2104"/>
      <c r="CP20" s="2104"/>
      <c r="CQ20" s="2105">
        <f t="shared" si="21"/>
        <v>0</v>
      </c>
      <c r="CR20" s="2103"/>
      <c r="CS20" s="2104"/>
      <c r="CT20" s="2104"/>
      <c r="CU20" s="2104"/>
      <c r="CV20" s="2104"/>
      <c r="CW20" s="2117">
        <f t="shared" si="22"/>
        <v>0</v>
      </c>
      <c r="CX20" s="2103"/>
      <c r="CY20" s="2104"/>
      <c r="CZ20" s="2104"/>
      <c r="DA20" s="2104"/>
      <c r="DB20" s="2104"/>
      <c r="DC20" s="2105">
        <f t="shared" si="23"/>
        <v>0</v>
      </c>
      <c r="DD20" s="2103"/>
      <c r="DE20" s="2104"/>
      <c r="DF20" s="2104"/>
      <c r="DG20" s="2104"/>
      <c r="DH20" s="2104"/>
      <c r="DI20" s="2105">
        <f t="shared" si="24"/>
        <v>0</v>
      </c>
      <c r="DJ20" s="2103"/>
      <c r="DK20" s="2104"/>
      <c r="DL20" s="2104"/>
      <c r="DM20" s="2104"/>
      <c r="DN20" s="2104"/>
      <c r="DO20" s="2105">
        <f t="shared" si="25"/>
        <v>0</v>
      </c>
      <c r="DP20" s="2103">
        <v>5500.04</v>
      </c>
      <c r="DQ20" s="2104">
        <v>3795.02</v>
      </c>
      <c r="DR20" s="2104">
        <v>1705.02</v>
      </c>
      <c r="DS20" s="2104">
        <v>-0.08</v>
      </c>
      <c r="DT20" s="2104">
        <v>0</v>
      </c>
      <c r="DU20" s="2118">
        <f t="shared" si="26"/>
        <v>11000</v>
      </c>
      <c r="DV20" s="2103">
        <v>8342.64</v>
      </c>
      <c r="DW20" s="2104">
        <v>0</v>
      </c>
      <c r="DX20" s="2104">
        <v>1530.28</v>
      </c>
      <c r="DY20" s="2104">
        <v>0.08</v>
      </c>
      <c r="DZ20" s="2104">
        <v>0</v>
      </c>
      <c r="EA20" s="2105">
        <f t="shared" si="27"/>
        <v>9873</v>
      </c>
    </row>
    <row r="21" spans="1:131" s="2049" customFormat="1" ht="15" customHeight="1" x14ac:dyDescent="0.25">
      <c r="A21" s="2089" t="s">
        <v>44</v>
      </c>
      <c r="B21" s="2090" t="s">
        <v>45</v>
      </c>
      <c r="C21" s="2091" t="s">
        <v>266</v>
      </c>
      <c r="D21" s="2092">
        <f t="shared" si="28"/>
        <v>44590.11307105438</v>
      </c>
      <c r="E21" s="2093">
        <f t="shared" si="29"/>
        <v>63169.176928945628</v>
      </c>
      <c r="F21" s="2093">
        <f t="shared" si="30"/>
        <v>20153.429999999997</v>
      </c>
      <c r="G21" s="2093">
        <f t="shared" si="31"/>
        <v>-6.0000000000000012E-2</v>
      </c>
      <c r="H21" s="2093">
        <f t="shared" si="32"/>
        <v>0</v>
      </c>
      <c r="I21" s="2093">
        <f t="shared" si="5"/>
        <v>127912.66</v>
      </c>
      <c r="J21" s="2093">
        <f t="shared" si="6"/>
        <v>-6.0000000000000012E-2</v>
      </c>
      <c r="K21" s="2094">
        <f t="shared" si="7"/>
        <v>20153.369999999995</v>
      </c>
      <c r="L21" s="2095"/>
      <c r="M21" s="2096"/>
      <c r="N21" s="2096"/>
      <c r="O21" s="2096"/>
      <c r="P21" s="2096"/>
      <c r="Q21" s="2097">
        <f t="shared" si="8"/>
        <v>0</v>
      </c>
      <c r="R21" s="2098"/>
      <c r="S21" s="2099"/>
      <c r="T21" s="2099"/>
      <c r="U21" s="2099"/>
      <c r="V21" s="2099"/>
      <c r="W21" s="2100">
        <f t="shared" si="9"/>
        <v>0</v>
      </c>
      <c r="X21" s="2101">
        <v>258.45</v>
      </c>
      <c r="Y21" s="2102">
        <v>1.54</v>
      </c>
      <c r="Z21" s="2102">
        <v>47.69</v>
      </c>
      <c r="AA21" s="2102">
        <v>0</v>
      </c>
      <c r="AB21" s="2102">
        <v>0</v>
      </c>
      <c r="AC21" s="2100">
        <f t="shared" si="10"/>
        <v>307.68</v>
      </c>
      <c r="AD21" s="2103">
        <v>12223.55</v>
      </c>
      <c r="AE21" s="2104">
        <v>0</v>
      </c>
      <c r="AF21" s="2104">
        <v>3055.89</v>
      </c>
      <c r="AG21" s="2104">
        <v>0</v>
      </c>
      <c r="AH21" s="2104">
        <v>0</v>
      </c>
      <c r="AI21" s="2105">
        <f t="shared" si="11"/>
        <v>15279.439999999999</v>
      </c>
      <c r="AJ21" s="2098"/>
      <c r="AK21" s="2099"/>
      <c r="AL21" s="2099"/>
      <c r="AM21" s="2099"/>
      <c r="AN21" s="2099"/>
      <c r="AO21" s="2106">
        <f t="shared" si="12"/>
        <v>0</v>
      </c>
      <c r="AP21" s="2101">
        <v>669.67</v>
      </c>
      <c r="AQ21" s="2102">
        <v>167.42</v>
      </c>
      <c r="AR21" s="2102">
        <v>0</v>
      </c>
      <c r="AS21" s="2102">
        <v>0</v>
      </c>
      <c r="AT21" s="2102">
        <v>0</v>
      </c>
      <c r="AU21" s="2106">
        <f t="shared" si="13"/>
        <v>837.08999999999992</v>
      </c>
      <c r="AV21" s="2107">
        <v>1191.42</v>
      </c>
      <c r="AW21" s="2108">
        <v>297.86</v>
      </c>
      <c r="AX21" s="2108">
        <v>0</v>
      </c>
      <c r="AY21" s="2108">
        <v>0</v>
      </c>
      <c r="AZ21" s="2109">
        <v>0</v>
      </c>
      <c r="BA21" s="2110">
        <f t="shared" si="14"/>
        <v>1489.2800000000002</v>
      </c>
      <c r="BB21" s="2119"/>
      <c r="BC21" s="2120"/>
      <c r="BD21" s="2120"/>
      <c r="BE21" s="2120"/>
      <c r="BF21" s="2120"/>
      <c r="BG21" s="2114">
        <f t="shared" si="15"/>
        <v>0</v>
      </c>
      <c r="BH21" s="2103">
        <v>13053.93</v>
      </c>
      <c r="BI21" s="2104">
        <v>1653.51</v>
      </c>
      <c r="BJ21" s="2104">
        <v>2697.82</v>
      </c>
      <c r="BK21" s="2104">
        <v>-0.04</v>
      </c>
      <c r="BL21" s="2104">
        <v>0</v>
      </c>
      <c r="BM21" s="2117">
        <f t="shared" si="16"/>
        <v>17405.22</v>
      </c>
      <c r="BN21" s="2103"/>
      <c r="BO21" s="2104"/>
      <c r="BP21" s="2104"/>
      <c r="BQ21" s="2104"/>
      <c r="BR21" s="2104"/>
      <c r="BS21" s="2105">
        <f t="shared" si="17"/>
        <v>0</v>
      </c>
      <c r="BT21" s="2103">
        <v>9302.6130710543766</v>
      </c>
      <c r="BU21" s="2104">
        <v>56779.476928945624</v>
      </c>
      <c r="BV21" s="2104">
        <v>12121.55</v>
      </c>
      <c r="BW21" s="2104">
        <v>-7.0000000000000007E-2</v>
      </c>
      <c r="BX21" s="2104">
        <v>0</v>
      </c>
      <c r="BY21" s="2105">
        <f t="shared" si="18"/>
        <v>78203.569999999992</v>
      </c>
      <c r="BZ21" s="2115"/>
      <c r="CA21" s="2116"/>
      <c r="CB21" s="2116"/>
      <c r="CC21" s="2116"/>
      <c r="CD21" s="2116"/>
      <c r="CE21" s="2105">
        <f t="shared" si="19"/>
        <v>0</v>
      </c>
      <c r="CF21" s="2115"/>
      <c r="CG21" s="2116"/>
      <c r="CH21" s="2116"/>
      <c r="CI21" s="2116"/>
      <c r="CJ21" s="2116"/>
      <c r="CK21" s="2117">
        <f t="shared" si="20"/>
        <v>0</v>
      </c>
      <c r="CL21" s="2103"/>
      <c r="CM21" s="2104"/>
      <c r="CN21" s="2104"/>
      <c r="CO21" s="2104"/>
      <c r="CP21" s="2104"/>
      <c r="CQ21" s="2105">
        <f t="shared" si="21"/>
        <v>0</v>
      </c>
      <c r="CR21" s="2115"/>
      <c r="CS21" s="2116"/>
      <c r="CT21" s="2116"/>
      <c r="CU21" s="2116"/>
      <c r="CV21" s="2116"/>
      <c r="CW21" s="2117">
        <f t="shared" si="22"/>
        <v>0</v>
      </c>
      <c r="CX21" s="2103"/>
      <c r="CY21" s="2104"/>
      <c r="CZ21" s="2104"/>
      <c r="DA21" s="2104"/>
      <c r="DB21" s="2104"/>
      <c r="DC21" s="2105">
        <f t="shared" si="23"/>
        <v>0</v>
      </c>
      <c r="DD21" s="2103"/>
      <c r="DE21" s="2104"/>
      <c r="DF21" s="2104"/>
      <c r="DG21" s="2104"/>
      <c r="DH21" s="2104"/>
      <c r="DI21" s="2105">
        <f t="shared" si="24"/>
        <v>0</v>
      </c>
      <c r="DJ21" s="2103"/>
      <c r="DK21" s="2104"/>
      <c r="DL21" s="2104"/>
      <c r="DM21" s="2104"/>
      <c r="DN21" s="2104"/>
      <c r="DO21" s="2105">
        <f t="shared" si="25"/>
        <v>0</v>
      </c>
      <c r="DP21" s="2103">
        <v>6187.51</v>
      </c>
      <c r="DQ21" s="2104">
        <v>4269.37</v>
      </c>
      <c r="DR21" s="2104">
        <v>1918.12</v>
      </c>
      <c r="DS21" s="2104">
        <v>0</v>
      </c>
      <c r="DT21" s="2104">
        <v>0</v>
      </c>
      <c r="DU21" s="2118">
        <f t="shared" si="26"/>
        <v>12375</v>
      </c>
      <c r="DV21" s="2103">
        <v>1702.97</v>
      </c>
      <c r="DW21" s="2104">
        <v>0</v>
      </c>
      <c r="DX21" s="2104">
        <v>312.36</v>
      </c>
      <c r="DY21" s="2104">
        <v>0.05</v>
      </c>
      <c r="DZ21" s="2104">
        <v>0</v>
      </c>
      <c r="EA21" s="2105">
        <f t="shared" si="27"/>
        <v>2015.3799999999999</v>
      </c>
    </row>
    <row r="22" spans="1:131" s="2049" customFormat="1" ht="15" customHeight="1" x14ac:dyDescent="0.25">
      <c r="A22" s="2089" t="s">
        <v>46</v>
      </c>
      <c r="B22" s="2090" t="s">
        <v>47</v>
      </c>
      <c r="C22" s="2091" t="s">
        <v>268</v>
      </c>
      <c r="D22" s="2092">
        <f t="shared" si="28"/>
        <v>69972.167282915805</v>
      </c>
      <c r="E22" s="2093">
        <f t="shared" si="29"/>
        <v>68921.5727170842</v>
      </c>
      <c r="F22" s="2093">
        <f t="shared" si="30"/>
        <v>26955.24</v>
      </c>
      <c r="G22" s="2093">
        <f t="shared" si="31"/>
        <v>-0.09</v>
      </c>
      <c r="H22" s="2093">
        <f t="shared" si="32"/>
        <v>0</v>
      </c>
      <c r="I22" s="2093">
        <f t="shared" si="5"/>
        <v>165848.88999999998</v>
      </c>
      <c r="J22" s="2093">
        <f t="shared" si="6"/>
        <v>-0.09</v>
      </c>
      <c r="K22" s="2094">
        <f t="shared" si="7"/>
        <v>26955.15</v>
      </c>
      <c r="L22" s="2095"/>
      <c r="M22" s="2096"/>
      <c r="N22" s="2096"/>
      <c r="O22" s="2096"/>
      <c r="P22" s="2096"/>
      <c r="Q22" s="2097">
        <f t="shared" si="8"/>
        <v>0</v>
      </c>
      <c r="R22" s="2098"/>
      <c r="S22" s="2099"/>
      <c r="T22" s="2099"/>
      <c r="U22" s="2099"/>
      <c r="V22" s="2099"/>
      <c r="W22" s="2100">
        <f t="shared" si="9"/>
        <v>0</v>
      </c>
      <c r="X22" s="2101">
        <v>9544.18</v>
      </c>
      <c r="Y22" s="2102">
        <v>56.81</v>
      </c>
      <c r="Z22" s="2102">
        <v>1761.12</v>
      </c>
      <c r="AA22" s="2102">
        <v>0.01</v>
      </c>
      <c r="AB22" s="2102">
        <v>0</v>
      </c>
      <c r="AC22" s="2100">
        <f t="shared" si="10"/>
        <v>11362.12</v>
      </c>
      <c r="AD22" s="2103">
        <v>21162.240000000002</v>
      </c>
      <c r="AE22" s="2104">
        <v>0</v>
      </c>
      <c r="AF22" s="2104">
        <v>5290.56</v>
      </c>
      <c r="AG22" s="2104">
        <v>0</v>
      </c>
      <c r="AH22" s="2104">
        <v>0</v>
      </c>
      <c r="AI22" s="2105">
        <f t="shared" si="11"/>
        <v>26452.800000000003</v>
      </c>
      <c r="AJ22" s="2098"/>
      <c r="AK22" s="2099"/>
      <c r="AL22" s="2099"/>
      <c r="AM22" s="2099"/>
      <c r="AN22" s="2099"/>
      <c r="AO22" s="2106">
        <f t="shared" si="12"/>
        <v>0</v>
      </c>
      <c r="AP22" s="2101">
        <v>3110.13</v>
      </c>
      <c r="AQ22" s="2102">
        <v>777.53</v>
      </c>
      <c r="AR22" s="2102">
        <v>0</v>
      </c>
      <c r="AS22" s="2102">
        <v>0</v>
      </c>
      <c r="AT22" s="2102">
        <v>0</v>
      </c>
      <c r="AU22" s="2106">
        <f t="shared" si="13"/>
        <v>3887.66</v>
      </c>
      <c r="AV22" s="2107">
        <v>2237.71</v>
      </c>
      <c r="AW22" s="2108">
        <v>559.41999999999996</v>
      </c>
      <c r="AX22" s="2108">
        <v>0</v>
      </c>
      <c r="AY22" s="2108">
        <v>0</v>
      </c>
      <c r="AZ22" s="2109">
        <v>0</v>
      </c>
      <c r="BA22" s="2110">
        <f t="shared" si="14"/>
        <v>2797.13</v>
      </c>
      <c r="BB22" s="2119"/>
      <c r="BC22" s="2120"/>
      <c r="BD22" s="2120"/>
      <c r="BE22" s="2120"/>
      <c r="BF22" s="2120"/>
      <c r="BG22" s="2114">
        <f t="shared" si="15"/>
        <v>0</v>
      </c>
      <c r="BH22" s="2103">
        <v>17343.02</v>
      </c>
      <c r="BI22" s="2104">
        <v>2196.81</v>
      </c>
      <c r="BJ22" s="2104">
        <v>3584.24</v>
      </c>
      <c r="BK22" s="2104">
        <v>-0.05</v>
      </c>
      <c r="BL22" s="2104">
        <v>0</v>
      </c>
      <c r="BM22" s="2117">
        <f t="shared" si="16"/>
        <v>23124.02</v>
      </c>
      <c r="BN22" s="2103">
        <v>-1621.24</v>
      </c>
      <c r="BO22" s="2104">
        <v>-1621.24</v>
      </c>
      <c r="BP22" s="2104">
        <v>0</v>
      </c>
      <c r="BQ22" s="2104">
        <v>0.01</v>
      </c>
      <c r="BR22" s="2104">
        <v>0</v>
      </c>
      <c r="BS22" s="2105">
        <f t="shared" si="17"/>
        <v>-3242.47</v>
      </c>
      <c r="BT22" s="2103">
        <v>10368.647282915808</v>
      </c>
      <c r="BU22" s="2104">
        <v>63942.112717084194</v>
      </c>
      <c r="BV22" s="2104">
        <v>13630.94</v>
      </c>
      <c r="BW22" s="2104">
        <v>-0.09</v>
      </c>
      <c r="BX22" s="2104">
        <v>0</v>
      </c>
      <c r="BY22" s="2105">
        <f t="shared" si="18"/>
        <v>87941.610000000015</v>
      </c>
      <c r="BZ22" s="2115">
        <v>128.54</v>
      </c>
      <c r="CA22" s="2116">
        <v>0</v>
      </c>
      <c r="CB22" s="2116">
        <v>118.69</v>
      </c>
      <c r="CC22" s="2116">
        <v>0</v>
      </c>
      <c r="CD22" s="2116">
        <v>0</v>
      </c>
      <c r="CE22" s="2105">
        <f t="shared" si="19"/>
        <v>247.23</v>
      </c>
      <c r="CF22" s="2115"/>
      <c r="CG22" s="2116"/>
      <c r="CH22" s="2116"/>
      <c r="CI22" s="2116"/>
      <c r="CJ22" s="2116"/>
      <c r="CK22" s="2117">
        <f t="shared" si="20"/>
        <v>0</v>
      </c>
      <c r="CL22" s="2103"/>
      <c r="CM22" s="2104"/>
      <c r="CN22" s="2104"/>
      <c r="CO22" s="2104"/>
      <c r="CP22" s="2104"/>
      <c r="CQ22" s="2105">
        <f t="shared" si="21"/>
        <v>0</v>
      </c>
      <c r="CR22" s="2103"/>
      <c r="CS22" s="2104"/>
      <c r="CT22" s="2104"/>
      <c r="CU22" s="2104"/>
      <c r="CV22" s="2104"/>
      <c r="CW22" s="2117">
        <f t="shared" si="22"/>
        <v>0</v>
      </c>
      <c r="CX22" s="2103"/>
      <c r="CY22" s="2104"/>
      <c r="CZ22" s="2104"/>
      <c r="DA22" s="2104"/>
      <c r="DB22" s="2104"/>
      <c r="DC22" s="2105">
        <f t="shared" si="23"/>
        <v>0</v>
      </c>
      <c r="DD22" s="2103">
        <v>-3300</v>
      </c>
      <c r="DE22" s="2104">
        <v>0</v>
      </c>
      <c r="DF22" s="2104">
        <v>0</v>
      </c>
      <c r="DG22" s="2104">
        <v>0</v>
      </c>
      <c r="DH22" s="2104">
        <v>0</v>
      </c>
      <c r="DI22" s="2105">
        <f t="shared" si="24"/>
        <v>-3300</v>
      </c>
      <c r="DJ22" s="2103"/>
      <c r="DK22" s="2104"/>
      <c r="DL22" s="2104"/>
      <c r="DM22" s="2104"/>
      <c r="DN22" s="2104"/>
      <c r="DO22" s="2105">
        <f t="shared" si="25"/>
        <v>0</v>
      </c>
      <c r="DP22" s="2103">
        <v>4362.5</v>
      </c>
      <c r="DQ22" s="2104">
        <v>3010.13</v>
      </c>
      <c r="DR22" s="2104">
        <v>1352.38</v>
      </c>
      <c r="DS22" s="2104">
        <v>-0.01</v>
      </c>
      <c r="DT22" s="2104">
        <v>0</v>
      </c>
      <c r="DU22" s="2118">
        <f t="shared" si="26"/>
        <v>8725</v>
      </c>
      <c r="DV22" s="2103">
        <v>6636.44</v>
      </c>
      <c r="DW22" s="2104">
        <v>0</v>
      </c>
      <c r="DX22" s="2104">
        <v>1217.31</v>
      </c>
      <c r="DY22" s="2104">
        <v>0.04</v>
      </c>
      <c r="DZ22" s="2104">
        <v>0</v>
      </c>
      <c r="EA22" s="2105">
        <f t="shared" si="27"/>
        <v>7853.79</v>
      </c>
    </row>
    <row r="23" spans="1:131" s="2049" customFormat="1" ht="15" customHeight="1" x14ac:dyDescent="0.25">
      <c r="A23" s="2089" t="s">
        <v>48</v>
      </c>
      <c r="B23" s="2090" t="s">
        <v>269</v>
      </c>
      <c r="C23" s="2091" t="s">
        <v>266</v>
      </c>
      <c r="D23" s="2092">
        <f t="shared" si="28"/>
        <v>34821.536697038944</v>
      </c>
      <c r="E23" s="2093">
        <f t="shared" si="29"/>
        <v>6067.6233029610576</v>
      </c>
      <c r="F23" s="2093">
        <f t="shared" si="30"/>
        <v>9044.7800000000007</v>
      </c>
      <c r="G23" s="2093">
        <f t="shared" si="31"/>
        <v>-3.9999999999999994E-2</v>
      </c>
      <c r="H23" s="2093">
        <f t="shared" si="32"/>
        <v>3663.3</v>
      </c>
      <c r="I23" s="2093">
        <f t="shared" si="5"/>
        <v>53597.200000000004</v>
      </c>
      <c r="J23" s="2093">
        <f t="shared" si="6"/>
        <v>3663.26</v>
      </c>
      <c r="K23" s="2094">
        <f t="shared" si="7"/>
        <v>12708.04</v>
      </c>
      <c r="L23" s="2095"/>
      <c r="M23" s="2096"/>
      <c r="N23" s="2096"/>
      <c r="O23" s="2096"/>
      <c r="P23" s="2096"/>
      <c r="Q23" s="2097">
        <f t="shared" si="8"/>
        <v>0</v>
      </c>
      <c r="R23" s="2098"/>
      <c r="S23" s="2099"/>
      <c r="T23" s="2099"/>
      <c r="U23" s="2099"/>
      <c r="V23" s="2099"/>
      <c r="W23" s="2100">
        <f t="shared" si="9"/>
        <v>0</v>
      </c>
      <c r="X23" s="2101">
        <v>1053.03</v>
      </c>
      <c r="Y23" s="2102">
        <v>6.27</v>
      </c>
      <c r="Z23" s="2102">
        <v>194.31</v>
      </c>
      <c r="AA23" s="2102">
        <v>0</v>
      </c>
      <c r="AB23" s="2102">
        <v>0</v>
      </c>
      <c r="AC23" s="2100">
        <f t="shared" si="10"/>
        <v>1253.6099999999999</v>
      </c>
      <c r="AD23" s="2103">
        <v>23200</v>
      </c>
      <c r="AE23" s="2104">
        <v>0</v>
      </c>
      <c r="AF23" s="2104">
        <v>5800</v>
      </c>
      <c r="AG23" s="2104">
        <v>0</v>
      </c>
      <c r="AH23" s="2104">
        <v>2701.02</v>
      </c>
      <c r="AI23" s="2105">
        <f t="shared" si="11"/>
        <v>31701.02</v>
      </c>
      <c r="AJ23" s="2098"/>
      <c r="AK23" s="2099"/>
      <c r="AL23" s="2099"/>
      <c r="AM23" s="2099"/>
      <c r="AN23" s="2099"/>
      <c r="AO23" s="2106">
        <f t="shared" si="12"/>
        <v>0</v>
      </c>
      <c r="AP23" s="2098"/>
      <c r="AQ23" s="2099"/>
      <c r="AR23" s="2099"/>
      <c r="AS23" s="2099"/>
      <c r="AT23" s="2099"/>
      <c r="AU23" s="2106">
        <f t="shared" si="13"/>
        <v>0</v>
      </c>
      <c r="AV23" s="2121"/>
      <c r="AW23" s="2122"/>
      <c r="AX23" s="2122"/>
      <c r="AY23" s="2122"/>
      <c r="AZ23" s="2123"/>
      <c r="BA23" s="2110">
        <f t="shared" si="14"/>
        <v>0</v>
      </c>
      <c r="BB23" s="2119"/>
      <c r="BC23" s="2120"/>
      <c r="BD23" s="2120"/>
      <c r="BE23" s="2120"/>
      <c r="BF23" s="2120"/>
      <c r="BG23" s="2114">
        <f t="shared" si="15"/>
        <v>0</v>
      </c>
      <c r="BH23" s="2103">
        <v>4520.88</v>
      </c>
      <c r="BI23" s="2104">
        <v>572.64</v>
      </c>
      <c r="BJ23" s="2104">
        <v>934.31</v>
      </c>
      <c r="BK23" s="2104">
        <v>0.01</v>
      </c>
      <c r="BL23" s="2104">
        <v>0</v>
      </c>
      <c r="BM23" s="2117">
        <f t="shared" si="16"/>
        <v>6027.84</v>
      </c>
      <c r="BN23" s="2103"/>
      <c r="BO23" s="2104"/>
      <c r="BP23" s="2104"/>
      <c r="BQ23" s="2104"/>
      <c r="BR23" s="2104"/>
      <c r="BS23" s="2105">
        <f t="shared" si="17"/>
        <v>0</v>
      </c>
      <c r="BT23" s="2103">
        <v>866.08669703894293</v>
      </c>
      <c r="BU23" s="2104">
        <v>5488.7133029610577</v>
      </c>
      <c r="BV23" s="2104">
        <v>1165.68</v>
      </c>
      <c r="BW23" s="2104">
        <v>-0.03</v>
      </c>
      <c r="BX23" s="2104">
        <v>0</v>
      </c>
      <c r="BY23" s="2105">
        <f t="shared" si="18"/>
        <v>7520.4500000000016</v>
      </c>
      <c r="BZ23" s="2115"/>
      <c r="CA23" s="2116"/>
      <c r="CB23" s="2116"/>
      <c r="CC23" s="2116"/>
      <c r="CD23" s="2116"/>
      <c r="CE23" s="2105">
        <f t="shared" si="19"/>
        <v>0</v>
      </c>
      <c r="CF23" s="2115"/>
      <c r="CG23" s="2116"/>
      <c r="CH23" s="2116"/>
      <c r="CI23" s="2116"/>
      <c r="CJ23" s="2116"/>
      <c r="CK23" s="2117">
        <f t="shared" si="20"/>
        <v>0</v>
      </c>
      <c r="CL23" s="2103"/>
      <c r="CM23" s="2104"/>
      <c r="CN23" s="2104"/>
      <c r="CO23" s="2104"/>
      <c r="CP23" s="2104"/>
      <c r="CQ23" s="2105">
        <f t="shared" si="21"/>
        <v>0</v>
      </c>
      <c r="CR23" s="2115"/>
      <c r="CS23" s="2116"/>
      <c r="CT23" s="2116"/>
      <c r="CU23" s="2116"/>
      <c r="CV23" s="2116"/>
      <c r="CW23" s="2117">
        <f t="shared" si="22"/>
        <v>0</v>
      </c>
      <c r="CX23" s="2103"/>
      <c r="CY23" s="2104"/>
      <c r="CZ23" s="2104"/>
      <c r="DA23" s="2104"/>
      <c r="DB23" s="2104"/>
      <c r="DC23" s="2105">
        <f t="shared" si="23"/>
        <v>0</v>
      </c>
      <c r="DD23" s="2103"/>
      <c r="DE23" s="2104"/>
      <c r="DF23" s="2104"/>
      <c r="DG23" s="2104"/>
      <c r="DH23" s="2104"/>
      <c r="DI23" s="2105">
        <f t="shared" si="24"/>
        <v>0</v>
      </c>
      <c r="DJ23" s="2103"/>
      <c r="DK23" s="2104"/>
      <c r="DL23" s="2104"/>
      <c r="DM23" s="2104"/>
      <c r="DN23" s="2104"/>
      <c r="DO23" s="2105">
        <f t="shared" si="25"/>
        <v>0</v>
      </c>
      <c r="DP23" s="2115"/>
      <c r="DQ23" s="2116"/>
      <c r="DR23" s="2116"/>
      <c r="DS23" s="2116"/>
      <c r="DT23" s="2116"/>
      <c r="DU23" s="2118">
        <f t="shared" si="26"/>
        <v>0</v>
      </c>
      <c r="DV23" s="2103">
        <v>5181.54</v>
      </c>
      <c r="DW23" s="2104">
        <v>0</v>
      </c>
      <c r="DX23" s="2104">
        <v>950.48</v>
      </c>
      <c r="DY23" s="2104">
        <v>-0.02</v>
      </c>
      <c r="DZ23" s="2104">
        <v>962.28</v>
      </c>
      <c r="EA23" s="2105">
        <f t="shared" si="27"/>
        <v>7094.28</v>
      </c>
    </row>
    <row r="24" spans="1:131" s="2049" customFormat="1" ht="15" customHeight="1" x14ac:dyDescent="0.25">
      <c r="A24" s="2089" t="s">
        <v>50</v>
      </c>
      <c r="B24" s="2090" t="s">
        <v>51</v>
      </c>
      <c r="C24" s="2091" t="s">
        <v>265</v>
      </c>
      <c r="D24" s="2092">
        <f t="shared" si="28"/>
        <v>47726.960855089754</v>
      </c>
      <c r="E24" s="2093">
        <f t="shared" si="29"/>
        <v>7128.7191449102502</v>
      </c>
      <c r="F24" s="2093">
        <f t="shared" si="30"/>
        <v>12851.97</v>
      </c>
      <c r="G24" s="2093">
        <f t="shared" si="31"/>
        <v>247.23</v>
      </c>
      <c r="H24" s="2093">
        <f t="shared" si="32"/>
        <v>0</v>
      </c>
      <c r="I24" s="2093">
        <f t="shared" si="5"/>
        <v>67954.880000000005</v>
      </c>
      <c r="J24" s="2093">
        <f t="shared" si="6"/>
        <v>247.23</v>
      </c>
      <c r="K24" s="2094">
        <f t="shared" si="7"/>
        <v>13099.199999999999</v>
      </c>
      <c r="L24" s="2095"/>
      <c r="M24" s="2096"/>
      <c r="N24" s="2096"/>
      <c r="O24" s="2096"/>
      <c r="P24" s="2096"/>
      <c r="Q24" s="2097">
        <f t="shared" si="8"/>
        <v>0</v>
      </c>
      <c r="R24" s="2098"/>
      <c r="S24" s="2099"/>
      <c r="T24" s="2099"/>
      <c r="U24" s="2099"/>
      <c r="V24" s="2099"/>
      <c r="W24" s="2100">
        <f t="shared" si="9"/>
        <v>0</v>
      </c>
      <c r="X24" s="2101"/>
      <c r="Y24" s="2102"/>
      <c r="Z24" s="2102"/>
      <c r="AA24" s="2102"/>
      <c r="AB24" s="2102"/>
      <c r="AC24" s="2100">
        <f t="shared" si="10"/>
        <v>0</v>
      </c>
      <c r="AD24" s="2103">
        <v>43008.46</v>
      </c>
      <c r="AE24" s="2104">
        <v>0</v>
      </c>
      <c r="AF24" s="2104">
        <v>10752.13</v>
      </c>
      <c r="AG24" s="2104">
        <v>0</v>
      </c>
      <c r="AH24" s="2104">
        <v>0</v>
      </c>
      <c r="AI24" s="2105">
        <f t="shared" si="11"/>
        <v>53760.59</v>
      </c>
      <c r="AJ24" s="2098"/>
      <c r="AK24" s="2099"/>
      <c r="AL24" s="2099"/>
      <c r="AM24" s="2099"/>
      <c r="AN24" s="2099"/>
      <c r="AO24" s="2106">
        <f t="shared" si="12"/>
        <v>0</v>
      </c>
      <c r="AP24" s="2098"/>
      <c r="AQ24" s="2099"/>
      <c r="AR24" s="2099"/>
      <c r="AS24" s="2099"/>
      <c r="AT24" s="2099"/>
      <c r="AU24" s="2106">
        <f t="shared" si="13"/>
        <v>0</v>
      </c>
      <c r="AV24" s="2107">
        <v>319.70999999999998</v>
      </c>
      <c r="AW24" s="2108">
        <v>79.930000000000007</v>
      </c>
      <c r="AX24" s="2108">
        <v>0</v>
      </c>
      <c r="AY24" s="2108">
        <v>0</v>
      </c>
      <c r="AZ24" s="2109">
        <v>0</v>
      </c>
      <c r="BA24" s="2110">
        <f t="shared" si="14"/>
        <v>399.64</v>
      </c>
      <c r="BB24" s="2119"/>
      <c r="BC24" s="2120"/>
      <c r="BD24" s="2120"/>
      <c r="BE24" s="2120"/>
      <c r="BF24" s="2120"/>
      <c r="BG24" s="2114">
        <f t="shared" si="15"/>
        <v>0</v>
      </c>
      <c r="BH24" s="2115"/>
      <c r="BI24" s="2116"/>
      <c r="BJ24" s="2116"/>
      <c r="BK24" s="2116"/>
      <c r="BL24" s="2116"/>
      <c r="BM24" s="2117">
        <f t="shared" si="16"/>
        <v>0</v>
      </c>
      <c r="BN24" s="2115"/>
      <c r="BO24" s="2116"/>
      <c r="BP24" s="2116"/>
      <c r="BQ24" s="2116"/>
      <c r="BR24" s="2116"/>
      <c r="BS24" s="2105">
        <f t="shared" si="17"/>
        <v>0</v>
      </c>
      <c r="BT24" s="2103">
        <v>745.46085508975011</v>
      </c>
      <c r="BU24" s="2104">
        <v>4487.16914491025</v>
      </c>
      <c r="BV24" s="2104">
        <v>959.83</v>
      </c>
      <c r="BW24" s="2104">
        <v>-0.01</v>
      </c>
      <c r="BX24" s="2104">
        <v>0</v>
      </c>
      <c r="BY24" s="2105">
        <f t="shared" si="18"/>
        <v>6192.45</v>
      </c>
      <c r="BZ24" s="2115"/>
      <c r="CA24" s="2116"/>
      <c r="CB24" s="2116"/>
      <c r="CC24" s="2116"/>
      <c r="CD24" s="2116"/>
      <c r="CE24" s="2105">
        <f t="shared" si="19"/>
        <v>0</v>
      </c>
      <c r="CF24" s="2115"/>
      <c r="CG24" s="2116"/>
      <c r="CH24" s="2116"/>
      <c r="CI24" s="2116"/>
      <c r="CJ24" s="2116"/>
      <c r="CK24" s="2117">
        <f t="shared" si="20"/>
        <v>0</v>
      </c>
      <c r="CL24" s="2115"/>
      <c r="CM24" s="2116"/>
      <c r="CN24" s="2116"/>
      <c r="CO24" s="2116"/>
      <c r="CP24" s="2116"/>
      <c r="CQ24" s="2105">
        <f t="shared" si="21"/>
        <v>0</v>
      </c>
      <c r="CR24" s="2115"/>
      <c r="CS24" s="2116"/>
      <c r="CT24" s="2116"/>
      <c r="CU24" s="2116"/>
      <c r="CV24" s="2116"/>
      <c r="CW24" s="2117">
        <f t="shared" si="22"/>
        <v>0</v>
      </c>
      <c r="CX24" s="2103"/>
      <c r="CY24" s="2104"/>
      <c r="CZ24" s="2104"/>
      <c r="DA24" s="2104"/>
      <c r="DB24" s="2104"/>
      <c r="DC24" s="2105">
        <f t="shared" si="23"/>
        <v>0</v>
      </c>
      <c r="DD24" s="2103"/>
      <c r="DE24" s="2104"/>
      <c r="DF24" s="2104"/>
      <c r="DG24" s="2104"/>
      <c r="DH24" s="2104"/>
      <c r="DI24" s="2105">
        <f t="shared" si="24"/>
        <v>0</v>
      </c>
      <c r="DJ24" s="2103"/>
      <c r="DK24" s="2104"/>
      <c r="DL24" s="2104"/>
      <c r="DM24" s="2104"/>
      <c r="DN24" s="2104"/>
      <c r="DO24" s="2105">
        <f t="shared" si="25"/>
        <v>0</v>
      </c>
      <c r="DP24" s="2103">
        <v>3712.5</v>
      </c>
      <c r="DQ24" s="2104">
        <v>2561.62</v>
      </c>
      <c r="DR24" s="2104">
        <v>1150.8800000000001</v>
      </c>
      <c r="DS24" s="2104">
        <v>247.2</v>
      </c>
      <c r="DT24" s="2104">
        <v>0</v>
      </c>
      <c r="DU24" s="2118">
        <f t="shared" si="26"/>
        <v>7672.2</v>
      </c>
      <c r="DV24" s="2103">
        <v>-59.17</v>
      </c>
      <c r="DW24" s="2104">
        <v>0</v>
      </c>
      <c r="DX24" s="2104">
        <v>-10.87</v>
      </c>
      <c r="DY24" s="2104">
        <v>0.04</v>
      </c>
      <c r="DZ24" s="2104">
        <v>0</v>
      </c>
      <c r="EA24" s="2105">
        <f t="shared" si="27"/>
        <v>-70</v>
      </c>
    </row>
    <row r="25" spans="1:131" s="2049" customFormat="1" ht="15" customHeight="1" x14ac:dyDescent="0.25">
      <c r="A25" s="2089" t="s">
        <v>56</v>
      </c>
      <c r="B25" s="2090" t="s">
        <v>295</v>
      </c>
      <c r="C25" s="2091" t="s">
        <v>266</v>
      </c>
      <c r="D25" s="2092">
        <f t="shared" si="28"/>
        <v>265749.24784758687</v>
      </c>
      <c r="E25" s="2093">
        <f t="shared" si="29"/>
        <v>258893.46215241312</v>
      </c>
      <c r="F25" s="2093">
        <f t="shared" si="30"/>
        <v>102468.37999999999</v>
      </c>
      <c r="G25" s="2093">
        <f t="shared" si="31"/>
        <v>46141.62000000001</v>
      </c>
      <c r="H25" s="2093">
        <f t="shared" si="32"/>
        <v>9296.0400000000009</v>
      </c>
      <c r="I25" s="2093">
        <f t="shared" si="5"/>
        <v>682548.75</v>
      </c>
      <c r="J25" s="2093">
        <f t="shared" si="6"/>
        <v>55437.660000000011</v>
      </c>
      <c r="K25" s="2094">
        <f t="shared" si="7"/>
        <v>157906.04</v>
      </c>
      <c r="L25" s="2095"/>
      <c r="M25" s="2096"/>
      <c r="N25" s="2096"/>
      <c r="O25" s="2096"/>
      <c r="P25" s="2096"/>
      <c r="Q25" s="2097">
        <f t="shared" si="8"/>
        <v>0</v>
      </c>
      <c r="R25" s="2098"/>
      <c r="S25" s="2099"/>
      <c r="T25" s="2099"/>
      <c r="U25" s="2099"/>
      <c r="V25" s="2099"/>
      <c r="W25" s="2100">
        <f t="shared" si="9"/>
        <v>0</v>
      </c>
      <c r="X25" s="2101">
        <v>66852.55</v>
      </c>
      <c r="Y25" s="2102">
        <v>397.96000000000004</v>
      </c>
      <c r="Z25" s="2102">
        <v>12335.91</v>
      </c>
      <c r="AA25" s="2102">
        <v>-3.6</v>
      </c>
      <c r="AB25" s="2102">
        <v>4000</v>
      </c>
      <c r="AC25" s="2100">
        <f t="shared" si="10"/>
        <v>83582.820000000007</v>
      </c>
      <c r="AD25" s="2103">
        <v>16079.63</v>
      </c>
      <c r="AE25" s="2104">
        <v>0</v>
      </c>
      <c r="AF25" s="2104">
        <v>4019.88</v>
      </c>
      <c r="AG25" s="2104">
        <v>0</v>
      </c>
      <c r="AH25" s="2104">
        <v>0</v>
      </c>
      <c r="AI25" s="2105">
        <f t="shared" si="11"/>
        <v>20099.509999999998</v>
      </c>
      <c r="AJ25" s="2098"/>
      <c r="AK25" s="2099"/>
      <c r="AL25" s="2099"/>
      <c r="AM25" s="2099"/>
      <c r="AN25" s="2099"/>
      <c r="AO25" s="2106">
        <f t="shared" si="12"/>
        <v>0</v>
      </c>
      <c r="AP25" s="2101">
        <v>5404.06</v>
      </c>
      <c r="AQ25" s="2102">
        <v>1351.01</v>
      </c>
      <c r="AR25" s="2102">
        <v>0</v>
      </c>
      <c r="AS25" s="2102">
        <v>0</v>
      </c>
      <c r="AT25" s="2102">
        <v>0</v>
      </c>
      <c r="AU25" s="2106">
        <f t="shared" si="13"/>
        <v>6755.0700000000006</v>
      </c>
      <c r="AV25" s="2107">
        <v>8292.25</v>
      </c>
      <c r="AW25" s="2108">
        <v>2073.0500000000002</v>
      </c>
      <c r="AX25" s="2108">
        <v>0</v>
      </c>
      <c r="AY25" s="2108">
        <v>0</v>
      </c>
      <c r="AZ25" s="2109">
        <v>0</v>
      </c>
      <c r="BA25" s="2110">
        <f t="shared" si="14"/>
        <v>10365.299999999999</v>
      </c>
      <c r="BB25" s="2111">
        <v>474.02</v>
      </c>
      <c r="BC25" s="2112">
        <v>855.98</v>
      </c>
      <c r="BD25" s="2112">
        <v>0</v>
      </c>
      <c r="BE25" s="2112">
        <v>0</v>
      </c>
      <c r="BF25" s="2113">
        <v>0</v>
      </c>
      <c r="BG25" s="2114">
        <f t="shared" si="15"/>
        <v>1330</v>
      </c>
      <c r="BH25" s="2103">
        <v>109469.51000000001</v>
      </c>
      <c r="BI25" s="2104">
        <v>13866.16</v>
      </c>
      <c r="BJ25" s="2104">
        <v>22623.699999999997</v>
      </c>
      <c r="BK25" s="2104">
        <v>31115.41</v>
      </c>
      <c r="BL25" s="2104">
        <v>4404</v>
      </c>
      <c r="BM25" s="2117">
        <f t="shared" si="16"/>
        <v>181478.78</v>
      </c>
      <c r="BN25" s="2103"/>
      <c r="BO25" s="2104"/>
      <c r="BP25" s="2104"/>
      <c r="BQ25" s="2104"/>
      <c r="BR25" s="2104"/>
      <c r="BS25" s="2105">
        <f t="shared" si="17"/>
        <v>0</v>
      </c>
      <c r="BT25" s="2103">
        <v>36994.6778475869</v>
      </c>
      <c r="BU25" s="2104">
        <v>234444.13215241311</v>
      </c>
      <c r="BV25" s="2104">
        <v>49790.559999999998</v>
      </c>
      <c r="BW25" s="2104">
        <v>15029.81</v>
      </c>
      <c r="BX25" s="2104">
        <v>0</v>
      </c>
      <c r="BY25" s="2105">
        <f t="shared" si="18"/>
        <v>336259.18</v>
      </c>
      <c r="BZ25" s="2103">
        <v>11065.99</v>
      </c>
      <c r="CA25" s="2104">
        <v>0</v>
      </c>
      <c r="CB25" s="2104">
        <v>10218.879999999999</v>
      </c>
      <c r="CC25" s="2104">
        <v>-0.02</v>
      </c>
      <c r="CD25" s="2104">
        <v>0</v>
      </c>
      <c r="CE25" s="2105">
        <f t="shared" si="19"/>
        <v>21284.85</v>
      </c>
      <c r="CF25" s="2115"/>
      <c r="CG25" s="2116"/>
      <c r="CH25" s="2116"/>
      <c r="CI25" s="2116"/>
      <c r="CJ25" s="2116"/>
      <c r="CK25" s="2117">
        <f t="shared" si="20"/>
        <v>0</v>
      </c>
      <c r="CL25" s="2103"/>
      <c r="CM25" s="2104"/>
      <c r="CN25" s="2104"/>
      <c r="CO25" s="2104"/>
      <c r="CP25" s="2104"/>
      <c r="CQ25" s="2105">
        <f t="shared" si="21"/>
        <v>0</v>
      </c>
      <c r="CR25" s="2103"/>
      <c r="CS25" s="2104"/>
      <c r="CT25" s="2104"/>
      <c r="CU25" s="2104"/>
      <c r="CV25" s="2104"/>
      <c r="CW25" s="2117">
        <f t="shared" si="22"/>
        <v>0</v>
      </c>
      <c r="CX25" s="2103"/>
      <c r="CY25" s="2104"/>
      <c r="CZ25" s="2104"/>
      <c r="DA25" s="2104"/>
      <c r="DB25" s="2104"/>
      <c r="DC25" s="2105">
        <f t="shared" si="23"/>
        <v>0</v>
      </c>
      <c r="DD25" s="2103"/>
      <c r="DE25" s="2104"/>
      <c r="DF25" s="2104"/>
      <c r="DG25" s="2104"/>
      <c r="DH25" s="2104"/>
      <c r="DI25" s="2105">
        <f t="shared" si="24"/>
        <v>0</v>
      </c>
      <c r="DJ25" s="2103">
        <v>-973.5</v>
      </c>
      <c r="DK25" s="2104">
        <v>-973.5</v>
      </c>
      <c r="DL25" s="2104">
        <v>0</v>
      </c>
      <c r="DM25" s="2104">
        <v>0</v>
      </c>
      <c r="DN25" s="2104">
        <v>0</v>
      </c>
      <c r="DO25" s="2105">
        <f t="shared" si="25"/>
        <v>-1947</v>
      </c>
      <c r="DP25" s="2103">
        <v>9969.09</v>
      </c>
      <c r="DQ25" s="2104">
        <v>6878.67</v>
      </c>
      <c r="DR25" s="2104">
        <v>3090.41</v>
      </c>
      <c r="DS25" s="2104">
        <v>-0.02</v>
      </c>
      <c r="DT25" s="2104">
        <v>892.04</v>
      </c>
      <c r="DU25" s="2118">
        <f t="shared" si="26"/>
        <v>20830.190000000002</v>
      </c>
      <c r="DV25" s="2103">
        <v>2120.9699999999998</v>
      </c>
      <c r="DW25" s="2104">
        <v>0</v>
      </c>
      <c r="DX25" s="2104">
        <v>389.04</v>
      </c>
      <c r="DY25" s="2104">
        <v>0.04</v>
      </c>
      <c r="DZ25" s="2104">
        <v>0</v>
      </c>
      <c r="EA25" s="2105">
        <f t="shared" si="27"/>
        <v>2510.0499999999997</v>
      </c>
    </row>
    <row r="26" spans="1:131" s="2049" customFormat="1" ht="15" customHeight="1" x14ac:dyDescent="0.25">
      <c r="A26" s="2089" t="s">
        <v>58</v>
      </c>
      <c r="B26" s="2090" t="s">
        <v>59</v>
      </c>
      <c r="C26" s="2091" t="s">
        <v>267</v>
      </c>
      <c r="D26" s="2092">
        <f t="shared" si="28"/>
        <v>39595.769999999997</v>
      </c>
      <c r="E26" s="2093">
        <f t="shared" si="29"/>
        <v>3535.06</v>
      </c>
      <c r="F26" s="2093">
        <f t="shared" si="30"/>
        <v>14249.289999999999</v>
      </c>
      <c r="G26" s="2093">
        <f t="shared" si="31"/>
        <v>-9.999999999999995E-3</v>
      </c>
      <c r="H26" s="2093">
        <f t="shared" si="32"/>
        <v>0</v>
      </c>
      <c r="I26" s="2093">
        <f t="shared" si="5"/>
        <v>57380.109999999993</v>
      </c>
      <c r="J26" s="2093">
        <f t="shared" si="6"/>
        <v>-9.999999999999995E-3</v>
      </c>
      <c r="K26" s="2094">
        <f t="shared" si="7"/>
        <v>14249.279999999999</v>
      </c>
      <c r="L26" s="2095"/>
      <c r="M26" s="2096"/>
      <c r="N26" s="2096"/>
      <c r="O26" s="2096"/>
      <c r="P26" s="2096"/>
      <c r="Q26" s="2097">
        <f t="shared" si="8"/>
        <v>0</v>
      </c>
      <c r="R26" s="2098"/>
      <c r="S26" s="2099"/>
      <c r="T26" s="2099"/>
      <c r="U26" s="2099"/>
      <c r="V26" s="2099"/>
      <c r="W26" s="2100">
        <f t="shared" si="9"/>
        <v>0</v>
      </c>
      <c r="X26" s="2101">
        <v>2579.64</v>
      </c>
      <c r="Y26" s="2102">
        <v>15.35</v>
      </c>
      <c r="Z26" s="2102">
        <v>476</v>
      </c>
      <c r="AA26" s="2102">
        <v>0.01</v>
      </c>
      <c r="AB26" s="2102">
        <v>0</v>
      </c>
      <c r="AC26" s="2100">
        <f t="shared" si="10"/>
        <v>3071</v>
      </c>
      <c r="AD26" s="2103">
        <v>9345.42</v>
      </c>
      <c r="AE26" s="2104">
        <v>0</v>
      </c>
      <c r="AF26" s="2104">
        <v>2336.37</v>
      </c>
      <c r="AG26" s="2104">
        <v>0</v>
      </c>
      <c r="AH26" s="2104">
        <v>0</v>
      </c>
      <c r="AI26" s="2105">
        <f t="shared" si="11"/>
        <v>11681.79</v>
      </c>
      <c r="AJ26" s="2098"/>
      <c r="AK26" s="2099"/>
      <c r="AL26" s="2099"/>
      <c r="AM26" s="2099"/>
      <c r="AN26" s="2099"/>
      <c r="AO26" s="2106">
        <f t="shared" si="12"/>
        <v>0</v>
      </c>
      <c r="AP26" s="2098"/>
      <c r="AQ26" s="2099"/>
      <c r="AR26" s="2099"/>
      <c r="AS26" s="2099"/>
      <c r="AT26" s="2099"/>
      <c r="AU26" s="2106">
        <f t="shared" si="13"/>
        <v>0</v>
      </c>
      <c r="AV26" s="2124">
        <v>334.58</v>
      </c>
      <c r="AW26" s="2125">
        <v>83.65</v>
      </c>
      <c r="AX26" s="2125">
        <v>0</v>
      </c>
      <c r="AY26" s="2125">
        <v>0</v>
      </c>
      <c r="AZ26" s="2126">
        <v>0</v>
      </c>
      <c r="BA26" s="2110">
        <f t="shared" si="14"/>
        <v>418.23</v>
      </c>
      <c r="BB26" s="2119"/>
      <c r="BC26" s="2120"/>
      <c r="BD26" s="2120"/>
      <c r="BE26" s="2120"/>
      <c r="BF26" s="2120"/>
      <c r="BG26" s="2114">
        <f t="shared" si="15"/>
        <v>0</v>
      </c>
      <c r="BH26" s="2103">
        <v>13930.52</v>
      </c>
      <c r="BI26" s="2104">
        <v>1764.55</v>
      </c>
      <c r="BJ26" s="2104">
        <v>2878.99</v>
      </c>
      <c r="BK26" s="2104">
        <v>-0.06</v>
      </c>
      <c r="BL26" s="2104">
        <v>0</v>
      </c>
      <c r="BM26" s="2117">
        <f t="shared" si="16"/>
        <v>18573.999999999996</v>
      </c>
      <c r="BN26" s="2103"/>
      <c r="BO26" s="2104"/>
      <c r="BP26" s="2104"/>
      <c r="BQ26" s="2104"/>
      <c r="BR26" s="2104"/>
      <c r="BS26" s="2105">
        <f t="shared" si="17"/>
        <v>0</v>
      </c>
      <c r="BT26" s="2103"/>
      <c r="BU26" s="2104"/>
      <c r="BV26" s="2104"/>
      <c r="BW26" s="2104"/>
      <c r="BX26" s="2104"/>
      <c r="BY26" s="2105">
        <f t="shared" si="18"/>
        <v>0</v>
      </c>
      <c r="BZ26" s="2103">
        <v>7030.32</v>
      </c>
      <c r="CA26" s="2104">
        <v>0</v>
      </c>
      <c r="CB26" s="2104">
        <v>6492.09</v>
      </c>
      <c r="CC26" s="2104">
        <v>0</v>
      </c>
      <c r="CD26" s="2104">
        <v>0</v>
      </c>
      <c r="CE26" s="2105">
        <f t="shared" si="19"/>
        <v>13522.41</v>
      </c>
      <c r="CF26" s="2103">
        <v>346.6</v>
      </c>
      <c r="CG26" s="2104">
        <v>0</v>
      </c>
      <c r="CH26" s="2104">
        <v>653.4</v>
      </c>
      <c r="CI26" s="2104">
        <v>0</v>
      </c>
      <c r="CJ26" s="2104">
        <v>0</v>
      </c>
      <c r="CK26" s="2117">
        <f t="shared" si="20"/>
        <v>1000</v>
      </c>
      <c r="CL26" s="2115"/>
      <c r="CM26" s="2116"/>
      <c r="CN26" s="2116"/>
      <c r="CO26" s="2116"/>
      <c r="CP26" s="2116"/>
      <c r="CQ26" s="2105">
        <f t="shared" si="21"/>
        <v>0</v>
      </c>
      <c r="CR26" s="2115"/>
      <c r="CS26" s="2116"/>
      <c r="CT26" s="2116"/>
      <c r="CU26" s="2116"/>
      <c r="CV26" s="2116"/>
      <c r="CW26" s="2117">
        <f t="shared" si="22"/>
        <v>0</v>
      </c>
      <c r="CX26" s="2103"/>
      <c r="CY26" s="2104"/>
      <c r="CZ26" s="2104"/>
      <c r="DA26" s="2104"/>
      <c r="DB26" s="2104"/>
      <c r="DC26" s="2105">
        <f t="shared" si="23"/>
        <v>0</v>
      </c>
      <c r="DD26" s="2103"/>
      <c r="DE26" s="2104"/>
      <c r="DF26" s="2104"/>
      <c r="DG26" s="2104"/>
      <c r="DH26" s="2104"/>
      <c r="DI26" s="2105">
        <f t="shared" si="24"/>
        <v>0</v>
      </c>
      <c r="DJ26" s="2103"/>
      <c r="DK26" s="2104"/>
      <c r="DL26" s="2104"/>
      <c r="DM26" s="2104"/>
      <c r="DN26" s="2104"/>
      <c r="DO26" s="2105">
        <f t="shared" si="25"/>
        <v>0</v>
      </c>
      <c r="DP26" s="2103">
        <v>2422.5</v>
      </c>
      <c r="DQ26" s="2104">
        <v>1671.51</v>
      </c>
      <c r="DR26" s="2104">
        <v>750.97</v>
      </c>
      <c r="DS26" s="2104">
        <v>0</v>
      </c>
      <c r="DT26" s="2104">
        <v>0</v>
      </c>
      <c r="DU26" s="2118">
        <f t="shared" si="26"/>
        <v>4844.9800000000005</v>
      </c>
      <c r="DV26" s="2103">
        <v>3606.19</v>
      </c>
      <c r="DW26" s="2104">
        <v>0</v>
      </c>
      <c r="DX26" s="2104">
        <v>661.47</v>
      </c>
      <c r="DY26" s="2104">
        <v>0.04</v>
      </c>
      <c r="DZ26" s="2104">
        <v>0</v>
      </c>
      <c r="EA26" s="2105">
        <f t="shared" si="27"/>
        <v>4267.7</v>
      </c>
    </row>
    <row r="27" spans="1:131" s="2049" customFormat="1" ht="15" customHeight="1" x14ac:dyDescent="0.25">
      <c r="A27" s="2089" t="s">
        <v>60</v>
      </c>
      <c r="B27" s="2090" t="s">
        <v>61</v>
      </c>
      <c r="C27" s="2091" t="s">
        <v>265</v>
      </c>
      <c r="D27" s="2092">
        <f t="shared" si="28"/>
        <v>15411.597708528479</v>
      </c>
      <c r="E27" s="2093">
        <f t="shared" si="29"/>
        <v>4703.9922914715225</v>
      </c>
      <c r="F27" s="2093">
        <f t="shared" si="30"/>
        <v>3655.75</v>
      </c>
      <c r="G27" s="2093">
        <f t="shared" si="31"/>
        <v>-0.09</v>
      </c>
      <c r="H27" s="2093">
        <f t="shared" si="32"/>
        <v>149.57</v>
      </c>
      <c r="I27" s="2093">
        <f t="shared" si="5"/>
        <v>23920.820000000003</v>
      </c>
      <c r="J27" s="2093">
        <f t="shared" si="6"/>
        <v>149.47999999999999</v>
      </c>
      <c r="K27" s="2094">
        <f t="shared" si="7"/>
        <v>3805.23</v>
      </c>
      <c r="L27" s="2095"/>
      <c r="M27" s="2096"/>
      <c r="N27" s="2096"/>
      <c r="O27" s="2096"/>
      <c r="P27" s="2096"/>
      <c r="Q27" s="2097">
        <f t="shared" si="8"/>
        <v>0</v>
      </c>
      <c r="R27" s="2098"/>
      <c r="S27" s="2099"/>
      <c r="T27" s="2099"/>
      <c r="U27" s="2099"/>
      <c r="V27" s="2099"/>
      <c r="W27" s="2100">
        <f t="shared" si="9"/>
        <v>0</v>
      </c>
      <c r="X27" s="2098">
        <v>136.91999999999999</v>
      </c>
      <c r="Y27" s="2099">
        <v>0.82</v>
      </c>
      <c r="Z27" s="2099">
        <v>25.27</v>
      </c>
      <c r="AA27" s="2099">
        <v>-0.01</v>
      </c>
      <c r="AB27" s="2099">
        <v>0</v>
      </c>
      <c r="AC27" s="2100">
        <f t="shared" si="10"/>
        <v>163</v>
      </c>
      <c r="AD27" s="2115">
        <v>2000</v>
      </c>
      <c r="AE27" s="2116">
        <v>0</v>
      </c>
      <c r="AF27" s="2116">
        <v>500</v>
      </c>
      <c r="AG27" s="2116">
        <v>0</v>
      </c>
      <c r="AH27" s="2116">
        <v>149.57</v>
      </c>
      <c r="AI27" s="2105">
        <f t="shared" si="11"/>
        <v>2649.57</v>
      </c>
      <c r="AJ27" s="2098"/>
      <c r="AK27" s="2099"/>
      <c r="AL27" s="2099"/>
      <c r="AM27" s="2099"/>
      <c r="AN27" s="2099"/>
      <c r="AO27" s="2106">
        <f t="shared" si="12"/>
        <v>0</v>
      </c>
      <c r="AP27" s="2101"/>
      <c r="AQ27" s="2102"/>
      <c r="AR27" s="2102"/>
      <c r="AS27" s="2102"/>
      <c r="AT27" s="2102"/>
      <c r="AU27" s="2106">
        <f t="shared" si="13"/>
        <v>0</v>
      </c>
      <c r="AV27" s="2124">
        <v>532.19000000000005</v>
      </c>
      <c r="AW27" s="2125">
        <v>133.05000000000001</v>
      </c>
      <c r="AX27" s="2125">
        <v>0</v>
      </c>
      <c r="AY27" s="2125">
        <v>0</v>
      </c>
      <c r="AZ27" s="2126">
        <v>0</v>
      </c>
      <c r="BA27" s="2110">
        <f t="shared" si="14"/>
        <v>665.24</v>
      </c>
      <c r="BB27" s="2111">
        <v>87.82</v>
      </c>
      <c r="BC27" s="2112">
        <v>158.61000000000001</v>
      </c>
      <c r="BD27" s="2112">
        <v>0</v>
      </c>
      <c r="BE27" s="2112">
        <v>0</v>
      </c>
      <c r="BF27" s="2113">
        <v>0</v>
      </c>
      <c r="BG27" s="2114">
        <f t="shared" si="15"/>
        <v>246.43</v>
      </c>
      <c r="BH27" s="2103">
        <v>9015.5400000000009</v>
      </c>
      <c r="BI27" s="2104">
        <v>1141.98</v>
      </c>
      <c r="BJ27" s="2104">
        <v>1863.23</v>
      </c>
      <c r="BK27" s="2104">
        <v>-0.08</v>
      </c>
      <c r="BL27" s="2104">
        <v>0</v>
      </c>
      <c r="BM27" s="2117">
        <f t="shared" si="16"/>
        <v>12020.67</v>
      </c>
      <c r="BN27" s="2103"/>
      <c r="BO27" s="2104"/>
      <c r="BP27" s="2104"/>
      <c r="BQ27" s="2104"/>
      <c r="BR27" s="2104"/>
      <c r="BS27" s="2105">
        <f t="shared" si="17"/>
        <v>0</v>
      </c>
      <c r="BT27" s="2103">
        <v>156.60770852847736</v>
      </c>
      <c r="BU27" s="2104">
        <v>992.53229147152274</v>
      </c>
      <c r="BV27" s="2104">
        <v>210.79</v>
      </c>
      <c r="BW27" s="2104">
        <v>-0.02</v>
      </c>
      <c r="BX27" s="2104">
        <v>0</v>
      </c>
      <c r="BY27" s="2105">
        <f t="shared" si="18"/>
        <v>1359.91</v>
      </c>
      <c r="BZ27" s="2115"/>
      <c r="CA27" s="2116"/>
      <c r="CB27" s="2116"/>
      <c r="CC27" s="2116"/>
      <c r="CD27" s="2116"/>
      <c r="CE27" s="2105">
        <f t="shared" si="19"/>
        <v>0</v>
      </c>
      <c r="CF27" s="2115"/>
      <c r="CG27" s="2116"/>
      <c r="CH27" s="2116"/>
      <c r="CI27" s="2116"/>
      <c r="CJ27" s="2116"/>
      <c r="CK27" s="2117">
        <f t="shared" si="20"/>
        <v>0</v>
      </c>
      <c r="CL27" s="2103"/>
      <c r="CM27" s="2104"/>
      <c r="CN27" s="2104"/>
      <c r="CO27" s="2104"/>
      <c r="CP27" s="2104"/>
      <c r="CQ27" s="2105">
        <f t="shared" si="21"/>
        <v>0</v>
      </c>
      <c r="CR27" s="2103"/>
      <c r="CS27" s="2104"/>
      <c r="CT27" s="2104"/>
      <c r="CU27" s="2104"/>
      <c r="CV27" s="2104"/>
      <c r="CW27" s="2117">
        <f t="shared" si="22"/>
        <v>0</v>
      </c>
      <c r="CX27" s="2103"/>
      <c r="CY27" s="2104"/>
      <c r="CZ27" s="2104"/>
      <c r="DA27" s="2104"/>
      <c r="DB27" s="2104"/>
      <c r="DC27" s="2105">
        <f t="shared" si="23"/>
        <v>0</v>
      </c>
      <c r="DD27" s="2103"/>
      <c r="DE27" s="2104"/>
      <c r="DF27" s="2104"/>
      <c r="DG27" s="2104"/>
      <c r="DH27" s="2104"/>
      <c r="DI27" s="2105">
        <f t="shared" si="24"/>
        <v>0</v>
      </c>
      <c r="DJ27" s="2103"/>
      <c r="DK27" s="2104"/>
      <c r="DL27" s="2104"/>
      <c r="DM27" s="2104"/>
      <c r="DN27" s="2104"/>
      <c r="DO27" s="2105">
        <f t="shared" si="25"/>
        <v>0</v>
      </c>
      <c r="DP27" s="2103">
        <v>3300.01</v>
      </c>
      <c r="DQ27" s="2104">
        <v>2277</v>
      </c>
      <c r="DR27" s="2104">
        <v>1023</v>
      </c>
      <c r="DS27" s="2104">
        <v>-0.01</v>
      </c>
      <c r="DT27" s="2104">
        <v>0</v>
      </c>
      <c r="DU27" s="2118">
        <f t="shared" si="26"/>
        <v>6600</v>
      </c>
      <c r="DV27" s="2103">
        <v>182.51</v>
      </c>
      <c r="DW27" s="2104">
        <v>0</v>
      </c>
      <c r="DX27" s="2104">
        <v>33.46</v>
      </c>
      <c r="DY27" s="2104">
        <v>0.03</v>
      </c>
      <c r="DZ27" s="2104">
        <v>0</v>
      </c>
      <c r="EA27" s="2105">
        <f t="shared" si="27"/>
        <v>216</v>
      </c>
    </row>
    <row r="28" spans="1:131" s="2049" customFormat="1" ht="15" customHeight="1" x14ac:dyDescent="0.25">
      <c r="A28" s="2089" t="s">
        <v>62</v>
      </c>
      <c r="B28" s="2090" t="s">
        <v>63</v>
      </c>
      <c r="C28" s="2091" t="s">
        <v>267</v>
      </c>
      <c r="D28" s="2092">
        <f t="shared" si="28"/>
        <v>70634.66300178942</v>
      </c>
      <c r="E28" s="2093">
        <f t="shared" si="29"/>
        <v>88044.556998210581</v>
      </c>
      <c r="F28" s="2093">
        <f t="shared" si="30"/>
        <v>31423.879999999997</v>
      </c>
      <c r="G28" s="2093">
        <f t="shared" si="31"/>
        <v>-0.11999999999999998</v>
      </c>
      <c r="H28" s="2093">
        <f t="shared" si="32"/>
        <v>0</v>
      </c>
      <c r="I28" s="2093">
        <f t="shared" si="5"/>
        <v>190102.98</v>
      </c>
      <c r="J28" s="2093">
        <f t="shared" si="6"/>
        <v>-0.11999999999999998</v>
      </c>
      <c r="K28" s="2094">
        <f t="shared" si="7"/>
        <v>31423.759999999998</v>
      </c>
      <c r="L28" s="2095"/>
      <c r="M28" s="2096"/>
      <c r="N28" s="2096"/>
      <c r="O28" s="2096"/>
      <c r="P28" s="2096"/>
      <c r="Q28" s="2097">
        <f t="shared" si="8"/>
        <v>0</v>
      </c>
      <c r="R28" s="2098"/>
      <c r="S28" s="2099"/>
      <c r="T28" s="2099"/>
      <c r="U28" s="2099"/>
      <c r="V28" s="2099"/>
      <c r="W28" s="2100">
        <f t="shared" si="9"/>
        <v>0</v>
      </c>
      <c r="X28" s="2101">
        <v>1674.55</v>
      </c>
      <c r="Y28" s="2102">
        <v>9.98</v>
      </c>
      <c r="Z28" s="2102">
        <v>308.99</v>
      </c>
      <c r="AA28" s="2102">
        <v>-0.01</v>
      </c>
      <c r="AB28" s="2102">
        <v>0</v>
      </c>
      <c r="AC28" s="2100">
        <f t="shared" si="10"/>
        <v>1993.51</v>
      </c>
      <c r="AD28" s="2103">
        <v>29949.63</v>
      </c>
      <c r="AE28" s="2104">
        <v>0</v>
      </c>
      <c r="AF28" s="2104">
        <v>7487.41</v>
      </c>
      <c r="AG28" s="2104">
        <v>0</v>
      </c>
      <c r="AH28" s="2104">
        <v>0</v>
      </c>
      <c r="AI28" s="2105">
        <f t="shared" si="11"/>
        <v>37437.040000000001</v>
      </c>
      <c r="AJ28" s="2098"/>
      <c r="AK28" s="2099"/>
      <c r="AL28" s="2099"/>
      <c r="AM28" s="2099"/>
      <c r="AN28" s="2099"/>
      <c r="AO28" s="2106">
        <f t="shared" si="12"/>
        <v>0</v>
      </c>
      <c r="AP28" s="2101">
        <v>1136.78</v>
      </c>
      <c r="AQ28" s="2102">
        <v>284.19</v>
      </c>
      <c r="AR28" s="2102">
        <v>0</v>
      </c>
      <c r="AS28" s="2102">
        <v>0</v>
      </c>
      <c r="AT28" s="2102">
        <v>0</v>
      </c>
      <c r="AU28" s="2106">
        <f t="shared" si="13"/>
        <v>1420.97</v>
      </c>
      <c r="AV28" s="2107">
        <v>3371.77</v>
      </c>
      <c r="AW28" s="2108">
        <v>842.95</v>
      </c>
      <c r="AX28" s="2108">
        <v>0</v>
      </c>
      <c r="AY28" s="2108">
        <v>0</v>
      </c>
      <c r="AZ28" s="2109">
        <v>0</v>
      </c>
      <c r="BA28" s="2110">
        <f t="shared" si="14"/>
        <v>4214.72</v>
      </c>
      <c r="BB28" s="2119">
        <v>548.14</v>
      </c>
      <c r="BC28" s="2120">
        <v>989.86</v>
      </c>
      <c r="BD28" s="2120">
        <v>0</v>
      </c>
      <c r="BE28" s="2120">
        <v>0</v>
      </c>
      <c r="BF28" s="2120">
        <v>0</v>
      </c>
      <c r="BG28" s="2114">
        <f t="shared" si="15"/>
        <v>1538</v>
      </c>
      <c r="BH28" s="2103">
        <v>5047.5</v>
      </c>
      <c r="BI28" s="2104">
        <v>639.36</v>
      </c>
      <c r="BJ28" s="2104">
        <v>1043.1500000000001</v>
      </c>
      <c r="BK28" s="2104">
        <v>-0.01</v>
      </c>
      <c r="BL28" s="2104">
        <v>0</v>
      </c>
      <c r="BM28" s="2117">
        <f t="shared" si="16"/>
        <v>6730</v>
      </c>
      <c r="BN28" s="2103"/>
      <c r="BO28" s="2104"/>
      <c r="BP28" s="2104"/>
      <c r="BQ28" s="2104"/>
      <c r="BR28" s="2104"/>
      <c r="BS28" s="2105">
        <f t="shared" si="17"/>
        <v>0</v>
      </c>
      <c r="BT28" s="2103">
        <v>13751.233001789427</v>
      </c>
      <c r="BU28" s="2104">
        <v>81172.716998210584</v>
      </c>
      <c r="BV28" s="2104">
        <v>17412.11</v>
      </c>
      <c r="BW28" s="2104">
        <v>-0.15</v>
      </c>
      <c r="BX28" s="2104">
        <v>0</v>
      </c>
      <c r="BY28" s="2105">
        <f t="shared" si="18"/>
        <v>112335.91000000002</v>
      </c>
      <c r="BZ28" s="2103">
        <v>2116.9699999999998</v>
      </c>
      <c r="CA28" s="2104">
        <v>0</v>
      </c>
      <c r="CB28" s="2104">
        <v>1954.91</v>
      </c>
      <c r="CC28" s="2104">
        <v>-0.01</v>
      </c>
      <c r="CD28" s="2104">
        <v>0</v>
      </c>
      <c r="CE28" s="2105">
        <f t="shared" si="19"/>
        <v>4071.87</v>
      </c>
      <c r="CF28" s="2115"/>
      <c r="CG28" s="2116"/>
      <c r="CH28" s="2116"/>
      <c r="CI28" s="2116"/>
      <c r="CJ28" s="2116"/>
      <c r="CK28" s="2117">
        <f t="shared" si="20"/>
        <v>0</v>
      </c>
      <c r="CL28" s="2103">
        <v>-71.12</v>
      </c>
      <c r="CM28" s="2104">
        <v>0</v>
      </c>
      <c r="CN28" s="2104">
        <v>0</v>
      </c>
      <c r="CO28" s="2104">
        <v>0</v>
      </c>
      <c r="CP28" s="2104">
        <v>0</v>
      </c>
      <c r="CQ28" s="2105">
        <f t="shared" si="21"/>
        <v>-71.12</v>
      </c>
      <c r="CR28" s="2103">
        <v>-85</v>
      </c>
      <c r="CS28" s="2104">
        <v>-85</v>
      </c>
      <c r="CT28" s="2104">
        <v>0</v>
      </c>
      <c r="CU28" s="2104">
        <v>0</v>
      </c>
      <c r="CV28" s="2104">
        <v>0</v>
      </c>
      <c r="CW28" s="2117">
        <f t="shared" si="22"/>
        <v>-170</v>
      </c>
      <c r="CX28" s="2103">
        <v>-77.5</v>
      </c>
      <c r="CY28" s="2104">
        <v>-77.5</v>
      </c>
      <c r="CZ28" s="2104">
        <v>0</v>
      </c>
      <c r="DA28" s="2104">
        <v>0</v>
      </c>
      <c r="DB28" s="2104">
        <v>0</v>
      </c>
      <c r="DC28" s="2105">
        <f t="shared" si="23"/>
        <v>-155</v>
      </c>
      <c r="DD28" s="2103"/>
      <c r="DE28" s="2104"/>
      <c r="DF28" s="2104"/>
      <c r="DG28" s="2104"/>
      <c r="DH28" s="2104"/>
      <c r="DI28" s="2105">
        <f t="shared" si="24"/>
        <v>0</v>
      </c>
      <c r="DJ28" s="2103"/>
      <c r="DK28" s="2104"/>
      <c r="DL28" s="2104"/>
      <c r="DM28" s="2104"/>
      <c r="DN28" s="2104"/>
      <c r="DO28" s="2105">
        <f t="shared" si="25"/>
        <v>0</v>
      </c>
      <c r="DP28" s="2115">
        <v>6185.51</v>
      </c>
      <c r="DQ28" s="2116">
        <v>4268</v>
      </c>
      <c r="DR28" s="2116">
        <v>1917.51</v>
      </c>
      <c r="DS28" s="2116">
        <v>-0.02</v>
      </c>
      <c r="DT28" s="2116">
        <v>0</v>
      </c>
      <c r="DU28" s="2118">
        <f t="shared" si="26"/>
        <v>12371</v>
      </c>
      <c r="DV28" s="2103">
        <v>7086.2</v>
      </c>
      <c r="DW28" s="2104">
        <v>0</v>
      </c>
      <c r="DX28" s="2104">
        <v>1299.8</v>
      </c>
      <c r="DY28" s="2104">
        <v>0.08</v>
      </c>
      <c r="DZ28" s="2104">
        <v>0</v>
      </c>
      <c r="EA28" s="2105">
        <f t="shared" si="27"/>
        <v>8386.08</v>
      </c>
    </row>
    <row r="29" spans="1:131" s="2049" customFormat="1" ht="15" customHeight="1" x14ac:dyDescent="0.25">
      <c r="A29" s="2089" t="s">
        <v>64</v>
      </c>
      <c r="B29" s="2090" t="s">
        <v>65</v>
      </c>
      <c r="C29" s="2091" t="s">
        <v>266</v>
      </c>
      <c r="D29" s="2092">
        <f t="shared" si="28"/>
        <v>20878.346572839459</v>
      </c>
      <c r="E29" s="2093">
        <f t="shared" si="29"/>
        <v>30282.833427160538</v>
      </c>
      <c r="F29" s="2093">
        <f t="shared" si="30"/>
        <v>9821.9999999999982</v>
      </c>
      <c r="G29" s="2093">
        <f t="shared" si="31"/>
        <v>-0.03</v>
      </c>
      <c r="H29" s="2093">
        <f t="shared" si="32"/>
        <v>0</v>
      </c>
      <c r="I29" s="2093">
        <f t="shared" si="5"/>
        <v>60983.149999999994</v>
      </c>
      <c r="J29" s="2093">
        <f t="shared" si="6"/>
        <v>-0.03</v>
      </c>
      <c r="K29" s="2094">
        <f t="shared" si="7"/>
        <v>9821.9699999999975</v>
      </c>
      <c r="L29" s="2095"/>
      <c r="M29" s="2096"/>
      <c r="N29" s="2096"/>
      <c r="O29" s="2096"/>
      <c r="P29" s="2096"/>
      <c r="Q29" s="2097">
        <f t="shared" si="8"/>
        <v>0</v>
      </c>
      <c r="R29" s="2098"/>
      <c r="S29" s="2099"/>
      <c r="T29" s="2099"/>
      <c r="U29" s="2099"/>
      <c r="V29" s="2099"/>
      <c r="W29" s="2100">
        <f t="shared" si="9"/>
        <v>0</v>
      </c>
      <c r="X29" s="2101">
        <v>3097.92</v>
      </c>
      <c r="Y29" s="2102">
        <v>18.440000000000001</v>
      </c>
      <c r="Z29" s="2102">
        <v>571.64</v>
      </c>
      <c r="AA29" s="2102">
        <v>0</v>
      </c>
      <c r="AB29" s="2102">
        <v>0</v>
      </c>
      <c r="AC29" s="2100">
        <f t="shared" si="10"/>
        <v>3688</v>
      </c>
      <c r="AD29" s="2103">
        <v>8496.7199999999993</v>
      </c>
      <c r="AE29" s="2104">
        <v>0</v>
      </c>
      <c r="AF29" s="2104">
        <v>2124.1799999999998</v>
      </c>
      <c r="AG29" s="2104">
        <v>0</v>
      </c>
      <c r="AH29" s="2104">
        <v>0</v>
      </c>
      <c r="AI29" s="2105">
        <f t="shared" si="11"/>
        <v>10620.9</v>
      </c>
      <c r="AJ29" s="2098"/>
      <c r="AK29" s="2099"/>
      <c r="AL29" s="2099"/>
      <c r="AM29" s="2099"/>
      <c r="AN29" s="2099"/>
      <c r="AO29" s="2106">
        <f t="shared" si="12"/>
        <v>0</v>
      </c>
      <c r="AP29" s="2098">
        <v>87.85</v>
      </c>
      <c r="AQ29" s="2099">
        <v>21.96</v>
      </c>
      <c r="AR29" s="2099">
        <v>0</v>
      </c>
      <c r="AS29" s="2099">
        <v>0</v>
      </c>
      <c r="AT29" s="2099">
        <v>0</v>
      </c>
      <c r="AU29" s="2106">
        <f t="shared" si="13"/>
        <v>109.81</v>
      </c>
      <c r="AV29" s="2107">
        <v>471.26</v>
      </c>
      <c r="AW29" s="2108">
        <v>117.82</v>
      </c>
      <c r="AX29" s="2108">
        <v>0</v>
      </c>
      <c r="AY29" s="2108">
        <v>0</v>
      </c>
      <c r="AZ29" s="2109">
        <v>0</v>
      </c>
      <c r="BA29" s="2110">
        <f t="shared" si="14"/>
        <v>589.07999999999993</v>
      </c>
      <c r="BB29" s="2119"/>
      <c r="BC29" s="2120"/>
      <c r="BD29" s="2120"/>
      <c r="BE29" s="2120"/>
      <c r="BF29" s="2120"/>
      <c r="BG29" s="2114">
        <f t="shared" si="15"/>
        <v>0</v>
      </c>
      <c r="BH29" s="2115"/>
      <c r="BI29" s="2116"/>
      <c r="BJ29" s="2116"/>
      <c r="BK29" s="2116"/>
      <c r="BL29" s="2116"/>
      <c r="BM29" s="2117">
        <f t="shared" si="16"/>
        <v>0</v>
      </c>
      <c r="BN29" s="2103"/>
      <c r="BO29" s="2104"/>
      <c r="BP29" s="2104"/>
      <c r="BQ29" s="2104"/>
      <c r="BR29" s="2104"/>
      <c r="BS29" s="2105">
        <f t="shared" si="17"/>
        <v>0</v>
      </c>
      <c r="BT29" s="2103">
        <v>7302.4165728394601</v>
      </c>
      <c r="BU29" s="2104">
        <v>29122.883427160537</v>
      </c>
      <c r="BV29" s="2104">
        <v>6681.57</v>
      </c>
      <c r="BW29" s="2104">
        <v>-0.06</v>
      </c>
      <c r="BX29" s="2104">
        <v>0</v>
      </c>
      <c r="BY29" s="2105">
        <f t="shared" si="18"/>
        <v>43106.81</v>
      </c>
      <c r="BZ29" s="2115"/>
      <c r="CA29" s="2116"/>
      <c r="CB29" s="2116"/>
      <c r="CC29" s="2116"/>
      <c r="CD29" s="2116"/>
      <c r="CE29" s="2105">
        <f t="shared" si="19"/>
        <v>0</v>
      </c>
      <c r="CF29" s="2115"/>
      <c r="CG29" s="2116"/>
      <c r="CH29" s="2116"/>
      <c r="CI29" s="2116"/>
      <c r="CJ29" s="2116"/>
      <c r="CK29" s="2117">
        <f t="shared" si="20"/>
        <v>0</v>
      </c>
      <c r="CL29" s="2115"/>
      <c r="CM29" s="2116"/>
      <c r="CN29" s="2116"/>
      <c r="CO29" s="2116"/>
      <c r="CP29" s="2116"/>
      <c r="CQ29" s="2105">
        <f t="shared" si="21"/>
        <v>0</v>
      </c>
      <c r="CR29" s="2115"/>
      <c r="CS29" s="2116"/>
      <c r="CT29" s="2116"/>
      <c r="CU29" s="2116"/>
      <c r="CV29" s="2116"/>
      <c r="CW29" s="2117">
        <f t="shared" si="22"/>
        <v>0</v>
      </c>
      <c r="CX29" s="2103"/>
      <c r="CY29" s="2104"/>
      <c r="CZ29" s="2104"/>
      <c r="DA29" s="2104"/>
      <c r="DB29" s="2104"/>
      <c r="DC29" s="2105">
        <f t="shared" si="23"/>
        <v>0</v>
      </c>
      <c r="DD29" s="2103"/>
      <c r="DE29" s="2104"/>
      <c r="DF29" s="2104"/>
      <c r="DG29" s="2104"/>
      <c r="DH29" s="2104"/>
      <c r="DI29" s="2105">
        <f t="shared" si="24"/>
        <v>0</v>
      </c>
      <c r="DJ29" s="2103"/>
      <c r="DK29" s="2104"/>
      <c r="DL29" s="2104"/>
      <c r="DM29" s="2104"/>
      <c r="DN29" s="2104"/>
      <c r="DO29" s="2105">
        <f t="shared" si="25"/>
        <v>0</v>
      </c>
      <c r="DP29" s="2103">
        <v>1451.77</v>
      </c>
      <c r="DQ29" s="2104">
        <v>1001.73</v>
      </c>
      <c r="DR29" s="2104">
        <v>450.05</v>
      </c>
      <c r="DS29" s="2104">
        <v>0</v>
      </c>
      <c r="DT29" s="2104">
        <v>0</v>
      </c>
      <c r="DU29" s="2118">
        <f t="shared" si="26"/>
        <v>2903.55</v>
      </c>
      <c r="DV29" s="2115">
        <v>-29.59</v>
      </c>
      <c r="DW29" s="2116">
        <v>0</v>
      </c>
      <c r="DX29" s="2116">
        <v>-5.44</v>
      </c>
      <c r="DY29" s="2116">
        <v>0.03</v>
      </c>
      <c r="DZ29" s="2116">
        <v>0</v>
      </c>
      <c r="EA29" s="2105">
        <f t="shared" si="27"/>
        <v>-35</v>
      </c>
    </row>
    <row r="30" spans="1:131" s="2049" customFormat="1" ht="15" customHeight="1" x14ac:dyDescent="0.25">
      <c r="A30" s="2089" t="s">
        <v>68</v>
      </c>
      <c r="B30" s="2090" t="s">
        <v>69</v>
      </c>
      <c r="C30" s="2091" t="s">
        <v>268</v>
      </c>
      <c r="D30" s="2092">
        <f t="shared" si="28"/>
        <v>89834.055499952447</v>
      </c>
      <c r="E30" s="2093">
        <f t="shared" si="29"/>
        <v>17143.95450004757</v>
      </c>
      <c r="F30" s="2093">
        <f t="shared" si="30"/>
        <v>20719.62</v>
      </c>
      <c r="G30" s="2093">
        <f t="shared" si="31"/>
        <v>-0.11</v>
      </c>
      <c r="H30" s="2093">
        <f t="shared" si="32"/>
        <v>0</v>
      </c>
      <c r="I30" s="2093">
        <f t="shared" si="5"/>
        <v>127697.52</v>
      </c>
      <c r="J30" s="2093">
        <f t="shared" si="6"/>
        <v>-0.11</v>
      </c>
      <c r="K30" s="2094">
        <f t="shared" si="7"/>
        <v>20719.509999999998</v>
      </c>
      <c r="L30" s="2127">
        <v>0</v>
      </c>
      <c r="M30" s="2128">
        <v>1274</v>
      </c>
      <c r="N30" s="2128">
        <v>0</v>
      </c>
      <c r="O30" s="2128">
        <v>0</v>
      </c>
      <c r="P30" s="2128">
        <v>0</v>
      </c>
      <c r="Q30" s="2097">
        <f t="shared" si="8"/>
        <v>1274</v>
      </c>
      <c r="R30" s="2098"/>
      <c r="S30" s="2099"/>
      <c r="T30" s="2099"/>
      <c r="U30" s="2099"/>
      <c r="V30" s="2099"/>
      <c r="W30" s="2100">
        <f t="shared" si="9"/>
        <v>0</v>
      </c>
      <c r="X30" s="2101">
        <v>13101.78</v>
      </c>
      <c r="Y30" s="2102">
        <v>78.010000000000005</v>
      </c>
      <c r="Z30" s="2102">
        <v>2417.6</v>
      </c>
      <c r="AA30" s="2102">
        <v>-0.05</v>
      </c>
      <c r="AB30" s="2102">
        <v>0</v>
      </c>
      <c r="AC30" s="2100">
        <f t="shared" si="10"/>
        <v>15597.340000000002</v>
      </c>
      <c r="AD30" s="2103">
        <v>24860.85</v>
      </c>
      <c r="AE30" s="2104">
        <v>0</v>
      </c>
      <c r="AF30" s="2104">
        <v>6215.23</v>
      </c>
      <c r="AG30" s="2104">
        <v>0</v>
      </c>
      <c r="AH30" s="2104">
        <v>0</v>
      </c>
      <c r="AI30" s="2105">
        <f t="shared" si="11"/>
        <v>31076.079999999998</v>
      </c>
      <c r="AJ30" s="2098"/>
      <c r="AK30" s="2099"/>
      <c r="AL30" s="2099"/>
      <c r="AM30" s="2099"/>
      <c r="AN30" s="2099"/>
      <c r="AO30" s="2106">
        <f t="shared" si="12"/>
        <v>0</v>
      </c>
      <c r="AP30" s="2101">
        <v>6256.14</v>
      </c>
      <c r="AQ30" s="2102">
        <v>1564.03</v>
      </c>
      <c r="AR30" s="2102">
        <v>0</v>
      </c>
      <c r="AS30" s="2102">
        <v>0</v>
      </c>
      <c r="AT30" s="2102">
        <v>0</v>
      </c>
      <c r="AU30" s="2106">
        <f t="shared" si="13"/>
        <v>7820.17</v>
      </c>
      <c r="AV30" s="2107">
        <v>5885.71</v>
      </c>
      <c r="AW30" s="2108">
        <v>1471.43</v>
      </c>
      <c r="AX30" s="2108">
        <v>0</v>
      </c>
      <c r="AY30" s="2108">
        <v>0</v>
      </c>
      <c r="AZ30" s="2109">
        <v>0</v>
      </c>
      <c r="BA30" s="2110">
        <f t="shared" si="14"/>
        <v>7357.14</v>
      </c>
      <c r="BB30" s="2111">
        <v>282.27</v>
      </c>
      <c r="BC30" s="2112">
        <v>509.73</v>
      </c>
      <c r="BD30" s="2112">
        <v>0</v>
      </c>
      <c r="BE30" s="2112">
        <v>0</v>
      </c>
      <c r="BF30" s="2113">
        <v>0</v>
      </c>
      <c r="BG30" s="2114">
        <f t="shared" si="15"/>
        <v>792</v>
      </c>
      <c r="BH30" s="2103">
        <v>28094.23</v>
      </c>
      <c r="BI30" s="2104">
        <v>3558.62</v>
      </c>
      <c r="BJ30" s="2104">
        <v>5806.13</v>
      </c>
      <c r="BK30" s="2104">
        <v>-0.05</v>
      </c>
      <c r="BL30" s="2104">
        <v>0</v>
      </c>
      <c r="BM30" s="2117">
        <f t="shared" si="16"/>
        <v>37458.929999999993</v>
      </c>
      <c r="BN30" s="2103"/>
      <c r="BO30" s="2104"/>
      <c r="BP30" s="2104"/>
      <c r="BQ30" s="2104"/>
      <c r="BR30" s="2104"/>
      <c r="BS30" s="2105">
        <f t="shared" si="17"/>
        <v>0</v>
      </c>
      <c r="BT30" s="2103">
        <v>974.63549995242875</v>
      </c>
      <c r="BU30" s="2104">
        <v>6176.5345000475718</v>
      </c>
      <c r="BV30" s="2104">
        <v>1311.75</v>
      </c>
      <c r="BW30" s="2104">
        <v>-0.01</v>
      </c>
      <c r="BX30" s="2104">
        <v>0</v>
      </c>
      <c r="BY30" s="2105">
        <f t="shared" si="18"/>
        <v>8462.91</v>
      </c>
      <c r="BZ30" s="2103">
        <v>3041.27</v>
      </c>
      <c r="CA30" s="2104">
        <v>0</v>
      </c>
      <c r="CB30" s="2104">
        <v>2808.44</v>
      </c>
      <c r="CC30" s="2104">
        <v>0</v>
      </c>
      <c r="CD30" s="2104">
        <v>0</v>
      </c>
      <c r="CE30" s="2105">
        <f t="shared" si="19"/>
        <v>5849.71</v>
      </c>
      <c r="CF30" s="2103">
        <v>207.96</v>
      </c>
      <c r="CG30" s="2104">
        <v>0</v>
      </c>
      <c r="CH30" s="2104">
        <v>392.04</v>
      </c>
      <c r="CI30" s="2104">
        <v>0</v>
      </c>
      <c r="CJ30" s="2104">
        <v>0</v>
      </c>
      <c r="CK30" s="2117">
        <f t="shared" si="20"/>
        <v>600</v>
      </c>
      <c r="CL30" s="2103"/>
      <c r="CM30" s="2104"/>
      <c r="CN30" s="2104"/>
      <c r="CO30" s="2104"/>
      <c r="CP30" s="2104"/>
      <c r="CQ30" s="2105">
        <f t="shared" si="21"/>
        <v>0</v>
      </c>
      <c r="CR30" s="2115"/>
      <c r="CS30" s="2116"/>
      <c r="CT30" s="2116"/>
      <c r="CU30" s="2116"/>
      <c r="CV30" s="2116"/>
      <c r="CW30" s="2117">
        <f t="shared" si="22"/>
        <v>0</v>
      </c>
      <c r="CX30" s="2103"/>
      <c r="CY30" s="2104"/>
      <c r="CZ30" s="2104"/>
      <c r="DA30" s="2104"/>
      <c r="DB30" s="2104"/>
      <c r="DC30" s="2105">
        <f t="shared" si="23"/>
        <v>0</v>
      </c>
      <c r="DD30" s="2103"/>
      <c r="DE30" s="2104"/>
      <c r="DF30" s="2104"/>
      <c r="DG30" s="2104"/>
      <c r="DH30" s="2104"/>
      <c r="DI30" s="2105">
        <f t="shared" si="24"/>
        <v>0</v>
      </c>
      <c r="DJ30" s="2103"/>
      <c r="DK30" s="2104"/>
      <c r="DL30" s="2104"/>
      <c r="DM30" s="2104"/>
      <c r="DN30" s="2104"/>
      <c r="DO30" s="2105">
        <f t="shared" si="25"/>
        <v>0</v>
      </c>
      <c r="DP30" s="2103">
        <v>3640</v>
      </c>
      <c r="DQ30" s="2104">
        <v>2511.6</v>
      </c>
      <c r="DR30" s="2104">
        <v>1128.4000000000001</v>
      </c>
      <c r="DS30" s="2104">
        <v>0</v>
      </c>
      <c r="DT30" s="2104">
        <v>0</v>
      </c>
      <c r="DU30" s="2118">
        <f t="shared" si="26"/>
        <v>7280</v>
      </c>
      <c r="DV30" s="2103">
        <v>3489.21</v>
      </c>
      <c r="DW30" s="2104">
        <v>0</v>
      </c>
      <c r="DX30" s="2104">
        <v>640.03</v>
      </c>
      <c r="DY30" s="2104">
        <v>0</v>
      </c>
      <c r="DZ30" s="2104">
        <v>0</v>
      </c>
      <c r="EA30" s="2105">
        <f t="shared" si="27"/>
        <v>4129.24</v>
      </c>
    </row>
    <row r="31" spans="1:131" s="2049" customFormat="1" ht="15" customHeight="1" x14ac:dyDescent="0.25">
      <c r="A31" s="2089" t="s">
        <v>70</v>
      </c>
      <c r="B31" s="2090" t="s">
        <v>71</v>
      </c>
      <c r="C31" s="2091" t="s">
        <v>264</v>
      </c>
      <c r="D31" s="2092">
        <f t="shared" si="28"/>
        <v>65997.093931842304</v>
      </c>
      <c r="E31" s="2093">
        <f t="shared" si="29"/>
        <v>18364.976068157688</v>
      </c>
      <c r="F31" s="2093">
        <f t="shared" si="30"/>
        <v>17661.120000000003</v>
      </c>
      <c r="G31" s="2093">
        <f t="shared" si="31"/>
        <v>36913.340000000004</v>
      </c>
      <c r="H31" s="2093">
        <f t="shared" si="32"/>
        <v>0</v>
      </c>
      <c r="I31" s="2093">
        <f t="shared" si="5"/>
        <v>138936.53</v>
      </c>
      <c r="J31" s="2093">
        <f t="shared" si="6"/>
        <v>36913.340000000004</v>
      </c>
      <c r="K31" s="2094">
        <f t="shared" si="7"/>
        <v>54574.460000000006</v>
      </c>
      <c r="L31" s="2095"/>
      <c r="M31" s="2096"/>
      <c r="N31" s="2096"/>
      <c r="O31" s="2096"/>
      <c r="P31" s="2096"/>
      <c r="Q31" s="2097">
        <f t="shared" si="8"/>
        <v>0</v>
      </c>
      <c r="R31" s="2098"/>
      <c r="S31" s="2099"/>
      <c r="T31" s="2099"/>
      <c r="U31" s="2099"/>
      <c r="V31" s="2099"/>
      <c r="W31" s="2100">
        <f t="shared" si="9"/>
        <v>0</v>
      </c>
      <c r="X31" s="2101">
        <v>3207.75</v>
      </c>
      <c r="Y31" s="2102">
        <v>19.09</v>
      </c>
      <c r="Z31" s="2102">
        <v>591.91</v>
      </c>
      <c r="AA31" s="2102">
        <v>0</v>
      </c>
      <c r="AB31" s="2102">
        <v>0</v>
      </c>
      <c r="AC31" s="2100">
        <f t="shared" si="10"/>
        <v>3818.75</v>
      </c>
      <c r="AD31" s="2103">
        <v>38154.199999999997</v>
      </c>
      <c r="AE31" s="2104">
        <v>0</v>
      </c>
      <c r="AF31" s="2104">
        <v>9538.5400000000009</v>
      </c>
      <c r="AG31" s="2104">
        <v>36913.33</v>
      </c>
      <c r="AH31" s="2104">
        <v>0</v>
      </c>
      <c r="AI31" s="2105">
        <f t="shared" si="11"/>
        <v>84606.07</v>
      </c>
      <c r="AJ31" s="2098"/>
      <c r="AK31" s="2099"/>
      <c r="AL31" s="2099"/>
      <c r="AM31" s="2099"/>
      <c r="AN31" s="2099"/>
      <c r="AO31" s="2106">
        <f t="shared" si="12"/>
        <v>0</v>
      </c>
      <c r="AP31" s="2101"/>
      <c r="AQ31" s="2102"/>
      <c r="AR31" s="2102"/>
      <c r="AS31" s="2102"/>
      <c r="AT31" s="2102"/>
      <c r="AU31" s="2106">
        <f t="shared" si="13"/>
        <v>0</v>
      </c>
      <c r="AV31" s="2107">
        <v>765.39</v>
      </c>
      <c r="AW31" s="2108">
        <v>191.34</v>
      </c>
      <c r="AX31" s="2108">
        <v>0</v>
      </c>
      <c r="AY31" s="2108">
        <v>0</v>
      </c>
      <c r="AZ31" s="2109">
        <v>0</v>
      </c>
      <c r="BA31" s="2110">
        <f t="shared" si="14"/>
        <v>956.73</v>
      </c>
      <c r="BB31" s="2119">
        <v>345.71</v>
      </c>
      <c r="BC31" s="2120">
        <v>624.29</v>
      </c>
      <c r="BD31" s="2120">
        <v>0</v>
      </c>
      <c r="BE31" s="2120">
        <v>0</v>
      </c>
      <c r="BF31" s="2120">
        <v>0</v>
      </c>
      <c r="BG31" s="2114">
        <f t="shared" si="15"/>
        <v>970</v>
      </c>
      <c r="BH31" s="2103">
        <v>14349.31</v>
      </c>
      <c r="BI31" s="2104">
        <v>1817.58</v>
      </c>
      <c r="BJ31" s="2104">
        <v>2965.52</v>
      </c>
      <c r="BK31" s="2104">
        <v>0.01</v>
      </c>
      <c r="BL31" s="2104">
        <v>0</v>
      </c>
      <c r="BM31" s="2117">
        <f t="shared" si="16"/>
        <v>19132.419999999998</v>
      </c>
      <c r="BN31" s="2103"/>
      <c r="BO31" s="2104"/>
      <c r="BP31" s="2104"/>
      <c r="BQ31" s="2104"/>
      <c r="BR31" s="2104"/>
      <c r="BS31" s="2105">
        <f t="shared" si="17"/>
        <v>0</v>
      </c>
      <c r="BT31" s="2103">
        <v>2109.8939318423127</v>
      </c>
      <c r="BU31" s="2104">
        <v>13371.156068157688</v>
      </c>
      <c r="BV31" s="2104">
        <v>2839.73</v>
      </c>
      <c r="BW31" s="2104">
        <v>-0.04</v>
      </c>
      <c r="BX31" s="2104">
        <v>0</v>
      </c>
      <c r="BY31" s="2105">
        <f t="shared" si="18"/>
        <v>18320.740000000002</v>
      </c>
      <c r="BZ31" s="2115"/>
      <c r="CA31" s="2116"/>
      <c r="CB31" s="2116"/>
      <c r="CC31" s="2116"/>
      <c r="CD31" s="2116"/>
      <c r="CE31" s="2105">
        <f t="shared" si="19"/>
        <v>0</v>
      </c>
      <c r="CF31" s="2115"/>
      <c r="CG31" s="2116"/>
      <c r="CH31" s="2116"/>
      <c r="CI31" s="2116"/>
      <c r="CJ31" s="2116"/>
      <c r="CK31" s="2117">
        <f t="shared" si="20"/>
        <v>0</v>
      </c>
      <c r="CL31" s="2103"/>
      <c r="CM31" s="2104"/>
      <c r="CN31" s="2104"/>
      <c r="CO31" s="2104"/>
      <c r="CP31" s="2104"/>
      <c r="CQ31" s="2105">
        <f t="shared" si="21"/>
        <v>0</v>
      </c>
      <c r="CR31" s="2103"/>
      <c r="CS31" s="2104"/>
      <c r="CT31" s="2104"/>
      <c r="CU31" s="2104"/>
      <c r="CV31" s="2104"/>
      <c r="CW31" s="2117">
        <f t="shared" si="22"/>
        <v>0</v>
      </c>
      <c r="CX31" s="2103"/>
      <c r="CY31" s="2104"/>
      <c r="CZ31" s="2104"/>
      <c r="DA31" s="2104"/>
      <c r="DB31" s="2104"/>
      <c r="DC31" s="2105">
        <f t="shared" si="23"/>
        <v>0</v>
      </c>
      <c r="DD31" s="2103"/>
      <c r="DE31" s="2104"/>
      <c r="DF31" s="2104"/>
      <c r="DG31" s="2104"/>
      <c r="DH31" s="2104"/>
      <c r="DI31" s="2105">
        <f t="shared" si="24"/>
        <v>0</v>
      </c>
      <c r="DJ31" s="2103"/>
      <c r="DK31" s="2104"/>
      <c r="DL31" s="2104"/>
      <c r="DM31" s="2104"/>
      <c r="DN31" s="2104"/>
      <c r="DO31" s="2105">
        <f t="shared" si="25"/>
        <v>0</v>
      </c>
      <c r="DP31" s="2103">
        <v>3393.5</v>
      </c>
      <c r="DQ31" s="2104">
        <v>2341.52</v>
      </c>
      <c r="DR31" s="2104">
        <v>1051.99</v>
      </c>
      <c r="DS31" s="2104">
        <v>-0.01</v>
      </c>
      <c r="DT31" s="2104">
        <v>0</v>
      </c>
      <c r="DU31" s="2118">
        <f t="shared" si="26"/>
        <v>6787</v>
      </c>
      <c r="DV31" s="2103">
        <v>3671.34</v>
      </c>
      <c r="DW31" s="2104">
        <v>0</v>
      </c>
      <c r="DX31" s="2104">
        <v>673.43</v>
      </c>
      <c r="DY31" s="2104">
        <v>0.05</v>
      </c>
      <c r="DZ31" s="2104">
        <v>0</v>
      </c>
      <c r="EA31" s="2105">
        <f t="shared" si="27"/>
        <v>4344.8200000000006</v>
      </c>
    </row>
    <row r="32" spans="1:131" s="2049" customFormat="1" ht="15" customHeight="1" x14ac:dyDescent="0.25">
      <c r="A32" s="2089" t="s">
        <v>72</v>
      </c>
      <c r="B32" s="2090" t="s">
        <v>73</v>
      </c>
      <c r="C32" s="2091" t="s">
        <v>266</v>
      </c>
      <c r="D32" s="2092">
        <f t="shared" si="28"/>
        <v>25622.763230464639</v>
      </c>
      <c r="E32" s="2093">
        <f t="shared" si="29"/>
        <v>8422.6267695353636</v>
      </c>
      <c r="F32" s="2093">
        <f t="shared" si="30"/>
        <v>5662.31</v>
      </c>
      <c r="G32" s="2093">
        <f t="shared" si="31"/>
        <v>-3.9999999999999994E-2</v>
      </c>
      <c r="H32" s="2093">
        <f t="shared" si="32"/>
        <v>0</v>
      </c>
      <c r="I32" s="2093">
        <f t="shared" si="5"/>
        <v>39707.659999999996</v>
      </c>
      <c r="J32" s="2093">
        <f t="shared" si="6"/>
        <v>-3.9999999999999994E-2</v>
      </c>
      <c r="K32" s="2094">
        <f t="shared" si="7"/>
        <v>5662.27</v>
      </c>
      <c r="L32" s="2095"/>
      <c r="M32" s="2096"/>
      <c r="N32" s="2096"/>
      <c r="O32" s="2096"/>
      <c r="P32" s="2096"/>
      <c r="Q32" s="2097">
        <f t="shared" si="8"/>
        <v>0</v>
      </c>
      <c r="R32" s="2101"/>
      <c r="S32" s="2102"/>
      <c r="T32" s="2102"/>
      <c r="U32" s="2102"/>
      <c r="V32" s="2102"/>
      <c r="W32" s="2100">
        <f t="shared" si="9"/>
        <v>0</v>
      </c>
      <c r="X32" s="2101">
        <v>40.32</v>
      </c>
      <c r="Y32" s="2102">
        <v>0.24</v>
      </c>
      <c r="Z32" s="2102">
        <v>7.44</v>
      </c>
      <c r="AA32" s="2102">
        <v>0</v>
      </c>
      <c r="AB32" s="2102">
        <v>0</v>
      </c>
      <c r="AC32" s="2100">
        <f t="shared" si="10"/>
        <v>48</v>
      </c>
      <c r="AD32" s="2103">
        <v>6291.5</v>
      </c>
      <c r="AE32" s="2104">
        <v>0</v>
      </c>
      <c r="AF32" s="2104">
        <v>1572.9</v>
      </c>
      <c r="AG32" s="2104">
        <v>0</v>
      </c>
      <c r="AH32" s="2104">
        <v>0</v>
      </c>
      <c r="AI32" s="2105">
        <f t="shared" si="11"/>
        <v>7864.4</v>
      </c>
      <c r="AJ32" s="2098"/>
      <c r="AK32" s="2099"/>
      <c r="AL32" s="2099"/>
      <c r="AM32" s="2099"/>
      <c r="AN32" s="2099"/>
      <c r="AO32" s="2106">
        <f t="shared" si="12"/>
        <v>0</v>
      </c>
      <c r="AP32" s="2098">
        <v>4000</v>
      </c>
      <c r="AQ32" s="2099">
        <v>1000</v>
      </c>
      <c r="AR32" s="2099">
        <v>0</v>
      </c>
      <c r="AS32" s="2099">
        <v>0</v>
      </c>
      <c r="AT32" s="2099">
        <v>0</v>
      </c>
      <c r="AU32" s="2106">
        <f t="shared" si="13"/>
        <v>5000</v>
      </c>
      <c r="AV32" s="2121">
        <v>367.98</v>
      </c>
      <c r="AW32" s="2122">
        <v>92</v>
      </c>
      <c r="AX32" s="2122">
        <v>0</v>
      </c>
      <c r="AY32" s="2122">
        <v>0</v>
      </c>
      <c r="AZ32" s="2123">
        <v>0</v>
      </c>
      <c r="BA32" s="2110">
        <f t="shared" si="14"/>
        <v>459.98</v>
      </c>
      <c r="BB32" s="2119"/>
      <c r="BC32" s="2120"/>
      <c r="BD32" s="2120"/>
      <c r="BE32" s="2120"/>
      <c r="BF32" s="2120"/>
      <c r="BG32" s="2114">
        <f t="shared" si="15"/>
        <v>0</v>
      </c>
      <c r="BH32" s="2103">
        <v>13954.6</v>
      </c>
      <c r="BI32" s="2104">
        <v>1767.59</v>
      </c>
      <c r="BJ32" s="2104">
        <v>2883.98</v>
      </c>
      <c r="BK32" s="2104">
        <v>-0.06</v>
      </c>
      <c r="BL32" s="2104">
        <v>0</v>
      </c>
      <c r="BM32" s="2117">
        <f t="shared" si="16"/>
        <v>18606.11</v>
      </c>
      <c r="BN32" s="2103"/>
      <c r="BO32" s="2104"/>
      <c r="BP32" s="2104"/>
      <c r="BQ32" s="2104"/>
      <c r="BR32" s="2104"/>
      <c r="BS32" s="2105">
        <f t="shared" si="17"/>
        <v>0</v>
      </c>
      <c r="BT32" s="2103">
        <v>985.27323046463744</v>
      </c>
      <c r="BU32" s="2104">
        <v>5562.7967695353627</v>
      </c>
      <c r="BV32" s="2104">
        <v>1201.0999999999999</v>
      </c>
      <c r="BW32" s="2104">
        <v>0</v>
      </c>
      <c r="BX32" s="2104">
        <v>0</v>
      </c>
      <c r="BY32" s="2105">
        <f t="shared" si="18"/>
        <v>7749.17</v>
      </c>
      <c r="BZ32" s="2115"/>
      <c r="CA32" s="2116"/>
      <c r="CB32" s="2116"/>
      <c r="CC32" s="2116"/>
      <c r="CD32" s="2116"/>
      <c r="CE32" s="2105">
        <f t="shared" si="19"/>
        <v>0</v>
      </c>
      <c r="CF32" s="2115"/>
      <c r="CG32" s="2116"/>
      <c r="CH32" s="2116"/>
      <c r="CI32" s="2116"/>
      <c r="CJ32" s="2116"/>
      <c r="CK32" s="2117">
        <f t="shared" si="20"/>
        <v>0</v>
      </c>
      <c r="CL32" s="2103"/>
      <c r="CM32" s="2104"/>
      <c r="CN32" s="2104"/>
      <c r="CO32" s="2104"/>
      <c r="CP32" s="2104"/>
      <c r="CQ32" s="2105">
        <f t="shared" si="21"/>
        <v>0</v>
      </c>
      <c r="CR32" s="2103"/>
      <c r="CS32" s="2104"/>
      <c r="CT32" s="2104"/>
      <c r="CU32" s="2104"/>
      <c r="CV32" s="2104"/>
      <c r="CW32" s="2117">
        <f t="shared" si="22"/>
        <v>0</v>
      </c>
      <c r="CX32" s="2103"/>
      <c r="CY32" s="2104"/>
      <c r="CZ32" s="2104"/>
      <c r="DA32" s="2104"/>
      <c r="DB32" s="2104"/>
      <c r="DC32" s="2105">
        <f t="shared" si="23"/>
        <v>0</v>
      </c>
      <c r="DD32" s="2103"/>
      <c r="DE32" s="2104"/>
      <c r="DF32" s="2104"/>
      <c r="DG32" s="2104"/>
      <c r="DH32" s="2104"/>
      <c r="DI32" s="2105">
        <f t="shared" si="24"/>
        <v>0</v>
      </c>
      <c r="DJ32" s="2103"/>
      <c r="DK32" s="2104"/>
      <c r="DL32" s="2104"/>
      <c r="DM32" s="2104"/>
      <c r="DN32" s="2104"/>
      <c r="DO32" s="2105">
        <f t="shared" si="25"/>
        <v>0</v>
      </c>
      <c r="DP32" s="2103"/>
      <c r="DQ32" s="2104"/>
      <c r="DR32" s="2104"/>
      <c r="DS32" s="2104"/>
      <c r="DT32" s="2104"/>
      <c r="DU32" s="2118">
        <f t="shared" si="26"/>
        <v>0</v>
      </c>
      <c r="DV32" s="2115">
        <v>-16.91</v>
      </c>
      <c r="DW32" s="2116">
        <v>0</v>
      </c>
      <c r="DX32" s="2116">
        <v>-3.11</v>
      </c>
      <c r="DY32" s="2116">
        <v>0.02</v>
      </c>
      <c r="DZ32" s="2116">
        <v>0</v>
      </c>
      <c r="EA32" s="2105">
        <f t="shared" si="27"/>
        <v>-20</v>
      </c>
    </row>
    <row r="33" spans="1:131" s="2049" customFormat="1" ht="15" customHeight="1" x14ac:dyDescent="0.25">
      <c r="A33" s="2089" t="s">
        <v>74</v>
      </c>
      <c r="B33" s="2090" t="s">
        <v>302</v>
      </c>
      <c r="C33" s="2091" t="s">
        <v>267</v>
      </c>
      <c r="D33" s="2092">
        <f t="shared" si="28"/>
        <v>1161601.2307485263</v>
      </c>
      <c r="E33" s="2093">
        <f t="shared" si="29"/>
        <v>454814.61925147398</v>
      </c>
      <c r="F33" s="2093">
        <f t="shared" si="30"/>
        <v>363004.2</v>
      </c>
      <c r="G33" s="2093">
        <f t="shared" si="31"/>
        <v>-6066.55</v>
      </c>
      <c r="H33" s="2093">
        <f t="shared" si="32"/>
        <v>1278386.1599999999</v>
      </c>
      <c r="I33" s="2093">
        <f t="shared" si="5"/>
        <v>3251739.66</v>
      </c>
      <c r="J33" s="2093">
        <f t="shared" si="6"/>
        <v>1272319.6099999999</v>
      </c>
      <c r="K33" s="2094">
        <f t="shared" si="7"/>
        <v>1635323.8099999998</v>
      </c>
      <c r="L33" s="2095"/>
      <c r="M33" s="2096"/>
      <c r="N33" s="2096"/>
      <c r="O33" s="2096"/>
      <c r="P33" s="2096"/>
      <c r="Q33" s="2097">
        <f t="shared" si="8"/>
        <v>0</v>
      </c>
      <c r="R33" s="2101"/>
      <c r="S33" s="2102"/>
      <c r="T33" s="2102"/>
      <c r="U33" s="2102"/>
      <c r="V33" s="2102"/>
      <c r="W33" s="2100">
        <f t="shared" si="9"/>
        <v>0</v>
      </c>
      <c r="X33" s="2101">
        <v>145877.57</v>
      </c>
      <c r="Y33" s="2102">
        <v>868.32</v>
      </c>
      <c r="Z33" s="2102">
        <v>26917.88</v>
      </c>
      <c r="AA33" s="2102">
        <v>0</v>
      </c>
      <c r="AB33" s="2102">
        <v>0</v>
      </c>
      <c r="AC33" s="2100">
        <f t="shared" si="10"/>
        <v>173663.77000000002</v>
      </c>
      <c r="AD33" s="2103">
        <v>615200.01</v>
      </c>
      <c r="AE33" s="2104">
        <v>0</v>
      </c>
      <c r="AF33" s="2104">
        <v>153799.99</v>
      </c>
      <c r="AG33" s="2104">
        <v>0</v>
      </c>
      <c r="AH33" s="2104">
        <v>1216920.48</v>
      </c>
      <c r="AI33" s="2105">
        <f t="shared" si="11"/>
        <v>1985920.48</v>
      </c>
      <c r="AJ33" s="2101">
        <v>17194.03</v>
      </c>
      <c r="AK33" s="2102">
        <v>5065.6000000000004</v>
      </c>
      <c r="AL33" s="2102">
        <v>4083.13</v>
      </c>
      <c r="AM33" s="2102">
        <v>-0.01</v>
      </c>
      <c r="AN33" s="2102">
        <v>0</v>
      </c>
      <c r="AO33" s="2106">
        <f t="shared" si="12"/>
        <v>26342.75</v>
      </c>
      <c r="AP33" s="2101">
        <v>60200.82</v>
      </c>
      <c r="AQ33" s="2102">
        <v>15050.2</v>
      </c>
      <c r="AR33" s="2102">
        <v>0</v>
      </c>
      <c r="AS33" s="2102">
        <v>0</v>
      </c>
      <c r="AT33" s="2102">
        <v>0</v>
      </c>
      <c r="AU33" s="2106">
        <f t="shared" si="13"/>
        <v>75251.02</v>
      </c>
      <c r="AV33" s="2107">
        <v>30172.48</v>
      </c>
      <c r="AW33" s="2108">
        <v>7543.11</v>
      </c>
      <c r="AX33" s="2108">
        <v>0</v>
      </c>
      <c r="AY33" s="2108">
        <v>0</v>
      </c>
      <c r="AZ33" s="2109">
        <v>0</v>
      </c>
      <c r="BA33" s="2110">
        <f t="shared" si="14"/>
        <v>37715.589999999997</v>
      </c>
      <c r="BB33" s="2111">
        <v>6030.28</v>
      </c>
      <c r="BC33" s="2112">
        <v>10889.72</v>
      </c>
      <c r="BD33" s="2112">
        <v>0</v>
      </c>
      <c r="BE33" s="2112">
        <v>0</v>
      </c>
      <c r="BF33" s="2113">
        <v>285</v>
      </c>
      <c r="BG33" s="2114">
        <f t="shared" si="15"/>
        <v>17205</v>
      </c>
      <c r="BH33" s="2103">
        <v>26811.61</v>
      </c>
      <c r="BI33" s="2104">
        <v>3396.14</v>
      </c>
      <c r="BJ33" s="2104">
        <v>5541.06</v>
      </c>
      <c r="BK33" s="2104">
        <v>-0.03</v>
      </c>
      <c r="BL33" s="2104">
        <v>0</v>
      </c>
      <c r="BM33" s="2117">
        <f t="shared" si="16"/>
        <v>35748.78</v>
      </c>
      <c r="BN33" s="2103"/>
      <c r="BO33" s="2104"/>
      <c r="BP33" s="2104"/>
      <c r="BQ33" s="2104"/>
      <c r="BR33" s="2104"/>
      <c r="BS33" s="2105">
        <f t="shared" si="17"/>
        <v>0</v>
      </c>
      <c r="BT33" s="2103">
        <v>112146.88074852608</v>
      </c>
      <c r="BU33" s="2104">
        <v>377585.65925147396</v>
      </c>
      <c r="BV33" s="2104">
        <v>89832.8</v>
      </c>
      <c r="BW33" s="2104">
        <v>-0.47</v>
      </c>
      <c r="BX33" s="2104">
        <v>0</v>
      </c>
      <c r="BY33" s="2105">
        <f t="shared" si="18"/>
        <v>579564.87000000011</v>
      </c>
      <c r="BZ33" s="2103">
        <v>62386.6</v>
      </c>
      <c r="CA33" s="2104">
        <v>0</v>
      </c>
      <c r="CB33" s="2104">
        <v>57610.7</v>
      </c>
      <c r="CC33" s="2104">
        <v>-0.01</v>
      </c>
      <c r="CD33" s="2104">
        <v>0</v>
      </c>
      <c r="CE33" s="2105">
        <f t="shared" si="19"/>
        <v>119997.29</v>
      </c>
      <c r="CF33" s="2103">
        <v>1296.19</v>
      </c>
      <c r="CG33" s="2104">
        <v>0</v>
      </c>
      <c r="CH33" s="2104">
        <v>2443.5700000000002</v>
      </c>
      <c r="CI33" s="2104">
        <v>0</v>
      </c>
      <c r="CJ33" s="2104">
        <v>0</v>
      </c>
      <c r="CK33" s="2117">
        <f t="shared" si="20"/>
        <v>3739.76</v>
      </c>
      <c r="CL33" s="2103"/>
      <c r="CM33" s="2104"/>
      <c r="CN33" s="2104"/>
      <c r="CO33" s="2104"/>
      <c r="CP33" s="2104"/>
      <c r="CQ33" s="2105">
        <f t="shared" si="21"/>
        <v>0</v>
      </c>
      <c r="CR33" s="2103"/>
      <c r="CS33" s="2104"/>
      <c r="CT33" s="2104"/>
      <c r="CU33" s="2104"/>
      <c r="CV33" s="2104"/>
      <c r="CW33" s="2117">
        <f t="shared" si="22"/>
        <v>0</v>
      </c>
      <c r="CX33" s="2103"/>
      <c r="CY33" s="2104"/>
      <c r="CZ33" s="2104"/>
      <c r="DA33" s="2104"/>
      <c r="DB33" s="2104"/>
      <c r="DC33" s="2105">
        <f t="shared" si="23"/>
        <v>0</v>
      </c>
      <c r="DD33" s="2103">
        <v>-4321.93</v>
      </c>
      <c r="DE33" s="2104">
        <v>0</v>
      </c>
      <c r="DF33" s="2104">
        <v>0</v>
      </c>
      <c r="DG33" s="2104">
        <v>0</v>
      </c>
      <c r="DH33" s="2104">
        <v>0</v>
      </c>
      <c r="DI33" s="2105">
        <f t="shared" si="24"/>
        <v>-4321.93</v>
      </c>
      <c r="DJ33" s="2103">
        <v>-569.20000000000005</v>
      </c>
      <c r="DK33" s="2104">
        <v>-569.20000000000005</v>
      </c>
      <c r="DL33" s="2104">
        <v>0</v>
      </c>
      <c r="DM33" s="2104">
        <v>0</v>
      </c>
      <c r="DN33" s="2104">
        <v>0</v>
      </c>
      <c r="DO33" s="2105">
        <f t="shared" si="25"/>
        <v>-1138.4000000000001</v>
      </c>
      <c r="DP33" s="2103">
        <v>50703.03</v>
      </c>
      <c r="DQ33" s="2104">
        <v>34985.07</v>
      </c>
      <c r="DR33" s="2104">
        <v>15717.93</v>
      </c>
      <c r="DS33" s="2104">
        <v>-0.03</v>
      </c>
      <c r="DT33" s="2104">
        <v>0</v>
      </c>
      <c r="DU33" s="2118">
        <f t="shared" si="26"/>
        <v>101406</v>
      </c>
      <c r="DV33" s="2103">
        <v>38472.86</v>
      </c>
      <c r="DW33" s="2104">
        <v>0</v>
      </c>
      <c r="DX33" s="2104">
        <v>7057.14</v>
      </c>
      <c r="DY33" s="2104">
        <v>-6066</v>
      </c>
      <c r="DZ33" s="2104">
        <v>61180.68</v>
      </c>
      <c r="EA33" s="2105">
        <f t="shared" si="27"/>
        <v>100644.68</v>
      </c>
    </row>
    <row r="34" spans="1:131" s="2049" customFormat="1" ht="15" customHeight="1" x14ac:dyDescent="0.25">
      <c r="A34" s="2089" t="s">
        <v>76</v>
      </c>
      <c r="B34" s="2090" t="s">
        <v>77</v>
      </c>
      <c r="C34" s="2091" t="s">
        <v>267</v>
      </c>
      <c r="D34" s="2092">
        <f t="shared" si="28"/>
        <v>80218.292854152634</v>
      </c>
      <c r="E34" s="2093">
        <f t="shared" si="29"/>
        <v>20238.477145847359</v>
      </c>
      <c r="F34" s="2093">
        <f t="shared" si="30"/>
        <v>24757.200000000001</v>
      </c>
      <c r="G34" s="2093">
        <f t="shared" si="31"/>
        <v>4212.18</v>
      </c>
      <c r="H34" s="2093">
        <f t="shared" si="32"/>
        <v>0</v>
      </c>
      <c r="I34" s="2093">
        <f t="shared" si="5"/>
        <v>129426.15</v>
      </c>
      <c r="J34" s="2093">
        <f t="shared" si="6"/>
        <v>4212.18</v>
      </c>
      <c r="K34" s="2094">
        <f t="shared" si="7"/>
        <v>28969.38</v>
      </c>
      <c r="L34" s="2095"/>
      <c r="M34" s="2096"/>
      <c r="N34" s="2096"/>
      <c r="O34" s="2096"/>
      <c r="P34" s="2096"/>
      <c r="Q34" s="2097">
        <f t="shared" si="8"/>
        <v>0</v>
      </c>
      <c r="R34" s="2101">
        <v>0</v>
      </c>
      <c r="S34" s="2102">
        <v>0</v>
      </c>
      <c r="T34" s="2102">
        <v>0</v>
      </c>
      <c r="U34" s="2102">
        <v>135.30000000000001</v>
      </c>
      <c r="V34" s="2102">
        <v>0</v>
      </c>
      <c r="W34" s="2100">
        <f t="shared" si="9"/>
        <v>135.30000000000001</v>
      </c>
      <c r="X34" s="2101">
        <v>11011.26</v>
      </c>
      <c r="Y34" s="2102">
        <v>65.53</v>
      </c>
      <c r="Z34" s="2102">
        <v>2031.84</v>
      </c>
      <c r="AA34" s="2102">
        <v>0.01</v>
      </c>
      <c r="AB34" s="2102">
        <v>0</v>
      </c>
      <c r="AC34" s="2100">
        <f t="shared" si="10"/>
        <v>13108.640000000001</v>
      </c>
      <c r="AD34" s="2103">
        <v>53103.15</v>
      </c>
      <c r="AE34" s="2104">
        <v>0</v>
      </c>
      <c r="AF34" s="2104">
        <v>13275.79</v>
      </c>
      <c r="AG34" s="2104">
        <v>1164.79</v>
      </c>
      <c r="AH34" s="2104">
        <v>0</v>
      </c>
      <c r="AI34" s="2105">
        <f t="shared" si="11"/>
        <v>67543.73</v>
      </c>
      <c r="AJ34" s="2098"/>
      <c r="AK34" s="2099"/>
      <c r="AL34" s="2099"/>
      <c r="AM34" s="2099"/>
      <c r="AN34" s="2099"/>
      <c r="AO34" s="2106">
        <f t="shared" si="12"/>
        <v>0</v>
      </c>
      <c r="AP34" s="2101">
        <v>1364</v>
      </c>
      <c r="AQ34" s="2102">
        <v>341</v>
      </c>
      <c r="AR34" s="2102">
        <v>0</v>
      </c>
      <c r="AS34" s="2102">
        <v>0</v>
      </c>
      <c r="AT34" s="2102">
        <v>0</v>
      </c>
      <c r="AU34" s="2106">
        <f t="shared" si="13"/>
        <v>1705</v>
      </c>
      <c r="AV34" s="2107">
        <v>1597.45</v>
      </c>
      <c r="AW34" s="2108">
        <v>399.38</v>
      </c>
      <c r="AX34" s="2108">
        <v>0</v>
      </c>
      <c r="AY34" s="2108">
        <v>0</v>
      </c>
      <c r="AZ34" s="2109">
        <v>0</v>
      </c>
      <c r="BA34" s="2110">
        <f t="shared" si="14"/>
        <v>1996.83</v>
      </c>
      <c r="BB34" s="2119"/>
      <c r="BC34" s="2120"/>
      <c r="BD34" s="2120"/>
      <c r="BE34" s="2120"/>
      <c r="BF34" s="2120"/>
      <c r="BG34" s="2114">
        <f t="shared" si="15"/>
        <v>0</v>
      </c>
      <c r="BH34" s="2115"/>
      <c r="BI34" s="2116"/>
      <c r="BJ34" s="2116"/>
      <c r="BK34" s="2116"/>
      <c r="BL34" s="2116"/>
      <c r="BM34" s="2117">
        <f t="shared" si="16"/>
        <v>0</v>
      </c>
      <c r="BN34" s="2103"/>
      <c r="BO34" s="2104"/>
      <c r="BP34" s="2104"/>
      <c r="BQ34" s="2104"/>
      <c r="BR34" s="2104"/>
      <c r="BS34" s="2105">
        <f t="shared" si="17"/>
        <v>0</v>
      </c>
      <c r="BT34" s="2103">
        <v>3066.4228541526427</v>
      </c>
      <c r="BU34" s="2104">
        <v>19432.567145847359</v>
      </c>
      <c r="BV34" s="2104">
        <v>4127.0200000000004</v>
      </c>
      <c r="BW34" s="2104">
        <v>-0.05</v>
      </c>
      <c r="BX34" s="2104">
        <v>0</v>
      </c>
      <c r="BY34" s="2105">
        <f t="shared" si="18"/>
        <v>26625.960000000003</v>
      </c>
      <c r="BZ34" s="2103">
        <v>4694.92</v>
      </c>
      <c r="CA34" s="2104">
        <v>0</v>
      </c>
      <c r="CB34" s="2104">
        <v>4335.5</v>
      </c>
      <c r="CC34" s="2104">
        <v>0</v>
      </c>
      <c r="CD34" s="2104">
        <v>0</v>
      </c>
      <c r="CE34" s="2105">
        <f t="shared" si="19"/>
        <v>9030.42</v>
      </c>
      <c r="CF34" s="2115"/>
      <c r="CG34" s="2116"/>
      <c r="CH34" s="2116"/>
      <c r="CI34" s="2116"/>
      <c r="CJ34" s="2116"/>
      <c r="CK34" s="2117">
        <f t="shared" si="20"/>
        <v>0</v>
      </c>
      <c r="CL34" s="2103"/>
      <c r="CM34" s="2104"/>
      <c r="CN34" s="2104"/>
      <c r="CO34" s="2104"/>
      <c r="CP34" s="2104"/>
      <c r="CQ34" s="2105">
        <f t="shared" si="21"/>
        <v>0</v>
      </c>
      <c r="CR34" s="2103"/>
      <c r="CS34" s="2104"/>
      <c r="CT34" s="2104"/>
      <c r="CU34" s="2104"/>
      <c r="CV34" s="2104"/>
      <c r="CW34" s="2117">
        <f t="shared" si="22"/>
        <v>0</v>
      </c>
      <c r="CX34" s="2103"/>
      <c r="CY34" s="2104"/>
      <c r="CZ34" s="2104"/>
      <c r="DA34" s="2104"/>
      <c r="DB34" s="2104"/>
      <c r="DC34" s="2105">
        <f t="shared" si="23"/>
        <v>0</v>
      </c>
      <c r="DD34" s="2103"/>
      <c r="DE34" s="2104"/>
      <c r="DF34" s="2104"/>
      <c r="DG34" s="2104"/>
      <c r="DH34" s="2104"/>
      <c r="DI34" s="2105">
        <f t="shared" si="24"/>
        <v>0</v>
      </c>
      <c r="DJ34" s="2103"/>
      <c r="DK34" s="2104"/>
      <c r="DL34" s="2104"/>
      <c r="DM34" s="2104"/>
      <c r="DN34" s="2104"/>
      <c r="DO34" s="2105">
        <f t="shared" si="25"/>
        <v>0</v>
      </c>
      <c r="DP34" s="2103"/>
      <c r="DQ34" s="2104"/>
      <c r="DR34" s="2104"/>
      <c r="DS34" s="2104"/>
      <c r="DT34" s="2104"/>
      <c r="DU34" s="2118">
        <f t="shared" si="26"/>
        <v>0</v>
      </c>
      <c r="DV34" s="2103">
        <v>5381.09</v>
      </c>
      <c r="DW34" s="2104">
        <v>0</v>
      </c>
      <c r="DX34" s="2104">
        <v>987.05</v>
      </c>
      <c r="DY34" s="2104">
        <v>2912.13</v>
      </c>
      <c r="DZ34" s="2104">
        <v>0</v>
      </c>
      <c r="EA34" s="2105">
        <f t="shared" si="27"/>
        <v>9280.27</v>
      </c>
    </row>
    <row r="35" spans="1:131" s="2049" customFormat="1" ht="15" customHeight="1" x14ac:dyDescent="0.25">
      <c r="A35" s="2089" t="s">
        <v>78</v>
      </c>
      <c r="B35" s="2090" t="s">
        <v>79</v>
      </c>
      <c r="C35" s="2091" t="s">
        <v>268</v>
      </c>
      <c r="D35" s="2092">
        <f t="shared" si="28"/>
        <v>11557.674521596191</v>
      </c>
      <c r="E35" s="2093">
        <f t="shared" si="29"/>
        <v>12233.43547840381</v>
      </c>
      <c r="F35" s="2093">
        <f t="shared" si="30"/>
        <v>4672.71</v>
      </c>
      <c r="G35" s="2093">
        <f t="shared" si="31"/>
        <v>-0.06</v>
      </c>
      <c r="H35" s="2093">
        <f t="shared" si="32"/>
        <v>0</v>
      </c>
      <c r="I35" s="2093">
        <f t="shared" si="5"/>
        <v>28463.759999999998</v>
      </c>
      <c r="J35" s="2093">
        <f t="shared" si="6"/>
        <v>-0.06</v>
      </c>
      <c r="K35" s="2094">
        <f t="shared" si="7"/>
        <v>4672.6499999999996</v>
      </c>
      <c r="L35" s="2095"/>
      <c r="M35" s="2096"/>
      <c r="N35" s="2096"/>
      <c r="O35" s="2096"/>
      <c r="P35" s="2096"/>
      <c r="Q35" s="2097">
        <f t="shared" si="8"/>
        <v>0</v>
      </c>
      <c r="R35" s="2098"/>
      <c r="S35" s="2099"/>
      <c r="T35" s="2099"/>
      <c r="U35" s="2099"/>
      <c r="V35" s="2099"/>
      <c r="W35" s="2100">
        <f t="shared" si="9"/>
        <v>0</v>
      </c>
      <c r="X35" s="2101">
        <v>787.08</v>
      </c>
      <c r="Y35" s="2102">
        <v>4.6900000000000004</v>
      </c>
      <c r="Z35" s="2102">
        <v>145.24</v>
      </c>
      <c r="AA35" s="2102">
        <v>-0.01</v>
      </c>
      <c r="AB35" s="2102">
        <v>0</v>
      </c>
      <c r="AC35" s="2100">
        <f t="shared" si="10"/>
        <v>937.00000000000011</v>
      </c>
      <c r="AD35" s="2103">
        <v>7458.59</v>
      </c>
      <c r="AE35" s="2104">
        <v>0</v>
      </c>
      <c r="AF35" s="2104">
        <v>1864.62</v>
      </c>
      <c r="AG35" s="2104">
        <v>0</v>
      </c>
      <c r="AH35" s="2104">
        <v>0</v>
      </c>
      <c r="AI35" s="2105">
        <f t="shared" si="11"/>
        <v>9323.2099999999991</v>
      </c>
      <c r="AJ35" s="2098"/>
      <c r="AK35" s="2099"/>
      <c r="AL35" s="2099"/>
      <c r="AM35" s="2099"/>
      <c r="AN35" s="2099"/>
      <c r="AO35" s="2106">
        <f t="shared" si="12"/>
        <v>0</v>
      </c>
      <c r="AP35" s="2101"/>
      <c r="AQ35" s="2102"/>
      <c r="AR35" s="2102"/>
      <c r="AS35" s="2102"/>
      <c r="AT35" s="2102"/>
      <c r="AU35" s="2106">
        <f t="shared" si="13"/>
        <v>0</v>
      </c>
      <c r="AV35" s="2107">
        <v>819.2</v>
      </c>
      <c r="AW35" s="2108">
        <v>204.8</v>
      </c>
      <c r="AX35" s="2108">
        <v>0</v>
      </c>
      <c r="AY35" s="2108">
        <v>0</v>
      </c>
      <c r="AZ35" s="2109">
        <v>0</v>
      </c>
      <c r="BA35" s="2110">
        <f t="shared" si="14"/>
        <v>1024</v>
      </c>
      <c r="BB35" s="2119"/>
      <c r="BC35" s="2120"/>
      <c r="BD35" s="2120"/>
      <c r="BE35" s="2120"/>
      <c r="BF35" s="2120"/>
      <c r="BG35" s="2114">
        <f t="shared" si="15"/>
        <v>0</v>
      </c>
      <c r="BH35" s="2103"/>
      <c r="BI35" s="2104"/>
      <c r="BJ35" s="2104"/>
      <c r="BK35" s="2104"/>
      <c r="BL35" s="2104"/>
      <c r="BM35" s="2117">
        <f t="shared" si="16"/>
        <v>0</v>
      </c>
      <c r="BN35" s="2103"/>
      <c r="BO35" s="2104"/>
      <c r="BP35" s="2104"/>
      <c r="BQ35" s="2104"/>
      <c r="BR35" s="2104"/>
      <c r="BS35" s="2105">
        <f t="shared" si="17"/>
        <v>0</v>
      </c>
      <c r="BT35" s="2103">
        <v>1966.8745215961899</v>
      </c>
      <c r="BU35" s="2104">
        <v>12023.94547840381</v>
      </c>
      <c r="BV35" s="2104">
        <v>2566.39</v>
      </c>
      <c r="BW35" s="2104">
        <v>-0.08</v>
      </c>
      <c r="BX35" s="2104">
        <v>0</v>
      </c>
      <c r="BY35" s="2105">
        <f t="shared" si="18"/>
        <v>16557.129999999997</v>
      </c>
      <c r="BZ35" s="2115"/>
      <c r="CA35" s="2116"/>
      <c r="CB35" s="2116"/>
      <c r="CC35" s="2116"/>
      <c r="CD35" s="2116"/>
      <c r="CE35" s="2105">
        <f t="shared" si="19"/>
        <v>0</v>
      </c>
      <c r="CF35" s="2115"/>
      <c r="CG35" s="2116"/>
      <c r="CH35" s="2116"/>
      <c r="CI35" s="2116"/>
      <c r="CJ35" s="2116"/>
      <c r="CK35" s="2117">
        <f t="shared" si="20"/>
        <v>0</v>
      </c>
      <c r="CL35" s="2103"/>
      <c r="CM35" s="2104"/>
      <c r="CN35" s="2104"/>
      <c r="CO35" s="2104"/>
      <c r="CP35" s="2104"/>
      <c r="CQ35" s="2105">
        <f t="shared" si="21"/>
        <v>0</v>
      </c>
      <c r="CR35" s="2103"/>
      <c r="CS35" s="2104"/>
      <c r="CT35" s="2104"/>
      <c r="CU35" s="2104"/>
      <c r="CV35" s="2104"/>
      <c r="CW35" s="2117">
        <f t="shared" si="22"/>
        <v>0</v>
      </c>
      <c r="CX35" s="2103"/>
      <c r="CY35" s="2104"/>
      <c r="CZ35" s="2104"/>
      <c r="DA35" s="2104"/>
      <c r="DB35" s="2104"/>
      <c r="DC35" s="2105">
        <f t="shared" si="23"/>
        <v>0</v>
      </c>
      <c r="DD35" s="2103"/>
      <c r="DE35" s="2104"/>
      <c r="DF35" s="2104"/>
      <c r="DG35" s="2104"/>
      <c r="DH35" s="2104"/>
      <c r="DI35" s="2105">
        <f t="shared" si="24"/>
        <v>0</v>
      </c>
      <c r="DJ35" s="2103"/>
      <c r="DK35" s="2104"/>
      <c r="DL35" s="2104"/>
      <c r="DM35" s="2104"/>
      <c r="DN35" s="2104"/>
      <c r="DO35" s="2105">
        <f t="shared" si="25"/>
        <v>0</v>
      </c>
      <c r="DP35" s="2103"/>
      <c r="DQ35" s="2104"/>
      <c r="DR35" s="2104"/>
      <c r="DS35" s="2104"/>
      <c r="DT35" s="2104"/>
      <c r="DU35" s="2118">
        <f t="shared" si="26"/>
        <v>0</v>
      </c>
      <c r="DV35" s="2115">
        <v>525.92999999999995</v>
      </c>
      <c r="DW35" s="2116">
        <v>0</v>
      </c>
      <c r="DX35" s="2116">
        <v>96.46</v>
      </c>
      <c r="DY35" s="2116">
        <v>0.03</v>
      </c>
      <c r="DZ35" s="2116">
        <v>0</v>
      </c>
      <c r="EA35" s="2105">
        <f t="shared" si="27"/>
        <v>622.41999999999996</v>
      </c>
    </row>
    <row r="36" spans="1:131" s="2049" customFormat="1" ht="15" customHeight="1" x14ac:dyDescent="0.25">
      <c r="A36" s="2089" t="s">
        <v>80</v>
      </c>
      <c r="B36" s="2090" t="s">
        <v>81</v>
      </c>
      <c r="C36" s="2091" t="s">
        <v>266</v>
      </c>
      <c r="D36" s="2092">
        <f t="shared" si="28"/>
        <v>36053.654018453955</v>
      </c>
      <c r="E36" s="2093">
        <f t="shared" si="29"/>
        <v>6081.6059815460485</v>
      </c>
      <c r="F36" s="2093">
        <f t="shared" si="30"/>
        <v>7627.380000000001</v>
      </c>
      <c r="G36" s="2093">
        <f t="shared" si="31"/>
        <v>-0.12000000000000001</v>
      </c>
      <c r="H36" s="2093">
        <f t="shared" si="32"/>
        <v>0</v>
      </c>
      <c r="I36" s="2093">
        <f t="shared" si="5"/>
        <v>49762.52</v>
      </c>
      <c r="J36" s="2093">
        <f t="shared" si="6"/>
        <v>-0.12000000000000001</v>
      </c>
      <c r="K36" s="2094">
        <f t="shared" si="7"/>
        <v>7627.2600000000011</v>
      </c>
      <c r="L36" s="2095"/>
      <c r="M36" s="2096"/>
      <c r="N36" s="2096"/>
      <c r="O36" s="2096"/>
      <c r="P36" s="2096"/>
      <c r="Q36" s="2097">
        <f t="shared" si="8"/>
        <v>0</v>
      </c>
      <c r="R36" s="2098"/>
      <c r="S36" s="2099"/>
      <c r="T36" s="2099"/>
      <c r="U36" s="2099"/>
      <c r="V36" s="2099"/>
      <c r="W36" s="2100">
        <f t="shared" si="9"/>
        <v>0</v>
      </c>
      <c r="X36" s="2101">
        <v>9185.3700000000008</v>
      </c>
      <c r="Y36" s="2102">
        <v>54.67</v>
      </c>
      <c r="Z36" s="2102">
        <v>1694.92</v>
      </c>
      <c r="AA36" s="2102">
        <v>0.01</v>
      </c>
      <c r="AB36" s="2102">
        <v>0</v>
      </c>
      <c r="AC36" s="2100">
        <f t="shared" si="10"/>
        <v>10934.970000000001</v>
      </c>
      <c r="AD36" s="2103">
        <v>5130.46</v>
      </c>
      <c r="AE36" s="2104">
        <v>0</v>
      </c>
      <c r="AF36" s="2104">
        <v>1282.5899999999999</v>
      </c>
      <c r="AG36" s="2104">
        <v>0</v>
      </c>
      <c r="AH36" s="2104">
        <v>0</v>
      </c>
      <c r="AI36" s="2105">
        <f t="shared" si="11"/>
        <v>6413.05</v>
      </c>
      <c r="AJ36" s="2098"/>
      <c r="AK36" s="2099"/>
      <c r="AL36" s="2099"/>
      <c r="AM36" s="2099"/>
      <c r="AN36" s="2099"/>
      <c r="AO36" s="2106">
        <f t="shared" si="12"/>
        <v>0</v>
      </c>
      <c r="AP36" s="2101">
        <v>2085.52</v>
      </c>
      <c r="AQ36" s="2102">
        <v>521.38</v>
      </c>
      <c r="AR36" s="2102">
        <v>0</v>
      </c>
      <c r="AS36" s="2102">
        <v>0</v>
      </c>
      <c r="AT36" s="2102">
        <v>0</v>
      </c>
      <c r="AU36" s="2106">
        <f t="shared" si="13"/>
        <v>2606.9</v>
      </c>
      <c r="AV36" s="2107">
        <v>309.70999999999998</v>
      </c>
      <c r="AW36" s="2108">
        <v>77.42</v>
      </c>
      <c r="AX36" s="2108">
        <v>0</v>
      </c>
      <c r="AY36" s="2108">
        <v>0</v>
      </c>
      <c r="AZ36" s="2109">
        <v>0</v>
      </c>
      <c r="BA36" s="2110">
        <f t="shared" si="14"/>
        <v>387.13</v>
      </c>
      <c r="BB36" s="2119">
        <v>26.73</v>
      </c>
      <c r="BC36" s="2120">
        <v>48.27</v>
      </c>
      <c r="BD36" s="2120">
        <v>0</v>
      </c>
      <c r="BE36" s="2120">
        <v>0</v>
      </c>
      <c r="BF36" s="2120">
        <v>0</v>
      </c>
      <c r="BG36" s="2114">
        <f t="shared" si="15"/>
        <v>75</v>
      </c>
      <c r="BH36" s="2103">
        <v>12606.64</v>
      </c>
      <c r="BI36" s="2104">
        <v>1596.88</v>
      </c>
      <c r="BJ36" s="2104">
        <v>2605.41</v>
      </c>
      <c r="BK36" s="2104">
        <v>-0.11</v>
      </c>
      <c r="BL36" s="2104">
        <v>0</v>
      </c>
      <c r="BM36" s="2117">
        <f t="shared" si="16"/>
        <v>16808.82</v>
      </c>
      <c r="BN36" s="2103"/>
      <c r="BO36" s="2104"/>
      <c r="BP36" s="2104"/>
      <c r="BQ36" s="2104"/>
      <c r="BR36" s="2104"/>
      <c r="BS36" s="2105">
        <f t="shared" si="17"/>
        <v>0</v>
      </c>
      <c r="BT36" s="2103">
        <v>548.40401845395172</v>
      </c>
      <c r="BU36" s="2104">
        <v>1548.1159815460483</v>
      </c>
      <c r="BV36" s="2104">
        <v>384.56</v>
      </c>
      <c r="BW36" s="2104">
        <v>-0.04</v>
      </c>
      <c r="BX36" s="2104">
        <v>0</v>
      </c>
      <c r="BY36" s="2105">
        <f t="shared" si="18"/>
        <v>2481.04</v>
      </c>
      <c r="BZ36" s="2103"/>
      <c r="CA36" s="2104"/>
      <c r="CB36" s="2104"/>
      <c r="CC36" s="2104"/>
      <c r="CD36" s="2104"/>
      <c r="CE36" s="2105">
        <f t="shared" si="19"/>
        <v>0</v>
      </c>
      <c r="CF36" s="2115"/>
      <c r="CG36" s="2116"/>
      <c r="CH36" s="2116"/>
      <c r="CI36" s="2116"/>
      <c r="CJ36" s="2116"/>
      <c r="CK36" s="2117">
        <f t="shared" si="20"/>
        <v>0</v>
      </c>
      <c r="CL36" s="2103"/>
      <c r="CM36" s="2104"/>
      <c r="CN36" s="2104"/>
      <c r="CO36" s="2104"/>
      <c r="CP36" s="2104"/>
      <c r="CQ36" s="2105">
        <f t="shared" si="21"/>
        <v>0</v>
      </c>
      <c r="CR36" s="2103"/>
      <c r="CS36" s="2104"/>
      <c r="CT36" s="2104"/>
      <c r="CU36" s="2104"/>
      <c r="CV36" s="2104"/>
      <c r="CW36" s="2117">
        <f t="shared" si="22"/>
        <v>0</v>
      </c>
      <c r="CX36" s="2103">
        <v>-326.75</v>
      </c>
      <c r="CY36" s="2104">
        <v>-326.75</v>
      </c>
      <c r="CZ36" s="2104">
        <v>0</v>
      </c>
      <c r="DA36" s="2104">
        <v>0</v>
      </c>
      <c r="DB36" s="2104">
        <v>0</v>
      </c>
      <c r="DC36" s="2105">
        <f t="shared" si="23"/>
        <v>-653.5</v>
      </c>
      <c r="DD36" s="2103"/>
      <c r="DE36" s="2104"/>
      <c r="DF36" s="2104"/>
      <c r="DG36" s="2104"/>
      <c r="DH36" s="2104"/>
      <c r="DI36" s="2105">
        <f t="shared" si="24"/>
        <v>0</v>
      </c>
      <c r="DJ36" s="2103"/>
      <c r="DK36" s="2104"/>
      <c r="DL36" s="2104"/>
      <c r="DM36" s="2104"/>
      <c r="DN36" s="2104"/>
      <c r="DO36" s="2105">
        <f t="shared" si="25"/>
        <v>0</v>
      </c>
      <c r="DP36" s="2103">
        <v>3712.5</v>
      </c>
      <c r="DQ36" s="2104">
        <v>2561.62</v>
      </c>
      <c r="DR36" s="2104">
        <v>1150.8800000000001</v>
      </c>
      <c r="DS36" s="2104">
        <v>0</v>
      </c>
      <c r="DT36" s="2104">
        <v>0</v>
      </c>
      <c r="DU36" s="2118">
        <f t="shared" si="26"/>
        <v>7425</v>
      </c>
      <c r="DV36" s="2103">
        <v>2775.07</v>
      </c>
      <c r="DW36" s="2104">
        <v>0</v>
      </c>
      <c r="DX36" s="2104">
        <v>509.02</v>
      </c>
      <c r="DY36" s="2104">
        <v>0.02</v>
      </c>
      <c r="DZ36" s="2104">
        <v>0</v>
      </c>
      <c r="EA36" s="2105">
        <f t="shared" si="27"/>
        <v>3284.11</v>
      </c>
    </row>
    <row r="37" spans="1:131" s="2049" customFormat="1" ht="15" customHeight="1" x14ac:dyDescent="0.25">
      <c r="A37" s="2089" t="s">
        <v>84</v>
      </c>
      <c r="B37" s="2090" t="s">
        <v>308</v>
      </c>
      <c r="C37" s="2091" t="s">
        <v>265</v>
      </c>
      <c r="D37" s="2092">
        <f t="shared" si="28"/>
        <v>98683.449814661493</v>
      </c>
      <c r="E37" s="2093">
        <f t="shared" si="29"/>
        <v>70861.160185338536</v>
      </c>
      <c r="F37" s="2093">
        <f t="shared" si="30"/>
        <v>29601.170000000002</v>
      </c>
      <c r="G37" s="2093">
        <f t="shared" si="31"/>
        <v>-0.13999999999999996</v>
      </c>
      <c r="H37" s="2093">
        <f t="shared" si="32"/>
        <v>0</v>
      </c>
      <c r="I37" s="2093">
        <f t="shared" ref="I37:I68" si="33">SUM(D37:H37)</f>
        <v>199145.64000000004</v>
      </c>
      <c r="J37" s="2093">
        <f t="shared" ref="J37:J68" si="34">G37+H37</f>
        <v>-0.13999999999999996</v>
      </c>
      <c r="K37" s="2094">
        <f t="shared" ref="K37:K68" si="35">F37+J37</f>
        <v>29601.030000000002</v>
      </c>
      <c r="L37" s="2095"/>
      <c r="M37" s="2096"/>
      <c r="N37" s="2096"/>
      <c r="O37" s="2096"/>
      <c r="P37" s="2096"/>
      <c r="Q37" s="2097">
        <f t="shared" ref="Q37:Q68" si="36">SUM(L37:P37)</f>
        <v>0</v>
      </c>
      <c r="R37" s="2098"/>
      <c r="S37" s="2099"/>
      <c r="T37" s="2099"/>
      <c r="U37" s="2099"/>
      <c r="V37" s="2099"/>
      <c r="W37" s="2100">
        <f t="shared" ref="W37:W68" si="37">SUM(R37:V37)</f>
        <v>0</v>
      </c>
      <c r="X37" s="2101">
        <v>8135.61</v>
      </c>
      <c r="Y37" s="2102">
        <v>48.43</v>
      </c>
      <c r="Z37" s="2102">
        <v>1501.23</v>
      </c>
      <c r="AA37" s="2102">
        <v>-0.02</v>
      </c>
      <c r="AB37" s="2102">
        <v>0</v>
      </c>
      <c r="AC37" s="2100">
        <f t="shared" ref="AC37:AC68" si="38">SUM(X37:AB37)</f>
        <v>9685.25</v>
      </c>
      <c r="AD37" s="2103">
        <v>25520.9</v>
      </c>
      <c r="AE37" s="2104">
        <v>0</v>
      </c>
      <c r="AF37" s="2104">
        <v>6380.22</v>
      </c>
      <c r="AG37" s="2104">
        <v>0</v>
      </c>
      <c r="AH37" s="2104">
        <v>0</v>
      </c>
      <c r="AI37" s="2105">
        <f t="shared" ref="AI37:AI68" si="39">SUM(AD37:AH37)</f>
        <v>31901.120000000003</v>
      </c>
      <c r="AJ37" s="2098"/>
      <c r="AK37" s="2099"/>
      <c r="AL37" s="2099"/>
      <c r="AM37" s="2099"/>
      <c r="AN37" s="2099"/>
      <c r="AO37" s="2106">
        <f t="shared" ref="AO37:AO68" si="40">SUM(AJ37:AN37)</f>
        <v>0</v>
      </c>
      <c r="AP37" s="2101">
        <v>4663.33</v>
      </c>
      <c r="AQ37" s="2102">
        <v>1165.8399999999999</v>
      </c>
      <c r="AR37" s="2102">
        <v>0</v>
      </c>
      <c r="AS37" s="2102">
        <v>0</v>
      </c>
      <c r="AT37" s="2102">
        <v>0</v>
      </c>
      <c r="AU37" s="2106">
        <f t="shared" ref="AU37:AU68" si="41">SUM(AP37:AT37)</f>
        <v>5829.17</v>
      </c>
      <c r="AV37" s="2107">
        <v>8733.73</v>
      </c>
      <c r="AW37" s="2108">
        <v>2183.44</v>
      </c>
      <c r="AX37" s="2108">
        <v>0</v>
      </c>
      <c r="AY37" s="2108">
        <v>0</v>
      </c>
      <c r="AZ37" s="2109">
        <v>0</v>
      </c>
      <c r="BA37" s="2110">
        <f t="shared" ref="BA37:BA68" si="42">SUM(AV37:AZ37)</f>
        <v>10917.17</v>
      </c>
      <c r="BB37" s="2111">
        <v>1893.66</v>
      </c>
      <c r="BC37" s="2112">
        <v>3419.65</v>
      </c>
      <c r="BD37" s="2112">
        <v>0</v>
      </c>
      <c r="BE37" s="2112">
        <v>0</v>
      </c>
      <c r="BF37" s="2113">
        <v>0</v>
      </c>
      <c r="BG37" s="2114">
        <f t="shared" ref="BG37:BG68" si="43">SUM(BB37:BF37)</f>
        <v>5313.31</v>
      </c>
      <c r="BH37" s="2103">
        <v>31895.58</v>
      </c>
      <c r="BI37" s="2104">
        <v>4040.11</v>
      </c>
      <c r="BJ37" s="2104">
        <v>6591.78</v>
      </c>
      <c r="BK37" s="2104">
        <v>-0.09</v>
      </c>
      <c r="BL37" s="2104">
        <v>0</v>
      </c>
      <c r="BM37" s="2117">
        <f t="shared" ref="BM37:BM68" si="44">SUM(BH37:BL37)</f>
        <v>42527.380000000005</v>
      </c>
      <c r="BN37" s="2103"/>
      <c r="BO37" s="2104"/>
      <c r="BP37" s="2104"/>
      <c r="BQ37" s="2104"/>
      <c r="BR37" s="2104"/>
      <c r="BS37" s="2105">
        <f t="shared" ref="BS37:BS68" si="45">SUM(BN37:BR37)</f>
        <v>0</v>
      </c>
      <c r="BT37" s="2103">
        <v>9168.2698146614712</v>
      </c>
      <c r="BU37" s="2104">
        <v>57354.840185338529</v>
      </c>
      <c r="BV37" s="2104">
        <v>12202.49</v>
      </c>
      <c r="BW37" s="2104">
        <v>-0.12</v>
      </c>
      <c r="BX37" s="2104">
        <v>0</v>
      </c>
      <c r="BY37" s="2105">
        <f t="shared" ref="BY37:BY68" si="46">SUM(BT37:BX37)</f>
        <v>78725.48000000001</v>
      </c>
      <c r="BZ37" s="2103">
        <v>973.59</v>
      </c>
      <c r="CA37" s="2104">
        <v>0</v>
      </c>
      <c r="CB37" s="2104">
        <v>899.05</v>
      </c>
      <c r="CC37" s="2104">
        <v>0</v>
      </c>
      <c r="CD37" s="2104">
        <v>0</v>
      </c>
      <c r="CE37" s="2105">
        <f t="shared" ref="CE37:CE68" si="47">SUM(BZ37:CD37)</f>
        <v>1872.6399999999999</v>
      </c>
      <c r="CF37" s="2115"/>
      <c r="CG37" s="2116"/>
      <c r="CH37" s="2116"/>
      <c r="CI37" s="2116"/>
      <c r="CJ37" s="2116"/>
      <c r="CK37" s="2117">
        <f t="shared" ref="CK37:CK68" si="48">SUM(CF37:CJ37)</f>
        <v>0</v>
      </c>
      <c r="CL37" s="2103"/>
      <c r="CM37" s="2104"/>
      <c r="CN37" s="2104"/>
      <c r="CO37" s="2104"/>
      <c r="CP37" s="2104"/>
      <c r="CQ37" s="2105">
        <f t="shared" ref="CQ37:CQ68" si="49">SUM(CL37:CP37)</f>
        <v>0</v>
      </c>
      <c r="CR37" s="2115"/>
      <c r="CS37" s="2116"/>
      <c r="CT37" s="2116"/>
      <c r="CU37" s="2116"/>
      <c r="CV37" s="2116"/>
      <c r="CW37" s="2117">
        <f t="shared" ref="CW37:CW68" si="50">SUM(CR37:CV37)</f>
        <v>0</v>
      </c>
      <c r="CX37" s="2103">
        <v>-307.33999999999997</v>
      </c>
      <c r="CY37" s="2104">
        <v>-307.33999999999997</v>
      </c>
      <c r="CZ37" s="2104">
        <v>0</v>
      </c>
      <c r="DA37" s="2104">
        <v>0.01</v>
      </c>
      <c r="DB37" s="2104">
        <v>0</v>
      </c>
      <c r="DC37" s="2105">
        <f t="shared" ref="DC37:DC68" si="51">SUM(CX37:DB37)</f>
        <v>-614.66999999999996</v>
      </c>
      <c r="DD37" s="2103"/>
      <c r="DE37" s="2104"/>
      <c r="DF37" s="2104"/>
      <c r="DG37" s="2104"/>
      <c r="DH37" s="2104"/>
      <c r="DI37" s="2105">
        <f t="shared" ref="DI37:DI68" si="52">SUM(DD37:DH37)</f>
        <v>0</v>
      </c>
      <c r="DJ37" s="2103">
        <v>-42.5</v>
      </c>
      <c r="DK37" s="2104">
        <v>-42.5</v>
      </c>
      <c r="DL37" s="2104">
        <v>0</v>
      </c>
      <c r="DM37" s="2104">
        <v>0</v>
      </c>
      <c r="DN37" s="2104">
        <v>0</v>
      </c>
      <c r="DO37" s="2105">
        <f t="shared" ref="DO37:DO68" si="53">SUM(DJ37:DN37)</f>
        <v>-85</v>
      </c>
      <c r="DP37" s="2103">
        <v>4345.93</v>
      </c>
      <c r="DQ37" s="2104">
        <v>2998.69</v>
      </c>
      <c r="DR37" s="2104">
        <v>1347.24</v>
      </c>
      <c r="DS37" s="2104">
        <v>0</v>
      </c>
      <c r="DT37" s="2104">
        <v>0</v>
      </c>
      <c r="DU37" s="2118">
        <f t="shared" ref="DU37:DU68" si="54">SUM(DP37:DT37)</f>
        <v>8691.86</v>
      </c>
      <c r="DV37" s="2103">
        <v>3702.69</v>
      </c>
      <c r="DW37" s="2104">
        <v>0</v>
      </c>
      <c r="DX37" s="2104">
        <v>679.16</v>
      </c>
      <c r="DY37" s="2104">
        <v>0.08</v>
      </c>
      <c r="DZ37" s="2104">
        <v>0</v>
      </c>
      <c r="EA37" s="2105">
        <f t="shared" ref="EA37:EA68" si="55">SUM(DV37:DZ37)</f>
        <v>4381.93</v>
      </c>
    </row>
    <row r="38" spans="1:131" s="2049" customFormat="1" ht="15" customHeight="1" x14ac:dyDescent="0.25">
      <c r="A38" s="2089" t="s">
        <v>86</v>
      </c>
      <c r="B38" s="2090" t="s">
        <v>87</v>
      </c>
      <c r="C38" s="2091" t="s">
        <v>267</v>
      </c>
      <c r="D38" s="2092">
        <f t="shared" si="28"/>
        <v>156100.95845630975</v>
      </c>
      <c r="E38" s="2093">
        <f t="shared" si="29"/>
        <v>78918.301543690235</v>
      </c>
      <c r="F38" s="2093">
        <f t="shared" si="30"/>
        <v>47684.049999999996</v>
      </c>
      <c r="G38" s="2093">
        <f t="shared" si="31"/>
        <v>24639.320000000003</v>
      </c>
      <c r="H38" s="2093">
        <f t="shared" si="32"/>
        <v>0</v>
      </c>
      <c r="I38" s="2093">
        <f t="shared" si="33"/>
        <v>307342.63</v>
      </c>
      <c r="J38" s="2093">
        <f t="shared" si="34"/>
        <v>24639.320000000003</v>
      </c>
      <c r="K38" s="2094">
        <f t="shared" si="35"/>
        <v>72323.37</v>
      </c>
      <c r="L38" s="2095"/>
      <c r="M38" s="2096"/>
      <c r="N38" s="2096"/>
      <c r="O38" s="2096"/>
      <c r="P38" s="2096"/>
      <c r="Q38" s="2097">
        <f t="shared" si="36"/>
        <v>0</v>
      </c>
      <c r="R38" s="2098"/>
      <c r="S38" s="2099"/>
      <c r="T38" s="2099"/>
      <c r="U38" s="2099"/>
      <c r="V38" s="2099"/>
      <c r="W38" s="2100">
        <f t="shared" si="37"/>
        <v>0</v>
      </c>
      <c r="X38" s="2101">
        <v>16516.07</v>
      </c>
      <c r="Y38" s="2102">
        <v>98.32</v>
      </c>
      <c r="Z38" s="2102">
        <v>3047.61</v>
      </c>
      <c r="AA38" s="2102">
        <v>0</v>
      </c>
      <c r="AB38" s="2102">
        <v>0</v>
      </c>
      <c r="AC38" s="2100">
        <f t="shared" si="38"/>
        <v>19662</v>
      </c>
      <c r="AD38" s="2103">
        <v>80443.02</v>
      </c>
      <c r="AE38" s="2104">
        <v>0</v>
      </c>
      <c r="AF38" s="2104">
        <v>20110.75</v>
      </c>
      <c r="AG38" s="2104">
        <v>0</v>
      </c>
      <c r="AH38" s="2104">
        <v>0</v>
      </c>
      <c r="AI38" s="2105">
        <f t="shared" si="39"/>
        <v>100553.77</v>
      </c>
      <c r="AJ38" s="2098"/>
      <c r="AK38" s="2099"/>
      <c r="AL38" s="2099"/>
      <c r="AM38" s="2099"/>
      <c r="AN38" s="2099"/>
      <c r="AO38" s="2106">
        <f t="shared" si="40"/>
        <v>0</v>
      </c>
      <c r="AP38" s="2101"/>
      <c r="AQ38" s="2102"/>
      <c r="AR38" s="2102"/>
      <c r="AS38" s="2102"/>
      <c r="AT38" s="2102"/>
      <c r="AU38" s="2106">
        <f t="shared" si="41"/>
        <v>0</v>
      </c>
      <c r="AV38" s="2107">
        <v>3928.23</v>
      </c>
      <c r="AW38" s="2108">
        <v>982.05</v>
      </c>
      <c r="AX38" s="2108">
        <v>0</v>
      </c>
      <c r="AY38" s="2108">
        <v>0</v>
      </c>
      <c r="AZ38" s="2109">
        <v>0</v>
      </c>
      <c r="BA38" s="2110">
        <f t="shared" si="42"/>
        <v>4910.28</v>
      </c>
      <c r="BB38" s="2111">
        <v>342.14</v>
      </c>
      <c r="BC38" s="2112">
        <v>617.86</v>
      </c>
      <c r="BD38" s="2112">
        <v>0</v>
      </c>
      <c r="BE38" s="2112">
        <v>0</v>
      </c>
      <c r="BF38" s="2113">
        <v>0</v>
      </c>
      <c r="BG38" s="2114">
        <f t="shared" si="43"/>
        <v>960</v>
      </c>
      <c r="BH38" s="2115">
        <v>29251.52</v>
      </c>
      <c r="BI38" s="2116">
        <v>3705.21</v>
      </c>
      <c r="BJ38" s="2116">
        <v>6045.34</v>
      </c>
      <c r="BK38" s="2116">
        <v>-7.0000000000000007E-2</v>
      </c>
      <c r="BL38" s="2116">
        <v>0</v>
      </c>
      <c r="BM38" s="2117">
        <f t="shared" si="44"/>
        <v>39002.000000000007</v>
      </c>
      <c r="BN38" s="2103"/>
      <c r="BO38" s="2104"/>
      <c r="BP38" s="2104"/>
      <c r="BQ38" s="2104"/>
      <c r="BR38" s="2104"/>
      <c r="BS38" s="2105">
        <f t="shared" si="45"/>
        <v>0</v>
      </c>
      <c r="BT38" s="2103">
        <v>11409.478456309764</v>
      </c>
      <c r="BU38" s="2104">
        <v>69719.861543690233</v>
      </c>
      <c r="BV38" s="2104">
        <v>14881.72</v>
      </c>
      <c r="BW38" s="2104">
        <v>-0.11</v>
      </c>
      <c r="BX38" s="2104">
        <v>0</v>
      </c>
      <c r="BY38" s="2105">
        <f t="shared" si="46"/>
        <v>96010.95</v>
      </c>
      <c r="BZ38" s="2103">
        <v>0</v>
      </c>
      <c r="CA38" s="2104">
        <v>0</v>
      </c>
      <c r="CB38" s="2104">
        <v>0</v>
      </c>
      <c r="CC38" s="2104">
        <v>24639.45</v>
      </c>
      <c r="CD38" s="2104">
        <v>0</v>
      </c>
      <c r="CE38" s="2105">
        <f t="shared" si="47"/>
        <v>24639.45</v>
      </c>
      <c r="CF38" s="2115"/>
      <c r="CG38" s="2116"/>
      <c r="CH38" s="2116"/>
      <c r="CI38" s="2116"/>
      <c r="CJ38" s="2116"/>
      <c r="CK38" s="2117">
        <f t="shared" si="48"/>
        <v>0</v>
      </c>
      <c r="CL38" s="2103"/>
      <c r="CM38" s="2104"/>
      <c r="CN38" s="2104"/>
      <c r="CO38" s="2104"/>
      <c r="CP38" s="2104"/>
      <c r="CQ38" s="2105">
        <f t="shared" si="49"/>
        <v>0</v>
      </c>
      <c r="CR38" s="2115"/>
      <c r="CS38" s="2116"/>
      <c r="CT38" s="2116"/>
      <c r="CU38" s="2116"/>
      <c r="CV38" s="2116"/>
      <c r="CW38" s="2117">
        <f t="shared" si="50"/>
        <v>0</v>
      </c>
      <c r="CX38" s="2103"/>
      <c r="CY38" s="2104"/>
      <c r="CZ38" s="2104"/>
      <c r="DA38" s="2104"/>
      <c r="DB38" s="2104"/>
      <c r="DC38" s="2105">
        <f t="shared" si="51"/>
        <v>0</v>
      </c>
      <c r="DD38" s="2103">
        <v>-1613</v>
      </c>
      <c r="DE38" s="2104">
        <v>0</v>
      </c>
      <c r="DF38" s="2104">
        <v>0</v>
      </c>
      <c r="DG38" s="2104">
        <v>0</v>
      </c>
      <c r="DH38" s="2104">
        <v>0</v>
      </c>
      <c r="DI38" s="2105">
        <f t="shared" si="52"/>
        <v>-1613</v>
      </c>
      <c r="DJ38" s="2103"/>
      <c r="DK38" s="2104"/>
      <c r="DL38" s="2104"/>
      <c r="DM38" s="2104"/>
      <c r="DN38" s="2104"/>
      <c r="DO38" s="2105">
        <f t="shared" si="53"/>
        <v>0</v>
      </c>
      <c r="DP38" s="2103">
        <v>5500.03</v>
      </c>
      <c r="DQ38" s="2104">
        <v>3795</v>
      </c>
      <c r="DR38" s="2104">
        <v>1705</v>
      </c>
      <c r="DS38" s="2104">
        <v>-0.03</v>
      </c>
      <c r="DT38" s="2104">
        <v>0</v>
      </c>
      <c r="DU38" s="2118">
        <f t="shared" si="54"/>
        <v>10999.999999999998</v>
      </c>
      <c r="DV38" s="2103">
        <v>10323.469999999999</v>
      </c>
      <c r="DW38" s="2104">
        <v>0</v>
      </c>
      <c r="DX38" s="2104">
        <v>1893.63</v>
      </c>
      <c r="DY38" s="2104">
        <v>0.08</v>
      </c>
      <c r="DZ38" s="2104">
        <v>0</v>
      </c>
      <c r="EA38" s="2105">
        <f t="shared" si="55"/>
        <v>12217.179999999998</v>
      </c>
    </row>
    <row r="39" spans="1:131" s="2049" customFormat="1" ht="15" customHeight="1" x14ac:dyDescent="0.25">
      <c r="A39" s="2089" t="s">
        <v>92</v>
      </c>
      <c r="B39" s="2090" t="s">
        <v>93</v>
      </c>
      <c r="C39" s="2091" t="s">
        <v>268</v>
      </c>
      <c r="D39" s="2092">
        <f t="shared" si="28"/>
        <v>39903.378175409838</v>
      </c>
      <c r="E39" s="2093">
        <f t="shared" si="29"/>
        <v>12865.271824590156</v>
      </c>
      <c r="F39" s="2093">
        <f t="shared" si="30"/>
        <v>8773.26</v>
      </c>
      <c r="G39" s="2093">
        <f t="shared" si="31"/>
        <v>-4.0000000000000008E-2</v>
      </c>
      <c r="H39" s="2093">
        <f t="shared" si="32"/>
        <v>0</v>
      </c>
      <c r="I39" s="2093">
        <f t="shared" si="33"/>
        <v>61541.869999999995</v>
      </c>
      <c r="J39" s="2093">
        <f t="shared" si="34"/>
        <v>-4.0000000000000008E-2</v>
      </c>
      <c r="K39" s="2094">
        <f t="shared" si="35"/>
        <v>8773.2199999999993</v>
      </c>
      <c r="L39" s="2095"/>
      <c r="M39" s="2096"/>
      <c r="N39" s="2096"/>
      <c r="O39" s="2096"/>
      <c r="P39" s="2096"/>
      <c r="Q39" s="2097">
        <f t="shared" si="36"/>
        <v>0</v>
      </c>
      <c r="R39" s="2098"/>
      <c r="S39" s="2099"/>
      <c r="T39" s="2099"/>
      <c r="U39" s="2099"/>
      <c r="V39" s="2099"/>
      <c r="W39" s="2100">
        <f t="shared" si="37"/>
        <v>0</v>
      </c>
      <c r="X39" s="2101">
        <v>1561.91</v>
      </c>
      <c r="Y39" s="2102">
        <v>9.2899999999999991</v>
      </c>
      <c r="Z39" s="2102">
        <v>288.20999999999998</v>
      </c>
      <c r="AA39" s="2102">
        <v>0</v>
      </c>
      <c r="AB39" s="2102">
        <v>0</v>
      </c>
      <c r="AC39" s="2100">
        <f t="shared" si="38"/>
        <v>1859.41</v>
      </c>
      <c r="AD39" s="2103">
        <v>14208.34</v>
      </c>
      <c r="AE39" s="2104">
        <v>0</v>
      </c>
      <c r="AF39" s="2104">
        <v>3552.13</v>
      </c>
      <c r="AG39" s="2104">
        <v>0</v>
      </c>
      <c r="AH39" s="2104">
        <v>0</v>
      </c>
      <c r="AI39" s="2105">
        <f t="shared" si="39"/>
        <v>17760.47</v>
      </c>
      <c r="AJ39" s="2098"/>
      <c r="AK39" s="2099"/>
      <c r="AL39" s="2099"/>
      <c r="AM39" s="2099"/>
      <c r="AN39" s="2099"/>
      <c r="AO39" s="2106">
        <f t="shared" si="40"/>
        <v>0</v>
      </c>
      <c r="AP39" s="2101">
        <v>2553.21</v>
      </c>
      <c r="AQ39" s="2102">
        <v>638.29999999999995</v>
      </c>
      <c r="AR39" s="2102">
        <v>0</v>
      </c>
      <c r="AS39" s="2102">
        <v>0</v>
      </c>
      <c r="AT39" s="2102">
        <v>0</v>
      </c>
      <c r="AU39" s="2106">
        <f t="shared" si="41"/>
        <v>3191.51</v>
      </c>
      <c r="AV39" s="2107">
        <v>5524.24</v>
      </c>
      <c r="AW39" s="2108">
        <v>1381.07</v>
      </c>
      <c r="AX39" s="2108">
        <v>0</v>
      </c>
      <c r="AY39" s="2108">
        <v>0</v>
      </c>
      <c r="AZ39" s="2109">
        <v>0</v>
      </c>
      <c r="BA39" s="2110">
        <f t="shared" si="42"/>
        <v>6905.3099999999995</v>
      </c>
      <c r="BB39" s="2119"/>
      <c r="BC39" s="2120"/>
      <c r="BD39" s="2120"/>
      <c r="BE39" s="2120"/>
      <c r="BF39" s="2120"/>
      <c r="BG39" s="2114">
        <f t="shared" si="43"/>
        <v>0</v>
      </c>
      <c r="BH39" s="2103">
        <v>10729.89</v>
      </c>
      <c r="BI39" s="2104">
        <v>1359.13</v>
      </c>
      <c r="BJ39" s="2104">
        <v>2217.52</v>
      </c>
      <c r="BK39" s="2104">
        <v>-0.04</v>
      </c>
      <c r="BL39" s="2104">
        <v>0</v>
      </c>
      <c r="BM39" s="2117">
        <f t="shared" si="44"/>
        <v>14306.5</v>
      </c>
      <c r="BN39" s="2103"/>
      <c r="BO39" s="2104"/>
      <c r="BP39" s="2104"/>
      <c r="BQ39" s="2104"/>
      <c r="BR39" s="2104"/>
      <c r="BS39" s="2105">
        <f t="shared" si="45"/>
        <v>0</v>
      </c>
      <c r="BT39" s="2103">
        <v>1255.7281754098458</v>
      </c>
      <c r="BU39" s="2104">
        <v>6631.2318245901552</v>
      </c>
      <c r="BV39" s="2104">
        <v>1446.74</v>
      </c>
      <c r="BW39" s="2104">
        <v>-0.03</v>
      </c>
      <c r="BX39" s="2104">
        <v>0</v>
      </c>
      <c r="BY39" s="2105">
        <f t="shared" si="46"/>
        <v>9333.67</v>
      </c>
      <c r="BZ39" s="2115"/>
      <c r="CA39" s="2116"/>
      <c r="CB39" s="2116"/>
      <c r="CC39" s="2116"/>
      <c r="CD39" s="2116"/>
      <c r="CE39" s="2105">
        <f t="shared" si="47"/>
        <v>0</v>
      </c>
      <c r="CF39" s="2115"/>
      <c r="CG39" s="2116"/>
      <c r="CH39" s="2116"/>
      <c r="CI39" s="2116"/>
      <c r="CJ39" s="2116"/>
      <c r="CK39" s="2117">
        <f t="shared" si="48"/>
        <v>0</v>
      </c>
      <c r="CL39" s="2103"/>
      <c r="CM39" s="2104"/>
      <c r="CN39" s="2104"/>
      <c r="CO39" s="2104"/>
      <c r="CP39" s="2104"/>
      <c r="CQ39" s="2105">
        <f t="shared" si="49"/>
        <v>0</v>
      </c>
      <c r="CR39" s="2103"/>
      <c r="CS39" s="2104"/>
      <c r="CT39" s="2104"/>
      <c r="CU39" s="2104"/>
      <c r="CV39" s="2104"/>
      <c r="CW39" s="2117">
        <f t="shared" si="50"/>
        <v>0</v>
      </c>
      <c r="CX39" s="2103"/>
      <c r="CY39" s="2104"/>
      <c r="CZ39" s="2104"/>
      <c r="DA39" s="2104"/>
      <c r="DB39" s="2104"/>
      <c r="DC39" s="2105">
        <f t="shared" si="51"/>
        <v>0</v>
      </c>
      <c r="DD39" s="2103"/>
      <c r="DE39" s="2104"/>
      <c r="DF39" s="2104"/>
      <c r="DG39" s="2104"/>
      <c r="DH39" s="2104"/>
      <c r="DI39" s="2105">
        <f t="shared" si="52"/>
        <v>0</v>
      </c>
      <c r="DJ39" s="2103"/>
      <c r="DK39" s="2104"/>
      <c r="DL39" s="2104"/>
      <c r="DM39" s="2104"/>
      <c r="DN39" s="2104"/>
      <c r="DO39" s="2105">
        <f t="shared" si="53"/>
        <v>0</v>
      </c>
      <c r="DP39" s="2115">
        <v>4125</v>
      </c>
      <c r="DQ39" s="2116">
        <v>2846.25</v>
      </c>
      <c r="DR39" s="2116">
        <v>1278.75</v>
      </c>
      <c r="DS39" s="2116">
        <v>0</v>
      </c>
      <c r="DT39" s="2116">
        <v>0</v>
      </c>
      <c r="DU39" s="2118">
        <f t="shared" si="54"/>
        <v>8250</v>
      </c>
      <c r="DV39" s="2115">
        <v>-54.94</v>
      </c>
      <c r="DW39" s="2116">
        <v>0</v>
      </c>
      <c r="DX39" s="2116">
        <v>-10.09</v>
      </c>
      <c r="DY39" s="2116">
        <v>0.03</v>
      </c>
      <c r="DZ39" s="2116">
        <v>0</v>
      </c>
      <c r="EA39" s="2105">
        <f t="shared" si="55"/>
        <v>-65</v>
      </c>
    </row>
    <row r="40" spans="1:131" s="2049" customFormat="1" ht="15" customHeight="1" x14ac:dyDescent="0.25">
      <c r="A40" s="2089" t="s">
        <v>94</v>
      </c>
      <c r="B40" s="2090" t="s">
        <v>95</v>
      </c>
      <c r="C40" s="2091" t="s">
        <v>264</v>
      </c>
      <c r="D40" s="2092">
        <f t="shared" si="28"/>
        <v>46683.214225956079</v>
      </c>
      <c r="E40" s="2093">
        <f t="shared" si="29"/>
        <v>18123.675774043917</v>
      </c>
      <c r="F40" s="2093">
        <f t="shared" si="30"/>
        <v>12295.51</v>
      </c>
      <c r="G40" s="2093">
        <f t="shared" si="31"/>
        <v>-9.999999999999995E-3</v>
      </c>
      <c r="H40" s="2093">
        <f t="shared" si="32"/>
        <v>0</v>
      </c>
      <c r="I40" s="2093">
        <f t="shared" si="33"/>
        <v>77102.39</v>
      </c>
      <c r="J40" s="2093">
        <f t="shared" si="34"/>
        <v>-9.999999999999995E-3</v>
      </c>
      <c r="K40" s="2094">
        <f t="shared" si="35"/>
        <v>12295.5</v>
      </c>
      <c r="L40" s="2095"/>
      <c r="M40" s="2096"/>
      <c r="N40" s="2096"/>
      <c r="O40" s="2096"/>
      <c r="P40" s="2096"/>
      <c r="Q40" s="2097">
        <f t="shared" si="36"/>
        <v>0</v>
      </c>
      <c r="R40" s="2098"/>
      <c r="S40" s="2099"/>
      <c r="T40" s="2099"/>
      <c r="U40" s="2099"/>
      <c r="V40" s="2099"/>
      <c r="W40" s="2100">
        <f t="shared" si="37"/>
        <v>0</v>
      </c>
      <c r="X40" s="2101">
        <v>2939.7</v>
      </c>
      <c r="Y40" s="2102">
        <v>17.52</v>
      </c>
      <c r="Z40" s="2102">
        <v>542.48</v>
      </c>
      <c r="AA40" s="2102">
        <v>-0.06</v>
      </c>
      <c r="AB40" s="2102">
        <v>0</v>
      </c>
      <c r="AC40" s="2100">
        <f t="shared" si="38"/>
        <v>3499.64</v>
      </c>
      <c r="AD40" s="2103">
        <v>22633.599999999999</v>
      </c>
      <c r="AE40" s="2104">
        <v>0</v>
      </c>
      <c r="AF40" s="2104">
        <v>5658.4</v>
      </c>
      <c r="AG40" s="2104">
        <v>0</v>
      </c>
      <c r="AH40" s="2104">
        <v>0</v>
      </c>
      <c r="AI40" s="2105">
        <f t="shared" si="39"/>
        <v>28292</v>
      </c>
      <c r="AJ40" s="2098"/>
      <c r="AK40" s="2099"/>
      <c r="AL40" s="2099"/>
      <c r="AM40" s="2099"/>
      <c r="AN40" s="2099"/>
      <c r="AO40" s="2106">
        <f t="shared" si="40"/>
        <v>0</v>
      </c>
      <c r="AP40" s="2098">
        <v>1960.24</v>
      </c>
      <c r="AQ40" s="2099">
        <v>490.06</v>
      </c>
      <c r="AR40" s="2099">
        <v>0</v>
      </c>
      <c r="AS40" s="2099">
        <v>0</v>
      </c>
      <c r="AT40" s="2099">
        <v>0</v>
      </c>
      <c r="AU40" s="2106">
        <f t="shared" si="41"/>
        <v>2450.3000000000002</v>
      </c>
      <c r="AV40" s="2107">
        <v>1936</v>
      </c>
      <c r="AW40" s="2108">
        <v>484</v>
      </c>
      <c r="AX40" s="2108">
        <v>0</v>
      </c>
      <c r="AY40" s="2108">
        <v>0</v>
      </c>
      <c r="AZ40" s="2109">
        <v>0</v>
      </c>
      <c r="BA40" s="2110">
        <f t="shared" si="42"/>
        <v>2420</v>
      </c>
      <c r="BB40" s="2111">
        <v>399.18</v>
      </c>
      <c r="BC40" s="2112">
        <v>720.82</v>
      </c>
      <c r="BD40" s="2112">
        <v>0</v>
      </c>
      <c r="BE40" s="2112">
        <v>0</v>
      </c>
      <c r="BF40" s="2113">
        <v>0</v>
      </c>
      <c r="BG40" s="2114">
        <f t="shared" si="43"/>
        <v>1120</v>
      </c>
      <c r="BH40" s="2103">
        <v>14140.53</v>
      </c>
      <c r="BI40" s="2104">
        <v>1791.13</v>
      </c>
      <c r="BJ40" s="2104">
        <v>2922.37</v>
      </c>
      <c r="BK40" s="2104">
        <v>-0.03</v>
      </c>
      <c r="BL40" s="2104">
        <v>0</v>
      </c>
      <c r="BM40" s="2117">
        <f t="shared" si="44"/>
        <v>18854</v>
      </c>
      <c r="BN40" s="2103"/>
      <c r="BO40" s="2104"/>
      <c r="BP40" s="2104"/>
      <c r="BQ40" s="2104"/>
      <c r="BR40" s="2104"/>
      <c r="BS40" s="2105">
        <f t="shared" si="45"/>
        <v>0</v>
      </c>
      <c r="BT40" s="2103">
        <v>2307.0742259560811</v>
      </c>
      <c r="BU40" s="2104">
        <v>14620.145774043918</v>
      </c>
      <c r="BV40" s="2104">
        <v>3104.99</v>
      </c>
      <c r="BW40" s="2104">
        <v>0</v>
      </c>
      <c r="BX40" s="2104">
        <v>0</v>
      </c>
      <c r="BY40" s="2105">
        <f t="shared" si="46"/>
        <v>20032.21</v>
      </c>
      <c r="BZ40" s="2103"/>
      <c r="CA40" s="2104"/>
      <c r="CB40" s="2104"/>
      <c r="CC40" s="2104"/>
      <c r="CD40" s="2104"/>
      <c r="CE40" s="2105">
        <f t="shared" si="47"/>
        <v>0</v>
      </c>
      <c r="CF40" s="2115"/>
      <c r="CG40" s="2116"/>
      <c r="CH40" s="2116"/>
      <c r="CI40" s="2116"/>
      <c r="CJ40" s="2116"/>
      <c r="CK40" s="2117">
        <f t="shared" si="48"/>
        <v>0</v>
      </c>
      <c r="CL40" s="2103"/>
      <c r="CM40" s="2104"/>
      <c r="CN40" s="2104"/>
      <c r="CO40" s="2104"/>
      <c r="CP40" s="2104"/>
      <c r="CQ40" s="2105">
        <f t="shared" si="49"/>
        <v>0</v>
      </c>
      <c r="CR40" s="2115"/>
      <c r="CS40" s="2116"/>
      <c r="CT40" s="2116"/>
      <c r="CU40" s="2116"/>
      <c r="CV40" s="2116"/>
      <c r="CW40" s="2117">
        <f t="shared" si="50"/>
        <v>0</v>
      </c>
      <c r="CX40" s="2103"/>
      <c r="CY40" s="2104"/>
      <c r="CZ40" s="2104"/>
      <c r="DA40" s="2104"/>
      <c r="DB40" s="2104"/>
      <c r="DC40" s="2105">
        <f t="shared" si="51"/>
        <v>0</v>
      </c>
      <c r="DD40" s="2103"/>
      <c r="DE40" s="2104"/>
      <c r="DF40" s="2104"/>
      <c r="DG40" s="2104"/>
      <c r="DH40" s="2104"/>
      <c r="DI40" s="2105">
        <f t="shared" si="52"/>
        <v>0</v>
      </c>
      <c r="DJ40" s="2103"/>
      <c r="DK40" s="2104"/>
      <c r="DL40" s="2104"/>
      <c r="DM40" s="2104"/>
      <c r="DN40" s="2104"/>
      <c r="DO40" s="2105">
        <f t="shared" si="53"/>
        <v>0</v>
      </c>
      <c r="DP40" s="2115"/>
      <c r="DQ40" s="2116"/>
      <c r="DR40" s="2116"/>
      <c r="DS40" s="2116"/>
      <c r="DT40" s="2116"/>
      <c r="DU40" s="2118">
        <f t="shared" si="54"/>
        <v>0</v>
      </c>
      <c r="DV40" s="2103">
        <v>366.89</v>
      </c>
      <c r="DW40" s="2104">
        <v>0</v>
      </c>
      <c r="DX40" s="2104">
        <v>67.27</v>
      </c>
      <c r="DY40" s="2104">
        <v>0.08</v>
      </c>
      <c r="DZ40" s="2104">
        <v>0</v>
      </c>
      <c r="EA40" s="2105">
        <f t="shared" si="55"/>
        <v>434.23999999999995</v>
      </c>
    </row>
    <row r="41" spans="1:131" s="2049" customFormat="1" ht="15" customHeight="1" x14ac:dyDescent="0.25">
      <c r="A41" s="2089" t="s">
        <v>96</v>
      </c>
      <c r="B41" s="2090" t="s">
        <v>97</v>
      </c>
      <c r="C41" s="2091" t="s">
        <v>266</v>
      </c>
      <c r="D41" s="2092">
        <f t="shared" si="28"/>
        <v>52912.487702750645</v>
      </c>
      <c r="E41" s="2093">
        <f t="shared" si="29"/>
        <v>14625.522297249358</v>
      </c>
      <c r="F41" s="2093">
        <f t="shared" si="30"/>
        <v>13165.779999999999</v>
      </c>
      <c r="G41" s="2093">
        <f t="shared" si="31"/>
        <v>1.9999999999999997E-2</v>
      </c>
      <c r="H41" s="2093">
        <f t="shared" si="32"/>
        <v>47028.71</v>
      </c>
      <c r="I41" s="2093">
        <f t="shared" si="33"/>
        <v>127732.52000000002</v>
      </c>
      <c r="J41" s="2093">
        <f t="shared" si="34"/>
        <v>47028.729999999996</v>
      </c>
      <c r="K41" s="2094">
        <f t="shared" si="35"/>
        <v>60194.509999999995</v>
      </c>
      <c r="L41" s="2095"/>
      <c r="M41" s="2096"/>
      <c r="N41" s="2096"/>
      <c r="O41" s="2096"/>
      <c r="P41" s="2096"/>
      <c r="Q41" s="2097">
        <f t="shared" si="36"/>
        <v>0</v>
      </c>
      <c r="R41" s="2098"/>
      <c r="S41" s="2099"/>
      <c r="T41" s="2099"/>
      <c r="U41" s="2099"/>
      <c r="V41" s="2099"/>
      <c r="W41" s="2100">
        <f t="shared" si="37"/>
        <v>0</v>
      </c>
      <c r="X41" s="2101">
        <v>2173.29</v>
      </c>
      <c r="Y41" s="2102">
        <v>12.93</v>
      </c>
      <c r="Z41" s="2102">
        <v>401.02</v>
      </c>
      <c r="AA41" s="2102">
        <v>0.01</v>
      </c>
      <c r="AB41" s="2102">
        <v>0</v>
      </c>
      <c r="AC41" s="2100">
        <f t="shared" si="38"/>
        <v>2587.25</v>
      </c>
      <c r="AD41" s="2103">
        <v>26546.27</v>
      </c>
      <c r="AE41" s="2104">
        <v>0</v>
      </c>
      <c r="AF41" s="2104">
        <v>6636.61</v>
      </c>
      <c r="AG41" s="2104">
        <v>0</v>
      </c>
      <c r="AH41" s="2104">
        <v>47028.71</v>
      </c>
      <c r="AI41" s="2105">
        <f t="shared" si="39"/>
        <v>80211.59</v>
      </c>
      <c r="AJ41" s="2098"/>
      <c r="AK41" s="2099"/>
      <c r="AL41" s="2099"/>
      <c r="AM41" s="2099"/>
      <c r="AN41" s="2099"/>
      <c r="AO41" s="2106">
        <f t="shared" si="40"/>
        <v>0</v>
      </c>
      <c r="AP41" s="2101">
        <v>2589.5500000000002</v>
      </c>
      <c r="AQ41" s="2102">
        <v>647.39</v>
      </c>
      <c r="AR41" s="2102">
        <v>0</v>
      </c>
      <c r="AS41" s="2102">
        <v>0</v>
      </c>
      <c r="AT41" s="2102">
        <v>0</v>
      </c>
      <c r="AU41" s="2106">
        <f t="shared" si="41"/>
        <v>3236.94</v>
      </c>
      <c r="AV41" s="2107">
        <v>1484.24</v>
      </c>
      <c r="AW41" s="2108">
        <v>371.07</v>
      </c>
      <c r="AX41" s="2108">
        <v>0</v>
      </c>
      <c r="AY41" s="2108">
        <v>0</v>
      </c>
      <c r="AZ41" s="2109">
        <v>0</v>
      </c>
      <c r="BA41" s="2110">
        <f t="shared" si="42"/>
        <v>1855.31</v>
      </c>
      <c r="BB41" s="2119">
        <v>108.69</v>
      </c>
      <c r="BC41" s="2120">
        <v>196.25</v>
      </c>
      <c r="BD41" s="2120">
        <v>0</v>
      </c>
      <c r="BE41" s="2120">
        <v>0</v>
      </c>
      <c r="BF41" s="2120">
        <v>0</v>
      </c>
      <c r="BG41" s="2114">
        <f t="shared" si="43"/>
        <v>304.94</v>
      </c>
      <c r="BH41" s="2115">
        <v>11360.39</v>
      </c>
      <c r="BI41" s="2116">
        <v>1439</v>
      </c>
      <c r="BJ41" s="2116">
        <v>2347.83</v>
      </c>
      <c r="BK41" s="2116">
        <v>-0.03</v>
      </c>
      <c r="BL41" s="2116">
        <v>0</v>
      </c>
      <c r="BM41" s="2117">
        <f t="shared" si="44"/>
        <v>15147.189999999999</v>
      </c>
      <c r="BN41" s="2103"/>
      <c r="BO41" s="2104"/>
      <c r="BP41" s="2104"/>
      <c r="BQ41" s="2104"/>
      <c r="BR41" s="2104"/>
      <c r="BS41" s="2105">
        <f t="shared" si="45"/>
        <v>0</v>
      </c>
      <c r="BT41" s="2103">
        <v>1402.5677027506426</v>
      </c>
      <c r="BU41" s="2104">
        <v>8756.9322972493574</v>
      </c>
      <c r="BV41" s="2104">
        <v>1863.59</v>
      </c>
      <c r="BW41" s="2104">
        <v>-0.01</v>
      </c>
      <c r="BX41" s="2104">
        <v>0</v>
      </c>
      <c r="BY41" s="2105">
        <f t="shared" si="46"/>
        <v>12023.08</v>
      </c>
      <c r="BZ41" s="2115"/>
      <c r="CA41" s="2116"/>
      <c r="CB41" s="2116"/>
      <c r="CC41" s="2116"/>
      <c r="CD41" s="2116"/>
      <c r="CE41" s="2105">
        <f t="shared" si="47"/>
        <v>0</v>
      </c>
      <c r="CF41" s="2115"/>
      <c r="CG41" s="2116"/>
      <c r="CH41" s="2116"/>
      <c r="CI41" s="2116"/>
      <c r="CJ41" s="2116"/>
      <c r="CK41" s="2117">
        <f t="shared" si="48"/>
        <v>0</v>
      </c>
      <c r="CL41" s="2103"/>
      <c r="CM41" s="2104"/>
      <c r="CN41" s="2104"/>
      <c r="CO41" s="2104"/>
      <c r="CP41" s="2104"/>
      <c r="CQ41" s="2105">
        <f t="shared" si="49"/>
        <v>0</v>
      </c>
      <c r="CR41" s="2115"/>
      <c r="CS41" s="2116"/>
      <c r="CT41" s="2116"/>
      <c r="CU41" s="2116"/>
      <c r="CV41" s="2116"/>
      <c r="CW41" s="2117">
        <f t="shared" si="50"/>
        <v>0</v>
      </c>
      <c r="CX41" s="2103"/>
      <c r="CY41" s="2104"/>
      <c r="CZ41" s="2104"/>
      <c r="DA41" s="2104"/>
      <c r="DB41" s="2104"/>
      <c r="DC41" s="2105">
        <f t="shared" si="51"/>
        <v>0</v>
      </c>
      <c r="DD41" s="2103"/>
      <c r="DE41" s="2104"/>
      <c r="DF41" s="2104"/>
      <c r="DG41" s="2104"/>
      <c r="DH41" s="2104"/>
      <c r="DI41" s="2105">
        <f t="shared" si="52"/>
        <v>0</v>
      </c>
      <c r="DJ41" s="2103"/>
      <c r="DK41" s="2104"/>
      <c r="DL41" s="2104"/>
      <c r="DM41" s="2104"/>
      <c r="DN41" s="2104"/>
      <c r="DO41" s="2105">
        <f t="shared" si="53"/>
        <v>0</v>
      </c>
      <c r="DP41" s="2103">
        <v>4640.51</v>
      </c>
      <c r="DQ41" s="2104">
        <v>3201.95</v>
      </c>
      <c r="DR41" s="2104">
        <v>1438.55</v>
      </c>
      <c r="DS41" s="2104">
        <v>-0.01</v>
      </c>
      <c r="DT41" s="2104">
        <v>0</v>
      </c>
      <c r="DU41" s="2118">
        <f t="shared" si="54"/>
        <v>9281</v>
      </c>
      <c r="DV41" s="2103">
        <v>2606.98</v>
      </c>
      <c r="DW41" s="2104">
        <v>0</v>
      </c>
      <c r="DX41" s="2104">
        <v>478.18</v>
      </c>
      <c r="DY41" s="2104">
        <v>0.06</v>
      </c>
      <c r="DZ41" s="2104">
        <v>0</v>
      </c>
      <c r="EA41" s="2105">
        <f t="shared" si="55"/>
        <v>3085.22</v>
      </c>
    </row>
    <row r="42" spans="1:131" s="2049" customFormat="1" ht="15" customHeight="1" x14ac:dyDescent="0.25">
      <c r="A42" s="2089" t="s">
        <v>98</v>
      </c>
      <c r="B42" s="2090" t="s">
        <v>99</v>
      </c>
      <c r="C42" s="2091" t="s">
        <v>268</v>
      </c>
      <c r="D42" s="2092">
        <f t="shared" si="28"/>
        <v>22791.057222579457</v>
      </c>
      <c r="E42" s="2093">
        <f t="shared" si="29"/>
        <v>6447.1027774205413</v>
      </c>
      <c r="F42" s="2093">
        <f t="shared" si="30"/>
        <v>5054.0399999999991</v>
      </c>
      <c r="G42" s="2093">
        <f t="shared" si="31"/>
        <v>-1.0000000000000002E-2</v>
      </c>
      <c r="H42" s="2093">
        <f t="shared" si="32"/>
        <v>0</v>
      </c>
      <c r="I42" s="2093">
        <f t="shared" si="33"/>
        <v>34292.189999999995</v>
      </c>
      <c r="J42" s="2093">
        <f t="shared" si="34"/>
        <v>-1.0000000000000002E-2</v>
      </c>
      <c r="K42" s="2094">
        <f t="shared" si="35"/>
        <v>5054.0299999999988</v>
      </c>
      <c r="L42" s="2095"/>
      <c r="M42" s="2096"/>
      <c r="N42" s="2096"/>
      <c r="O42" s="2096"/>
      <c r="P42" s="2096"/>
      <c r="Q42" s="2097">
        <f t="shared" si="36"/>
        <v>0</v>
      </c>
      <c r="R42" s="2098"/>
      <c r="S42" s="2099"/>
      <c r="T42" s="2099"/>
      <c r="U42" s="2099"/>
      <c r="V42" s="2099"/>
      <c r="W42" s="2100">
        <f t="shared" si="37"/>
        <v>0</v>
      </c>
      <c r="X42" s="2101">
        <v>3010.63</v>
      </c>
      <c r="Y42" s="2102">
        <v>17.93</v>
      </c>
      <c r="Z42" s="2102">
        <v>555.53</v>
      </c>
      <c r="AA42" s="2102">
        <v>-0.01</v>
      </c>
      <c r="AB42" s="2102">
        <v>0</v>
      </c>
      <c r="AC42" s="2100">
        <f t="shared" si="38"/>
        <v>3584.08</v>
      </c>
      <c r="AD42" s="2103">
        <v>1675.07</v>
      </c>
      <c r="AE42" s="2104">
        <v>0</v>
      </c>
      <c r="AF42" s="2104">
        <v>418.76</v>
      </c>
      <c r="AG42" s="2104">
        <v>0</v>
      </c>
      <c r="AH42" s="2104">
        <v>0</v>
      </c>
      <c r="AI42" s="2105">
        <f t="shared" si="39"/>
        <v>2093.83</v>
      </c>
      <c r="AJ42" s="2098"/>
      <c r="AK42" s="2099"/>
      <c r="AL42" s="2099"/>
      <c r="AM42" s="2099"/>
      <c r="AN42" s="2099"/>
      <c r="AO42" s="2106">
        <f t="shared" si="40"/>
        <v>0</v>
      </c>
      <c r="AP42" s="2101"/>
      <c r="AQ42" s="2102"/>
      <c r="AR42" s="2102"/>
      <c r="AS42" s="2102"/>
      <c r="AT42" s="2102"/>
      <c r="AU42" s="2106">
        <f t="shared" si="41"/>
        <v>0</v>
      </c>
      <c r="AV42" s="2107">
        <v>1834.42</v>
      </c>
      <c r="AW42" s="2108">
        <v>458.62</v>
      </c>
      <c r="AX42" s="2108">
        <v>0</v>
      </c>
      <c r="AY42" s="2108">
        <v>0</v>
      </c>
      <c r="AZ42" s="2109">
        <v>0</v>
      </c>
      <c r="BA42" s="2110">
        <f t="shared" si="42"/>
        <v>2293.04</v>
      </c>
      <c r="BB42" s="2119"/>
      <c r="BC42" s="2120"/>
      <c r="BD42" s="2120"/>
      <c r="BE42" s="2120"/>
      <c r="BF42" s="2120"/>
      <c r="BG42" s="2114">
        <f t="shared" si="43"/>
        <v>0</v>
      </c>
      <c r="BH42" s="2103">
        <v>6058.43</v>
      </c>
      <c r="BI42" s="2104">
        <v>767.4</v>
      </c>
      <c r="BJ42" s="2104">
        <v>1252.07</v>
      </c>
      <c r="BK42" s="2104">
        <v>-0.04</v>
      </c>
      <c r="BL42" s="2104">
        <v>0</v>
      </c>
      <c r="BM42" s="2117">
        <f t="shared" si="44"/>
        <v>8077.86</v>
      </c>
      <c r="BN42" s="2103"/>
      <c r="BO42" s="2104"/>
      <c r="BP42" s="2104"/>
      <c r="BQ42" s="2104"/>
      <c r="BR42" s="2104"/>
      <c r="BS42" s="2105">
        <f t="shared" si="45"/>
        <v>0</v>
      </c>
      <c r="BT42" s="2103">
        <v>500.70722257945886</v>
      </c>
      <c r="BU42" s="2104">
        <v>2780.5627774205414</v>
      </c>
      <c r="BV42" s="2104">
        <v>601.87</v>
      </c>
      <c r="BW42" s="2104">
        <v>-0.01</v>
      </c>
      <c r="BX42" s="2104">
        <v>0</v>
      </c>
      <c r="BY42" s="2105">
        <f t="shared" si="46"/>
        <v>3883.13</v>
      </c>
      <c r="BZ42" s="2115"/>
      <c r="CA42" s="2116"/>
      <c r="CB42" s="2116"/>
      <c r="CC42" s="2116"/>
      <c r="CD42" s="2116"/>
      <c r="CE42" s="2105">
        <f t="shared" si="47"/>
        <v>0</v>
      </c>
      <c r="CF42" s="2115"/>
      <c r="CG42" s="2116"/>
      <c r="CH42" s="2116"/>
      <c r="CI42" s="2116"/>
      <c r="CJ42" s="2116"/>
      <c r="CK42" s="2117">
        <f t="shared" si="48"/>
        <v>0</v>
      </c>
      <c r="CL42" s="2115"/>
      <c r="CM42" s="2116"/>
      <c r="CN42" s="2116"/>
      <c r="CO42" s="2116"/>
      <c r="CP42" s="2116"/>
      <c r="CQ42" s="2105">
        <f t="shared" si="49"/>
        <v>0</v>
      </c>
      <c r="CR42" s="2115"/>
      <c r="CS42" s="2116"/>
      <c r="CT42" s="2116"/>
      <c r="CU42" s="2116"/>
      <c r="CV42" s="2116"/>
      <c r="CW42" s="2117">
        <f t="shared" si="50"/>
        <v>0</v>
      </c>
      <c r="CX42" s="2103"/>
      <c r="CY42" s="2104"/>
      <c r="CZ42" s="2104"/>
      <c r="DA42" s="2104"/>
      <c r="DB42" s="2104"/>
      <c r="DC42" s="2105">
        <f t="shared" si="51"/>
        <v>0</v>
      </c>
      <c r="DD42" s="2103"/>
      <c r="DE42" s="2104"/>
      <c r="DF42" s="2104"/>
      <c r="DG42" s="2104"/>
      <c r="DH42" s="2104"/>
      <c r="DI42" s="2105">
        <f t="shared" si="52"/>
        <v>0</v>
      </c>
      <c r="DJ42" s="2103"/>
      <c r="DK42" s="2104"/>
      <c r="DL42" s="2104"/>
      <c r="DM42" s="2104"/>
      <c r="DN42" s="2104"/>
      <c r="DO42" s="2105">
        <f t="shared" si="53"/>
        <v>0</v>
      </c>
      <c r="DP42" s="2115">
        <v>3511</v>
      </c>
      <c r="DQ42" s="2116">
        <v>2422.59</v>
      </c>
      <c r="DR42" s="2116">
        <v>1088.4100000000001</v>
      </c>
      <c r="DS42" s="2116">
        <v>0</v>
      </c>
      <c r="DT42" s="2116">
        <v>0</v>
      </c>
      <c r="DU42" s="2118">
        <f t="shared" si="54"/>
        <v>7022</v>
      </c>
      <c r="DV42" s="2103">
        <v>6200.8</v>
      </c>
      <c r="DW42" s="2104">
        <v>0</v>
      </c>
      <c r="DX42" s="2104">
        <v>1137.4000000000001</v>
      </c>
      <c r="DY42" s="2104">
        <v>0.05</v>
      </c>
      <c r="DZ42" s="2104">
        <v>0</v>
      </c>
      <c r="EA42" s="2105">
        <f t="shared" si="55"/>
        <v>7338.2500000000009</v>
      </c>
    </row>
    <row r="43" spans="1:131" s="2049" customFormat="1" ht="15" customHeight="1" x14ac:dyDescent="0.25">
      <c r="A43" s="2089" t="s">
        <v>100</v>
      </c>
      <c r="B43" s="2090" t="s">
        <v>101</v>
      </c>
      <c r="C43" s="2091" t="s">
        <v>267</v>
      </c>
      <c r="D43" s="2092">
        <f t="shared" si="28"/>
        <v>16952.128400594636</v>
      </c>
      <c r="E43" s="2093">
        <f t="shared" si="29"/>
        <v>32679.711599405364</v>
      </c>
      <c r="F43" s="2093">
        <f t="shared" si="30"/>
        <v>8567.8799999999992</v>
      </c>
      <c r="G43" s="2093">
        <f t="shared" si="31"/>
        <v>-6.0000000000000005E-2</v>
      </c>
      <c r="H43" s="2093">
        <f t="shared" si="32"/>
        <v>0</v>
      </c>
      <c r="I43" s="2093">
        <f t="shared" si="33"/>
        <v>58199.659999999996</v>
      </c>
      <c r="J43" s="2093">
        <f t="shared" si="34"/>
        <v>-6.0000000000000005E-2</v>
      </c>
      <c r="K43" s="2094">
        <f t="shared" si="35"/>
        <v>8567.82</v>
      </c>
      <c r="L43" s="2095"/>
      <c r="M43" s="2096"/>
      <c r="N43" s="2096"/>
      <c r="O43" s="2096"/>
      <c r="P43" s="2096"/>
      <c r="Q43" s="2097">
        <f t="shared" si="36"/>
        <v>0</v>
      </c>
      <c r="R43" s="2098"/>
      <c r="S43" s="2099"/>
      <c r="T43" s="2099"/>
      <c r="U43" s="2099"/>
      <c r="V43" s="2099"/>
      <c r="W43" s="2100">
        <f t="shared" si="37"/>
        <v>0</v>
      </c>
      <c r="X43" s="2101">
        <v>1116.7</v>
      </c>
      <c r="Y43" s="2102">
        <v>6.65</v>
      </c>
      <c r="Z43" s="2102">
        <v>206.06</v>
      </c>
      <c r="AA43" s="2102">
        <v>-0.01</v>
      </c>
      <c r="AB43" s="2102">
        <v>0</v>
      </c>
      <c r="AC43" s="2100">
        <f t="shared" si="38"/>
        <v>1329.4</v>
      </c>
      <c r="AD43" s="2103">
        <v>1600</v>
      </c>
      <c r="AE43" s="2104">
        <v>0</v>
      </c>
      <c r="AF43" s="2104">
        <v>400</v>
      </c>
      <c r="AG43" s="2104">
        <v>0</v>
      </c>
      <c r="AH43" s="2104">
        <v>0</v>
      </c>
      <c r="AI43" s="2105">
        <f t="shared" si="39"/>
        <v>2000</v>
      </c>
      <c r="AJ43" s="2098"/>
      <c r="AK43" s="2099"/>
      <c r="AL43" s="2099"/>
      <c r="AM43" s="2099"/>
      <c r="AN43" s="2099"/>
      <c r="AO43" s="2106">
        <f t="shared" si="40"/>
        <v>0</v>
      </c>
      <c r="AP43" s="2098">
        <v>2331.02</v>
      </c>
      <c r="AQ43" s="2099">
        <v>582.75</v>
      </c>
      <c r="AR43" s="2099">
        <v>0</v>
      </c>
      <c r="AS43" s="2099">
        <v>0</v>
      </c>
      <c r="AT43" s="2099">
        <v>0</v>
      </c>
      <c r="AU43" s="2106">
        <f t="shared" si="41"/>
        <v>2913.77</v>
      </c>
      <c r="AV43" s="2107">
        <v>424</v>
      </c>
      <c r="AW43" s="2108">
        <v>106</v>
      </c>
      <c r="AX43" s="2108">
        <v>0</v>
      </c>
      <c r="AY43" s="2108">
        <v>0</v>
      </c>
      <c r="AZ43" s="2109">
        <v>0</v>
      </c>
      <c r="BA43" s="2110">
        <f t="shared" si="42"/>
        <v>530</v>
      </c>
      <c r="BB43" s="2119">
        <v>21.38</v>
      </c>
      <c r="BC43" s="2120">
        <v>38.619999999999997</v>
      </c>
      <c r="BD43" s="2120">
        <v>0</v>
      </c>
      <c r="BE43" s="2120">
        <v>0</v>
      </c>
      <c r="BF43" s="2120">
        <v>0</v>
      </c>
      <c r="BG43" s="2114">
        <f t="shared" si="43"/>
        <v>60</v>
      </c>
      <c r="BH43" s="2115">
        <v>3000</v>
      </c>
      <c r="BI43" s="2116">
        <v>380</v>
      </c>
      <c r="BJ43" s="2116">
        <v>620</v>
      </c>
      <c r="BK43" s="2116">
        <v>0</v>
      </c>
      <c r="BL43" s="2116">
        <v>0</v>
      </c>
      <c r="BM43" s="2117">
        <f t="shared" si="44"/>
        <v>4000</v>
      </c>
      <c r="BN43" s="2103"/>
      <c r="BO43" s="2104"/>
      <c r="BP43" s="2104"/>
      <c r="BQ43" s="2104"/>
      <c r="BR43" s="2104"/>
      <c r="BS43" s="2105">
        <f t="shared" si="45"/>
        <v>0</v>
      </c>
      <c r="BT43" s="2103">
        <v>4981.0084005946374</v>
      </c>
      <c r="BU43" s="2104">
        <v>31565.691599405363</v>
      </c>
      <c r="BV43" s="2104">
        <v>6703.84</v>
      </c>
      <c r="BW43" s="2104">
        <v>-0.05</v>
      </c>
      <c r="BX43" s="2104">
        <v>0</v>
      </c>
      <c r="BY43" s="2105">
        <f t="shared" si="46"/>
        <v>43250.489999999991</v>
      </c>
      <c r="BZ43" s="2115"/>
      <c r="CA43" s="2116"/>
      <c r="CB43" s="2116"/>
      <c r="CC43" s="2116"/>
      <c r="CD43" s="2116"/>
      <c r="CE43" s="2105">
        <f t="shared" si="47"/>
        <v>0</v>
      </c>
      <c r="CF43" s="2115"/>
      <c r="CG43" s="2116"/>
      <c r="CH43" s="2116"/>
      <c r="CI43" s="2116"/>
      <c r="CJ43" s="2116"/>
      <c r="CK43" s="2117">
        <f t="shared" si="48"/>
        <v>0</v>
      </c>
      <c r="CL43" s="2115"/>
      <c r="CM43" s="2116"/>
      <c r="CN43" s="2116"/>
      <c r="CO43" s="2116"/>
      <c r="CP43" s="2116"/>
      <c r="CQ43" s="2105">
        <f t="shared" si="49"/>
        <v>0</v>
      </c>
      <c r="CR43" s="2103"/>
      <c r="CS43" s="2104"/>
      <c r="CT43" s="2104"/>
      <c r="CU43" s="2104"/>
      <c r="CV43" s="2104"/>
      <c r="CW43" s="2117">
        <f t="shared" si="50"/>
        <v>0</v>
      </c>
      <c r="CX43" s="2103"/>
      <c r="CY43" s="2104"/>
      <c r="CZ43" s="2104"/>
      <c r="DA43" s="2104"/>
      <c r="DB43" s="2104"/>
      <c r="DC43" s="2105">
        <f t="shared" si="51"/>
        <v>0</v>
      </c>
      <c r="DD43" s="2103"/>
      <c r="DE43" s="2104"/>
      <c r="DF43" s="2104"/>
      <c r="DG43" s="2104"/>
      <c r="DH43" s="2104"/>
      <c r="DI43" s="2105">
        <f t="shared" si="52"/>
        <v>0</v>
      </c>
      <c r="DJ43" s="2103"/>
      <c r="DK43" s="2104"/>
      <c r="DL43" s="2104"/>
      <c r="DM43" s="2104"/>
      <c r="DN43" s="2104"/>
      <c r="DO43" s="2105">
        <f t="shared" si="53"/>
        <v>0</v>
      </c>
      <c r="DP43" s="2103"/>
      <c r="DQ43" s="2104"/>
      <c r="DR43" s="2104"/>
      <c r="DS43" s="2104"/>
      <c r="DT43" s="2104"/>
      <c r="DU43" s="2118">
        <f t="shared" si="54"/>
        <v>0</v>
      </c>
      <c r="DV43" s="2103">
        <v>3478.02</v>
      </c>
      <c r="DW43" s="2104">
        <v>0</v>
      </c>
      <c r="DX43" s="2104">
        <v>637.98</v>
      </c>
      <c r="DY43" s="2104">
        <v>0</v>
      </c>
      <c r="DZ43" s="2104">
        <v>0</v>
      </c>
      <c r="EA43" s="2105">
        <f t="shared" si="55"/>
        <v>4116</v>
      </c>
    </row>
    <row r="44" spans="1:131" s="2049" customFormat="1" ht="15" customHeight="1" x14ac:dyDescent="0.25">
      <c r="A44" s="2089" t="s">
        <v>102</v>
      </c>
      <c r="B44" s="2090" t="s">
        <v>103</v>
      </c>
      <c r="C44" s="2091" t="s">
        <v>264</v>
      </c>
      <c r="D44" s="2092">
        <f t="shared" si="28"/>
        <v>78937.418976043424</v>
      </c>
      <c r="E44" s="2093">
        <f t="shared" si="29"/>
        <v>79944.591023956571</v>
      </c>
      <c r="F44" s="2093">
        <f t="shared" si="30"/>
        <v>30947.710000000003</v>
      </c>
      <c r="G44" s="2093">
        <f t="shared" si="31"/>
        <v>-2.0000000000000004E-2</v>
      </c>
      <c r="H44" s="2093">
        <f t="shared" si="32"/>
        <v>0</v>
      </c>
      <c r="I44" s="2093">
        <f t="shared" si="33"/>
        <v>189829.7</v>
      </c>
      <c r="J44" s="2093">
        <f t="shared" si="34"/>
        <v>-2.0000000000000004E-2</v>
      </c>
      <c r="K44" s="2094">
        <f t="shared" si="35"/>
        <v>30947.690000000002</v>
      </c>
      <c r="L44" s="2095"/>
      <c r="M44" s="2096"/>
      <c r="N44" s="2096"/>
      <c r="O44" s="2096"/>
      <c r="P44" s="2096"/>
      <c r="Q44" s="2097">
        <f t="shared" si="36"/>
        <v>0</v>
      </c>
      <c r="R44" s="2098"/>
      <c r="S44" s="2099"/>
      <c r="T44" s="2099"/>
      <c r="U44" s="2099"/>
      <c r="V44" s="2099"/>
      <c r="W44" s="2100">
        <f t="shared" si="37"/>
        <v>0</v>
      </c>
      <c r="X44" s="2098">
        <v>4193.54</v>
      </c>
      <c r="Y44" s="2099">
        <v>24.96</v>
      </c>
      <c r="Z44" s="2099">
        <v>773.8</v>
      </c>
      <c r="AA44" s="2099">
        <v>0.01</v>
      </c>
      <c r="AB44" s="2099">
        <v>0</v>
      </c>
      <c r="AC44" s="2100">
        <f t="shared" si="38"/>
        <v>4992.3100000000004</v>
      </c>
      <c r="AD44" s="2103">
        <v>27096.77</v>
      </c>
      <c r="AE44" s="2104">
        <v>0</v>
      </c>
      <c r="AF44" s="2104">
        <v>6774.12</v>
      </c>
      <c r="AG44" s="2104">
        <v>0</v>
      </c>
      <c r="AH44" s="2104">
        <v>0</v>
      </c>
      <c r="AI44" s="2105">
        <f t="shared" si="39"/>
        <v>33870.89</v>
      </c>
      <c r="AJ44" s="2098"/>
      <c r="AK44" s="2099"/>
      <c r="AL44" s="2099"/>
      <c r="AM44" s="2099"/>
      <c r="AN44" s="2099"/>
      <c r="AO44" s="2106">
        <f t="shared" si="40"/>
        <v>0</v>
      </c>
      <c r="AP44" s="2098"/>
      <c r="AQ44" s="2099"/>
      <c r="AR44" s="2099"/>
      <c r="AS44" s="2099"/>
      <c r="AT44" s="2099"/>
      <c r="AU44" s="2106">
        <f t="shared" si="41"/>
        <v>0</v>
      </c>
      <c r="AV44" s="2121"/>
      <c r="AW44" s="2122"/>
      <c r="AX44" s="2122"/>
      <c r="AY44" s="2122"/>
      <c r="AZ44" s="2123"/>
      <c r="BA44" s="2110">
        <f t="shared" si="42"/>
        <v>0</v>
      </c>
      <c r="BB44" s="2119"/>
      <c r="BC44" s="2120"/>
      <c r="BD44" s="2120"/>
      <c r="BE44" s="2120"/>
      <c r="BF44" s="2120"/>
      <c r="BG44" s="2114">
        <f t="shared" si="43"/>
        <v>0</v>
      </c>
      <c r="BH44" s="2103">
        <v>9754.5400000000009</v>
      </c>
      <c r="BI44" s="2104">
        <v>1235.57</v>
      </c>
      <c r="BJ44" s="2104">
        <v>2015.93</v>
      </c>
      <c r="BK44" s="2104">
        <v>0.01</v>
      </c>
      <c r="BL44" s="2104">
        <v>0</v>
      </c>
      <c r="BM44" s="2117">
        <f t="shared" si="44"/>
        <v>13006.050000000001</v>
      </c>
      <c r="BN44" s="2103"/>
      <c r="BO44" s="2104"/>
      <c r="BP44" s="2104"/>
      <c r="BQ44" s="2104"/>
      <c r="BR44" s="2104"/>
      <c r="BS44" s="2105">
        <f t="shared" si="45"/>
        <v>0</v>
      </c>
      <c r="BT44" s="2103">
        <v>30425.028976043432</v>
      </c>
      <c r="BU44" s="2104">
        <v>76096.561023956572</v>
      </c>
      <c r="BV44" s="2104">
        <v>19539.45</v>
      </c>
      <c r="BW44" s="2104">
        <v>-0.08</v>
      </c>
      <c r="BX44" s="2104">
        <v>0</v>
      </c>
      <c r="BY44" s="2105">
        <f t="shared" si="46"/>
        <v>126060.95999999999</v>
      </c>
      <c r="BZ44" s="2115"/>
      <c r="CA44" s="2116"/>
      <c r="CB44" s="2116"/>
      <c r="CC44" s="2116"/>
      <c r="CD44" s="2116"/>
      <c r="CE44" s="2105">
        <f t="shared" si="47"/>
        <v>0</v>
      </c>
      <c r="CF44" s="2115"/>
      <c r="CG44" s="2116"/>
      <c r="CH44" s="2116"/>
      <c r="CI44" s="2116"/>
      <c r="CJ44" s="2116"/>
      <c r="CK44" s="2117">
        <f t="shared" si="48"/>
        <v>0</v>
      </c>
      <c r="CL44" s="2115"/>
      <c r="CM44" s="2116"/>
      <c r="CN44" s="2116"/>
      <c r="CO44" s="2116"/>
      <c r="CP44" s="2116"/>
      <c r="CQ44" s="2105">
        <f t="shared" si="49"/>
        <v>0</v>
      </c>
      <c r="CR44" s="2115"/>
      <c r="CS44" s="2116"/>
      <c r="CT44" s="2116"/>
      <c r="CU44" s="2116"/>
      <c r="CV44" s="2116"/>
      <c r="CW44" s="2117">
        <f t="shared" si="50"/>
        <v>0</v>
      </c>
      <c r="CX44" s="2103"/>
      <c r="CY44" s="2104"/>
      <c r="CZ44" s="2104"/>
      <c r="DA44" s="2104"/>
      <c r="DB44" s="2104"/>
      <c r="DC44" s="2105">
        <f t="shared" si="51"/>
        <v>0</v>
      </c>
      <c r="DD44" s="2103"/>
      <c r="DE44" s="2104"/>
      <c r="DF44" s="2104"/>
      <c r="DG44" s="2104"/>
      <c r="DH44" s="2104"/>
      <c r="DI44" s="2105">
        <f t="shared" si="52"/>
        <v>0</v>
      </c>
      <c r="DJ44" s="2103"/>
      <c r="DK44" s="2104"/>
      <c r="DL44" s="2104"/>
      <c r="DM44" s="2104"/>
      <c r="DN44" s="2104"/>
      <c r="DO44" s="2105">
        <f t="shared" si="53"/>
        <v>0</v>
      </c>
      <c r="DP44" s="2115">
        <v>3750.01</v>
      </c>
      <c r="DQ44" s="2116">
        <v>2587.5</v>
      </c>
      <c r="DR44" s="2116">
        <v>1162.51</v>
      </c>
      <c r="DS44" s="2116">
        <v>-0.02</v>
      </c>
      <c r="DT44" s="2116">
        <v>0</v>
      </c>
      <c r="DU44" s="2118">
        <f t="shared" si="54"/>
        <v>7500</v>
      </c>
      <c r="DV44" s="2103">
        <v>3717.53</v>
      </c>
      <c r="DW44" s="2104">
        <v>0</v>
      </c>
      <c r="DX44" s="2104">
        <v>681.9</v>
      </c>
      <c r="DY44" s="2104">
        <v>0.06</v>
      </c>
      <c r="DZ44" s="2104">
        <v>0</v>
      </c>
      <c r="EA44" s="2105">
        <f t="shared" si="55"/>
        <v>4399.4900000000007</v>
      </c>
    </row>
    <row r="45" spans="1:131" s="2049" customFormat="1" ht="15" customHeight="1" x14ac:dyDescent="0.25">
      <c r="A45" s="2089" t="s">
        <v>104</v>
      </c>
      <c r="B45" s="2090" t="s">
        <v>309</v>
      </c>
      <c r="C45" s="2091" t="s">
        <v>265</v>
      </c>
      <c r="D45" s="2092">
        <f t="shared" si="28"/>
        <v>51463.612436224939</v>
      </c>
      <c r="E45" s="2093">
        <f t="shared" si="29"/>
        <v>33780.427563775069</v>
      </c>
      <c r="F45" s="2093">
        <f t="shared" si="30"/>
        <v>16792.939999999999</v>
      </c>
      <c r="G45" s="2093">
        <f t="shared" si="31"/>
        <v>-0.08</v>
      </c>
      <c r="H45" s="2093">
        <f t="shared" si="32"/>
        <v>0</v>
      </c>
      <c r="I45" s="2093">
        <f t="shared" si="33"/>
        <v>102036.90000000001</v>
      </c>
      <c r="J45" s="2093">
        <f t="shared" si="34"/>
        <v>-0.08</v>
      </c>
      <c r="K45" s="2094">
        <f t="shared" si="35"/>
        <v>16792.859999999997</v>
      </c>
      <c r="L45" s="2095"/>
      <c r="M45" s="2096"/>
      <c r="N45" s="2096"/>
      <c r="O45" s="2096"/>
      <c r="P45" s="2096"/>
      <c r="Q45" s="2097">
        <f t="shared" si="36"/>
        <v>0</v>
      </c>
      <c r="R45" s="2098"/>
      <c r="S45" s="2099"/>
      <c r="T45" s="2099"/>
      <c r="U45" s="2099"/>
      <c r="V45" s="2099"/>
      <c r="W45" s="2100">
        <f t="shared" si="37"/>
        <v>0</v>
      </c>
      <c r="X45" s="2101">
        <v>5807.56</v>
      </c>
      <c r="Y45" s="2102">
        <v>34.58</v>
      </c>
      <c r="Z45" s="2102">
        <v>1071.6400000000001</v>
      </c>
      <c r="AA45" s="2102">
        <v>-0.02</v>
      </c>
      <c r="AB45" s="2102">
        <v>0</v>
      </c>
      <c r="AC45" s="2100">
        <f t="shared" si="38"/>
        <v>6913.76</v>
      </c>
      <c r="AD45" s="2103">
        <v>23394.54</v>
      </c>
      <c r="AE45" s="2104">
        <v>0</v>
      </c>
      <c r="AF45" s="2104">
        <v>5848.64</v>
      </c>
      <c r="AG45" s="2104">
        <v>0</v>
      </c>
      <c r="AH45" s="2104">
        <v>0</v>
      </c>
      <c r="AI45" s="2105">
        <f t="shared" si="39"/>
        <v>29243.18</v>
      </c>
      <c r="AJ45" s="2098"/>
      <c r="AK45" s="2099"/>
      <c r="AL45" s="2099"/>
      <c r="AM45" s="2099"/>
      <c r="AN45" s="2099"/>
      <c r="AO45" s="2106">
        <f t="shared" si="40"/>
        <v>0</v>
      </c>
      <c r="AP45" s="2101"/>
      <c r="AQ45" s="2102"/>
      <c r="AR45" s="2102"/>
      <c r="AS45" s="2102"/>
      <c r="AT45" s="2102"/>
      <c r="AU45" s="2106">
        <f t="shared" si="41"/>
        <v>0</v>
      </c>
      <c r="AV45" s="2107">
        <v>1657.47</v>
      </c>
      <c r="AW45" s="2108">
        <v>414.37</v>
      </c>
      <c r="AX45" s="2108">
        <v>0</v>
      </c>
      <c r="AY45" s="2108">
        <v>0</v>
      </c>
      <c r="AZ45" s="2109">
        <v>0</v>
      </c>
      <c r="BA45" s="2110">
        <f t="shared" si="42"/>
        <v>2071.84</v>
      </c>
      <c r="BB45" s="2111">
        <v>40.54</v>
      </c>
      <c r="BC45" s="2112">
        <v>73.2</v>
      </c>
      <c r="BD45" s="2112">
        <v>0</v>
      </c>
      <c r="BE45" s="2112">
        <v>0</v>
      </c>
      <c r="BF45" s="2113">
        <v>0</v>
      </c>
      <c r="BG45" s="2114">
        <f t="shared" si="43"/>
        <v>113.74000000000001</v>
      </c>
      <c r="BH45" s="2115">
        <v>13403.6</v>
      </c>
      <c r="BI45" s="2116">
        <v>1697.79</v>
      </c>
      <c r="BJ45" s="2116">
        <v>2770.08</v>
      </c>
      <c r="BK45" s="2116">
        <v>-0.01</v>
      </c>
      <c r="BL45" s="2116">
        <v>0</v>
      </c>
      <c r="BM45" s="2117">
        <f t="shared" si="44"/>
        <v>17871.460000000003</v>
      </c>
      <c r="BN45" s="2103"/>
      <c r="BO45" s="2104"/>
      <c r="BP45" s="2104"/>
      <c r="BQ45" s="2104"/>
      <c r="BR45" s="2104"/>
      <c r="BS45" s="2105">
        <f t="shared" si="45"/>
        <v>0</v>
      </c>
      <c r="BT45" s="2103">
        <v>5268.362436224932</v>
      </c>
      <c r="BU45" s="2104">
        <v>31560.487563775067</v>
      </c>
      <c r="BV45" s="2104">
        <v>6755.64</v>
      </c>
      <c r="BW45" s="2104">
        <v>-0.08</v>
      </c>
      <c r="BX45" s="2104">
        <v>0</v>
      </c>
      <c r="BY45" s="2105">
        <f t="shared" si="46"/>
        <v>43584.409999999996</v>
      </c>
      <c r="BZ45" s="2103"/>
      <c r="CA45" s="2104"/>
      <c r="CB45" s="2104"/>
      <c r="CC45" s="2104"/>
      <c r="CD45" s="2104"/>
      <c r="CE45" s="2105">
        <f t="shared" si="47"/>
        <v>0</v>
      </c>
      <c r="CF45" s="2115"/>
      <c r="CG45" s="2116"/>
      <c r="CH45" s="2116"/>
      <c r="CI45" s="2116"/>
      <c r="CJ45" s="2116"/>
      <c r="CK45" s="2117">
        <f t="shared" si="48"/>
        <v>0</v>
      </c>
      <c r="CL45" s="2103"/>
      <c r="CM45" s="2104"/>
      <c r="CN45" s="2104"/>
      <c r="CO45" s="2104"/>
      <c r="CP45" s="2104"/>
      <c r="CQ45" s="2105">
        <f t="shared" si="49"/>
        <v>0</v>
      </c>
      <c r="CR45" s="2115"/>
      <c r="CS45" s="2116"/>
      <c r="CT45" s="2116"/>
      <c r="CU45" s="2116"/>
      <c r="CV45" s="2116"/>
      <c r="CW45" s="2117">
        <f t="shared" si="50"/>
        <v>0</v>
      </c>
      <c r="CX45" s="2103"/>
      <c r="CY45" s="2104"/>
      <c r="CZ45" s="2104"/>
      <c r="DA45" s="2104"/>
      <c r="DB45" s="2104"/>
      <c r="DC45" s="2105">
        <f t="shared" si="51"/>
        <v>0</v>
      </c>
      <c r="DD45" s="2103"/>
      <c r="DE45" s="2104"/>
      <c r="DF45" s="2104"/>
      <c r="DG45" s="2104"/>
      <c r="DH45" s="2104"/>
      <c r="DI45" s="2105">
        <f t="shared" si="52"/>
        <v>0</v>
      </c>
      <c r="DJ45" s="2103"/>
      <c r="DK45" s="2104"/>
      <c r="DL45" s="2104"/>
      <c r="DM45" s="2104"/>
      <c r="DN45" s="2104"/>
      <c r="DO45" s="2105">
        <f t="shared" si="53"/>
        <v>0</v>
      </c>
      <c r="DP45" s="2115"/>
      <c r="DQ45" s="2116"/>
      <c r="DR45" s="2116"/>
      <c r="DS45" s="2116"/>
      <c r="DT45" s="2116"/>
      <c r="DU45" s="2118">
        <f t="shared" si="54"/>
        <v>0</v>
      </c>
      <c r="DV45" s="2103">
        <v>1891.54</v>
      </c>
      <c r="DW45" s="2104">
        <v>0</v>
      </c>
      <c r="DX45" s="2104">
        <v>346.94</v>
      </c>
      <c r="DY45" s="2104">
        <v>0.03</v>
      </c>
      <c r="DZ45" s="2104">
        <v>0</v>
      </c>
      <c r="EA45" s="2105">
        <f t="shared" si="55"/>
        <v>2238.5100000000002</v>
      </c>
    </row>
    <row r="46" spans="1:131" s="2049" customFormat="1" ht="15" customHeight="1" x14ac:dyDescent="0.25">
      <c r="A46" s="2089" t="s">
        <v>108</v>
      </c>
      <c r="B46" s="2090" t="s">
        <v>109</v>
      </c>
      <c r="C46" s="2091" t="s">
        <v>266</v>
      </c>
      <c r="D46" s="2092">
        <f t="shared" si="28"/>
        <v>49017.473432210558</v>
      </c>
      <c r="E46" s="2093">
        <f t="shared" si="29"/>
        <v>76314.876567789441</v>
      </c>
      <c r="F46" s="2093">
        <f t="shared" si="30"/>
        <v>23720.039999999997</v>
      </c>
      <c r="G46" s="2093">
        <f t="shared" si="31"/>
        <v>-0.13999999999999996</v>
      </c>
      <c r="H46" s="2093">
        <f t="shared" si="32"/>
        <v>0</v>
      </c>
      <c r="I46" s="2093">
        <f t="shared" si="33"/>
        <v>149052.25</v>
      </c>
      <c r="J46" s="2093">
        <f t="shared" si="34"/>
        <v>-0.13999999999999996</v>
      </c>
      <c r="K46" s="2094">
        <f t="shared" si="35"/>
        <v>23719.899999999998</v>
      </c>
      <c r="L46" s="2095"/>
      <c r="M46" s="2096"/>
      <c r="N46" s="2096"/>
      <c r="O46" s="2096"/>
      <c r="P46" s="2096"/>
      <c r="Q46" s="2097">
        <f t="shared" si="36"/>
        <v>0</v>
      </c>
      <c r="R46" s="2098"/>
      <c r="S46" s="2099"/>
      <c r="T46" s="2099"/>
      <c r="U46" s="2099"/>
      <c r="V46" s="2099"/>
      <c r="W46" s="2100">
        <f t="shared" si="37"/>
        <v>0</v>
      </c>
      <c r="X46" s="2101">
        <v>4593.13</v>
      </c>
      <c r="Y46" s="2102">
        <v>27.35</v>
      </c>
      <c r="Z46" s="2102">
        <v>847.55</v>
      </c>
      <c r="AA46" s="2102">
        <v>-0.02</v>
      </c>
      <c r="AB46" s="2102">
        <v>0</v>
      </c>
      <c r="AC46" s="2100">
        <f t="shared" si="38"/>
        <v>5468.01</v>
      </c>
      <c r="AD46" s="2103">
        <v>2337.8000000000002</v>
      </c>
      <c r="AE46" s="2104">
        <v>0</v>
      </c>
      <c r="AF46" s="2104">
        <v>584.45000000000005</v>
      </c>
      <c r="AG46" s="2104">
        <v>0</v>
      </c>
      <c r="AH46" s="2104">
        <v>0</v>
      </c>
      <c r="AI46" s="2105">
        <f t="shared" si="39"/>
        <v>2922.25</v>
      </c>
      <c r="AJ46" s="2098"/>
      <c r="AK46" s="2099"/>
      <c r="AL46" s="2099"/>
      <c r="AM46" s="2099"/>
      <c r="AN46" s="2099"/>
      <c r="AO46" s="2106">
        <f t="shared" si="40"/>
        <v>0</v>
      </c>
      <c r="AP46" s="2101"/>
      <c r="AQ46" s="2102"/>
      <c r="AR46" s="2102"/>
      <c r="AS46" s="2102"/>
      <c r="AT46" s="2102"/>
      <c r="AU46" s="2106">
        <f t="shared" si="41"/>
        <v>0</v>
      </c>
      <c r="AV46" s="2107">
        <v>4665.1400000000003</v>
      </c>
      <c r="AW46" s="2108">
        <v>1166.28</v>
      </c>
      <c r="AX46" s="2108">
        <v>0</v>
      </c>
      <c r="AY46" s="2108">
        <v>0</v>
      </c>
      <c r="AZ46" s="2109">
        <v>0</v>
      </c>
      <c r="BA46" s="2110">
        <f t="shared" si="42"/>
        <v>5831.42</v>
      </c>
      <c r="BB46" s="2111">
        <v>427.55</v>
      </c>
      <c r="BC46" s="2112">
        <v>772.1</v>
      </c>
      <c r="BD46" s="2112">
        <v>0</v>
      </c>
      <c r="BE46" s="2112">
        <v>0</v>
      </c>
      <c r="BF46" s="2113">
        <v>0</v>
      </c>
      <c r="BG46" s="2114">
        <f t="shared" si="43"/>
        <v>1199.6500000000001</v>
      </c>
      <c r="BH46" s="2103">
        <v>18434.98</v>
      </c>
      <c r="BI46" s="2104">
        <v>2335.12</v>
      </c>
      <c r="BJ46" s="2104">
        <v>3809.93</v>
      </c>
      <c r="BK46" s="2104">
        <v>-0.09</v>
      </c>
      <c r="BL46" s="2104">
        <v>0</v>
      </c>
      <c r="BM46" s="2117">
        <f t="shared" si="44"/>
        <v>24579.94</v>
      </c>
      <c r="BN46" s="2103"/>
      <c r="BO46" s="2104"/>
      <c r="BP46" s="2104"/>
      <c r="BQ46" s="2104"/>
      <c r="BR46" s="2104"/>
      <c r="BS46" s="2105">
        <f t="shared" si="45"/>
        <v>0</v>
      </c>
      <c r="BT46" s="2103">
        <v>10915.063432210562</v>
      </c>
      <c r="BU46" s="2104">
        <v>69171.216567789437</v>
      </c>
      <c r="BV46" s="2104">
        <v>14690.39</v>
      </c>
      <c r="BW46" s="2104">
        <v>-0.06</v>
      </c>
      <c r="BX46" s="2104">
        <v>0</v>
      </c>
      <c r="BY46" s="2105">
        <f t="shared" si="46"/>
        <v>94776.61</v>
      </c>
      <c r="BZ46" s="2103">
        <v>2519.0700000000002</v>
      </c>
      <c r="CA46" s="2104">
        <v>0</v>
      </c>
      <c r="CB46" s="2104">
        <v>2326.23</v>
      </c>
      <c r="CC46" s="2104">
        <v>0</v>
      </c>
      <c r="CD46" s="2104">
        <v>0</v>
      </c>
      <c r="CE46" s="2105">
        <f t="shared" si="47"/>
        <v>4845.3</v>
      </c>
      <c r="CF46" s="2115"/>
      <c r="CG46" s="2116"/>
      <c r="CH46" s="2116"/>
      <c r="CI46" s="2116"/>
      <c r="CJ46" s="2116"/>
      <c r="CK46" s="2117">
        <f t="shared" si="48"/>
        <v>0</v>
      </c>
      <c r="CL46" s="2103"/>
      <c r="CM46" s="2104"/>
      <c r="CN46" s="2104"/>
      <c r="CO46" s="2104"/>
      <c r="CP46" s="2104"/>
      <c r="CQ46" s="2105">
        <f t="shared" si="49"/>
        <v>0</v>
      </c>
      <c r="CR46" s="2115"/>
      <c r="CS46" s="2116"/>
      <c r="CT46" s="2116"/>
      <c r="CU46" s="2116"/>
      <c r="CV46" s="2116"/>
      <c r="CW46" s="2117">
        <f t="shared" si="50"/>
        <v>0</v>
      </c>
      <c r="CX46" s="2103"/>
      <c r="CY46" s="2104"/>
      <c r="CZ46" s="2104"/>
      <c r="DA46" s="2104"/>
      <c r="DB46" s="2104"/>
      <c r="DC46" s="2105">
        <f t="shared" si="51"/>
        <v>0</v>
      </c>
      <c r="DD46" s="2103"/>
      <c r="DE46" s="2104"/>
      <c r="DF46" s="2104"/>
      <c r="DG46" s="2104"/>
      <c r="DH46" s="2104"/>
      <c r="DI46" s="2105">
        <f t="shared" si="52"/>
        <v>0</v>
      </c>
      <c r="DJ46" s="2103"/>
      <c r="DK46" s="2104"/>
      <c r="DL46" s="2104"/>
      <c r="DM46" s="2104"/>
      <c r="DN46" s="2104"/>
      <c r="DO46" s="2105">
        <f t="shared" si="53"/>
        <v>0</v>
      </c>
      <c r="DP46" s="2103">
        <v>4120</v>
      </c>
      <c r="DQ46" s="2104">
        <v>2842.81</v>
      </c>
      <c r="DR46" s="2104">
        <v>1277.21</v>
      </c>
      <c r="DS46" s="2104">
        <v>-0.02</v>
      </c>
      <c r="DT46" s="2104">
        <v>0</v>
      </c>
      <c r="DU46" s="2118">
        <f t="shared" si="54"/>
        <v>8240</v>
      </c>
      <c r="DV46" s="2103">
        <v>1004.74</v>
      </c>
      <c r="DW46" s="2104">
        <v>0</v>
      </c>
      <c r="DX46" s="2104">
        <v>184.28</v>
      </c>
      <c r="DY46" s="2104">
        <v>0.05</v>
      </c>
      <c r="DZ46" s="2104">
        <v>0</v>
      </c>
      <c r="EA46" s="2105">
        <f t="shared" si="55"/>
        <v>1189.07</v>
      </c>
    </row>
    <row r="47" spans="1:131" s="2049" customFormat="1" ht="15" customHeight="1" x14ac:dyDescent="0.25">
      <c r="A47" s="2089" t="s">
        <v>110</v>
      </c>
      <c r="B47" s="2090" t="s">
        <v>111</v>
      </c>
      <c r="C47" s="2091" t="s">
        <v>266</v>
      </c>
      <c r="D47" s="2092">
        <f t="shared" si="28"/>
        <v>578570.73638471786</v>
      </c>
      <c r="E47" s="2093">
        <f t="shared" si="29"/>
        <v>1321933.1636152819</v>
      </c>
      <c r="F47" s="2093">
        <f t="shared" si="30"/>
        <v>368253.22</v>
      </c>
      <c r="G47" s="2093">
        <f t="shared" si="31"/>
        <v>-0.42</v>
      </c>
      <c r="H47" s="2093">
        <f t="shared" si="32"/>
        <v>0</v>
      </c>
      <c r="I47" s="2093">
        <f t="shared" si="33"/>
        <v>2268756.7000000002</v>
      </c>
      <c r="J47" s="2093">
        <f t="shared" si="34"/>
        <v>-0.42</v>
      </c>
      <c r="K47" s="2094">
        <f t="shared" si="35"/>
        <v>368252.8</v>
      </c>
      <c r="L47" s="2095"/>
      <c r="M47" s="2096"/>
      <c r="N47" s="2096"/>
      <c r="O47" s="2096"/>
      <c r="P47" s="2096"/>
      <c r="Q47" s="2097">
        <f t="shared" si="36"/>
        <v>0</v>
      </c>
      <c r="R47" s="2098"/>
      <c r="S47" s="2099"/>
      <c r="T47" s="2099"/>
      <c r="U47" s="2099"/>
      <c r="V47" s="2099"/>
      <c r="W47" s="2100">
        <f t="shared" si="37"/>
        <v>0</v>
      </c>
      <c r="X47" s="2101">
        <v>105537.04</v>
      </c>
      <c r="Y47" s="2102">
        <v>628.20000000000005</v>
      </c>
      <c r="Z47" s="2102">
        <v>19474.099999999999</v>
      </c>
      <c r="AA47" s="2102">
        <v>-0.01</v>
      </c>
      <c r="AB47" s="2102">
        <v>0</v>
      </c>
      <c r="AC47" s="2100">
        <f t="shared" si="38"/>
        <v>125639.33</v>
      </c>
      <c r="AD47" s="2103">
        <v>71120.009999999995</v>
      </c>
      <c r="AE47" s="2104">
        <v>0</v>
      </c>
      <c r="AF47" s="2104">
        <v>17779.990000000002</v>
      </c>
      <c r="AG47" s="2104">
        <v>0</v>
      </c>
      <c r="AH47" s="2104">
        <v>0</v>
      </c>
      <c r="AI47" s="2105">
        <f t="shared" si="39"/>
        <v>88900</v>
      </c>
      <c r="AJ47" s="2098"/>
      <c r="AK47" s="2099"/>
      <c r="AL47" s="2099"/>
      <c r="AM47" s="2099"/>
      <c r="AN47" s="2099"/>
      <c r="AO47" s="2106">
        <f t="shared" si="40"/>
        <v>0</v>
      </c>
      <c r="AP47" s="2101">
        <v>2273.42</v>
      </c>
      <c r="AQ47" s="2102">
        <v>568.36</v>
      </c>
      <c r="AR47" s="2102">
        <v>0</v>
      </c>
      <c r="AS47" s="2102">
        <v>0</v>
      </c>
      <c r="AT47" s="2102">
        <v>0</v>
      </c>
      <c r="AU47" s="2106">
        <f t="shared" si="41"/>
        <v>2841.78</v>
      </c>
      <c r="AV47" s="2107">
        <v>8098.61</v>
      </c>
      <c r="AW47" s="2108">
        <v>2024.64</v>
      </c>
      <c r="AX47" s="2108">
        <v>0</v>
      </c>
      <c r="AY47" s="2108">
        <v>0</v>
      </c>
      <c r="AZ47" s="2109">
        <v>0</v>
      </c>
      <c r="BA47" s="2110">
        <f t="shared" si="42"/>
        <v>10123.25</v>
      </c>
      <c r="BB47" s="2111">
        <v>459.74</v>
      </c>
      <c r="BC47" s="2112">
        <v>830.26</v>
      </c>
      <c r="BD47" s="2112">
        <v>0</v>
      </c>
      <c r="BE47" s="2112">
        <v>0</v>
      </c>
      <c r="BF47" s="2113">
        <v>0</v>
      </c>
      <c r="BG47" s="2114">
        <f t="shared" si="43"/>
        <v>1290</v>
      </c>
      <c r="BH47" s="2103">
        <v>122036.39</v>
      </c>
      <c r="BI47" s="2104">
        <v>15457.97</v>
      </c>
      <c r="BJ47" s="2104">
        <v>25220.880000000001</v>
      </c>
      <c r="BK47" s="2104">
        <v>-0.09</v>
      </c>
      <c r="BL47" s="2104">
        <v>0</v>
      </c>
      <c r="BM47" s="2117">
        <f t="shared" si="44"/>
        <v>162715.15</v>
      </c>
      <c r="BN47" s="2103">
        <v>-237.83</v>
      </c>
      <c r="BO47" s="2104">
        <v>-237.83</v>
      </c>
      <c r="BP47" s="2104">
        <v>0</v>
      </c>
      <c r="BQ47" s="2104">
        <v>0</v>
      </c>
      <c r="BR47" s="2104">
        <v>0</v>
      </c>
      <c r="BS47" s="2105">
        <f t="shared" si="45"/>
        <v>-475.66</v>
      </c>
      <c r="BT47" s="2103">
        <v>220931.27638471802</v>
      </c>
      <c r="BU47" s="2104">
        <v>1292491.5936152819</v>
      </c>
      <c r="BV47" s="2104">
        <v>277610.09999999998</v>
      </c>
      <c r="BW47" s="2104">
        <v>-0.33</v>
      </c>
      <c r="BX47" s="2104">
        <v>0</v>
      </c>
      <c r="BY47" s="2105">
        <f t="shared" si="46"/>
        <v>1791032.6399999997</v>
      </c>
      <c r="BZ47" s="2103">
        <v>23426.07</v>
      </c>
      <c r="CA47" s="2104">
        <v>0</v>
      </c>
      <c r="CB47" s="2104">
        <v>21632.77</v>
      </c>
      <c r="CC47" s="2104">
        <v>-0.08</v>
      </c>
      <c r="CD47" s="2104">
        <v>0</v>
      </c>
      <c r="CE47" s="2105">
        <f t="shared" si="47"/>
        <v>45058.759999999995</v>
      </c>
      <c r="CF47" s="2103"/>
      <c r="CG47" s="2104"/>
      <c r="CH47" s="2104"/>
      <c r="CI47" s="2104"/>
      <c r="CJ47" s="2104"/>
      <c r="CK47" s="2117">
        <f t="shared" si="48"/>
        <v>0</v>
      </c>
      <c r="CL47" s="2103"/>
      <c r="CM47" s="2104"/>
      <c r="CN47" s="2104"/>
      <c r="CO47" s="2104"/>
      <c r="CP47" s="2104"/>
      <c r="CQ47" s="2105">
        <f t="shared" si="49"/>
        <v>0</v>
      </c>
      <c r="CR47" s="2103">
        <v>-150.28</v>
      </c>
      <c r="CS47" s="2104">
        <v>-150.28</v>
      </c>
      <c r="CT47" s="2104">
        <v>0</v>
      </c>
      <c r="CU47" s="2104">
        <v>0.01</v>
      </c>
      <c r="CV47" s="2104">
        <v>0</v>
      </c>
      <c r="CW47" s="2117">
        <f t="shared" si="50"/>
        <v>-300.55</v>
      </c>
      <c r="CX47" s="2103">
        <v>-116</v>
      </c>
      <c r="CY47" s="2104">
        <v>-116</v>
      </c>
      <c r="CZ47" s="2104">
        <v>0</v>
      </c>
      <c r="DA47" s="2104">
        <v>0</v>
      </c>
      <c r="DB47" s="2104">
        <v>0</v>
      </c>
      <c r="DC47" s="2105">
        <f t="shared" si="51"/>
        <v>-232</v>
      </c>
      <c r="DD47" s="2103"/>
      <c r="DE47" s="2104"/>
      <c r="DF47" s="2104"/>
      <c r="DG47" s="2104"/>
      <c r="DH47" s="2104"/>
      <c r="DI47" s="2105">
        <f t="shared" si="52"/>
        <v>0</v>
      </c>
      <c r="DJ47" s="2103"/>
      <c r="DK47" s="2104"/>
      <c r="DL47" s="2104"/>
      <c r="DM47" s="2104"/>
      <c r="DN47" s="2104"/>
      <c r="DO47" s="2105">
        <f t="shared" si="53"/>
        <v>0</v>
      </c>
      <c r="DP47" s="2103">
        <v>15125.01</v>
      </c>
      <c r="DQ47" s="2104">
        <v>10436.25</v>
      </c>
      <c r="DR47" s="2104">
        <v>4688.74</v>
      </c>
      <c r="DS47" s="2104">
        <v>0</v>
      </c>
      <c r="DT47" s="2104">
        <v>0</v>
      </c>
      <c r="DU47" s="2118">
        <f t="shared" si="54"/>
        <v>30250</v>
      </c>
      <c r="DV47" s="2103">
        <v>10067.280000000001</v>
      </c>
      <c r="DW47" s="2104">
        <v>0</v>
      </c>
      <c r="DX47" s="2104">
        <v>1846.64</v>
      </c>
      <c r="DY47" s="2104">
        <v>0.08</v>
      </c>
      <c r="DZ47" s="2104">
        <v>0</v>
      </c>
      <c r="EA47" s="2105">
        <f t="shared" si="55"/>
        <v>11914</v>
      </c>
    </row>
    <row r="48" spans="1:131" s="2049" customFormat="1" ht="15" customHeight="1" x14ac:dyDescent="0.25">
      <c r="A48" s="2089" t="s">
        <v>112</v>
      </c>
      <c r="B48" s="2090" t="s">
        <v>300</v>
      </c>
      <c r="C48" s="2091" t="s">
        <v>265</v>
      </c>
      <c r="D48" s="2092">
        <f t="shared" si="28"/>
        <v>102603.35611194586</v>
      </c>
      <c r="E48" s="2093">
        <f t="shared" si="29"/>
        <v>153500.65388805413</v>
      </c>
      <c r="F48" s="2093">
        <f t="shared" si="30"/>
        <v>47736.88</v>
      </c>
      <c r="G48" s="2093">
        <f t="shared" si="31"/>
        <v>-0.37</v>
      </c>
      <c r="H48" s="2093">
        <f t="shared" si="32"/>
        <v>0</v>
      </c>
      <c r="I48" s="2093">
        <f t="shared" si="33"/>
        <v>303840.52</v>
      </c>
      <c r="J48" s="2093">
        <f t="shared" si="34"/>
        <v>-0.37</v>
      </c>
      <c r="K48" s="2094">
        <f t="shared" si="35"/>
        <v>47736.509999999995</v>
      </c>
      <c r="L48" s="2095"/>
      <c r="M48" s="2096"/>
      <c r="N48" s="2096"/>
      <c r="O48" s="2096"/>
      <c r="P48" s="2096"/>
      <c r="Q48" s="2097">
        <f t="shared" si="36"/>
        <v>0</v>
      </c>
      <c r="R48" s="2098"/>
      <c r="S48" s="2099"/>
      <c r="T48" s="2099"/>
      <c r="U48" s="2099"/>
      <c r="V48" s="2099"/>
      <c r="W48" s="2100">
        <f t="shared" si="37"/>
        <v>0</v>
      </c>
      <c r="X48" s="2101">
        <v>9673.2999999999993</v>
      </c>
      <c r="Y48" s="2102">
        <v>57.620000000000005</v>
      </c>
      <c r="Z48" s="2102">
        <v>1784.99</v>
      </c>
      <c r="AA48" s="2102">
        <v>-0.09</v>
      </c>
      <c r="AB48" s="2102">
        <v>0</v>
      </c>
      <c r="AC48" s="2100">
        <f t="shared" si="38"/>
        <v>11515.82</v>
      </c>
      <c r="AD48" s="2103">
        <v>24201.42</v>
      </c>
      <c r="AE48" s="2104">
        <v>0</v>
      </c>
      <c r="AF48" s="2104">
        <v>6050.35</v>
      </c>
      <c r="AG48" s="2104">
        <v>0</v>
      </c>
      <c r="AH48" s="2104">
        <v>0</v>
      </c>
      <c r="AI48" s="2105">
        <f t="shared" si="39"/>
        <v>30251.769999999997</v>
      </c>
      <c r="AJ48" s="2101">
        <v>11127.64</v>
      </c>
      <c r="AK48" s="2102">
        <v>5460.35</v>
      </c>
      <c r="AL48" s="2102">
        <v>3042.79</v>
      </c>
      <c r="AM48" s="2102">
        <v>-7.0000000000000007E-2</v>
      </c>
      <c r="AN48" s="2102">
        <v>0</v>
      </c>
      <c r="AO48" s="2106">
        <f t="shared" si="40"/>
        <v>19630.71</v>
      </c>
      <c r="AP48" s="2101">
        <v>3769.8</v>
      </c>
      <c r="AQ48" s="2102">
        <v>942.45</v>
      </c>
      <c r="AR48" s="2102">
        <v>0</v>
      </c>
      <c r="AS48" s="2102">
        <v>0</v>
      </c>
      <c r="AT48" s="2102">
        <v>0</v>
      </c>
      <c r="AU48" s="2106">
        <f t="shared" si="41"/>
        <v>4712.25</v>
      </c>
      <c r="AV48" s="2107">
        <v>3038.42</v>
      </c>
      <c r="AW48" s="2108">
        <v>759.62</v>
      </c>
      <c r="AX48" s="2108">
        <v>0</v>
      </c>
      <c r="AY48" s="2108">
        <v>0</v>
      </c>
      <c r="AZ48" s="2109">
        <v>0</v>
      </c>
      <c r="BA48" s="2110">
        <f t="shared" si="42"/>
        <v>3798.04</v>
      </c>
      <c r="BB48" s="2111">
        <v>427.68</v>
      </c>
      <c r="BC48" s="2112">
        <v>772.32</v>
      </c>
      <c r="BD48" s="2112">
        <v>0</v>
      </c>
      <c r="BE48" s="2112">
        <v>0</v>
      </c>
      <c r="BF48" s="2113">
        <v>0</v>
      </c>
      <c r="BG48" s="2114">
        <f t="shared" si="43"/>
        <v>1200</v>
      </c>
      <c r="BH48" s="2103">
        <v>16157.150000000001</v>
      </c>
      <c r="BI48" s="2104">
        <v>2046.6</v>
      </c>
      <c r="BJ48" s="2104">
        <v>3339.18</v>
      </c>
      <c r="BK48" s="2104">
        <v>-0.08</v>
      </c>
      <c r="BL48" s="2104">
        <v>0</v>
      </c>
      <c r="BM48" s="2117">
        <f t="shared" si="44"/>
        <v>21542.85</v>
      </c>
      <c r="BN48" s="2103"/>
      <c r="BO48" s="2104"/>
      <c r="BP48" s="2104"/>
      <c r="BQ48" s="2104"/>
      <c r="BR48" s="2104"/>
      <c r="BS48" s="2105">
        <f t="shared" si="45"/>
        <v>0</v>
      </c>
      <c r="BT48" s="2103">
        <v>21991.93611194587</v>
      </c>
      <c r="BU48" s="2104">
        <v>137433.50388805414</v>
      </c>
      <c r="BV48" s="2104">
        <v>29243.78</v>
      </c>
      <c r="BW48" s="2104">
        <v>-0.24</v>
      </c>
      <c r="BX48" s="2104">
        <v>0</v>
      </c>
      <c r="BY48" s="2105">
        <f t="shared" si="46"/>
        <v>188668.98</v>
      </c>
      <c r="BZ48" s="2103">
        <v>1245.8399999999999</v>
      </c>
      <c r="CA48" s="2104">
        <v>0</v>
      </c>
      <c r="CB48" s="2104">
        <v>1150.47</v>
      </c>
      <c r="CC48" s="2104">
        <v>0</v>
      </c>
      <c r="CD48" s="2104">
        <v>0</v>
      </c>
      <c r="CE48" s="2105">
        <f t="shared" si="47"/>
        <v>2396.31</v>
      </c>
      <c r="CF48" s="2115"/>
      <c r="CG48" s="2116"/>
      <c r="CH48" s="2116"/>
      <c r="CI48" s="2116"/>
      <c r="CJ48" s="2116"/>
      <c r="CK48" s="2117">
        <f t="shared" si="48"/>
        <v>0</v>
      </c>
      <c r="CL48" s="2115"/>
      <c r="CM48" s="2116"/>
      <c r="CN48" s="2116"/>
      <c r="CO48" s="2116"/>
      <c r="CP48" s="2116"/>
      <c r="CQ48" s="2105">
        <f t="shared" si="49"/>
        <v>0</v>
      </c>
      <c r="CR48" s="2115"/>
      <c r="CS48" s="2116"/>
      <c r="CT48" s="2116"/>
      <c r="CU48" s="2116"/>
      <c r="CV48" s="2116"/>
      <c r="CW48" s="2117">
        <f t="shared" si="50"/>
        <v>0</v>
      </c>
      <c r="CX48" s="2103"/>
      <c r="CY48" s="2104"/>
      <c r="CZ48" s="2104"/>
      <c r="DA48" s="2104"/>
      <c r="DB48" s="2104"/>
      <c r="DC48" s="2105">
        <f t="shared" si="51"/>
        <v>0</v>
      </c>
      <c r="DD48" s="2103">
        <v>-40</v>
      </c>
      <c r="DE48" s="2104">
        <v>0</v>
      </c>
      <c r="DF48" s="2104">
        <v>0</v>
      </c>
      <c r="DG48" s="2104">
        <v>0</v>
      </c>
      <c r="DH48" s="2104">
        <v>0</v>
      </c>
      <c r="DI48" s="2105">
        <f t="shared" si="52"/>
        <v>-40</v>
      </c>
      <c r="DJ48" s="2103"/>
      <c r="DK48" s="2104"/>
      <c r="DL48" s="2104"/>
      <c r="DM48" s="2104"/>
      <c r="DN48" s="2104"/>
      <c r="DO48" s="2105">
        <f t="shared" si="53"/>
        <v>0</v>
      </c>
      <c r="DP48" s="2103">
        <v>8736.51</v>
      </c>
      <c r="DQ48" s="2104">
        <v>6028.19</v>
      </c>
      <c r="DR48" s="2104">
        <v>2708.32</v>
      </c>
      <c r="DS48" s="2104">
        <v>-0.02</v>
      </c>
      <c r="DT48" s="2104">
        <v>0</v>
      </c>
      <c r="DU48" s="2118">
        <f t="shared" si="54"/>
        <v>17473</v>
      </c>
      <c r="DV48" s="2103">
        <v>2273.66</v>
      </c>
      <c r="DW48" s="2104">
        <v>0</v>
      </c>
      <c r="DX48" s="2104">
        <v>417</v>
      </c>
      <c r="DY48" s="2104">
        <v>0.13</v>
      </c>
      <c r="DZ48" s="2104">
        <v>0</v>
      </c>
      <c r="EA48" s="2105">
        <f t="shared" si="55"/>
        <v>2690.79</v>
      </c>
    </row>
    <row r="49" spans="1:131" s="2049" customFormat="1" ht="15" customHeight="1" x14ac:dyDescent="0.25">
      <c r="A49" s="2089" t="s">
        <v>114</v>
      </c>
      <c r="B49" s="2090" t="s">
        <v>115</v>
      </c>
      <c r="C49" s="2091" t="s">
        <v>265</v>
      </c>
      <c r="D49" s="2092">
        <f t="shared" si="28"/>
        <v>21230.329999999998</v>
      </c>
      <c r="E49" s="2093">
        <f t="shared" si="29"/>
        <v>1730.88</v>
      </c>
      <c r="F49" s="2093">
        <f t="shared" si="30"/>
        <v>4473.38</v>
      </c>
      <c r="G49" s="2093">
        <f t="shared" si="31"/>
        <v>-0.02</v>
      </c>
      <c r="H49" s="2093">
        <f t="shared" si="32"/>
        <v>0</v>
      </c>
      <c r="I49" s="2093">
        <f t="shared" si="33"/>
        <v>27434.57</v>
      </c>
      <c r="J49" s="2093">
        <f t="shared" si="34"/>
        <v>-0.02</v>
      </c>
      <c r="K49" s="2094">
        <f t="shared" si="35"/>
        <v>4473.3599999999997</v>
      </c>
      <c r="L49" s="2095"/>
      <c r="M49" s="2096"/>
      <c r="N49" s="2129"/>
      <c r="O49" s="2096"/>
      <c r="P49" s="2096"/>
      <c r="Q49" s="2097">
        <f t="shared" si="36"/>
        <v>0</v>
      </c>
      <c r="R49" s="2098"/>
      <c r="S49" s="2099"/>
      <c r="T49" s="2099"/>
      <c r="U49" s="2099"/>
      <c r="V49" s="2099"/>
      <c r="W49" s="2100">
        <f t="shared" si="37"/>
        <v>0</v>
      </c>
      <c r="X49" s="2101"/>
      <c r="Y49" s="2102"/>
      <c r="Z49" s="2102"/>
      <c r="AA49" s="2102"/>
      <c r="AB49" s="2102"/>
      <c r="AC49" s="2100">
        <f t="shared" si="38"/>
        <v>0</v>
      </c>
      <c r="AD49" s="2103">
        <v>4603.8</v>
      </c>
      <c r="AE49" s="2104">
        <v>0</v>
      </c>
      <c r="AF49" s="2104">
        <v>1150.98</v>
      </c>
      <c r="AG49" s="2104">
        <v>0</v>
      </c>
      <c r="AH49" s="2104">
        <v>0</v>
      </c>
      <c r="AI49" s="2105">
        <f t="shared" si="39"/>
        <v>5754.7800000000007</v>
      </c>
      <c r="AJ49" s="2098"/>
      <c r="AK49" s="2099"/>
      <c r="AL49" s="2099"/>
      <c r="AM49" s="2099"/>
      <c r="AN49" s="2099"/>
      <c r="AO49" s="2106">
        <f t="shared" si="40"/>
        <v>0</v>
      </c>
      <c r="AP49" s="2098"/>
      <c r="AQ49" s="2099"/>
      <c r="AR49" s="2099"/>
      <c r="AS49" s="2099"/>
      <c r="AT49" s="2099"/>
      <c r="AU49" s="2106">
        <f t="shared" si="41"/>
        <v>0</v>
      </c>
      <c r="AV49" s="2107"/>
      <c r="AW49" s="2108"/>
      <c r="AX49" s="2108"/>
      <c r="AY49" s="2108"/>
      <c r="AZ49" s="2109"/>
      <c r="BA49" s="2110">
        <f t="shared" si="42"/>
        <v>0</v>
      </c>
      <c r="BB49" s="2111">
        <v>87.32</v>
      </c>
      <c r="BC49" s="2112">
        <v>157.68</v>
      </c>
      <c r="BD49" s="2112">
        <v>0</v>
      </c>
      <c r="BE49" s="2112">
        <v>0</v>
      </c>
      <c r="BF49" s="2113">
        <v>0</v>
      </c>
      <c r="BG49" s="2114">
        <f t="shared" si="43"/>
        <v>245</v>
      </c>
      <c r="BH49" s="2103">
        <v>12420</v>
      </c>
      <c r="BI49" s="2104">
        <v>1573.2</v>
      </c>
      <c r="BJ49" s="2104">
        <v>2566.8000000000002</v>
      </c>
      <c r="BK49" s="2104">
        <v>0</v>
      </c>
      <c r="BL49" s="2104">
        <v>0</v>
      </c>
      <c r="BM49" s="2117">
        <f t="shared" si="44"/>
        <v>16560</v>
      </c>
      <c r="BN49" s="2115"/>
      <c r="BO49" s="2116"/>
      <c r="BP49" s="2116"/>
      <c r="BQ49" s="2116"/>
      <c r="BR49" s="2116"/>
      <c r="BS49" s="2105">
        <f t="shared" si="45"/>
        <v>0</v>
      </c>
      <c r="BT49" s="2115"/>
      <c r="BU49" s="2116"/>
      <c r="BV49" s="2116"/>
      <c r="BW49" s="2116"/>
      <c r="BX49" s="2116"/>
      <c r="BY49" s="2105">
        <f t="shared" si="46"/>
        <v>0</v>
      </c>
      <c r="BZ49" s="2115"/>
      <c r="CA49" s="2116"/>
      <c r="CB49" s="2116"/>
      <c r="CC49" s="2116"/>
      <c r="CD49" s="2116"/>
      <c r="CE49" s="2105">
        <f t="shared" si="47"/>
        <v>0</v>
      </c>
      <c r="CF49" s="2115"/>
      <c r="CG49" s="2116"/>
      <c r="CH49" s="2116"/>
      <c r="CI49" s="2116"/>
      <c r="CJ49" s="2116"/>
      <c r="CK49" s="2117">
        <f t="shared" si="48"/>
        <v>0</v>
      </c>
      <c r="CL49" s="2115"/>
      <c r="CM49" s="2116"/>
      <c r="CN49" s="2116"/>
      <c r="CO49" s="2116"/>
      <c r="CP49" s="2116"/>
      <c r="CQ49" s="2105">
        <f t="shared" si="49"/>
        <v>0</v>
      </c>
      <c r="CR49" s="2115"/>
      <c r="CS49" s="2116"/>
      <c r="CT49" s="2116"/>
      <c r="CU49" s="2116"/>
      <c r="CV49" s="2116"/>
      <c r="CW49" s="2117">
        <f t="shared" si="50"/>
        <v>0</v>
      </c>
      <c r="CX49" s="2115"/>
      <c r="CY49" s="2116"/>
      <c r="CZ49" s="2116"/>
      <c r="DA49" s="2116"/>
      <c r="DB49" s="2116"/>
      <c r="DC49" s="2105">
        <f t="shared" si="51"/>
        <v>0</v>
      </c>
      <c r="DD49" s="2103"/>
      <c r="DE49" s="2104"/>
      <c r="DF49" s="2104"/>
      <c r="DG49" s="2104"/>
      <c r="DH49" s="2104"/>
      <c r="DI49" s="2105">
        <f t="shared" si="52"/>
        <v>0</v>
      </c>
      <c r="DJ49" s="2103"/>
      <c r="DK49" s="2104"/>
      <c r="DL49" s="2104"/>
      <c r="DM49" s="2104"/>
      <c r="DN49" s="2104"/>
      <c r="DO49" s="2105">
        <f t="shared" si="53"/>
        <v>0</v>
      </c>
      <c r="DP49" s="2115"/>
      <c r="DQ49" s="2116"/>
      <c r="DR49" s="2116"/>
      <c r="DS49" s="2116"/>
      <c r="DT49" s="2116"/>
      <c r="DU49" s="2118">
        <f t="shared" si="54"/>
        <v>0</v>
      </c>
      <c r="DV49" s="2103">
        <v>4119.21</v>
      </c>
      <c r="DW49" s="2104">
        <v>0</v>
      </c>
      <c r="DX49" s="2104">
        <v>755.6</v>
      </c>
      <c r="DY49" s="2104">
        <v>-0.02</v>
      </c>
      <c r="DZ49" s="2104">
        <v>0</v>
      </c>
      <c r="EA49" s="2105">
        <f t="shared" si="55"/>
        <v>4874.79</v>
      </c>
    </row>
    <row r="50" spans="1:131" s="2049" customFormat="1" ht="15" customHeight="1" x14ac:dyDescent="0.25">
      <c r="A50" s="2089" t="s">
        <v>118</v>
      </c>
      <c r="B50" s="2090" t="s">
        <v>119</v>
      </c>
      <c r="C50" s="2091" t="s">
        <v>264</v>
      </c>
      <c r="D50" s="2092">
        <f t="shared" si="28"/>
        <v>54851.811299045956</v>
      </c>
      <c r="E50" s="2093">
        <f t="shared" si="29"/>
        <v>22157.088700954049</v>
      </c>
      <c r="F50" s="2093">
        <f t="shared" si="30"/>
        <v>16535.55</v>
      </c>
      <c r="G50" s="2093">
        <f t="shared" si="31"/>
        <v>-84.43</v>
      </c>
      <c r="H50" s="2093">
        <f t="shared" si="32"/>
        <v>15531.28</v>
      </c>
      <c r="I50" s="2093">
        <f t="shared" si="33"/>
        <v>108991.30000000002</v>
      </c>
      <c r="J50" s="2093">
        <f t="shared" si="34"/>
        <v>15446.85</v>
      </c>
      <c r="K50" s="2094">
        <f t="shared" si="35"/>
        <v>31982.400000000001</v>
      </c>
      <c r="L50" s="2095"/>
      <c r="M50" s="2096"/>
      <c r="N50" s="2096"/>
      <c r="O50" s="2096"/>
      <c r="P50" s="2096"/>
      <c r="Q50" s="2097">
        <f t="shared" si="36"/>
        <v>0</v>
      </c>
      <c r="R50" s="2101"/>
      <c r="S50" s="2102"/>
      <c r="T50" s="2102"/>
      <c r="U50" s="2102"/>
      <c r="V50" s="2102"/>
      <c r="W50" s="2100">
        <f t="shared" si="37"/>
        <v>0</v>
      </c>
      <c r="X50" s="2101">
        <v>4942.71</v>
      </c>
      <c r="Y50" s="2102">
        <v>29.42</v>
      </c>
      <c r="Z50" s="2102">
        <v>912.05</v>
      </c>
      <c r="AA50" s="2102">
        <v>0.01</v>
      </c>
      <c r="AB50" s="2102">
        <v>0</v>
      </c>
      <c r="AC50" s="2100">
        <f t="shared" si="38"/>
        <v>5884.1900000000005</v>
      </c>
      <c r="AD50" s="2103">
        <v>26960.75</v>
      </c>
      <c r="AE50" s="2104">
        <v>0</v>
      </c>
      <c r="AF50" s="2104">
        <v>6740.18</v>
      </c>
      <c r="AG50" s="2104">
        <v>0.79</v>
      </c>
      <c r="AH50" s="2104">
        <v>15379.35</v>
      </c>
      <c r="AI50" s="2105">
        <f t="shared" si="39"/>
        <v>49081.07</v>
      </c>
      <c r="AJ50" s="2098"/>
      <c r="AK50" s="2099"/>
      <c r="AL50" s="2099"/>
      <c r="AM50" s="2099"/>
      <c r="AN50" s="2099"/>
      <c r="AO50" s="2106">
        <f t="shared" si="40"/>
        <v>0</v>
      </c>
      <c r="AP50" s="2098">
        <v>63.2</v>
      </c>
      <c r="AQ50" s="2099">
        <v>15.8</v>
      </c>
      <c r="AR50" s="2099">
        <v>0</v>
      </c>
      <c r="AS50" s="2099">
        <v>0</v>
      </c>
      <c r="AT50" s="2099">
        <v>0</v>
      </c>
      <c r="AU50" s="2106">
        <f t="shared" si="41"/>
        <v>79</v>
      </c>
      <c r="AV50" s="2107">
        <v>96</v>
      </c>
      <c r="AW50" s="2108">
        <v>24</v>
      </c>
      <c r="AX50" s="2108">
        <v>0</v>
      </c>
      <c r="AY50" s="2108">
        <v>0</v>
      </c>
      <c r="AZ50" s="2109">
        <v>0</v>
      </c>
      <c r="BA50" s="2110">
        <f t="shared" si="42"/>
        <v>120</v>
      </c>
      <c r="BB50" s="2111">
        <v>342.15</v>
      </c>
      <c r="BC50" s="2112">
        <v>617.85</v>
      </c>
      <c r="BD50" s="2112">
        <v>0</v>
      </c>
      <c r="BE50" s="2112">
        <v>0</v>
      </c>
      <c r="BF50" s="2113">
        <v>0</v>
      </c>
      <c r="BG50" s="2114">
        <f t="shared" si="43"/>
        <v>960</v>
      </c>
      <c r="BH50" s="2103">
        <v>11923.38</v>
      </c>
      <c r="BI50" s="2104">
        <v>1510.31</v>
      </c>
      <c r="BJ50" s="2104">
        <v>2464.1799999999998</v>
      </c>
      <c r="BK50" s="2104">
        <v>124.94</v>
      </c>
      <c r="BL50" s="2104">
        <v>0</v>
      </c>
      <c r="BM50" s="2117">
        <f t="shared" si="44"/>
        <v>16022.81</v>
      </c>
      <c r="BN50" s="2103">
        <v>-202.5</v>
      </c>
      <c r="BO50" s="2104">
        <v>-202.5</v>
      </c>
      <c r="BP50" s="2104">
        <v>0</v>
      </c>
      <c r="BQ50" s="2104">
        <v>0</v>
      </c>
      <c r="BR50" s="2104">
        <v>0</v>
      </c>
      <c r="BS50" s="2105">
        <f t="shared" si="45"/>
        <v>-405</v>
      </c>
      <c r="BT50" s="2103">
        <v>2933.181299045953</v>
      </c>
      <c r="BU50" s="2104">
        <v>18123.138700954049</v>
      </c>
      <c r="BV50" s="2104">
        <v>3862.42</v>
      </c>
      <c r="BW50" s="2104">
        <v>-0.15</v>
      </c>
      <c r="BX50" s="2104">
        <v>0</v>
      </c>
      <c r="BY50" s="2105">
        <f t="shared" si="46"/>
        <v>24918.589999999997</v>
      </c>
      <c r="BZ50" s="2103">
        <v>1017.87</v>
      </c>
      <c r="CA50" s="2104">
        <v>0</v>
      </c>
      <c r="CB50" s="2104">
        <v>939.94</v>
      </c>
      <c r="CC50" s="2104">
        <v>-0.01</v>
      </c>
      <c r="CD50" s="2104">
        <v>151.93</v>
      </c>
      <c r="CE50" s="2105">
        <f t="shared" si="47"/>
        <v>2109.73</v>
      </c>
      <c r="CF50" s="2115"/>
      <c r="CG50" s="2116"/>
      <c r="CH50" s="2116"/>
      <c r="CI50" s="2116"/>
      <c r="CJ50" s="2116"/>
      <c r="CK50" s="2117">
        <f t="shared" si="48"/>
        <v>0</v>
      </c>
      <c r="CL50" s="2103"/>
      <c r="CM50" s="2104"/>
      <c r="CN50" s="2104"/>
      <c r="CO50" s="2104"/>
      <c r="CP50" s="2104"/>
      <c r="CQ50" s="2105">
        <f t="shared" si="49"/>
        <v>0</v>
      </c>
      <c r="CR50" s="2103"/>
      <c r="CS50" s="2104"/>
      <c r="CT50" s="2104"/>
      <c r="CU50" s="2104"/>
      <c r="CV50" s="2104"/>
      <c r="CW50" s="2117">
        <f t="shared" si="50"/>
        <v>0</v>
      </c>
      <c r="CX50" s="2103"/>
      <c r="CY50" s="2104"/>
      <c r="CZ50" s="2104"/>
      <c r="DA50" s="2104"/>
      <c r="DB50" s="2104"/>
      <c r="DC50" s="2105">
        <f t="shared" si="51"/>
        <v>0</v>
      </c>
      <c r="DD50" s="2103"/>
      <c r="DE50" s="2104"/>
      <c r="DF50" s="2104"/>
      <c r="DG50" s="2104"/>
      <c r="DH50" s="2104"/>
      <c r="DI50" s="2105">
        <f t="shared" si="52"/>
        <v>0</v>
      </c>
      <c r="DJ50" s="2103"/>
      <c r="DK50" s="2104"/>
      <c r="DL50" s="2104"/>
      <c r="DM50" s="2104"/>
      <c r="DN50" s="2104"/>
      <c r="DO50" s="2105">
        <f t="shared" si="53"/>
        <v>0</v>
      </c>
      <c r="DP50" s="2103">
        <v>2955.2</v>
      </c>
      <c r="DQ50" s="2104">
        <v>2039.07</v>
      </c>
      <c r="DR50" s="2104">
        <v>916.11</v>
      </c>
      <c r="DS50" s="2104">
        <v>0</v>
      </c>
      <c r="DT50" s="2104">
        <v>0</v>
      </c>
      <c r="DU50" s="2118">
        <f t="shared" si="54"/>
        <v>5910.3799999999992</v>
      </c>
      <c r="DV50" s="2103">
        <v>3819.87</v>
      </c>
      <c r="DW50" s="2104">
        <v>0</v>
      </c>
      <c r="DX50" s="2104">
        <v>700.67</v>
      </c>
      <c r="DY50" s="2104">
        <v>-210.01</v>
      </c>
      <c r="DZ50" s="2104">
        <v>0</v>
      </c>
      <c r="EA50" s="2105">
        <f t="shared" si="55"/>
        <v>4310.53</v>
      </c>
    </row>
    <row r="51" spans="1:131" s="2049" customFormat="1" ht="15" customHeight="1" x14ac:dyDescent="0.25">
      <c r="A51" s="2089" t="s">
        <v>120</v>
      </c>
      <c r="B51" s="2090" t="s">
        <v>121</v>
      </c>
      <c r="C51" s="2091" t="s">
        <v>264</v>
      </c>
      <c r="D51" s="2092">
        <f t="shared" si="28"/>
        <v>34674.444437158556</v>
      </c>
      <c r="E51" s="2093">
        <f t="shared" si="29"/>
        <v>48985.995562841432</v>
      </c>
      <c r="F51" s="2093">
        <f t="shared" si="30"/>
        <v>16292.62</v>
      </c>
      <c r="G51" s="2093">
        <f t="shared" si="31"/>
        <v>-0.13</v>
      </c>
      <c r="H51" s="2093">
        <f t="shared" si="32"/>
        <v>0</v>
      </c>
      <c r="I51" s="2093">
        <f t="shared" si="33"/>
        <v>99952.929999999978</v>
      </c>
      <c r="J51" s="2093">
        <f t="shared" si="34"/>
        <v>-0.13</v>
      </c>
      <c r="K51" s="2094">
        <f t="shared" si="35"/>
        <v>16292.490000000002</v>
      </c>
      <c r="L51" s="2095"/>
      <c r="M51" s="2096"/>
      <c r="N51" s="2096"/>
      <c r="O51" s="2096"/>
      <c r="P51" s="2096"/>
      <c r="Q51" s="2097">
        <f t="shared" si="36"/>
        <v>0</v>
      </c>
      <c r="R51" s="2098"/>
      <c r="S51" s="2099"/>
      <c r="T51" s="2099"/>
      <c r="U51" s="2099"/>
      <c r="V51" s="2099"/>
      <c r="W51" s="2100">
        <f t="shared" si="37"/>
        <v>0</v>
      </c>
      <c r="X51" s="2101">
        <v>6323.32</v>
      </c>
      <c r="Y51" s="2102">
        <v>37.659999999999997</v>
      </c>
      <c r="Z51" s="2102">
        <v>1166.82</v>
      </c>
      <c r="AA51" s="2102">
        <v>-7.0000000000000007E-2</v>
      </c>
      <c r="AB51" s="2102">
        <v>0</v>
      </c>
      <c r="AC51" s="2100">
        <f t="shared" si="38"/>
        <v>7527.73</v>
      </c>
      <c r="AD51" s="2103">
        <v>14537.6</v>
      </c>
      <c r="AE51" s="2104">
        <v>0</v>
      </c>
      <c r="AF51" s="2104">
        <v>3634.4</v>
      </c>
      <c r="AG51" s="2104">
        <v>0</v>
      </c>
      <c r="AH51" s="2104">
        <v>0</v>
      </c>
      <c r="AI51" s="2105">
        <f t="shared" si="39"/>
        <v>18172</v>
      </c>
      <c r="AJ51" s="2098"/>
      <c r="AK51" s="2099"/>
      <c r="AL51" s="2099"/>
      <c r="AM51" s="2099"/>
      <c r="AN51" s="2099"/>
      <c r="AO51" s="2106">
        <f t="shared" si="40"/>
        <v>0</v>
      </c>
      <c r="AP51" s="2101"/>
      <c r="AQ51" s="2102"/>
      <c r="AR51" s="2102"/>
      <c r="AS51" s="2102"/>
      <c r="AT51" s="2102"/>
      <c r="AU51" s="2106">
        <f t="shared" si="41"/>
        <v>0</v>
      </c>
      <c r="AV51" s="2107">
        <v>381.59</v>
      </c>
      <c r="AW51" s="2108">
        <v>95.4</v>
      </c>
      <c r="AX51" s="2108">
        <v>0</v>
      </c>
      <c r="AY51" s="2108">
        <v>0</v>
      </c>
      <c r="AZ51" s="2109">
        <v>0</v>
      </c>
      <c r="BA51" s="2110">
        <f t="shared" si="42"/>
        <v>476.99</v>
      </c>
      <c r="BB51" s="2111">
        <v>427.68</v>
      </c>
      <c r="BC51" s="2112">
        <v>772.32</v>
      </c>
      <c r="BD51" s="2112">
        <v>0</v>
      </c>
      <c r="BE51" s="2112">
        <v>0</v>
      </c>
      <c r="BF51" s="2113">
        <v>0</v>
      </c>
      <c r="BG51" s="2114">
        <f t="shared" si="43"/>
        <v>1200</v>
      </c>
      <c r="BH51" s="2115"/>
      <c r="BI51" s="2116"/>
      <c r="BJ51" s="2116"/>
      <c r="BK51" s="2116"/>
      <c r="BL51" s="2116"/>
      <c r="BM51" s="2117">
        <f t="shared" si="44"/>
        <v>0</v>
      </c>
      <c r="BN51" s="2103"/>
      <c r="BO51" s="2104"/>
      <c r="BP51" s="2104"/>
      <c r="BQ51" s="2104"/>
      <c r="BR51" s="2104"/>
      <c r="BS51" s="2105">
        <f t="shared" si="45"/>
        <v>0</v>
      </c>
      <c r="BT51" s="2103">
        <v>10153.514437158559</v>
      </c>
      <c r="BU51" s="2104">
        <v>48861.515562841436</v>
      </c>
      <c r="BV51" s="2104">
        <v>10825.27</v>
      </c>
      <c r="BW51" s="2104">
        <v>-0.11</v>
      </c>
      <c r="BX51" s="2104">
        <v>0</v>
      </c>
      <c r="BY51" s="2105">
        <f t="shared" si="46"/>
        <v>69840.19</v>
      </c>
      <c r="BZ51" s="2103"/>
      <c r="CA51" s="2104"/>
      <c r="CB51" s="2104"/>
      <c r="CC51" s="2104"/>
      <c r="CD51" s="2104"/>
      <c r="CE51" s="2105">
        <f t="shared" si="47"/>
        <v>0</v>
      </c>
      <c r="CF51" s="2103"/>
      <c r="CG51" s="2104"/>
      <c r="CH51" s="2104"/>
      <c r="CI51" s="2104"/>
      <c r="CJ51" s="2104"/>
      <c r="CK51" s="2117">
        <f t="shared" si="48"/>
        <v>0</v>
      </c>
      <c r="CL51" s="2103"/>
      <c r="CM51" s="2104"/>
      <c r="CN51" s="2104"/>
      <c r="CO51" s="2104"/>
      <c r="CP51" s="2104"/>
      <c r="CQ51" s="2105">
        <f t="shared" si="49"/>
        <v>0</v>
      </c>
      <c r="CR51" s="2103">
        <v>-780.9</v>
      </c>
      <c r="CS51" s="2104">
        <v>-780.9</v>
      </c>
      <c r="CT51" s="2104">
        <v>0</v>
      </c>
      <c r="CU51" s="2104">
        <v>0</v>
      </c>
      <c r="CV51" s="2104">
        <v>0</v>
      </c>
      <c r="CW51" s="2117">
        <f t="shared" si="50"/>
        <v>-1561.8</v>
      </c>
      <c r="CX51" s="2103"/>
      <c r="CY51" s="2104"/>
      <c r="CZ51" s="2104"/>
      <c r="DA51" s="2104"/>
      <c r="DB51" s="2104"/>
      <c r="DC51" s="2105">
        <f t="shared" si="51"/>
        <v>0</v>
      </c>
      <c r="DD51" s="2103"/>
      <c r="DE51" s="2104"/>
      <c r="DF51" s="2104"/>
      <c r="DG51" s="2104"/>
      <c r="DH51" s="2104"/>
      <c r="DI51" s="2105">
        <f t="shared" si="52"/>
        <v>0</v>
      </c>
      <c r="DJ51" s="2103"/>
      <c r="DK51" s="2104"/>
      <c r="DL51" s="2104"/>
      <c r="DM51" s="2104"/>
      <c r="DN51" s="2104"/>
      <c r="DO51" s="2105">
        <f t="shared" si="53"/>
        <v>0</v>
      </c>
      <c r="DP51" s="2103"/>
      <c r="DQ51" s="2104"/>
      <c r="DR51" s="2104"/>
      <c r="DS51" s="2104"/>
      <c r="DT51" s="2104"/>
      <c r="DU51" s="2118">
        <f t="shared" si="54"/>
        <v>0</v>
      </c>
      <c r="DV51" s="2103">
        <v>3631.64</v>
      </c>
      <c r="DW51" s="2104">
        <v>0</v>
      </c>
      <c r="DX51" s="2104">
        <v>666.13</v>
      </c>
      <c r="DY51" s="2104">
        <v>0.05</v>
      </c>
      <c r="DZ51" s="2104">
        <v>0</v>
      </c>
      <c r="EA51" s="2105">
        <f t="shared" si="55"/>
        <v>4297.82</v>
      </c>
    </row>
    <row r="52" spans="1:131" s="2049" customFormat="1" ht="15" customHeight="1" x14ac:dyDescent="0.25">
      <c r="A52" s="2089" t="s">
        <v>122</v>
      </c>
      <c r="B52" s="2090" t="s">
        <v>271</v>
      </c>
      <c r="C52" s="2091" t="s">
        <v>266</v>
      </c>
      <c r="D52" s="2092">
        <f t="shared" si="28"/>
        <v>19262.915518721566</v>
      </c>
      <c r="E52" s="2093">
        <f t="shared" si="29"/>
        <v>6753.1344812784364</v>
      </c>
      <c r="F52" s="2093">
        <f t="shared" si="30"/>
        <v>4791.05</v>
      </c>
      <c r="G52" s="2093">
        <f t="shared" si="31"/>
        <v>0</v>
      </c>
      <c r="H52" s="2093">
        <f t="shared" si="32"/>
        <v>0</v>
      </c>
      <c r="I52" s="2093">
        <f t="shared" si="33"/>
        <v>30807.100000000002</v>
      </c>
      <c r="J52" s="2093">
        <f t="shared" si="34"/>
        <v>0</v>
      </c>
      <c r="K52" s="2094">
        <f t="shared" si="35"/>
        <v>4791.05</v>
      </c>
      <c r="L52" s="2095"/>
      <c r="M52" s="2096"/>
      <c r="N52" s="2096"/>
      <c r="O52" s="2096"/>
      <c r="P52" s="2096"/>
      <c r="Q52" s="2097">
        <f t="shared" si="36"/>
        <v>0</v>
      </c>
      <c r="R52" s="2098"/>
      <c r="S52" s="2099"/>
      <c r="T52" s="2099"/>
      <c r="U52" s="2099"/>
      <c r="V52" s="2099"/>
      <c r="W52" s="2100">
        <f t="shared" si="37"/>
        <v>0</v>
      </c>
      <c r="X52" s="2098">
        <v>672</v>
      </c>
      <c r="Y52" s="2099">
        <v>4</v>
      </c>
      <c r="Z52" s="2099">
        <v>124</v>
      </c>
      <c r="AA52" s="2099">
        <v>0</v>
      </c>
      <c r="AB52" s="2099">
        <v>0</v>
      </c>
      <c r="AC52" s="2100">
        <f t="shared" si="38"/>
        <v>800</v>
      </c>
      <c r="AD52" s="2103">
        <v>800</v>
      </c>
      <c r="AE52" s="2104">
        <v>0</v>
      </c>
      <c r="AF52" s="2104">
        <v>200</v>
      </c>
      <c r="AG52" s="2104">
        <v>0</v>
      </c>
      <c r="AH52" s="2104">
        <v>0</v>
      </c>
      <c r="AI52" s="2105">
        <f t="shared" si="39"/>
        <v>1000</v>
      </c>
      <c r="AJ52" s="2098">
        <v>134.41999999999999</v>
      </c>
      <c r="AK52" s="2099">
        <v>92.75</v>
      </c>
      <c r="AL52" s="2099">
        <v>41.67</v>
      </c>
      <c r="AM52" s="2099">
        <v>-0.01</v>
      </c>
      <c r="AN52" s="2099">
        <v>0</v>
      </c>
      <c r="AO52" s="2106">
        <f t="shared" si="40"/>
        <v>268.83</v>
      </c>
      <c r="AP52" s="2101"/>
      <c r="AQ52" s="2102"/>
      <c r="AR52" s="2102"/>
      <c r="AS52" s="2102"/>
      <c r="AT52" s="2102"/>
      <c r="AU52" s="2106">
        <f t="shared" si="41"/>
        <v>0</v>
      </c>
      <c r="AV52" s="2107">
        <v>149.9</v>
      </c>
      <c r="AW52" s="2108">
        <v>37.47</v>
      </c>
      <c r="AX52" s="2108">
        <v>0</v>
      </c>
      <c r="AY52" s="2108">
        <v>0</v>
      </c>
      <c r="AZ52" s="2109">
        <v>0</v>
      </c>
      <c r="BA52" s="2110">
        <f t="shared" si="42"/>
        <v>187.37</v>
      </c>
      <c r="BB52" s="2111"/>
      <c r="BC52" s="2112"/>
      <c r="BD52" s="2112"/>
      <c r="BE52" s="2112"/>
      <c r="BF52" s="2113"/>
      <c r="BG52" s="2114">
        <f t="shared" si="43"/>
        <v>0</v>
      </c>
      <c r="BH52" s="2103">
        <v>12420</v>
      </c>
      <c r="BI52" s="2104">
        <v>1573.2</v>
      </c>
      <c r="BJ52" s="2104">
        <v>2566.8000000000002</v>
      </c>
      <c r="BK52" s="2104">
        <v>0</v>
      </c>
      <c r="BL52" s="2104">
        <v>0</v>
      </c>
      <c r="BM52" s="2117">
        <f t="shared" si="44"/>
        <v>16560</v>
      </c>
      <c r="BN52" s="2103"/>
      <c r="BO52" s="2104"/>
      <c r="BP52" s="2104"/>
      <c r="BQ52" s="2104"/>
      <c r="BR52" s="2104"/>
      <c r="BS52" s="2105">
        <f t="shared" si="45"/>
        <v>0</v>
      </c>
      <c r="BT52" s="2103">
        <v>979.91551872156333</v>
      </c>
      <c r="BU52" s="2104">
        <v>5045.7144812784363</v>
      </c>
      <c r="BV52" s="2104">
        <v>1105.3</v>
      </c>
      <c r="BW52" s="2104">
        <v>-0.03</v>
      </c>
      <c r="BX52" s="2104">
        <v>0</v>
      </c>
      <c r="BY52" s="2105">
        <f t="shared" si="46"/>
        <v>7130.9</v>
      </c>
      <c r="BZ52" s="2115"/>
      <c r="CA52" s="2116"/>
      <c r="CB52" s="2116"/>
      <c r="CC52" s="2116"/>
      <c r="CD52" s="2116"/>
      <c r="CE52" s="2105">
        <f t="shared" si="47"/>
        <v>0</v>
      </c>
      <c r="CF52" s="2115"/>
      <c r="CG52" s="2116"/>
      <c r="CH52" s="2116"/>
      <c r="CI52" s="2116"/>
      <c r="CJ52" s="2116"/>
      <c r="CK52" s="2117">
        <f t="shared" si="48"/>
        <v>0</v>
      </c>
      <c r="CL52" s="2115"/>
      <c r="CM52" s="2116"/>
      <c r="CN52" s="2116"/>
      <c r="CO52" s="2116"/>
      <c r="CP52" s="2116"/>
      <c r="CQ52" s="2105">
        <f t="shared" si="49"/>
        <v>0</v>
      </c>
      <c r="CR52" s="2103"/>
      <c r="CS52" s="2104"/>
      <c r="CT52" s="2104"/>
      <c r="CU52" s="2104"/>
      <c r="CV52" s="2104"/>
      <c r="CW52" s="2117">
        <f t="shared" si="50"/>
        <v>0</v>
      </c>
      <c r="CX52" s="2103"/>
      <c r="CY52" s="2104"/>
      <c r="CZ52" s="2104"/>
      <c r="DA52" s="2104"/>
      <c r="DB52" s="2104"/>
      <c r="DC52" s="2105">
        <f t="shared" si="51"/>
        <v>0</v>
      </c>
      <c r="DD52" s="2103"/>
      <c r="DE52" s="2104"/>
      <c r="DF52" s="2104"/>
      <c r="DG52" s="2104"/>
      <c r="DH52" s="2104"/>
      <c r="DI52" s="2105">
        <f t="shared" si="52"/>
        <v>0</v>
      </c>
      <c r="DJ52" s="2103"/>
      <c r="DK52" s="2104"/>
      <c r="DL52" s="2104"/>
      <c r="DM52" s="2104"/>
      <c r="DN52" s="2104"/>
      <c r="DO52" s="2105">
        <f t="shared" si="53"/>
        <v>0</v>
      </c>
      <c r="DP52" s="2103"/>
      <c r="DQ52" s="2104"/>
      <c r="DR52" s="2104"/>
      <c r="DS52" s="2104"/>
      <c r="DT52" s="2104"/>
      <c r="DU52" s="2118">
        <f t="shared" si="54"/>
        <v>0</v>
      </c>
      <c r="DV52" s="2103">
        <v>4106.68</v>
      </c>
      <c r="DW52" s="2104">
        <v>0</v>
      </c>
      <c r="DX52" s="2104">
        <v>753.28</v>
      </c>
      <c r="DY52" s="2104">
        <v>0.04</v>
      </c>
      <c r="DZ52" s="2104">
        <v>0</v>
      </c>
      <c r="EA52" s="2105">
        <f t="shared" si="55"/>
        <v>4860</v>
      </c>
    </row>
    <row r="53" spans="1:131" s="2049" customFormat="1" ht="15" customHeight="1" x14ac:dyDescent="0.25">
      <c r="A53" s="2089" t="s">
        <v>124</v>
      </c>
      <c r="B53" s="2090" t="s">
        <v>125</v>
      </c>
      <c r="C53" s="2091" t="s">
        <v>267</v>
      </c>
      <c r="D53" s="2092">
        <f t="shared" si="28"/>
        <v>25168.601681584089</v>
      </c>
      <c r="E53" s="2093">
        <f t="shared" si="29"/>
        <v>15587.49831841591</v>
      </c>
      <c r="F53" s="2093">
        <f t="shared" si="30"/>
        <v>6492.53</v>
      </c>
      <c r="G53" s="2093">
        <f t="shared" si="31"/>
        <v>-0.02</v>
      </c>
      <c r="H53" s="2093">
        <f t="shared" si="32"/>
        <v>0</v>
      </c>
      <c r="I53" s="2093">
        <f t="shared" si="33"/>
        <v>47248.61</v>
      </c>
      <c r="J53" s="2093">
        <f t="shared" si="34"/>
        <v>-0.02</v>
      </c>
      <c r="K53" s="2094">
        <f t="shared" si="35"/>
        <v>6492.5099999999993</v>
      </c>
      <c r="L53" s="2095"/>
      <c r="M53" s="2096"/>
      <c r="N53" s="2096"/>
      <c r="O53" s="2096"/>
      <c r="P53" s="2096"/>
      <c r="Q53" s="2097">
        <f t="shared" si="36"/>
        <v>0</v>
      </c>
      <c r="R53" s="2098"/>
      <c r="S53" s="2099"/>
      <c r="T53" s="2099"/>
      <c r="U53" s="2099"/>
      <c r="V53" s="2099"/>
      <c r="W53" s="2100">
        <f t="shared" si="37"/>
        <v>0</v>
      </c>
      <c r="X53" s="2101">
        <v>616.91</v>
      </c>
      <c r="Y53" s="2102">
        <v>3.67</v>
      </c>
      <c r="Z53" s="2102">
        <v>113.84</v>
      </c>
      <c r="AA53" s="2102">
        <v>0</v>
      </c>
      <c r="AB53" s="2102">
        <v>0</v>
      </c>
      <c r="AC53" s="2100">
        <f t="shared" si="38"/>
        <v>734.42</v>
      </c>
      <c r="AD53" s="2103">
        <v>2052.7600000000002</v>
      </c>
      <c r="AE53" s="2104">
        <v>0</v>
      </c>
      <c r="AF53" s="2104">
        <v>513.19000000000005</v>
      </c>
      <c r="AG53" s="2104">
        <v>0</v>
      </c>
      <c r="AH53" s="2104">
        <v>0</v>
      </c>
      <c r="AI53" s="2105">
        <f t="shared" si="39"/>
        <v>2565.9500000000003</v>
      </c>
      <c r="AJ53" s="2098"/>
      <c r="AK53" s="2099"/>
      <c r="AL53" s="2099"/>
      <c r="AM53" s="2099"/>
      <c r="AN53" s="2099"/>
      <c r="AO53" s="2106">
        <f t="shared" si="40"/>
        <v>0</v>
      </c>
      <c r="AP53" s="2101">
        <v>4000</v>
      </c>
      <c r="AQ53" s="2102">
        <v>1000</v>
      </c>
      <c r="AR53" s="2102">
        <v>0</v>
      </c>
      <c r="AS53" s="2102">
        <v>0</v>
      </c>
      <c r="AT53" s="2102">
        <v>0</v>
      </c>
      <c r="AU53" s="2106">
        <f t="shared" si="41"/>
        <v>5000</v>
      </c>
      <c r="AV53" s="2107">
        <v>102.11</v>
      </c>
      <c r="AW53" s="2108">
        <v>25.53</v>
      </c>
      <c r="AX53" s="2108">
        <v>0</v>
      </c>
      <c r="AY53" s="2108">
        <v>0</v>
      </c>
      <c r="AZ53" s="2109">
        <v>0</v>
      </c>
      <c r="BA53" s="2110">
        <f t="shared" si="42"/>
        <v>127.64</v>
      </c>
      <c r="BB53" s="2111">
        <v>348.83</v>
      </c>
      <c r="BC53" s="2112">
        <v>629.91999999999996</v>
      </c>
      <c r="BD53" s="2112">
        <v>0</v>
      </c>
      <c r="BE53" s="2112">
        <v>0</v>
      </c>
      <c r="BF53" s="2113">
        <v>0</v>
      </c>
      <c r="BG53" s="2114">
        <f t="shared" si="43"/>
        <v>978.75</v>
      </c>
      <c r="BH53" s="2103">
        <v>10916.4</v>
      </c>
      <c r="BI53" s="2104">
        <v>1382.76</v>
      </c>
      <c r="BJ53" s="2104">
        <v>2256.0700000000002</v>
      </c>
      <c r="BK53" s="2104">
        <v>-0.03</v>
      </c>
      <c r="BL53" s="2104">
        <v>0</v>
      </c>
      <c r="BM53" s="2117">
        <f t="shared" si="44"/>
        <v>14555.199999999999</v>
      </c>
      <c r="BN53" s="2103"/>
      <c r="BO53" s="2104"/>
      <c r="BP53" s="2104"/>
      <c r="BQ53" s="2104"/>
      <c r="BR53" s="2104"/>
      <c r="BS53" s="2105">
        <f t="shared" si="45"/>
        <v>0</v>
      </c>
      <c r="BT53" s="2103">
        <v>2028.6516815840896</v>
      </c>
      <c r="BU53" s="2104">
        <v>12545.618318415909</v>
      </c>
      <c r="BV53" s="2104">
        <v>2673.39</v>
      </c>
      <c r="BW53" s="2104">
        <v>-0.01</v>
      </c>
      <c r="BX53" s="2104">
        <v>0</v>
      </c>
      <c r="BY53" s="2105">
        <f t="shared" si="46"/>
        <v>17247.650000000001</v>
      </c>
      <c r="BZ53" s="2115"/>
      <c r="CA53" s="2116"/>
      <c r="CB53" s="2116"/>
      <c r="CC53" s="2116"/>
      <c r="CD53" s="2116"/>
      <c r="CE53" s="2105">
        <f t="shared" si="47"/>
        <v>0</v>
      </c>
      <c r="CF53" s="2115"/>
      <c r="CG53" s="2116"/>
      <c r="CH53" s="2116"/>
      <c r="CI53" s="2116"/>
      <c r="CJ53" s="2116"/>
      <c r="CK53" s="2117">
        <f t="shared" si="48"/>
        <v>0</v>
      </c>
      <c r="CL53" s="2103"/>
      <c r="CM53" s="2104"/>
      <c r="CN53" s="2104"/>
      <c r="CO53" s="2104"/>
      <c r="CP53" s="2104"/>
      <c r="CQ53" s="2105">
        <f t="shared" si="49"/>
        <v>0</v>
      </c>
      <c r="CR53" s="2103"/>
      <c r="CS53" s="2104"/>
      <c r="CT53" s="2104"/>
      <c r="CU53" s="2104"/>
      <c r="CV53" s="2104"/>
      <c r="CW53" s="2117">
        <f t="shared" si="50"/>
        <v>0</v>
      </c>
      <c r="CX53" s="2103"/>
      <c r="CY53" s="2104"/>
      <c r="CZ53" s="2104"/>
      <c r="DA53" s="2104"/>
      <c r="DB53" s="2104"/>
      <c r="DC53" s="2105">
        <f t="shared" si="51"/>
        <v>0</v>
      </c>
      <c r="DD53" s="2103"/>
      <c r="DE53" s="2104"/>
      <c r="DF53" s="2104"/>
      <c r="DG53" s="2104"/>
      <c r="DH53" s="2104"/>
      <c r="DI53" s="2105">
        <f t="shared" si="52"/>
        <v>0</v>
      </c>
      <c r="DJ53" s="2103"/>
      <c r="DK53" s="2104"/>
      <c r="DL53" s="2104"/>
      <c r="DM53" s="2104"/>
      <c r="DN53" s="2104"/>
      <c r="DO53" s="2105">
        <f t="shared" si="53"/>
        <v>0</v>
      </c>
      <c r="DP53" s="2103"/>
      <c r="DQ53" s="2104"/>
      <c r="DR53" s="2104"/>
      <c r="DS53" s="2104"/>
      <c r="DT53" s="2104"/>
      <c r="DU53" s="2118">
        <f t="shared" si="54"/>
        <v>0</v>
      </c>
      <c r="DV53" s="2103">
        <v>5102.9399999999996</v>
      </c>
      <c r="DW53" s="2104">
        <v>0</v>
      </c>
      <c r="DX53" s="2104">
        <v>936.04</v>
      </c>
      <c r="DY53" s="2104">
        <v>0.02</v>
      </c>
      <c r="DZ53" s="2104">
        <v>0</v>
      </c>
      <c r="EA53" s="2105">
        <f t="shared" si="55"/>
        <v>6039</v>
      </c>
    </row>
    <row r="54" spans="1:131" s="2049" customFormat="1" ht="15" customHeight="1" x14ac:dyDescent="0.25">
      <c r="A54" s="2089" t="s">
        <v>126</v>
      </c>
      <c r="B54" s="2090" t="s">
        <v>127</v>
      </c>
      <c r="C54" s="2091" t="s">
        <v>266</v>
      </c>
      <c r="D54" s="2092">
        <f t="shared" si="28"/>
        <v>30657.808723767936</v>
      </c>
      <c r="E54" s="2093">
        <f t="shared" si="29"/>
        <v>12715.711276232063</v>
      </c>
      <c r="F54" s="2093">
        <f t="shared" si="30"/>
        <v>8048.57</v>
      </c>
      <c r="G54" s="2093">
        <f t="shared" si="31"/>
        <v>-3.9999999999999994E-2</v>
      </c>
      <c r="H54" s="2093">
        <f t="shared" si="32"/>
        <v>0</v>
      </c>
      <c r="I54" s="2093">
        <f t="shared" si="33"/>
        <v>51422.049999999996</v>
      </c>
      <c r="J54" s="2093">
        <f t="shared" si="34"/>
        <v>-3.9999999999999994E-2</v>
      </c>
      <c r="K54" s="2094">
        <f t="shared" si="35"/>
        <v>8048.53</v>
      </c>
      <c r="L54" s="2095"/>
      <c r="M54" s="2096"/>
      <c r="N54" s="2096"/>
      <c r="O54" s="2096"/>
      <c r="P54" s="2096"/>
      <c r="Q54" s="2097">
        <f t="shared" si="36"/>
        <v>0</v>
      </c>
      <c r="R54" s="2098"/>
      <c r="S54" s="2099"/>
      <c r="T54" s="2099"/>
      <c r="U54" s="2099"/>
      <c r="V54" s="2099"/>
      <c r="W54" s="2100">
        <f t="shared" si="37"/>
        <v>0</v>
      </c>
      <c r="X54" s="2101">
        <v>2969.42</v>
      </c>
      <c r="Y54" s="2102">
        <v>17.670000000000002</v>
      </c>
      <c r="Z54" s="2102">
        <v>547.91999999999996</v>
      </c>
      <c r="AA54" s="2102">
        <v>0.01</v>
      </c>
      <c r="AB54" s="2102">
        <v>0</v>
      </c>
      <c r="AC54" s="2100">
        <f t="shared" si="38"/>
        <v>3535.0200000000004</v>
      </c>
      <c r="AD54" s="2103">
        <v>2764.8</v>
      </c>
      <c r="AE54" s="2104">
        <v>0</v>
      </c>
      <c r="AF54" s="2104">
        <v>691.2</v>
      </c>
      <c r="AG54" s="2104">
        <v>0</v>
      </c>
      <c r="AH54" s="2104">
        <v>0</v>
      </c>
      <c r="AI54" s="2105">
        <f t="shared" si="39"/>
        <v>3456</v>
      </c>
      <c r="AJ54" s="2098"/>
      <c r="AK54" s="2099"/>
      <c r="AL54" s="2099"/>
      <c r="AM54" s="2099"/>
      <c r="AN54" s="2099"/>
      <c r="AO54" s="2106">
        <f t="shared" si="40"/>
        <v>0</v>
      </c>
      <c r="AP54" s="2098"/>
      <c r="AQ54" s="2099"/>
      <c r="AR54" s="2099"/>
      <c r="AS54" s="2099"/>
      <c r="AT54" s="2099"/>
      <c r="AU54" s="2106">
        <f t="shared" si="41"/>
        <v>0</v>
      </c>
      <c r="AV54" s="2107">
        <v>363.06</v>
      </c>
      <c r="AW54" s="2108">
        <v>90.77</v>
      </c>
      <c r="AX54" s="2108">
        <v>0</v>
      </c>
      <c r="AY54" s="2108">
        <v>0</v>
      </c>
      <c r="AZ54" s="2109">
        <v>0</v>
      </c>
      <c r="BA54" s="2110">
        <f t="shared" si="42"/>
        <v>453.83</v>
      </c>
      <c r="BB54" s="2119">
        <v>16.100000000000001</v>
      </c>
      <c r="BC54" s="2120">
        <v>29.06</v>
      </c>
      <c r="BD54" s="2120">
        <v>0</v>
      </c>
      <c r="BE54" s="2120">
        <v>0</v>
      </c>
      <c r="BF54" s="2120">
        <v>0</v>
      </c>
      <c r="BG54" s="2114">
        <f t="shared" si="43"/>
        <v>45.16</v>
      </c>
      <c r="BH54" s="2103">
        <v>17250.009999999998</v>
      </c>
      <c r="BI54" s="2104">
        <v>2185.0100000000002</v>
      </c>
      <c r="BJ54" s="2104">
        <v>3564.99</v>
      </c>
      <c r="BK54" s="2104">
        <v>-0.01</v>
      </c>
      <c r="BL54" s="2104">
        <v>0</v>
      </c>
      <c r="BM54" s="2117">
        <f t="shared" si="44"/>
        <v>22999.999999999996</v>
      </c>
      <c r="BN54" s="2103"/>
      <c r="BO54" s="2104"/>
      <c r="BP54" s="2104"/>
      <c r="BQ54" s="2104"/>
      <c r="BR54" s="2104"/>
      <c r="BS54" s="2105">
        <f t="shared" si="45"/>
        <v>0</v>
      </c>
      <c r="BT54" s="2103">
        <v>1280.708723767938</v>
      </c>
      <c r="BU54" s="2104">
        <v>8116.2012762320628</v>
      </c>
      <c r="BV54" s="2104">
        <v>1723.69</v>
      </c>
      <c r="BW54" s="2104">
        <v>-0.06</v>
      </c>
      <c r="BX54" s="2104">
        <v>0</v>
      </c>
      <c r="BY54" s="2105">
        <f t="shared" si="46"/>
        <v>11120.54</v>
      </c>
      <c r="BZ54" s="2115"/>
      <c r="CA54" s="2116"/>
      <c r="CB54" s="2116"/>
      <c r="CC54" s="2116"/>
      <c r="CD54" s="2116"/>
      <c r="CE54" s="2105">
        <f t="shared" si="47"/>
        <v>0</v>
      </c>
      <c r="CF54" s="2115"/>
      <c r="CG54" s="2116"/>
      <c r="CH54" s="2116"/>
      <c r="CI54" s="2116"/>
      <c r="CJ54" s="2116"/>
      <c r="CK54" s="2117">
        <f t="shared" si="48"/>
        <v>0</v>
      </c>
      <c r="CL54" s="2103"/>
      <c r="CM54" s="2104"/>
      <c r="CN54" s="2104"/>
      <c r="CO54" s="2104"/>
      <c r="CP54" s="2104"/>
      <c r="CQ54" s="2105">
        <f t="shared" si="49"/>
        <v>0</v>
      </c>
      <c r="CR54" s="2103"/>
      <c r="CS54" s="2104"/>
      <c r="CT54" s="2104"/>
      <c r="CU54" s="2104"/>
      <c r="CV54" s="2104"/>
      <c r="CW54" s="2117">
        <f t="shared" si="50"/>
        <v>0</v>
      </c>
      <c r="CX54" s="2103"/>
      <c r="CY54" s="2104"/>
      <c r="CZ54" s="2104"/>
      <c r="DA54" s="2104"/>
      <c r="DB54" s="2104"/>
      <c r="DC54" s="2105">
        <f t="shared" si="51"/>
        <v>0</v>
      </c>
      <c r="DD54" s="2103"/>
      <c r="DE54" s="2104"/>
      <c r="DF54" s="2104"/>
      <c r="DG54" s="2104"/>
      <c r="DH54" s="2104"/>
      <c r="DI54" s="2105">
        <f t="shared" si="52"/>
        <v>0</v>
      </c>
      <c r="DJ54" s="2103"/>
      <c r="DK54" s="2104"/>
      <c r="DL54" s="2104"/>
      <c r="DM54" s="2104"/>
      <c r="DN54" s="2104"/>
      <c r="DO54" s="2105">
        <f t="shared" si="53"/>
        <v>0</v>
      </c>
      <c r="DP54" s="2103">
        <v>3300</v>
      </c>
      <c r="DQ54" s="2104">
        <v>2277</v>
      </c>
      <c r="DR54" s="2104">
        <v>1023</v>
      </c>
      <c r="DS54" s="2104">
        <v>0</v>
      </c>
      <c r="DT54" s="2104">
        <v>0</v>
      </c>
      <c r="DU54" s="2118">
        <f t="shared" si="54"/>
        <v>6600</v>
      </c>
      <c r="DV54" s="2103">
        <v>2713.71</v>
      </c>
      <c r="DW54" s="2104">
        <v>0</v>
      </c>
      <c r="DX54" s="2104">
        <v>497.77</v>
      </c>
      <c r="DY54" s="2104">
        <v>0.02</v>
      </c>
      <c r="DZ54" s="2104">
        <v>0</v>
      </c>
      <c r="EA54" s="2105">
        <f t="shared" si="55"/>
        <v>3211.5</v>
      </c>
    </row>
    <row r="55" spans="1:131" s="2049" customFormat="1" ht="15" customHeight="1" x14ac:dyDescent="0.25">
      <c r="A55" s="2089" t="s">
        <v>128</v>
      </c>
      <c r="B55" s="2090" t="s">
        <v>129</v>
      </c>
      <c r="C55" s="2091" t="s">
        <v>266</v>
      </c>
      <c r="D55" s="2092">
        <f t="shared" si="28"/>
        <v>20759.502825627373</v>
      </c>
      <c r="E55" s="2093">
        <f t="shared" si="29"/>
        <v>6312.8471743726268</v>
      </c>
      <c r="F55" s="2093">
        <f t="shared" si="30"/>
        <v>5140.7299999999996</v>
      </c>
      <c r="G55" s="2093">
        <f t="shared" si="31"/>
        <v>-9.9999999999999985E-3</v>
      </c>
      <c r="H55" s="2093">
        <f t="shared" si="32"/>
        <v>0</v>
      </c>
      <c r="I55" s="2093">
        <f t="shared" si="33"/>
        <v>32213.07</v>
      </c>
      <c r="J55" s="2093">
        <f t="shared" si="34"/>
        <v>-9.9999999999999985E-3</v>
      </c>
      <c r="K55" s="2094">
        <f t="shared" si="35"/>
        <v>5140.7199999999993</v>
      </c>
      <c r="L55" s="2095"/>
      <c r="M55" s="2096"/>
      <c r="N55" s="2096"/>
      <c r="O55" s="2096"/>
      <c r="P55" s="2096"/>
      <c r="Q55" s="2097">
        <f t="shared" si="36"/>
        <v>0</v>
      </c>
      <c r="R55" s="2098"/>
      <c r="S55" s="2099"/>
      <c r="T55" s="2099"/>
      <c r="U55" s="2099"/>
      <c r="V55" s="2099"/>
      <c r="W55" s="2100">
        <f t="shared" si="37"/>
        <v>0</v>
      </c>
      <c r="X55" s="2101">
        <v>960.96</v>
      </c>
      <c r="Y55" s="2102">
        <v>5.72</v>
      </c>
      <c r="Z55" s="2102">
        <v>177.32</v>
      </c>
      <c r="AA55" s="2102">
        <v>0</v>
      </c>
      <c r="AB55" s="2102">
        <v>0</v>
      </c>
      <c r="AC55" s="2100">
        <f t="shared" si="38"/>
        <v>1144</v>
      </c>
      <c r="AD55" s="2103">
        <v>3394.8</v>
      </c>
      <c r="AE55" s="2104">
        <v>0</v>
      </c>
      <c r="AF55" s="2104">
        <v>848.7</v>
      </c>
      <c r="AG55" s="2104">
        <v>0</v>
      </c>
      <c r="AH55" s="2104">
        <v>0</v>
      </c>
      <c r="AI55" s="2105">
        <f t="shared" si="39"/>
        <v>4243.5</v>
      </c>
      <c r="AJ55" s="2098"/>
      <c r="AK55" s="2099"/>
      <c r="AL55" s="2099"/>
      <c r="AM55" s="2099"/>
      <c r="AN55" s="2099"/>
      <c r="AO55" s="2106">
        <f t="shared" si="40"/>
        <v>0</v>
      </c>
      <c r="AP55" s="2101"/>
      <c r="AQ55" s="2102"/>
      <c r="AR55" s="2102"/>
      <c r="AS55" s="2102"/>
      <c r="AT55" s="2102"/>
      <c r="AU55" s="2106">
        <f t="shared" si="41"/>
        <v>0</v>
      </c>
      <c r="AV55" s="2124">
        <v>223.2</v>
      </c>
      <c r="AW55" s="2125">
        <v>55.8</v>
      </c>
      <c r="AX55" s="2125">
        <v>0</v>
      </c>
      <c r="AY55" s="2125">
        <v>0</v>
      </c>
      <c r="AZ55" s="2126">
        <v>0</v>
      </c>
      <c r="BA55" s="2110">
        <f t="shared" si="42"/>
        <v>279</v>
      </c>
      <c r="BB55" s="2119"/>
      <c r="BC55" s="2120"/>
      <c r="BD55" s="2120"/>
      <c r="BE55" s="2120"/>
      <c r="BF55" s="2120"/>
      <c r="BG55" s="2114">
        <f t="shared" si="43"/>
        <v>0</v>
      </c>
      <c r="BH55" s="2103">
        <v>8100</v>
      </c>
      <c r="BI55" s="2104">
        <v>1026.01</v>
      </c>
      <c r="BJ55" s="2104">
        <v>1674.01</v>
      </c>
      <c r="BK55" s="2104">
        <v>-0.02</v>
      </c>
      <c r="BL55" s="2104">
        <v>0</v>
      </c>
      <c r="BM55" s="2117">
        <f t="shared" si="44"/>
        <v>10800</v>
      </c>
      <c r="BN55" s="2103"/>
      <c r="BO55" s="2104"/>
      <c r="BP55" s="2104"/>
      <c r="BQ55" s="2104"/>
      <c r="BR55" s="2104"/>
      <c r="BS55" s="2105">
        <f t="shared" si="45"/>
        <v>0</v>
      </c>
      <c r="BT55" s="2103">
        <v>824.55282562737239</v>
      </c>
      <c r="BU55" s="2104">
        <v>5225.3171743726271</v>
      </c>
      <c r="BV55" s="2104">
        <v>1109.73</v>
      </c>
      <c r="BW55" s="2104">
        <v>-0.01</v>
      </c>
      <c r="BX55" s="2104">
        <v>0</v>
      </c>
      <c r="BY55" s="2105">
        <f t="shared" si="46"/>
        <v>7159.5899999999983</v>
      </c>
      <c r="BZ55" s="2115"/>
      <c r="CA55" s="2116"/>
      <c r="CB55" s="2116"/>
      <c r="CC55" s="2116"/>
      <c r="CD55" s="2116"/>
      <c r="CE55" s="2105">
        <f t="shared" si="47"/>
        <v>0</v>
      </c>
      <c r="CF55" s="2115"/>
      <c r="CG55" s="2116"/>
      <c r="CH55" s="2116"/>
      <c r="CI55" s="2116"/>
      <c r="CJ55" s="2116"/>
      <c r="CK55" s="2117">
        <f t="shared" si="48"/>
        <v>0</v>
      </c>
      <c r="CL55" s="2115"/>
      <c r="CM55" s="2116"/>
      <c r="CN55" s="2116"/>
      <c r="CO55" s="2116"/>
      <c r="CP55" s="2116"/>
      <c r="CQ55" s="2105">
        <f t="shared" si="49"/>
        <v>0</v>
      </c>
      <c r="CR55" s="2115"/>
      <c r="CS55" s="2116"/>
      <c r="CT55" s="2116"/>
      <c r="CU55" s="2116"/>
      <c r="CV55" s="2116"/>
      <c r="CW55" s="2117">
        <f t="shared" si="50"/>
        <v>0</v>
      </c>
      <c r="CX55" s="2103"/>
      <c r="CY55" s="2104"/>
      <c r="CZ55" s="2104"/>
      <c r="DA55" s="2104"/>
      <c r="DB55" s="2104"/>
      <c r="DC55" s="2105">
        <f t="shared" si="51"/>
        <v>0</v>
      </c>
      <c r="DD55" s="2103"/>
      <c r="DE55" s="2104"/>
      <c r="DF55" s="2104"/>
      <c r="DG55" s="2104"/>
      <c r="DH55" s="2104"/>
      <c r="DI55" s="2105">
        <f t="shared" si="52"/>
        <v>0</v>
      </c>
      <c r="DJ55" s="2103"/>
      <c r="DK55" s="2104"/>
      <c r="DL55" s="2104"/>
      <c r="DM55" s="2104"/>
      <c r="DN55" s="2104"/>
      <c r="DO55" s="2105">
        <f t="shared" si="53"/>
        <v>0</v>
      </c>
      <c r="DP55" s="2103"/>
      <c r="DQ55" s="2104"/>
      <c r="DR55" s="2104"/>
      <c r="DS55" s="2104"/>
      <c r="DT55" s="2104"/>
      <c r="DU55" s="2118">
        <f t="shared" si="54"/>
        <v>0</v>
      </c>
      <c r="DV55" s="2103">
        <v>7255.99</v>
      </c>
      <c r="DW55" s="2104">
        <v>0</v>
      </c>
      <c r="DX55" s="2104">
        <v>1330.97</v>
      </c>
      <c r="DY55" s="2104">
        <v>0.02</v>
      </c>
      <c r="DZ55" s="2104">
        <v>0</v>
      </c>
      <c r="EA55" s="2105">
        <f t="shared" si="55"/>
        <v>8586.98</v>
      </c>
    </row>
    <row r="56" spans="1:131" s="2049" customFormat="1" ht="15" customHeight="1" x14ac:dyDescent="0.25">
      <c r="A56" s="2089" t="s">
        <v>130</v>
      </c>
      <c r="B56" s="2090" t="s">
        <v>131</v>
      </c>
      <c r="C56" s="2091" t="s">
        <v>268</v>
      </c>
      <c r="D56" s="2092">
        <f t="shared" si="28"/>
        <v>133039.7192386589</v>
      </c>
      <c r="E56" s="2093">
        <f t="shared" si="29"/>
        <v>115843.71076134109</v>
      </c>
      <c r="F56" s="2093">
        <f t="shared" si="30"/>
        <v>51328.390000000007</v>
      </c>
      <c r="G56" s="2093">
        <f t="shared" si="31"/>
        <v>-0.28000000000000003</v>
      </c>
      <c r="H56" s="2093">
        <f t="shared" si="32"/>
        <v>0</v>
      </c>
      <c r="I56" s="2093">
        <f t="shared" si="33"/>
        <v>300211.53999999998</v>
      </c>
      <c r="J56" s="2093">
        <f t="shared" si="34"/>
        <v>-0.28000000000000003</v>
      </c>
      <c r="K56" s="2094">
        <f t="shared" si="35"/>
        <v>51328.110000000008</v>
      </c>
      <c r="L56" s="2095"/>
      <c r="M56" s="2096"/>
      <c r="N56" s="2096"/>
      <c r="O56" s="2096"/>
      <c r="P56" s="2096"/>
      <c r="Q56" s="2097">
        <f t="shared" si="36"/>
        <v>0</v>
      </c>
      <c r="R56" s="2101"/>
      <c r="S56" s="2102"/>
      <c r="T56" s="2102"/>
      <c r="U56" s="2102"/>
      <c r="V56" s="2102"/>
      <c r="W56" s="2100">
        <f t="shared" si="37"/>
        <v>0</v>
      </c>
      <c r="X56" s="2101">
        <v>2137.87</v>
      </c>
      <c r="Y56" s="2102">
        <v>12.73</v>
      </c>
      <c r="Z56" s="2102">
        <v>394.49</v>
      </c>
      <c r="AA56" s="2102">
        <v>-0.01</v>
      </c>
      <c r="AB56" s="2102">
        <v>0</v>
      </c>
      <c r="AC56" s="2100">
        <f t="shared" si="38"/>
        <v>2545.08</v>
      </c>
      <c r="AD56" s="2103">
        <v>95164.24</v>
      </c>
      <c r="AE56" s="2104">
        <v>0</v>
      </c>
      <c r="AF56" s="2104">
        <v>23791.07</v>
      </c>
      <c r="AG56" s="2104">
        <v>0</v>
      </c>
      <c r="AH56" s="2104">
        <v>0</v>
      </c>
      <c r="AI56" s="2105">
        <f t="shared" si="39"/>
        <v>118955.31</v>
      </c>
      <c r="AJ56" s="2098"/>
      <c r="AK56" s="2099"/>
      <c r="AL56" s="2099"/>
      <c r="AM56" s="2099"/>
      <c r="AN56" s="2099"/>
      <c r="AO56" s="2106">
        <f t="shared" si="40"/>
        <v>0</v>
      </c>
      <c r="AP56" s="2101">
        <v>104</v>
      </c>
      <c r="AQ56" s="2102">
        <v>26</v>
      </c>
      <c r="AR56" s="2102">
        <v>0</v>
      </c>
      <c r="AS56" s="2102">
        <v>0</v>
      </c>
      <c r="AT56" s="2102">
        <v>0</v>
      </c>
      <c r="AU56" s="2106">
        <f t="shared" si="41"/>
        <v>130</v>
      </c>
      <c r="AV56" s="2107">
        <v>2533.29</v>
      </c>
      <c r="AW56" s="2108">
        <v>633.33000000000004</v>
      </c>
      <c r="AX56" s="2108">
        <v>0</v>
      </c>
      <c r="AY56" s="2108">
        <v>0</v>
      </c>
      <c r="AZ56" s="2109">
        <v>0</v>
      </c>
      <c r="BA56" s="2110">
        <f t="shared" si="42"/>
        <v>3166.62</v>
      </c>
      <c r="BB56" s="2111">
        <v>106.92</v>
      </c>
      <c r="BC56" s="2112">
        <v>193.08</v>
      </c>
      <c r="BD56" s="2112">
        <v>0</v>
      </c>
      <c r="BE56" s="2112">
        <v>0</v>
      </c>
      <c r="BF56" s="2113">
        <v>0</v>
      </c>
      <c r="BG56" s="2114">
        <f t="shared" si="43"/>
        <v>300</v>
      </c>
      <c r="BH56" s="2103">
        <v>11509.43</v>
      </c>
      <c r="BI56" s="2104">
        <v>1457.86</v>
      </c>
      <c r="BJ56" s="2104">
        <v>2378.61</v>
      </c>
      <c r="BK56" s="2104">
        <v>-0.01</v>
      </c>
      <c r="BL56" s="2104">
        <v>0</v>
      </c>
      <c r="BM56" s="2117">
        <f t="shared" si="44"/>
        <v>15345.890000000001</v>
      </c>
      <c r="BN56" s="2103"/>
      <c r="BO56" s="2104"/>
      <c r="BP56" s="2104"/>
      <c r="BQ56" s="2104"/>
      <c r="BR56" s="2104"/>
      <c r="BS56" s="2105">
        <f t="shared" si="45"/>
        <v>0</v>
      </c>
      <c r="BT56" s="2103">
        <v>17772.469238658909</v>
      </c>
      <c r="BU56" s="2104">
        <v>110959.77076134109</v>
      </c>
      <c r="BV56" s="2104">
        <v>23613.65</v>
      </c>
      <c r="BW56" s="2104">
        <v>-0.25</v>
      </c>
      <c r="BX56" s="2104">
        <v>0</v>
      </c>
      <c r="BY56" s="2105">
        <f t="shared" si="46"/>
        <v>152345.63999999998</v>
      </c>
      <c r="BZ56" s="2103"/>
      <c r="CA56" s="2104"/>
      <c r="CB56" s="2104"/>
      <c r="CC56" s="2104"/>
      <c r="CD56" s="2104"/>
      <c r="CE56" s="2105">
        <f t="shared" si="47"/>
        <v>0</v>
      </c>
      <c r="CF56" s="2115"/>
      <c r="CG56" s="2116"/>
      <c r="CH56" s="2116"/>
      <c r="CI56" s="2116"/>
      <c r="CJ56" s="2116"/>
      <c r="CK56" s="2117">
        <f t="shared" si="48"/>
        <v>0</v>
      </c>
      <c r="CL56" s="2115"/>
      <c r="CM56" s="2116"/>
      <c r="CN56" s="2116"/>
      <c r="CO56" s="2116"/>
      <c r="CP56" s="2116"/>
      <c r="CQ56" s="2105">
        <f t="shared" si="49"/>
        <v>0</v>
      </c>
      <c r="CR56" s="2115"/>
      <c r="CS56" s="2116"/>
      <c r="CT56" s="2116"/>
      <c r="CU56" s="2116"/>
      <c r="CV56" s="2116"/>
      <c r="CW56" s="2117">
        <f t="shared" si="50"/>
        <v>0</v>
      </c>
      <c r="CX56" s="2103"/>
      <c r="CY56" s="2104"/>
      <c r="CZ56" s="2104"/>
      <c r="DA56" s="2104"/>
      <c r="DB56" s="2104"/>
      <c r="DC56" s="2105">
        <f t="shared" si="51"/>
        <v>0</v>
      </c>
      <c r="DD56" s="2103"/>
      <c r="DE56" s="2104"/>
      <c r="DF56" s="2104"/>
      <c r="DG56" s="2104"/>
      <c r="DH56" s="2104"/>
      <c r="DI56" s="2105">
        <f t="shared" si="52"/>
        <v>0</v>
      </c>
      <c r="DJ56" s="2103"/>
      <c r="DK56" s="2104"/>
      <c r="DL56" s="2104"/>
      <c r="DM56" s="2104"/>
      <c r="DN56" s="2104"/>
      <c r="DO56" s="2105">
        <f t="shared" si="53"/>
        <v>0</v>
      </c>
      <c r="DP56" s="2103">
        <v>3711.5</v>
      </c>
      <c r="DQ56" s="2104">
        <v>2560.94</v>
      </c>
      <c r="DR56" s="2104">
        <v>1150.57</v>
      </c>
      <c r="DS56" s="2104">
        <v>-0.01</v>
      </c>
      <c r="DT56" s="2104">
        <v>0</v>
      </c>
      <c r="DU56" s="2118">
        <f t="shared" si="54"/>
        <v>7423</v>
      </c>
      <c r="DV56" s="2115"/>
      <c r="DW56" s="2116"/>
      <c r="DX56" s="2116"/>
      <c r="DY56" s="2116"/>
      <c r="DZ56" s="2116"/>
      <c r="EA56" s="2105">
        <f t="shared" si="55"/>
        <v>0</v>
      </c>
    </row>
    <row r="57" spans="1:131" s="2049" customFormat="1" ht="15" customHeight="1" x14ac:dyDescent="0.25">
      <c r="A57" s="2089" t="s">
        <v>132</v>
      </c>
      <c r="B57" s="2090" t="s">
        <v>133</v>
      </c>
      <c r="C57" s="2091" t="s">
        <v>267</v>
      </c>
      <c r="D57" s="2092">
        <f t="shared" si="28"/>
        <v>300476.97894394188</v>
      </c>
      <c r="E57" s="2093">
        <f t="shared" si="29"/>
        <v>241149.94105605819</v>
      </c>
      <c r="F57" s="2093">
        <f t="shared" si="30"/>
        <v>103835.4</v>
      </c>
      <c r="G57" s="2093">
        <f t="shared" si="31"/>
        <v>-1195.18</v>
      </c>
      <c r="H57" s="2093">
        <f t="shared" si="32"/>
        <v>775426.75</v>
      </c>
      <c r="I57" s="2093">
        <f t="shared" si="33"/>
        <v>1419693.8900000001</v>
      </c>
      <c r="J57" s="2093">
        <f t="shared" si="34"/>
        <v>774231.57</v>
      </c>
      <c r="K57" s="2094">
        <f t="shared" si="35"/>
        <v>878066.97</v>
      </c>
      <c r="L57" s="2095"/>
      <c r="M57" s="2096"/>
      <c r="N57" s="2096"/>
      <c r="O57" s="2096"/>
      <c r="P57" s="2096"/>
      <c r="Q57" s="2097">
        <f t="shared" si="36"/>
        <v>0</v>
      </c>
      <c r="R57" s="2098"/>
      <c r="S57" s="2099"/>
      <c r="T57" s="2099"/>
      <c r="U57" s="2099"/>
      <c r="V57" s="2099"/>
      <c r="W57" s="2100">
        <f t="shared" si="37"/>
        <v>0</v>
      </c>
      <c r="X57" s="2101">
        <v>37987.57</v>
      </c>
      <c r="Y57" s="2102">
        <v>226.12</v>
      </c>
      <c r="Z57" s="2102">
        <v>7009.6</v>
      </c>
      <c r="AA57" s="2102">
        <v>0.01</v>
      </c>
      <c r="AB57" s="2102">
        <v>0</v>
      </c>
      <c r="AC57" s="2100">
        <f t="shared" si="38"/>
        <v>45223.3</v>
      </c>
      <c r="AD57" s="2103">
        <v>94400</v>
      </c>
      <c r="AE57" s="2104">
        <v>0</v>
      </c>
      <c r="AF57" s="2104">
        <v>23600</v>
      </c>
      <c r="AG57" s="2104">
        <v>0</v>
      </c>
      <c r="AH57" s="2104">
        <v>775426.75</v>
      </c>
      <c r="AI57" s="2105">
        <f t="shared" si="39"/>
        <v>893426.75</v>
      </c>
      <c r="AJ57" s="2098"/>
      <c r="AK57" s="2099"/>
      <c r="AL57" s="2099"/>
      <c r="AM57" s="2099"/>
      <c r="AN57" s="2099"/>
      <c r="AO57" s="2106">
        <f t="shared" si="40"/>
        <v>0</v>
      </c>
      <c r="AP57" s="2101">
        <v>929.87</v>
      </c>
      <c r="AQ57" s="2102">
        <v>232.47</v>
      </c>
      <c r="AR57" s="2102">
        <v>0</v>
      </c>
      <c r="AS57" s="2102">
        <v>0</v>
      </c>
      <c r="AT57" s="2102">
        <v>0</v>
      </c>
      <c r="AU57" s="2106">
        <f t="shared" si="41"/>
        <v>1162.3399999999999</v>
      </c>
      <c r="AV57" s="2107">
        <v>10246.469999999999</v>
      </c>
      <c r="AW57" s="2108">
        <v>2561.61</v>
      </c>
      <c r="AX57" s="2108">
        <v>0</v>
      </c>
      <c r="AY57" s="2108">
        <v>0</v>
      </c>
      <c r="AZ57" s="2109">
        <v>0</v>
      </c>
      <c r="BA57" s="2110">
        <f t="shared" si="42"/>
        <v>12808.08</v>
      </c>
      <c r="BB57" s="2111">
        <v>1144.04</v>
      </c>
      <c r="BC57" s="2112">
        <v>2065.96</v>
      </c>
      <c r="BD57" s="2112">
        <v>0</v>
      </c>
      <c r="BE57" s="2112">
        <v>0</v>
      </c>
      <c r="BF57" s="2113">
        <v>0</v>
      </c>
      <c r="BG57" s="2114">
        <f t="shared" si="43"/>
        <v>3210</v>
      </c>
      <c r="BH57" s="2103">
        <v>94730.27</v>
      </c>
      <c r="BI57" s="2104">
        <v>11999.17</v>
      </c>
      <c r="BJ57" s="2104">
        <v>19577.580000000002</v>
      </c>
      <c r="BK57" s="2104">
        <v>-0.02</v>
      </c>
      <c r="BL57" s="2104">
        <v>0</v>
      </c>
      <c r="BM57" s="2117">
        <f t="shared" si="44"/>
        <v>126307</v>
      </c>
      <c r="BN57" s="2103"/>
      <c r="BO57" s="2104"/>
      <c r="BP57" s="2104"/>
      <c r="BQ57" s="2104"/>
      <c r="BR57" s="2104"/>
      <c r="BS57" s="2105">
        <f t="shared" si="45"/>
        <v>0</v>
      </c>
      <c r="BT57" s="2103">
        <v>43320.978943941809</v>
      </c>
      <c r="BU57" s="2104">
        <v>217396.07105605816</v>
      </c>
      <c r="BV57" s="2104">
        <v>47823.87</v>
      </c>
      <c r="BW57" s="2104">
        <v>-0.17</v>
      </c>
      <c r="BX57" s="2104">
        <v>0</v>
      </c>
      <c r="BY57" s="2105">
        <f t="shared" si="46"/>
        <v>308540.75</v>
      </c>
      <c r="BZ57" s="2103">
        <v>1359.03</v>
      </c>
      <c r="CA57" s="2104">
        <v>0</v>
      </c>
      <c r="CB57" s="2104">
        <v>1255.01</v>
      </c>
      <c r="CC57" s="2104">
        <v>0</v>
      </c>
      <c r="CD57" s="2104">
        <v>0</v>
      </c>
      <c r="CE57" s="2105">
        <f t="shared" si="47"/>
        <v>2614.04</v>
      </c>
      <c r="CF57" s="2115"/>
      <c r="CG57" s="2116"/>
      <c r="CH57" s="2116"/>
      <c r="CI57" s="2116"/>
      <c r="CJ57" s="2116"/>
      <c r="CK57" s="2117">
        <f t="shared" si="48"/>
        <v>0</v>
      </c>
      <c r="CL57" s="2103"/>
      <c r="CM57" s="2104"/>
      <c r="CN57" s="2104"/>
      <c r="CO57" s="2104"/>
      <c r="CP57" s="2104"/>
      <c r="CQ57" s="2105">
        <f t="shared" si="49"/>
        <v>0</v>
      </c>
      <c r="CR57" s="2103"/>
      <c r="CS57" s="2104"/>
      <c r="CT57" s="2104"/>
      <c r="CU57" s="2104"/>
      <c r="CV57" s="2104"/>
      <c r="CW57" s="2117">
        <f t="shared" si="50"/>
        <v>0</v>
      </c>
      <c r="CX57" s="2103"/>
      <c r="CY57" s="2104"/>
      <c r="CZ57" s="2104"/>
      <c r="DA57" s="2104"/>
      <c r="DB57" s="2104"/>
      <c r="DC57" s="2105">
        <f t="shared" si="51"/>
        <v>0</v>
      </c>
      <c r="DD57" s="2103">
        <v>-383</v>
      </c>
      <c r="DE57" s="2104">
        <v>0</v>
      </c>
      <c r="DF57" s="2104">
        <v>0</v>
      </c>
      <c r="DG57" s="2104">
        <v>0</v>
      </c>
      <c r="DH57" s="2104">
        <v>0</v>
      </c>
      <c r="DI57" s="2105">
        <f t="shared" si="52"/>
        <v>-383</v>
      </c>
      <c r="DJ57" s="2103">
        <v>-750</v>
      </c>
      <c r="DK57" s="2104">
        <v>-750</v>
      </c>
      <c r="DL57" s="2104">
        <v>0</v>
      </c>
      <c r="DM57" s="2104">
        <v>0</v>
      </c>
      <c r="DN57" s="2104">
        <v>0</v>
      </c>
      <c r="DO57" s="2105">
        <f t="shared" si="53"/>
        <v>-1500</v>
      </c>
      <c r="DP57" s="2103">
        <v>10751.5</v>
      </c>
      <c r="DQ57" s="2104">
        <v>7418.54</v>
      </c>
      <c r="DR57" s="2104">
        <v>3332.97</v>
      </c>
      <c r="DS57" s="2104">
        <v>-0.01</v>
      </c>
      <c r="DT57" s="2104">
        <v>0</v>
      </c>
      <c r="DU57" s="2118">
        <f t="shared" si="54"/>
        <v>21503.000000000004</v>
      </c>
      <c r="DV57" s="2103">
        <v>6740.25</v>
      </c>
      <c r="DW57" s="2104">
        <v>0</v>
      </c>
      <c r="DX57" s="2104">
        <v>1236.3699999999999</v>
      </c>
      <c r="DY57" s="2104">
        <v>-1194.99</v>
      </c>
      <c r="DZ57" s="2104">
        <v>0</v>
      </c>
      <c r="EA57" s="2105">
        <f t="shared" si="55"/>
        <v>6781.63</v>
      </c>
    </row>
    <row r="58" spans="1:131" s="2049" customFormat="1" ht="15" customHeight="1" x14ac:dyDescent="0.25">
      <c r="A58" s="2089" t="s">
        <v>134</v>
      </c>
      <c r="B58" s="2090" t="s">
        <v>135</v>
      </c>
      <c r="C58" s="2091" t="s">
        <v>267</v>
      </c>
      <c r="D58" s="2092">
        <f t="shared" si="28"/>
        <v>31321.959848661303</v>
      </c>
      <c r="E58" s="2093">
        <f t="shared" si="29"/>
        <v>42741.860151338704</v>
      </c>
      <c r="F58" s="2093">
        <f t="shared" si="30"/>
        <v>13949.500000000002</v>
      </c>
      <c r="G58" s="2093">
        <f t="shared" si="31"/>
        <v>-4.0000000000000008E-2</v>
      </c>
      <c r="H58" s="2093">
        <f t="shared" si="32"/>
        <v>0</v>
      </c>
      <c r="I58" s="2093">
        <f t="shared" si="33"/>
        <v>88013.280000000013</v>
      </c>
      <c r="J58" s="2093">
        <f t="shared" si="34"/>
        <v>-4.0000000000000008E-2</v>
      </c>
      <c r="K58" s="2094">
        <f t="shared" si="35"/>
        <v>13949.460000000001</v>
      </c>
      <c r="L58" s="2095"/>
      <c r="M58" s="2096"/>
      <c r="N58" s="2096"/>
      <c r="O58" s="2096"/>
      <c r="P58" s="2096"/>
      <c r="Q58" s="2097">
        <f t="shared" si="36"/>
        <v>0</v>
      </c>
      <c r="R58" s="2098"/>
      <c r="S58" s="2099"/>
      <c r="T58" s="2099"/>
      <c r="U58" s="2099"/>
      <c r="V58" s="2099"/>
      <c r="W58" s="2100">
        <f t="shared" si="37"/>
        <v>0</v>
      </c>
      <c r="X58" s="2101">
        <v>5625.97</v>
      </c>
      <c r="Y58" s="2102">
        <v>33.5</v>
      </c>
      <c r="Z58" s="2102">
        <v>1038.1400000000001</v>
      </c>
      <c r="AA58" s="2102">
        <v>-0.03</v>
      </c>
      <c r="AB58" s="2102">
        <v>0</v>
      </c>
      <c r="AC58" s="2100">
        <f t="shared" si="38"/>
        <v>6697.5800000000008</v>
      </c>
      <c r="AD58" s="2103">
        <v>4952.8500000000004</v>
      </c>
      <c r="AE58" s="2104">
        <v>0</v>
      </c>
      <c r="AF58" s="2104">
        <v>1238.24</v>
      </c>
      <c r="AG58" s="2104">
        <v>0</v>
      </c>
      <c r="AH58" s="2104">
        <v>0</v>
      </c>
      <c r="AI58" s="2105">
        <f t="shared" si="39"/>
        <v>6191.09</v>
      </c>
      <c r="AJ58" s="2098"/>
      <c r="AK58" s="2099"/>
      <c r="AL58" s="2099"/>
      <c r="AM58" s="2099"/>
      <c r="AN58" s="2099"/>
      <c r="AO58" s="2106">
        <f t="shared" si="40"/>
        <v>0</v>
      </c>
      <c r="AP58" s="2101"/>
      <c r="AQ58" s="2102"/>
      <c r="AR58" s="2102"/>
      <c r="AS58" s="2102"/>
      <c r="AT58" s="2102"/>
      <c r="AU58" s="2106">
        <f t="shared" si="41"/>
        <v>0</v>
      </c>
      <c r="AV58" s="2107">
        <v>1374.69</v>
      </c>
      <c r="AW58" s="2108">
        <v>343.67</v>
      </c>
      <c r="AX58" s="2108">
        <v>0</v>
      </c>
      <c r="AY58" s="2108">
        <v>0</v>
      </c>
      <c r="AZ58" s="2109">
        <v>0</v>
      </c>
      <c r="BA58" s="2110">
        <f t="shared" si="42"/>
        <v>1718.3600000000001</v>
      </c>
      <c r="BB58" s="2111">
        <v>53.46</v>
      </c>
      <c r="BC58" s="2112">
        <v>96.54</v>
      </c>
      <c r="BD58" s="2112">
        <v>0</v>
      </c>
      <c r="BE58" s="2112">
        <v>0</v>
      </c>
      <c r="BF58" s="2113">
        <v>0</v>
      </c>
      <c r="BG58" s="2114">
        <f t="shared" si="43"/>
        <v>150</v>
      </c>
      <c r="BH58" s="2103">
        <v>10196.15</v>
      </c>
      <c r="BI58" s="2104">
        <v>1291.5</v>
      </c>
      <c r="BJ58" s="2104">
        <v>2107.1999999999998</v>
      </c>
      <c r="BK58" s="2104">
        <v>0.01</v>
      </c>
      <c r="BL58" s="2104">
        <v>0</v>
      </c>
      <c r="BM58" s="2117">
        <f t="shared" si="44"/>
        <v>13594.859999999999</v>
      </c>
      <c r="BN58" s="2103"/>
      <c r="BO58" s="2104"/>
      <c r="BP58" s="2104"/>
      <c r="BQ58" s="2104"/>
      <c r="BR58" s="2104"/>
      <c r="BS58" s="2105">
        <f t="shared" si="45"/>
        <v>0</v>
      </c>
      <c r="BT58" s="2103">
        <v>6491.6698486613022</v>
      </c>
      <c r="BU58" s="2104">
        <v>41138.790151338704</v>
      </c>
      <c r="BV58" s="2104">
        <v>8736.9500000000007</v>
      </c>
      <c r="BW58" s="2104">
        <v>-0.05</v>
      </c>
      <c r="BX58" s="2104">
        <v>0</v>
      </c>
      <c r="BY58" s="2105">
        <f t="shared" si="46"/>
        <v>56367.360000000001</v>
      </c>
      <c r="BZ58" s="2103"/>
      <c r="CA58" s="2104"/>
      <c r="CB58" s="2104"/>
      <c r="CC58" s="2104"/>
      <c r="CD58" s="2104"/>
      <c r="CE58" s="2105">
        <f t="shared" si="47"/>
        <v>0</v>
      </c>
      <c r="CF58" s="2115">
        <v>186.47</v>
      </c>
      <c r="CG58" s="2116">
        <v>0</v>
      </c>
      <c r="CH58" s="2116">
        <v>351.54</v>
      </c>
      <c r="CI58" s="2116">
        <v>0</v>
      </c>
      <c r="CJ58" s="2116">
        <v>0</v>
      </c>
      <c r="CK58" s="2117">
        <f t="shared" si="48"/>
        <v>538.01</v>
      </c>
      <c r="CL58" s="2115"/>
      <c r="CM58" s="2116"/>
      <c r="CN58" s="2116"/>
      <c r="CO58" s="2116"/>
      <c r="CP58" s="2116"/>
      <c r="CQ58" s="2105">
        <f t="shared" si="49"/>
        <v>0</v>
      </c>
      <c r="CR58" s="2103"/>
      <c r="CS58" s="2104"/>
      <c r="CT58" s="2104"/>
      <c r="CU58" s="2104"/>
      <c r="CV58" s="2104"/>
      <c r="CW58" s="2117">
        <f t="shared" si="50"/>
        <v>0</v>
      </c>
      <c r="CX58" s="2103">
        <v>-162.13999999999999</v>
      </c>
      <c r="CY58" s="2104">
        <v>-162.13999999999999</v>
      </c>
      <c r="CZ58" s="2104">
        <v>0</v>
      </c>
      <c r="DA58" s="2104">
        <v>0.01</v>
      </c>
      <c r="DB58" s="2104">
        <v>0</v>
      </c>
      <c r="DC58" s="2105">
        <f t="shared" si="51"/>
        <v>-324.27</v>
      </c>
      <c r="DD58" s="2103"/>
      <c r="DE58" s="2104"/>
      <c r="DF58" s="2104"/>
      <c r="DG58" s="2104"/>
      <c r="DH58" s="2104"/>
      <c r="DI58" s="2105">
        <f t="shared" si="52"/>
        <v>0</v>
      </c>
      <c r="DJ58" s="2103"/>
      <c r="DK58" s="2104"/>
      <c r="DL58" s="2104"/>
      <c r="DM58" s="2104"/>
      <c r="DN58" s="2104"/>
      <c r="DO58" s="2105">
        <f t="shared" si="53"/>
        <v>0</v>
      </c>
      <c r="DP58" s="2103"/>
      <c r="DQ58" s="2104"/>
      <c r="DR58" s="2104"/>
      <c r="DS58" s="2104"/>
      <c r="DT58" s="2104"/>
      <c r="DU58" s="2118">
        <f t="shared" si="54"/>
        <v>0</v>
      </c>
      <c r="DV58" s="2115">
        <v>2602.84</v>
      </c>
      <c r="DW58" s="2116">
        <v>0</v>
      </c>
      <c r="DX58" s="2116">
        <v>477.43</v>
      </c>
      <c r="DY58" s="2116">
        <v>0.02</v>
      </c>
      <c r="DZ58" s="2116">
        <v>0</v>
      </c>
      <c r="EA58" s="2105">
        <f t="shared" si="55"/>
        <v>3080.29</v>
      </c>
    </row>
    <row r="59" spans="1:131" s="2049" customFormat="1" ht="15" customHeight="1" x14ac:dyDescent="0.25">
      <c r="A59" s="2089" t="s">
        <v>136</v>
      </c>
      <c r="B59" s="2090" t="s">
        <v>137</v>
      </c>
      <c r="C59" s="2091" t="s">
        <v>266</v>
      </c>
      <c r="D59" s="2092">
        <f t="shared" si="28"/>
        <v>6159.6097712778419</v>
      </c>
      <c r="E59" s="2093">
        <f t="shared" si="29"/>
        <v>12549.000228722158</v>
      </c>
      <c r="F59" s="2093">
        <f t="shared" si="30"/>
        <v>3319.09</v>
      </c>
      <c r="G59" s="2093">
        <f t="shared" si="31"/>
        <v>-6.0000000000000005E-2</v>
      </c>
      <c r="H59" s="2093">
        <f t="shared" si="32"/>
        <v>557.66</v>
      </c>
      <c r="I59" s="2093">
        <f t="shared" si="33"/>
        <v>22585.3</v>
      </c>
      <c r="J59" s="2093">
        <f t="shared" si="34"/>
        <v>557.6</v>
      </c>
      <c r="K59" s="2094">
        <f t="shared" si="35"/>
        <v>3876.69</v>
      </c>
      <c r="L59" s="2095"/>
      <c r="M59" s="2096"/>
      <c r="N59" s="2096"/>
      <c r="O59" s="2096"/>
      <c r="P59" s="2096"/>
      <c r="Q59" s="2097">
        <f t="shared" si="36"/>
        <v>0</v>
      </c>
      <c r="R59" s="2098"/>
      <c r="S59" s="2099"/>
      <c r="T59" s="2099"/>
      <c r="U59" s="2099"/>
      <c r="V59" s="2099"/>
      <c r="W59" s="2100">
        <f t="shared" si="37"/>
        <v>0</v>
      </c>
      <c r="X59" s="2101">
        <v>1973.82</v>
      </c>
      <c r="Y59" s="2102">
        <v>11.76</v>
      </c>
      <c r="Z59" s="2102">
        <v>364.22</v>
      </c>
      <c r="AA59" s="2102">
        <v>-0.02</v>
      </c>
      <c r="AB59" s="2102">
        <v>0</v>
      </c>
      <c r="AC59" s="2100">
        <f t="shared" si="38"/>
        <v>2349.7800000000002</v>
      </c>
      <c r="AD59" s="2103">
        <v>299.93</v>
      </c>
      <c r="AE59" s="2104">
        <v>0</v>
      </c>
      <c r="AF59" s="2104">
        <v>74.989999999999995</v>
      </c>
      <c r="AG59" s="2104">
        <v>0</v>
      </c>
      <c r="AH59" s="2104">
        <v>95.4</v>
      </c>
      <c r="AI59" s="2105">
        <f t="shared" si="39"/>
        <v>470.32000000000005</v>
      </c>
      <c r="AJ59" s="2098"/>
      <c r="AK59" s="2099"/>
      <c r="AL59" s="2099"/>
      <c r="AM59" s="2099"/>
      <c r="AN59" s="2099"/>
      <c r="AO59" s="2106">
        <f t="shared" si="40"/>
        <v>0</v>
      </c>
      <c r="AP59" s="2098"/>
      <c r="AQ59" s="2099"/>
      <c r="AR59" s="2099"/>
      <c r="AS59" s="2099"/>
      <c r="AT59" s="2099"/>
      <c r="AU59" s="2106">
        <f t="shared" si="41"/>
        <v>0</v>
      </c>
      <c r="AV59" s="2121">
        <v>72.8</v>
      </c>
      <c r="AW59" s="2122">
        <v>18.2</v>
      </c>
      <c r="AX59" s="2122">
        <v>0</v>
      </c>
      <c r="AY59" s="2122">
        <v>0</v>
      </c>
      <c r="AZ59" s="2123">
        <v>0</v>
      </c>
      <c r="BA59" s="2110">
        <f t="shared" si="42"/>
        <v>91</v>
      </c>
      <c r="BB59" s="2119">
        <v>225.32</v>
      </c>
      <c r="BC59" s="2120">
        <v>406.88</v>
      </c>
      <c r="BD59" s="2120">
        <v>0</v>
      </c>
      <c r="BE59" s="2120">
        <v>0</v>
      </c>
      <c r="BF59" s="2120">
        <v>0</v>
      </c>
      <c r="BG59" s="2114">
        <f t="shared" si="43"/>
        <v>632.20000000000005</v>
      </c>
      <c r="BH59" s="2115"/>
      <c r="BI59" s="2116"/>
      <c r="BJ59" s="2116"/>
      <c r="BK59" s="2116"/>
      <c r="BL59" s="2116"/>
      <c r="BM59" s="2117">
        <f t="shared" si="44"/>
        <v>0</v>
      </c>
      <c r="BN59" s="2103"/>
      <c r="BO59" s="2104"/>
      <c r="BP59" s="2104"/>
      <c r="BQ59" s="2104"/>
      <c r="BR59" s="2104"/>
      <c r="BS59" s="2105">
        <f t="shared" si="45"/>
        <v>0</v>
      </c>
      <c r="BT59" s="2103">
        <v>1911.2697712778418</v>
      </c>
      <c r="BU59" s="2104">
        <v>12112.160228722158</v>
      </c>
      <c r="BV59" s="2104">
        <v>2572.34</v>
      </c>
      <c r="BW59" s="2104">
        <v>-0.03</v>
      </c>
      <c r="BX59" s="2104">
        <v>0</v>
      </c>
      <c r="BY59" s="2105">
        <f t="shared" si="46"/>
        <v>16595.740000000002</v>
      </c>
      <c r="BZ59" s="2115"/>
      <c r="CA59" s="2116"/>
      <c r="CB59" s="2116"/>
      <c r="CC59" s="2116"/>
      <c r="CD59" s="2116"/>
      <c r="CE59" s="2105">
        <f t="shared" si="47"/>
        <v>0</v>
      </c>
      <c r="CF59" s="2115"/>
      <c r="CG59" s="2116"/>
      <c r="CH59" s="2116"/>
      <c r="CI59" s="2116"/>
      <c r="CJ59" s="2116"/>
      <c r="CK59" s="2117">
        <f t="shared" si="48"/>
        <v>0</v>
      </c>
      <c r="CL59" s="2115"/>
      <c r="CM59" s="2116"/>
      <c r="CN59" s="2116"/>
      <c r="CO59" s="2116"/>
      <c r="CP59" s="2116"/>
      <c r="CQ59" s="2105">
        <f t="shared" si="49"/>
        <v>0</v>
      </c>
      <c r="CR59" s="2103"/>
      <c r="CS59" s="2104"/>
      <c r="CT59" s="2104"/>
      <c r="CU59" s="2104"/>
      <c r="CV59" s="2104"/>
      <c r="CW59" s="2117">
        <f t="shared" si="50"/>
        <v>0</v>
      </c>
      <c r="CX59" s="2103"/>
      <c r="CY59" s="2104"/>
      <c r="CZ59" s="2104"/>
      <c r="DA59" s="2104"/>
      <c r="DB59" s="2104"/>
      <c r="DC59" s="2105">
        <f t="shared" si="51"/>
        <v>0</v>
      </c>
      <c r="DD59" s="2103"/>
      <c r="DE59" s="2104"/>
      <c r="DF59" s="2104"/>
      <c r="DG59" s="2104"/>
      <c r="DH59" s="2104"/>
      <c r="DI59" s="2105">
        <f t="shared" si="52"/>
        <v>0</v>
      </c>
      <c r="DJ59" s="2103"/>
      <c r="DK59" s="2104"/>
      <c r="DL59" s="2104"/>
      <c r="DM59" s="2104"/>
      <c r="DN59" s="2104"/>
      <c r="DO59" s="2105">
        <f t="shared" si="53"/>
        <v>0</v>
      </c>
      <c r="DP59" s="2103"/>
      <c r="DQ59" s="2104"/>
      <c r="DR59" s="2104"/>
      <c r="DS59" s="2104"/>
      <c r="DT59" s="2104"/>
      <c r="DU59" s="2118">
        <f t="shared" si="54"/>
        <v>0</v>
      </c>
      <c r="DV59" s="2103">
        <v>1676.47</v>
      </c>
      <c r="DW59" s="2104">
        <v>0</v>
      </c>
      <c r="DX59" s="2104">
        <v>307.54000000000002</v>
      </c>
      <c r="DY59" s="2104">
        <v>-0.01</v>
      </c>
      <c r="DZ59" s="2104">
        <v>462.26</v>
      </c>
      <c r="EA59" s="2105">
        <f t="shared" si="55"/>
        <v>2446.2600000000002</v>
      </c>
    </row>
    <row r="60" spans="1:131" s="2049" customFormat="1" ht="15" customHeight="1" x14ac:dyDescent="0.25">
      <c r="A60" s="2089" t="s">
        <v>140</v>
      </c>
      <c r="B60" s="2090" t="s">
        <v>141</v>
      </c>
      <c r="C60" s="2091" t="s">
        <v>267</v>
      </c>
      <c r="D60" s="2092">
        <f t="shared" si="28"/>
        <v>29925.442425721973</v>
      </c>
      <c r="E60" s="2093">
        <f t="shared" si="29"/>
        <v>12023.09757427803</v>
      </c>
      <c r="F60" s="2093">
        <f t="shared" si="30"/>
        <v>5963.2599999999993</v>
      </c>
      <c r="G60" s="2093">
        <f t="shared" si="31"/>
        <v>-0.11</v>
      </c>
      <c r="H60" s="2093">
        <f t="shared" si="32"/>
        <v>0</v>
      </c>
      <c r="I60" s="2093">
        <f t="shared" si="33"/>
        <v>47911.69</v>
      </c>
      <c r="J60" s="2093">
        <f t="shared" si="34"/>
        <v>-0.11</v>
      </c>
      <c r="K60" s="2094">
        <f t="shared" si="35"/>
        <v>5963.15</v>
      </c>
      <c r="L60" s="2095"/>
      <c r="M60" s="2096"/>
      <c r="N60" s="2096"/>
      <c r="O60" s="2096"/>
      <c r="P60" s="2096"/>
      <c r="Q60" s="2097">
        <f t="shared" si="36"/>
        <v>0</v>
      </c>
      <c r="R60" s="2098"/>
      <c r="S60" s="2099"/>
      <c r="T60" s="2099"/>
      <c r="U60" s="2099"/>
      <c r="V60" s="2099"/>
      <c r="W60" s="2100">
        <f t="shared" si="37"/>
        <v>0</v>
      </c>
      <c r="X60" s="2101">
        <v>1294.92</v>
      </c>
      <c r="Y60" s="2102">
        <v>7.7</v>
      </c>
      <c r="Z60" s="2102">
        <v>238.96</v>
      </c>
      <c r="AA60" s="2102">
        <v>-0.02</v>
      </c>
      <c r="AB60" s="2102">
        <v>0</v>
      </c>
      <c r="AC60" s="2100">
        <f t="shared" si="38"/>
        <v>1541.5600000000002</v>
      </c>
      <c r="AD60" s="2103">
        <v>6607.12</v>
      </c>
      <c r="AE60" s="2104">
        <v>0</v>
      </c>
      <c r="AF60" s="2104">
        <v>1651.76</v>
      </c>
      <c r="AG60" s="2104">
        <v>0</v>
      </c>
      <c r="AH60" s="2104">
        <v>0</v>
      </c>
      <c r="AI60" s="2105">
        <f t="shared" si="39"/>
        <v>8258.8799999999992</v>
      </c>
      <c r="AJ60" s="2098"/>
      <c r="AK60" s="2099"/>
      <c r="AL60" s="2099"/>
      <c r="AM60" s="2099"/>
      <c r="AN60" s="2099"/>
      <c r="AO60" s="2106">
        <f t="shared" si="40"/>
        <v>0</v>
      </c>
      <c r="AP60" s="2101">
        <v>3493.05</v>
      </c>
      <c r="AQ60" s="2102">
        <v>873.26</v>
      </c>
      <c r="AR60" s="2102">
        <v>0</v>
      </c>
      <c r="AS60" s="2102">
        <v>0</v>
      </c>
      <c r="AT60" s="2102">
        <v>0</v>
      </c>
      <c r="AU60" s="2106">
        <f t="shared" si="41"/>
        <v>4366.3100000000004</v>
      </c>
      <c r="AV60" s="2107">
        <v>2916.56</v>
      </c>
      <c r="AW60" s="2108">
        <v>729.15</v>
      </c>
      <c r="AX60" s="2108">
        <v>0</v>
      </c>
      <c r="AY60" s="2108">
        <v>0</v>
      </c>
      <c r="AZ60" s="2109">
        <v>0</v>
      </c>
      <c r="BA60" s="2110">
        <f t="shared" si="42"/>
        <v>3645.71</v>
      </c>
      <c r="BB60" s="2111">
        <v>1363.22</v>
      </c>
      <c r="BC60" s="2112">
        <v>2461.7800000000002</v>
      </c>
      <c r="BD60" s="2112">
        <v>0</v>
      </c>
      <c r="BE60" s="2112">
        <v>0</v>
      </c>
      <c r="BF60" s="2113">
        <v>0</v>
      </c>
      <c r="BG60" s="2114">
        <f t="shared" si="43"/>
        <v>3825</v>
      </c>
      <c r="BH60" s="2103">
        <v>11759.24</v>
      </c>
      <c r="BI60" s="2104">
        <v>1489.53</v>
      </c>
      <c r="BJ60" s="2104">
        <v>2430.27</v>
      </c>
      <c r="BK60" s="2104">
        <v>-0.06</v>
      </c>
      <c r="BL60" s="2104">
        <v>0</v>
      </c>
      <c r="BM60" s="2117">
        <f t="shared" si="44"/>
        <v>15678.980000000001</v>
      </c>
      <c r="BN60" s="2103"/>
      <c r="BO60" s="2104"/>
      <c r="BP60" s="2104"/>
      <c r="BQ60" s="2104"/>
      <c r="BR60" s="2104"/>
      <c r="BS60" s="2105">
        <f t="shared" si="45"/>
        <v>0</v>
      </c>
      <c r="BT60" s="2103">
        <v>1315.3824257219703</v>
      </c>
      <c r="BU60" s="2104">
        <v>6461.6775742780301</v>
      </c>
      <c r="BV60" s="2104">
        <v>1426.56</v>
      </c>
      <c r="BW60" s="2104">
        <v>-0.03</v>
      </c>
      <c r="BX60" s="2104">
        <v>0</v>
      </c>
      <c r="BY60" s="2105">
        <f t="shared" si="46"/>
        <v>9203.59</v>
      </c>
      <c r="BZ60" s="2115"/>
      <c r="CA60" s="2116"/>
      <c r="CB60" s="2116"/>
      <c r="CC60" s="2116"/>
      <c r="CD60" s="2116"/>
      <c r="CE60" s="2105">
        <f t="shared" si="47"/>
        <v>0</v>
      </c>
      <c r="CF60" s="2115"/>
      <c r="CG60" s="2116"/>
      <c r="CH60" s="2116"/>
      <c r="CI60" s="2116"/>
      <c r="CJ60" s="2116"/>
      <c r="CK60" s="2117">
        <f t="shared" si="48"/>
        <v>0</v>
      </c>
      <c r="CL60" s="2103"/>
      <c r="CM60" s="2104"/>
      <c r="CN60" s="2104"/>
      <c r="CO60" s="2104"/>
      <c r="CP60" s="2104"/>
      <c r="CQ60" s="2105">
        <f t="shared" si="49"/>
        <v>0</v>
      </c>
      <c r="CR60" s="2115"/>
      <c r="CS60" s="2116"/>
      <c r="CT60" s="2116"/>
      <c r="CU60" s="2116"/>
      <c r="CV60" s="2116"/>
      <c r="CW60" s="2117">
        <f t="shared" si="50"/>
        <v>0</v>
      </c>
      <c r="CX60" s="2103"/>
      <c r="CY60" s="2104"/>
      <c r="CZ60" s="2104"/>
      <c r="DA60" s="2104"/>
      <c r="DB60" s="2104"/>
      <c r="DC60" s="2105">
        <f t="shared" si="51"/>
        <v>0</v>
      </c>
      <c r="DD60" s="2103"/>
      <c r="DE60" s="2104"/>
      <c r="DF60" s="2104"/>
      <c r="DG60" s="2104"/>
      <c r="DH60" s="2104"/>
      <c r="DI60" s="2105">
        <f t="shared" si="52"/>
        <v>0</v>
      </c>
      <c r="DJ60" s="2103"/>
      <c r="DK60" s="2104"/>
      <c r="DL60" s="2104"/>
      <c r="DM60" s="2104"/>
      <c r="DN60" s="2104"/>
      <c r="DO60" s="2105">
        <f t="shared" si="53"/>
        <v>0</v>
      </c>
      <c r="DP60" s="2103"/>
      <c r="DQ60" s="2104"/>
      <c r="DR60" s="2104"/>
      <c r="DS60" s="2104"/>
      <c r="DT60" s="2104"/>
      <c r="DU60" s="2118">
        <f t="shared" si="54"/>
        <v>0</v>
      </c>
      <c r="DV60" s="2103">
        <v>1175.95</v>
      </c>
      <c r="DW60" s="2104">
        <v>0</v>
      </c>
      <c r="DX60" s="2104">
        <v>215.71</v>
      </c>
      <c r="DY60" s="2104">
        <v>0</v>
      </c>
      <c r="DZ60" s="2104">
        <v>0</v>
      </c>
      <c r="EA60" s="2105">
        <f t="shared" si="55"/>
        <v>1391.66</v>
      </c>
    </row>
    <row r="61" spans="1:131" s="2049" customFormat="1" ht="15" customHeight="1" x14ac:dyDescent="0.25">
      <c r="A61" s="2089" t="s">
        <v>146</v>
      </c>
      <c r="B61" s="2090" t="s">
        <v>147</v>
      </c>
      <c r="C61" s="2091" t="s">
        <v>264</v>
      </c>
      <c r="D61" s="2092">
        <f t="shared" si="28"/>
        <v>66692.445540273868</v>
      </c>
      <c r="E61" s="2093">
        <f t="shared" si="29"/>
        <v>6564.664459726132</v>
      </c>
      <c r="F61" s="2093">
        <f t="shared" si="30"/>
        <v>16483.920000000002</v>
      </c>
      <c r="G61" s="2093">
        <f t="shared" si="31"/>
        <v>2499.89</v>
      </c>
      <c r="H61" s="2093">
        <f t="shared" si="32"/>
        <v>0</v>
      </c>
      <c r="I61" s="2093">
        <f t="shared" si="33"/>
        <v>92240.92</v>
      </c>
      <c r="J61" s="2093">
        <f t="shared" si="34"/>
        <v>2499.89</v>
      </c>
      <c r="K61" s="2094">
        <f t="shared" si="35"/>
        <v>18983.810000000001</v>
      </c>
      <c r="L61" s="2095"/>
      <c r="M61" s="2096"/>
      <c r="N61" s="2096"/>
      <c r="O61" s="2096"/>
      <c r="P61" s="2096"/>
      <c r="Q61" s="2097">
        <f t="shared" si="36"/>
        <v>0</v>
      </c>
      <c r="R61" s="2098"/>
      <c r="S61" s="2099"/>
      <c r="T61" s="2099"/>
      <c r="U61" s="2099"/>
      <c r="V61" s="2099"/>
      <c r="W61" s="2100">
        <f t="shared" si="37"/>
        <v>0</v>
      </c>
      <c r="X61" s="2101">
        <v>2597.65</v>
      </c>
      <c r="Y61" s="2102">
        <v>15.48</v>
      </c>
      <c r="Z61" s="2102">
        <v>479.35</v>
      </c>
      <c r="AA61" s="2102">
        <v>-0.04</v>
      </c>
      <c r="AB61" s="2102">
        <v>0</v>
      </c>
      <c r="AC61" s="2100">
        <f t="shared" si="38"/>
        <v>3092.44</v>
      </c>
      <c r="AD61" s="2103">
        <v>38168.28</v>
      </c>
      <c r="AE61" s="2104">
        <v>0</v>
      </c>
      <c r="AF61" s="2104">
        <v>9542.07</v>
      </c>
      <c r="AG61" s="2104">
        <v>2500</v>
      </c>
      <c r="AH61" s="2104">
        <v>0</v>
      </c>
      <c r="AI61" s="2105">
        <f t="shared" si="39"/>
        <v>50210.35</v>
      </c>
      <c r="AJ61" s="2098"/>
      <c r="AK61" s="2099"/>
      <c r="AL61" s="2099"/>
      <c r="AM61" s="2099"/>
      <c r="AN61" s="2099"/>
      <c r="AO61" s="2106">
        <f t="shared" si="40"/>
        <v>0</v>
      </c>
      <c r="AP61" s="2098"/>
      <c r="AQ61" s="2099"/>
      <c r="AR61" s="2099"/>
      <c r="AS61" s="2099"/>
      <c r="AT61" s="2099"/>
      <c r="AU61" s="2106">
        <f t="shared" si="41"/>
        <v>0</v>
      </c>
      <c r="AV61" s="2121">
        <v>635</v>
      </c>
      <c r="AW61" s="2122">
        <v>158.75</v>
      </c>
      <c r="AX61" s="2122">
        <v>0</v>
      </c>
      <c r="AY61" s="2122">
        <v>0</v>
      </c>
      <c r="AZ61" s="2123">
        <v>0</v>
      </c>
      <c r="BA61" s="2110">
        <f t="shared" si="42"/>
        <v>793.75</v>
      </c>
      <c r="BB61" s="2119">
        <v>34.81</v>
      </c>
      <c r="BC61" s="2120">
        <v>62.85</v>
      </c>
      <c r="BD61" s="2120">
        <v>0</v>
      </c>
      <c r="BE61" s="2120">
        <v>0</v>
      </c>
      <c r="BF61" s="2120">
        <v>0</v>
      </c>
      <c r="BG61" s="2114">
        <f t="shared" si="43"/>
        <v>97.66</v>
      </c>
      <c r="BH61" s="2103">
        <v>18010.45</v>
      </c>
      <c r="BI61" s="2104">
        <v>2281.36</v>
      </c>
      <c r="BJ61" s="2104">
        <v>3722.19</v>
      </c>
      <c r="BK61" s="2104">
        <v>-0.08</v>
      </c>
      <c r="BL61" s="2104">
        <v>0</v>
      </c>
      <c r="BM61" s="2117">
        <f t="shared" si="44"/>
        <v>24013.919999999998</v>
      </c>
      <c r="BN61" s="2103"/>
      <c r="BO61" s="2104"/>
      <c r="BP61" s="2104"/>
      <c r="BQ61" s="2104"/>
      <c r="BR61" s="2104"/>
      <c r="BS61" s="2105">
        <f t="shared" si="45"/>
        <v>0</v>
      </c>
      <c r="BT61" s="2103">
        <v>189.36554027386819</v>
      </c>
      <c r="BU61" s="2104">
        <v>1199.974459726132</v>
      </c>
      <c r="BV61" s="2104">
        <v>254.87</v>
      </c>
      <c r="BW61" s="2104">
        <v>-0.02</v>
      </c>
      <c r="BX61" s="2104">
        <v>0</v>
      </c>
      <c r="BY61" s="2105">
        <f t="shared" si="46"/>
        <v>1644.19</v>
      </c>
      <c r="BZ61" s="2103">
        <v>903.91</v>
      </c>
      <c r="CA61" s="2104">
        <v>0</v>
      </c>
      <c r="CB61" s="2104">
        <v>834.71</v>
      </c>
      <c r="CC61" s="2104">
        <v>-0.01</v>
      </c>
      <c r="CD61" s="2104">
        <v>0</v>
      </c>
      <c r="CE61" s="2105">
        <f t="shared" si="47"/>
        <v>1738.61</v>
      </c>
      <c r="CF61" s="2115"/>
      <c r="CG61" s="2116"/>
      <c r="CH61" s="2116"/>
      <c r="CI61" s="2116"/>
      <c r="CJ61" s="2116"/>
      <c r="CK61" s="2117">
        <f t="shared" si="48"/>
        <v>0</v>
      </c>
      <c r="CL61" s="2115"/>
      <c r="CM61" s="2116"/>
      <c r="CN61" s="2116"/>
      <c r="CO61" s="2116"/>
      <c r="CP61" s="2116"/>
      <c r="CQ61" s="2105">
        <f t="shared" si="49"/>
        <v>0</v>
      </c>
      <c r="CR61" s="2103"/>
      <c r="CS61" s="2104"/>
      <c r="CT61" s="2104"/>
      <c r="CU61" s="2104"/>
      <c r="CV61" s="2104"/>
      <c r="CW61" s="2117">
        <f t="shared" si="50"/>
        <v>0</v>
      </c>
      <c r="CX61" s="2103"/>
      <c r="CY61" s="2104"/>
      <c r="CZ61" s="2104"/>
      <c r="DA61" s="2104"/>
      <c r="DB61" s="2104"/>
      <c r="DC61" s="2105">
        <f t="shared" si="51"/>
        <v>0</v>
      </c>
      <c r="DD61" s="2103"/>
      <c r="DE61" s="2104"/>
      <c r="DF61" s="2104"/>
      <c r="DG61" s="2104"/>
      <c r="DH61" s="2104"/>
      <c r="DI61" s="2105">
        <f t="shared" si="52"/>
        <v>0</v>
      </c>
      <c r="DJ61" s="2103"/>
      <c r="DK61" s="2104"/>
      <c r="DL61" s="2104"/>
      <c r="DM61" s="2104"/>
      <c r="DN61" s="2104"/>
      <c r="DO61" s="2105">
        <f t="shared" si="53"/>
        <v>0</v>
      </c>
      <c r="DP61" s="2103">
        <v>4125</v>
      </c>
      <c r="DQ61" s="2104">
        <v>2846.25</v>
      </c>
      <c r="DR61" s="2104">
        <v>1278.75</v>
      </c>
      <c r="DS61" s="2104">
        <v>0</v>
      </c>
      <c r="DT61" s="2104">
        <v>0</v>
      </c>
      <c r="DU61" s="2118">
        <f t="shared" si="54"/>
        <v>8250</v>
      </c>
      <c r="DV61" s="2103">
        <v>2027.98</v>
      </c>
      <c r="DW61" s="2104">
        <v>0</v>
      </c>
      <c r="DX61" s="2104">
        <v>371.98</v>
      </c>
      <c r="DY61" s="2104">
        <v>0.04</v>
      </c>
      <c r="DZ61" s="2104">
        <v>0</v>
      </c>
      <c r="EA61" s="2105">
        <f t="shared" si="55"/>
        <v>2400</v>
      </c>
    </row>
    <row r="62" spans="1:131" s="2049" customFormat="1" ht="15" customHeight="1" x14ac:dyDescent="0.25">
      <c r="A62" s="2089" t="s">
        <v>148</v>
      </c>
      <c r="B62" s="2090" t="s">
        <v>149</v>
      </c>
      <c r="C62" s="2091" t="s">
        <v>265</v>
      </c>
      <c r="D62" s="2092">
        <f t="shared" si="28"/>
        <v>30424.108625853256</v>
      </c>
      <c r="E62" s="2093">
        <f t="shared" si="29"/>
        <v>19059.491374146743</v>
      </c>
      <c r="F62" s="2093">
        <f t="shared" si="30"/>
        <v>9076.92</v>
      </c>
      <c r="G62" s="2093">
        <f t="shared" si="31"/>
        <v>-0.12000000000000001</v>
      </c>
      <c r="H62" s="2093">
        <f t="shared" si="32"/>
        <v>0</v>
      </c>
      <c r="I62" s="2093">
        <f t="shared" si="33"/>
        <v>58560.399999999994</v>
      </c>
      <c r="J62" s="2093">
        <f t="shared" si="34"/>
        <v>-0.12000000000000001</v>
      </c>
      <c r="K62" s="2094">
        <f t="shared" si="35"/>
        <v>9076.7999999999993</v>
      </c>
      <c r="L62" s="2095"/>
      <c r="M62" s="2096"/>
      <c r="N62" s="2096"/>
      <c r="O62" s="2096"/>
      <c r="P62" s="2096"/>
      <c r="Q62" s="2097">
        <f t="shared" si="36"/>
        <v>0</v>
      </c>
      <c r="R62" s="2098"/>
      <c r="S62" s="2099"/>
      <c r="T62" s="2099"/>
      <c r="U62" s="2099"/>
      <c r="V62" s="2099"/>
      <c r="W62" s="2100">
        <f t="shared" si="37"/>
        <v>0</v>
      </c>
      <c r="X62" s="2101">
        <v>7246.27</v>
      </c>
      <c r="Y62" s="2102">
        <v>43.14</v>
      </c>
      <c r="Z62" s="2102">
        <v>1337.14</v>
      </c>
      <c r="AA62" s="2102">
        <v>-0.05</v>
      </c>
      <c r="AB62" s="2102">
        <v>0</v>
      </c>
      <c r="AC62" s="2100">
        <f t="shared" si="38"/>
        <v>8626.5000000000018</v>
      </c>
      <c r="AD62" s="2103"/>
      <c r="AE62" s="2104"/>
      <c r="AF62" s="2104"/>
      <c r="AG62" s="2104"/>
      <c r="AH62" s="2104"/>
      <c r="AI62" s="2105">
        <f t="shared" si="39"/>
        <v>0</v>
      </c>
      <c r="AJ62" s="2098"/>
      <c r="AK62" s="2099"/>
      <c r="AL62" s="2099"/>
      <c r="AM62" s="2099"/>
      <c r="AN62" s="2099"/>
      <c r="AO62" s="2106">
        <f t="shared" si="40"/>
        <v>0</v>
      </c>
      <c r="AP62" s="2098"/>
      <c r="AQ62" s="2099"/>
      <c r="AR62" s="2099"/>
      <c r="AS62" s="2099"/>
      <c r="AT62" s="2099"/>
      <c r="AU62" s="2106">
        <f t="shared" si="41"/>
        <v>0</v>
      </c>
      <c r="AV62" s="2121"/>
      <c r="AW62" s="2122"/>
      <c r="AX62" s="2122"/>
      <c r="AY62" s="2122"/>
      <c r="AZ62" s="2123"/>
      <c r="BA62" s="2110">
        <f t="shared" si="42"/>
        <v>0</v>
      </c>
      <c r="BB62" s="2119"/>
      <c r="BC62" s="2120"/>
      <c r="BD62" s="2120"/>
      <c r="BE62" s="2120"/>
      <c r="BF62" s="2120"/>
      <c r="BG62" s="2114">
        <f t="shared" si="43"/>
        <v>0</v>
      </c>
      <c r="BH62" s="2103">
        <v>13451.15</v>
      </c>
      <c r="BI62" s="2104">
        <v>1703.81</v>
      </c>
      <c r="BJ62" s="2104">
        <v>2779.92</v>
      </c>
      <c r="BK62" s="2104">
        <v>-0.03</v>
      </c>
      <c r="BL62" s="2104">
        <v>0</v>
      </c>
      <c r="BM62" s="2117">
        <f t="shared" si="44"/>
        <v>17934.849999999999</v>
      </c>
      <c r="BN62" s="2103"/>
      <c r="BO62" s="2104"/>
      <c r="BP62" s="2104"/>
      <c r="BQ62" s="2104"/>
      <c r="BR62" s="2104"/>
      <c r="BS62" s="2105">
        <f t="shared" si="45"/>
        <v>0</v>
      </c>
      <c r="BT62" s="2103">
        <v>2663.2086258532563</v>
      </c>
      <c r="BU62" s="2104">
        <v>16675.401374146742</v>
      </c>
      <c r="BV62" s="2104">
        <v>3547.31</v>
      </c>
      <c r="BW62" s="2104">
        <v>-0.04</v>
      </c>
      <c r="BX62" s="2104">
        <v>0</v>
      </c>
      <c r="BY62" s="2105">
        <f t="shared" si="46"/>
        <v>22885.88</v>
      </c>
      <c r="BZ62" s="2103"/>
      <c r="CA62" s="2104"/>
      <c r="CB62" s="2104"/>
      <c r="CC62" s="2104"/>
      <c r="CD62" s="2104"/>
      <c r="CE62" s="2105">
        <f t="shared" si="47"/>
        <v>0</v>
      </c>
      <c r="CF62" s="2115"/>
      <c r="CG62" s="2116"/>
      <c r="CH62" s="2116"/>
      <c r="CI62" s="2116"/>
      <c r="CJ62" s="2116"/>
      <c r="CK62" s="2117">
        <f t="shared" si="48"/>
        <v>0</v>
      </c>
      <c r="CL62" s="2115"/>
      <c r="CM62" s="2116"/>
      <c r="CN62" s="2116"/>
      <c r="CO62" s="2116"/>
      <c r="CP62" s="2116"/>
      <c r="CQ62" s="2105">
        <f t="shared" si="49"/>
        <v>0</v>
      </c>
      <c r="CR62" s="2115"/>
      <c r="CS62" s="2116"/>
      <c r="CT62" s="2116"/>
      <c r="CU62" s="2116"/>
      <c r="CV62" s="2116"/>
      <c r="CW62" s="2117">
        <f t="shared" si="50"/>
        <v>0</v>
      </c>
      <c r="CX62" s="2103"/>
      <c r="CY62" s="2104"/>
      <c r="CZ62" s="2104"/>
      <c r="DA62" s="2104"/>
      <c r="DB62" s="2104"/>
      <c r="DC62" s="2105">
        <f t="shared" si="51"/>
        <v>0</v>
      </c>
      <c r="DD62" s="2103"/>
      <c r="DE62" s="2104"/>
      <c r="DF62" s="2104"/>
      <c r="DG62" s="2104"/>
      <c r="DH62" s="2104"/>
      <c r="DI62" s="2105">
        <f t="shared" si="52"/>
        <v>0</v>
      </c>
      <c r="DJ62" s="2103"/>
      <c r="DK62" s="2104"/>
      <c r="DL62" s="2104"/>
      <c r="DM62" s="2104"/>
      <c r="DN62" s="2104"/>
      <c r="DO62" s="2105">
        <f t="shared" si="53"/>
        <v>0</v>
      </c>
      <c r="DP62" s="2103">
        <v>923.39</v>
      </c>
      <c r="DQ62" s="2104">
        <v>637.14</v>
      </c>
      <c r="DR62" s="2104">
        <v>286.25</v>
      </c>
      <c r="DS62" s="2104">
        <v>-0.01</v>
      </c>
      <c r="DT62" s="2104">
        <v>0</v>
      </c>
      <c r="DU62" s="2118">
        <f t="shared" si="54"/>
        <v>1846.77</v>
      </c>
      <c r="DV62" s="2103">
        <v>6140.09</v>
      </c>
      <c r="DW62" s="2104">
        <v>0</v>
      </c>
      <c r="DX62" s="2104">
        <v>1126.3</v>
      </c>
      <c r="DY62" s="2104">
        <v>0.01</v>
      </c>
      <c r="DZ62" s="2104">
        <v>0</v>
      </c>
      <c r="EA62" s="2105">
        <f t="shared" si="55"/>
        <v>7266.4000000000005</v>
      </c>
    </row>
    <row r="63" spans="1:131" s="2049" customFormat="1" ht="15" customHeight="1" x14ac:dyDescent="0.25">
      <c r="A63" s="2089" t="s">
        <v>150</v>
      </c>
      <c r="B63" s="2090" t="s">
        <v>151</v>
      </c>
      <c r="C63" s="2091" t="s">
        <v>266</v>
      </c>
      <c r="D63" s="2092">
        <f t="shared" si="28"/>
        <v>47105.447984587241</v>
      </c>
      <c r="E63" s="2093">
        <f t="shared" si="29"/>
        <v>40742.442015412758</v>
      </c>
      <c r="F63" s="2093">
        <f t="shared" si="30"/>
        <v>18038.46</v>
      </c>
      <c r="G63" s="2093">
        <f t="shared" si="31"/>
        <v>-8.0000000000000016E-2</v>
      </c>
      <c r="H63" s="2093">
        <f t="shared" si="32"/>
        <v>0</v>
      </c>
      <c r="I63" s="2093">
        <f t="shared" si="33"/>
        <v>105886.27</v>
      </c>
      <c r="J63" s="2093">
        <f t="shared" si="34"/>
        <v>-8.0000000000000016E-2</v>
      </c>
      <c r="K63" s="2094">
        <f t="shared" si="35"/>
        <v>18038.379999999997</v>
      </c>
      <c r="L63" s="2095"/>
      <c r="M63" s="2096"/>
      <c r="N63" s="2096"/>
      <c r="O63" s="2096"/>
      <c r="P63" s="2096"/>
      <c r="Q63" s="2097">
        <f t="shared" si="36"/>
        <v>0</v>
      </c>
      <c r="R63" s="2098"/>
      <c r="S63" s="2099"/>
      <c r="T63" s="2099"/>
      <c r="U63" s="2099"/>
      <c r="V63" s="2099"/>
      <c r="W63" s="2100">
        <f t="shared" si="37"/>
        <v>0</v>
      </c>
      <c r="X63" s="2101">
        <v>2593.92</v>
      </c>
      <c r="Y63" s="2102">
        <v>15.45</v>
      </c>
      <c r="Z63" s="2102">
        <v>478.65</v>
      </c>
      <c r="AA63" s="2102">
        <v>-0.02</v>
      </c>
      <c r="AB63" s="2102">
        <v>0</v>
      </c>
      <c r="AC63" s="2100">
        <f t="shared" si="38"/>
        <v>3088</v>
      </c>
      <c r="AD63" s="2103">
        <v>20745.599999999999</v>
      </c>
      <c r="AE63" s="2104">
        <v>0</v>
      </c>
      <c r="AF63" s="2104">
        <v>5186.3999999999996</v>
      </c>
      <c r="AG63" s="2104">
        <v>0</v>
      </c>
      <c r="AH63" s="2104">
        <v>0</v>
      </c>
      <c r="AI63" s="2105">
        <f t="shared" si="39"/>
        <v>25932</v>
      </c>
      <c r="AJ63" s="2098"/>
      <c r="AK63" s="2099"/>
      <c r="AL63" s="2099"/>
      <c r="AM63" s="2099"/>
      <c r="AN63" s="2099"/>
      <c r="AO63" s="2106">
        <f t="shared" si="40"/>
        <v>0</v>
      </c>
      <c r="AP63" s="2101"/>
      <c r="AQ63" s="2102"/>
      <c r="AR63" s="2102"/>
      <c r="AS63" s="2102"/>
      <c r="AT63" s="2102"/>
      <c r="AU63" s="2106">
        <f t="shared" si="41"/>
        <v>0</v>
      </c>
      <c r="AV63" s="2107">
        <v>189.58</v>
      </c>
      <c r="AW63" s="2108">
        <v>47.4</v>
      </c>
      <c r="AX63" s="2108">
        <v>0</v>
      </c>
      <c r="AY63" s="2108">
        <v>0</v>
      </c>
      <c r="AZ63" s="2109">
        <v>0</v>
      </c>
      <c r="BA63" s="2110">
        <f t="shared" si="42"/>
        <v>236.98000000000002</v>
      </c>
      <c r="BB63" s="2119">
        <v>106.92</v>
      </c>
      <c r="BC63" s="2120">
        <v>193.08</v>
      </c>
      <c r="BD63" s="2120">
        <v>0</v>
      </c>
      <c r="BE63" s="2120">
        <v>0</v>
      </c>
      <c r="BF63" s="2120">
        <v>0</v>
      </c>
      <c r="BG63" s="2114">
        <f t="shared" si="43"/>
        <v>300</v>
      </c>
      <c r="BH63" s="2103">
        <v>13497.87</v>
      </c>
      <c r="BI63" s="2104">
        <v>1709.76</v>
      </c>
      <c r="BJ63" s="2104">
        <v>2789.58</v>
      </c>
      <c r="BK63" s="2104">
        <v>-0.08</v>
      </c>
      <c r="BL63" s="2104">
        <v>0</v>
      </c>
      <c r="BM63" s="2117">
        <f t="shared" si="44"/>
        <v>17997.129999999997</v>
      </c>
      <c r="BN63" s="2103"/>
      <c r="BO63" s="2104"/>
      <c r="BP63" s="2104"/>
      <c r="BQ63" s="2104"/>
      <c r="BR63" s="2104"/>
      <c r="BS63" s="2105">
        <f t="shared" si="45"/>
        <v>0</v>
      </c>
      <c r="BT63" s="2103">
        <v>5759.5979845872389</v>
      </c>
      <c r="BU63" s="2104">
        <v>36499.752015412756</v>
      </c>
      <c r="BV63" s="2104">
        <v>7751.67</v>
      </c>
      <c r="BW63" s="2104">
        <v>-0.02</v>
      </c>
      <c r="BX63" s="2104">
        <v>0</v>
      </c>
      <c r="BY63" s="2105">
        <f t="shared" si="46"/>
        <v>50010.999999999993</v>
      </c>
      <c r="BZ63" s="2103">
        <v>867.41</v>
      </c>
      <c r="CA63" s="2104">
        <v>0</v>
      </c>
      <c r="CB63" s="2104">
        <v>801.01</v>
      </c>
      <c r="CC63" s="2104">
        <v>0</v>
      </c>
      <c r="CD63" s="2104">
        <v>0</v>
      </c>
      <c r="CE63" s="2105">
        <f t="shared" si="47"/>
        <v>1668.42</v>
      </c>
      <c r="CF63" s="2115"/>
      <c r="CG63" s="2116"/>
      <c r="CH63" s="2116"/>
      <c r="CI63" s="2116"/>
      <c r="CJ63" s="2116"/>
      <c r="CK63" s="2117">
        <f t="shared" si="48"/>
        <v>0</v>
      </c>
      <c r="CL63" s="2103"/>
      <c r="CM63" s="2104"/>
      <c r="CN63" s="2104"/>
      <c r="CO63" s="2104"/>
      <c r="CP63" s="2104"/>
      <c r="CQ63" s="2105">
        <f t="shared" si="49"/>
        <v>0</v>
      </c>
      <c r="CR63" s="2115"/>
      <c r="CS63" s="2116"/>
      <c r="CT63" s="2116"/>
      <c r="CU63" s="2116"/>
      <c r="CV63" s="2116"/>
      <c r="CW63" s="2117">
        <f t="shared" si="50"/>
        <v>0</v>
      </c>
      <c r="CX63" s="2103"/>
      <c r="CY63" s="2104"/>
      <c r="CZ63" s="2104"/>
      <c r="DA63" s="2104"/>
      <c r="DB63" s="2104"/>
      <c r="DC63" s="2105">
        <f t="shared" si="51"/>
        <v>0</v>
      </c>
      <c r="DD63" s="2103"/>
      <c r="DE63" s="2104"/>
      <c r="DF63" s="2104"/>
      <c r="DG63" s="2104"/>
      <c r="DH63" s="2104"/>
      <c r="DI63" s="2105">
        <f t="shared" si="52"/>
        <v>0</v>
      </c>
      <c r="DJ63" s="2103"/>
      <c r="DK63" s="2104"/>
      <c r="DL63" s="2104"/>
      <c r="DM63" s="2104"/>
      <c r="DN63" s="2104"/>
      <c r="DO63" s="2105">
        <f t="shared" si="53"/>
        <v>0</v>
      </c>
      <c r="DP63" s="2103">
        <v>3300</v>
      </c>
      <c r="DQ63" s="2104">
        <v>2277</v>
      </c>
      <c r="DR63" s="2104">
        <v>1023</v>
      </c>
      <c r="DS63" s="2104">
        <v>0</v>
      </c>
      <c r="DT63" s="2104">
        <v>0</v>
      </c>
      <c r="DU63" s="2118">
        <f t="shared" si="54"/>
        <v>6600</v>
      </c>
      <c r="DV63" s="2103">
        <v>44.55</v>
      </c>
      <c r="DW63" s="2104">
        <v>0</v>
      </c>
      <c r="DX63" s="2104">
        <v>8.15</v>
      </c>
      <c r="DY63" s="2104">
        <v>0.04</v>
      </c>
      <c r="DZ63" s="2104">
        <v>0</v>
      </c>
      <c r="EA63" s="2105">
        <f t="shared" si="55"/>
        <v>52.739999999999995</v>
      </c>
    </row>
    <row r="64" spans="1:131" s="2049" customFormat="1" ht="15" customHeight="1" x14ac:dyDescent="0.25">
      <c r="A64" s="2089" t="s">
        <v>152</v>
      </c>
      <c r="B64" s="2090" t="s">
        <v>153</v>
      </c>
      <c r="C64" s="2091" t="s">
        <v>268</v>
      </c>
      <c r="D64" s="2092">
        <f t="shared" si="28"/>
        <v>79137.225341918718</v>
      </c>
      <c r="E64" s="2093">
        <f t="shared" si="29"/>
        <v>42052.194658081287</v>
      </c>
      <c r="F64" s="2093">
        <f t="shared" si="30"/>
        <v>22405.579999999998</v>
      </c>
      <c r="G64" s="2093">
        <f t="shared" si="31"/>
        <v>-9.9999999999999985E-3</v>
      </c>
      <c r="H64" s="2093">
        <f t="shared" si="32"/>
        <v>0</v>
      </c>
      <c r="I64" s="2093">
        <f t="shared" si="33"/>
        <v>143594.99</v>
      </c>
      <c r="J64" s="2093">
        <f t="shared" si="34"/>
        <v>-9.9999999999999985E-3</v>
      </c>
      <c r="K64" s="2094">
        <f t="shared" si="35"/>
        <v>22405.57</v>
      </c>
      <c r="L64" s="2127">
        <v>0</v>
      </c>
      <c r="M64" s="2128">
        <v>508</v>
      </c>
      <c r="N64" s="2129">
        <v>0</v>
      </c>
      <c r="O64" s="2128">
        <v>0</v>
      </c>
      <c r="P64" s="2128">
        <v>0</v>
      </c>
      <c r="Q64" s="2097">
        <f t="shared" si="36"/>
        <v>508</v>
      </c>
      <c r="R64" s="2101"/>
      <c r="S64" s="2102"/>
      <c r="T64" s="2102"/>
      <c r="U64" s="2102"/>
      <c r="V64" s="2102"/>
      <c r="W64" s="2100">
        <f t="shared" si="37"/>
        <v>0</v>
      </c>
      <c r="X64" s="2101">
        <v>7631.39</v>
      </c>
      <c r="Y64" s="2102">
        <v>45.42</v>
      </c>
      <c r="Z64" s="2102">
        <v>1408.17</v>
      </c>
      <c r="AA64" s="2102">
        <v>0.01</v>
      </c>
      <c r="AB64" s="2102">
        <v>0</v>
      </c>
      <c r="AC64" s="2100">
        <f t="shared" si="38"/>
        <v>9084.99</v>
      </c>
      <c r="AD64" s="2103">
        <v>27493.94</v>
      </c>
      <c r="AE64" s="2104">
        <v>0</v>
      </c>
      <c r="AF64" s="2104">
        <v>6873.48</v>
      </c>
      <c r="AG64" s="2104">
        <v>0</v>
      </c>
      <c r="AH64" s="2104">
        <v>0</v>
      </c>
      <c r="AI64" s="2105">
        <f t="shared" si="39"/>
        <v>34367.42</v>
      </c>
      <c r="AJ64" s="2098"/>
      <c r="AK64" s="2099"/>
      <c r="AL64" s="2099"/>
      <c r="AM64" s="2099"/>
      <c r="AN64" s="2099"/>
      <c r="AO64" s="2106">
        <f t="shared" si="40"/>
        <v>0</v>
      </c>
      <c r="AP64" s="2101">
        <v>5473.28</v>
      </c>
      <c r="AQ64" s="2102">
        <v>1368.32</v>
      </c>
      <c r="AR64" s="2102">
        <v>0</v>
      </c>
      <c r="AS64" s="2102">
        <v>0</v>
      </c>
      <c r="AT64" s="2102">
        <v>0</v>
      </c>
      <c r="AU64" s="2106">
        <f t="shared" si="41"/>
        <v>6841.5999999999995</v>
      </c>
      <c r="AV64" s="2107">
        <v>895.09</v>
      </c>
      <c r="AW64" s="2108">
        <v>223.77</v>
      </c>
      <c r="AX64" s="2108">
        <v>0</v>
      </c>
      <c r="AY64" s="2108">
        <v>0</v>
      </c>
      <c r="AZ64" s="2109">
        <v>0</v>
      </c>
      <c r="BA64" s="2110">
        <f t="shared" si="42"/>
        <v>1118.8600000000001</v>
      </c>
      <c r="BB64" s="2111">
        <v>196.7</v>
      </c>
      <c r="BC64" s="2112">
        <v>355.21</v>
      </c>
      <c r="BD64" s="2112">
        <v>0</v>
      </c>
      <c r="BE64" s="2112">
        <v>0</v>
      </c>
      <c r="BF64" s="2113">
        <v>0</v>
      </c>
      <c r="BG64" s="2114">
        <f t="shared" si="43"/>
        <v>551.91</v>
      </c>
      <c r="BH64" s="2103">
        <v>19153.919999999998</v>
      </c>
      <c r="BI64" s="2104">
        <v>2426.15</v>
      </c>
      <c r="BJ64" s="2104">
        <v>3958.47</v>
      </c>
      <c r="BK64" s="2104">
        <v>0</v>
      </c>
      <c r="BL64" s="2104">
        <v>0</v>
      </c>
      <c r="BM64" s="2117">
        <f t="shared" si="44"/>
        <v>25538.54</v>
      </c>
      <c r="BN64" s="2103"/>
      <c r="BO64" s="2104"/>
      <c r="BP64" s="2104"/>
      <c r="BQ64" s="2104"/>
      <c r="BR64" s="2104"/>
      <c r="BS64" s="2105">
        <f t="shared" si="45"/>
        <v>0</v>
      </c>
      <c r="BT64" s="2103">
        <v>4922.5553419187163</v>
      </c>
      <c r="BU64" s="2104">
        <v>31195.464658081284</v>
      </c>
      <c r="BV64" s="2104">
        <v>6625.2</v>
      </c>
      <c r="BW64" s="2104">
        <v>-0.04</v>
      </c>
      <c r="BX64" s="2104">
        <v>0</v>
      </c>
      <c r="BY64" s="2105">
        <f t="shared" si="46"/>
        <v>42743.18</v>
      </c>
      <c r="BZ64" s="2115"/>
      <c r="CA64" s="2116"/>
      <c r="CB64" s="2116"/>
      <c r="CC64" s="2116"/>
      <c r="CD64" s="2116"/>
      <c r="CE64" s="2105">
        <f t="shared" si="47"/>
        <v>0</v>
      </c>
      <c r="CF64" s="2115"/>
      <c r="CG64" s="2116"/>
      <c r="CH64" s="2116"/>
      <c r="CI64" s="2116"/>
      <c r="CJ64" s="2116"/>
      <c r="CK64" s="2117">
        <f t="shared" si="48"/>
        <v>0</v>
      </c>
      <c r="CL64" s="2103"/>
      <c r="CM64" s="2104"/>
      <c r="CN64" s="2104"/>
      <c r="CO64" s="2104"/>
      <c r="CP64" s="2104"/>
      <c r="CQ64" s="2105">
        <f t="shared" si="49"/>
        <v>0</v>
      </c>
      <c r="CR64" s="2115"/>
      <c r="CS64" s="2116"/>
      <c r="CT64" s="2116"/>
      <c r="CU64" s="2116"/>
      <c r="CV64" s="2116"/>
      <c r="CW64" s="2117">
        <f t="shared" si="50"/>
        <v>0</v>
      </c>
      <c r="CX64" s="2103"/>
      <c r="CY64" s="2104"/>
      <c r="CZ64" s="2104"/>
      <c r="DA64" s="2104"/>
      <c r="DB64" s="2104"/>
      <c r="DC64" s="2105">
        <f t="shared" si="51"/>
        <v>0</v>
      </c>
      <c r="DD64" s="2103"/>
      <c r="DE64" s="2104"/>
      <c r="DF64" s="2104"/>
      <c r="DG64" s="2104"/>
      <c r="DH64" s="2104"/>
      <c r="DI64" s="2105">
        <f t="shared" si="52"/>
        <v>0</v>
      </c>
      <c r="DJ64" s="2103"/>
      <c r="DK64" s="2104"/>
      <c r="DL64" s="2104"/>
      <c r="DM64" s="2104"/>
      <c r="DN64" s="2104"/>
      <c r="DO64" s="2105">
        <f t="shared" si="53"/>
        <v>0</v>
      </c>
      <c r="DP64" s="2103">
        <v>8594</v>
      </c>
      <c r="DQ64" s="2104">
        <v>5929.86</v>
      </c>
      <c r="DR64" s="2104">
        <v>2664.14</v>
      </c>
      <c r="DS64" s="2104">
        <v>0</v>
      </c>
      <c r="DT64" s="2104">
        <v>0</v>
      </c>
      <c r="DU64" s="2118">
        <f t="shared" si="54"/>
        <v>17188</v>
      </c>
      <c r="DV64" s="2103">
        <v>4776.3500000000004</v>
      </c>
      <c r="DW64" s="2104">
        <v>0</v>
      </c>
      <c r="DX64" s="2104">
        <v>876.12</v>
      </c>
      <c r="DY64" s="2104">
        <v>0.02</v>
      </c>
      <c r="DZ64" s="2104">
        <v>0</v>
      </c>
      <c r="EA64" s="2105">
        <f t="shared" si="55"/>
        <v>5652.4900000000007</v>
      </c>
    </row>
    <row r="65" spans="1:131" s="2049" customFormat="1" ht="15" customHeight="1" x14ac:dyDescent="0.25">
      <c r="A65" s="2089" t="s">
        <v>154</v>
      </c>
      <c r="B65" s="2090" t="s">
        <v>155</v>
      </c>
      <c r="C65" s="2091" t="s">
        <v>265</v>
      </c>
      <c r="D65" s="2092">
        <f t="shared" si="28"/>
        <v>10356.743067129337</v>
      </c>
      <c r="E65" s="2093">
        <f t="shared" si="29"/>
        <v>4441.5469328706622</v>
      </c>
      <c r="F65" s="2093">
        <f t="shared" si="30"/>
        <v>3022.75</v>
      </c>
      <c r="G65" s="2093">
        <f t="shared" si="31"/>
        <v>-0.03</v>
      </c>
      <c r="H65" s="2093">
        <f t="shared" si="32"/>
        <v>0</v>
      </c>
      <c r="I65" s="2093">
        <f t="shared" si="33"/>
        <v>17821.010000000002</v>
      </c>
      <c r="J65" s="2093">
        <f t="shared" si="34"/>
        <v>-0.03</v>
      </c>
      <c r="K65" s="2094">
        <f t="shared" si="35"/>
        <v>3022.72</v>
      </c>
      <c r="L65" s="2095"/>
      <c r="M65" s="2096"/>
      <c r="N65" s="2096"/>
      <c r="O65" s="2096"/>
      <c r="P65" s="2096"/>
      <c r="Q65" s="2097">
        <f t="shared" si="36"/>
        <v>0</v>
      </c>
      <c r="R65" s="2101"/>
      <c r="S65" s="2102"/>
      <c r="T65" s="2102"/>
      <c r="U65" s="2102"/>
      <c r="V65" s="2102"/>
      <c r="W65" s="2100">
        <f t="shared" si="37"/>
        <v>0</v>
      </c>
      <c r="X65" s="2101">
        <v>579.20000000000005</v>
      </c>
      <c r="Y65" s="2102">
        <v>3.45</v>
      </c>
      <c r="Z65" s="2102">
        <v>106.88</v>
      </c>
      <c r="AA65" s="2102">
        <v>-0.01</v>
      </c>
      <c r="AB65" s="2102">
        <v>0</v>
      </c>
      <c r="AC65" s="2100">
        <f t="shared" si="38"/>
        <v>689.5200000000001</v>
      </c>
      <c r="AD65" s="2103">
        <v>5793.66</v>
      </c>
      <c r="AE65" s="2104">
        <v>0</v>
      </c>
      <c r="AF65" s="2104">
        <v>1448.43</v>
      </c>
      <c r="AG65" s="2104">
        <v>0</v>
      </c>
      <c r="AH65" s="2104">
        <v>0</v>
      </c>
      <c r="AI65" s="2105">
        <f t="shared" si="39"/>
        <v>7242.09</v>
      </c>
      <c r="AJ65" s="2098"/>
      <c r="AK65" s="2099"/>
      <c r="AL65" s="2099"/>
      <c r="AM65" s="2099"/>
      <c r="AN65" s="2099"/>
      <c r="AO65" s="2106">
        <f t="shared" si="40"/>
        <v>0</v>
      </c>
      <c r="AP65" s="2098">
        <v>177.66</v>
      </c>
      <c r="AQ65" s="2099">
        <v>44.41</v>
      </c>
      <c r="AR65" s="2099">
        <v>0</v>
      </c>
      <c r="AS65" s="2099">
        <v>0</v>
      </c>
      <c r="AT65" s="2099">
        <v>0</v>
      </c>
      <c r="AU65" s="2106">
        <f t="shared" si="41"/>
        <v>222.07</v>
      </c>
      <c r="AV65" s="2121">
        <v>160</v>
      </c>
      <c r="AW65" s="2122">
        <v>40</v>
      </c>
      <c r="AX65" s="2122">
        <v>0</v>
      </c>
      <c r="AY65" s="2122">
        <v>0</v>
      </c>
      <c r="AZ65" s="2123">
        <v>0</v>
      </c>
      <c r="BA65" s="2110">
        <f t="shared" si="42"/>
        <v>200</v>
      </c>
      <c r="BB65" s="2119"/>
      <c r="BC65" s="2120"/>
      <c r="BD65" s="2120"/>
      <c r="BE65" s="2120"/>
      <c r="BF65" s="2120"/>
      <c r="BG65" s="2114">
        <f t="shared" si="43"/>
        <v>0</v>
      </c>
      <c r="BH65" s="2115"/>
      <c r="BI65" s="2116"/>
      <c r="BJ65" s="2116"/>
      <c r="BK65" s="2116"/>
      <c r="BL65" s="2116"/>
      <c r="BM65" s="2117">
        <f t="shared" si="44"/>
        <v>0</v>
      </c>
      <c r="BN65" s="2103"/>
      <c r="BO65" s="2104"/>
      <c r="BP65" s="2104"/>
      <c r="BQ65" s="2104"/>
      <c r="BR65" s="2104"/>
      <c r="BS65" s="2105">
        <f t="shared" si="45"/>
        <v>0</v>
      </c>
      <c r="BT65" s="2103">
        <v>352.91306712933715</v>
      </c>
      <c r="BU65" s="2104">
        <v>2081.2969328706627</v>
      </c>
      <c r="BV65" s="2104">
        <v>446.51</v>
      </c>
      <c r="BW65" s="2104">
        <v>-0.01</v>
      </c>
      <c r="BX65" s="2104">
        <v>0</v>
      </c>
      <c r="BY65" s="2105">
        <f t="shared" si="46"/>
        <v>2880.71</v>
      </c>
      <c r="BZ65" s="2115"/>
      <c r="CA65" s="2116"/>
      <c r="CB65" s="2116"/>
      <c r="CC65" s="2116"/>
      <c r="CD65" s="2116"/>
      <c r="CE65" s="2105">
        <f t="shared" si="47"/>
        <v>0</v>
      </c>
      <c r="CF65" s="2115"/>
      <c r="CG65" s="2116"/>
      <c r="CH65" s="2116"/>
      <c r="CI65" s="2116"/>
      <c r="CJ65" s="2116"/>
      <c r="CK65" s="2117">
        <f t="shared" si="48"/>
        <v>0</v>
      </c>
      <c r="CL65" s="2103"/>
      <c r="CM65" s="2104"/>
      <c r="CN65" s="2104"/>
      <c r="CO65" s="2104"/>
      <c r="CP65" s="2104"/>
      <c r="CQ65" s="2105">
        <f t="shared" si="49"/>
        <v>0</v>
      </c>
      <c r="CR65" s="2115"/>
      <c r="CS65" s="2116"/>
      <c r="CT65" s="2116"/>
      <c r="CU65" s="2116"/>
      <c r="CV65" s="2116"/>
      <c r="CW65" s="2117">
        <f t="shared" si="50"/>
        <v>0</v>
      </c>
      <c r="CX65" s="2103"/>
      <c r="CY65" s="2104"/>
      <c r="CZ65" s="2104"/>
      <c r="DA65" s="2104"/>
      <c r="DB65" s="2104"/>
      <c r="DC65" s="2105">
        <f t="shared" si="51"/>
        <v>0</v>
      </c>
      <c r="DD65" s="2103"/>
      <c r="DE65" s="2104"/>
      <c r="DF65" s="2104"/>
      <c r="DG65" s="2104"/>
      <c r="DH65" s="2104"/>
      <c r="DI65" s="2105">
        <f t="shared" si="52"/>
        <v>0</v>
      </c>
      <c r="DJ65" s="2103"/>
      <c r="DK65" s="2104"/>
      <c r="DL65" s="2104"/>
      <c r="DM65" s="2104"/>
      <c r="DN65" s="2104"/>
      <c r="DO65" s="2105">
        <f t="shared" si="53"/>
        <v>0</v>
      </c>
      <c r="DP65" s="2103">
        <v>3293.31</v>
      </c>
      <c r="DQ65" s="2104">
        <v>2272.39</v>
      </c>
      <c r="DR65" s="2104">
        <v>1020.93</v>
      </c>
      <c r="DS65" s="2104">
        <v>-0.01</v>
      </c>
      <c r="DT65" s="2104">
        <v>0</v>
      </c>
      <c r="DU65" s="2118">
        <f t="shared" si="54"/>
        <v>6586.62</v>
      </c>
      <c r="DV65" s="2115"/>
      <c r="DW65" s="2116"/>
      <c r="DX65" s="2116"/>
      <c r="DY65" s="2116"/>
      <c r="DZ65" s="2116"/>
      <c r="EA65" s="2105">
        <f t="shared" si="55"/>
        <v>0</v>
      </c>
    </row>
    <row r="66" spans="1:131" s="2049" customFormat="1" ht="15" customHeight="1" x14ac:dyDescent="0.25">
      <c r="A66" s="2089" t="s">
        <v>156</v>
      </c>
      <c r="B66" s="2090" t="s">
        <v>157</v>
      </c>
      <c r="C66" s="2091" t="s">
        <v>266</v>
      </c>
      <c r="D66" s="2092">
        <f t="shared" si="28"/>
        <v>14213.627337015432</v>
      </c>
      <c r="E66" s="2093">
        <f t="shared" si="29"/>
        <v>10189.172662984567</v>
      </c>
      <c r="F66" s="2093">
        <f t="shared" si="30"/>
        <v>4669.03</v>
      </c>
      <c r="G66" s="2093">
        <f t="shared" si="31"/>
        <v>-0.01</v>
      </c>
      <c r="H66" s="2093">
        <f t="shared" si="32"/>
        <v>0</v>
      </c>
      <c r="I66" s="2093">
        <f t="shared" si="33"/>
        <v>29071.82</v>
      </c>
      <c r="J66" s="2093">
        <f t="shared" si="34"/>
        <v>-0.01</v>
      </c>
      <c r="K66" s="2094">
        <f t="shared" si="35"/>
        <v>4669.0199999999995</v>
      </c>
      <c r="L66" s="2095"/>
      <c r="M66" s="2096"/>
      <c r="N66" s="2096"/>
      <c r="O66" s="2096"/>
      <c r="P66" s="2096"/>
      <c r="Q66" s="2097">
        <f t="shared" si="36"/>
        <v>0</v>
      </c>
      <c r="R66" s="2098"/>
      <c r="S66" s="2099"/>
      <c r="T66" s="2099"/>
      <c r="U66" s="2099"/>
      <c r="V66" s="2099"/>
      <c r="W66" s="2100">
        <f t="shared" si="37"/>
        <v>0</v>
      </c>
      <c r="X66" s="2101">
        <v>1917.65</v>
      </c>
      <c r="Y66" s="2102">
        <v>11.41</v>
      </c>
      <c r="Z66" s="2102">
        <v>353.86</v>
      </c>
      <c r="AA66" s="2102">
        <v>0</v>
      </c>
      <c r="AB66" s="2102">
        <v>0</v>
      </c>
      <c r="AC66" s="2100">
        <f t="shared" si="38"/>
        <v>2282.92</v>
      </c>
      <c r="AD66" s="2115">
        <v>2895.67</v>
      </c>
      <c r="AE66" s="2116">
        <v>0</v>
      </c>
      <c r="AF66" s="2116">
        <v>723.92</v>
      </c>
      <c r="AG66" s="2116">
        <v>0</v>
      </c>
      <c r="AH66" s="2116">
        <v>0</v>
      </c>
      <c r="AI66" s="2105">
        <f t="shared" si="39"/>
        <v>3619.59</v>
      </c>
      <c r="AJ66" s="2098"/>
      <c r="AK66" s="2099"/>
      <c r="AL66" s="2099"/>
      <c r="AM66" s="2099"/>
      <c r="AN66" s="2099"/>
      <c r="AO66" s="2106">
        <f t="shared" si="40"/>
        <v>0</v>
      </c>
      <c r="AP66" s="2098"/>
      <c r="AQ66" s="2099"/>
      <c r="AR66" s="2099"/>
      <c r="AS66" s="2099"/>
      <c r="AT66" s="2099"/>
      <c r="AU66" s="2106">
        <f t="shared" si="41"/>
        <v>0</v>
      </c>
      <c r="AV66" s="2121"/>
      <c r="AW66" s="2122"/>
      <c r="AX66" s="2122"/>
      <c r="AY66" s="2122"/>
      <c r="AZ66" s="2123"/>
      <c r="BA66" s="2110">
        <f t="shared" si="42"/>
        <v>0</v>
      </c>
      <c r="BB66" s="2119"/>
      <c r="BC66" s="2120"/>
      <c r="BD66" s="2120"/>
      <c r="BE66" s="2120"/>
      <c r="BF66" s="2120"/>
      <c r="BG66" s="2114">
        <f t="shared" si="43"/>
        <v>0</v>
      </c>
      <c r="BH66" s="2115"/>
      <c r="BI66" s="2116"/>
      <c r="BJ66" s="2116"/>
      <c r="BK66" s="2116"/>
      <c r="BL66" s="2116"/>
      <c r="BM66" s="2117">
        <f t="shared" si="44"/>
        <v>0</v>
      </c>
      <c r="BN66" s="2103"/>
      <c r="BO66" s="2104"/>
      <c r="BP66" s="2104"/>
      <c r="BQ66" s="2104"/>
      <c r="BR66" s="2104"/>
      <c r="BS66" s="2105">
        <f t="shared" si="45"/>
        <v>0</v>
      </c>
      <c r="BT66" s="2103">
        <v>1504.0473370154332</v>
      </c>
      <c r="BU66" s="2104">
        <v>7900.7626629845672</v>
      </c>
      <c r="BV66" s="2104">
        <v>1725.14</v>
      </c>
      <c r="BW66" s="2104">
        <v>-0.02</v>
      </c>
      <c r="BX66" s="2104">
        <v>0</v>
      </c>
      <c r="BY66" s="2105">
        <f t="shared" si="46"/>
        <v>11129.93</v>
      </c>
      <c r="BZ66" s="2115"/>
      <c r="CA66" s="2116"/>
      <c r="CB66" s="2116"/>
      <c r="CC66" s="2116"/>
      <c r="CD66" s="2116"/>
      <c r="CE66" s="2105">
        <f t="shared" si="47"/>
        <v>0</v>
      </c>
      <c r="CF66" s="2115"/>
      <c r="CG66" s="2116"/>
      <c r="CH66" s="2116"/>
      <c r="CI66" s="2116"/>
      <c r="CJ66" s="2116"/>
      <c r="CK66" s="2117">
        <f t="shared" si="48"/>
        <v>0</v>
      </c>
      <c r="CL66" s="2103"/>
      <c r="CM66" s="2104"/>
      <c r="CN66" s="2104"/>
      <c r="CO66" s="2104"/>
      <c r="CP66" s="2104"/>
      <c r="CQ66" s="2105">
        <f t="shared" si="49"/>
        <v>0</v>
      </c>
      <c r="CR66" s="2103"/>
      <c r="CS66" s="2104"/>
      <c r="CT66" s="2104"/>
      <c r="CU66" s="2104"/>
      <c r="CV66" s="2104"/>
      <c r="CW66" s="2117">
        <f t="shared" si="50"/>
        <v>0</v>
      </c>
      <c r="CX66" s="2103"/>
      <c r="CY66" s="2104"/>
      <c r="CZ66" s="2104"/>
      <c r="DA66" s="2104"/>
      <c r="DB66" s="2104"/>
      <c r="DC66" s="2105">
        <f t="shared" si="51"/>
        <v>0</v>
      </c>
      <c r="DD66" s="2103"/>
      <c r="DE66" s="2104"/>
      <c r="DF66" s="2104"/>
      <c r="DG66" s="2104"/>
      <c r="DH66" s="2104"/>
      <c r="DI66" s="2105">
        <f t="shared" si="52"/>
        <v>0</v>
      </c>
      <c r="DJ66" s="2103"/>
      <c r="DK66" s="2104"/>
      <c r="DL66" s="2104"/>
      <c r="DM66" s="2104"/>
      <c r="DN66" s="2104"/>
      <c r="DO66" s="2105">
        <f t="shared" si="53"/>
        <v>0</v>
      </c>
      <c r="DP66" s="2103">
        <v>3300</v>
      </c>
      <c r="DQ66" s="2104">
        <v>2277</v>
      </c>
      <c r="DR66" s="2104">
        <v>1023</v>
      </c>
      <c r="DS66" s="2104">
        <v>0</v>
      </c>
      <c r="DT66" s="2104">
        <v>0</v>
      </c>
      <c r="DU66" s="2118">
        <f t="shared" si="54"/>
        <v>6600</v>
      </c>
      <c r="DV66" s="2103">
        <v>4596.26</v>
      </c>
      <c r="DW66" s="2104">
        <v>0</v>
      </c>
      <c r="DX66" s="2104">
        <v>843.11</v>
      </c>
      <c r="DY66" s="2104">
        <v>0.01</v>
      </c>
      <c r="DZ66" s="2104">
        <v>0</v>
      </c>
      <c r="EA66" s="2105">
        <f t="shared" si="55"/>
        <v>5439.38</v>
      </c>
    </row>
    <row r="67" spans="1:131" s="2049" customFormat="1" ht="15" customHeight="1" x14ac:dyDescent="0.25">
      <c r="A67" s="2089" t="s">
        <v>162</v>
      </c>
      <c r="B67" s="2090" t="s">
        <v>163</v>
      </c>
      <c r="C67" s="2091" t="s">
        <v>264</v>
      </c>
      <c r="D67" s="2092">
        <f t="shared" si="28"/>
        <v>48485.682842476192</v>
      </c>
      <c r="E67" s="2093">
        <f t="shared" si="29"/>
        <v>15055.527157523811</v>
      </c>
      <c r="F67" s="2093">
        <f t="shared" si="30"/>
        <v>13186.95</v>
      </c>
      <c r="G67" s="2093">
        <f t="shared" si="31"/>
        <v>-0.05</v>
      </c>
      <c r="H67" s="2093">
        <f t="shared" si="32"/>
        <v>0</v>
      </c>
      <c r="I67" s="2093">
        <f t="shared" si="33"/>
        <v>76728.11</v>
      </c>
      <c r="J67" s="2093">
        <f t="shared" si="34"/>
        <v>-0.05</v>
      </c>
      <c r="K67" s="2094">
        <f t="shared" si="35"/>
        <v>13186.900000000001</v>
      </c>
      <c r="L67" s="2127"/>
      <c r="M67" s="2128"/>
      <c r="N67" s="2128"/>
      <c r="O67" s="2128"/>
      <c r="P67" s="2128"/>
      <c r="Q67" s="2097">
        <f t="shared" si="36"/>
        <v>0</v>
      </c>
      <c r="R67" s="2098"/>
      <c r="S67" s="2099"/>
      <c r="T67" s="2099"/>
      <c r="U67" s="2099"/>
      <c r="V67" s="2099"/>
      <c r="W67" s="2100">
        <f t="shared" si="37"/>
        <v>0</v>
      </c>
      <c r="X67" s="2101">
        <v>3146.25</v>
      </c>
      <c r="Y67" s="2102">
        <v>18.73</v>
      </c>
      <c r="Z67" s="2102">
        <v>580.57000000000005</v>
      </c>
      <c r="AA67" s="2102">
        <v>0</v>
      </c>
      <c r="AB67" s="2102">
        <v>0</v>
      </c>
      <c r="AC67" s="2100">
        <f t="shared" si="38"/>
        <v>3745.55</v>
      </c>
      <c r="AD67" s="2103">
        <v>28103.75</v>
      </c>
      <c r="AE67" s="2104">
        <v>0</v>
      </c>
      <c r="AF67" s="2104">
        <v>7025.92</v>
      </c>
      <c r="AG67" s="2104">
        <v>0</v>
      </c>
      <c r="AH67" s="2104">
        <v>0</v>
      </c>
      <c r="AI67" s="2105">
        <f t="shared" si="39"/>
        <v>35129.67</v>
      </c>
      <c r="AJ67" s="2098"/>
      <c r="AK67" s="2099"/>
      <c r="AL67" s="2099"/>
      <c r="AM67" s="2099"/>
      <c r="AN67" s="2099"/>
      <c r="AO67" s="2106">
        <f t="shared" si="40"/>
        <v>0</v>
      </c>
      <c r="AP67" s="2098">
        <v>2046.58</v>
      </c>
      <c r="AQ67" s="2099">
        <v>511.64</v>
      </c>
      <c r="AR67" s="2099">
        <v>0</v>
      </c>
      <c r="AS67" s="2099">
        <v>0</v>
      </c>
      <c r="AT67" s="2099">
        <v>0</v>
      </c>
      <c r="AU67" s="2106">
        <f t="shared" si="41"/>
        <v>2558.2199999999998</v>
      </c>
      <c r="AV67" s="2107">
        <v>546.52</v>
      </c>
      <c r="AW67" s="2108">
        <v>136.63</v>
      </c>
      <c r="AX67" s="2108">
        <v>0</v>
      </c>
      <c r="AY67" s="2108">
        <v>0</v>
      </c>
      <c r="AZ67" s="2109">
        <v>0</v>
      </c>
      <c r="BA67" s="2110">
        <f t="shared" si="42"/>
        <v>683.15</v>
      </c>
      <c r="BB67" s="2111"/>
      <c r="BC67" s="2112"/>
      <c r="BD67" s="2112"/>
      <c r="BE67" s="2112"/>
      <c r="BF67" s="2113"/>
      <c r="BG67" s="2114">
        <f t="shared" si="43"/>
        <v>0</v>
      </c>
      <c r="BH67" s="2103">
        <v>3064.51</v>
      </c>
      <c r="BI67" s="2104">
        <v>388.17</v>
      </c>
      <c r="BJ67" s="2104">
        <v>633.33000000000004</v>
      </c>
      <c r="BK67" s="2104">
        <v>-0.01</v>
      </c>
      <c r="BL67" s="2104">
        <v>0</v>
      </c>
      <c r="BM67" s="2117">
        <f t="shared" si="44"/>
        <v>4086</v>
      </c>
      <c r="BN67" s="2103"/>
      <c r="BO67" s="2104"/>
      <c r="BP67" s="2104"/>
      <c r="BQ67" s="2104"/>
      <c r="BR67" s="2104"/>
      <c r="BS67" s="2105">
        <f t="shared" si="45"/>
        <v>0</v>
      </c>
      <c r="BT67" s="2103">
        <v>1941.3928424761889</v>
      </c>
      <c r="BU67" s="2104">
        <v>11288.357157523811</v>
      </c>
      <c r="BV67" s="2104">
        <v>2426.77</v>
      </c>
      <c r="BW67" s="2104">
        <v>-0.04</v>
      </c>
      <c r="BX67" s="2104">
        <v>0</v>
      </c>
      <c r="BY67" s="2105">
        <f t="shared" si="46"/>
        <v>15656.48</v>
      </c>
      <c r="BZ67" s="2103">
        <v>344.93</v>
      </c>
      <c r="CA67" s="2104">
        <v>0</v>
      </c>
      <c r="CB67" s="2104">
        <v>318.52999999999997</v>
      </c>
      <c r="CC67" s="2104">
        <v>0</v>
      </c>
      <c r="CD67" s="2104">
        <v>0</v>
      </c>
      <c r="CE67" s="2105">
        <f t="shared" si="47"/>
        <v>663.46</v>
      </c>
      <c r="CF67" s="2115"/>
      <c r="CG67" s="2116"/>
      <c r="CH67" s="2116"/>
      <c r="CI67" s="2116"/>
      <c r="CJ67" s="2116"/>
      <c r="CK67" s="2117">
        <f t="shared" si="48"/>
        <v>0</v>
      </c>
      <c r="CL67" s="2103"/>
      <c r="CM67" s="2104"/>
      <c r="CN67" s="2104"/>
      <c r="CO67" s="2104"/>
      <c r="CP67" s="2104"/>
      <c r="CQ67" s="2105">
        <f t="shared" si="49"/>
        <v>0</v>
      </c>
      <c r="CR67" s="2115"/>
      <c r="CS67" s="2116"/>
      <c r="CT67" s="2116"/>
      <c r="CU67" s="2116"/>
      <c r="CV67" s="2116"/>
      <c r="CW67" s="2117">
        <f t="shared" si="50"/>
        <v>0</v>
      </c>
      <c r="CX67" s="2103"/>
      <c r="CY67" s="2104"/>
      <c r="CZ67" s="2104"/>
      <c r="DA67" s="2104"/>
      <c r="DB67" s="2104"/>
      <c r="DC67" s="2105">
        <f t="shared" si="51"/>
        <v>0</v>
      </c>
      <c r="DD67" s="2103"/>
      <c r="DE67" s="2104"/>
      <c r="DF67" s="2104"/>
      <c r="DG67" s="2104"/>
      <c r="DH67" s="2104"/>
      <c r="DI67" s="2105">
        <f t="shared" si="52"/>
        <v>0</v>
      </c>
      <c r="DJ67" s="2103"/>
      <c r="DK67" s="2104"/>
      <c r="DL67" s="2104"/>
      <c r="DM67" s="2104"/>
      <c r="DN67" s="2104"/>
      <c r="DO67" s="2105">
        <f t="shared" si="53"/>
        <v>0</v>
      </c>
      <c r="DP67" s="2103">
        <v>3930.46</v>
      </c>
      <c r="DQ67" s="2104">
        <v>2712</v>
      </c>
      <c r="DR67" s="2104">
        <v>1218.44</v>
      </c>
      <c r="DS67" s="2104">
        <v>-0.05</v>
      </c>
      <c r="DT67" s="2104">
        <v>0</v>
      </c>
      <c r="DU67" s="2118">
        <f t="shared" si="54"/>
        <v>7860.8499999999995</v>
      </c>
      <c r="DV67" s="2103">
        <v>5361.29</v>
      </c>
      <c r="DW67" s="2104">
        <v>0</v>
      </c>
      <c r="DX67" s="2104">
        <v>983.39</v>
      </c>
      <c r="DY67" s="2104">
        <v>0.05</v>
      </c>
      <c r="DZ67" s="2104">
        <v>0</v>
      </c>
      <c r="EA67" s="2105">
        <f t="shared" si="55"/>
        <v>6344.7300000000005</v>
      </c>
    </row>
    <row r="68" spans="1:131" s="2049" customFormat="1" ht="15" customHeight="1" x14ac:dyDescent="0.25">
      <c r="A68" s="2089" t="s">
        <v>164</v>
      </c>
      <c r="B68" s="2090" t="s">
        <v>165</v>
      </c>
      <c r="C68" s="2091" t="s">
        <v>266</v>
      </c>
      <c r="D68" s="2092">
        <f t="shared" si="28"/>
        <v>26339.988456167346</v>
      </c>
      <c r="E68" s="2093">
        <f t="shared" si="29"/>
        <v>8217.3315438326554</v>
      </c>
      <c r="F68" s="2093">
        <f t="shared" si="30"/>
        <v>6775.0300000000007</v>
      </c>
      <c r="G68" s="2093">
        <f t="shared" si="31"/>
        <v>-15.05</v>
      </c>
      <c r="H68" s="2093">
        <f t="shared" si="32"/>
        <v>0</v>
      </c>
      <c r="I68" s="2093">
        <f t="shared" si="33"/>
        <v>41317.299999999996</v>
      </c>
      <c r="J68" s="2093">
        <f t="shared" si="34"/>
        <v>-15.05</v>
      </c>
      <c r="K68" s="2094">
        <f t="shared" si="35"/>
        <v>6759.9800000000005</v>
      </c>
      <c r="L68" s="2095"/>
      <c r="M68" s="2096"/>
      <c r="N68" s="2096"/>
      <c r="O68" s="2096"/>
      <c r="P68" s="2096"/>
      <c r="Q68" s="2097">
        <f t="shared" si="36"/>
        <v>0</v>
      </c>
      <c r="R68" s="2098"/>
      <c r="S68" s="2099"/>
      <c r="T68" s="2099"/>
      <c r="U68" s="2099"/>
      <c r="V68" s="2099"/>
      <c r="W68" s="2100">
        <f t="shared" si="37"/>
        <v>0</v>
      </c>
      <c r="X68" s="2101">
        <v>1343.16</v>
      </c>
      <c r="Y68" s="2102">
        <v>7.99</v>
      </c>
      <c r="Z68" s="2102">
        <v>247.85</v>
      </c>
      <c r="AA68" s="2102">
        <v>0</v>
      </c>
      <c r="AB68" s="2102">
        <v>0</v>
      </c>
      <c r="AC68" s="2100">
        <f t="shared" si="38"/>
        <v>1599</v>
      </c>
      <c r="AD68" s="2103">
        <v>6994.99</v>
      </c>
      <c r="AE68" s="2104">
        <v>0</v>
      </c>
      <c r="AF68" s="2104">
        <v>1748.74</v>
      </c>
      <c r="AG68" s="2104">
        <v>0</v>
      </c>
      <c r="AH68" s="2104">
        <v>0</v>
      </c>
      <c r="AI68" s="2105">
        <f t="shared" si="39"/>
        <v>8743.73</v>
      </c>
      <c r="AJ68" s="2098"/>
      <c r="AK68" s="2099"/>
      <c r="AL68" s="2099"/>
      <c r="AM68" s="2099"/>
      <c r="AN68" s="2099"/>
      <c r="AO68" s="2106">
        <f t="shared" si="40"/>
        <v>0</v>
      </c>
      <c r="AP68" s="2098"/>
      <c r="AQ68" s="2099"/>
      <c r="AR68" s="2099"/>
      <c r="AS68" s="2099"/>
      <c r="AT68" s="2099"/>
      <c r="AU68" s="2106">
        <f t="shared" si="41"/>
        <v>0</v>
      </c>
      <c r="AV68" s="2107">
        <v>153.6</v>
      </c>
      <c r="AW68" s="2108">
        <v>38.4</v>
      </c>
      <c r="AX68" s="2108">
        <v>0</v>
      </c>
      <c r="AY68" s="2108">
        <v>0</v>
      </c>
      <c r="AZ68" s="2109">
        <v>0</v>
      </c>
      <c r="BA68" s="2110">
        <f t="shared" si="42"/>
        <v>192</v>
      </c>
      <c r="BB68" s="2111">
        <v>188.18</v>
      </c>
      <c r="BC68" s="2112">
        <v>339.82</v>
      </c>
      <c r="BD68" s="2112">
        <v>0</v>
      </c>
      <c r="BE68" s="2112">
        <v>0</v>
      </c>
      <c r="BF68" s="2113">
        <v>0</v>
      </c>
      <c r="BG68" s="2114">
        <f t="shared" si="43"/>
        <v>528</v>
      </c>
      <c r="BH68" s="2103">
        <v>13500.01</v>
      </c>
      <c r="BI68" s="2104">
        <v>1710.01</v>
      </c>
      <c r="BJ68" s="2104">
        <v>2790.01</v>
      </c>
      <c r="BK68" s="2104">
        <v>-0.03</v>
      </c>
      <c r="BL68" s="2104">
        <v>0</v>
      </c>
      <c r="BM68" s="2117">
        <f t="shared" si="44"/>
        <v>18000</v>
      </c>
      <c r="BN68" s="2103"/>
      <c r="BO68" s="2104"/>
      <c r="BP68" s="2104"/>
      <c r="BQ68" s="2104"/>
      <c r="BR68" s="2104"/>
      <c r="BS68" s="2105">
        <f t="shared" si="45"/>
        <v>0</v>
      </c>
      <c r="BT68" s="2103">
        <v>594.04845616734428</v>
      </c>
      <c r="BU68" s="2104">
        <v>3274.8615438326556</v>
      </c>
      <c r="BV68" s="2104">
        <v>709.68</v>
      </c>
      <c r="BW68" s="2104">
        <v>-0.02</v>
      </c>
      <c r="BX68" s="2104">
        <v>0</v>
      </c>
      <c r="BY68" s="2105">
        <f t="shared" si="46"/>
        <v>4578.57</v>
      </c>
      <c r="BZ68" s="2115"/>
      <c r="CA68" s="2116"/>
      <c r="CB68" s="2116"/>
      <c r="CC68" s="2116"/>
      <c r="CD68" s="2116"/>
      <c r="CE68" s="2105">
        <f t="shared" si="47"/>
        <v>0</v>
      </c>
      <c r="CF68" s="2115"/>
      <c r="CG68" s="2116"/>
      <c r="CH68" s="2116"/>
      <c r="CI68" s="2116"/>
      <c r="CJ68" s="2116"/>
      <c r="CK68" s="2117">
        <f t="shared" si="48"/>
        <v>0</v>
      </c>
      <c r="CL68" s="2103"/>
      <c r="CM68" s="2104"/>
      <c r="CN68" s="2104"/>
      <c r="CO68" s="2104"/>
      <c r="CP68" s="2104"/>
      <c r="CQ68" s="2105">
        <f t="shared" si="49"/>
        <v>0</v>
      </c>
      <c r="CR68" s="2115"/>
      <c r="CS68" s="2116"/>
      <c r="CT68" s="2116"/>
      <c r="CU68" s="2116"/>
      <c r="CV68" s="2116"/>
      <c r="CW68" s="2117">
        <f t="shared" si="50"/>
        <v>0</v>
      </c>
      <c r="CX68" s="2103"/>
      <c r="CY68" s="2104"/>
      <c r="CZ68" s="2104"/>
      <c r="DA68" s="2104"/>
      <c r="DB68" s="2104"/>
      <c r="DC68" s="2105">
        <f t="shared" si="51"/>
        <v>0</v>
      </c>
      <c r="DD68" s="2103">
        <v>-559</v>
      </c>
      <c r="DE68" s="2104">
        <v>0</v>
      </c>
      <c r="DF68" s="2104">
        <v>0</v>
      </c>
      <c r="DG68" s="2104">
        <v>0</v>
      </c>
      <c r="DH68" s="2104">
        <v>0</v>
      </c>
      <c r="DI68" s="2105">
        <f t="shared" si="52"/>
        <v>-559</v>
      </c>
      <c r="DJ68" s="2103"/>
      <c r="DK68" s="2104"/>
      <c r="DL68" s="2104"/>
      <c r="DM68" s="2104"/>
      <c r="DN68" s="2104"/>
      <c r="DO68" s="2105">
        <f t="shared" si="53"/>
        <v>0</v>
      </c>
      <c r="DP68" s="2103">
        <v>4125</v>
      </c>
      <c r="DQ68" s="2104">
        <v>2846.25</v>
      </c>
      <c r="DR68" s="2104">
        <v>1278.75</v>
      </c>
      <c r="DS68" s="2104">
        <v>0</v>
      </c>
      <c r="DT68" s="2104">
        <v>0</v>
      </c>
      <c r="DU68" s="2118">
        <f t="shared" si="54"/>
        <v>8250</v>
      </c>
      <c r="DV68" s="2115">
        <v>0</v>
      </c>
      <c r="DW68" s="2116">
        <v>0</v>
      </c>
      <c r="DX68" s="2116">
        <v>0</v>
      </c>
      <c r="DY68" s="2116">
        <v>-15</v>
      </c>
      <c r="DZ68" s="2116">
        <v>0</v>
      </c>
      <c r="EA68" s="2105">
        <f t="shared" si="55"/>
        <v>-15</v>
      </c>
    </row>
    <row r="69" spans="1:131" s="2049" customFormat="1" ht="15" customHeight="1" x14ac:dyDescent="0.25">
      <c r="A69" s="2089" t="s">
        <v>168</v>
      </c>
      <c r="B69" s="2090" t="s">
        <v>169</v>
      </c>
      <c r="C69" s="2091" t="s">
        <v>266</v>
      </c>
      <c r="D69" s="2092">
        <f t="shared" si="28"/>
        <v>39028.978693476893</v>
      </c>
      <c r="E69" s="2093">
        <f t="shared" si="29"/>
        <v>53481.711306523095</v>
      </c>
      <c r="F69" s="2093">
        <f t="shared" si="30"/>
        <v>18081.28</v>
      </c>
      <c r="G69" s="2093">
        <f t="shared" si="31"/>
        <v>3.0000000000000002E-2</v>
      </c>
      <c r="H69" s="2093">
        <f t="shared" si="32"/>
        <v>0</v>
      </c>
      <c r="I69" s="2093">
        <f t="shared" ref="I69:I100" si="56">SUM(D69:H69)</f>
        <v>110591.99999999999</v>
      </c>
      <c r="J69" s="2093">
        <f t="shared" ref="J69:J100" si="57">G69+H69</f>
        <v>3.0000000000000002E-2</v>
      </c>
      <c r="K69" s="2094">
        <f t="shared" ref="K69:K100" si="58">F69+J69</f>
        <v>18081.309999999998</v>
      </c>
      <c r="L69" s="2095"/>
      <c r="M69" s="2096"/>
      <c r="N69" s="2096"/>
      <c r="O69" s="2096"/>
      <c r="P69" s="2096"/>
      <c r="Q69" s="2097">
        <f t="shared" ref="Q69:Q100" si="59">SUM(L69:P69)</f>
        <v>0</v>
      </c>
      <c r="R69" s="2098"/>
      <c r="S69" s="2099"/>
      <c r="T69" s="2099"/>
      <c r="U69" s="2099"/>
      <c r="V69" s="2099"/>
      <c r="W69" s="2100">
        <f t="shared" ref="W69:W100" si="60">SUM(R69:V69)</f>
        <v>0</v>
      </c>
      <c r="X69" s="2101">
        <v>2597.21</v>
      </c>
      <c r="Y69" s="2102">
        <v>15.46</v>
      </c>
      <c r="Z69" s="2102">
        <v>479.25</v>
      </c>
      <c r="AA69" s="2102">
        <v>0</v>
      </c>
      <c r="AB69" s="2102">
        <v>0</v>
      </c>
      <c r="AC69" s="2100">
        <f t="shared" ref="AC69:AC100" si="61">SUM(X69:AB69)</f>
        <v>3091.92</v>
      </c>
      <c r="AD69" s="2103">
        <v>20510.240000000002</v>
      </c>
      <c r="AE69" s="2104">
        <v>0</v>
      </c>
      <c r="AF69" s="2104">
        <v>5127.57</v>
      </c>
      <c r="AG69" s="2104">
        <v>0</v>
      </c>
      <c r="AH69" s="2104">
        <v>0</v>
      </c>
      <c r="AI69" s="2105">
        <f t="shared" ref="AI69:AI100" si="62">SUM(AD69:AH69)</f>
        <v>25637.81</v>
      </c>
      <c r="AJ69" s="2098"/>
      <c r="AK69" s="2099"/>
      <c r="AL69" s="2099"/>
      <c r="AM69" s="2099"/>
      <c r="AN69" s="2099"/>
      <c r="AO69" s="2106">
        <f t="shared" ref="AO69:AO100" si="63">SUM(AJ69:AN69)</f>
        <v>0</v>
      </c>
      <c r="AP69" s="2098">
        <v>490.91</v>
      </c>
      <c r="AQ69" s="2099">
        <v>122.73</v>
      </c>
      <c r="AR69" s="2099">
        <v>0</v>
      </c>
      <c r="AS69" s="2099">
        <v>0</v>
      </c>
      <c r="AT69" s="2099">
        <v>0</v>
      </c>
      <c r="AU69" s="2106">
        <f t="shared" ref="AU69:AU100" si="64">SUM(AP69:AT69)</f>
        <v>613.64</v>
      </c>
      <c r="AV69" s="2107">
        <v>614.38</v>
      </c>
      <c r="AW69" s="2108">
        <v>153.6</v>
      </c>
      <c r="AX69" s="2108">
        <v>0</v>
      </c>
      <c r="AY69" s="2108">
        <v>0</v>
      </c>
      <c r="AZ69" s="2109">
        <v>0</v>
      </c>
      <c r="BA69" s="2110">
        <f t="shared" ref="BA69:BA100" si="65">SUM(AV69:AZ69)</f>
        <v>767.98</v>
      </c>
      <c r="BB69" s="2119"/>
      <c r="BC69" s="2120"/>
      <c r="BD69" s="2120"/>
      <c r="BE69" s="2120"/>
      <c r="BF69" s="2120"/>
      <c r="BG69" s="2114">
        <f t="shared" ref="BG69:BG100" si="66">SUM(BB69:BF69)</f>
        <v>0</v>
      </c>
      <c r="BH69" s="2115">
        <v>6155.9</v>
      </c>
      <c r="BI69" s="2116">
        <v>779.74</v>
      </c>
      <c r="BJ69" s="2116">
        <v>1272.22</v>
      </c>
      <c r="BK69" s="2116">
        <v>0</v>
      </c>
      <c r="BL69" s="2116">
        <v>0</v>
      </c>
      <c r="BM69" s="2117">
        <f t="shared" ref="BM69:BM100" si="67">SUM(BH69:BL69)</f>
        <v>8207.8599999999988</v>
      </c>
      <c r="BN69" s="2103"/>
      <c r="BO69" s="2104"/>
      <c r="BP69" s="2104"/>
      <c r="BQ69" s="2104"/>
      <c r="BR69" s="2104"/>
      <c r="BS69" s="2105">
        <f t="shared" ref="BS69:BS100" si="68">SUM(BN69:BR69)</f>
        <v>0</v>
      </c>
      <c r="BT69" s="2103">
        <v>8497.0886934768969</v>
      </c>
      <c r="BU69" s="2104">
        <v>52410.181306523096</v>
      </c>
      <c r="BV69" s="2104">
        <v>11172.32</v>
      </c>
      <c r="BW69" s="2104">
        <v>-0.02</v>
      </c>
      <c r="BX69" s="2104">
        <v>0</v>
      </c>
      <c r="BY69" s="2105">
        <f t="shared" ref="BY69:BY100" si="69">SUM(BT69:BX69)</f>
        <v>72079.569999999992</v>
      </c>
      <c r="BZ69" s="2115"/>
      <c r="CA69" s="2116"/>
      <c r="CB69" s="2116"/>
      <c r="CC69" s="2116"/>
      <c r="CD69" s="2116"/>
      <c r="CE69" s="2105">
        <f t="shared" ref="CE69:CE100" si="70">SUM(BZ69:CD69)</f>
        <v>0</v>
      </c>
      <c r="CF69" s="2115"/>
      <c r="CG69" s="2116"/>
      <c r="CH69" s="2116"/>
      <c r="CI69" s="2116"/>
      <c r="CJ69" s="2116"/>
      <c r="CK69" s="2117">
        <f t="shared" ref="CK69:CK100" si="71">SUM(CF69:CJ69)</f>
        <v>0</v>
      </c>
      <c r="CL69" s="2115"/>
      <c r="CM69" s="2116"/>
      <c r="CN69" s="2116"/>
      <c r="CO69" s="2116"/>
      <c r="CP69" s="2116"/>
      <c r="CQ69" s="2105">
        <f t="shared" ref="CQ69:CQ100" si="72">SUM(CL69:CP69)</f>
        <v>0</v>
      </c>
      <c r="CR69" s="2103"/>
      <c r="CS69" s="2104"/>
      <c r="CT69" s="2104"/>
      <c r="CU69" s="2104"/>
      <c r="CV69" s="2104"/>
      <c r="CW69" s="2117">
        <f t="shared" ref="CW69:CW100" si="73">SUM(CR69:CV69)</f>
        <v>0</v>
      </c>
      <c r="CX69" s="2103"/>
      <c r="CY69" s="2104"/>
      <c r="CZ69" s="2104"/>
      <c r="DA69" s="2104"/>
      <c r="DB69" s="2104"/>
      <c r="DC69" s="2105">
        <f t="shared" ref="DC69:DC100" si="74">SUM(CX69:DB69)</f>
        <v>0</v>
      </c>
      <c r="DD69" s="2103"/>
      <c r="DE69" s="2104"/>
      <c r="DF69" s="2104"/>
      <c r="DG69" s="2104"/>
      <c r="DH69" s="2104"/>
      <c r="DI69" s="2105">
        <f t="shared" ref="DI69:DI100" si="75">SUM(DD69:DH69)</f>
        <v>0</v>
      </c>
      <c r="DJ69" s="2103"/>
      <c r="DK69" s="2104"/>
      <c r="DL69" s="2104"/>
      <c r="DM69" s="2104"/>
      <c r="DN69" s="2104"/>
      <c r="DO69" s="2105">
        <f t="shared" ref="DO69:DO100" si="76">SUM(DJ69:DN69)</f>
        <v>0</v>
      </c>
      <c r="DP69" s="2103"/>
      <c r="DQ69" s="2104"/>
      <c r="DR69" s="2104"/>
      <c r="DS69" s="2104"/>
      <c r="DT69" s="2104"/>
      <c r="DU69" s="2118">
        <f t="shared" ref="DU69:DU100" si="77">SUM(DP69:DT69)</f>
        <v>0</v>
      </c>
      <c r="DV69" s="2103">
        <v>163.25</v>
      </c>
      <c r="DW69" s="2104">
        <v>0</v>
      </c>
      <c r="DX69" s="2104">
        <v>29.92</v>
      </c>
      <c r="DY69" s="2104">
        <v>0.05</v>
      </c>
      <c r="DZ69" s="2104">
        <v>0</v>
      </c>
      <c r="EA69" s="2105">
        <f t="shared" ref="EA69:EA100" si="78">SUM(DV69:DZ69)</f>
        <v>193.22000000000003</v>
      </c>
    </row>
    <row r="70" spans="1:131" s="2049" customFormat="1" ht="15" customHeight="1" x14ac:dyDescent="0.25">
      <c r="A70" s="2089" t="s">
        <v>170</v>
      </c>
      <c r="B70" s="2090" t="s">
        <v>171</v>
      </c>
      <c r="C70" s="2091" t="s">
        <v>267</v>
      </c>
      <c r="D70" s="2092">
        <f t="shared" ref="D70:D124" si="79">L70+R70+X70+AD70+AJ70+AP70+AV70+BB70+BH70+BN70+BT70+BZ70+CF70+CL70+CR70+CX70+DD70+DJ70+DP70+DV70</f>
        <v>40907.942676204235</v>
      </c>
      <c r="E70" s="2093">
        <f t="shared" ref="E70:E124" si="80">M70+S70+Y70+AE70+AK70+AQ70+AW70+BC70+BI70+BO70+BU70+CA70+CG70+CM70+CS70+CY70+DE70+DK70+DQ70+DW70</f>
        <v>13429.787323795757</v>
      </c>
      <c r="F70" s="2093">
        <f t="shared" ref="F70:F124" si="81">N70+T70+Z70+AF70+AL70+AR70+AX70+BD70+BJ70+BP70+BV70+CB70+CH70+CN70+CT70+CZ70+DF70+DL70+DR70+DX70</f>
        <v>18082.349999999999</v>
      </c>
      <c r="G70" s="2093">
        <f t="shared" ref="G70:G124" si="82">O70+U70+AA70+AG70+AM70+AS70+AY70+BE70+BK70+BQ70+BW70+CC70+CI70+CO70+CU70+DA70+DG70+DM70+DS70+DY70</f>
        <v>-7.0000000000000007E-2</v>
      </c>
      <c r="H70" s="2093">
        <f t="shared" ref="H70:H124" si="83">P70+V70+AB70+AH70+AN70+AT70+AZ70+BF70+BL70+BR70+BX70+CD70+CJ70+CP70+CV70+DB70+DH70+DN70+DT70+DZ70</f>
        <v>0</v>
      </c>
      <c r="I70" s="2093">
        <f t="shared" si="56"/>
        <v>72420.00999999998</v>
      </c>
      <c r="J70" s="2093">
        <f t="shared" si="57"/>
        <v>-7.0000000000000007E-2</v>
      </c>
      <c r="K70" s="2094">
        <f t="shared" si="58"/>
        <v>18082.28</v>
      </c>
      <c r="L70" s="2095"/>
      <c r="M70" s="2096"/>
      <c r="N70" s="2096"/>
      <c r="O70" s="2096"/>
      <c r="P70" s="2096"/>
      <c r="Q70" s="2097">
        <f t="shared" si="59"/>
        <v>0</v>
      </c>
      <c r="R70" s="2098"/>
      <c r="S70" s="2099"/>
      <c r="T70" s="2099"/>
      <c r="U70" s="2099"/>
      <c r="V70" s="2099"/>
      <c r="W70" s="2100">
        <f t="shared" si="60"/>
        <v>0</v>
      </c>
      <c r="X70" s="2101">
        <v>835.96</v>
      </c>
      <c r="Y70" s="2102">
        <v>4.99</v>
      </c>
      <c r="Z70" s="2102">
        <v>154.26</v>
      </c>
      <c r="AA70" s="2102">
        <v>-0.02</v>
      </c>
      <c r="AB70" s="2102">
        <v>0</v>
      </c>
      <c r="AC70" s="2100">
        <f t="shared" si="61"/>
        <v>995.19</v>
      </c>
      <c r="AD70" s="2103">
        <v>3437.35</v>
      </c>
      <c r="AE70" s="2104">
        <v>0</v>
      </c>
      <c r="AF70" s="2104">
        <v>859.34</v>
      </c>
      <c r="AG70" s="2104">
        <v>0</v>
      </c>
      <c r="AH70" s="2104">
        <v>0</v>
      </c>
      <c r="AI70" s="2105">
        <f t="shared" si="62"/>
        <v>4296.6899999999996</v>
      </c>
      <c r="AJ70" s="2098"/>
      <c r="AK70" s="2099"/>
      <c r="AL70" s="2099"/>
      <c r="AM70" s="2099"/>
      <c r="AN70" s="2099"/>
      <c r="AO70" s="2106">
        <f t="shared" si="63"/>
        <v>0</v>
      </c>
      <c r="AP70" s="2098">
        <v>3655.32</v>
      </c>
      <c r="AQ70" s="2099">
        <v>913.83</v>
      </c>
      <c r="AR70" s="2099">
        <v>0</v>
      </c>
      <c r="AS70" s="2099">
        <v>0</v>
      </c>
      <c r="AT70" s="2099">
        <v>0</v>
      </c>
      <c r="AU70" s="2106">
        <f t="shared" si="64"/>
        <v>4569.1500000000005</v>
      </c>
      <c r="AV70" s="2107">
        <v>108</v>
      </c>
      <c r="AW70" s="2108">
        <v>27</v>
      </c>
      <c r="AX70" s="2108">
        <v>0</v>
      </c>
      <c r="AY70" s="2108">
        <v>0</v>
      </c>
      <c r="AZ70" s="2109">
        <v>0</v>
      </c>
      <c r="BA70" s="2110">
        <f t="shared" si="65"/>
        <v>135</v>
      </c>
      <c r="BB70" s="2111">
        <v>1025.3399999999999</v>
      </c>
      <c r="BC70" s="2112">
        <v>1851.61</v>
      </c>
      <c r="BD70" s="2112">
        <v>0</v>
      </c>
      <c r="BE70" s="2112">
        <v>0</v>
      </c>
      <c r="BF70" s="2113">
        <v>0</v>
      </c>
      <c r="BG70" s="2114">
        <f t="shared" si="66"/>
        <v>2876.95</v>
      </c>
      <c r="BH70" s="2103">
        <v>10822.09</v>
      </c>
      <c r="BI70" s="2104">
        <v>1370.79</v>
      </c>
      <c r="BJ70" s="2104">
        <v>2236.58</v>
      </c>
      <c r="BK70" s="2104">
        <v>-0.02</v>
      </c>
      <c r="BL70" s="2104">
        <v>0</v>
      </c>
      <c r="BM70" s="2117">
        <f t="shared" si="67"/>
        <v>14429.44</v>
      </c>
      <c r="BN70" s="2103"/>
      <c r="BO70" s="2104"/>
      <c r="BP70" s="2104"/>
      <c r="BQ70" s="2104"/>
      <c r="BR70" s="2104"/>
      <c r="BS70" s="2105">
        <f t="shared" si="68"/>
        <v>0</v>
      </c>
      <c r="BT70" s="2103">
        <v>6141.55267620424</v>
      </c>
      <c r="BU70" s="2104">
        <v>10215.437323795759</v>
      </c>
      <c r="BV70" s="2104">
        <v>3000.4</v>
      </c>
      <c r="BW70" s="2104">
        <v>-0.06</v>
      </c>
      <c r="BX70" s="2104">
        <v>0</v>
      </c>
      <c r="BY70" s="2105">
        <f t="shared" si="69"/>
        <v>19357.329999999998</v>
      </c>
      <c r="BZ70" s="2103">
        <v>12006.37</v>
      </c>
      <c r="CA70" s="2104">
        <v>0</v>
      </c>
      <c r="CB70" s="2104">
        <v>11087.26</v>
      </c>
      <c r="CC70" s="2104">
        <v>0</v>
      </c>
      <c r="CD70" s="2104">
        <v>0</v>
      </c>
      <c r="CE70" s="2105">
        <f t="shared" si="70"/>
        <v>23093.63</v>
      </c>
      <c r="CF70" s="2115"/>
      <c r="CG70" s="2116"/>
      <c r="CH70" s="2116"/>
      <c r="CI70" s="2116"/>
      <c r="CJ70" s="2116"/>
      <c r="CK70" s="2117">
        <f t="shared" si="71"/>
        <v>0</v>
      </c>
      <c r="CL70" s="2103"/>
      <c r="CM70" s="2104"/>
      <c r="CN70" s="2104"/>
      <c r="CO70" s="2104"/>
      <c r="CP70" s="2104"/>
      <c r="CQ70" s="2105">
        <f t="shared" si="72"/>
        <v>0</v>
      </c>
      <c r="CR70" s="2115"/>
      <c r="CS70" s="2116"/>
      <c r="CT70" s="2116"/>
      <c r="CU70" s="2116"/>
      <c r="CV70" s="2116"/>
      <c r="CW70" s="2117">
        <f t="shared" si="73"/>
        <v>0</v>
      </c>
      <c r="CX70" s="2103">
        <v>-783.87</v>
      </c>
      <c r="CY70" s="2104">
        <v>-783.87</v>
      </c>
      <c r="CZ70" s="2104">
        <v>0</v>
      </c>
      <c r="DA70" s="2104">
        <v>0.01</v>
      </c>
      <c r="DB70" s="2104">
        <v>0</v>
      </c>
      <c r="DC70" s="2105">
        <f t="shared" si="74"/>
        <v>-1567.73</v>
      </c>
      <c r="DD70" s="2103">
        <v>-229</v>
      </c>
      <c r="DE70" s="2104">
        <v>0</v>
      </c>
      <c r="DF70" s="2104">
        <v>0</v>
      </c>
      <c r="DG70" s="2104">
        <v>0</v>
      </c>
      <c r="DH70" s="2104">
        <v>0</v>
      </c>
      <c r="DI70" s="2105">
        <f t="shared" si="75"/>
        <v>-229</v>
      </c>
      <c r="DJ70" s="2103">
        <v>-170</v>
      </c>
      <c r="DK70" s="2104">
        <v>-170</v>
      </c>
      <c r="DL70" s="2104">
        <v>0</v>
      </c>
      <c r="DM70" s="2104">
        <v>0</v>
      </c>
      <c r="DN70" s="2104">
        <v>0</v>
      </c>
      <c r="DO70" s="2105">
        <f t="shared" si="76"/>
        <v>-340</v>
      </c>
      <c r="DP70" s="2115"/>
      <c r="DQ70" s="2116"/>
      <c r="DR70" s="2116"/>
      <c r="DS70" s="2116"/>
      <c r="DT70" s="2116"/>
      <c r="DU70" s="2118">
        <f t="shared" si="77"/>
        <v>0</v>
      </c>
      <c r="DV70" s="2103">
        <v>4058.83</v>
      </c>
      <c r="DW70" s="2104">
        <v>0</v>
      </c>
      <c r="DX70" s="2104">
        <v>744.51</v>
      </c>
      <c r="DY70" s="2104">
        <v>0.02</v>
      </c>
      <c r="DZ70" s="2104">
        <v>0</v>
      </c>
      <c r="EA70" s="2105">
        <f t="shared" si="78"/>
        <v>4803.3600000000006</v>
      </c>
    </row>
    <row r="71" spans="1:131" s="2049" customFormat="1" ht="15" customHeight="1" x14ac:dyDescent="0.25">
      <c r="A71" s="2089" t="s">
        <v>172</v>
      </c>
      <c r="B71" s="2090" t="s">
        <v>173</v>
      </c>
      <c r="C71" s="2091" t="s">
        <v>267</v>
      </c>
      <c r="D71" s="2092">
        <f t="shared" si="79"/>
        <v>27030.306746830131</v>
      </c>
      <c r="E71" s="2093">
        <f t="shared" si="80"/>
        <v>7011.6632531698697</v>
      </c>
      <c r="F71" s="2093">
        <f t="shared" si="81"/>
        <v>8763.23</v>
      </c>
      <c r="G71" s="2093">
        <f t="shared" si="82"/>
        <v>645.62</v>
      </c>
      <c r="H71" s="2093">
        <f t="shared" si="83"/>
        <v>0</v>
      </c>
      <c r="I71" s="2093">
        <f t="shared" si="56"/>
        <v>43450.82</v>
      </c>
      <c r="J71" s="2093">
        <f t="shared" si="57"/>
        <v>645.62</v>
      </c>
      <c r="K71" s="2094">
        <f t="shared" si="58"/>
        <v>9408.85</v>
      </c>
      <c r="L71" s="2095"/>
      <c r="M71" s="2096"/>
      <c r="N71" s="2096"/>
      <c r="O71" s="2096"/>
      <c r="P71" s="2096"/>
      <c r="Q71" s="2097">
        <f t="shared" si="59"/>
        <v>0</v>
      </c>
      <c r="R71" s="2098"/>
      <c r="S71" s="2099"/>
      <c r="T71" s="2099"/>
      <c r="U71" s="2099"/>
      <c r="V71" s="2099"/>
      <c r="W71" s="2100">
        <f t="shared" si="60"/>
        <v>0</v>
      </c>
      <c r="X71" s="2101">
        <v>2310.36</v>
      </c>
      <c r="Y71" s="2102">
        <v>13.75</v>
      </c>
      <c r="Z71" s="2102">
        <v>426.32</v>
      </c>
      <c r="AA71" s="2102">
        <v>0</v>
      </c>
      <c r="AB71" s="2102">
        <v>0</v>
      </c>
      <c r="AC71" s="2100">
        <f t="shared" si="61"/>
        <v>2750.4300000000003</v>
      </c>
      <c r="AD71" s="2103">
        <v>11076.04</v>
      </c>
      <c r="AE71" s="2104">
        <v>0</v>
      </c>
      <c r="AF71" s="2104">
        <v>2768.99</v>
      </c>
      <c r="AG71" s="2104">
        <v>0</v>
      </c>
      <c r="AH71" s="2104">
        <v>0</v>
      </c>
      <c r="AI71" s="2105">
        <f t="shared" si="62"/>
        <v>13845.03</v>
      </c>
      <c r="AJ71" s="2098"/>
      <c r="AK71" s="2099"/>
      <c r="AL71" s="2099"/>
      <c r="AM71" s="2099"/>
      <c r="AN71" s="2099"/>
      <c r="AO71" s="2106">
        <f t="shared" si="63"/>
        <v>0</v>
      </c>
      <c r="AP71" s="2101"/>
      <c r="AQ71" s="2102"/>
      <c r="AR71" s="2102"/>
      <c r="AS71" s="2102"/>
      <c r="AT71" s="2102"/>
      <c r="AU71" s="2106">
        <f t="shared" si="64"/>
        <v>0</v>
      </c>
      <c r="AV71" s="2124">
        <v>727.75</v>
      </c>
      <c r="AW71" s="2125">
        <v>181.93</v>
      </c>
      <c r="AX71" s="2125">
        <v>0</v>
      </c>
      <c r="AY71" s="2125">
        <v>0</v>
      </c>
      <c r="AZ71" s="2126">
        <v>0</v>
      </c>
      <c r="BA71" s="2110">
        <f t="shared" si="65"/>
        <v>909.68000000000006</v>
      </c>
      <c r="BB71" s="2111">
        <v>99.79</v>
      </c>
      <c r="BC71" s="2112">
        <v>180.21</v>
      </c>
      <c r="BD71" s="2112">
        <v>0</v>
      </c>
      <c r="BE71" s="2112">
        <v>0</v>
      </c>
      <c r="BF71" s="2113">
        <v>0</v>
      </c>
      <c r="BG71" s="2114">
        <f t="shared" si="66"/>
        <v>280</v>
      </c>
      <c r="BH71" s="2103">
        <v>11977.66</v>
      </c>
      <c r="BI71" s="2104">
        <v>1517.16</v>
      </c>
      <c r="BJ71" s="2104">
        <v>2475.39</v>
      </c>
      <c r="BK71" s="2104">
        <v>645.63</v>
      </c>
      <c r="BL71" s="2104">
        <v>0</v>
      </c>
      <c r="BM71" s="2117">
        <f t="shared" si="67"/>
        <v>16615.84</v>
      </c>
      <c r="BN71" s="2103"/>
      <c r="BO71" s="2104"/>
      <c r="BP71" s="2104"/>
      <c r="BQ71" s="2104"/>
      <c r="BR71" s="2104"/>
      <c r="BS71" s="2105">
        <f t="shared" si="68"/>
        <v>0</v>
      </c>
      <c r="BT71" s="2103">
        <v>1105.9767468301293</v>
      </c>
      <c r="BU71" s="2104">
        <v>7008.5032531698707</v>
      </c>
      <c r="BV71" s="2104">
        <v>1488.46</v>
      </c>
      <c r="BW71" s="2104">
        <v>-0.05</v>
      </c>
      <c r="BX71" s="2104">
        <v>0</v>
      </c>
      <c r="BY71" s="2105">
        <f t="shared" si="69"/>
        <v>9602.89</v>
      </c>
      <c r="BZ71" s="2115">
        <v>931.49</v>
      </c>
      <c r="CA71" s="2116">
        <v>0</v>
      </c>
      <c r="CB71" s="2116">
        <v>860.18</v>
      </c>
      <c r="CC71" s="2116">
        <v>0</v>
      </c>
      <c r="CD71" s="2116">
        <v>0</v>
      </c>
      <c r="CE71" s="2105">
        <f t="shared" si="70"/>
        <v>1791.67</v>
      </c>
      <c r="CF71" s="2115">
        <v>362.67</v>
      </c>
      <c r="CG71" s="2116">
        <v>0</v>
      </c>
      <c r="CH71" s="2116">
        <v>683.65</v>
      </c>
      <c r="CI71" s="2116">
        <v>0</v>
      </c>
      <c r="CJ71" s="2116">
        <v>0</v>
      </c>
      <c r="CK71" s="2117">
        <f t="shared" si="71"/>
        <v>1046.32</v>
      </c>
      <c r="CL71" s="2115"/>
      <c r="CM71" s="2116"/>
      <c r="CN71" s="2116"/>
      <c r="CO71" s="2116"/>
      <c r="CP71" s="2116"/>
      <c r="CQ71" s="2105">
        <f t="shared" si="72"/>
        <v>0</v>
      </c>
      <c r="CR71" s="2103"/>
      <c r="CS71" s="2104"/>
      <c r="CT71" s="2104"/>
      <c r="CU71" s="2104"/>
      <c r="CV71" s="2104"/>
      <c r="CW71" s="2117">
        <f t="shared" si="73"/>
        <v>0</v>
      </c>
      <c r="CX71" s="2103">
        <v>-1889.89</v>
      </c>
      <c r="CY71" s="2104">
        <v>-1889.89</v>
      </c>
      <c r="CZ71" s="2104">
        <v>0</v>
      </c>
      <c r="DA71" s="2104">
        <v>0</v>
      </c>
      <c r="DB71" s="2104">
        <v>0</v>
      </c>
      <c r="DC71" s="2105">
        <f t="shared" si="74"/>
        <v>-3779.78</v>
      </c>
      <c r="DD71" s="2103"/>
      <c r="DE71" s="2104"/>
      <c r="DF71" s="2104"/>
      <c r="DG71" s="2104"/>
      <c r="DH71" s="2104"/>
      <c r="DI71" s="2105">
        <f t="shared" si="75"/>
        <v>0</v>
      </c>
      <c r="DJ71" s="2103"/>
      <c r="DK71" s="2104"/>
      <c r="DL71" s="2104"/>
      <c r="DM71" s="2104"/>
      <c r="DN71" s="2104"/>
      <c r="DO71" s="2105">
        <f t="shared" si="76"/>
        <v>0</v>
      </c>
      <c r="DP71" s="2103"/>
      <c r="DQ71" s="2104"/>
      <c r="DR71" s="2104"/>
      <c r="DS71" s="2104"/>
      <c r="DT71" s="2104"/>
      <c r="DU71" s="2118">
        <f t="shared" si="77"/>
        <v>0</v>
      </c>
      <c r="DV71" s="2103">
        <v>328.46</v>
      </c>
      <c r="DW71" s="2104">
        <v>0</v>
      </c>
      <c r="DX71" s="2104">
        <v>60.24</v>
      </c>
      <c r="DY71" s="2104">
        <v>0.04</v>
      </c>
      <c r="DZ71" s="2104">
        <v>0</v>
      </c>
      <c r="EA71" s="2105">
        <f t="shared" si="78"/>
        <v>388.74</v>
      </c>
    </row>
    <row r="72" spans="1:131" s="2049" customFormat="1" ht="15" customHeight="1" x14ac:dyDescent="0.25">
      <c r="A72" s="2089" t="s">
        <v>174</v>
      </c>
      <c r="B72" s="2090" t="s">
        <v>175</v>
      </c>
      <c r="C72" s="2091" t="s">
        <v>268</v>
      </c>
      <c r="D72" s="2092">
        <f t="shared" si="79"/>
        <v>35416.377401755686</v>
      </c>
      <c r="E72" s="2093">
        <f t="shared" si="80"/>
        <v>15357.112598244315</v>
      </c>
      <c r="F72" s="2093">
        <f t="shared" si="81"/>
        <v>10259.460000000001</v>
      </c>
      <c r="G72" s="2093">
        <f t="shared" si="82"/>
        <v>-6.9999999999999993E-2</v>
      </c>
      <c r="H72" s="2093">
        <f t="shared" si="83"/>
        <v>0</v>
      </c>
      <c r="I72" s="2093">
        <f t="shared" si="56"/>
        <v>61032.880000000005</v>
      </c>
      <c r="J72" s="2093">
        <f t="shared" si="57"/>
        <v>-6.9999999999999993E-2</v>
      </c>
      <c r="K72" s="2094">
        <f t="shared" si="58"/>
        <v>10259.390000000001</v>
      </c>
      <c r="L72" s="2095"/>
      <c r="M72" s="2096"/>
      <c r="N72" s="2096"/>
      <c r="O72" s="2096"/>
      <c r="P72" s="2096"/>
      <c r="Q72" s="2097">
        <f t="shared" si="59"/>
        <v>0</v>
      </c>
      <c r="R72" s="2098"/>
      <c r="S72" s="2099"/>
      <c r="T72" s="2099"/>
      <c r="U72" s="2099"/>
      <c r="V72" s="2099"/>
      <c r="W72" s="2100">
        <f t="shared" si="60"/>
        <v>0</v>
      </c>
      <c r="X72" s="2101">
        <v>2475.58</v>
      </c>
      <c r="Y72" s="2102">
        <v>14.74</v>
      </c>
      <c r="Z72" s="2102">
        <v>456.81</v>
      </c>
      <c r="AA72" s="2102">
        <v>-0.01</v>
      </c>
      <c r="AB72" s="2102">
        <v>0</v>
      </c>
      <c r="AC72" s="2100">
        <f t="shared" si="61"/>
        <v>2947.1199999999994</v>
      </c>
      <c r="AD72" s="2103">
        <v>15141.16</v>
      </c>
      <c r="AE72" s="2104">
        <v>0</v>
      </c>
      <c r="AF72" s="2104">
        <v>3785.29</v>
      </c>
      <c r="AG72" s="2104">
        <v>0</v>
      </c>
      <c r="AH72" s="2104">
        <v>0</v>
      </c>
      <c r="AI72" s="2105">
        <f t="shared" si="62"/>
        <v>18926.45</v>
      </c>
      <c r="AJ72" s="2098"/>
      <c r="AK72" s="2099"/>
      <c r="AL72" s="2099"/>
      <c r="AM72" s="2099"/>
      <c r="AN72" s="2099"/>
      <c r="AO72" s="2106">
        <f t="shared" si="63"/>
        <v>0</v>
      </c>
      <c r="AP72" s="2098"/>
      <c r="AQ72" s="2099"/>
      <c r="AR72" s="2099"/>
      <c r="AS72" s="2099"/>
      <c r="AT72" s="2099"/>
      <c r="AU72" s="2106">
        <f t="shared" si="64"/>
        <v>0</v>
      </c>
      <c r="AV72" s="2124">
        <v>270.18</v>
      </c>
      <c r="AW72" s="2125">
        <v>67.540000000000006</v>
      </c>
      <c r="AX72" s="2125">
        <v>0</v>
      </c>
      <c r="AY72" s="2125">
        <v>0</v>
      </c>
      <c r="AZ72" s="2126">
        <v>0</v>
      </c>
      <c r="BA72" s="2110">
        <f t="shared" si="65"/>
        <v>337.72</v>
      </c>
      <c r="BB72" s="2119"/>
      <c r="BC72" s="2120"/>
      <c r="BD72" s="2120"/>
      <c r="BE72" s="2120"/>
      <c r="BF72" s="2120"/>
      <c r="BG72" s="2114">
        <f t="shared" si="66"/>
        <v>0</v>
      </c>
      <c r="BH72" s="2103">
        <v>6524.33</v>
      </c>
      <c r="BI72" s="2104">
        <v>826.42</v>
      </c>
      <c r="BJ72" s="2104">
        <v>1348.38</v>
      </c>
      <c r="BK72" s="2104">
        <v>-0.04</v>
      </c>
      <c r="BL72" s="2104">
        <v>0</v>
      </c>
      <c r="BM72" s="2117">
        <f t="shared" si="67"/>
        <v>8699.09</v>
      </c>
      <c r="BN72" s="2103"/>
      <c r="BO72" s="2104"/>
      <c r="BP72" s="2104"/>
      <c r="BQ72" s="2104"/>
      <c r="BR72" s="2104"/>
      <c r="BS72" s="2105">
        <f t="shared" si="68"/>
        <v>0</v>
      </c>
      <c r="BT72" s="2103">
        <v>2365.6074017556857</v>
      </c>
      <c r="BU72" s="2104">
        <v>14448.412598244315</v>
      </c>
      <c r="BV72" s="2104">
        <v>3084.24</v>
      </c>
      <c r="BW72" s="2104">
        <v>-0.04</v>
      </c>
      <c r="BX72" s="2104">
        <v>0</v>
      </c>
      <c r="BY72" s="2105">
        <f t="shared" si="69"/>
        <v>19898.22</v>
      </c>
      <c r="BZ72" s="2115"/>
      <c r="CA72" s="2116"/>
      <c r="CB72" s="2116"/>
      <c r="CC72" s="2116"/>
      <c r="CD72" s="2116"/>
      <c r="CE72" s="2105">
        <f t="shared" si="70"/>
        <v>0</v>
      </c>
      <c r="CF72" s="2115"/>
      <c r="CG72" s="2116"/>
      <c r="CH72" s="2116"/>
      <c r="CI72" s="2116"/>
      <c r="CJ72" s="2116"/>
      <c r="CK72" s="2117">
        <f t="shared" si="71"/>
        <v>0</v>
      </c>
      <c r="CL72" s="2103"/>
      <c r="CM72" s="2104"/>
      <c r="CN72" s="2104"/>
      <c r="CO72" s="2104"/>
      <c r="CP72" s="2104"/>
      <c r="CQ72" s="2105">
        <f t="shared" si="72"/>
        <v>0</v>
      </c>
      <c r="CR72" s="2115"/>
      <c r="CS72" s="2116"/>
      <c r="CT72" s="2116"/>
      <c r="CU72" s="2116"/>
      <c r="CV72" s="2116"/>
      <c r="CW72" s="2117">
        <f t="shared" si="73"/>
        <v>0</v>
      </c>
      <c r="CX72" s="2103"/>
      <c r="CY72" s="2104"/>
      <c r="CZ72" s="2104"/>
      <c r="DA72" s="2104"/>
      <c r="DB72" s="2104"/>
      <c r="DC72" s="2105">
        <f t="shared" si="74"/>
        <v>0</v>
      </c>
      <c r="DD72" s="2103"/>
      <c r="DE72" s="2104"/>
      <c r="DF72" s="2104"/>
      <c r="DG72" s="2104"/>
      <c r="DH72" s="2104"/>
      <c r="DI72" s="2105">
        <f t="shared" si="75"/>
        <v>0</v>
      </c>
      <c r="DJ72" s="2103"/>
      <c r="DK72" s="2104"/>
      <c r="DL72" s="2104"/>
      <c r="DM72" s="2104"/>
      <c r="DN72" s="2104"/>
      <c r="DO72" s="2105">
        <f t="shared" si="76"/>
        <v>0</v>
      </c>
      <c r="DP72" s="2103"/>
      <c r="DQ72" s="2104"/>
      <c r="DR72" s="2104"/>
      <c r="DS72" s="2104"/>
      <c r="DT72" s="2104"/>
      <c r="DU72" s="2118">
        <f t="shared" si="77"/>
        <v>0</v>
      </c>
      <c r="DV72" s="2103">
        <v>8639.52</v>
      </c>
      <c r="DW72" s="2104">
        <v>0</v>
      </c>
      <c r="DX72" s="2104">
        <v>1584.74</v>
      </c>
      <c r="DY72" s="2104">
        <v>0.02</v>
      </c>
      <c r="DZ72" s="2104">
        <v>0</v>
      </c>
      <c r="EA72" s="2105">
        <f t="shared" si="78"/>
        <v>10224.280000000001</v>
      </c>
    </row>
    <row r="73" spans="1:131" s="2049" customFormat="1" ht="15" customHeight="1" x14ac:dyDescent="0.25">
      <c r="A73" s="2089" t="s">
        <v>178</v>
      </c>
      <c r="B73" s="2090" t="s">
        <v>179</v>
      </c>
      <c r="C73" s="2091" t="s">
        <v>265</v>
      </c>
      <c r="D73" s="2092">
        <f t="shared" si="79"/>
        <v>105950.23716224893</v>
      </c>
      <c r="E73" s="2093">
        <f t="shared" si="80"/>
        <v>30835.332837751066</v>
      </c>
      <c r="F73" s="2093">
        <f t="shared" si="81"/>
        <v>27843.14</v>
      </c>
      <c r="G73" s="2093">
        <f t="shared" si="82"/>
        <v>-0.27999999999999997</v>
      </c>
      <c r="H73" s="2093">
        <f t="shared" si="83"/>
        <v>0</v>
      </c>
      <c r="I73" s="2093">
        <f t="shared" si="56"/>
        <v>164628.43000000002</v>
      </c>
      <c r="J73" s="2093">
        <f t="shared" si="57"/>
        <v>-0.27999999999999997</v>
      </c>
      <c r="K73" s="2094">
        <f t="shared" si="58"/>
        <v>27842.86</v>
      </c>
      <c r="L73" s="2095"/>
      <c r="M73" s="2096"/>
      <c r="N73" s="2096"/>
      <c r="O73" s="2096"/>
      <c r="P73" s="2096"/>
      <c r="Q73" s="2097">
        <f t="shared" si="59"/>
        <v>0</v>
      </c>
      <c r="R73" s="2101"/>
      <c r="S73" s="2102"/>
      <c r="T73" s="2102"/>
      <c r="U73" s="2102"/>
      <c r="V73" s="2102"/>
      <c r="W73" s="2100">
        <f t="shared" si="60"/>
        <v>0</v>
      </c>
      <c r="X73" s="2101">
        <v>8302.18</v>
      </c>
      <c r="Y73" s="2102">
        <v>49.42</v>
      </c>
      <c r="Z73" s="2102">
        <v>1531.98</v>
      </c>
      <c r="AA73" s="2102">
        <v>-0.03</v>
      </c>
      <c r="AB73" s="2102">
        <v>0</v>
      </c>
      <c r="AC73" s="2100">
        <f t="shared" si="61"/>
        <v>9883.5499999999993</v>
      </c>
      <c r="AD73" s="2103">
        <v>38119.58</v>
      </c>
      <c r="AE73" s="2104">
        <v>0</v>
      </c>
      <c r="AF73" s="2104">
        <v>9529.9</v>
      </c>
      <c r="AG73" s="2104">
        <v>0</v>
      </c>
      <c r="AH73" s="2104">
        <v>0</v>
      </c>
      <c r="AI73" s="2105">
        <f t="shared" si="62"/>
        <v>47649.48</v>
      </c>
      <c r="AJ73" s="2101">
        <v>13436</v>
      </c>
      <c r="AK73" s="2102">
        <v>2533.12</v>
      </c>
      <c r="AL73" s="2102">
        <v>2929.26</v>
      </c>
      <c r="AM73" s="2102">
        <v>-0.06</v>
      </c>
      <c r="AN73" s="2102">
        <v>0</v>
      </c>
      <c r="AO73" s="2106">
        <f t="shared" si="63"/>
        <v>18898.319999999996</v>
      </c>
      <c r="AP73" s="2101"/>
      <c r="AQ73" s="2102"/>
      <c r="AR73" s="2102"/>
      <c r="AS73" s="2102"/>
      <c r="AT73" s="2102"/>
      <c r="AU73" s="2106">
        <f t="shared" si="64"/>
        <v>0</v>
      </c>
      <c r="AV73" s="2107">
        <v>756.57</v>
      </c>
      <c r="AW73" s="2108">
        <v>189.14</v>
      </c>
      <c r="AX73" s="2108">
        <v>0</v>
      </c>
      <c r="AY73" s="2108">
        <v>0</v>
      </c>
      <c r="AZ73" s="2109">
        <v>0</v>
      </c>
      <c r="BA73" s="2110">
        <f t="shared" si="65"/>
        <v>945.71</v>
      </c>
      <c r="BB73" s="2111">
        <v>48.29</v>
      </c>
      <c r="BC73" s="2112">
        <v>87.19</v>
      </c>
      <c r="BD73" s="2112">
        <v>0</v>
      </c>
      <c r="BE73" s="2112">
        <v>0</v>
      </c>
      <c r="BF73" s="2113">
        <v>0</v>
      </c>
      <c r="BG73" s="2114">
        <f t="shared" si="66"/>
        <v>135.47999999999999</v>
      </c>
      <c r="BH73" s="2103">
        <v>20491.310000000001</v>
      </c>
      <c r="BI73" s="2104">
        <v>2595.59</v>
      </c>
      <c r="BJ73" s="2104">
        <v>4234.87</v>
      </c>
      <c r="BK73" s="2104">
        <v>-0.05</v>
      </c>
      <c r="BL73" s="2104">
        <v>0</v>
      </c>
      <c r="BM73" s="2117">
        <f t="shared" si="67"/>
        <v>27321.72</v>
      </c>
      <c r="BN73" s="2103"/>
      <c r="BO73" s="2104"/>
      <c r="BP73" s="2104"/>
      <c r="BQ73" s="2104"/>
      <c r="BR73" s="2104"/>
      <c r="BS73" s="2105">
        <f t="shared" si="68"/>
        <v>0</v>
      </c>
      <c r="BT73" s="2103">
        <v>3735.5971622489342</v>
      </c>
      <c r="BU73" s="2104">
        <v>21574.852837751067</v>
      </c>
      <c r="BV73" s="2104">
        <v>4642.83</v>
      </c>
      <c r="BW73" s="2104">
        <v>-0.21</v>
      </c>
      <c r="BX73" s="2104">
        <v>0</v>
      </c>
      <c r="BY73" s="2105">
        <f t="shared" si="69"/>
        <v>29953.07</v>
      </c>
      <c r="BZ73" s="2115">
        <v>116.12</v>
      </c>
      <c r="CA73" s="2116">
        <v>0</v>
      </c>
      <c r="CB73" s="2116">
        <v>107.24</v>
      </c>
      <c r="CC73" s="2116">
        <v>0</v>
      </c>
      <c r="CD73" s="2116">
        <v>0</v>
      </c>
      <c r="CE73" s="2105">
        <f t="shared" si="70"/>
        <v>223.36</v>
      </c>
      <c r="CF73" s="2115"/>
      <c r="CG73" s="2116"/>
      <c r="CH73" s="2116"/>
      <c r="CI73" s="2116"/>
      <c r="CJ73" s="2116"/>
      <c r="CK73" s="2117">
        <f t="shared" si="71"/>
        <v>0</v>
      </c>
      <c r="CL73" s="2103"/>
      <c r="CM73" s="2104"/>
      <c r="CN73" s="2104"/>
      <c r="CO73" s="2104"/>
      <c r="CP73" s="2104"/>
      <c r="CQ73" s="2105">
        <f t="shared" si="72"/>
        <v>0</v>
      </c>
      <c r="CR73" s="2103"/>
      <c r="CS73" s="2104"/>
      <c r="CT73" s="2104"/>
      <c r="CU73" s="2104"/>
      <c r="CV73" s="2104"/>
      <c r="CW73" s="2117">
        <f t="shared" si="73"/>
        <v>0</v>
      </c>
      <c r="CX73" s="2103">
        <v>-891.5</v>
      </c>
      <c r="CY73" s="2104">
        <v>-891.5</v>
      </c>
      <c r="CZ73" s="2104">
        <v>0</v>
      </c>
      <c r="DA73" s="2104">
        <v>0</v>
      </c>
      <c r="DB73" s="2104">
        <v>0</v>
      </c>
      <c r="DC73" s="2105">
        <f t="shared" si="74"/>
        <v>-1783</v>
      </c>
      <c r="DD73" s="2103"/>
      <c r="DE73" s="2104"/>
      <c r="DF73" s="2104"/>
      <c r="DG73" s="2104"/>
      <c r="DH73" s="2104"/>
      <c r="DI73" s="2105">
        <f t="shared" si="75"/>
        <v>0</v>
      </c>
      <c r="DJ73" s="2103"/>
      <c r="DK73" s="2104"/>
      <c r="DL73" s="2104"/>
      <c r="DM73" s="2104"/>
      <c r="DN73" s="2104"/>
      <c r="DO73" s="2105">
        <f t="shared" si="76"/>
        <v>0</v>
      </c>
      <c r="DP73" s="2103">
        <v>6808</v>
      </c>
      <c r="DQ73" s="2104">
        <v>4697.5200000000004</v>
      </c>
      <c r="DR73" s="2104">
        <v>2110.48</v>
      </c>
      <c r="DS73" s="2104">
        <v>0</v>
      </c>
      <c r="DT73" s="2104">
        <v>0</v>
      </c>
      <c r="DU73" s="2118">
        <f t="shared" si="77"/>
        <v>13616</v>
      </c>
      <c r="DV73" s="2103">
        <v>15028.09</v>
      </c>
      <c r="DW73" s="2104">
        <v>0</v>
      </c>
      <c r="DX73" s="2104">
        <v>2756.58</v>
      </c>
      <c r="DY73" s="2104">
        <v>7.0000000000000007E-2</v>
      </c>
      <c r="DZ73" s="2104">
        <v>0</v>
      </c>
      <c r="EA73" s="2105">
        <f t="shared" si="78"/>
        <v>17784.739999999998</v>
      </c>
    </row>
    <row r="74" spans="1:131" s="2049" customFormat="1" ht="15" customHeight="1" x14ac:dyDescent="0.25">
      <c r="A74" s="2089" t="s">
        <v>182</v>
      </c>
      <c r="B74" s="2090" t="s">
        <v>183</v>
      </c>
      <c r="C74" s="2091" t="s">
        <v>266</v>
      </c>
      <c r="D74" s="2092">
        <f t="shared" si="79"/>
        <v>23144.742329093129</v>
      </c>
      <c r="E74" s="2093">
        <f t="shared" si="80"/>
        <v>18337.837670906873</v>
      </c>
      <c r="F74" s="2093">
        <f t="shared" si="81"/>
        <v>7497.2200000000012</v>
      </c>
      <c r="G74" s="2093">
        <f t="shared" si="82"/>
        <v>-0.1</v>
      </c>
      <c r="H74" s="2093">
        <f t="shared" si="83"/>
        <v>0</v>
      </c>
      <c r="I74" s="2093">
        <f t="shared" si="56"/>
        <v>48979.700000000004</v>
      </c>
      <c r="J74" s="2093">
        <f t="shared" si="57"/>
        <v>-0.1</v>
      </c>
      <c r="K74" s="2094">
        <f t="shared" si="58"/>
        <v>7497.1200000000008</v>
      </c>
      <c r="L74" s="2095"/>
      <c r="M74" s="2096"/>
      <c r="N74" s="2096"/>
      <c r="O74" s="2096"/>
      <c r="P74" s="2096"/>
      <c r="Q74" s="2097">
        <f t="shared" si="59"/>
        <v>0</v>
      </c>
      <c r="R74" s="2098"/>
      <c r="S74" s="2099"/>
      <c r="T74" s="2099"/>
      <c r="U74" s="2099"/>
      <c r="V74" s="2099"/>
      <c r="W74" s="2100">
        <f t="shared" si="60"/>
        <v>0</v>
      </c>
      <c r="X74" s="2098"/>
      <c r="Y74" s="2099"/>
      <c r="Z74" s="2099"/>
      <c r="AA74" s="2099"/>
      <c r="AB74" s="2099"/>
      <c r="AC74" s="2100">
        <f t="shared" si="61"/>
        <v>0</v>
      </c>
      <c r="AD74" s="2103">
        <v>3195.66</v>
      </c>
      <c r="AE74" s="2104">
        <v>0</v>
      </c>
      <c r="AF74" s="2104">
        <v>798.93</v>
      </c>
      <c r="AG74" s="2104">
        <v>0</v>
      </c>
      <c r="AH74" s="2104">
        <v>0</v>
      </c>
      <c r="AI74" s="2105">
        <f t="shared" si="62"/>
        <v>3994.5899999999997</v>
      </c>
      <c r="AJ74" s="2098"/>
      <c r="AK74" s="2099"/>
      <c r="AL74" s="2099"/>
      <c r="AM74" s="2099"/>
      <c r="AN74" s="2099"/>
      <c r="AO74" s="2106">
        <f t="shared" si="63"/>
        <v>0</v>
      </c>
      <c r="AP74" s="2098">
        <v>1416.42</v>
      </c>
      <c r="AQ74" s="2099">
        <v>354.1</v>
      </c>
      <c r="AR74" s="2099">
        <v>0</v>
      </c>
      <c r="AS74" s="2099">
        <v>0</v>
      </c>
      <c r="AT74" s="2099">
        <v>0</v>
      </c>
      <c r="AU74" s="2106">
        <f t="shared" si="64"/>
        <v>1770.52</v>
      </c>
      <c r="AV74" s="2124"/>
      <c r="AW74" s="2125"/>
      <c r="AX74" s="2125"/>
      <c r="AY74" s="2125"/>
      <c r="AZ74" s="2126"/>
      <c r="BA74" s="2110">
        <f t="shared" si="65"/>
        <v>0</v>
      </c>
      <c r="BB74" s="2119"/>
      <c r="BC74" s="2120"/>
      <c r="BD74" s="2120"/>
      <c r="BE74" s="2120"/>
      <c r="BF74" s="2120"/>
      <c r="BG74" s="2114">
        <f t="shared" si="66"/>
        <v>0</v>
      </c>
      <c r="BH74" s="2103">
        <v>13212.35</v>
      </c>
      <c r="BI74" s="2104">
        <v>1673.57</v>
      </c>
      <c r="BJ74" s="2104">
        <v>2730.57</v>
      </c>
      <c r="BK74" s="2104">
        <v>-0.06</v>
      </c>
      <c r="BL74" s="2104">
        <v>0</v>
      </c>
      <c r="BM74" s="2117">
        <f t="shared" si="67"/>
        <v>17616.43</v>
      </c>
      <c r="BN74" s="2103"/>
      <c r="BO74" s="2104"/>
      <c r="BP74" s="2104"/>
      <c r="BQ74" s="2104"/>
      <c r="BR74" s="2104"/>
      <c r="BS74" s="2105">
        <f t="shared" si="68"/>
        <v>0</v>
      </c>
      <c r="BT74" s="2103">
        <v>3176.1623290931284</v>
      </c>
      <c r="BU74" s="2104">
        <v>14830.697670906871</v>
      </c>
      <c r="BV74" s="2104">
        <v>3303.03</v>
      </c>
      <c r="BW74" s="2104">
        <v>-0.02</v>
      </c>
      <c r="BX74" s="2104">
        <v>0</v>
      </c>
      <c r="BY74" s="2105">
        <f t="shared" si="69"/>
        <v>21309.87</v>
      </c>
      <c r="BZ74" s="2115"/>
      <c r="CA74" s="2116"/>
      <c r="CB74" s="2116"/>
      <c r="CC74" s="2116"/>
      <c r="CD74" s="2116"/>
      <c r="CE74" s="2105">
        <f t="shared" si="70"/>
        <v>0</v>
      </c>
      <c r="CF74" s="2115"/>
      <c r="CG74" s="2116"/>
      <c r="CH74" s="2116"/>
      <c r="CI74" s="2116"/>
      <c r="CJ74" s="2116"/>
      <c r="CK74" s="2117">
        <f t="shared" si="71"/>
        <v>0</v>
      </c>
      <c r="CL74" s="2103"/>
      <c r="CM74" s="2104"/>
      <c r="CN74" s="2104"/>
      <c r="CO74" s="2104"/>
      <c r="CP74" s="2104"/>
      <c r="CQ74" s="2105">
        <f t="shared" si="72"/>
        <v>0</v>
      </c>
      <c r="CR74" s="2115"/>
      <c r="CS74" s="2116"/>
      <c r="CT74" s="2116"/>
      <c r="CU74" s="2116"/>
      <c r="CV74" s="2116"/>
      <c r="CW74" s="2117">
        <f t="shared" si="73"/>
        <v>0</v>
      </c>
      <c r="CX74" s="2103"/>
      <c r="CY74" s="2104"/>
      <c r="CZ74" s="2104"/>
      <c r="DA74" s="2104"/>
      <c r="DB74" s="2104"/>
      <c r="DC74" s="2105">
        <f t="shared" si="74"/>
        <v>0</v>
      </c>
      <c r="DD74" s="2103"/>
      <c r="DE74" s="2104"/>
      <c r="DF74" s="2104"/>
      <c r="DG74" s="2104"/>
      <c r="DH74" s="2104"/>
      <c r="DI74" s="2105">
        <f t="shared" si="75"/>
        <v>0</v>
      </c>
      <c r="DJ74" s="2103"/>
      <c r="DK74" s="2104"/>
      <c r="DL74" s="2104"/>
      <c r="DM74" s="2104"/>
      <c r="DN74" s="2104"/>
      <c r="DO74" s="2105">
        <f t="shared" si="76"/>
        <v>0</v>
      </c>
      <c r="DP74" s="2103">
        <v>2144.15</v>
      </c>
      <c r="DQ74" s="2104">
        <v>1479.47</v>
      </c>
      <c r="DR74" s="2104">
        <v>664.69</v>
      </c>
      <c r="DS74" s="2104">
        <v>-0.02</v>
      </c>
      <c r="DT74" s="2104">
        <v>0</v>
      </c>
      <c r="DU74" s="2118">
        <f t="shared" si="77"/>
        <v>4288.2899999999991</v>
      </c>
      <c r="DV74" s="2115"/>
      <c r="DW74" s="2116"/>
      <c r="DX74" s="2116"/>
      <c r="DY74" s="2116"/>
      <c r="DZ74" s="2116"/>
      <c r="EA74" s="2105">
        <f t="shared" si="78"/>
        <v>0</v>
      </c>
    </row>
    <row r="75" spans="1:131" s="2049" customFormat="1" ht="15" customHeight="1" x14ac:dyDescent="0.25">
      <c r="A75" s="2089" t="s">
        <v>184</v>
      </c>
      <c r="B75" s="2090" t="s">
        <v>185</v>
      </c>
      <c r="C75" s="2091" t="s">
        <v>266</v>
      </c>
      <c r="D75" s="2092">
        <f t="shared" si="79"/>
        <v>33222.916789949006</v>
      </c>
      <c r="E75" s="2093">
        <f t="shared" si="80"/>
        <v>89953.943210051002</v>
      </c>
      <c r="F75" s="2093">
        <f t="shared" si="81"/>
        <v>22474.04</v>
      </c>
      <c r="G75" s="2093">
        <f t="shared" si="82"/>
        <v>1.9999999999999997E-2</v>
      </c>
      <c r="H75" s="2093">
        <f t="shared" si="83"/>
        <v>0</v>
      </c>
      <c r="I75" s="2093">
        <f t="shared" si="56"/>
        <v>145650.92000000001</v>
      </c>
      <c r="J75" s="2093">
        <f t="shared" si="57"/>
        <v>1.9999999999999997E-2</v>
      </c>
      <c r="K75" s="2094">
        <f t="shared" si="58"/>
        <v>22474.06</v>
      </c>
      <c r="L75" s="2127">
        <v>0</v>
      </c>
      <c r="M75" s="2128">
        <v>2047</v>
      </c>
      <c r="N75" s="2128">
        <v>0</v>
      </c>
      <c r="O75" s="2128">
        <v>0</v>
      </c>
      <c r="P75" s="2128">
        <v>0</v>
      </c>
      <c r="Q75" s="2097">
        <f t="shared" si="59"/>
        <v>2047</v>
      </c>
      <c r="R75" s="2098"/>
      <c r="S75" s="2099"/>
      <c r="T75" s="2099"/>
      <c r="U75" s="2099"/>
      <c r="V75" s="2099"/>
      <c r="W75" s="2100">
        <f t="shared" si="60"/>
        <v>0</v>
      </c>
      <c r="X75" s="2101">
        <v>680.93</v>
      </c>
      <c r="Y75" s="2102">
        <v>4.0599999999999996</v>
      </c>
      <c r="Z75" s="2102">
        <v>125.64</v>
      </c>
      <c r="AA75" s="2102">
        <v>0</v>
      </c>
      <c r="AB75" s="2102">
        <v>0</v>
      </c>
      <c r="AC75" s="2100">
        <f t="shared" si="61"/>
        <v>810.62999999999988</v>
      </c>
      <c r="AD75" s="2103">
        <v>4218.37</v>
      </c>
      <c r="AE75" s="2104">
        <v>0</v>
      </c>
      <c r="AF75" s="2104">
        <v>1054.5899999999999</v>
      </c>
      <c r="AG75" s="2104">
        <v>0</v>
      </c>
      <c r="AH75" s="2104">
        <v>0</v>
      </c>
      <c r="AI75" s="2105">
        <f t="shared" si="62"/>
        <v>5272.96</v>
      </c>
      <c r="AJ75" s="2098"/>
      <c r="AK75" s="2099"/>
      <c r="AL75" s="2099"/>
      <c r="AM75" s="2099"/>
      <c r="AN75" s="2099"/>
      <c r="AO75" s="2106">
        <f t="shared" si="63"/>
        <v>0</v>
      </c>
      <c r="AP75" s="2098"/>
      <c r="AQ75" s="2099"/>
      <c r="AR75" s="2099"/>
      <c r="AS75" s="2099"/>
      <c r="AT75" s="2099"/>
      <c r="AU75" s="2106">
        <f t="shared" si="64"/>
        <v>0</v>
      </c>
      <c r="AV75" s="2107">
        <v>112.7</v>
      </c>
      <c r="AW75" s="2108">
        <v>28.17</v>
      </c>
      <c r="AX75" s="2108">
        <v>0</v>
      </c>
      <c r="AY75" s="2108">
        <v>0</v>
      </c>
      <c r="AZ75" s="2109">
        <v>0</v>
      </c>
      <c r="BA75" s="2110">
        <f t="shared" si="65"/>
        <v>140.87</v>
      </c>
      <c r="BB75" s="2119"/>
      <c r="BC75" s="2120"/>
      <c r="BD75" s="2120"/>
      <c r="BE75" s="2120"/>
      <c r="BF75" s="2120"/>
      <c r="BG75" s="2114">
        <f t="shared" si="66"/>
        <v>0</v>
      </c>
      <c r="BH75" s="2103">
        <v>13367.89</v>
      </c>
      <c r="BI75" s="2104">
        <v>1693.26</v>
      </c>
      <c r="BJ75" s="2104">
        <v>2762.7</v>
      </c>
      <c r="BK75" s="2104">
        <v>0</v>
      </c>
      <c r="BL75" s="2104">
        <v>0</v>
      </c>
      <c r="BM75" s="2117">
        <f t="shared" si="67"/>
        <v>17823.849999999999</v>
      </c>
      <c r="BN75" s="2103"/>
      <c r="BO75" s="2104"/>
      <c r="BP75" s="2104"/>
      <c r="BQ75" s="2104"/>
      <c r="BR75" s="2104"/>
      <c r="BS75" s="2105">
        <f t="shared" si="68"/>
        <v>0</v>
      </c>
      <c r="BT75" s="2103">
        <v>13647.736789949005</v>
      </c>
      <c r="BU75" s="2104">
        <v>86181.453210050997</v>
      </c>
      <c r="BV75" s="2104">
        <v>18311.88</v>
      </c>
      <c r="BW75" s="2104">
        <v>-0.04</v>
      </c>
      <c r="BX75" s="2104">
        <v>0</v>
      </c>
      <c r="BY75" s="2105">
        <f t="shared" si="69"/>
        <v>118141.03000000001</v>
      </c>
      <c r="BZ75" s="2115"/>
      <c r="CA75" s="2116"/>
      <c r="CB75" s="2116"/>
      <c r="CC75" s="2116"/>
      <c r="CD75" s="2116"/>
      <c r="CE75" s="2105">
        <f t="shared" si="70"/>
        <v>0</v>
      </c>
      <c r="CF75" s="2115"/>
      <c r="CG75" s="2116"/>
      <c r="CH75" s="2116"/>
      <c r="CI75" s="2116"/>
      <c r="CJ75" s="2116"/>
      <c r="CK75" s="2117">
        <f t="shared" si="71"/>
        <v>0</v>
      </c>
      <c r="CL75" s="2115"/>
      <c r="CM75" s="2116"/>
      <c r="CN75" s="2116"/>
      <c r="CO75" s="2116"/>
      <c r="CP75" s="2116"/>
      <c r="CQ75" s="2105">
        <f t="shared" si="72"/>
        <v>0</v>
      </c>
      <c r="CR75" s="2103"/>
      <c r="CS75" s="2104"/>
      <c r="CT75" s="2104"/>
      <c r="CU75" s="2104"/>
      <c r="CV75" s="2104"/>
      <c r="CW75" s="2117">
        <f t="shared" si="73"/>
        <v>0</v>
      </c>
      <c r="CX75" s="2103"/>
      <c r="CY75" s="2104"/>
      <c r="CZ75" s="2104"/>
      <c r="DA75" s="2104"/>
      <c r="DB75" s="2104"/>
      <c r="DC75" s="2105">
        <f t="shared" si="74"/>
        <v>0</v>
      </c>
      <c r="DD75" s="2103"/>
      <c r="DE75" s="2104"/>
      <c r="DF75" s="2104"/>
      <c r="DG75" s="2104"/>
      <c r="DH75" s="2104"/>
      <c r="DI75" s="2105">
        <f t="shared" si="75"/>
        <v>0</v>
      </c>
      <c r="DJ75" s="2103"/>
      <c r="DK75" s="2104"/>
      <c r="DL75" s="2104"/>
      <c r="DM75" s="2104"/>
      <c r="DN75" s="2104"/>
      <c r="DO75" s="2105">
        <f t="shared" si="76"/>
        <v>0</v>
      </c>
      <c r="DP75" s="2103"/>
      <c r="DQ75" s="2104"/>
      <c r="DR75" s="2104"/>
      <c r="DS75" s="2104"/>
      <c r="DT75" s="2104"/>
      <c r="DU75" s="2118">
        <f t="shared" si="77"/>
        <v>0</v>
      </c>
      <c r="DV75" s="2103">
        <v>1195.29</v>
      </c>
      <c r="DW75" s="2104">
        <v>0</v>
      </c>
      <c r="DX75" s="2104">
        <v>219.23</v>
      </c>
      <c r="DY75" s="2104">
        <v>0.06</v>
      </c>
      <c r="DZ75" s="2104">
        <v>0</v>
      </c>
      <c r="EA75" s="2105">
        <f t="shared" si="78"/>
        <v>1414.58</v>
      </c>
    </row>
    <row r="76" spans="1:131" s="2049" customFormat="1" ht="15" customHeight="1" x14ac:dyDescent="0.25">
      <c r="A76" s="2089" t="s">
        <v>186</v>
      </c>
      <c r="B76" s="2090" t="s">
        <v>187</v>
      </c>
      <c r="C76" s="2091" t="s">
        <v>264</v>
      </c>
      <c r="D76" s="2092">
        <f t="shared" si="79"/>
        <v>21063.644499968992</v>
      </c>
      <c r="E76" s="2093">
        <f t="shared" si="80"/>
        <v>8594.2855000310101</v>
      </c>
      <c r="F76" s="2093">
        <f t="shared" si="81"/>
        <v>5763.22</v>
      </c>
      <c r="G76" s="2093">
        <f t="shared" si="82"/>
        <v>-3.9999999999999994E-2</v>
      </c>
      <c r="H76" s="2093">
        <f t="shared" si="83"/>
        <v>0</v>
      </c>
      <c r="I76" s="2093">
        <f t="shared" si="56"/>
        <v>35421.11</v>
      </c>
      <c r="J76" s="2093">
        <f t="shared" si="57"/>
        <v>-3.9999999999999994E-2</v>
      </c>
      <c r="K76" s="2094">
        <f t="shared" si="58"/>
        <v>5763.18</v>
      </c>
      <c r="L76" s="2095"/>
      <c r="M76" s="2096"/>
      <c r="N76" s="2096"/>
      <c r="O76" s="2096"/>
      <c r="P76" s="2096"/>
      <c r="Q76" s="2097">
        <f t="shared" si="59"/>
        <v>0</v>
      </c>
      <c r="R76" s="2098"/>
      <c r="S76" s="2099"/>
      <c r="T76" s="2099"/>
      <c r="U76" s="2099"/>
      <c r="V76" s="2099"/>
      <c r="W76" s="2100">
        <f t="shared" si="60"/>
        <v>0</v>
      </c>
      <c r="X76" s="2101">
        <v>376.31</v>
      </c>
      <c r="Y76" s="2102">
        <v>2.25</v>
      </c>
      <c r="Z76" s="2102">
        <v>69.44</v>
      </c>
      <c r="AA76" s="2102">
        <v>-0.02</v>
      </c>
      <c r="AB76" s="2102">
        <v>0</v>
      </c>
      <c r="AC76" s="2100">
        <f t="shared" si="61"/>
        <v>447.98</v>
      </c>
      <c r="AD76" s="2103">
        <v>5620.91</v>
      </c>
      <c r="AE76" s="2104">
        <v>0</v>
      </c>
      <c r="AF76" s="2104">
        <v>1405.23</v>
      </c>
      <c r="AG76" s="2104">
        <v>0</v>
      </c>
      <c r="AH76" s="2104">
        <v>0</v>
      </c>
      <c r="AI76" s="2105">
        <f t="shared" si="62"/>
        <v>7026.1399999999994</v>
      </c>
      <c r="AJ76" s="2098"/>
      <c r="AK76" s="2099"/>
      <c r="AL76" s="2099"/>
      <c r="AM76" s="2099"/>
      <c r="AN76" s="2099"/>
      <c r="AO76" s="2106">
        <f t="shared" si="63"/>
        <v>0</v>
      </c>
      <c r="AP76" s="2101"/>
      <c r="AQ76" s="2102"/>
      <c r="AR76" s="2102"/>
      <c r="AS76" s="2102"/>
      <c r="AT76" s="2102"/>
      <c r="AU76" s="2106">
        <f t="shared" si="64"/>
        <v>0</v>
      </c>
      <c r="AV76" s="2107">
        <v>381.41</v>
      </c>
      <c r="AW76" s="2108">
        <v>95.36</v>
      </c>
      <c r="AX76" s="2108">
        <v>0</v>
      </c>
      <c r="AY76" s="2108">
        <v>0</v>
      </c>
      <c r="AZ76" s="2109">
        <v>0</v>
      </c>
      <c r="BA76" s="2110">
        <f t="shared" si="65"/>
        <v>476.77000000000004</v>
      </c>
      <c r="BB76" s="2119">
        <v>174.64</v>
      </c>
      <c r="BC76" s="2120">
        <v>315.36</v>
      </c>
      <c r="BD76" s="2120">
        <v>0</v>
      </c>
      <c r="BE76" s="2120">
        <v>0</v>
      </c>
      <c r="BF76" s="2120">
        <v>0</v>
      </c>
      <c r="BG76" s="2114">
        <f t="shared" si="66"/>
        <v>490</v>
      </c>
      <c r="BH76" s="2103">
        <v>7312.59</v>
      </c>
      <c r="BI76" s="2104">
        <v>926.27</v>
      </c>
      <c r="BJ76" s="2104">
        <v>1511.27</v>
      </c>
      <c r="BK76" s="2104">
        <v>-0.03</v>
      </c>
      <c r="BL76" s="2104">
        <v>0</v>
      </c>
      <c r="BM76" s="2117">
        <f t="shared" si="67"/>
        <v>9750.1</v>
      </c>
      <c r="BN76" s="2103"/>
      <c r="BO76" s="2104"/>
      <c r="BP76" s="2104"/>
      <c r="BQ76" s="2104"/>
      <c r="BR76" s="2104"/>
      <c r="BS76" s="2105">
        <f t="shared" si="68"/>
        <v>0</v>
      </c>
      <c r="BT76" s="2103">
        <v>917.46449996898946</v>
      </c>
      <c r="BU76" s="2104">
        <v>4693.4055000310109</v>
      </c>
      <c r="BV76" s="2104">
        <v>1029.21</v>
      </c>
      <c r="BW76" s="2104">
        <v>-0.03</v>
      </c>
      <c r="BX76" s="2104">
        <v>0</v>
      </c>
      <c r="BY76" s="2105">
        <f t="shared" si="69"/>
        <v>6640.0500000000011</v>
      </c>
      <c r="BZ76" s="2115">
        <v>170.53</v>
      </c>
      <c r="CA76" s="2116">
        <v>0</v>
      </c>
      <c r="CB76" s="2116">
        <v>157.47</v>
      </c>
      <c r="CC76" s="2116">
        <v>0</v>
      </c>
      <c r="CD76" s="2116">
        <v>0</v>
      </c>
      <c r="CE76" s="2105">
        <f t="shared" si="70"/>
        <v>328</v>
      </c>
      <c r="CF76" s="2115"/>
      <c r="CG76" s="2116"/>
      <c r="CH76" s="2116"/>
      <c r="CI76" s="2116"/>
      <c r="CJ76" s="2116"/>
      <c r="CK76" s="2117">
        <f t="shared" si="71"/>
        <v>0</v>
      </c>
      <c r="CL76" s="2115"/>
      <c r="CM76" s="2116"/>
      <c r="CN76" s="2116"/>
      <c r="CO76" s="2116"/>
      <c r="CP76" s="2116"/>
      <c r="CQ76" s="2105">
        <f t="shared" si="72"/>
        <v>0</v>
      </c>
      <c r="CR76" s="2115"/>
      <c r="CS76" s="2116"/>
      <c r="CT76" s="2116"/>
      <c r="CU76" s="2116"/>
      <c r="CV76" s="2116"/>
      <c r="CW76" s="2117">
        <f t="shared" si="73"/>
        <v>0</v>
      </c>
      <c r="CX76" s="2103"/>
      <c r="CY76" s="2104"/>
      <c r="CZ76" s="2104"/>
      <c r="DA76" s="2104"/>
      <c r="DB76" s="2104"/>
      <c r="DC76" s="2105">
        <f t="shared" si="74"/>
        <v>0</v>
      </c>
      <c r="DD76" s="2103"/>
      <c r="DE76" s="2104"/>
      <c r="DF76" s="2104"/>
      <c r="DG76" s="2104"/>
      <c r="DH76" s="2104"/>
      <c r="DI76" s="2105">
        <f t="shared" si="75"/>
        <v>0</v>
      </c>
      <c r="DJ76" s="2103"/>
      <c r="DK76" s="2104"/>
      <c r="DL76" s="2104"/>
      <c r="DM76" s="2104"/>
      <c r="DN76" s="2104"/>
      <c r="DO76" s="2105">
        <f t="shared" si="76"/>
        <v>0</v>
      </c>
      <c r="DP76" s="2103">
        <v>3712.5</v>
      </c>
      <c r="DQ76" s="2104">
        <v>2561.64</v>
      </c>
      <c r="DR76" s="2104">
        <v>1150.8900000000001</v>
      </c>
      <c r="DS76" s="2104">
        <v>-0.03</v>
      </c>
      <c r="DT76" s="2104">
        <v>0</v>
      </c>
      <c r="DU76" s="2118">
        <f t="shared" si="77"/>
        <v>7425</v>
      </c>
      <c r="DV76" s="2103">
        <v>2397.29</v>
      </c>
      <c r="DW76" s="2104">
        <v>0</v>
      </c>
      <c r="DX76" s="2104">
        <v>439.71</v>
      </c>
      <c r="DY76" s="2104">
        <v>7.0000000000000007E-2</v>
      </c>
      <c r="DZ76" s="2104">
        <v>0</v>
      </c>
      <c r="EA76" s="2105">
        <f t="shared" si="78"/>
        <v>2837.07</v>
      </c>
    </row>
    <row r="77" spans="1:131" s="2049" customFormat="1" ht="15" customHeight="1" x14ac:dyDescent="0.25">
      <c r="A77" s="2089" t="s">
        <v>188</v>
      </c>
      <c r="B77" s="2090" t="s">
        <v>189</v>
      </c>
      <c r="C77" s="2091" t="s">
        <v>267</v>
      </c>
      <c r="D77" s="2092">
        <f t="shared" si="79"/>
        <v>284569.9773066733</v>
      </c>
      <c r="E77" s="2093">
        <f t="shared" si="80"/>
        <v>212374.50269332674</v>
      </c>
      <c r="F77" s="2093">
        <f t="shared" si="81"/>
        <v>97138.27</v>
      </c>
      <c r="G77" s="2093">
        <f t="shared" si="82"/>
        <v>-0.15000000000000002</v>
      </c>
      <c r="H77" s="2093">
        <f t="shared" si="83"/>
        <v>22906.28</v>
      </c>
      <c r="I77" s="2093">
        <f t="shared" si="56"/>
        <v>616988.88</v>
      </c>
      <c r="J77" s="2093">
        <f t="shared" si="57"/>
        <v>22906.129999999997</v>
      </c>
      <c r="K77" s="2094">
        <f t="shared" si="58"/>
        <v>120044.4</v>
      </c>
      <c r="L77" s="2095"/>
      <c r="M77" s="2096"/>
      <c r="N77" s="2096"/>
      <c r="O77" s="2096"/>
      <c r="P77" s="2096"/>
      <c r="Q77" s="2097">
        <f t="shared" si="59"/>
        <v>0</v>
      </c>
      <c r="R77" s="2098"/>
      <c r="S77" s="2099"/>
      <c r="T77" s="2099"/>
      <c r="U77" s="2099"/>
      <c r="V77" s="2099"/>
      <c r="W77" s="2100">
        <f t="shared" si="60"/>
        <v>0</v>
      </c>
      <c r="X77" s="2101">
        <v>38918.57</v>
      </c>
      <c r="Y77" s="2102">
        <v>231.68</v>
      </c>
      <c r="Z77" s="2102">
        <v>7181.41</v>
      </c>
      <c r="AA77" s="2102">
        <v>-0.02</v>
      </c>
      <c r="AB77" s="2102">
        <v>0</v>
      </c>
      <c r="AC77" s="2100">
        <f t="shared" si="61"/>
        <v>46331.640000000007</v>
      </c>
      <c r="AD77" s="2103">
        <v>23442.52</v>
      </c>
      <c r="AE77" s="2104">
        <v>0</v>
      </c>
      <c r="AF77" s="2104">
        <v>5860.6</v>
      </c>
      <c r="AG77" s="2104">
        <v>0</v>
      </c>
      <c r="AH77" s="2104">
        <v>0</v>
      </c>
      <c r="AI77" s="2105">
        <f t="shared" si="62"/>
        <v>29303.120000000003</v>
      </c>
      <c r="AJ77" s="2101">
        <v>1884.52</v>
      </c>
      <c r="AK77" s="2102">
        <v>440.29</v>
      </c>
      <c r="AL77" s="2102">
        <v>426.44</v>
      </c>
      <c r="AM77" s="2102">
        <v>-0.03</v>
      </c>
      <c r="AN77" s="2102">
        <v>0</v>
      </c>
      <c r="AO77" s="2106">
        <f t="shared" si="63"/>
        <v>2751.22</v>
      </c>
      <c r="AP77" s="2101">
        <v>2425.9</v>
      </c>
      <c r="AQ77" s="2102">
        <v>606.47</v>
      </c>
      <c r="AR77" s="2102">
        <v>0</v>
      </c>
      <c r="AS77" s="2102">
        <v>0</v>
      </c>
      <c r="AT77" s="2102">
        <v>0</v>
      </c>
      <c r="AU77" s="2106">
        <f t="shared" si="64"/>
        <v>3032.37</v>
      </c>
      <c r="AV77" s="2107">
        <v>9285.7199999999993</v>
      </c>
      <c r="AW77" s="2108">
        <v>2321.4299999999998</v>
      </c>
      <c r="AX77" s="2108">
        <v>0</v>
      </c>
      <c r="AY77" s="2108">
        <v>0</v>
      </c>
      <c r="AZ77" s="2109">
        <v>0</v>
      </c>
      <c r="BA77" s="2110">
        <f t="shared" si="65"/>
        <v>11607.15</v>
      </c>
      <c r="BB77" s="2111">
        <v>2088.5</v>
      </c>
      <c r="BC77" s="2112">
        <v>3771.5</v>
      </c>
      <c r="BD77" s="2112">
        <v>0</v>
      </c>
      <c r="BE77" s="2112">
        <v>0</v>
      </c>
      <c r="BF77" s="2113">
        <v>0</v>
      </c>
      <c r="BG77" s="2114">
        <f t="shared" si="66"/>
        <v>5860</v>
      </c>
      <c r="BH77" s="2103">
        <v>166498.5</v>
      </c>
      <c r="BI77" s="2104">
        <v>21089.82</v>
      </c>
      <c r="BJ77" s="2104">
        <v>34409.699999999997</v>
      </c>
      <c r="BK77" s="2104">
        <v>-0.02</v>
      </c>
      <c r="BL77" s="2104">
        <v>0</v>
      </c>
      <c r="BM77" s="2117">
        <f t="shared" si="67"/>
        <v>221998.00000000003</v>
      </c>
      <c r="BN77" s="2103">
        <v>-5570.46</v>
      </c>
      <c r="BO77" s="2104">
        <v>-5570.46</v>
      </c>
      <c r="BP77" s="2104">
        <v>0</v>
      </c>
      <c r="BQ77" s="2104">
        <v>0</v>
      </c>
      <c r="BR77" s="2104">
        <v>0</v>
      </c>
      <c r="BS77" s="2105">
        <f t="shared" si="68"/>
        <v>-11140.92</v>
      </c>
      <c r="BT77" s="2103">
        <v>29317.557306673261</v>
      </c>
      <c r="BU77" s="2104">
        <v>185792.51269332675</v>
      </c>
      <c r="BV77" s="2104">
        <v>39458.07</v>
      </c>
      <c r="BW77" s="2104">
        <v>-0.14000000000000001</v>
      </c>
      <c r="BX77" s="2104">
        <v>9210.16</v>
      </c>
      <c r="BY77" s="2105">
        <f t="shared" si="69"/>
        <v>263778.15999999997</v>
      </c>
      <c r="BZ77" s="2103">
        <v>4435.6099999999997</v>
      </c>
      <c r="CA77" s="2104">
        <v>0</v>
      </c>
      <c r="CB77" s="2104">
        <v>4096.0600000000004</v>
      </c>
      <c r="CC77" s="2104">
        <v>0</v>
      </c>
      <c r="CD77" s="2104">
        <v>0</v>
      </c>
      <c r="CE77" s="2105">
        <f t="shared" si="70"/>
        <v>8531.67</v>
      </c>
      <c r="CF77" s="2115"/>
      <c r="CG77" s="2116"/>
      <c r="CH77" s="2116"/>
      <c r="CI77" s="2116"/>
      <c r="CJ77" s="2116"/>
      <c r="CK77" s="2117">
        <f t="shared" si="71"/>
        <v>0</v>
      </c>
      <c r="CL77" s="2103">
        <v>-1330</v>
      </c>
      <c r="CM77" s="2104">
        <v>0</v>
      </c>
      <c r="CN77" s="2104">
        <v>0</v>
      </c>
      <c r="CO77" s="2104">
        <v>0</v>
      </c>
      <c r="CP77" s="2104">
        <v>0</v>
      </c>
      <c r="CQ77" s="2105">
        <f t="shared" si="72"/>
        <v>-1330</v>
      </c>
      <c r="CR77" s="2103">
        <v>-1684.95</v>
      </c>
      <c r="CS77" s="2104">
        <v>-1684.95</v>
      </c>
      <c r="CT77" s="2104">
        <v>0</v>
      </c>
      <c r="CU77" s="2104">
        <v>0.01</v>
      </c>
      <c r="CV77" s="2104">
        <v>0</v>
      </c>
      <c r="CW77" s="2117">
        <f t="shared" si="73"/>
        <v>-3369.89</v>
      </c>
      <c r="CX77" s="2103">
        <v>-2366.16</v>
      </c>
      <c r="CY77" s="2104">
        <v>-2366.16</v>
      </c>
      <c r="CZ77" s="2104">
        <v>0</v>
      </c>
      <c r="DA77" s="2104">
        <v>0.01</v>
      </c>
      <c r="DB77" s="2104">
        <v>0</v>
      </c>
      <c r="DC77" s="2105">
        <f t="shared" si="74"/>
        <v>-4732.3099999999995</v>
      </c>
      <c r="DD77" s="2103">
        <v>-2096.1</v>
      </c>
      <c r="DE77" s="2104">
        <v>0</v>
      </c>
      <c r="DF77" s="2104">
        <v>0</v>
      </c>
      <c r="DG77" s="2104">
        <v>0</v>
      </c>
      <c r="DH77" s="2104">
        <v>0</v>
      </c>
      <c r="DI77" s="2105">
        <f t="shared" si="75"/>
        <v>-2096.1</v>
      </c>
      <c r="DJ77" s="2103">
        <v>-2022.17</v>
      </c>
      <c r="DK77" s="2104">
        <v>-2022.17</v>
      </c>
      <c r="DL77" s="2104">
        <v>0</v>
      </c>
      <c r="DM77" s="2104">
        <v>-0.01</v>
      </c>
      <c r="DN77" s="2104">
        <v>0</v>
      </c>
      <c r="DO77" s="2105">
        <f t="shared" si="76"/>
        <v>-4044.3500000000004</v>
      </c>
      <c r="DP77" s="2103">
        <v>14151.5</v>
      </c>
      <c r="DQ77" s="2104">
        <v>9764.5400000000009</v>
      </c>
      <c r="DR77" s="2104">
        <v>4386.97</v>
      </c>
      <c r="DS77" s="2104">
        <v>-0.01</v>
      </c>
      <c r="DT77" s="2104">
        <v>9697</v>
      </c>
      <c r="DU77" s="2118">
        <f t="shared" si="77"/>
        <v>38000</v>
      </c>
      <c r="DV77" s="2103">
        <v>7190.92</v>
      </c>
      <c r="DW77" s="2104">
        <v>0</v>
      </c>
      <c r="DX77" s="2104">
        <v>1319.02</v>
      </c>
      <c r="DY77" s="2104">
        <v>0.06</v>
      </c>
      <c r="DZ77" s="2104">
        <v>3999.12</v>
      </c>
      <c r="EA77" s="2105">
        <f t="shared" si="78"/>
        <v>12509.119999999999</v>
      </c>
    </row>
    <row r="78" spans="1:131" s="2049" customFormat="1" ht="15" customHeight="1" x14ac:dyDescent="0.25">
      <c r="A78" s="2089" t="s">
        <v>190</v>
      </c>
      <c r="B78" s="2090" t="s">
        <v>191</v>
      </c>
      <c r="C78" s="2091" t="s">
        <v>268</v>
      </c>
      <c r="D78" s="2092">
        <f t="shared" si="79"/>
        <v>64803.36880176056</v>
      </c>
      <c r="E78" s="2093">
        <f t="shared" si="80"/>
        <v>20144.451198239443</v>
      </c>
      <c r="F78" s="2093">
        <f t="shared" si="81"/>
        <v>16054.87</v>
      </c>
      <c r="G78" s="2093">
        <f t="shared" si="82"/>
        <v>1047.5</v>
      </c>
      <c r="H78" s="2093">
        <f t="shared" si="83"/>
        <v>0</v>
      </c>
      <c r="I78" s="2093">
        <f t="shared" si="56"/>
        <v>102050.19</v>
      </c>
      <c r="J78" s="2093">
        <f t="shared" si="57"/>
        <v>1047.5</v>
      </c>
      <c r="K78" s="2094">
        <f t="shared" si="58"/>
        <v>17102.370000000003</v>
      </c>
      <c r="L78" s="2095"/>
      <c r="M78" s="2096"/>
      <c r="N78" s="2096"/>
      <c r="O78" s="2096"/>
      <c r="P78" s="2096"/>
      <c r="Q78" s="2097">
        <f t="shared" si="59"/>
        <v>0</v>
      </c>
      <c r="R78" s="2098"/>
      <c r="S78" s="2099"/>
      <c r="T78" s="2099"/>
      <c r="U78" s="2099"/>
      <c r="V78" s="2099"/>
      <c r="W78" s="2100">
        <f t="shared" si="60"/>
        <v>0</v>
      </c>
      <c r="X78" s="2101">
        <v>9423.94</v>
      </c>
      <c r="Y78" s="2102">
        <v>56.09</v>
      </c>
      <c r="Z78" s="2102">
        <v>1738.94</v>
      </c>
      <c r="AA78" s="2102">
        <v>0.02</v>
      </c>
      <c r="AB78" s="2102">
        <v>0</v>
      </c>
      <c r="AC78" s="2100">
        <f t="shared" si="61"/>
        <v>11218.990000000002</v>
      </c>
      <c r="AD78" s="2103">
        <v>20419.18</v>
      </c>
      <c r="AE78" s="2104">
        <v>0</v>
      </c>
      <c r="AF78" s="2104">
        <v>5104.8</v>
      </c>
      <c r="AG78" s="2104">
        <v>0</v>
      </c>
      <c r="AH78" s="2104">
        <v>0</v>
      </c>
      <c r="AI78" s="2105">
        <f t="shared" si="62"/>
        <v>25523.98</v>
      </c>
      <c r="AJ78" s="2098"/>
      <c r="AK78" s="2099"/>
      <c r="AL78" s="2099"/>
      <c r="AM78" s="2099"/>
      <c r="AN78" s="2099"/>
      <c r="AO78" s="2106">
        <f t="shared" si="63"/>
        <v>0</v>
      </c>
      <c r="AP78" s="2101">
        <v>1639.2</v>
      </c>
      <c r="AQ78" s="2102">
        <v>409.8</v>
      </c>
      <c r="AR78" s="2102">
        <v>0</v>
      </c>
      <c r="AS78" s="2102">
        <v>0</v>
      </c>
      <c r="AT78" s="2102">
        <v>0</v>
      </c>
      <c r="AU78" s="2106">
        <f t="shared" si="64"/>
        <v>2049</v>
      </c>
      <c r="AV78" s="2107">
        <v>4206.5200000000004</v>
      </c>
      <c r="AW78" s="2108">
        <v>1051.6400000000001</v>
      </c>
      <c r="AX78" s="2108">
        <v>0</v>
      </c>
      <c r="AY78" s="2108">
        <v>0</v>
      </c>
      <c r="AZ78" s="2109">
        <v>0</v>
      </c>
      <c r="BA78" s="2110">
        <f t="shared" si="65"/>
        <v>5258.1600000000008</v>
      </c>
      <c r="BB78" s="2119"/>
      <c r="BC78" s="2120"/>
      <c r="BD78" s="2120"/>
      <c r="BE78" s="2120"/>
      <c r="BF78" s="2120"/>
      <c r="BG78" s="2114">
        <f t="shared" si="66"/>
        <v>0</v>
      </c>
      <c r="BH78" s="2103">
        <v>11493</v>
      </c>
      <c r="BI78" s="2104">
        <v>1455.79</v>
      </c>
      <c r="BJ78" s="2104">
        <v>2375.23</v>
      </c>
      <c r="BK78" s="2104">
        <v>1047.49</v>
      </c>
      <c r="BL78" s="2104">
        <v>0</v>
      </c>
      <c r="BM78" s="2117">
        <f t="shared" si="67"/>
        <v>16371.51</v>
      </c>
      <c r="BN78" s="2103"/>
      <c r="BO78" s="2104"/>
      <c r="BP78" s="2104"/>
      <c r="BQ78" s="2104"/>
      <c r="BR78" s="2104"/>
      <c r="BS78" s="2105">
        <f t="shared" si="68"/>
        <v>0</v>
      </c>
      <c r="BT78" s="2103">
        <v>1485.4288017605577</v>
      </c>
      <c r="BU78" s="2104">
        <v>9413.3811982394436</v>
      </c>
      <c r="BV78" s="2104">
        <v>1999.2</v>
      </c>
      <c r="BW78" s="2104">
        <v>-0.03</v>
      </c>
      <c r="BX78" s="2104">
        <v>0</v>
      </c>
      <c r="BY78" s="2105">
        <f t="shared" si="69"/>
        <v>12897.980000000001</v>
      </c>
      <c r="BZ78" s="2115"/>
      <c r="CA78" s="2116"/>
      <c r="CB78" s="2116"/>
      <c r="CC78" s="2116"/>
      <c r="CD78" s="2116"/>
      <c r="CE78" s="2105">
        <f t="shared" si="70"/>
        <v>0</v>
      </c>
      <c r="CF78" s="2115"/>
      <c r="CG78" s="2116"/>
      <c r="CH78" s="2116"/>
      <c r="CI78" s="2116"/>
      <c r="CJ78" s="2116"/>
      <c r="CK78" s="2117">
        <f t="shared" si="71"/>
        <v>0</v>
      </c>
      <c r="CL78" s="2103"/>
      <c r="CM78" s="2104"/>
      <c r="CN78" s="2104"/>
      <c r="CO78" s="2104"/>
      <c r="CP78" s="2104"/>
      <c r="CQ78" s="2105">
        <f t="shared" si="72"/>
        <v>0</v>
      </c>
      <c r="CR78" s="2115"/>
      <c r="CS78" s="2116"/>
      <c r="CT78" s="2116"/>
      <c r="CU78" s="2116"/>
      <c r="CV78" s="2116"/>
      <c r="CW78" s="2117">
        <f t="shared" si="73"/>
        <v>0</v>
      </c>
      <c r="CX78" s="2103">
        <v>-781</v>
      </c>
      <c r="CY78" s="2104">
        <v>-781</v>
      </c>
      <c r="CZ78" s="2104">
        <v>0</v>
      </c>
      <c r="DA78" s="2104">
        <v>0</v>
      </c>
      <c r="DB78" s="2104">
        <v>0</v>
      </c>
      <c r="DC78" s="2105">
        <f t="shared" si="74"/>
        <v>-1562</v>
      </c>
      <c r="DD78" s="2103">
        <v>-912</v>
      </c>
      <c r="DE78" s="2104">
        <v>0</v>
      </c>
      <c r="DF78" s="2104">
        <v>0</v>
      </c>
      <c r="DG78" s="2104">
        <v>0</v>
      </c>
      <c r="DH78" s="2104">
        <v>0</v>
      </c>
      <c r="DI78" s="2105">
        <f t="shared" si="75"/>
        <v>-912</v>
      </c>
      <c r="DJ78" s="2103"/>
      <c r="DK78" s="2104"/>
      <c r="DL78" s="2104"/>
      <c r="DM78" s="2104"/>
      <c r="DN78" s="2104"/>
      <c r="DO78" s="2105">
        <f t="shared" si="76"/>
        <v>0</v>
      </c>
      <c r="DP78" s="2103">
        <v>12375</v>
      </c>
      <c r="DQ78" s="2104">
        <v>8538.75</v>
      </c>
      <c r="DR78" s="2104">
        <v>3836.25</v>
      </c>
      <c r="DS78" s="2104">
        <v>0</v>
      </c>
      <c r="DT78" s="2104">
        <v>0</v>
      </c>
      <c r="DU78" s="2118">
        <f t="shared" si="77"/>
        <v>24750</v>
      </c>
      <c r="DV78" s="2103">
        <v>5454.1</v>
      </c>
      <c r="DW78" s="2104">
        <v>0</v>
      </c>
      <c r="DX78" s="2104">
        <v>1000.45</v>
      </c>
      <c r="DY78" s="2104">
        <v>0.02</v>
      </c>
      <c r="DZ78" s="2104">
        <v>0</v>
      </c>
      <c r="EA78" s="2105">
        <f t="shared" si="78"/>
        <v>6454.5700000000006</v>
      </c>
    </row>
    <row r="79" spans="1:131" s="2049" customFormat="1" ht="15" customHeight="1" x14ac:dyDescent="0.25">
      <c r="A79" s="2089" t="s">
        <v>194</v>
      </c>
      <c r="B79" s="2090" t="s">
        <v>195</v>
      </c>
      <c r="C79" s="2091" t="s">
        <v>267</v>
      </c>
      <c r="D79" s="2092">
        <f t="shared" si="79"/>
        <v>18461.260000000002</v>
      </c>
      <c r="E79" s="2093">
        <f t="shared" si="80"/>
        <v>1949.42</v>
      </c>
      <c r="F79" s="2093">
        <f t="shared" si="81"/>
        <v>3163.08</v>
      </c>
      <c r="G79" s="2093">
        <f t="shared" si="82"/>
        <v>-0.08</v>
      </c>
      <c r="H79" s="2093">
        <f t="shared" si="83"/>
        <v>0</v>
      </c>
      <c r="I79" s="2093">
        <f t="shared" si="56"/>
        <v>23573.68</v>
      </c>
      <c r="J79" s="2093">
        <f t="shared" si="57"/>
        <v>-0.08</v>
      </c>
      <c r="K79" s="2094">
        <f t="shared" si="58"/>
        <v>3163</v>
      </c>
      <c r="L79" s="2095"/>
      <c r="M79" s="2096"/>
      <c r="N79" s="2096"/>
      <c r="O79" s="2096"/>
      <c r="P79" s="2096"/>
      <c r="Q79" s="2097">
        <f t="shared" si="59"/>
        <v>0</v>
      </c>
      <c r="R79" s="2098"/>
      <c r="S79" s="2099"/>
      <c r="T79" s="2099"/>
      <c r="U79" s="2099"/>
      <c r="V79" s="2099"/>
      <c r="W79" s="2100">
        <f t="shared" si="60"/>
        <v>0</v>
      </c>
      <c r="X79" s="2098">
        <v>324.54000000000002</v>
      </c>
      <c r="Y79" s="2099">
        <v>1.93</v>
      </c>
      <c r="Z79" s="2099">
        <v>59.89</v>
      </c>
      <c r="AA79" s="2099">
        <v>0</v>
      </c>
      <c r="AB79" s="2099">
        <v>0</v>
      </c>
      <c r="AC79" s="2100">
        <f t="shared" si="61"/>
        <v>386.36</v>
      </c>
      <c r="AD79" s="2103">
        <v>2522.1999999999998</v>
      </c>
      <c r="AE79" s="2104">
        <v>0</v>
      </c>
      <c r="AF79" s="2104">
        <v>630.54999999999995</v>
      </c>
      <c r="AG79" s="2104">
        <v>0</v>
      </c>
      <c r="AH79" s="2104">
        <v>0</v>
      </c>
      <c r="AI79" s="2105">
        <f t="shared" si="62"/>
        <v>3152.75</v>
      </c>
      <c r="AJ79" s="2098"/>
      <c r="AK79" s="2099"/>
      <c r="AL79" s="2099"/>
      <c r="AM79" s="2099"/>
      <c r="AN79" s="2099"/>
      <c r="AO79" s="2106">
        <f t="shared" si="63"/>
        <v>0</v>
      </c>
      <c r="AP79" s="2098">
        <v>2751.76</v>
      </c>
      <c r="AQ79" s="2099">
        <v>687.94</v>
      </c>
      <c r="AR79" s="2099">
        <v>0</v>
      </c>
      <c r="AS79" s="2099">
        <v>0</v>
      </c>
      <c r="AT79" s="2099">
        <v>0</v>
      </c>
      <c r="AU79" s="2106">
        <f t="shared" si="64"/>
        <v>3439.7000000000003</v>
      </c>
      <c r="AV79" s="2107">
        <v>514</v>
      </c>
      <c r="AW79" s="2108">
        <v>128.5</v>
      </c>
      <c r="AX79" s="2108">
        <v>0</v>
      </c>
      <c r="AY79" s="2108">
        <v>0</v>
      </c>
      <c r="AZ79" s="2109">
        <v>0</v>
      </c>
      <c r="BA79" s="2110">
        <f t="shared" si="65"/>
        <v>642.5</v>
      </c>
      <c r="BB79" s="2119"/>
      <c r="BC79" s="2120"/>
      <c r="BD79" s="2120"/>
      <c r="BE79" s="2120"/>
      <c r="BF79" s="2120"/>
      <c r="BG79" s="2114">
        <f t="shared" si="66"/>
        <v>0</v>
      </c>
      <c r="BH79" s="2103">
        <v>8929.19</v>
      </c>
      <c r="BI79" s="2104">
        <v>1131.05</v>
      </c>
      <c r="BJ79" s="2104">
        <v>1845.37</v>
      </c>
      <c r="BK79" s="2104">
        <v>-0.08</v>
      </c>
      <c r="BL79" s="2104">
        <v>0</v>
      </c>
      <c r="BM79" s="2117">
        <f t="shared" si="67"/>
        <v>11905.53</v>
      </c>
      <c r="BN79" s="2103"/>
      <c r="BO79" s="2104"/>
      <c r="BP79" s="2104"/>
      <c r="BQ79" s="2104"/>
      <c r="BR79" s="2104"/>
      <c r="BS79" s="2105">
        <f t="shared" si="68"/>
        <v>0</v>
      </c>
      <c r="BT79" s="2103"/>
      <c r="BU79" s="2104"/>
      <c r="BV79" s="2104"/>
      <c r="BW79" s="2104"/>
      <c r="BX79" s="2104"/>
      <c r="BY79" s="2105">
        <f t="shared" si="69"/>
        <v>0</v>
      </c>
      <c r="BZ79" s="2115"/>
      <c r="CA79" s="2116"/>
      <c r="CB79" s="2116"/>
      <c r="CC79" s="2116"/>
      <c r="CD79" s="2116"/>
      <c r="CE79" s="2105">
        <f t="shared" si="70"/>
        <v>0</v>
      </c>
      <c r="CF79" s="2115"/>
      <c r="CG79" s="2116"/>
      <c r="CH79" s="2116"/>
      <c r="CI79" s="2116"/>
      <c r="CJ79" s="2116"/>
      <c r="CK79" s="2117">
        <f t="shared" si="71"/>
        <v>0</v>
      </c>
      <c r="CL79" s="2103"/>
      <c r="CM79" s="2104"/>
      <c r="CN79" s="2104"/>
      <c r="CO79" s="2104"/>
      <c r="CP79" s="2104"/>
      <c r="CQ79" s="2105">
        <f t="shared" si="72"/>
        <v>0</v>
      </c>
      <c r="CR79" s="2115"/>
      <c r="CS79" s="2116"/>
      <c r="CT79" s="2116"/>
      <c r="CU79" s="2116"/>
      <c r="CV79" s="2116"/>
      <c r="CW79" s="2117">
        <f t="shared" si="73"/>
        <v>0</v>
      </c>
      <c r="CX79" s="2103"/>
      <c r="CY79" s="2104"/>
      <c r="CZ79" s="2104"/>
      <c r="DA79" s="2104"/>
      <c r="DB79" s="2104"/>
      <c r="DC79" s="2105">
        <f t="shared" si="74"/>
        <v>0</v>
      </c>
      <c r="DD79" s="2103"/>
      <c r="DE79" s="2104"/>
      <c r="DF79" s="2104"/>
      <c r="DG79" s="2104"/>
      <c r="DH79" s="2104"/>
      <c r="DI79" s="2105">
        <f t="shared" si="75"/>
        <v>0</v>
      </c>
      <c r="DJ79" s="2103"/>
      <c r="DK79" s="2104"/>
      <c r="DL79" s="2104"/>
      <c r="DM79" s="2104"/>
      <c r="DN79" s="2104"/>
      <c r="DO79" s="2105">
        <f t="shared" si="76"/>
        <v>0</v>
      </c>
      <c r="DP79" s="2115"/>
      <c r="DQ79" s="2116"/>
      <c r="DR79" s="2116"/>
      <c r="DS79" s="2116"/>
      <c r="DT79" s="2116"/>
      <c r="DU79" s="2118">
        <f t="shared" si="77"/>
        <v>0</v>
      </c>
      <c r="DV79" s="2103">
        <v>3419.57</v>
      </c>
      <c r="DW79" s="2104">
        <v>0</v>
      </c>
      <c r="DX79" s="2104">
        <v>627.27</v>
      </c>
      <c r="DY79" s="2104">
        <v>0</v>
      </c>
      <c r="DZ79" s="2104">
        <v>0</v>
      </c>
      <c r="EA79" s="2105">
        <f t="shared" si="78"/>
        <v>4046.84</v>
      </c>
    </row>
    <row r="80" spans="1:131" s="2049" customFormat="1" ht="15" customHeight="1" x14ac:dyDescent="0.25">
      <c r="A80" s="2089" t="s">
        <v>198</v>
      </c>
      <c r="B80" s="2090" t="s">
        <v>199</v>
      </c>
      <c r="C80" s="2091" t="s">
        <v>266</v>
      </c>
      <c r="D80" s="2092">
        <f t="shared" si="79"/>
        <v>10078.464844997867</v>
      </c>
      <c r="E80" s="2093">
        <f t="shared" si="80"/>
        <v>2928.3151550021348</v>
      </c>
      <c r="F80" s="2093">
        <f t="shared" si="81"/>
        <v>2399.2999999999997</v>
      </c>
      <c r="G80" s="2093">
        <f t="shared" si="82"/>
        <v>0.02</v>
      </c>
      <c r="H80" s="2093">
        <f t="shared" si="83"/>
        <v>0</v>
      </c>
      <c r="I80" s="2093">
        <f t="shared" si="56"/>
        <v>15406.100000000002</v>
      </c>
      <c r="J80" s="2093">
        <f t="shared" si="57"/>
        <v>0.02</v>
      </c>
      <c r="K80" s="2094">
        <f t="shared" si="58"/>
        <v>2399.3199999999997</v>
      </c>
      <c r="L80" s="2095"/>
      <c r="M80" s="2096"/>
      <c r="N80" s="2096"/>
      <c r="O80" s="2096"/>
      <c r="P80" s="2096"/>
      <c r="Q80" s="2097">
        <f t="shared" si="59"/>
        <v>0</v>
      </c>
      <c r="R80" s="2101"/>
      <c r="S80" s="2102"/>
      <c r="T80" s="2102"/>
      <c r="U80" s="2102"/>
      <c r="V80" s="2102"/>
      <c r="W80" s="2100">
        <f t="shared" si="60"/>
        <v>0</v>
      </c>
      <c r="X80" s="2101"/>
      <c r="Y80" s="2102"/>
      <c r="Z80" s="2102"/>
      <c r="AA80" s="2102"/>
      <c r="AB80" s="2102"/>
      <c r="AC80" s="2100">
        <f t="shared" si="61"/>
        <v>0</v>
      </c>
      <c r="AD80" s="2103">
        <v>374</v>
      </c>
      <c r="AE80" s="2104">
        <v>0</v>
      </c>
      <c r="AF80" s="2104">
        <v>93.5</v>
      </c>
      <c r="AG80" s="2104">
        <v>0</v>
      </c>
      <c r="AH80" s="2104">
        <v>0</v>
      </c>
      <c r="AI80" s="2105">
        <f t="shared" si="62"/>
        <v>467.5</v>
      </c>
      <c r="AJ80" s="2098"/>
      <c r="AK80" s="2099"/>
      <c r="AL80" s="2099"/>
      <c r="AM80" s="2099"/>
      <c r="AN80" s="2099"/>
      <c r="AO80" s="2106">
        <f t="shared" si="63"/>
        <v>0</v>
      </c>
      <c r="AP80" s="2098"/>
      <c r="AQ80" s="2099"/>
      <c r="AR80" s="2099"/>
      <c r="AS80" s="2099"/>
      <c r="AT80" s="2099"/>
      <c r="AU80" s="2106">
        <f t="shared" si="64"/>
        <v>0</v>
      </c>
      <c r="AV80" s="2121">
        <v>49.92</v>
      </c>
      <c r="AW80" s="2122">
        <v>12.48</v>
      </c>
      <c r="AX80" s="2122">
        <v>0</v>
      </c>
      <c r="AY80" s="2122">
        <v>0</v>
      </c>
      <c r="AZ80" s="2123">
        <v>0</v>
      </c>
      <c r="BA80" s="2110">
        <f t="shared" si="65"/>
        <v>62.400000000000006</v>
      </c>
      <c r="BB80" s="2119"/>
      <c r="BC80" s="2120"/>
      <c r="BD80" s="2120"/>
      <c r="BE80" s="2120"/>
      <c r="BF80" s="2120"/>
      <c r="BG80" s="2114">
        <f t="shared" si="66"/>
        <v>0</v>
      </c>
      <c r="BH80" s="2103">
        <v>6750</v>
      </c>
      <c r="BI80" s="2104">
        <v>855</v>
      </c>
      <c r="BJ80" s="2104">
        <v>1395</v>
      </c>
      <c r="BK80" s="2104">
        <v>0</v>
      </c>
      <c r="BL80" s="2104">
        <v>0</v>
      </c>
      <c r="BM80" s="2117">
        <f t="shared" si="67"/>
        <v>9000</v>
      </c>
      <c r="BN80" s="2103"/>
      <c r="BO80" s="2104"/>
      <c r="BP80" s="2104"/>
      <c r="BQ80" s="2104"/>
      <c r="BR80" s="2104"/>
      <c r="BS80" s="2105">
        <f t="shared" si="68"/>
        <v>0</v>
      </c>
      <c r="BT80" s="2103">
        <v>9.0048449978650389</v>
      </c>
      <c r="BU80" s="2104">
        <v>57.075155002134963</v>
      </c>
      <c r="BV80" s="2104">
        <v>12.12</v>
      </c>
      <c r="BW80" s="2104">
        <v>0</v>
      </c>
      <c r="BX80" s="2104">
        <v>0</v>
      </c>
      <c r="BY80" s="2105">
        <f t="shared" si="69"/>
        <v>78.2</v>
      </c>
      <c r="BZ80" s="2115"/>
      <c r="CA80" s="2116"/>
      <c r="CB80" s="2116"/>
      <c r="CC80" s="2116"/>
      <c r="CD80" s="2116"/>
      <c r="CE80" s="2105">
        <f t="shared" si="70"/>
        <v>0</v>
      </c>
      <c r="CF80" s="2115"/>
      <c r="CG80" s="2116"/>
      <c r="CH80" s="2116"/>
      <c r="CI80" s="2116"/>
      <c r="CJ80" s="2116"/>
      <c r="CK80" s="2117">
        <f t="shared" si="71"/>
        <v>0</v>
      </c>
      <c r="CL80" s="2115"/>
      <c r="CM80" s="2116"/>
      <c r="CN80" s="2116"/>
      <c r="CO80" s="2116"/>
      <c r="CP80" s="2116"/>
      <c r="CQ80" s="2105">
        <f t="shared" si="72"/>
        <v>0</v>
      </c>
      <c r="CR80" s="2115"/>
      <c r="CS80" s="2116"/>
      <c r="CT80" s="2116"/>
      <c r="CU80" s="2116"/>
      <c r="CV80" s="2116"/>
      <c r="CW80" s="2117">
        <f t="shared" si="73"/>
        <v>0</v>
      </c>
      <c r="CX80" s="2103"/>
      <c r="CY80" s="2104"/>
      <c r="CZ80" s="2104"/>
      <c r="DA80" s="2104"/>
      <c r="DB80" s="2104"/>
      <c r="DC80" s="2105">
        <f t="shared" si="74"/>
        <v>0</v>
      </c>
      <c r="DD80" s="2103"/>
      <c r="DE80" s="2104"/>
      <c r="DF80" s="2104"/>
      <c r="DG80" s="2104"/>
      <c r="DH80" s="2104"/>
      <c r="DI80" s="2105">
        <f t="shared" si="75"/>
        <v>0</v>
      </c>
      <c r="DJ80" s="2103"/>
      <c r="DK80" s="2104"/>
      <c r="DL80" s="2104"/>
      <c r="DM80" s="2104"/>
      <c r="DN80" s="2104"/>
      <c r="DO80" s="2105">
        <f t="shared" si="76"/>
        <v>0</v>
      </c>
      <c r="DP80" s="2103">
        <v>2904</v>
      </c>
      <c r="DQ80" s="2104">
        <v>2003.76</v>
      </c>
      <c r="DR80" s="2104">
        <v>900.24</v>
      </c>
      <c r="DS80" s="2104">
        <v>0</v>
      </c>
      <c r="DT80" s="2104">
        <v>0</v>
      </c>
      <c r="DU80" s="2118">
        <f t="shared" si="77"/>
        <v>5808</v>
      </c>
      <c r="DV80" s="2115">
        <v>-8.4600000000000009</v>
      </c>
      <c r="DW80" s="2116">
        <v>0</v>
      </c>
      <c r="DX80" s="2116">
        <v>-1.56</v>
      </c>
      <c r="DY80" s="2116">
        <v>0.02</v>
      </c>
      <c r="DZ80" s="2116">
        <v>0</v>
      </c>
      <c r="EA80" s="2105">
        <f t="shared" si="78"/>
        <v>-10.000000000000002</v>
      </c>
    </row>
    <row r="81" spans="1:131" s="2049" customFormat="1" ht="15" customHeight="1" x14ac:dyDescent="0.25">
      <c r="A81" s="2089" t="s">
        <v>202</v>
      </c>
      <c r="B81" s="2090" t="s">
        <v>203</v>
      </c>
      <c r="C81" s="2091" t="s">
        <v>265</v>
      </c>
      <c r="D81" s="2092">
        <f t="shared" si="79"/>
        <v>179460.41331970919</v>
      </c>
      <c r="E81" s="2093">
        <f t="shared" si="80"/>
        <v>164127.51668029081</v>
      </c>
      <c r="F81" s="2093">
        <f t="shared" si="81"/>
        <v>66998.579999999987</v>
      </c>
      <c r="G81" s="2093">
        <f t="shared" si="82"/>
        <v>441.75000000000006</v>
      </c>
      <c r="H81" s="2093">
        <f t="shared" si="83"/>
        <v>1180.8</v>
      </c>
      <c r="I81" s="2093">
        <f t="shared" si="56"/>
        <v>412209.06</v>
      </c>
      <c r="J81" s="2093">
        <f t="shared" si="57"/>
        <v>1622.55</v>
      </c>
      <c r="K81" s="2094">
        <f t="shared" si="58"/>
        <v>68621.12999999999</v>
      </c>
      <c r="L81" s="2095"/>
      <c r="M81" s="2096"/>
      <c r="N81" s="2096"/>
      <c r="O81" s="2096"/>
      <c r="P81" s="2096"/>
      <c r="Q81" s="2097">
        <f t="shared" si="59"/>
        <v>0</v>
      </c>
      <c r="R81" s="2098"/>
      <c r="S81" s="2099"/>
      <c r="T81" s="2099"/>
      <c r="U81" s="2099"/>
      <c r="V81" s="2099"/>
      <c r="W81" s="2100">
        <f t="shared" si="60"/>
        <v>0</v>
      </c>
      <c r="X81" s="2101">
        <v>24148.33</v>
      </c>
      <c r="Y81" s="2102">
        <v>143.77000000000001</v>
      </c>
      <c r="Z81" s="2102">
        <v>4455.97</v>
      </c>
      <c r="AA81" s="2102">
        <v>-7.0000000000000007E-2</v>
      </c>
      <c r="AB81" s="2102">
        <v>719.81</v>
      </c>
      <c r="AC81" s="2100">
        <f t="shared" si="61"/>
        <v>29467.810000000005</v>
      </c>
      <c r="AD81" s="2103">
        <v>43120</v>
      </c>
      <c r="AE81" s="2104">
        <v>0</v>
      </c>
      <c r="AF81" s="2104">
        <v>10780</v>
      </c>
      <c r="AG81" s="2104">
        <v>0</v>
      </c>
      <c r="AH81" s="2104">
        <v>460.99</v>
      </c>
      <c r="AI81" s="2105">
        <f t="shared" si="62"/>
        <v>54360.99</v>
      </c>
      <c r="AJ81" s="2101">
        <v>13567.05</v>
      </c>
      <c r="AK81" s="2102">
        <v>5033.8500000000004</v>
      </c>
      <c r="AL81" s="2102">
        <v>3411.99</v>
      </c>
      <c r="AM81" s="2102">
        <v>-0.06</v>
      </c>
      <c r="AN81" s="2102">
        <v>0</v>
      </c>
      <c r="AO81" s="2106">
        <f t="shared" si="63"/>
        <v>22012.829999999998</v>
      </c>
      <c r="AP81" s="2101">
        <v>7327.98</v>
      </c>
      <c r="AQ81" s="2102">
        <v>1832</v>
      </c>
      <c r="AR81" s="2102">
        <v>0</v>
      </c>
      <c r="AS81" s="2102">
        <v>0</v>
      </c>
      <c r="AT81" s="2102">
        <v>0</v>
      </c>
      <c r="AU81" s="2106">
        <f t="shared" si="64"/>
        <v>9159.98</v>
      </c>
      <c r="AV81" s="2107">
        <v>5057.62</v>
      </c>
      <c r="AW81" s="2108">
        <v>1264.3900000000001</v>
      </c>
      <c r="AX81" s="2108">
        <v>0</v>
      </c>
      <c r="AY81" s="2108">
        <v>0</v>
      </c>
      <c r="AZ81" s="2109">
        <v>0</v>
      </c>
      <c r="BA81" s="2110">
        <f t="shared" si="65"/>
        <v>6322.01</v>
      </c>
      <c r="BB81" s="2111">
        <v>1621.62</v>
      </c>
      <c r="BC81" s="2112">
        <v>2928.38</v>
      </c>
      <c r="BD81" s="2112">
        <v>0</v>
      </c>
      <c r="BE81" s="2112">
        <v>0</v>
      </c>
      <c r="BF81" s="2113">
        <v>0</v>
      </c>
      <c r="BG81" s="2114">
        <f t="shared" si="66"/>
        <v>4550</v>
      </c>
      <c r="BH81" s="2103">
        <v>42163.59</v>
      </c>
      <c r="BI81" s="2104">
        <v>5340.74</v>
      </c>
      <c r="BJ81" s="2104">
        <v>8713.83</v>
      </c>
      <c r="BK81" s="2104">
        <v>-0.08</v>
      </c>
      <c r="BL81" s="2104">
        <v>0</v>
      </c>
      <c r="BM81" s="2117">
        <f t="shared" si="67"/>
        <v>56218.079999999994</v>
      </c>
      <c r="BN81" s="2103"/>
      <c r="BO81" s="2104"/>
      <c r="BP81" s="2104"/>
      <c r="BQ81" s="2104"/>
      <c r="BR81" s="2104"/>
      <c r="BS81" s="2105">
        <f t="shared" si="68"/>
        <v>0</v>
      </c>
      <c r="BT81" s="2103">
        <v>24402.853319709189</v>
      </c>
      <c r="BU81" s="2104">
        <v>143721.58668029081</v>
      </c>
      <c r="BV81" s="2104">
        <v>30839.439999999999</v>
      </c>
      <c r="BW81" s="2104">
        <v>441.94</v>
      </c>
      <c r="BX81" s="2104">
        <v>0</v>
      </c>
      <c r="BY81" s="2105">
        <f t="shared" si="69"/>
        <v>199405.82</v>
      </c>
      <c r="BZ81" s="2103">
        <v>6312.6</v>
      </c>
      <c r="CA81" s="2104">
        <v>0</v>
      </c>
      <c r="CB81" s="2104">
        <v>5829.34</v>
      </c>
      <c r="CC81" s="2104">
        <v>-0.01</v>
      </c>
      <c r="CD81" s="2104">
        <v>0</v>
      </c>
      <c r="CE81" s="2105">
        <f t="shared" si="70"/>
        <v>12141.93</v>
      </c>
      <c r="CF81" s="2115"/>
      <c r="CG81" s="2116"/>
      <c r="CH81" s="2116"/>
      <c r="CI81" s="2116"/>
      <c r="CJ81" s="2116"/>
      <c r="CK81" s="2117">
        <f t="shared" si="71"/>
        <v>0</v>
      </c>
      <c r="CL81" s="2103"/>
      <c r="CM81" s="2104"/>
      <c r="CN81" s="2104"/>
      <c r="CO81" s="2104"/>
      <c r="CP81" s="2104"/>
      <c r="CQ81" s="2105">
        <f t="shared" si="72"/>
        <v>0</v>
      </c>
      <c r="CR81" s="2103"/>
      <c r="CS81" s="2104"/>
      <c r="CT81" s="2104"/>
      <c r="CU81" s="2104"/>
      <c r="CV81" s="2104"/>
      <c r="CW81" s="2117">
        <f t="shared" si="73"/>
        <v>0</v>
      </c>
      <c r="CX81" s="2103">
        <v>-289.5</v>
      </c>
      <c r="CY81" s="2104">
        <v>-289.5</v>
      </c>
      <c r="CZ81" s="2104">
        <v>0</v>
      </c>
      <c r="DA81" s="2104">
        <v>0</v>
      </c>
      <c r="DB81" s="2104">
        <v>0</v>
      </c>
      <c r="DC81" s="2105">
        <f t="shared" si="74"/>
        <v>-579</v>
      </c>
      <c r="DD81" s="2103"/>
      <c r="DE81" s="2104"/>
      <c r="DF81" s="2104"/>
      <c r="DG81" s="2104"/>
      <c r="DH81" s="2104"/>
      <c r="DI81" s="2105">
        <f t="shared" si="75"/>
        <v>0</v>
      </c>
      <c r="DJ81" s="2103"/>
      <c r="DK81" s="2104"/>
      <c r="DL81" s="2104"/>
      <c r="DM81" s="2104"/>
      <c r="DN81" s="2104"/>
      <c r="DO81" s="2105">
        <f t="shared" si="76"/>
        <v>0</v>
      </c>
      <c r="DP81" s="2103">
        <v>6017.83</v>
      </c>
      <c r="DQ81" s="2104">
        <v>4152.3</v>
      </c>
      <c r="DR81" s="2104">
        <v>1865.53</v>
      </c>
      <c r="DS81" s="2104">
        <v>-0.01</v>
      </c>
      <c r="DT81" s="2104">
        <v>0</v>
      </c>
      <c r="DU81" s="2118">
        <f t="shared" si="77"/>
        <v>12035.650000000001</v>
      </c>
      <c r="DV81" s="2103">
        <v>6010.44</v>
      </c>
      <c r="DW81" s="2104">
        <v>0</v>
      </c>
      <c r="DX81" s="2104">
        <v>1102.48</v>
      </c>
      <c r="DY81" s="2104">
        <v>0.04</v>
      </c>
      <c r="DZ81" s="2104">
        <v>0</v>
      </c>
      <c r="EA81" s="2105">
        <f t="shared" si="78"/>
        <v>7112.96</v>
      </c>
    </row>
    <row r="82" spans="1:131" s="2049" customFormat="1" ht="15" customHeight="1" x14ac:dyDescent="0.25">
      <c r="A82" s="2089" t="s">
        <v>204</v>
      </c>
      <c r="B82" s="2090" t="s">
        <v>205</v>
      </c>
      <c r="C82" s="2091" t="s">
        <v>265</v>
      </c>
      <c r="D82" s="2092">
        <f t="shared" si="79"/>
        <v>29590.388242319357</v>
      </c>
      <c r="E82" s="2093">
        <f t="shared" si="80"/>
        <v>14529.391757680645</v>
      </c>
      <c r="F82" s="2093">
        <f t="shared" si="81"/>
        <v>8224.1799999999985</v>
      </c>
      <c r="G82" s="2093">
        <f t="shared" si="82"/>
        <v>-0.14000000000000001</v>
      </c>
      <c r="H82" s="2093">
        <f t="shared" si="83"/>
        <v>0</v>
      </c>
      <c r="I82" s="2093">
        <f t="shared" si="56"/>
        <v>52343.82</v>
      </c>
      <c r="J82" s="2093">
        <f t="shared" si="57"/>
        <v>-0.14000000000000001</v>
      </c>
      <c r="K82" s="2094">
        <f t="shared" si="58"/>
        <v>8224.0399999999991</v>
      </c>
      <c r="L82" s="2095"/>
      <c r="M82" s="2096"/>
      <c r="N82" s="2096"/>
      <c r="O82" s="2096"/>
      <c r="P82" s="2096"/>
      <c r="Q82" s="2097">
        <f t="shared" si="59"/>
        <v>0</v>
      </c>
      <c r="R82" s="2098"/>
      <c r="S82" s="2099"/>
      <c r="T82" s="2099"/>
      <c r="U82" s="2099"/>
      <c r="V82" s="2099"/>
      <c r="W82" s="2100">
        <f t="shared" si="60"/>
        <v>0</v>
      </c>
      <c r="X82" s="2101">
        <v>5469.08</v>
      </c>
      <c r="Y82" s="2102">
        <v>32.57</v>
      </c>
      <c r="Z82" s="2102">
        <v>1009.18</v>
      </c>
      <c r="AA82" s="2102">
        <v>-0.02</v>
      </c>
      <c r="AB82" s="2102">
        <v>0</v>
      </c>
      <c r="AC82" s="2100">
        <f t="shared" si="61"/>
        <v>6510.8099999999995</v>
      </c>
      <c r="AD82" s="2103">
        <v>1832.8</v>
      </c>
      <c r="AE82" s="2104">
        <v>0</v>
      </c>
      <c r="AF82" s="2104">
        <v>458.2</v>
      </c>
      <c r="AG82" s="2104">
        <v>0</v>
      </c>
      <c r="AH82" s="2104">
        <v>0</v>
      </c>
      <c r="AI82" s="2105">
        <f t="shared" si="62"/>
        <v>2291</v>
      </c>
      <c r="AJ82" s="2101"/>
      <c r="AK82" s="2102"/>
      <c r="AL82" s="2102"/>
      <c r="AM82" s="2102"/>
      <c r="AN82" s="2102"/>
      <c r="AO82" s="2106">
        <f t="shared" si="63"/>
        <v>0</v>
      </c>
      <c r="AP82" s="2101"/>
      <c r="AQ82" s="2102"/>
      <c r="AR82" s="2102"/>
      <c r="AS82" s="2102"/>
      <c r="AT82" s="2102"/>
      <c r="AU82" s="2106">
        <f t="shared" si="64"/>
        <v>0</v>
      </c>
      <c r="AV82" s="2107">
        <v>120</v>
      </c>
      <c r="AW82" s="2108">
        <v>30</v>
      </c>
      <c r="AX82" s="2108">
        <v>0</v>
      </c>
      <c r="AY82" s="2108">
        <v>0</v>
      </c>
      <c r="AZ82" s="2109">
        <v>0</v>
      </c>
      <c r="BA82" s="2110">
        <f t="shared" si="65"/>
        <v>150</v>
      </c>
      <c r="BB82" s="2119"/>
      <c r="BC82" s="2120"/>
      <c r="BD82" s="2120"/>
      <c r="BE82" s="2120"/>
      <c r="BF82" s="2120"/>
      <c r="BG82" s="2114">
        <f t="shared" si="66"/>
        <v>0</v>
      </c>
      <c r="BH82" s="2103">
        <v>15996.76</v>
      </c>
      <c r="BI82" s="2104">
        <v>2026.28</v>
      </c>
      <c r="BJ82" s="2104">
        <v>3306.02</v>
      </c>
      <c r="BK82" s="2104">
        <v>-0.06</v>
      </c>
      <c r="BL82" s="2104">
        <v>0</v>
      </c>
      <c r="BM82" s="2117">
        <f t="shared" si="67"/>
        <v>21329</v>
      </c>
      <c r="BN82" s="2103"/>
      <c r="BO82" s="2104"/>
      <c r="BP82" s="2104"/>
      <c r="BQ82" s="2104"/>
      <c r="BR82" s="2104"/>
      <c r="BS82" s="2105">
        <f t="shared" si="68"/>
        <v>0</v>
      </c>
      <c r="BT82" s="2103">
        <v>1457.8082423193566</v>
      </c>
      <c r="BU82" s="2104">
        <v>9238.6017576806444</v>
      </c>
      <c r="BV82" s="2104">
        <v>1962.09</v>
      </c>
      <c r="BW82" s="2104">
        <v>-0.11</v>
      </c>
      <c r="BX82" s="2104">
        <v>0</v>
      </c>
      <c r="BY82" s="2105">
        <f t="shared" si="69"/>
        <v>12658.390000000001</v>
      </c>
      <c r="BZ82" s="2115"/>
      <c r="CA82" s="2116"/>
      <c r="CB82" s="2116"/>
      <c r="CC82" s="2116"/>
      <c r="CD82" s="2116"/>
      <c r="CE82" s="2105">
        <f t="shared" si="70"/>
        <v>0</v>
      </c>
      <c r="CF82" s="2115"/>
      <c r="CG82" s="2116"/>
      <c r="CH82" s="2116"/>
      <c r="CI82" s="2116"/>
      <c r="CJ82" s="2116"/>
      <c r="CK82" s="2117">
        <f t="shared" si="71"/>
        <v>0</v>
      </c>
      <c r="CL82" s="2103">
        <v>-200</v>
      </c>
      <c r="CM82" s="2104">
        <v>0</v>
      </c>
      <c r="CN82" s="2104">
        <v>0</v>
      </c>
      <c r="CO82" s="2104">
        <v>0</v>
      </c>
      <c r="CP82" s="2104">
        <v>0</v>
      </c>
      <c r="CQ82" s="2105">
        <f t="shared" si="72"/>
        <v>-200</v>
      </c>
      <c r="CR82" s="2115"/>
      <c r="CS82" s="2116"/>
      <c r="CT82" s="2116"/>
      <c r="CU82" s="2116"/>
      <c r="CV82" s="2116"/>
      <c r="CW82" s="2117">
        <f t="shared" si="73"/>
        <v>0</v>
      </c>
      <c r="CX82" s="2103"/>
      <c r="CY82" s="2104"/>
      <c r="CZ82" s="2104"/>
      <c r="DA82" s="2104"/>
      <c r="DB82" s="2104"/>
      <c r="DC82" s="2105">
        <f t="shared" si="74"/>
        <v>0</v>
      </c>
      <c r="DD82" s="2103"/>
      <c r="DE82" s="2104"/>
      <c r="DF82" s="2104"/>
      <c r="DG82" s="2104"/>
      <c r="DH82" s="2104"/>
      <c r="DI82" s="2105">
        <f t="shared" si="75"/>
        <v>0</v>
      </c>
      <c r="DJ82" s="2103"/>
      <c r="DK82" s="2104"/>
      <c r="DL82" s="2104"/>
      <c r="DM82" s="2104"/>
      <c r="DN82" s="2104"/>
      <c r="DO82" s="2105">
        <f t="shared" si="76"/>
        <v>0</v>
      </c>
      <c r="DP82" s="2115">
        <v>4640.51</v>
      </c>
      <c r="DQ82" s="2116">
        <v>3201.94</v>
      </c>
      <c r="DR82" s="2116">
        <v>1438.56</v>
      </c>
      <c r="DS82" s="2116">
        <v>-0.01</v>
      </c>
      <c r="DT82" s="2116">
        <v>0</v>
      </c>
      <c r="DU82" s="2118">
        <f t="shared" si="77"/>
        <v>9281</v>
      </c>
      <c r="DV82" s="2103">
        <v>273.42999999999995</v>
      </c>
      <c r="DW82" s="2104">
        <v>0</v>
      </c>
      <c r="DX82" s="2104">
        <v>50.129999999999995</v>
      </c>
      <c r="DY82" s="2104">
        <v>0.06</v>
      </c>
      <c r="DZ82" s="2104">
        <v>0</v>
      </c>
      <c r="EA82" s="2105">
        <f t="shared" si="78"/>
        <v>323.61999999999995</v>
      </c>
    </row>
    <row r="83" spans="1:131" s="2049" customFormat="1" ht="15" customHeight="1" x14ac:dyDescent="0.25">
      <c r="A83" s="2089" t="s">
        <v>206</v>
      </c>
      <c r="B83" s="2090" t="s">
        <v>207</v>
      </c>
      <c r="C83" s="2091" t="s">
        <v>267</v>
      </c>
      <c r="D83" s="2092">
        <f t="shared" si="79"/>
        <v>160496.43419196206</v>
      </c>
      <c r="E83" s="2093">
        <f t="shared" si="80"/>
        <v>131396.9058080379</v>
      </c>
      <c r="F83" s="2093">
        <f t="shared" si="81"/>
        <v>51199.46</v>
      </c>
      <c r="G83" s="2093">
        <f t="shared" si="82"/>
        <v>-0.20000000000000004</v>
      </c>
      <c r="H83" s="2093">
        <f t="shared" si="83"/>
        <v>13.12</v>
      </c>
      <c r="I83" s="2093">
        <f t="shared" si="56"/>
        <v>343105.72</v>
      </c>
      <c r="J83" s="2093">
        <f t="shared" si="57"/>
        <v>12.92</v>
      </c>
      <c r="K83" s="2094">
        <f t="shared" si="58"/>
        <v>51212.38</v>
      </c>
      <c r="L83" s="2095"/>
      <c r="M83" s="2096"/>
      <c r="N83" s="2096"/>
      <c r="O83" s="2096"/>
      <c r="P83" s="2096"/>
      <c r="Q83" s="2097">
        <f t="shared" si="59"/>
        <v>0</v>
      </c>
      <c r="R83" s="2098"/>
      <c r="S83" s="2099"/>
      <c r="T83" s="2099"/>
      <c r="U83" s="2099"/>
      <c r="V83" s="2099"/>
      <c r="W83" s="2100">
        <f t="shared" si="60"/>
        <v>0</v>
      </c>
      <c r="X83" s="2101">
        <v>25095.29</v>
      </c>
      <c r="Y83" s="2102">
        <v>149.41</v>
      </c>
      <c r="Z83" s="2102">
        <v>4630.71</v>
      </c>
      <c r="AA83" s="2102">
        <v>-7.0000000000000007E-2</v>
      </c>
      <c r="AB83" s="2102">
        <v>0</v>
      </c>
      <c r="AC83" s="2100">
        <f t="shared" si="61"/>
        <v>29875.34</v>
      </c>
      <c r="AD83" s="2103">
        <v>10067.780000000001</v>
      </c>
      <c r="AE83" s="2104">
        <v>0</v>
      </c>
      <c r="AF83" s="2104">
        <v>2516.87</v>
      </c>
      <c r="AG83" s="2104">
        <v>0</v>
      </c>
      <c r="AH83" s="2104">
        <v>13.12</v>
      </c>
      <c r="AI83" s="2105">
        <f t="shared" si="62"/>
        <v>12597.770000000002</v>
      </c>
      <c r="AJ83" s="2098"/>
      <c r="AK83" s="2099"/>
      <c r="AL83" s="2099"/>
      <c r="AM83" s="2099"/>
      <c r="AN83" s="2099"/>
      <c r="AO83" s="2106">
        <f t="shared" si="63"/>
        <v>0</v>
      </c>
      <c r="AP83" s="2101">
        <v>18707.190000000002</v>
      </c>
      <c r="AQ83" s="2102">
        <v>4676.79</v>
      </c>
      <c r="AR83" s="2102">
        <v>0</v>
      </c>
      <c r="AS83" s="2102">
        <v>0</v>
      </c>
      <c r="AT83" s="2102">
        <v>0</v>
      </c>
      <c r="AU83" s="2106">
        <f t="shared" si="64"/>
        <v>23383.980000000003</v>
      </c>
      <c r="AV83" s="2107">
        <v>16302.09</v>
      </c>
      <c r="AW83" s="2108">
        <v>4075.52</v>
      </c>
      <c r="AX83" s="2108">
        <v>0</v>
      </c>
      <c r="AY83" s="2108">
        <v>0</v>
      </c>
      <c r="AZ83" s="2109">
        <v>0</v>
      </c>
      <c r="BA83" s="2110">
        <f t="shared" si="65"/>
        <v>20377.61</v>
      </c>
      <c r="BB83" s="2111">
        <v>739.53</v>
      </c>
      <c r="BC83" s="2112">
        <v>1335.47</v>
      </c>
      <c r="BD83" s="2112">
        <v>0</v>
      </c>
      <c r="BE83" s="2112">
        <v>0</v>
      </c>
      <c r="BF83" s="2113">
        <v>0</v>
      </c>
      <c r="BG83" s="2114">
        <f t="shared" si="66"/>
        <v>2075</v>
      </c>
      <c r="BH83" s="2103">
        <v>27993.58</v>
      </c>
      <c r="BI83" s="2104">
        <v>3545.88</v>
      </c>
      <c r="BJ83" s="2104">
        <v>5785.3899999999994</v>
      </c>
      <c r="BK83" s="2104">
        <v>-0.13</v>
      </c>
      <c r="BL83" s="2104">
        <v>0</v>
      </c>
      <c r="BM83" s="2117">
        <f t="shared" si="67"/>
        <v>37324.720000000008</v>
      </c>
      <c r="BN83" s="2103"/>
      <c r="BO83" s="2104"/>
      <c r="BP83" s="2104"/>
      <c r="BQ83" s="2104"/>
      <c r="BR83" s="2104"/>
      <c r="BS83" s="2105">
        <f t="shared" si="68"/>
        <v>0</v>
      </c>
      <c r="BT83" s="2103">
        <v>41128.03419196207</v>
      </c>
      <c r="BU83" s="2104">
        <v>110792.03580803792</v>
      </c>
      <c r="BV83" s="2104">
        <v>27867</v>
      </c>
      <c r="BW83" s="2104">
        <v>-0.1</v>
      </c>
      <c r="BX83" s="2104">
        <v>0</v>
      </c>
      <c r="BY83" s="2105">
        <f t="shared" si="69"/>
        <v>179786.97</v>
      </c>
      <c r="BZ83" s="2103">
        <v>7203.24</v>
      </c>
      <c r="CA83" s="2104">
        <v>0</v>
      </c>
      <c r="CB83" s="2104">
        <v>6651.82</v>
      </c>
      <c r="CC83" s="2104">
        <v>0</v>
      </c>
      <c r="CD83" s="2104">
        <v>0</v>
      </c>
      <c r="CE83" s="2105">
        <f t="shared" si="70"/>
        <v>13855.06</v>
      </c>
      <c r="CF83" s="2115"/>
      <c r="CG83" s="2116"/>
      <c r="CH83" s="2116"/>
      <c r="CI83" s="2116"/>
      <c r="CJ83" s="2116"/>
      <c r="CK83" s="2117">
        <f t="shared" si="71"/>
        <v>0</v>
      </c>
      <c r="CL83" s="2103"/>
      <c r="CM83" s="2104"/>
      <c r="CN83" s="2104"/>
      <c r="CO83" s="2104"/>
      <c r="CP83" s="2104"/>
      <c r="CQ83" s="2105">
        <f t="shared" si="72"/>
        <v>0</v>
      </c>
      <c r="CR83" s="2103"/>
      <c r="CS83" s="2104"/>
      <c r="CT83" s="2104"/>
      <c r="CU83" s="2104"/>
      <c r="CV83" s="2104"/>
      <c r="CW83" s="2117">
        <f t="shared" si="73"/>
        <v>0</v>
      </c>
      <c r="CX83" s="2103">
        <v>-174.8</v>
      </c>
      <c r="CY83" s="2104">
        <v>-174.8</v>
      </c>
      <c r="CZ83" s="2104">
        <v>0</v>
      </c>
      <c r="DA83" s="2104">
        <v>0</v>
      </c>
      <c r="DB83" s="2104">
        <v>0</v>
      </c>
      <c r="DC83" s="2105">
        <f t="shared" si="74"/>
        <v>-349.6</v>
      </c>
      <c r="DD83" s="2103"/>
      <c r="DE83" s="2104"/>
      <c r="DF83" s="2104"/>
      <c r="DG83" s="2104"/>
      <c r="DH83" s="2104"/>
      <c r="DI83" s="2105">
        <f t="shared" si="75"/>
        <v>0</v>
      </c>
      <c r="DJ83" s="2103"/>
      <c r="DK83" s="2104"/>
      <c r="DL83" s="2104"/>
      <c r="DM83" s="2104"/>
      <c r="DN83" s="2104"/>
      <c r="DO83" s="2105">
        <f t="shared" si="76"/>
        <v>0</v>
      </c>
      <c r="DP83" s="2103">
        <v>10140</v>
      </c>
      <c r="DQ83" s="2104">
        <v>6996.6</v>
      </c>
      <c r="DR83" s="2104">
        <v>3143.4</v>
      </c>
      <c r="DS83" s="2104">
        <v>0</v>
      </c>
      <c r="DT83" s="2104">
        <v>0</v>
      </c>
      <c r="DU83" s="2118">
        <f t="shared" si="77"/>
        <v>20280</v>
      </c>
      <c r="DV83" s="2103">
        <v>3294.5</v>
      </c>
      <c r="DW83" s="2104">
        <v>0</v>
      </c>
      <c r="DX83" s="2104">
        <v>604.27</v>
      </c>
      <c r="DY83" s="2104">
        <v>0.1</v>
      </c>
      <c r="DZ83" s="2104">
        <v>0</v>
      </c>
      <c r="EA83" s="2105">
        <f t="shared" si="78"/>
        <v>3898.87</v>
      </c>
    </row>
    <row r="84" spans="1:131" s="2049" customFormat="1" ht="15" customHeight="1" x14ac:dyDescent="0.25">
      <c r="A84" s="2089" t="s">
        <v>208</v>
      </c>
      <c r="B84" s="2090" t="s">
        <v>209</v>
      </c>
      <c r="C84" s="2091" t="s">
        <v>268</v>
      </c>
      <c r="D84" s="2092">
        <f t="shared" si="79"/>
        <v>60938.630566240128</v>
      </c>
      <c r="E84" s="2093">
        <f t="shared" si="80"/>
        <v>30782.289433759877</v>
      </c>
      <c r="F84" s="2093">
        <f t="shared" si="81"/>
        <v>16472.010000000002</v>
      </c>
      <c r="G84" s="2093">
        <f t="shared" si="82"/>
        <v>-0.09</v>
      </c>
      <c r="H84" s="2093">
        <f t="shared" si="83"/>
        <v>0</v>
      </c>
      <c r="I84" s="2093">
        <f t="shared" si="56"/>
        <v>108192.84000000003</v>
      </c>
      <c r="J84" s="2093">
        <f t="shared" si="57"/>
        <v>-0.09</v>
      </c>
      <c r="K84" s="2094">
        <f t="shared" si="58"/>
        <v>16471.920000000002</v>
      </c>
      <c r="L84" s="2095"/>
      <c r="M84" s="2096"/>
      <c r="N84" s="2096"/>
      <c r="O84" s="2096"/>
      <c r="P84" s="2096"/>
      <c r="Q84" s="2097">
        <f t="shared" si="59"/>
        <v>0</v>
      </c>
      <c r="R84" s="2098"/>
      <c r="S84" s="2099"/>
      <c r="T84" s="2099"/>
      <c r="U84" s="2099"/>
      <c r="V84" s="2099"/>
      <c r="W84" s="2100">
        <f t="shared" si="60"/>
        <v>0</v>
      </c>
      <c r="X84" s="2101">
        <v>4540.41</v>
      </c>
      <c r="Y84" s="2102">
        <v>27.02</v>
      </c>
      <c r="Z84" s="2102">
        <v>837.82</v>
      </c>
      <c r="AA84" s="2102">
        <v>0</v>
      </c>
      <c r="AB84" s="2102">
        <v>0</v>
      </c>
      <c r="AC84" s="2100">
        <f t="shared" si="61"/>
        <v>5405.25</v>
      </c>
      <c r="AD84" s="2103">
        <v>18172.02</v>
      </c>
      <c r="AE84" s="2104">
        <v>0</v>
      </c>
      <c r="AF84" s="2104">
        <v>4543.0200000000004</v>
      </c>
      <c r="AG84" s="2104">
        <v>0</v>
      </c>
      <c r="AH84" s="2104">
        <v>0</v>
      </c>
      <c r="AI84" s="2105">
        <f t="shared" si="62"/>
        <v>22715.040000000001</v>
      </c>
      <c r="AJ84" s="2098"/>
      <c r="AK84" s="2099"/>
      <c r="AL84" s="2099"/>
      <c r="AM84" s="2099"/>
      <c r="AN84" s="2099"/>
      <c r="AO84" s="2106">
        <f t="shared" si="63"/>
        <v>0</v>
      </c>
      <c r="AP84" s="2098">
        <v>661.76</v>
      </c>
      <c r="AQ84" s="2099">
        <v>165.44</v>
      </c>
      <c r="AR84" s="2099">
        <v>0</v>
      </c>
      <c r="AS84" s="2099">
        <v>0</v>
      </c>
      <c r="AT84" s="2099">
        <v>0</v>
      </c>
      <c r="AU84" s="2106">
        <f t="shared" si="64"/>
        <v>827.2</v>
      </c>
      <c r="AV84" s="2107">
        <v>6151.56</v>
      </c>
      <c r="AW84" s="2108">
        <v>1537.89</v>
      </c>
      <c r="AX84" s="2108">
        <v>0</v>
      </c>
      <c r="AY84" s="2108">
        <v>0</v>
      </c>
      <c r="AZ84" s="2109">
        <v>0</v>
      </c>
      <c r="BA84" s="2110">
        <f t="shared" si="65"/>
        <v>7689.4500000000007</v>
      </c>
      <c r="BB84" s="2119"/>
      <c r="BC84" s="2120"/>
      <c r="BD84" s="2120"/>
      <c r="BE84" s="2120"/>
      <c r="BF84" s="2120"/>
      <c r="BG84" s="2114">
        <f t="shared" si="66"/>
        <v>0</v>
      </c>
      <c r="BH84" s="2103">
        <v>22906.52</v>
      </c>
      <c r="BI84" s="2104">
        <v>2901.47</v>
      </c>
      <c r="BJ84" s="2104">
        <v>4734.01</v>
      </c>
      <c r="BK84" s="2104">
        <v>-0.01</v>
      </c>
      <c r="BL84" s="2104">
        <v>0</v>
      </c>
      <c r="BM84" s="2117">
        <f t="shared" si="67"/>
        <v>30541.99</v>
      </c>
      <c r="BN84" s="2103"/>
      <c r="BO84" s="2104"/>
      <c r="BP84" s="2104"/>
      <c r="BQ84" s="2104"/>
      <c r="BR84" s="2104"/>
      <c r="BS84" s="2105">
        <f t="shared" si="68"/>
        <v>0</v>
      </c>
      <c r="BT84" s="2103">
        <v>4529.0005662401218</v>
      </c>
      <c r="BU84" s="2104">
        <v>26150.469433759878</v>
      </c>
      <c r="BV84" s="2104">
        <v>5627.6</v>
      </c>
      <c r="BW84" s="2104">
        <v>-0.11</v>
      </c>
      <c r="BX84" s="2104">
        <v>0</v>
      </c>
      <c r="BY84" s="2105">
        <f t="shared" si="69"/>
        <v>36306.959999999999</v>
      </c>
      <c r="BZ84" s="2115"/>
      <c r="CA84" s="2116"/>
      <c r="CB84" s="2116"/>
      <c r="CC84" s="2116"/>
      <c r="CD84" s="2116"/>
      <c r="CE84" s="2105">
        <f t="shared" si="70"/>
        <v>0</v>
      </c>
      <c r="CF84" s="2115"/>
      <c r="CG84" s="2116"/>
      <c r="CH84" s="2116"/>
      <c r="CI84" s="2116"/>
      <c r="CJ84" s="2116"/>
      <c r="CK84" s="2117">
        <f t="shared" si="71"/>
        <v>0</v>
      </c>
      <c r="CL84" s="2115"/>
      <c r="CM84" s="2116"/>
      <c r="CN84" s="2116"/>
      <c r="CO84" s="2116"/>
      <c r="CP84" s="2116"/>
      <c r="CQ84" s="2105">
        <f t="shared" si="72"/>
        <v>0</v>
      </c>
      <c r="CR84" s="2115"/>
      <c r="CS84" s="2116"/>
      <c r="CT84" s="2116"/>
      <c r="CU84" s="2116"/>
      <c r="CV84" s="2116"/>
      <c r="CW84" s="2117">
        <f t="shared" si="73"/>
        <v>0</v>
      </c>
      <c r="CX84" s="2103"/>
      <c r="CY84" s="2104"/>
      <c r="CZ84" s="2104"/>
      <c r="DA84" s="2104"/>
      <c r="DB84" s="2104"/>
      <c r="DC84" s="2105">
        <f t="shared" si="74"/>
        <v>0</v>
      </c>
      <c r="DD84" s="2103"/>
      <c r="DE84" s="2104"/>
      <c r="DF84" s="2104"/>
      <c r="DG84" s="2104"/>
      <c r="DH84" s="2104"/>
      <c r="DI84" s="2105">
        <f t="shared" si="75"/>
        <v>0</v>
      </c>
      <c r="DJ84" s="2103"/>
      <c r="DK84" s="2104"/>
      <c r="DL84" s="2104"/>
      <c r="DM84" s="2104"/>
      <c r="DN84" s="2104"/>
      <c r="DO84" s="2105">
        <f t="shared" si="76"/>
        <v>0</v>
      </c>
      <c r="DP84" s="2115"/>
      <c r="DQ84" s="2116"/>
      <c r="DR84" s="2116"/>
      <c r="DS84" s="2116"/>
      <c r="DT84" s="2116"/>
      <c r="DU84" s="2118">
        <f t="shared" si="77"/>
        <v>0</v>
      </c>
      <c r="DV84" s="2103">
        <v>3977.36</v>
      </c>
      <c r="DW84" s="2104">
        <v>0</v>
      </c>
      <c r="DX84" s="2104">
        <v>729.56</v>
      </c>
      <c r="DY84" s="2104">
        <v>0.03</v>
      </c>
      <c r="DZ84" s="2104">
        <v>0</v>
      </c>
      <c r="EA84" s="2105">
        <f t="shared" si="78"/>
        <v>4706.95</v>
      </c>
    </row>
    <row r="85" spans="1:131" s="2049" customFormat="1" ht="15" customHeight="1" x14ac:dyDescent="0.25">
      <c r="A85" s="2089" t="s">
        <v>210</v>
      </c>
      <c r="B85" s="2090" t="s">
        <v>211</v>
      </c>
      <c r="C85" s="2091" t="s">
        <v>268</v>
      </c>
      <c r="D85" s="2092">
        <f t="shared" si="79"/>
        <v>27726.382994397169</v>
      </c>
      <c r="E85" s="2093">
        <f t="shared" si="80"/>
        <v>47552.647005602827</v>
      </c>
      <c r="F85" s="2093">
        <f t="shared" si="81"/>
        <v>12726.72</v>
      </c>
      <c r="G85" s="2093">
        <f t="shared" si="82"/>
        <v>-0.09</v>
      </c>
      <c r="H85" s="2093">
        <f t="shared" si="83"/>
        <v>0</v>
      </c>
      <c r="I85" s="2093">
        <f t="shared" si="56"/>
        <v>88005.66</v>
      </c>
      <c r="J85" s="2093">
        <f t="shared" si="57"/>
        <v>-0.09</v>
      </c>
      <c r="K85" s="2094">
        <f t="shared" si="58"/>
        <v>12726.63</v>
      </c>
      <c r="L85" s="2127"/>
      <c r="M85" s="2128"/>
      <c r="N85" s="2128"/>
      <c r="O85" s="2128"/>
      <c r="P85" s="2128"/>
      <c r="Q85" s="2097">
        <f t="shared" si="59"/>
        <v>0</v>
      </c>
      <c r="R85" s="2098"/>
      <c r="S85" s="2099"/>
      <c r="T85" s="2099"/>
      <c r="U85" s="2099"/>
      <c r="V85" s="2099"/>
      <c r="W85" s="2100">
        <f t="shared" si="60"/>
        <v>0</v>
      </c>
      <c r="X85" s="2101">
        <v>6352.68</v>
      </c>
      <c r="Y85" s="2102">
        <v>37.82</v>
      </c>
      <c r="Z85" s="2102">
        <v>1172.22</v>
      </c>
      <c r="AA85" s="2102">
        <v>-0.01</v>
      </c>
      <c r="AB85" s="2102">
        <v>0</v>
      </c>
      <c r="AC85" s="2100">
        <f t="shared" si="61"/>
        <v>7562.71</v>
      </c>
      <c r="AD85" s="2103">
        <v>2774.06</v>
      </c>
      <c r="AE85" s="2104">
        <v>0</v>
      </c>
      <c r="AF85" s="2104">
        <v>693.51</v>
      </c>
      <c r="AG85" s="2104">
        <v>0</v>
      </c>
      <c r="AH85" s="2104">
        <v>0</v>
      </c>
      <c r="AI85" s="2105">
        <f t="shared" si="62"/>
        <v>3467.5699999999997</v>
      </c>
      <c r="AJ85" s="2098"/>
      <c r="AK85" s="2099"/>
      <c r="AL85" s="2099"/>
      <c r="AM85" s="2099"/>
      <c r="AN85" s="2099"/>
      <c r="AO85" s="2106">
        <f t="shared" si="63"/>
        <v>0</v>
      </c>
      <c r="AP85" s="2101">
        <v>3128.8</v>
      </c>
      <c r="AQ85" s="2102">
        <v>782.2</v>
      </c>
      <c r="AR85" s="2102">
        <v>0</v>
      </c>
      <c r="AS85" s="2102">
        <v>0</v>
      </c>
      <c r="AT85" s="2102">
        <v>0</v>
      </c>
      <c r="AU85" s="2106">
        <f t="shared" si="64"/>
        <v>3911</v>
      </c>
      <c r="AV85" s="2107">
        <v>1689.35</v>
      </c>
      <c r="AW85" s="2108">
        <v>422.34</v>
      </c>
      <c r="AX85" s="2108">
        <v>0</v>
      </c>
      <c r="AY85" s="2108">
        <v>0</v>
      </c>
      <c r="AZ85" s="2109">
        <v>0</v>
      </c>
      <c r="BA85" s="2110">
        <f t="shared" si="65"/>
        <v>2111.69</v>
      </c>
      <c r="BB85" s="2111">
        <v>314.33999999999997</v>
      </c>
      <c r="BC85" s="2112">
        <v>567.66</v>
      </c>
      <c r="BD85" s="2112">
        <v>0</v>
      </c>
      <c r="BE85" s="2112">
        <v>0</v>
      </c>
      <c r="BF85" s="2113">
        <v>0</v>
      </c>
      <c r="BG85" s="2114">
        <f t="shared" si="66"/>
        <v>882</v>
      </c>
      <c r="BH85" s="2103"/>
      <c r="BI85" s="2104"/>
      <c r="BJ85" s="2104"/>
      <c r="BK85" s="2104"/>
      <c r="BL85" s="2104"/>
      <c r="BM85" s="2117">
        <f t="shared" si="67"/>
        <v>0</v>
      </c>
      <c r="BN85" s="2103"/>
      <c r="BO85" s="2104"/>
      <c r="BP85" s="2104"/>
      <c r="BQ85" s="2104"/>
      <c r="BR85" s="2104"/>
      <c r="BS85" s="2105">
        <f t="shared" si="68"/>
        <v>0</v>
      </c>
      <c r="BT85" s="2103">
        <v>7218.1029943971698</v>
      </c>
      <c r="BU85" s="2104">
        <v>45742.62700560283</v>
      </c>
      <c r="BV85" s="2104">
        <v>9714.7099999999991</v>
      </c>
      <c r="BW85" s="2104">
        <v>-0.08</v>
      </c>
      <c r="BX85" s="2104">
        <v>0</v>
      </c>
      <c r="BY85" s="2105">
        <f t="shared" si="69"/>
        <v>62675.359999999993</v>
      </c>
      <c r="BZ85" s="2115"/>
      <c r="CA85" s="2116"/>
      <c r="CB85" s="2116"/>
      <c r="CC85" s="2116"/>
      <c r="CD85" s="2116"/>
      <c r="CE85" s="2105">
        <f t="shared" si="70"/>
        <v>0</v>
      </c>
      <c r="CF85" s="2115"/>
      <c r="CG85" s="2116"/>
      <c r="CH85" s="2116"/>
      <c r="CI85" s="2116"/>
      <c r="CJ85" s="2116"/>
      <c r="CK85" s="2117">
        <f t="shared" si="71"/>
        <v>0</v>
      </c>
      <c r="CL85" s="2115"/>
      <c r="CM85" s="2116"/>
      <c r="CN85" s="2116"/>
      <c r="CO85" s="2116"/>
      <c r="CP85" s="2116"/>
      <c r="CQ85" s="2105">
        <f t="shared" si="72"/>
        <v>0</v>
      </c>
      <c r="CR85" s="2115"/>
      <c r="CS85" s="2116"/>
      <c r="CT85" s="2116"/>
      <c r="CU85" s="2116"/>
      <c r="CV85" s="2116"/>
      <c r="CW85" s="2117">
        <f t="shared" si="73"/>
        <v>0</v>
      </c>
      <c r="CX85" s="2103"/>
      <c r="CY85" s="2104"/>
      <c r="CZ85" s="2104"/>
      <c r="DA85" s="2104"/>
      <c r="DB85" s="2104"/>
      <c r="DC85" s="2105">
        <f t="shared" si="74"/>
        <v>0</v>
      </c>
      <c r="DD85" s="2103"/>
      <c r="DE85" s="2104"/>
      <c r="DF85" s="2104"/>
      <c r="DG85" s="2104"/>
      <c r="DH85" s="2104"/>
      <c r="DI85" s="2105">
        <f t="shared" si="75"/>
        <v>0</v>
      </c>
      <c r="DJ85" s="2103"/>
      <c r="DK85" s="2104"/>
      <c r="DL85" s="2104"/>
      <c r="DM85" s="2104"/>
      <c r="DN85" s="2104"/>
      <c r="DO85" s="2105">
        <f t="shared" si="76"/>
        <v>0</v>
      </c>
      <c r="DP85" s="2103"/>
      <c r="DQ85" s="2104"/>
      <c r="DR85" s="2104"/>
      <c r="DS85" s="2104"/>
      <c r="DT85" s="2104"/>
      <c r="DU85" s="2118">
        <f t="shared" si="77"/>
        <v>0</v>
      </c>
      <c r="DV85" s="2103">
        <v>6249.05</v>
      </c>
      <c r="DW85" s="2104">
        <v>0</v>
      </c>
      <c r="DX85" s="2104">
        <v>1146.28</v>
      </c>
      <c r="DY85" s="2104">
        <v>0</v>
      </c>
      <c r="DZ85" s="2104">
        <v>0</v>
      </c>
      <c r="EA85" s="2105">
        <f t="shared" si="78"/>
        <v>7395.33</v>
      </c>
    </row>
    <row r="86" spans="1:131" s="2049" customFormat="1" ht="15" customHeight="1" x14ac:dyDescent="0.25">
      <c r="A86" s="2089" t="s">
        <v>212</v>
      </c>
      <c r="B86" s="2090" t="s">
        <v>213</v>
      </c>
      <c r="C86" s="2091" t="s">
        <v>267</v>
      </c>
      <c r="D86" s="2092">
        <f t="shared" si="79"/>
        <v>34120.240791138523</v>
      </c>
      <c r="E86" s="2093">
        <f t="shared" si="80"/>
        <v>50055.069208861474</v>
      </c>
      <c r="F86" s="2093">
        <f t="shared" si="81"/>
        <v>15979.4</v>
      </c>
      <c r="G86" s="2093">
        <f t="shared" si="82"/>
        <v>-0.03</v>
      </c>
      <c r="H86" s="2093">
        <f t="shared" si="83"/>
        <v>0</v>
      </c>
      <c r="I86" s="2093">
        <f t="shared" si="56"/>
        <v>100154.68</v>
      </c>
      <c r="J86" s="2093">
        <f t="shared" si="57"/>
        <v>-0.03</v>
      </c>
      <c r="K86" s="2094">
        <f t="shared" si="58"/>
        <v>15979.369999999999</v>
      </c>
      <c r="L86" s="2127">
        <v>0</v>
      </c>
      <c r="M86" s="2128">
        <v>4687</v>
      </c>
      <c r="N86" s="2128">
        <v>0</v>
      </c>
      <c r="O86" s="2128">
        <v>0</v>
      </c>
      <c r="P86" s="2128">
        <v>0</v>
      </c>
      <c r="Q86" s="2097">
        <f t="shared" si="59"/>
        <v>4687</v>
      </c>
      <c r="R86" s="2101"/>
      <c r="S86" s="2102"/>
      <c r="T86" s="2102"/>
      <c r="U86" s="2102"/>
      <c r="V86" s="2102"/>
      <c r="W86" s="2100">
        <f t="shared" si="60"/>
        <v>0</v>
      </c>
      <c r="X86" s="2101">
        <v>3467.84</v>
      </c>
      <c r="Y86" s="2102">
        <v>20.65</v>
      </c>
      <c r="Z86" s="2102">
        <v>639.91</v>
      </c>
      <c r="AA86" s="2102">
        <v>-0.03</v>
      </c>
      <c r="AB86" s="2102">
        <v>0</v>
      </c>
      <c r="AC86" s="2100">
        <f t="shared" si="61"/>
        <v>4128.3700000000008</v>
      </c>
      <c r="AD86" s="2103">
        <v>8859.59</v>
      </c>
      <c r="AE86" s="2104">
        <v>0</v>
      </c>
      <c r="AF86" s="2104">
        <v>2214.91</v>
      </c>
      <c r="AG86" s="2104">
        <v>0</v>
      </c>
      <c r="AH86" s="2104">
        <v>0</v>
      </c>
      <c r="AI86" s="2105">
        <f t="shared" si="62"/>
        <v>11074.5</v>
      </c>
      <c r="AJ86" s="2098"/>
      <c r="AK86" s="2099"/>
      <c r="AL86" s="2099"/>
      <c r="AM86" s="2099"/>
      <c r="AN86" s="2099"/>
      <c r="AO86" s="2106">
        <f t="shared" si="63"/>
        <v>0</v>
      </c>
      <c r="AP86" s="2101"/>
      <c r="AQ86" s="2102"/>
      <c r="AR86" s="2102"/>
      <c r="AS86" s="2102"/>
      <c r="AT86" s="2102"/>
      <c r="AU86" s="2106">
        <f t="shared" si="64"/>
        <v>0</v>
      </c>
      <c r="AV86" s="2107">
        <v>768</v>
      </c>
      <c r="AW86" s="2108">
        <v>192</v>
      </c>
      <c r="AX86" s="2108">
        <v>0</v>
      </c>
      <c r="AY86" s="2108">
        <v>0</v>
      </c>
      <c r="AZ86" s="2109">
        <v>0</v>
      </c>
      <c r="BA86" s="2110">
        <f t="shared" si="65"/>
        <v>960</v>
      </c>
      <c r="BB86" s="2119">
        <v>36.53</v>
      </c>
      <c r="BC86" s="2120">
        <v>65.97</v>
      </c>
      <c r="BD86" s="2120">
        <v>0</v>
      </c>
      <c r="BE86" s="2120">
        <v>0</v>
      </c>
      <c r="BF86" s="2120">
        <v>0</v>
      </c>
      <c r="BG86" s="2114">
        <f t="shared" si="66"/>
        <v>102.5</v>
      </c>
      <c r="BH86" s="2103"/>
      <c r="BI86" s="2104"/>
      <c r="BJ86" s="2104"/>
      <c r="BK86" s="2104"/>
      <c r="BL86" s="2104"/>
      <c r="BM86" s="2117">
        <f t="shared" si="67"/>
        <v>0</v>
      </c>
      <c r="BN86" s="2103"/>
      <c r="BO86" s="2104"/>
      <c r="BP86" s="2104"/>
      <c r="BQ86" s="2104"/>
      <c r="BR86" s="2104"/>
      <c r="BS86" s="2105">
        <f t="shared" si="68"/>
        <v>0</v>
      </c>
      <c r="BT86" s="2103">
        <v>9471.9507911385226</v>
      </c>
      <c r="BU86" s="2104">
        <v>42243.209208861474</v>
      </c>
      <c r="BV86" s="2104">
        <v>9486.2099999999991</v>
      </c>
      <c r="BW86" s="2104">
        <v>-7.0000000000000007E-2</v>
      </c>
      <c r="BX86" s="2104">
        <v>0</v>
      </c>
      <c r="BY86" s="2105">
        <f t="shared" si="69"/>
        <v>61201.299999999996</v>
      </c>
      <c r="BZ86" s="2103">
        <v>1356.55</v>
      </c>
      <c r="CA86" s="2104">
        <v>0</v>
      </c>
      <c r="CB86" s="2104">
        <v>1252.68</v>
      </c>
      <c r="CC86" s="2104">
        <v>0</v>
      </c>
      <c r="CD86" s="2104">
        <v>0</v>
      </c>
      <c r="CE86" s="2105">
        <f t="shared" si="70"/>
        <v>2609.23</v>
      </c>
      <c r="CF86" s="2115"/>
      <c r="CG86" s="2116"/>
      <c r="CH86" s="2116"/>
      <c r="CI86" s="2116"/>
      <c r="CJ86" s="2116"/>
      <c r="CK86" s="2117">
        <f t="shared" si="71"/>
        <v>0</v>
      </c>
      <c r="CL86" s="2115"/>
      <c r="CM86" s="2116"/>
      <c r="CN86" s="2116"/>
      <c r="CO86" s="2116"/>
      <c r="CP86" s="2116"/>
      <c r="CQ86" s="2105">
        <f t="shared" si="72"/>
        <v>0</v>
      </c>
      <c r="CR86" s="2103"/>
      <c r="CS86" s="2104"/>
      <c r="CT86" s="2104"/>
      <c r="CU86" s="2104"/>
      <c r="CV86" s="2104"/>
      <c r="CW86" s="2117">
        <f t="shared" si="73"/>
        <v>0</v>
      </c>
      <c r="CX86" s="2103"/>
      <c r="CY86" s="2104"/>
      <c r="CZ86" s="2104"/>
      <c r="DA86" s="2104"/>
      <c r="DB86" s="2104"/>
      <c r="DC86" s="2105">
        <f t="shared" si="74"/>
        <v>0</v>
      </c>
      <c r="DD86" s="2103"/>
      <c r="DE86" s="2104"/>
      <c r="DF86" s="2104"/>
      <c r="DG86" s="2104"/>
      <c r="DH86" s="2104"/>
      <c r="DI86" s="2105">
        <f t="shared" si="75"/>
        <v>0</v>
      </c>
      <c r="DJ86" s="2103"/>
      <c r="DK86" s="2104"/>
      <c r="DL86" s="2104"/>
      <c r="DM86" s="2104"/>
      <c r="DN86" s="2104"/>
      <c r="DO86" s="2105">
        <f t="shared" si="76"/>
        <v>0</v>
      </c>
      <c r="DP86" s="2103">
        <v>4125.01</v>
      </c>
      <c r="DQ86" s="2104">
        <v>2846.24</v>
      </c>
      <c r="DR86" s="2104">
        <v>1278.74</v>
      </c>
      <c r="DS86" s="2104">
        <v>0</v>
      </c>
      <c r="DT86" s="2104">
        <v>0</v>
      </c>
      <c r="DU86" s="2118">
        <f t="shared" si="77"/>
        <v>8249.99</v>
      </c>
      <c r="DV86" s="2103">
        <v>6034.77</v>
      </c>
      <c r="DW86" s="2104">
        <v>0</v>
      </c>
      <c r="DX86" s="2104">
        <v>1106.95</v>
      </c>
      <c r="DY86" s="2104">
        <v>7.0000000000000007E-2</v>
      </c>
      <c r="DZ86" s="2104">
        <v>0</v>
      </c>
      <c r="EA86" s="2105">
        <f t="shared" si="78"/>
        <v>7141.79</v>
      </c>
    </row>
    <row r="87" spans="1:131" s="2049" customFormat="1" ht="15" customHeight="1" x14ac:dyDescent="0.25">
      <c r="A87" s="2089" t="s">
        <v>214</v>
      </c>
      <c r="B87" s="2090" t="s">
        <v>215</v>
      </c>
      <c r="C87" s="2091" t="s">
        <v>268</v>
      </c>
      <c r="D87" s="2092">
        <f t="shared" si="79"/>
        <v>122135.54173009418</v>
      </c>
      <c r="E87" s="2093">
        <f t="shared" si="80"/>
        <v>49528.588269905813</v>
      </c>
      <c r="F87" s="2093">
        <f t="shared" si="81"/>
        <v>35088.980000000003</v>
      </c>
      <c r="G87" s="2093">
        <f t="shared" si="82"/>
        <v>-9.0000000000000011E-2</v>
      </c>
      <c r="H87" s="2093">
        <f t="shared" si="83"/>
        <v>0</v>
      </c>
      <c r="I87" s="2093">
        <f t="shared" si="56"/>
        <v>206753.02000000002</v>
      </c>
      <c r="J87" s="2093">
        <f t="shared" si="57"/>
        <v>-9.0000000000000011E-2</v>
      </c>
      <c r="K87" s="2094">
        <f t="shared" si="58"/>
        <v>35088.890000000007</v>
      </c>
      <c r="L87" s="2095"/>
      <c r="M87" s="2096"/>
      <c r="N87" s="2096"/>
      <c r="O87" s="2096"/>
      <c r="P87" s="2096"/>
      <c r="Q87" s="2097">
        <f t="shared" si="59"/>
        <v>0</v>
      </c>
      <c r="R87" s="2098"/>
      <c r="S87" s="2099"/>
      <c r="T87" s="2099"/>
      <c r="U87" s="2099"/>
      <c r="V87" s="2099"/>
      <c r="W87" s="2100">
        <f t="shared" si="60"/>
        <v>0</v>
      </c>
      <c r="X87" s="2101">
        <v>11201.76</v>
      </c>
      <c r="Y87" s="2102">
        <v>66.69</v>
      </c>
      <c r="Z87" s="2102">
        <v>2066.98</v>
      </c>
      <c r="AA87" s="2102">
        <v>-0.01</v>
      </c>
      <c r="AB87" s="2102">
        <v>0</v>
      </c>
      <c r="AC87" s="2100">
        <f t="shared" si="61"/>
        <v>13335.42</v>
      </c>
      <c r="AD87" s="2103">
        <v>63021.52</v>
      </c>
      <c r="AE87" s="2104">
        <v>0</v>
      </c>
      <c r="AF87" s="2104">
        <v>15755.37</v>
      </c>
      <c r="AG87" s="2104">
        <v>0</v>
      </c>
      <c r="AH87" s="2104">
        <v>0</v>
      </c>
      <c r="AI87" s="2105">
        <f t="shared" si="62"/>
        <v>78776.89</v>
      </c>
      <c r="AJ87" s="2098"/>
      <c r="AK87" s="2099"/>
      <c r="AL87" s="2099"/>
      <c r="AM87" s="2099"/>
      <c r="AN87" s="2099"/>
      <c r="AO87" s="2106">
        <f t="shared" si="63"/>
        <v>0</v>
      </c>
      <c r="AP87" s="2101">
        <v>1564.66</v>
      </c>
      <c r="AQ87" s="2102">
        <v>391.17</v>
      </c>
      <c r="AR87" s="2102">
        <v>0</v>
      </c>
      <c r="AS87" s="2102">
        <v>0</v>
      </c>
      <c r="AT87" s="2102">
        <v>0</v>
      </c>
      <c r="AU87" s="2106">
        <f t="shared" si="64"/>
        <v>1955.8300000000002</v>
      </c>
      <c r="AV87" s="2107">
        <v>439.31</v>
      </c>
      <c r="AW87" s="2108">
        <v>109.83</v>
      </c>
      <c r="AX87" s="2108">
        <v>0</v>
      </c>
      <c r="AY87" s="2108">
        <v>0</v>
      </c>
      <c r="AZ87" s="2109">
        <v>0</v>
      </c>
      <c r="BA87" s="2110">
        <f t="shared" si="65"/>
        <v>549.14</v>
      </c>
      <c r="BB87" s="2111">
        <v>263.02999999999997</v>
      </c>
      <c r="BC87" s="2112">
        <v>474.97</v>
      </c>
      <c r="BD87" s="2112">
        <v>0</v>
      </c>
      <c r="BE87" s="2112">
        <v>0</v>
      </c>
      <c r="BF87" s="2113">
        <v>0</v>
      </c>
      <c r="BG87" s="2114">
        <f t="shared" si="66"/>
        <v>738</v>
      </c>
      <c r="BH87" s="2115">
        <v>14787.58</v>
      </c>
      <c r="BI87" s="2116">
        <v>1873.1</v>
      </c>
      <c r="BJ87" s="2116">
        <v>3056.11</v>
      </c>
      <c r="BK87" s="2116">
        <v>-0.02</v>
      </c>
      <c r="BL87" s="2116">
        <v>0</v>
      </c>
      <c r="BM87" s="2117">
        <f t="shared" si="67"/>
        <v>19716.77</v>
      </c>
      <c r="BN87" s="2103"/>
      <c r="BO87" s="2104"/>
      <c r="BP87" s="2104"/>
      <c r="BQ87" s="2104"/>
      <c r="BR87" s="2104"/>
      <c r="BS87" s="2105">
        <f t="shared" si="68"/>
        <v>0</v>
      </c>
      <c r="BT87" s="2103">
        <v>19105.581730094185</v>
      </c>
      <c r="BU87" s="2104">
        <v>43210.398269905811</v>
      </c>
      <c r="BV87" s="2104">
        <v>11430.75</v>
      </c>
      <c r="BW87" s="2104">
        <v>-0.1</v>
      </c>
      <c r="BX87" s="2104">
        <v>0</v>
      </c>
      <c r="BY87" s="2105">
        <f t="shared" si="69"/>
        <v>73746.62999999999</v>
      </c>
      <c r="BZ87" s="2115"/>
      <c r="CA87" s="2116"/>
      <c r="CB87" s="2116"/>
      <c r="CC87" s="2116"/>
      <c r="CD87" s="2116"/>
      <c r="CE87" s="2105">
        <f t="shared" si="70"/>
        <v>0</v>
      </c>
      <c r="CF87" s="2115"/>
      <c r="CG87" s="2116"/>
      <c r="CH87" s="2116"/>
      <c r="CI87" s="2116"/>
      <c r="CJ87" s="2116"/>
      <c r="CK87" s="2117">
        <f t="shared" si="71"/>
        <v>0</v>
      </c>
      <c r="CL87" s="2103"/>
      <c r="CM87" s="2104"/>
      <c r="CN87" s="2104"/>
      <c r="CO87" s="2104"/>
      <c r="CP87" s="2104"/>
      <c r="CQ87" s="2105">
        <f t="shared" si="72"/>
        <v>0</v>
      </c>
      <c r="CR87" s="2115"/>
      <c r="CS87" s="2116"/>
      <c r="CT87" s="2116"/>
      <c r="CU87" s="2116"/>
      <c r="CV87" s="2116"/>
      <c r="CW87" s="2117">
        <f t="shared" si="73"/>
        <v>0</v>
      </c>
      <c r="CX87" s="2103"/>
      <c r="CY87" s="2104"/>
      <c r="CZ87" s="2104"/>
      <c r="DA87" s="2104"/>
      <c r="DB87" s="2104"/>
      <c r="DC87" s="2105">
        <f t="shared" si="74"/>
        <v>0</v>
      </c>
      <c r="DD87" s="2103"/>
      <c r="DE87" s="2104"/>
      <c r="DF87" s="2104"/>
      <c r="DG87" s="2104"/>
      <c r="DH87" s="2104"/>
      <c r="DI87" s="2105">
        <f t="shared" si="75"/>
        <v>0</v>
      </c>
      <c r="DJ87" s="2103"/>
      <c r="DK87" s="2104"/>
      <c r="DL87" s="2104"/>
      <c r="DM87" s="2104"/>
      <c r="DN87" s="2104"/>
      <c r="DO87" s="2105">
        <f t="shared" si="76"/>
        <v>0</v>
      </c>
      <c r="DP87" s="2103">
        <v>4931.07</v>
      </c>
      <c r="DQ87" s="2104">
        <v>3402.43</v>
      </c>
      <c r="DR87" s="2104">
        <v>1528.62</v>
      </c>
      <c r="DS87" s="2104">
        <v>-0.01</v>
      </c>
      <c r="DT87" s="2104">
        <v>0</v>
      </c>
      <c r="DU87" s="2118">
        <f t="shared" si="77"/>
        <v>9862.1099999999988</v>
      </c>
      <c r="DV87" s="2103">
        <v>6821.03</v>
      </c>
      <c r="DW87" s="2104">
        <v>0</v>
      </c>
      <c r="DX87" s="2104">
        <v>1251.1500000000001</v>
      </c>
      <c r="DY87" s="2104">
        <v>0.05</v>
      </c>
      <c r="DZ87" s="2104">
        <v>0</v>
      </c>
      <c r="EA87" s="2105">
        <f t="shared" si="78"/>
        <v>8072.2300000000005</v>
      </c>
    </row>
    <row r="88" spans="1:131" s="2049" customFormat="1" ht="15" customHeight="1" x14ac:dyDescent="0.25">
      <c r="A88" s="2089" t="s">
        <v>216</v>
      </c>
      <c r="B88" s="2090" t="s">
        <v>217</v>
      </c>
      <c r="C88" s="2091" t="s">
        <v>264</v>
      </c>
      <c r="D88" s="2092">
        <f t="shared" si="79"/>
        <v>63327.812703365089</v>
      </c>
      <c r="E88" s="2093">
        <f t="shared" si="80"/>
        <v>39452.437296634911</v>
      </c>
      <c r="F88" s="2093">
        <f t="shared" si="81"/>
        <v>20888.97</v>
      </c>
      <c r="G88" s="2093">
        <f t="shared" si="82"/>
        <v>-9.9999999999999992E-2</v>
      </c>
      <c r="H88" s="2093">
        <f t="shared" si="83"/>
        <v>0</v>
      </c>
      <c r="I88" s="2093">
        <f t="shared" si="56"/>
        <v>123669.12</v>
      </c>
      <c r="J88" s="2093">
        <f t="shared" si="57"/>
        <v>-9.9999999999999992E-2</v>
      </c>
      <c r="K88" s="2094">
        <f t="shared" si="58"/>
        <v>20888.870000000003</v>
      </c>
      <c r="L88" s="2095"/>
      <c r="M88" s="2096"/>
      <c r="N88" s="2096"/>
      <c r="O88" s="2096"/>
      <c r="P88" s="2096"/>
      <c r="Q88" s="2097">
        <f t="shared" si="59"/>
        <v>0</v>
      </c>
      <c r="R88" s="2101"/>
      <c r="S88" s="2102"/>
      <c r="T88" s="2102"/>
      <c r="U88" s="2102"/>
      <c r="V88" s="2102"/>
      <c r="W88" s="2100">
        <f t="shared" si="60"/>
        <v>0</v>
      </c>
      <c r="X88" s="2101">
        <v>2693.89</v>
      </c>
      <c r="Y88" s="2102">
        <v>16.04</v>
      </c>
      <c r="Z88" s="2102">
        <v>497.09</v>
      </c>
      <c r="AA88" s="2102">
        <v>-0.02</v>
      </c>
      <c r="AB88" s="2102">
        <v>0</v>
      </c>
      <c r="AC88" s="2100">
        <f t="shared" si="61"/>
        <v>3207</v>
      </c>
      <c r="AD88" s="2103">
        <v>26797.439999999999</v>
      </c>
      <c r="AE88" s="2104">
        <v>0</v>
      </c>
      <c r="AF88" s="2104">
        <v>6699.34</v>
      </c>
      <c r="AG88" s="2104">
        <v>0</v>
      </c>
      <c r="AH88" s="2104">
        <v>0</v>
      </c>
      <c r="AI88" s="2105">
        <f t="shared" si="62"/>
        <v>33496.78</v>
      </c>
      <c r="AJ88" s="2098"/>
      <c r="AK88" s="2099"/>
      <c r="AL88" s="2099"/>
      <c r="AM88" s="2099"/>
      <c r="AN88" s="2099"/>
      <c r="AO88" s="2106">
        <f t="shared" si="63"/>
        <v>0</v>
      </c>
      <c r="AP88" s="2098"/>
      <c r="AQ88" s="2099"/>
      <c r="AR88" s="2099"/>
      <c r="AS88" s="2099"/>
      <c r="AT88" s="2099"/>
      <c r="AU88" s="2106">
        <f t="shared" si="64"/>
        <v>0</v>
      </c>
      <c r="AV88" s="2107">
        <v>883.2</v>
      </c>
      <c r="AW88" s="2108">
        <v>220.8</v>
      </c>
      <c r="AX88" s="2108">
        <v>0</v>
      </c>
      <c r="AY88" s="2108">
        <v>0</v>
      </c>
      <c r="AZ88" s="2109">
        <v>0</v>
      </c>
      <c r="BA88" s="2110">
        <f t="shared" si="65"/>
        <v>1104</v>
      </c>
      <c r="BB88" s="2119"/>
      <c r="BC88" s="2120"/>
      <c r="BD88" s="2120"/>
      <c r="BE88" s="2120"/>
      <c r="BF88" s="2120"/>
      <c r="BG88" s="2114">
        <f t="shared" si="66"/>
        <v>0</v>
      </c>
      <c r="BH88" s="2103">
        <v>13425.01</v>
      </c>
      <c r="BI88" s="2104">
        <v>1700.5</v>
      </c>
      <c r="BJ88" s="2104">
        <v>2774.51</v>
      </c>
      <c r="BK88" s="2104">
        <v>-0.02</v>
      </c>
      <c r="BL88" s="2104">
        <v>0</v>
      </c>
      <c r="BM88" s="2117">
        <f t="shared" si="67"/>
        <v>17900</v>
      </c>
      <c r="BN88" s="2103"/>
      <c r="BO88" s="2104"/>
      <c r="BP88" s="2104"/>
      <c r="BQ88" s="2104"/>
      <c r="BR88" s="2104"/>
      <c r="BS88" s="2105">
        <f t="shared" si="68"/>
        <v>0</v>
      </c>
      <c r="BT88" s="2103">
        <v>9544.3527033650898</v>
      </c>
      <c r="BU88" s="2104">
        <v>35482.807296634914</v>
      </c>
      <c r="BV88" s="2104">
        <v>8259.43</v>
      </c>
      <c r="BW88" s="2104">
        <v>-0.05</v>
      </c>
      <c r="BX88" s="2104">
        <v>0</v>
      </c>
      <c r="BY88" s="2105">
        <f t="shared" si="69"/>
        <v>53286.54</v>
      </c>
      <c r="BZ88" s="2115"/>
      <c r="CA88" s="2116"/>
      <c r="CB88" s="2116"/>
      <c r="CC88" s="2116"/>
      <c r="CD88" s="2116"/>
      <c r="CE88" s="2105">
        <f t="shared" si="70"/>
        <v>0</v>
      </c>
      <c r="CF88" s="2115">
        <v>18.489999999999998</v>
      </c>
      <c r="CG88" s="2116">
        <v>0</v>
      </c>
      <c r="CH88" s="2116">
        <v>34.85</v>
      </c>
      <c r="CI88" s="2116">
        <v>0</v>
      </c>
      <c r="CJ88" s="2116">
        <v>0</v>
      </c>
      <c r="CK88" s="2117">
        <f t="shared" si="71"/>
        <v>53.34</v>
      </c>
      <c r="CL88" s="2103">
        <v>-1213.51</v>
      </c>
      <c r="CM88" s="2104">
        <v>0</v>
      </c>
      <c r="CN88" s="2104">
        <v>0</v>
      </c>
      <c r="CO88" s="2104">
        <v>0</v>
      </c>
      <c r="CP88" s="2104">
        <v>0</v>
      </c>
      <c r="CQ88" s="2105">
        <f t="shared" si="72"/>
        <v>-1213.51</v>
      </c>
      <c r="CR88" s="2103"/>
      <c r="CS88" s="2104"/>
      <c r="CT88" s="2104"/>
      <c r="CU88" s="2104"/>
      <c r="CV88" s="2104"/>
      <c r="CW88" s="2117">
        <f t="shared" si="73"/>
        <v>0</v>
      </c>
      <c r="CX88" s="2103"/>
      <c r="CY88" s="2104"/>
      <c r="CZ88" s="2104"/>
      <c r="DA88" s="2104"/>
      <c r="DB88" s="2104"/>
      <c r="DC88" s="2105">
        <f t="shared" si="74"/>
        <v>0</v>
      </c>
      <c r="DD88" s="2103">
        <v>-919</v>
      </c>
      <c r="DE88" s="2104">
        <v>0</v>
      </c>
      <c r="DF88" s="2104">
        <v>0</v>
      </c>
      <c r="DG88" s="2104">
        <v>0</v>
      </c>
      <c r="DH88" s="2104">
        <v>0</v>
      </c>
      <c r="DI88" s="2105">
        <f t="shared" si="75"/>
        <v>-919</v>
      </c>
      <c r="DJ88" s="2103">
        <v>-86.7</v>
      </c>
      <c r="DK88" s="2104">
        <v>-86.7</v>
      </c>
      <c r="DL88" s="2104">
        <v>0</v>
      </c>
      <c r="DM88" s="2104">
        <v>0</v>
      </c>
      <c r="DN88" s="2104">
        <v>0</v>
      </c>
      <c r="DO88" s="2105">
        <f t="shared" si="76"/>
        <v>-173.4</v>
      </c>
      <c r="DP88" s="2103">
        <v>3071</v>
      </c>
      <c r="DQ88" s="2104">
        <v>2118.9899999999998</v>
      </c>
      <c r="DR88" s="2104">
        <v>952.01</v>
      </c>
      <c r="DS88" s="2104">
        <v>0</v>
      </c>
      <c r="DT88" s="2104">
        <v>0</v>
      </c>
      <c r="DU88" s="2118">
        <f t="shared" si="77"/>
        <v>6142</v>
      </c>
      <c r="DV88" s="2103">
        <v>9113.64</v>
      </c>
      <c r="DW88" s="2104">
        <v>0</v>
      </c>
      <c r="DX88" s="2104">
        <v>1671.74</v>
      </c>
      <c r="DY88" s="2104">
        <v>-0.01</v>
      </c>
      <c r="DZ88" s="2104">
        <v>0</v>
      </c>
      <c r="EA88" s="2105">
        <f t="shared" si="78"/>
        <v>10785.369999999999</v>
      </c>
    </row>
    <row r="89" spans="1:131" s="2049" customFormat="1" ht="15" customHeight="1" x14ac:dyDescent="0.25">
      <c r="A89" s="2089" t="s">
        <v>218</v>
      </c>
      <c r="B89" s="2090" t="s">
        <v>219</v>
      </c>
      <c r="C89" s="2091" t="s">
        <v>267</v>
      </c>
      <c r="D89" s="2092">
        <f t="shared" si="79"/>
        <v>178951.10340873426</v>
      </c>
      <c r="E89" s="2093">
        <f t="shared" si="80"/>
        <v>118547.49659126574</v>
      </c>
      <c r="F89" s="2093">
        <f t="shared" si="81"/>
        <v>59353.640000000007</v>
      </c>
      <c r="G89" s="2093">
        <f t="shared" si="82"/>
        <v>4291.8900000000003</v>
      </c>
      <c r="H89" s="2093">
        <f t="shared" si="83"/>
        <v>0</v>
      </c>
      <c r="I89" s="2093">
        <f t="shared" si="56"/>
        <v>361144.13</v>
      </c>
      <c r="J89" s="2093">
        <f t="shared" si="57"/>
        <v>4291.8900000000003</v>
      </c>
      <c r="K89" s="2094">
        <f t="shared" si="58"/>
        <v>63645.530000000006</v>
      </c>
      <c r="L89" s="2095"/>
      <c r="M89" s="2096"/>
      <c r="N89" s="2096"/>
      <c r="O89" s="2096"/>
      <c r="P89" s="2096"/>
      <c r="Q89" s="2097">
        <f t="shared" si="59"/>
        <v>0</v>
      </c>
      <c r="R89" s="2101">
        <v>0</v>
      </c>
      <c r="S89" s="2102">
        <v>0</v>
      </c>
      <c r="T89" s="2102">
        <v>0</v>
      </c>
      <c r="U89" s="2102">
        <v>4292.01</v>
      </c>
      <c r="V89" s="2102">
        <v>0</v>
      </c>
      <c r="W89" s="2100">
        <f t="shared" si="60"/>
        <v>4292.01</v>
      </c>
      <c r="X89" s="2101">
        <v>23556.29</v>
      </c>
      <c r="Y89" s="2102">
        <v>140.22</v>
      </c>
      <c r="Z89" s="2102">
        <v>4346.6899999999996</v>
      </c>
      <c r="AA89" s="2102">
        <v>-0.01</v>
      </c>
      <c r="AB89" s="2102">
        <v>0</v>
      </c>
      <c r="AC89" s="2100">
        <f t="shared" si="61"/>
        <v>28043.190000000002</v>
      </c>
      <c r="AD89" s="2103">
        <v>40058.089999999997</v>
      </c>
      <c r="AE89" s="2104">
        <v>0</v>
      </c>
      <c r="AF89" s="2104">
        <v>10014.49</v>
      </c>
      <c r="AG89" s="2104">
        <v>0</v>
      </c>
      <c r="AH89" s="2104">
        <v>0</v>
      </c>
      <c r="AI89" s="2105">
        <f t="shared" si="62"/>
        <v>50072.579999999994</v>
      </c>
      <c r="AJ89" s="2098"/>
      <c r="AK89" s="2099"/>
      <c r="AL89" s="2099"/>
      <c r="AM89" s="2099"/>
      <c r="AN89" s="2099"/>
      <c r="AO89" s="2106">
        <f t="shared" si="63"/>
        <v>0</v>
      </c>
      <c r="AP89" s="2101">
        <v>9005.8799999999992</v>
      </c>
      <c r="AQ89" s="2102">
        <v>2251.48</v>
      </c>
      <c r="AR89" s="2102">
        <v>0</v>
      </c>
      <c r="AS89" s="2102">
        <v>0</v>
      </c>
      <c r="AT89" s="2102">
        <v>0</v>
      </c>
      <c r="AU89" s="2106">
        <f t="shared" si="64"/>
        <v>11257.359999999999</v>
      </c>
      <c r="AV89" s="2107">
        <v>6869.64</v>
      </c>
      <c r="AW89" s="2108">
        <v>1717.41</v>
      </c>
      <c r="AX89" s="2108">
        <v>0</v>
      </c>
      <c r="AY89" s="2108">
        <v>0</v>
      </c>
      <c r="AZ89" s="2109">
        <v>0</v>
      </c>
      <c r="BA89" s="2110">
        <f t="shared" si="65"/>
        <v>8587.0500000000011</v>
      </c>
      <c r="BB89" s="2111">
        <v>1949.48</v>
      </c>
      <c r="BC89" s="2112">
        <v>3520.52</v>
      </c>
      <c r="BD89" s="2112">
        <v>0</v>
      </c>
      <c r="BE89" s="2112">
        <v>0</v>
      </c>
      <c r="BF89" s="2113">
        <v>0</v>
      </c>
      <c r="BG89" s="2114">
        <f t="shared" si="66"/>
        <v>5470</v>
      </c>
      <c r="BH89" s="2103">
        <v>50812.99</v>
      </c>
      <c r="BI89" s="2104">
        <v>6436.3</v>
      </c>
      <c r="BJ89" s="2104">
        <v>10501.36</v>
      </c>
      <c r="BK89" s="2104">
        <v>-0.08</v>
      </c>
      <c r="BL89" s="2104">
        <v>0</v>
      </c>
      <c r="BM89" s="2117">
        <f t="shared" si="67"/>
        <v>67750.569999999992</v>
      </c>
      <c r="BN89" s="2103">
        <v>-151.13999999999999</v>
      </c>
      <c r="BO89" s="2104">
        <v>-151.13999999999999</v>
      </c>
      <c r="BP89" s="2104">
        <v>0</v>
      </c>
      <c r="BQ89" s="2104">
        <v>7.0000000000000007E-2</v>
      </c>
      <c r="BR89" s="2104">
        <v>0</v>
      </c>
      <c r="BS89" s="2105">
        <f t="shared" si="68"/>
        <v>-302.20999999999998</v>
      </c>
      <c r="BT89" s="2103">
        <v>21333.553408734268</v>
      </c>
      <c r="BU89" s="2104">
        <v>102257.03659126573</v>
      </c>
      <c r="BV89" s="2104">
        <v>22670.5</v>
      </c>
      <c r="BW89" s="2104">
        <v>-0.15</v>
      </c>
      <c r="BX89" s="2104">
        <v>0</v>
      </c>
      <c r="BY89" s="2105">
        <f t="shared" si="69"/>
        <v>146260.94</v>
      </c>
      <c r="BZ89" s="2103">
        <v>9059.75</v>
      </c>
      <c r="CA89" s="2104">
        <v>0</v>
      </c>
      <c r="CB89" s="2104">
        <v>8366.19</v>
      </c>
      <c r="CC89" s="2104">
        <v>0</v>
      </c>
      <c r="CD89" s="2104">
        <v>0</v>
      </c>
      <c r="CE89" s="2105">
        <f t="shared" si="70"/>
        <v>17425.940000000002</v>
      </c>
      <c r="CF89" s="2115"/>
      <c r="CG89" s="2116"/>
      <c r="CH89" s="2116"/>
      <c r="CI89" s="2116"/>
      <c r="CJ89" s="2116"/>
      <c r="CK89" s="2117">
        <f t="shared" si="71"/>
        <v>0</v>
      </c>
      <c r="CL89" s="2103"/>
      <c r="CM89" s="2104"/>
      <c r="CN89" s="2104"/>
      <c r="CO89" s="2104"/>
      <c r="CP89" s="2104"/>
      <c r="CQ89" s="2105">
        <f t="shared" si="72"/>
        <v>0</v>
      </c>
      <c r="CR89" s="2115"/>
      <c r="CS89" s="2116"/>
      <c r="CT89" s="2116"/>
      <c r="CU89" s="2116"/>
      <c r="CV89" s="2116"/>
      <c r="CW89" s="2117">
        <f t="shared" si="73"/>
        <v>0</v>
      </c>
      <c r="CX89" s="2103"/>
      <c r="CY89" s="2104"/>
      <c r="CZ89" s="2104"/>
      <c r="DA89" s="2104"/>
      <c r="DB89" s="2104"/>
      <c r="DC89" s="2105">
        <f t="shared" si="74"/>
        <v>0</v>
      </c>
      <c r="DD89" s="2103"/>
      <c r="DE89" s="2104"/>
      <c r="DF89" s="2104"/>
      <c r="DG89" s="2104"/>
      <c r="DH89" s="2104"/>
      <c r="DI89" s="2105">
        <f t="shared" si="75"/>
        <v>0</v>
      </c>
      <c r="DJ89" s="2103"/>
      <c r="DK89" s="2104"/>
      <c r="DL89" s="2104"/>
      <c r="DM89" s="2104"/>
      <c r="DN89" s="2104"/>
      <c r="DO89" s="2105">
        <f t="shared" si="76"/>
        <v>0</v>
      </c>
      <c r="DP89" s="2103">
        <v>3443.01</v>
      </c>
      <c r="DQ89" s="2104">
        <v>2375.67</v>
      </c>
      <c r="DR89" s="2104">
        <v>1067.33</v>
      </c>
      <c r="DS89" s="2104">
        <v>-0.01</v>
      </c>
      <c r="DT89" s="2104">
        <v>0</v>
      </c>
      <c r="DU89" s="2118">
        <f t="shared" si="77"/>
        <v>6886</v>
      </c>
      <c r="DV89" s="2103">
        <v>13013.56</v>
      </c>
      <c r="DW89" s="2104">
        <v>0</v>
      </c>
      <c r="DX89" s="2104">
        <v>2387.08</v>
      </c>
      <c r="DY89" s="2104">
        <v>0.06</v>
      </c>
      <c r="DZ89" s="2104">
        <v>0</v>
      </c>
      <c r="EA89" s="2105">
        <f t="shared" si="78"/>
        <v>15400.699999999999</v>
      </c>
    </row>
    <row r="90" spans="1:131" s="2049" customFormat="1" ht="15" customHeight="1" x14ac:dyDescent="0.25">
      <c r="A90" s="2089" t="s">
        <v>220</v>
      </c>
      <c r="B90" s="2090" t="s">
        <v>221</v>
      </c>
      <c r="C90" s="2091" t="s">
        <v>267</v>
      </c>
      <c r="D90" s="2092">
        <f t="shared" si="79"/>
        <v>40837.498098823846</v>
      </c>
      <c r="E90" s="2093">
        <f t="shared" si="80"/>
        <v>37034.681901176147</v>
      </c>
      <c r="F90" s="2093">
        <f t="shared" si="81"/>
        <v>15277.49</v>
      </c>
      <c r="G90" s="2093">
        <f t="shared" si="82"/>
        <v>27088.31</v>
      </c>
      <c r="H90" s="2093">
        <f t="shared" si="83"/>
        <v>0</v>
      </c>
      <c r="I90" s="2093">
        <f t="shared" si="56"/>
        <v>120237.98</v>
      </c>
      <c r="J90" s="2093">
        <f t="shared" si="57"/>
        <v>27088.31</v>
      </c>
      <c r="K90" s="2094">
        <f t="shared" si="58"/>
        <v>42365.8</v>
      </c>
      <c r="L90" s="2095"/>
      <c r="M90" s="2096"/>
      <c r="N90" s="2096"/>
      <c r="O90" s="2096"/>
      <c r="P90" s="2096"/>
      <c r="Q90" s="2097">
        <f t="shared" si="59"/>
        <v>0</v>
      </c>
      <c r="R90" s="2101">
        <v>0</v>
      </c>
      <c r="S90" s="2102">
        <v>0</v>
      </c>
      <c r="T90" s="2102">
        <v>0</v>
      </c>
      <c r="U90" s="2102">
        <v>27193.25</v>
      </c>
      <c r="V90" s="2102">
        <v>0</v>
      </c>
      <c r="W90" s="2100">
        <f t="shared" si="60"/>
        <v>27193.25</v>
      </c>
      <c r="X90" s="2101">
        <v>4981.01</v>
      </c>
      <c r="Y90" s="2102">
        <v>29.63</v>
      </c>
      <c r="Z90" s="2102">
        <v>919.09</v>
      </c>
      <c r="AA90" s="2102">
        <v>0.03</v>
      </c>
      <c r="AB90" s="2102">
        <v>0</v>
      </c>
      <c r="AC90" s="2100">
        <f t="shared" si="61"/>
        <v>5929.76</v>
      </c>
      <c r="AD90" s="2103">
        <v>10243.200000000001</v>
      </c>
      <c r="AE90" s="2104">
        <v>0</v>
      </c>
      <c r="AF90" s="2104">
        <v>2560.8000000000002</v>
      </c>
      <c r="AG90" s="2104">
        <v>0</v>
      </c>
      <c r="AH90" s="2104">
        <v>0</v>
      </c>
      <c r="AI90" s="2105">
        <f t="shared" si="62"/>
        <v>12804</v>
      </c>
      <c r="AJ90" s="2098"/>
      <c r="AK90" s="2099"/>
      <c r="AL90" s="2099"/>
      <c r="AM90" s="2099"/>
      <c r="AN90" s="2099"/>
      <c r="AO90" s="2106">
        <f t="shared" si="63"/>
        <v>0</v>
      </c>
      <c r="AP90" s="2101">
        <v>4000</v>
      </c>
      <c r="AQ90" s="2102">
        <v>1000</v>
      </c>
      <c r="AR90" s="2102">
        <v>0</v>
      </c>
      <c r="AS90" s="2102">
        <v>0</v>
      </c>
      <c r="AT90" s="2102">
        <v>0</v>
      </c>
      <c r="AU90" s="2106">
        <f t="shared" si="64"/>
        <v>5000</v>
      </c>
      <c r="AV90" s="2107">
        <v>1376</v>
      </c>
      <c r="AW90" s="2108">
        <v>344</v>
      </c>
      <c r="AX90" s="2108">
        <v>0</v>
      </c>
      <c r="AY90" s="2108">
        <v>0</v>
      </c>
      <c r="AZ90" s="2109">
        <v>0</v>
      </c>
      <c r="BA90" s="2110">
        <f t="shared" si="65"/>
        <v>1720</v>
      </c>
      <c r="BB90" s="2111">
        <v>1765.96</v>
      </c>
      <c r="BC90" s="2112">
        <v>3189.04</v>
      </c>
      <c r="BD90" s="2112">
        <v>0</v>
      </c>
      <c r="BE90" s="2112">
        <v>0</v>
      </c>
      <c r="BF90" s="2113">
        <v>0</v>
      </c>
      <c r="BG90" s="2114">
        <f t="shared" si="66"/>
        <v>4955</v>
      </c>
      <c r="BH90" s="2115"/>
      <c r="BI90" s="2116"/>
      <c r="BJ90" s="2116"/>
      <c r="BK90" s="2116"/>
      <c r="BL90" s="2116"/>
      <c r="BM90" s="2117">
        <f t="shared" si="67"/>
        <v>0</v>
      </c>
      <c r="BN90" s="2103">
        <v>-42.5</v>
      </c>
      <c r="BO90" s="2104">
        <v>-42.5</v>
      </c>
      <c r="BP90" s="2104">
        <v>0</v>
      </c>
      <c r="BQ90" s="2104">
        <v>0</v>
      </c>
      <c r="BR90" s="2104">
        <v>0</v>
      </c>
      <c r="BS90" s="2105">
        <f t="shared" si="68"/>
        <v>-85</v>
      </c>
      <c r="BT90" s="2103">
        <v>4547.2280988238508</v>
      </c>
      <c r="BU90" s="2104">
        <v>28816.881901176152</v>
      </c>
      <c r="BV90" s="2104">
        <v>6120.05</v>
      </c>
      <c r="BW90" s="2104">
        <v>-0.01</v>
      </c>
      <c r="BX90" s="2104">
        <v>0</v>
      </c>
      <c r="BY90" s="2105">
        <f t="shared" si="69"/>
        <v>39484.15</v>
      </c>
      <c r="BZ90" s="2103">
        <v>3293.71</v>
      </c>
      <c r="CA90" s="2104">
        <v>0</v>
      </c>
      <c r="CB90" s="2104">
        <v>3041.56</v>
      </c>
      <c r="CC90" s="2104">
        <v>0</v>
      </c>
      <c r="CD90" s="2104">
        <v>0</v>
      </c>
      <c r="CE90" s="2105">
        <f t="shared" si="70"/>
        <v>6335.27</v>
      </c>
      <c r="CF90" s="2115"/>
      <c r="CG90" s="2116"/>
      <c r="CH90" s="2116"/>
      <c r="CI90" s="2116"/>
      <c r="CJ90" s="2116"/>
      <c r="CK90" s="2117">
        <f t="shared" si="71"/>
        <v>0</v>
      </c>
      <c r="CL90" s="2103"/>
      <c r="CM90" s="2104"/>
      <c r="CN90" s="2104"/>
      <c r="CO90" s="2104"/>
      <c r="CP90" s="2104"/>
      <c r="CQ90" s="2105">
        <f t="shared" si="72"/>
        <v>0</v>
      </c>
      <c r="CR90" s="2103"/>
      <c r="CS90" s="2104"/>
      <c r="CT90" s="2104"/>
      <c r="CU90" s="2104"/>
      <c r="CV90" s="2104"/>
      <c r="CW90" s="2117">
        <f t="shared" si="73"/>
        <v>0</v>
      </c>
      <c r="CX90" s="2103"/>
      <c r="CY90" s="2104"/>
      <c r="CZ90" s="2104"/>
      <c r="DA90" s="2104"/>
      <c r="DB90" s="2104"/>
      <c r="DC90" s="2105">
        <f t="shared" si="74"/>
        <v>0</v>
      </c>
      <c r="DD90" s="2103"/>
      <c r="DE90" s="2104"/>
      <c r="DF90" s="2104"/>
      <c r="DG90" s="2104"/>
      <c r="DH90" s="2104"/>
      <c r="DI90" s="2105">
        <f t="shared" si="75"/>
        <v>0</v>
      </c>
      <c r="DJ90" s="2103"/>
      <c r="DK90" s="2104"/>
      <c r="DL90" s="2104"/>
      <c r="DM90" s="2104"/>
      <c r="DN90" s="2104"/>
      <c r="DO90" s="2105">
        <f t="shared" si="76"/>
        <v>0</v>
      </c>
      <c r="DP90" s="2103">
        <v>5358.89</v>
      </c>
      <c r="DQ90" s="2104">
        <v>3697.63</v>
      </c>
      <c r="DR90" s="2104">
        <v>1661.25</v>
      </c>
      <c r="DS90" s="2104">
        <v>0</v>
      </c>
      <c r="DT90" s="2104">
        <v>0</v>
      </c>
      <c r="DU90" s="2118">
        <f t="shared" si="77"/>
        <v>10717.77</v>
      </c>
      <c r="DV90" s="2103">
        <v>5314</v>
      </c>
      <c r="DW90" s="2104">
        <v>0</v>
      </c>
      <c r="DX90" s="2104">
        <v>974.74</v>
      </c>
      <c r="DY90" s="2104">
        <v>-104.96</v>
      </c>
      <c r="DZ90" s="2104">
        <v>0</v>
      </c>
      <c r="EA90" s="2105">
        <f t="shared" si="78"/>
        <v>6183.78</v>
      </c>
    </row>
    <row r="91" spans="1:131" s="2049" customFormat="1" ht="15" customHeight="1" x14ac:dyDescent="0.25">
      <c r="A91" s="2089" t="s">
        <v>224</v>
      </c>
      <c r="B91" s="2090" t="s">
        <v>225</v>
      </c>
      <c r="C91" s="2091" t="s">
        <v>264</v>
      </c>
      <c r="D91" s="2092">
        <f t="shared" si="79"/>
        <v>114031.68285065163</v>
      </c>
      <c r="E91" s="2093">
        <f t="shared" si="80"/>
        <v>15468.047149348342</v>
      </c>
      <c r="F91" s="2093">
        <f t="shared" si="81"/>
        <v>30216.550000000003</v>
      </c>
      <c r="G91" s="2093">
        <f t="shared" si="82"/>
        <v>-203.07999999999996</v>
      </c>
      <c r="H91" s="2093">
        <f t="shared" si="83"/>
        <v>2454.4499999999998</v>
      </c>
      <c r="I91" s="2093">
        <f t="shared" si="56"/>
        <v>161967.65</v>
      </c>
      <c r="J91" s="2093">
        <f t="shared" si="57"/>
        <v>2251.37</v>
      </c>
      <c r="K91" s="2094">
        <f t="shared" si="58"/>
        <v>32467.920000000002</v>
      </c>
      <c r="L91" s="2095"/>
      <c r="M91" s="2096"/>
      <c r="N91" s="2096"/>
      <c r="O91" s="2096"/>
      <c r="P91" s="2096"/>
      <c r="Q91" s="2097">
        <f t="shared" si="59"/>
        <v>0</v>
      </c>
      <c r="R91" s="2098"/>
      <c r="S91" s="2099"/>
      <c r="T91" s="2099"/>
      <c r="U91" s="2099"/>
      <c r="V91" s="2099"/>
      <c r="W91" s="2100">
        <f t="shared" si="60"/>
        <v>0</v>
      </c>
      <c r="X91" s="2101">
        <v>1299.48</v>
      </c>
      <c r="Y91" s="2102">
        <v>7.74</v>
      </c>
      <c r="Z91" s="2102">
        <v>239.79</v>
      </c>
      <c r="AA91" s="2102">
        <v>-0.01</v>
      </c>
      <c r="AB91" s="2102">
        <v>0</v>
      </c>
      <c r="AC91" s="2100">
        <f t="shared" si="61"/>
        <v>1547</v>
      </c>
      <c r="AD91" s="2103">
        <v>90855.56</v>
      </c>
      <c r="AE91" s="2104">
        <v>0</v>
      </c>
      <c r="AF91" s="2104">
        <v>22713.9</v>
      </c>
      <c r="AG91" s="2104">
        <v>-521.20000000000005</v>
      </c>
      <c r="AH91" s="2104">
        <v>2454.4499999999998</v>
      </c>
      <c r="AI91" s="2105">
        <f t="shared" si="62"/>
        <v>115502.70999999999</v>
      </c>
      <c r="AJ91" s="2101">
        <v>3440</v>
      </c>
      <c r="AK91" s="2102">
        <v>1227.31</v>
      </c>
      <c r="AL91" s="2102">
        <v>856.15</v>
      </c>
      <c r="AM91" s="2102">
        <v>-0.03</v>
      </c>
      <c r="AN91" s="2102">
        <v>0</v>
      </c>
      <c r="AO91" s="2106">
        <f t="shared" si="63"/>
        <v>5523.4299999999994</v>
      </c>
      <c r="AP91" s="2098"/>
      <c r="AQ91" s="2099"/>
      <c r="AR91" s="2099"/>
      <c r="AS91" s="2099"/>
      <c r="AT91" s="2099"/>
      <c r="AU91" s="2106">
        <f t="shared" si="64"/>
        <v>0</v>
      </c>
      <c r="AV91" s="2124"/>
      <c r="AW91" s="2125"/>
      <c r="AX91" s="2125"/>
      <c r="AY91" s="2125"/>
      <c r="AZ91" s="2126"/>
      <c r="BA91" s="2110">
        <f t="shared" si="65"/>
        <v>0</v>
      </c>
      <c r="BB91" s="2119"/>
      <c r="BC91" s="2120"/>
      <c r="BD91" s="2120"/>
      <c r="BE91" s="2120"/>
      <c r="BF91" s="2120"/>
      <c r="BG91" s="2114">
        <f t="shared" si="66"/>
        <v>0</v>
      </c>
      <c r="BH91" s="2103">
        <v>7023.82</v>
      </c>
      <c r="BI91" s="2104">
        <v>889.7</v>
      </c>
      <c r="BJ91" s="2104">
        <v>1451.6</v>
      </c>
      <c r="BK91" s="2104">
        <v>-0.04</v>
      </c>
      <c r="BL91" s="2104">
        <v>0</v>
      </c>
      <c r="BM91" s="2117">
        <f t="shared" si="67"/>
        <v>9365.0799999999981</v>
      </c>
      <c r="BN91" s="2103"/>
      <c r="BO91" s="2104"/>
      <c r="BP91" s="2104"/>
      <c r="BQ91" s="2104"/>
      <c r="BR91" s="2104"/>
      <c r="BS91" s="2105">
        <f t="shared" si="68"/>
        <v>0</v>
      </c>
      <c r="BT91" s="2103">
        <v>2939.5628506516559</v>
      </c>
      <c r="BU91" s="2104">
        <v>11066.297149348342</v>
      </c>
      <c r="BV91" s="2104">
        <v>2569.14</v>
      </c>
      <c r="BW91" s="2104">
        <v>318.23</v>
      </c>
      <c r="BX91" s="2104">
        <v>0</v>
      </c>
      <c r="BY91" s="2105">
        <f t="shared" si="69"/>
        <v>16893.229999999996</v>
      </c>
      <c r="BZ91" s="2115"/>
      <c r="CA91" s="2116"/>
      <c r="CB91" s="2116"/>
      <c r="CC91" s="2116"/>
      <c r="CD91" s="2116"/>
      <c r="CE91" s="2105">
        <f t="shared" si="70"/>
        <v>0</v>
      </c>
      <c r="CF91" s="2115"/>
      <c r="CG91" s="2116"/>
      <c r="CH91" s="2116"/>
      <c r="CI91" s="2116"/>
      <c r="CJ91" s="2116"/>
      <c r="CK91" s="2117">
        <f t="shared" si="71"/>
        <v>0</v>
      </c>
      <c r="CL91" s="2103"/>
      <c r="CM91" s="2104"/>
      <c r="CN91" s="2104"/>
      <c r="CO91" s="2104"/>
      <c r="CP91" s="2104"/>
      <c r="CQ91" s="2105">
        <f t="shared" si="72"/>
        <v>0</v>
      </c>
      <c r="CR91" s="2115"/>
      <c r="CS91" s="2116"/>
      <c r="CT91" s="2116"/>
      <c r="CU91" s="2116"/>
      <c r="CV91" s="2116"/>
      <c r="CW91" s="2117">
        <f t="shared" si="73"/>
        <v>0</v>
      </c>
      <c r="CX91" s="2103"/>
      <c r="CY91" s="2104"/>
      <c r="CZ91" s="2104"/>
      <c r="DA91" s="2104"/>
      <c r="DB91" s="2104"/>
      <c r="DC91" s="2105">
        <f t="shared" si="74"/>
        <v>0</v>
      </c>
      <c r="DD91" s="2103">
        <v>-2257</v>
      </c>
      <c r="DE91" s="2104">
        <v>0</v>
      </c>
      <c r="DF91" s="2104">
        <v>0</v>
      </c>
      <c r="DG91" s="2104">
        <v>0</v>
      </c>
      <c r="DH91" s="2104">
        <v>0</v>
      </c>
      <c r="DI91" s="2105">
        <f t="shared" si="75"/>
        <v>-2257</v>
      </c>
      <c r="DJ91" s="2103"/>
      <c r="DK91" s="2104"/>
      <c r="DL91" s="2104"/>
      <c r="DM91" s="2104"/>
      <c r="DN91" s="2104"/>
      <c r="DO91" s="2105">
        <f t="shared" si="76"/>
        <v>0</v>
      </c>
      <c r="DP91" s="2103">
        <v>3300</v>
      </c>
      <c r="DQ91" s="2104">
        <v>2277</v>
      </c>
      <c r="DR91" s="2104">
        <v>1023</v>
      </c>
      <c r="DS91" s="2104">
        <v>0</v>
      </c>
      <c r="DT91" s="2104">
        <v>0</v>
      </c>
      <c r="DU91" s="2118">
        <f t="shared" si="77"/>
        <v>6600</v>
      </c>
      <c r="DV91" s="2103">
        <v>7430.26</v>
      </c>
      <c r="DW91" s="2104">
        <v>0</v>
      </c>
      <c r="DX91" s="2104">
        <v>1362.97</v>
      </c>
      <c r="DY91" s="2104">
        <v>-0.03</v>
      </c>
      <c r="DZ91" s="2104">
        <v>0</v>
      </c>
      <c r="EA91" s="2105">
        <f t="shared" si="78"/>
        <v>8793.1999999999989</v>
      </c>
    </row>
    <row r="92" spans="1:131" s="2049" customFormat="1" ht="15" customHeight="1" x14ac:dyDescent="0.25">
      <c r="A92" s="2089" t="s">
        <v>226</v>
      </c>
      <c r="B92" s="2090" t="s">
        <v>227</v>
      </c>
      <c r="C92" s="2091" t="s">
        <v>264</v>
      </c>
      <c r="D92" s="2092">
        <f t="shared" si="79"/>
        <v>49367.050842845274</v>
      </c>
      <c r="E92" s="2093">
        <f t="shared" si="80"/>
        <v>9003.7491571547271</v>
      </c>
      <c r="F92" s="2093">
        <f t="shared" si="81"/>
        <v>11339.15</v>
      </c>
      <c r="G92" s="2093">
        <f t="shared" si="82"/>
        <v>-7.0000000000000007E-2</v>
      </c>
      <c r="H92" s="2093">
        <f t="shared" si="83"/>
        <v>0</v>
      </c>
      <c r="I92" s="2093">
        <f t="shared" si="56"/>
        <v>69709.87999999999</v>
      </c>
      <c r="J92" s="2093">
        <f t="shared" si="57"/>
        <v>-7.0000000000000007E-2</v>
      </c>
      <c r="K92" s="2094">
        <f t="shared" si="58"/>
        <v>11339.08</v>
      </c>
      <c r="L92" s="2095"/>
      <c r="M92" s="2096"/>
      <c r="N92" s="2096"/>
      <c r="O92" s="2096"/>
      <c r="P92" s="2096"/>
      <c r="Q92" s="2097">
        <f t="shared" si="59"/>
        <v>0</v>
      </c>
      <c r="R92" s="2101"/>
      <c r="S92" s="2102"/>
      <c r="T92" s="2102"/>
      <c r="U92" s="2102"/>
      <c r="V92" s="2102"/>
      <c r="W92" s="2100">
        <f t="shared" si="60"/>
        <v>0</v>
      </c>
      <c r="X92" s="2101">
        <v>13449.78</v>
      </c>
      <c r="Y92" s="2102">
        <v>80.06</v>
      </c>
      <c r="Z92" s="2102">
        <v>2481.81</v>
      </c>
      <c r="AA92" s="2102">
        <v>-0.01</v>
      </c>
      <c r="AB92" s="2102">
        <v>0</v>
      </c>
      <c r="AC92" s="2100">
        <f t="shared" si="61"/>
        <v>16011.64</v>
      </c>
      <c r="AD92" s="2103">
        <v>26281.15</v>
      </c>
      <c r="AE92" s="2104">
        <v>0</v>
      </c>
      <c r="AF92" s="2104">
        <v>6570.27</v>
      </c>
      <c r="AG92" s="2104">
        <v>0</v>
      </c>
      <c r="AH92" s="2104">
        <v>0</v>
      </c>
      <c r="AI92" s="2105">
        <f t="shared" si="62"/>
        <v>32851.42</v>
      </c>
      <c r="AJ92" s="2098"/>
      <c r="AK92" s="2099"/>
      <c r="AL92" s="2099"/>
      <c r="AM92" s="2099"/>
      <c r="AN92" s="2099"/>
      <c r="AO92" s="2106">
        <f t="shared" si="63"/>
        <v>0</v>
      </c>
      <c r="AP92" s="2098"/>
      <c r="AQ92" s="2099"/>
      <c r="AR92" s="2099"/>
      <c r="AS92" s="2099"/>
      <c r="AT92" s="2099"/>
      <c r="AU92" s="2106">
        <f t="shared" si="64"/>
        <v>0</v>
      </c>
      <c r="AV92" s="2107">
        <v>4873.34</v>
      </c>
      <c r="AW92" s="2108">
        <v>1218.3399999999999</v>
      </c>
      <c r="AX92" s="2108">
        <v>0</v>
      </c>
      <c r="AY92" s="2108">
        <v>0</v>
      </c>
      <c r="AZ92" s="2109">
        <v>0</v>
      </c>
      <c r="BA92" s="2110">
        <f t="shared" si="65"/>
        <v>6091.68</v>
      </c>
      <c r="BB92" s="2119"/>
      <c r="BC92" s="2120"/>
      <c r="BD92" s="2120"/>
      <c r="BE92" s="2120"/>
      <c r="BF92" s="2120"/>
      <c r="BG92" s="2114">
        <f t="shared" si="66"/>
        <v>0</v>
      </c>
      <c r="BH92" s="2103"/>
      <c r="BI92" s="2104"/>
      <c r="BJ92" s="2104"/>
      <c r="BK92" s="2104"/>
      <c r="BL92" s="2104"/>
      <c r="BM92" s="2117">
        <f t="shared" si="67"/>
        <v>0</v>
      </c>
      <c r="BN92" s="2103"/>
      <c r="BO92" s="2104"/>
      <c r="BP92" s="2104"/>
      <c r="BQ92" s="2104"/>
      <c r="BR92" s="2104"/>
      <c r="BS92" s="2105">
        <f t="shared" si="68"/>
        <v>0</v>
      </c>
      <c r="BT92" s="2103">
        <v>1241.2108428452734</v>
      </c>
      <c r="BU92" s="2104">
        <v>7614.329157154727</v>
      </c>
      <c r="BV92" s="2104">
        <v>1624.41</v>
      </c>
      <c r="BW92" s="2104">
        <v>-0.1</v>
      </c>
      <c r="BX92" s="2104">
        <v>0</v>
      </c>
      <c r="BY92" s="2105">
        <f t="shared" si="69"/>
        <v>10479.85</v>
      </c>
      <c r="BZ92" s="2115"/>
      <c r="CA92" s="2116"/>
      <c r="CB92" s="2116"/>
      <c r="CC92" s="2116"/>
      <c r="CD92" s="2116"/>
      <c r="CE92" s="2105">
        <f t="shared" si="70"/>
        <v>0</v>
      </c>
      <c r="CF92" s="2115"/>
      <c r="CG92" s="2116"/>
      <c r="CH92" s="2116"/>
      <c r="CI92" s="2116"/>
      <c r="CJ92" s="2116"/>
      <c r="CK92" s="2117">
        <f t="shared" si="71"/>
        <v>0</v>
      </c>
      <c r="CL92" s="2115"/>
      <c r="CM92" s="2116"/>
      <c r="CN92" s="2116"/>
      <c r="CO92" s="2116"/>
      <c r="CP92" s="2116"/>
      <c r="CQ92" s="2105">
        <f t="shared" si="72"/>
        <v>0</v>
      </c>
      <c r="CR92" s="2115"/>
      <c r="CS92" s="2116"/>
      <c r="CT92" s="2116"/>
      <c r="CU92" s="2116"/>
      <c r="CV92" s="2116"/>
      <c r="CW92" s="2117">
        <f t="shared" si="73"/>
        <v>0</v>
      </c>
      <c r="CX92" s="2103"/>
      <c r="CY92" s="2104"/>
      <c r="CZ92" s="2104"/>
      <c r="DA92" s="2104"/>
      <c r="DB92" s="2104"/>
      <c r="DC92" s="2105">
        <f t="shared" si="74"/>
        <v>0</v>
      </c>
      <c r="DD92" s="2103"/>
      <c r="DE92" s="2104"/>
      <c r="DF92" s="2104"/>
      <c r="DG92" s="2104"/>
      <c r="DH92" s="2104"/>
      <c r="DI92" s="2105">
        <f t="shared" si="75"/>
        <v>0</v>
      </c>
      <c r="DJ92" s="2103"/>
      <c r="DK92" s="2104"/>
      <c r="DL92" s="2104"/>
      <c r="DM92" s="2104"/>
      <c r="DN92" s="2104"/>
      <c r="DO92" s="2105">
        <f t="shared" si="76"/>
        <v>0</v>
      </c>
      <c r="DP92" s="2103">
        <v>131.91999999999999</v>
      </c>
      <c r="DQ92" s="2104">
        <v>91.02</v>
      </c>
      <c r="DR92" s="2104">
        <v>40.89</v>
      </c>
      <c r="DS92" s="2104">
        <v>0</v>
      </c>
      <c r="DT92" s="2104">
        <v>0</v>
      </c>
      <c r="DU92" s="2118">
        <f t="shared" si="77"/>
        <v>263.83</v>
      </c>
      <c r="DV92" s="2103">
        <v>3389.65</v>
      </c>
      <c r="DW92" s="2104">
        <v>0</v>
      </c>
      <c r="DX92" s="2104">
        <v>621.77</v>
      </c>
      <c r="DY92" s="2104">
        <v>0.04</v>
      </c>
      <c r="DZ92" s="2104">
        <v>0</v>
      </c>
      <c r="EA92" s="2105">
        <f t="shared" si="78"/>
        <v>4011.46</v>
      </c>
    </row>
    <row r="93" spans="1:131" s="2049" customFormat="1" ht="15" customHeight="1" x14ac:dyDescent="0.25">
      <c r="A93" s="2089" t="s">
        <v>228</v>
      </c>
      <c r="B93" s="2090" t="s">
        <v>229</v>
      </c>
      <c r="C93" s="2091" t="s">
        <v>268</v>
      </c>
      <c r="D93" s="2092">
        <f t="shared" si="79"/>
        <v>114079.67207789041</v>
      </c>
      <c r="E93" s="2093">
        <f t="shared" si="80"/>
        <v>91581.417922109598</v>
      </c>
      <c r="F93" s="2093">
        <f t="shared" si="81"/>
        <v>37993.160000000003</v>
      </c>
      <c r="G93" s="2093">
        <f t="shared" si="82"/>
        <v>-0.15</v>
      </c>
      <c r="H93" s="2093">
        <f t="shared" si="83"/>
        <v>0</v>
      </c>
      <c r="I93" s="2093">
        <f t="shared" si="56"/>
        <v>243654.10000000003</v>
      </c>
      <c r="J93" s="2093">
        <f t="shared" si="57"/>
        <v>-0.15</v>
      </c>
      <c r="K93" s="2094">
        <f t="shared" si="58"/>
        <v>37993.01</v>
      </c>
      <c r="L93" s="2095"/>
      <c r="M93" s="2096"/>
      <c r="N93" s="2096"/>
      <c r="O93" s="2096"/>
      <c r="P93" s="2096"/>
      <c r="Q93" s="2097">
        <f t="shared" si="59"/>
        <v>0</v>
      </c>
      <c r="R93" s="2098"/>
      <c r="S93" s="2099"/>
      <c r="T93" s="2099"/>
      <c r="U93" s="2099"/>
      <c r="V93" s="2099"/>
      <c r="W93" s="2100">
        <f t="shared" si="60"/>
        <v>0</v>
      </c>
      <c r="X93" s="2101">
        <v>7219.21</v>
      </c>
      <c r="Y93" s="2102">
        <v>42.98</v>
      </c>
      <c r="Z93" s="2102">
        <v>1332.12</v>
      </c>
      <c r="AA93" s="2102">
        <v>-0.02</v>
      </c>
      <c r="AB93" s="2102">
        <v>0</v>
      </c>
      <c r="AC93" s="2100">
        <f t="shared" si="61"/>
        <v>8594.2899999999991</v>
      </c>
      <c r="AD93" s="2103">
        <v>28462.720000000001</v>
      </c>
      <c r="AE93" s="2104">
        <v>0</v>
      </c>
      <c r="AF93" s="2104">
        <v>7115.76</v>
      </c>
      <c r="AG93" s="2104">
        <v>0</v>
      </c>
      <c r="AH93" s="2104">
        <v>0</v>
      </c>
      <c r="AI93" s="2105">
        <f t="shared" si="62"/>
        <v>35578.480000000003</v>
      </c>
      <c r="AJ93" s="2101">
        <v>26222.959999999999</v>
      </c>
      <c r="AK93" s="2102">
        <v>10652.9</v>
      </c>
      <c r="AL93" s="2102">
        <v>6764.22</v>
      </c>
      <c r="AM93" s="2102">
        <v>-0.03</v>
      </c>
      <c r="AN93" s="2102">
        <v>0</v>
      </c>
      <c r="AO93" s="2106">
        <f t="shared" si="63"/>
        <v>43640.05</v>
      </c>
      <c r="AP93" s="2101">
        <v>1244.6099999999999</v>
      </c>
      <c r="AQ93" s="2102">
        <v>311.16000000000003</v>
      </c>
      <c r="AR93" s="2102">
        <v>0</v>
      </c>
      <c r="AS93" s="2102">
        <v>0</v>
      </c>
      <c r="AT93" s="2102">
        <v>0</v>
      </c>
      <c r="AU93" s="2106">
        <f t="shared" si="64"/>
        <v>1555.77</v>
      </c>
      <c r="AV93" s="2107">
        <v>5068.79</v>
      </c>
      <c r="AW93" s="2108">
        <v>1267.21</v>
      </c>
      <c r="AX93" s="2108">
        <v>0</v>
      </c>
      <c r="AY93" s="2108">
        <v>0</v>
      </c>
      <c r="AZ93" s="2109">
        <v>0</v>
      </c>
      <c r="BA93" s="2110">
        <f t="shared" si="65"/>
        <v>6336</v>
      </c>
      <c r="BB93" s="2111">
        <v>347.49</v>
      </c>
      <c r="BC93" s="2112">
        <v>627.51</v>
      </c>
      <c r="BD93" s="2112">
        <v>0</v>
      </c>
      <c r="BE93" s="2112">
        <v>0</v>
      </c>
      <c r="BF93" s="2113">
        <v>0</v>
      </c>
      <c r="BG93" s="2114">
        <f t="shared" si="66"/>
        <v>975</v>
      </c>
      <c r="BH93" s="2103">
        <v>28484.7</v>
      </c>
      <c r="BI93" s="2104">
        <v>3608.06</v>
      </c>
      <c r="BJ93" s="2104">
        <v>5886.84</v>
      </c>
      <c r="BK93" s="2104">
        <v>0</v>
      </c>
      <c r="BL93" s="2104">
        <v>0</v>
      </c>
      <c r="BM93" s="2117">
        <f t="shared" si="67"/>
        <v>37979.600000000006</v>
      </c>
      <c r="BN93" s="2103"/>
      <c r="BO93" s="2104"/>
      <c r="BP93" s="2104"/>
      <c r="BQ93" s="2104"/>
      <c r="BR93" s="2104"/>
      <c r="BS93" s="2105">
        <f t="shared" si="68"/>
        <v>0</v>
      </c>
      <c r="BT93" s="2103">
        <v>12511.862077890415</v>
      </c>
      <c r="BU93" s="2104">
        <v>73042.997922109585</v>
      </c>
      <c r="BV93" s="2104">
        <v>15693.49</v>
      </c>
      <c r="BW93" s="2104">
        <v>-0.13</v>
      </c>
      <c r="BX93" s="2104">
        <v>0</v>
      </c>
      <c r="BY93" s="2105">
        <f t="shared" si="69"/>
        <v>101248.22</v>
      </c>
      <c r="BZ93" s="2115"/>
      <c r="CA93" s="2116"/>
      <c r="CB93" s="2116"/>
      <c r="CC93" s="2116"/>
      <c r="CD93" s="2116"/>
      <c r="CE93" s="2105">
        <f t="shared" si="70"/>
        <v>0</v>
      </c>
      <c r="CF93" s="2115"/>
      <c r="CG93" s="2116"/>
      <c r="CH93" s="2116"/>
      <c r="CI93" s="2116"/>
      <c r="CJ93" s="2116"/>
      <c r="CK93" s="2117">
        <f t="shared" si="71"/>
        <v>0</v>
      </c>
      <c r="CL93" s="2103"/>
      <c r="CM93" s="2104"/>
      <c r="CN93" s="2104"/>
      <c r="CO93" s="2104"/>
      <c r="CP93" s="2104"/>
      <c r="CQ93" s="2105">
        <f t="shared" si="72"/>
        <v>0</v>
      </c>
      <c r="CR93" s="2115"/>
      <c r="CS93" s="2116"/>
      <c r="CT93" s="2116"/>
      <c r="CU93" s="2116"/>
      <c r="CV93" s="2116"/>
      <c r="CW93" s="2117">
        <f t="shared" si="73"/>
        <v>0</v>
      </c>
      <c r="CX93" s="2103"/>
      <c r="CY93" s="2104"/>
      <c r="CZ93" s="2104"/>
      <c r="DA93" s="2104"/>
      <c r="DB93" s="2104"/>
      <c r="DC93" s="2105">
        <f t="shared" si="74"/>
        <v>0</v>
      </c>
      <c r="DD93" s="2103"/>
      <c r="DE93" s="2104"/>
      <c r="DF93" s="2104"/>
      <c r="DG93" s="2104"/>
      <c r="DH93" s="2104"/>
      <c r="DI93" s="2105">
        <f t="shared" si="75"/>
        <v>0</v>
      </c>
      <c r="DJ93" s="2103"/>
      <c r="DK93" s="2104"/>
      <c r="DL93" s="2104"/>
      <c r="DM93" s="2104"/>
      <c r="DN93" s="2104"/>
      <c r="DO93" s="2105">
        <f t="shared" si="76"/>
        <v>0</v>
      </c>
      <c r="DP93" s="2103">
        <v>2940</v>
      </c>
      <c r="DQ93" s="2104">
        <v>2028.6</v>
      </c>
      <c r="DR93" s="2104">
        <v>911.4</v>
      </c>
      <c r="DS93" s="2104">
        <v>0</v>
      </c>
      <c r="DT93" s="2104">
        <v>0</v>
      </c>
      <c r="DU93" s="2118">
        <f t="shared" si="77"/>
        <v>5880</v>
      </c>
      <c r="DV93" s="2103">
        <v>1577.33</v>
      </c>
      <c r="DW93" s="2104">
        <v>0</v>
      </c>
      <c r="DX93" s="2104">
        <v>289.33</v>
      </c>
      <c r="DY93" s="2104">
        <v>0.03</v>
      </c>
      <c r="DZ93" s="2104">
        <v>0</v>
      </c>
      <c r="EA93" s="2105">
        <f t="shared" si="78"/>
        <v>1866.6899999999998</v>
      </c>
    </row>
    <row r="94" spans="1:131" s="2049" customFormat="1" ht="15" customHeight="1" x14ac:dyDescent="0.25">
      <c r="A94" s="2089" t="s">
        <v>232</v>
      </c>
      <c r="B94" s="2090" t="s">
        <v>233</v>
      </c>
      <c r="C94" s="2091" t="s">
        <v>267</v>
      </c>
      <c r="D94" s="2092">
        <f t="shared" si="79"/>
        <v>27011.162429700271</v>
      </c>
      <c r="E94" s="2093">
        <f t="shared" si="80"/>
        <v>34269.007570299727</v>
      </c>
      <c r="F94" s="2093">
        <f t="shared" si="81"/>
        <v>11239.2</v>
      </c>
      <c r="G94" s="2093">
        <f t="shared" si="82"/>
        <v>-0.09</v>
      </c>
      <c r="H94" s="2093">
        <f t="shared" si="83"/>
        <v>0</v>
      </c>
      <c r="I94" s="2093">
        <f t="shared" si="56"/>
        <v>72519.28</v>
      </c>
      <c r="J94" s="2093">
        <f t="shared" si="57"/>
        <v>-0.09</v>
      </c>
      <c r="K94" s="2094">
        <f t="shared" si="58"/>
        <v>11239.11</v>
      </c>
      <c r="L94" s="2095"/>
      <c r="M94" s="2096"/>
      <c r="N94" s="2096"/>
      <c r="O94" s="2096"/>
      <c r="P94" s="2096"/>
      <c r="Q94" s="2097">
        <f t="shared" si="59"/>
        <v>0</v>
      </c>
      <c r="R94" s="2098"/>
      <c r="S94" s="2099"/>
      <c r="T94" s="2099"/>
      <c r="U94" s="2099"/>
      <c r="V94" s="2099"/>
      <c r="W94" s="2100">
        <f t="shared" si="60"/>
        <v>0</v>
      </c>
      <c r="X94" s="2101">
        <v>2051.4899999999998</v>
      </c>
      <c r="Y94" s="2102">
        <v>12.22</v>
      </c>
      <c r="Z94" s="2102">
        <v>378.57</v>
      </c>
      <c r="AA94" s="2102">
        <v>-0.02</v>
      </c>
      <c r="AB94" s="2102">
        <v>0</v>
      </c>
      <c r="AC94" s="2100">
        <f t="shared" si="61"/>
        <v>2442.2599999999998</v>
      </c>
      <c r="AD94" s="2103">
        <v>682.35</v>
      </c>
      <c r="AE94" s="2104">
        <v>0</v>
      </c>
      <c r="AF94" s="2104">
        <v>170.59</v>
      </c>
      <c r="AG94" s="2104">
        <v>0</v>
      </c>
      <c r="AH94" s="2104">
        <v>0</v>
      </c>
      <c r="AI94" s="2105">
        <f t="shared" si="62"/>
        <v>852.94</v>
      </c>
      <c r="AJ94" s="2098"/>
      <c r="AK94" s="2099"/>
      <c r="AL94" s="2099"/>
      <c r="AM94" s="2099"/>
      <c r="AN94" s="2099"/>
      <c r="AO94" s="2106">
        <f t="shared" si="63"/>
        <v>0</v>
      </c>
      <c r="AP94" s="2101">
        <v>-240</v>
      </c>
      <c r="AQ94" s="2102">
        <v>-60</v>
      </c>
      <c r="AR94" s="2102">
        <v>0</v>
      </c>
      <c r="AS94" s="2102">
        <v>0</v>
      </c>
      <c r="AT94" s="2102">
        <v>0</v>
      </c>
      <c r="AU94" s="2106">
        <f t="shared" si="64"/>
        <v>-300</v>
      </c>
      <c r="AV94" s="2107">
        <v>444.91</v>
      </c>
      <c r="AW94" s="2108">
        <v>111.23</v>
      </c>
      <c r="AX94" s="2108">
        <v>0</v>
      </c>
      <c r="AY94" s="2108">
        <v>0</v>
      </c>
      <c r="AZ94" s="2109">
        <v>0</v>
      </c>
      <c r="BA94" s="2110">
        <f t="shared" si="65"/>
        <v>556.14</v>
      </c>
      <c r="BB94" s="2111"/>
      <c r="BC94" s="2112"/>
      <c r="BD94" s="2112"/>
      <c r="BE94" s="2112"/>
      <c r="BF94" s="2113"/>
      <c r="BG94" s="2114">
        <f t="shared" si="66"/>
        <v>0</v>
      </c>
      <c r="BH94" s="2103">
        <v>6682.24</v>
      </c>
      <c r="BI94" s="2104">
        <v>846.42</v>
      </c>
      <c r="BJ94" s="2104">
        <v>1381</v>
      </c>
      <c r="BK94" s="2104">
        <v>-0.02</v>
      </c>
      <c r="BL94" s="2104">
        <v>0</v>
      </c>
      <c r="BM94" s="2117">
        <f t="shared" si="67"/>
        <v>8909.64</v>
      </c>
      <c r="BN94" s="2103"/>
      <c r="BO94" s="2104"/>
      <c r="BP94" s="2104"/>
      <c r="BQ94" s="2104"/>
      <c r="BR94" s="2104"/>
      <c r="BS94" s="2105">
        <f t="shared" si="68"/>
        <v>0</v>
      </c>
      <c r="BT94" s="2103">
        <v>4665.1124297002716</v>
      </c>
      <c r="BU94" s="2104">
        <v>29564.14757029973</v>
      </c>
      <c r="BV94" s="2104">
        <v>6278.77</v>
      </c>
      <c r="BW94" s="2104">
        <v>-0.08</v>
      </c>
      <c r="BX94" s="2104">
        <v>0</v>
      </c>
      <c r="BY94" s="2105">
        <f t="shared" si="69"/>
        <v>40507.949999999997</v>
      </c>
      <c r="BZ94" s="2103"/>
      <c r="CA94" s="2104"/>
      <c r="CB94" s="2104"/>
      <c r="CC94" s="2104"/>
      <c r="CD94" s="2104"/>
      <c r="CE94" s="2105">
        <f t="shared" si="70"/>
        <v>0</v>
      </c>
      <c r="CF94" s="2115"/>
      <c r="CG94" s="2116"/>
      <c r="CH94" s="2116"/>
      <c r="CI94" s="2116"/>
      <c r="CJ94" s="2116"/>
      <c r="CK94" s="2117">
        <f t="shared" si="71"/>
        <v>0</v>
      </c>
      <c r="CL94" s="2103"/>
      <c r="CM94" s="2104"/>
      <c r="CN94" s="2104"/>
      <c r="CO94" s="2104"/>
      <c r="CP94" s="2104"/>
      <c r="CQ94" s="2105">
        <f t="shared" si="72"/>
        <v>0</v>
      </c>
      <c r="CR94" s="2103"/>
      <c r="CS94" s="2104"/>
      <c r="CT94" s="2104"/>
      <c r="CU94" s="2104"/>
      <c r="CV94" s="2104"/>
      <c r="CW94" s="2117">
        <f t="shared" si="73"/>
        <v>0</v>
      </c>
      <c r="CX94" s="2103"/>
      <c r="CY94" s="2104"/>
      <c r="CZ94" s="2104"/>
      <c r="DA94" s="2104"/>
      <c r="DB94" s="2104"/>
      <c r="DC94" s="2105">
        <f t="shared" si="74"/>
        <v>0</v>
      </c>
      <c r="DD94" s="2103"/>
      <c r="DE94" s="2104"/>
      <c r="DF94" s="2104"/>
      <c r="DG94" s="2104"/>
      <c r="DH94" s="2104"/>
      <c r="DI94" s="2105">
        <f t="shared" si="75"/>
        <v>0</v>
      </c>
      <c r="DJ94" s="2103"/>
      <c r="DK94" s="2104"/>
      <c r="DL94" s="2104"/>
      <c r="DM94" s="2104"/>
      <c r="DN94" s="2104"/>
      <c r="DO94" s="2105">
        <f t="shared" si="76"/>
        <v>0</v>
      </c>
      <c r="DP94" s="2103">
        <v>5500.01</v>
      </c>
      <c r="DQ94" s="2104">
        <v>3794.99</v>
      </c>
      <c r="DR94" s="2104">
        <v>1704.99</v>
      </c>
      <c r="DS94" s="2104">
        <v>0</v>
      </c>
      <c r="DT94" s="2104">
        <v>0</v>
      </c>
      <c r="DU94" s="2118">
        <f t="shared" si="77"/>
        <v>10999.99</v>
      </c>
      <c r="DV94" s="2103">
        <v>7225.05</v>
      </c>
      <c r="DW94" s="2104">
        <v>0</v>
      </c>
      <c r="DX94" s="2104">
        <v>1325.28</v>
      </c>
      <c r="DY94" s="2104">
        <v>0.03</v>
      </c>
      <c r="DZ94" s="2104">
        <v>0</v>
      </c>
      <c r="EA94" s="2105">
        <f t="shared" si="78"/>
        <v>8550.36</v>
      </c>
    </row>
    <row r="95" spans="1:131" s="2049" customFormat="1" ht="15" customHeight="1" x14ac:dyDescent="0.25">
      <c r="A95" s="2089" t="s">
        <v>234</v>
      </c>
      <c r="B95" s="2090" t="s">
        <v>235</v>
      </c>
      <c r="C95" s="2091" t="s">
        <v>268</v>
      </c>
      <c r="D95" s="2092">
        <f t="shared" si="79"/>
        <v>103873.61606830379</v>
      </c>
      <c r="E95" s="2093">
        <f t="shared" si="80"/>
        <v>36292.343931696203</v>
      </c>
      <c r="F95" s="2093">
        <f t="shared" si="81"/>
        <v>29559.8</v>
      </c>
      <c r="G95" s="2093">
        <f t="shared" si="82"/>
        <v>10.66</v>
      </c>
      <c r="H95" s="2093">
        <f t="shared" si="83"/>
        <v>0</v>
      </c>
      <c r="I95" s="2093">
        <f t="shared" si="56"/>
        <v>169736.41999999998</v>
      </c>
      <c r="J95" s="2093">
        <f t="shared" si="57"/>
        <v>10.66</v>
      </c>
      <c r="K95" s="2094">
        <f t="shared" si="58"/>
        <v>29570.46</v>
      </c>
      <c r="L95" s="2095"/>
      <c r="M95" s="2096"/>
      <c r="N95" s="2096"/>
      <c r="O95" s="2096"/>
      <c r="P95" s="2096"/>
      <c r="Q95" s="2097">
        <f t="shared" si="59"/>
        <v>0</v>
      </c>
      <c r="R95" s="2101"/>
      <c r="S95" s="2102"/>
      <c r="T95" s="2102"/>
      <c r="U95" s="2102"/>
      <c r="V95" s="2102"/>
      <c r="W95" s="2100">
        <f t="shared" si="60"/>
        <v>0</v>
      </c>
      <c r="X95" s="2101">
        <v>19916.96</v>
      </c>
      <c r="Y95" s="2102">
        <v>118.54</v>
      </c>
      <c r="Z95" s="2102">
        <v>3675.15</v>
      </c>
      <c r="AA95" s="2102">
        <v>0.03</v>
      </c>
      <c r="AB95" s="2102">
        <v>0</v>
      </c>
      <c r="AC95" s="2100">
        <f t="shared" si="61"/>
        <v>23710.68</v>
      </c>
      <c r="AD95" s="2103">
        <v>35578.85</v>
      </c>
      <c r="AE95" s="2104">
        <v>0</v>
      </c>
      <c r="AF95" s="2104">
        <v>8894.7099999999991</v>
      </c>
      <c r="AG95" s="2104">
        <v>0</v>
      </c>
      <c r="AH95" s="2104">
        <v>0</v>
      </c>
      <c r="AI95" s="2105">
        <f t="shared" si="62"/>
        <v>44473.56</v>
      </c>
      <c r="AJ95" s="2098"/>
      <c r="AK95" s="2099"/>
      <c r="AL95" s="2099"/>
      <c r="AM95" s="2099"/>
      <c r="AN95" s="2099"/>
      <c r="AO95" s="2106">
        <f t="shared" si="63"/>
        <v>0</v>
      </c>
      <c r="AP95" s="2098">
        <v>1524.1</v>
      </c>
      <c r="AQ95" s="2099">
        <v>381.03</v>
      </c>
      <c r="AR95" s="2099">
        <v>0</v>
      </c>
      <c r="AS95" s="2099">
        <v>0</v>
      </c>
      <c r="AT95" s="2099">
        <v>0</v>
      </c>
      <c r="AU95" s="2106">
        <f t="shared" si="64"/>
        <v>1905.1299999999999</v>
      </c>
      <c r="AV95" s="2107">
        <v>1365.11</v>
      </c>
      <c r="AW95" s="2108">
        <v>341.27</v>
      </c>
      <c r="AX95" s="2108">
        <v>0</v>
      </c>
      <c r="AY95" s="2108">
        <v>0</v>
      </c>
      <c r="AZ95" s="2109">
        <v>0</v>
      </c>
      <c r="BA95" s="2110">
        <f t="shared" si="65"/>
        <v>1706.3799999999999</v>
      </c>
      <c r="BB95" s="2111">
        <v>26.73</v>
      </c>
      <c r="BC95" s="2112">
        <v>48.27</v>
      </c>
      <c r="BD95" s="2112">
        <v>0</v>
      </c>
      <c r="BE95" s="2112">
        <v>0</v>
      </c>
      <c r="BF95" s="2113">
        <v>0</v>
      </c>
      <c r="BG95" s="2114">
        <f t="shared" si="66"/>
        <v>75</v>
      </c>
      <c r="BH95" s="2103">
        <v>29097.03</v>
      </c>
      <c r="BI95" s="2104">
        <v>3685.61</v>
      </c>
      <c r="BJ95" s="2104">
        <v>6013.39</v>
      </c>
      <c r="BK95" s="2104">
        <v>10.73</v>
      </c>
      <c r="BL95" s="2104">
        <v>0</v>
      </c>
      <c r="BM95" s="2117">
        <f t="shared" si="67"/>
        <v>38806.76</v>
      </c>
      <c r="BN95" s="2103"/>
      <c r="BO95" s="2104"/>
      <c r="BP95" s="2104"/>
      <c r="BQ95" s="2104"/>
      <c r="BR95" s="2104"/>
      <c r="BS95" s="2105">
        <f t="shared" si="68"/>
        <v>0</v>
      </c>
      <c r="BT95" s="2103">
        <v>4896.1660683037953</v>
      </c>
      <c r="BU95" s="2104">
        <v>31027.623931696206</v>
      </c>
      <c r="BV95" s="2104">
        <v>6589.58</v>
      </c>
      <c r="BW95" s="2104">
        <v>-0.12</v>
      </c>
      <c r="BX95" s="2104">
        <v>0</v>
      </c>
      <c r="BY95" s="2105">
        <f t="shared" si="69"/>
        <v>42513.25</v>
      </c>
      <c r="BZ95" s="2103">
        <v>2914.41</v>
      </c>
      <c r="CA95" s="2104">
        <v>0</v>
      </c>
      <c r="CB95" s="2104">
        <v>2691.28</v>
      </c>
      <c r="CC95" s="2104">
        <v>-0.01</v>
      </c>
      <c r="CD95" s="2104">
        <v>0</v>
      </c>
      <c r="CE95" s="2105">
        <f t="shared" si="70"/>
        <v>5605.68</v>
      </c>
      <c r="CF95" s="2115"/>
      <c r="CG95" s="2116"/>
      <c r="CH95" s="2116"/>
      <c r="CI95" s="2116"/>
      <c r="CJ95" s="2116"/>
      <c r="CK95" s="2117">
        <f t="shared" si="71"/>
        <v>0</v>
      </c>
      <c r="CL95" s="2103"/>
      <c r="CM95" s="2104"/>
      <c r="CN95" s="2104"/>
      <c r="CO95" s="2104"/>
      <c r="CP95" s="2104"/>
      <c r="CQ95" s="2105">
        <f t="shared" si="72"/>
        <v>0</v>
      </c>
      <c r="CR95" s="2103"/>
      <c r="CS95" s="2104"/>
      <c r="CT95" s="2104"/>
      <c r="CU95" s="2104"/>
      <c r="CV95" s="2104"/>
      <c r="CW95" s="2117">
        <f t="shared" si="73"/>
        <v>0</v>
      </c>
      <c r="CX95" s="2103"/>
      <c r="CY95" s="2104"/>
      <c r="CZ95" s="2104"/>
      <c r="DA95" s="2104"/>
      <c r="DB95" s="2104"/>
      <c r="DC95" s="2105">
        <f t="shared" si="74"/>
        <v>0</v>
      </c>
      <c r="DD95" s="2103"/>
      <c r="DE95" s="2104"/>
      <c r="DF95" s="2104"/>
      <c r="DG95" s="2104"/>
      <c r="DH95" s="2104"/>
      <c r="DI95" s="2105">
        <f t="shared" si="75"/>
        <v>0</v>
      </c>
      <c r="DJ95" s="2103"/>
      <c r="DK95" s="2104"/>
      <c r="DL95" s="2104"/>
      <c r="DM95" s="2104"/>
      <c r="DN95" s="2104"/>
      <c r="DO95" s="2105">
        <f t="shared" si="76"/>
        <v>0</v>
      </c>
      <c r="DP95" s="2103">
        <v>1000</v>
      </c>
      <c r="DQ95" s="2104">
        <v>690</v>
      </c>
      <c r="DR95" s="2104">
        <v>310</v>
      </c>
      <c r="DS95" s="2104">
        <v>0</v>
      </c>
      <c r="DT95" s="2104">
        <v>0</v>
      </c>
      <c r="DU95" s="2118">
        <f t="shared" si="77"/>
        <v>2000</v>
      </c>
      <c r="DV95" s="2103">
        <v>7554.26</v>
      </c>
      <c r="DW95" s="2104">
        <v>0</v>
      </c>
      <c r="DX95" s="2104">
        <v>1385.69</v>
      </c>
      <c r="DY95" s="2104">
        <v>0.03</v>
      </c>
      <c r="DZ95" s="2104">
        <v>0</v>
      </c>
      <c r="EA95" s="2105">
        <f t="shared" si="78"/>
        <v>8939.9800000000014</v>
      </c>
    </row>
    <row r="96" spans="1:131" s="2049" customFormat="1" ht="15" customHeight="1" x14ac:dyDescent="0.25">
      <c r="A96" s="2089" t="s">
        <v>236</v>
      </c>
      <c r="B96" s="2090" t="s">
        <v>237</v>
      </c>
      <c r="C96" s="2091" t="s">
        <v>266</v>
      </c>
      <c r="D96" s="2092">
        <f t="shared" si="79"/>
        <v>29966.772210144587</v>
      </c>
      <c r="E96" s="2093">
        <f t="shared" si="80"/>
        <v>29917.177789855414</v>
      </c>
      <c r="F96" s="2093">
        <f t="shared" si="81"/>
        <v>11275.470000000001</v>
      </c>
      <c r="G96" s="2093">
        <f t="shared" si="82"/>
        <v>-7.9999999999999988E-2</v>
      </c>
      <c r="H96" s="2093">
        <f t="shared" si="83"/>
        <v>0</v>
      </c>
      <c r="I96" s="2093">
        <f t="shared" si="56"/>
        <v>71159.34</v>
      </c>
      <c r="J96" s="2093">
        <f t="shared" si="57"/>
        <v>-7.9999999999999988E-2</v>
      </c>
      <c r="K96" s="2094">
        <f t="shared" si="58"/>
        <v>11275.390000000001</v>
      </c>
      <c r="L96" s="2095"/>
      <c r="M96" s="2096"/>
      <c r="N96" s="2096"/>
      <c r="O96" s="2096"/>
      <c r="P96" s="2096"/>
      <c r="Q96" s="2097">
        <f t="shared" si="59"/>
        <v>0</v>
      </c>
      <c r="R96" s="2098"/>
      <c r="S96" s="2099"/>
      <c r="T96" s="2099"/>
      <c r="U96" s="2099"/>
      <c r="V96" s="2099"/>
      <c r="W96" s="2100">
        <f t="shared" si="60"/>
        <v>0</v>
      </c>
      <c r="X96" s="2101">
        <v>1277.67</v>
      </c>
      <c r="Y96" s="2102">
        <v>7.61</v>
      </c>
      <c r="Z96" s="2102">
        <v>235.76</v>
      </c>
      <c r="AA96" s="2102">
        <v>-0.01</v>
      </c>
      <c r="AB96" s="2102">
        <v>0</v>
      </c>
      <c r="AC96" s="2100">
        <f t="shared" si="61"/>
        <v>1521.03</v>
      </c>
      <c r="AD96" s="2103">
        <v>6276.48</v>
      </c>
      <c r="AE96" s="2104">
        <v>0</v>
      </c>
      <c r="AF96" s="2104">
        <v>1569.12</v>
      </c>
      <c r="AG96" s="2104">
        <v>0</v>
      </c>
      <c r="AH96" s="2104">
        <v>0</v>
      </c>
      <c r="AI96" s="2105">
        <f t="shared" si="62"/>
        <v>7845.5999999999995</v>
      </c>
      <c r="AJ96" s="2098"/>
      <c r="AK96" s="2099"/>
      <c r="AL96" s="2099"/>
      <c r="AM96" s="2099"/>
      <c r="AN96" s="2099"/>
      <c r="AO96" s="2106">
        <f t="shared" si="63"/>
        <v>0</v>
      </c>
      <c r="AP96" s="2098"/>
      <c r="AQ96" s="2099"/>
      <c r="AR96" s="2099"/>
      <c r="AS96" s="2099"/>
      <c r="AT96" s="2099"/>
      <c r="AU96" s="2106">
        <f t="shared" si="64"/>
        <v>0</v>
      </c>
      <c r="AV96" s="2107">
        <v>553.72</v>
      </c>
      <c r="AW96" s="2108">
        <v>138.43</v>
      </c>
      <c r="AX96" s="2108">
        <v>0</v>
      </c>
      <c r="AY96" s="2108">
        <v>0</v>
      </c>
      <c r="AZ96" s="2109">
        <v>0</v>
      </c>
      <c r="BA96" s="2110">
        <f t="shared" si="65"/>
        <v>692.15000000000009</v>
      </c>
      <c r="BB96" s="2119"/>
      <c r="BC96" s="2120"/>
      <c r="BD96" s="2120"/>
      <c r="BE96" s="2120"/>
      <c r="BF96" s="2120"/>
      <c r="BG96" s="2114">
        <f t="shared" si="66"/>
        <v>0</v>
      </c>
      <c r="BH96" s="2103">
        <v>13387.18</v>
      </c>
      <c r="BI96" s="2104">
        <v>1695.75</v>
      </c>
      <c r="BJ96" s="2104">
        <v>2766.71</v>
      </c>
      <c r="BK96" s="2104">
        <v>-0.06</v>
      </c>
      <c r="BL96" s="2104">
        <v>0</v>
      </c>
      <c r="BM96" s="2117">
        <f t="shared" si="67"/>
        <v>17849.579999999998</v>
      </c>
      <c r="BN96" s="2103"/>
      <c r="BO96" s="2104"/>
      <c r="BP96" s="2104"/>
      <c r="BQ96" s="2104"/>
      <c r="BR96" s="2104"/>
      <c r="BS96" s="2105">
        <f t="shared" si="68"/>
        <v>0</v>
      </c>
      <c r="BT96" s="2103">
        <v>4676.772210144587</v>
      </c>
      <c r="BU96" s="2104">
        <v>25513.757789855412</v>
      </c>
      <c r="BV96" s="2104">
        <v>5537.89</v>
      </c>
      <c r="BW96" s="2104">
        <v>-0.04</v>
      </c>
      <c r="BX96" s="2104">
        <v>0</v>
      </c>
      <c r="BY96" s="2105">
        <f t="shared" si="69"/>
        <v>35728.379999999997</v>
      </c>
      <c r="BZ96" s="2115"/>
      <c r="CA96" s="2116"/>
      <c r="CB96" s="2116"/>
      <c r="CC96" s="2116"/>
      <c r="CD96" s="2116"/>
      <c r="CE96" s="2105">
        <f t="shared" si="70"/>
        <v>0</v>
      </c>
      <c r="CF96" s="2115"/>
      <c r="CG96" s="2116"/>
      <c r="CH96" s="2116"/>
      <c r="CI96" s="2116"/>
      <c r="CJ96" s="2116"/>
      <c r="CK96" s="2117">
        <f t="shared" si="71"/>
        <v>0</v>
      </c>
      <c r="CL96" s="2115"/>
      <c r="CM96" s="2116"/>
      <c r="CN96" s="2116"/>
      <c r="CO96" s="2116"/>
      <c r="CP96" s="2116"/>
      <c r="CQ96" s="2105">
        <f t="shared" si="72"/>
        <v>0</v>
      </c>
      <c r="CR96" s="2115"/>
      <c r="CS96" s="2116"/>
      <c r="CT96" s="2116"/>
      <c r="CU96" s="2116"/>
      <c r="CV96" s="2116"/>
      <c r="CW96" s="2117">
        <f t="shared" si="73"/>
        <v>0</v>
      </c>
      <c r="CX96" s="2103"/>
      <c r="CY96" s="2104"/>
      <c r="CZ96" s="2104"/>
      <c r="DA96" s="2104"/>
      <c r="DB96" s="2104"/>
      <c r="DC96" s="2105">
        <f t="shared" si="74"/>
        <v>0</v>
      </c>
      <c r="DD96" s="2103"/>
      <c r="DE96" s="2104"/>
      <c r="DF96" s="2104"/>
      <c r="DG96" s="2104"/>
      <c r="DH96" s="2104"/>
      <c r="DI96" s="2105">
        <f t="shared" si="75"/>
        <v>0</v>
      </c>
      <c r="DJ96" s="2103"/>
      <c r="DK96" s="2104"/>
      <c r="DL96" s="2104"/>
      <c r="DM96" s="2104"/>
      <c r="DN96" s="2104"/>
      <c r="DO96" s="2105">
        <f t="shared" si="76"/>
        <v>0</v>
      </c>
      <c r="DP96" s="2103">
        <v>3712.5</v>
      </c>
      <c r="DQ96" s="2104">
        <v>2561.63</v>
      </c>
      <c r="DR96" s="2104">
        <v>1150.8800000000001</v>
      </c>
      <c r="DS96" s="2104">
        <v>-0.01</v>
      </c>
      <c r="DT96" s="2104">
        <v>0</v>
      </c>
      <c r="DU96" s="2118">
        <f t="shared" si="77"/>
        <v>7425</v>
      </c>
      <c r="DV96" s="2103">
        <v>82.45</v>
      </c>
      <c r="DW96" s="2104">
        <v>0</v>
      </c>
      <c r="DX96" s="2104">
        <v>15.11</v>
      </c>
      <c r="DY96" s="2104">
        <v>0.04</v>
      </c>
      <c r="DZ96" s="2104">
        <v>0</v>
      </c>
      <c r="EA96" s="2105">
        <f t="shared" si="78"/>
        <v>97.600000000000009</v>
      </c>
    </row>
    <row r="97" spans="1:131" s="2049" customFormat="1" ht="15" customHeight="1" x14ac:dyDescent="0.25">
      <c r="A97" s="2089" t="s">
        <v>242</v>
      </c>
      <c r="B97" s="2090" t="s">
        <v>243</v>
      </c>
      <c r="C97" s="2091" t="s">
        <v>268</v>
      </c>
      <c r="D97" s="2092">
        <f t="shared" si="79"/>
        <v>231785.67882215942</v>
      </c>
      <c r="E97" s="2093">
        <f t="shared" si="80"/>
        <v>202713.85117784055</v>
      </c>
      <c r="F97" s="2093">
        <f t="shared" si="81"/>
        <v>83331.67</v>
      </c>
      <c r="G97" s="2093">
        <f t="shared" si="82"/>
        <v>65.709999999999994</v>
      </c>
      <c r="H97" s="2093">
        <f t="shared" si="83"/>
        <v>0</v>
      </c>
      <c r="I97" s="2093">
        <f t="shared" si="56"/>
        <v>517896.91</v>
      </c>
      <c r="J97" s="2093">
        <f t="shared" si="57"/>
        <v>65.709999999999994</v>
      </c>
      <c r="K97" s="2094">
        <f t="shared" si="58"/>
        <v>83397.38</v>
      </c>
      <c r="L97" s="2095"/>
      <c r="M97" s="2096"/>
      <c r="N97" s="2096"/>
      <c r="O97" s="2096"/>
      <c r="P97" s="2096"/>
      <c r="Q97" s="2097">
        <f t="shared" si="59"/>
        <v>0</v>
      </c>
      <c r="R97" s="2098"/>
      <c r="S97" s="2099"/>
      <c r="T97" s="2099"/>
      <c r="U97" s="2099"/>
      <c r="V97" s="2099"/>
      <c r="W97" s="2100">
        <f t="shared" si="60"/>
        <v>0</v>
      </c>
      <c r="X97" s="2101">
        <v>11130.07</v>
      </c>
      <c r="Y97" s="2102">
        <v>66.260000000000005</v>
      </c>
      <c r="Z97" s="2102">
        <v>2053.7399999999998</v>
      </c>
      <c r="AA97" s="2102">
        <v>0.01</v>
      </c>
      <c r="AB97" s="2102">
        <v>0</v>
      </c>
      <c r="AC97" s="2100">
        <f t="shared" si="61"/>
        <v>13250.08</v>
      </c>
      <c r="AD97" s="2103">
        <v>126580.27</v>
      </c>
      <c r="AE97" s="2104">
        <v>0</v>
      </c>
      <c r="AF97" s="2104">
        <v>31645.08</v>
      </c>
      <c r="AG97" s="2104">
        <v>0</v>
      </c>
      <c r="AH97" s="2104">
        <v>0</v>
      </c>
      <c r="AI97" s="2105">
        <f t="shared" si="62"/>
        <v>158225.35</v>
      </c>
      <c r="AJ97" s="2098"/>
      <c r="AK97" s="2099"/>
      <c r="AL97" s="2099"/>
      <c r="AM97" s="2099"/>
      <c r="AN97" s="2099"/>
      <c r="AO97" s="2106">
        <f t="shared" si="63"/>
        <v>0</v>
      </c>
      <c r="AP97" s="2101">
        <v>2528.1799999999998</v>
      </c>
      <c r="AQ97" s="2102">
        <v>632.04999999999995</v>
      </c>
      <c r="AR97" s="2102">
        <v>0</v>
      </c>
      <c r="AS97" s="2102">
        <v>0</v>
      </c>
      <c r="AT97" s="2102">
        <v>0</v>
      </c>
      <c r="AU97" s="2106">
        <f t="shared" si="64"/>
        <v>3160.2299999999996</v>
      </c>
      <c r="AV97" s="2107">
        <v>15950.77</v>
      </c>
      <c r="AW97" s="2108">
        <v>3987.7</v>
      </c>
      <c r="AX97" s="2108">
        <v>0</v>
      </c>
      <c r="AY97" s="2108">
        <v>0</v>
      </c>
      <c r="AZ97" s="2109">
        <v>0</v>
      </c>
      <c r="BA97" s="2110">
        <f t="shared" si="65"/>
        <v>19938.47</v>
      </c>
      <c r="BB97" s="2111">
        <v>1085.23</v>
      </c>
      <c r="BC97" s="2112">
        <v>1959.77</v>
      </c>
      <c r="BD97" s="2112">
        <v>0</v>
      </c>
      <c r="BE97" s="2112">
        <v>0</v>
      </c>
      <c r="BF97" s="2113">
        <v>0</v>
      </c>
      <c r="BG97" s="2114">
        <f t="shared" si="66"/>
        <v>3045</v>
      </c>
      <c r="BH97" s="2103">
        <v>29384.16</v>
      </c>
      <c r="BI97" s="2104">
        <v>3721.99</v>
      </c>
      <c r="BJ97" s="2104">
        <v>6072.73</v>
      </c>
      <c r="BK97" s="2104">
        <v>-0.04</v>
      </c>
      <c r="BL97" s="2104">
        <v>0</v>
      </c>
      <c r="BM97" s="2117">
        <f t="shared" si="67"/>
        <v>39178.840000000004</v>
      </c>
      <c r="BN97" s="2103"/>
      <c r="BO97" s="2104"/>
      <c r="BP97" s="2104"/>
      <c r="BQ97" s="2104"/>
      <c r="BR97" s="2104"/>
      <c r="BS97" s="2105">
        <f t="shared" si="68"/>
        <v>0</v>
      </c>
      <c r="BT97" s="2103">
        <v>29902.258822159449</v>
      </c>
      <c r="BU97" s="2104">
        <v>189342.51117784056</v>
      </c>
      <c r="BV97" s="2104">
        <v>40216.47</v>
      </c>
      <c r="BW97" s="2104">
        <v>-0.14000000000000001</v>
      </c>
      <c r="BX97" s="2104">
        <v>0</v>
      </c>
      <c r="BY97" s="2105">
        <f t="shared" si="69"/>
        <v>259461.1</v>
      </c>
      <c r="BZ97" s="2115"/>
      <c r="CA97" s="2116"/>
      <c r="CB97" s="2116"/>
      <c r="CC97" s="2116"/>
      <c r="CD97" s="2116"/>
      <c r="CE97" s="2105">
        <f t="shared" si="70"/>
        <v>0</v>
      </c>
      <c r="CF97" s="2115"/>
      <c r="CG97" s="2116"/>
      <c r="CH97" s="2116"/>
      <c r="CI97" s="2116"/>
      <c r="CJ97" s="2116"/>
      <c r="CK97" s="2117">
        <f t="shared" si="71"/>
        <v>0</v>
      </c>
      <c r="CL97" s="2115"/>
      <c r="CM97" s="2116"/>
      <c r="CN97" s="2116"/>
      <c r="CO97" s="2116"/>
      <c r="CP97" s="2116"/>
      <c r="CQ97" s="2105">
        <f t="shared" si="72"/>
        <v>0</v>
      </c>
      <c r="CR97" s="2115"/>
      <c r="CS97" s="2116"/>
      <c r="CT97" s="2116"/>
      <c r="CU97" s="2116"/>
      <c r="CV97" s="2116"/>
      <c r="CW97" s="2117">
        <f t="shared" si="73"/>
        <v>0</v>
      </c>
      <c r="CX97" s="2103"/>
      <c r="CY97" s="2104"/>
      <c r="CZ97" s="2104"/>
      <c r="DA97" s="2104"/>
      <c r="DB97" s="2104"/>
      <c r="DC97" s="2105">
        <f t="shared" si="74"/>
        <v>0</v>
      </c>
      <c r="DD97" s="2103"/>
      <c r="DE97" s="2104"/>
      <c r="DF97" s="2104"/>
      <c r="DG97" s="2104"/>
      <c r="DH97" s="2104"/>
      <c r="DI97" s="2105">
        <f t="shared" si="75"/>
        <v>0</v>
      </c>
      <c r="DJ97" s="2103"/>
      <c r="DK97" s="2104"/>
      <c r="DL97" s="2104"/>
      <c r="DM97" s="2104"/>
      <c r="DN97" s="2104"/>
      <c r="DO97" s="2105">
        <f t="shared" si="76"/>
        <v>0</v>
      </c>
      <c r="DP97" s="2115">
        <v>4353</v>
      </c>
      <c r="DQ97" s="2116">
        <v>3003.57</v>
      </c>
      <c r="DR97" s="2116">
        <v>1349.43</v>
      </c>
      <c r="DS97" s="2116">
        <v>0</v>
      </c>
      <c r="DT97" s="2116">
        <v>0</v>
      </c>
      <c r="DU97" s="2118">
        <f t="shared" si="77"/>
        <v>8706</v>
      </c>
      <c r="DV97" s="2103">
        <v>10871.74</v>
      </c>
      <c r="DW97" s="2104">
        <v>0</v>
      </c>
      <c r="DX97" s="2104">
        <v>1994.22</v>
      </c>
      <c r="DY97" s="2104">
        <v>65.88</v>
      </c>
      <c r="DZ97" s="2104">
        <v>0</v>
      </c>
      <c r="EA97" s="2105">
        <f t="shared" si="78"/>
        <v>12931.839999999998</v>
      </c>
    </row>
    <row r="98" spans="1:131" s="2049" customFormat="1" ht="15" customHeight="1" x14ac:dyDescent="0.25">
      <c r="A98" s="2089" t="s">
        <v>244</v>
      </c>
      <c r="B98" s="2090" t="s">
        <v>245</v>
      </c>
      <c r="C98" s="2091" t="s">
        <v>268</v>
      </c>
      <c r="D98" s="2092">
        <f t="shared" si="79"/>
        <v>100454.76698213126</v>
      </c>
      <c r="E98" s="2093">
        <f t="shared" si="80"/>
        <v>26712.163017868726</v>
      </c>
      <c r="F98" s="2093">
        <f t="shared" si="81"/>
        <v>23276.36</v>
      </c>
      <c r="G98" s="2093">
        <f t="shared" si="82"/>
        <v>-0.12</v>
      </c>
      <c r="H98" s="2093">
        <f t="shared" si="83"/>
        <v>0</v>
      </c>
      <c r="I98" s="2093">
        <f t="shared" si="56"/>
        <v>150443.16999999998</v>
      </c>
      <c r="J98" s="2093">
        <f t="shared" si="57"/>
        <v>-0.12</v>
      </c>
      <c r="K98" s="2094">
        <f t="shared" si="58"/>
        <v>23276.240000000002</v>
      </c>
      <c r="L98" s="2095"/>
      <c r="M98" s="2096"/>
      <c r="N98" s="2096"/>
      <c r="O98" s="2096"/>
      <c r="P98" s="2096"/>
      <c r="Q98" s="2097">
        <f t="shared" si="59"/>
        <v>0</v>
      </c>
      <c r="R98" s="2098"/>
      <c r="S98" s="2099"/>
      <c r="T98" s="2099"/>
      <c r="U98" s="2099"/>
      <c r="V98" s="2099"/>
      <c r="W98" s="2100">
        <f t="shared" si="60"/>
        <v>0</v>
      </c>
      <c r="X98" s="2101">
        <v>9800.3799999999992</v>
      </c>
      <c r="Y98" s="2102">
        <v>58.33</v>
      </c>
      <c r="Z98" s="2102">
        <v>1808.41</v>
      </c>
      <c r="AA98" s="2102">
        <v>0</v>
      </c>
      <c r="AB98" s="2102">
        <v>0</v>
      </c>
      <c r="AC98" s="2100">
        <f t="shared" si="61"/>
        <v>11667.119999999999</v>
      </c>
      <c r="AD98" s="2103">
        <v>47096.01</v>
      </c>
      <c r="AE98" s="2104">
        <v>0</v>
      </c>
      <c r="AF98" s="2104">
        <v>11773.98</v>
      </c>
      <c r="AG98" s="2104">
        <v>0</v>
      </c>
      <c r="AH98" s="2104">
        <v>0</v>
      </c>
      <c r="AI98" s="2105">
        <f t="shared" si="62"/>
        <v>58869.990000000005</v>
      </c>
      <c r="AJ98" s="2098"/>
      <c r="AK98" s="2099"/>
      <c r="AL98" s="2099"/>
      <c r="AM98" s="2099"/>
      <c r="AN98" s="2099"/>
      <c r="AO98" s="2106">
        <f t="shared" si="63"/>
        <v>0</v>
      </c>
      <c r="AP98" s="2101">
        <v>7143.62</v>
      </c>
      <c r="AQ98" s="2102">
        <v>1785.91</v>
      </c>
      <c r="AR98" s="2102">
        <v>0</v>
      </c>
      <c r="AS98" s="2102">
        <v>0</v>
      </c>
      <c r="AT98" s="2102">
        <v>0</v>
      </c>
      <c r="AU98" s="2106">
        <f t="shared" si="64"/>
        <v>8929.5300000000007</v>
      </c>
      <c r="AV98" s="2107">
        <v>6709.6</v>
      </c>
      <c r="AW98" s="2108">
        <v>1677.4</v>
      </c>
      <c r="AX98" s="2108">
        <v>0</v>
      </c>
      <c r="AY98" s="2108">
        <v>0</v>
      </c>
      <c r="AZ98" s="2109">
        <v>0</v>
      </c>
      <c r="BA98" s="2110">
        <f t="shared" si="65"/>
        <v>8387</v>
      </c>
      <c r="BB98" s="2111">
        <v>320.76</v>
      </c>
      <c r="BC98" s="2112">
        <v>579.24</v>
      </c>
      <c r="BD98" s="2112">
        <v>0</v>
      </c>
      <c r="BE98" s="2112">
        <v>0</v>
      </c>
      <c r="BF98" s="2113">
        <v>0</v>
      </c>
      <c r="BG98" s="2114">
        <f t="shared" si="66"/>
        <v>900</v>
      </c>
      <c r="BH98" s="2103">
        <v>19881.18</v>
      </c>
      <c r="BI98" s="2104">
        <v>2518.2800000000002</v>
      </c>
      <c r="BJ98" s="2104">
        <v>4108.8100000000004</v>
      </c>
      <c r="BK98" s="2104">
        <v>-7.0000000000000007E-2</v>
      </c>
      <c r="BL98" s="2104">
        <v>0</v>
      </c>
      <c r="BM98" s="2117">
        <f t="shared" si="67"/>
        <v>26508.2</v>
      </c>
      <c r="BN98" s="2103"/>
      <c r="BO98" s="2104"/>
      <c r="BP98" s="2104"/>
      <c r="BQ98" s="2104"/>
      <c r="BR98" s="2104"/>
      <c r="BS98" s="2105">
        <f t="shared" si="68"/>
        <v>0</v>
      </c>
      <c r="BT98" s="2103">
        <v>2725.4369821312721</v>
      </c>
      <c r="BU98" s="2104">
        <v>16298.003017868727</v>
      </c>
      <c r="BV98" s="2104">
        <v>3489.52</v>
      </c>
      <c r="BW98" s="2104">
        <v>-0.12</v>
      </c>
      <c r="BX98" s="2104">
        <v>0</v>
      </c>
      <c r="BY98" s="2105">
        <f t="shared" si="69"/>
        <v>22512.84</v>
      </c>
      <c r="BZ98" s="2115"/>
      <c r="CA98" s="2116"/>
      <c r="CB98" s="2116"/>
      <c r="CC98" s="2116"/>
      <c r="CD98" s="2116"/>
      <c r="CE98" s="2105">
        <f t="shared" si="70"/>
        <v>0</v>
      </c>
      <c r="CF98" s="2115"/>
      <c r="CG98" s="2116"/>
      <c r="CH98" s="2116"/>
      <c r="CI98" s="2116"/>
      <c r="CJ98" s="2116"/>
      <c r="CK98" s="2117">
        <f t="shared" si="71"/>
        <v>0</v>
      </c>
      <c r="CL98" s="2103"/>
      <c r="CM98" s="2104"/>
      <c r="CN98" s="2104"/>
      <c r="CO98" s="2104"/>
      <c r="CP98" s="2104"/>
      <c r="CQ98" s="2105">
        <f t="shared" si="72"/>
        <v>0</v>
      </c>
      <c r="CR98" s="2103"/>
      <c r="CS98" s="2104"/>
      <c r="CT98" s="2104"/>
      <c r="CU98" s="2104"/>
      <c r="CV98" s="2104"/>
      <c r="CW98" s="2117">
        <f t="shared" si="73"/>
        <v>0</v>
      </c>
      <c r="CX98" s="2103"/>
      <c r="CY98" s="2104"/>
      <c r="CZ98" s="2104"/>
      <c r="DA98" s="2104"/>
      <c r="DB98" s="2104"/>
      <c r="DC98" s="2105">
        <f t="shared" si="74"/>
        <v>0</v>
      </c>
      <c r="DD98" s="2103">
        <v>-852</v>
      </c>
      <c r="DE98" s="2104">
        <v>0</v>
      </c>
      <c r="DF98" s="2104">
        <v>0</v>
      </c>
      <c r="DG98" s="2104">
        <v>0</v>
      </c>
      <c r="DH98" s="2104">
        <v>0</v>
      </c>
      <c r="DI98" s="2105">
        <f t="shared" si="75"/>
        <v>-852</v>
      </c>
      <c r="DJ98" s="2103"/>
      <c r="DK98" s="2104"/>
      <c r="DL98" s="2104"/>
      <c r="DM98" s="2104"/>
      <c r="DN98" s="2104"/>
      <c r="DO98" s="2105">
        <f t="shared" si="76"/>
        <v>0</v>
      </c>
      <c r="DP98" s="2103">
        <v>5500</v>
      </c>
      <c r="DQ98" s="2104">
        <v>3795</v>
      </c>
      <c r="DR98" s="2104">
        <v>1705</v>
      </c>
      <c r="DS98" s="2104">
        <v>0</v>
      </c>
      <c r="DT98" s="2104">
        <v>0</v>
      </c>
      <c r="DU98" s="2118">
        <f t="shared" si="77"/>
        <v>11000</v>
      </c>
      <c r="DV98" s="2103">
        <v>2129.7800000000002</v>
      </c>
      <c r="DW98" s="2104">
        <v>0</v>
      </c>
      <c r="DX98" s="2104">
        <v>390.64</v>
      </c>
      <c r="DY98" s="2104">
        <v>7.0000000000000007E-2</v>
      </c>
      <c r="DZ98" s="2104">
        <v>0</v>
      </c>
      <c r="EA98" s="2105">
        <f t="shared" si="78"/>
        <v>2520.4900000000002</v>
      </c>
    </row>
    <row r="99" spans="1:131" s="2049" customFormat="1" ht="15" customHeight="1" x14ac:dyDescent="0.25">
      <c r="A99" s="2089" t="s">
        <v>246</v>
      </c>
      <c r="B99" s="2090" t="s">
        <v>310</v>
      </c>
      <c r="C99" s="2091" t="s">
        <v>264</v>
      </c>
      <c r="D99" s="2092">
        <f t="shared" si="79"/>
        <v>113495.01682924567</v>
      </c>
      <c r="E99" s="2093">
        <f t="shared" si="80"/>
        <v>78734.693170754297</v>
      </c>
      <c r="F99" s="2093">
        <f t="shared" si="81"/>
        <v>41318.289999999994</v>
      </c>
      <c r="G99" s="2093">
        <f t="shared" si="82"/>
        <v>-0.12</v>
      </c>
      <c r="H99" s="2093">
        <f t="shared" si="83"/>
        <v>0</v>
      </c>
      <c r="I99" s="2093">
        <f t="shared" si="56"/>
        <v>233547.87999999995</v>
      </c>
      <c r="J99" s="2093">
        <f t="shared" si="57"/>
        <v>-0.12</v>
      </c>
      <c r="K99" s="2094">
        <f t="shared" si="58"/>
        <v>41318.169999999991</v>
      </c>
      <c r="L99" s="2095"/>
      <c r="M99" s="2096"/>
      <c r="N99" s="2096"/>
      <c r="O99" s="2096"/>
      <c r="P99" s="2096"/>
      <c r="Q99" s="2097">
        <f t="shared" si="59"/>
        <v>0</v>
      </c>
      <c r="R99" s="2098"/>
      <c r="S99" s="2099"/>
      <c r="T99" s="2099"/>
      <c r="U99" s="2099"/>
      <c r="V99" s="2099"/>
      <c r="W99" s="2100">
        <f t="shared" si="60"/>
        <v>0</v>
      </c>
      <c r="X99" s="2101">
        <v>13903.68</v>
      </c>
      <c r="Y99" s="2102">
        <v>82.77</v>
      </c>
      <c r="Z99" s="2102">
        <v>2565.5500000000002</v>
      </c>
      <c r="AA99" s="2102">
        <v>0</v>
      </c>
      <c r="AB99" s="2102">
        <v>0</v>
      </c>
      <c r="AC99" s="2100">
        <f t="shared" si="61"/>
        <v>16552</v>
      </c>
      <c r="AD99" s="2103">
        <v>36720.14</v>
      </c>
      <c r="AE99" s="2104">
        <v>0</v>
      </c>
      <c r="AF99" s="2104">
        <v>9180.0400000000009</v>
      </c>
      <c r="AG99" s="2104">
        <v>0</v>
      </c>
      <c r="AH99" s="2104">
        <v>0</v>
      </c>
      <c r="AI99" s="2105">
        <f t="shared" si="62"/>
        <v>45900.18</v>
      </c>
      <c r="AJ99" s="2098"/>
      <c r="AK99" s="2099"/>
      <c r="AL99" s="2099"/>
      <c r="AM99" s="2099"/>
      <c r="AN99" s="2099"/>
      <c r="AO99" s="2106">
        <f t="shared" si="63"/>
        <v>0</v>
      </c>
      <c r="AP99" s="2098">
        <v>777.72</v>
      </c>
      <c r="AQ99" s="2099">
        <v>194.43</v>
      </c>
      <c r="AR99" s="2099">
        <v>0</v>
      </c>
      <c r="AS99" s="2099">
        <v>0</v>
      </c>
      <c r="AT99" s="2099">
        <v>0</v>
      </c>
      <c r="AU99" s="2106">
        <f t="shared" si="64"/>
        <v>972.15000000000009</v>
      </c>
      <c r="AV99" s="2107">
        <v>3415.88</v>
      </c>
      <c r="AW99" s="2108">
        <v>853.98</v>
      </c>
      <c r="AX99" s="2108">
        <v>0</v>
      </c>
      <c r="AY99" s="2108">
        <v>0</v>
      </c>
      <c r="AZ99" s="2109">
        <v>0</v>
      </c>
      <c r="BA99" s="2110">
        <f t="shared" si="65"/>
        <v>4269.8600000000006</v>
      </c>
      <c r="BB99" s="2111"/>
      <c r="BC99" s="2112"/>
      <c r="BD99" s="2112"/>
      <c r="BE99" s="2112"/>
      <c r="BF99" s="2113"/>
      <c r="BG99" s="2114">
        <f t="shared" si="66"/>
        <v>0</v>
      </c>
      <c r="BH99" s="2103">
        <v>23365.99</v>
      </c>
      <c r="BI99" s="2104">
        <v>2959.7</v>
      </c>
      <c r="BJ99" s="2104">
        <v>4828.9799999999996</v>
      </c>
      <c r="BK99" s="2104">
        <v>-0.03</v>
      </c>
      <c r="BL99" s="2104">
        <v>0</v>
      </c>
      <c r="BM99" s="2117">
        <f t="shared" si="67"/>
        <v>31154.640000000003</v>
      </c>
      <c r="BN99" s="2103">
        <v>-48.37</v>
      </c>
      <c r="BO99" s="2104">
        <v>-48.37</v>
      </c>
      <c r="BP99" s="2104">
        <v>0</v>
      </c>
      <c r="BQ99" s="2104">
        <v>0</v>
      </c>
      <c r="BR99" s="2104">
        <v>0</v>
      </c>
      <c r="BS99" s="2105">
        <f t="shared" si="68"/>
        <v>-96.74</v>
      </c>
      <c r="BT99" s="2103">
        <v>13225.646829245678</v>
      </c>
      <c r="BU99" s="2104">
        <v>69511.023170754313</v>
      </c>
      <c r="BV99" s="2104">
        <v>15176.56</v>
      </c>
      <c r="BW99" s="2104">
        <v>-0.16</v>
      </c>
      <c r="BX99" s="2104">
        <v>0</v>
      </c>
      <c r="BY99" s="2105">
        <f t="shared" si="69"/>
        <v>97913.069999999978</v>
      </c>
      <c r="BZ99" s="2103">
        <v>5866.46</v>
      </c>
      <c r="CA99" s="2104">
        <v>0</v>
      </c>
      <c r="CB99" s="2104">
        <v>5417.38</v>
      </c>
      <c r="CC99" s="2104">
        <v>0</v>
      </c>
      <c r="CD99" s="2104">
        <v>0</v>
      </c>
      <c r="CE99" s="2105">
        <f t="shared" si="70"/>
        <v>11283.84</v>
      </c>
      <c r="CF99" s="2115"/>
      <c r="CG99" s="2116"/>
      <c r="CH99" s="2116"/>
      <c r="CI99" s="2116"/>
      <c r="CJ99" s="2116"/>
      <c r="CK99" s="2117">
        <f t="shared" si="71"/>
        <v>0</v>
      </c>
      <c r="CL99" s="2103">
        <v>-140</v>
      </c>
      <c r="CM99" s="2104">
        <v>0</v>
      </c>
      <c r="CN99" s="2104">
        <v>0</v>
      </c>
      <c r="CO99" s="2104">
        <v>0</v>
      </c>
      <c r="CP99" s="2104">
        <v>0</v>
      </c>
      <c r="CQ99" s="2105">
        <f t="shared" si="72"/>
        <v>-140</v>
      </c>
      <c r="CR99" s="2103"/>
      <c r="CS99" s="2104"/>
      <c r="CT99" s="2104"/>
      <c r="CU99" s="2104"/>
      <c r="CV99" s="2104"/>
      <c r="CW99" s="2117">
        <f t="shared" si="73"/>
        <v>0</v>
      </c>
      <c r="CX99" s="2103">
        <v>-235.1</v>
      </c>
      <c r="CY99" s="2104">
        <v>-235.1</v>
      </c>
      <c r="CZ99" s="2104">
        <v>0</v>
      </c>
      <c r="DA99" s="2104">
        <v>0.01</v>
      </c>
      <c r="DB99" s="2104">
        <v>0</v>
      </c>
      <c r="DC99" s="2105">
        <f t="shared" si="74"/>
        <v>-470.19</v>
      </c>
      <c r="DD99" s="2103">
        <v>-564</v>
      </c>
      <c r="DE99" s="2104">
        <v>0</v>
      </c>
      <c r="DF99" s="2104">
        <v>0</v>
      </c>
      <c r="DG99" s="2104">
        <v>0</v>
      </c>
      <c r="DH99" s="2104">
        <v>0</v>
      </c>
      <c r="DI99" s="2105">
        <f t="shared" si="75"/>
        <v>-564</v>
      </c>
      <c r="DJ99" s="2103"/>
      <c r="DK99" s="2104"/>
      <c r="DL99" s="2104"/>
      <c r="DM99" s="2104"/>
      <c r="DN99" s="2104"/>
      <c r="DO99" s="2105">
        <f t="shared" si="76"/>
        <v>0</v>
      </c>
      <c r="DP99" s="2103">
        <v>7849.65</v>
      </c>
      <c r="DQ99" s="2104">
        <v>5416.26</v>
      </c>
      <c r="DR99" s="2104">
        <v>2433.39</v>
      </c>
      <c r="DS99" s="2104">
        <v>0</v>
      </c>
      <c r="DT99" s="2104">
        <v>0</v>
      </c>
      <c r="DU99" s="2118">
        <f t="shared" si="77"/>
        <v>15699.3</v>
      </c>
      <c r="DV99" s="2103">
        <v>9357.32</v>
      </c>
      <c r="DW99" s="2104">
        <v>0</v>
      </c>
      <c r="DX99" s="2104">
        <v>1716.39</v>
      </c>
      <c r="DY99" s="2104">
        <v>0.06</v>
      </c>
      <c r="DZ99" s="2104">
        <v>0</v>
      </c>
      <c r="EA99" s="2105">
        <f t="shared" si="78"/>
        <v>11073.769999999999</v>
      </c>
    </row>
    <row r="100" spans="1:131" s="2049" customFormat="1" ht="15" customHeight="1" x14ac:dyDescent="0.25">
      <c r="A100" s="2089" t="s">
        <v>14</v>
      </c>
      <c r="B100" s="2090" t="s">
        <v>15</v>
      </c>
      <c r="C100" s="2091" t="s">
        <v>267</v>
      </c>
      <c r="D100" s="2092">
        <f t="shared" si="79"/>
        <v>279508.28168591997</v>
      </c>
      <c r="E100" s="2093">
        <f t="shared" si="80"/>
        <v>103640.99831408</v>
      </c>
      <c r="F100" s="2093">
        <f t="shared" si="81"/>
        <v>76620.349999999991</v>
      </c>
      <c r="G100" s="2093">
        <f t="shared" si="82"/>
        <v>-0.18</v>
      </c>
      <c r="H100" s="2093">
        <f t="shared" si="83"/>
        <v>99013.88</v>
      </c>
      <c r="I100" s="2093">
        <f t="shared" si="56"/>
        <v>558783.32999999996</v>
      </c>
      <c r="J100" s="2093">
        <f t="shared" si="57"/>
        <v>99013.700000000012</v>
      </c>
      <c r="K100" s="2094">
        <f t="shared" si="58"/>
        <v>175634.05</v>
      </c>
      <c r="L100" s="2095"/>
      <c r="M100" s="2096"/>
      <c r="N100" s="2096"/>
      <c r="O100" s="2096"/>
      <c r="P100" s="2096"/>
      <c r="Q100" s="2097">
        <f t="shared" si="59"/>
        <v>0</v>
      </c>
      <c r="R100" s="2098"/>
      <c r="S100" s="2099"/>
      <c r="T100" s="2099"/>
      <c r="U100" s="2099"/>
      <c r="V100" s="2099"/>
      <c r="W100" s="2100">
        <f t="shared" si="60"/>
        <v>0</v>
      </c>
      <c r="X100" s="2101">
        <v>21374.54</v>
      </c>
      <c r="Y100" s="2102">
        <v>127.23</v>
      </c>
      <c r="Z100" s="2102">
        <v>3944.1</v>
      </c>
      <c r="AA100" s="2102">
        <v>0.01</v>
      </c>
      <c r="AB100" s="2102">
        <v>0</v>
      </c>
      <c r="AC100" s="2100">
        <f t="shared" si="61"/>
        <v>25445.879999999997</v>
      </c>
      <c r="AD100" s="2103">
        <v>109608</v>
      </c>
      <c r="AE100" s="2104">
        <v>0</v>
      </c>
      <c r="AF100" s="2104">
        <v>27402</v>
      </c>
      <c r="AG100" s="2104">
        <v>0</v>
      </c>
      <c r="AH100" s="2104">
        <v>94520.36</v>
      </c>
      <c r="AI100" s="2105">
        <f t="shared" si="62"/>
        <v>231530.36</v>
      </c>
      <c r="AJ100" s="2101">
        <v>22160.62</v>
      </c>
      <c r="AK100" s="2102">
        <v>3588.65</v>
      </c>
      <c r="AL100" s="2102">
        <v>4723.25</v>
      </c>
      <c r="AM100" s="2102">
        <v>-0.05</v>
      </c>
      <c r="AN100" s="2102">
        <v>0</v>
      </c>
      <c r="AO100" s="2106">
        <f t="shared" si="63"/>
        <v>30472.47</v>
      </c>
      <c r="AP100" s="2101">
        <v>10382.32</v>
      </c>
      <c r="AQ100" s="2102">
        <v>2595.58</v>
      </c>
      <c r="AR100" s="2102">
        <v>0</v>
      </c>
      <c r="AS100" s="2102">
        <v>0</v>
      </c>
      <c r="AT100" s="2102">
        <v>0</v>
      </c>
      <c r="AU100" s="2106">
        <f t="shared" si="64"/>
        <v>12977.9</v>
      </c>
      <c r="AV100" s="2107">
        <v>6718.4</v>
      </c>
      <c r="AW100" s="2108">
        <v>1679.6</v>
      </c>
      <c r="AX100" s="2108">
        <v>0</v>
      </c>
      <c r="AY100" s="2108">
        <v>0</v>
      </c>
      <c r="AZ100" s="2109">
        <v>0</v>
      </c>
      <c r="BA100" s="2110">
        <f t="shared" si="65"/>
        <v>8398</v>
      </c>
      <c r="BB100" s="2111">
        <v>2263.14</v>
      </c>
      <c r="BC100" s="2112">
        <v>4086.86</v>
      </c>
      <c r="BD100" s="2112">
        <v>0</v>
      </c>
      <c r="BE100" s="2112">
        <v>0</v>
      </c>
      <c r="BF100" s="2113">
        <v>0</v>
      </c>
      <c r="BG100" s="2114">
        <f t="shared" si="66"/>
        <v>6350</v>
      </c>
      <c r="BH100" s="2103">
        <v>41910.019999999997</v>
      </c>
      <c r="BI100" s="2104">
        <v>5308.59</v>
      </c>
      <c r="BJ100" s="2104">
        <v>8661.4</v>
      </c>
      <c r="BK100" s="2104">
        <v>-0.01</v>
      </c>
      <c r="BL100" s="2104">
        <v>3099.24</v>
      </c>
      <c r="BM100" s="2117">
        <f t="shared" si="67"/>
        <v>58979.24</v>
      </c>
      <c r="BN100" s="2103"/>
      <c r="BO100" s="2104"/>
      <c r="BP100" s="2104"/>
      <c r="BQ100" s="2104"/>
      <c r="BR100" s="2104"/>
      <c r="BS100" s="2105">
        <f t="shared" si="68"/>
        <v>0</v>
      </c>
      <c r="BT100" s="2103">
        <v>38639.171685919988</v>
      </c>
      <c r="BU100" s="2104">
        <v>77712.308314080001</v>
      </c>
      <c r="BV100" s="2104">
        <v>21342.61</v>
      </c>
      <c r="BW100" s="2104">
        <v>-0.12</v>
      </c>
      <c r="BX100" s="2104">
        <v>0</v>
      </c>
      <c r="BY100" s="2105">
        <f t="shared" si="69"/>
        <v>137693.96999999997</v>
      </c>
      <c r="BZ100" s="2103">
        <v>5578.15</v>
      </c>
      <c r="CA100" s="2104">
        <v>0</v>
      </c>
      <c r="CB100" s="2104">
        <v>5151.1400000000003</v>
      </c>
      <c r="CC100" s="2104">
        <v>-0.01</v>
      </c>
      <c r="CD100" s="2104">
        <v>0</v>
      </c>
      <c r="CE100" s="2105">
        <f t="shared" si="70"/>
        <v>10729.28</v>
      </c>
      <c r="CF100" s="2115"/>
      <c r="CG100" s="2116"/>
      <c r="CH100" s="2116"/>
      <c r="CI100" s="2116"/>
      <c r="CJ100" s="2116"/>
      <c r="CK100" s="2117">
        <f t="shared" si="71"/>
        <v>0</v>
      </c>
      <c r="CL100" s="2103"/>
      <c r="CM100" s="2104"/>
      <c r="CN100" s="2104"/>
      <c r="CO100" s="2104"/>
      <c r="CP100" s="2104"/>
      <c r="CQ100" s="2105">
        <f t="shared" si="72"/>
        <v>0</v>
      </c>
      <c r="CR100" s="2103"/>
      <c r="CS100" s="2104"/>
      <c r="CT100" s="2104"/>
      <c r="CU100" s="2104"/>
      <c r="CV100" s="2104"/>
      <c r="CW100" s="2117">
        <f t="shared" si="73"/>
        <v>0</v>
      </c>
      <c r="CX100" s="2103"/>
      <c r="CY100" s="2104"/>
      <c r="CZ100" s="2104"/>
      <c r="DA100" s="2104"/>
      <c r="DB100" s="2104"/>
      <c r="DC100" s="2105">
        <f t="shared" si="74"/>
        <v>0</v>
      </c>
      <c r="DD100" s="2103"/>
      <c r="DE100" s="2104"/>
      <c r="DF100" s="2104"/>
      <c r="DG100" s="2104"/>
      <c r="DH100" s="2104"/>
      <c r="DI100" s="2105">
        <f t="shared" si="75"/>
        <v>0</v>
      </c>
      <c r="DJ100" s="2103"/>
      <c r="DK100" s="2104"/>
      <c r="DL100" s="2104"/>
      <c r="DM100" s="2104"/>
      <c r="DN100" s="2104"/>
      <c r="DO100" s="2105">
        <f t="shared" si="76"/>
        <v>0</v>
      </c>
      <c r="DP100" s="2103">
        <v>12379.98</v>
      </c>
      <c r="DQ100" s="2104">
        <v>8542.18</v>
      </c>
      <c r="DR100" s="2104">
        <v>3837.79</v>
      </c>
      <c r="DS100" s="2104">
        <v>0</v>
      </c>
      <c r="DT100" s="2104">
        <v>0</v>
      </c>
      <c r="DU100" s="2118">
        <f t="shared" si="77"/>
        <v>24759.95</v>
      </c>
      <c r="DV100" s="2103">
        <v>8493.94</v>
      </c>
      <c r="DW100" s="2104">
        <v>0</v>
      </c>
      <c r="DX100" s="2104">
        <v>1558.06</v>
      </c>
      <c r="DY100" s="2104">
        <v>0</v>
      </c>
      <c r="DZ100" s="2104">
        <v>1394.28</v>
      </c>
      <c r="EA100" s="2105">
        <f t="shared" si="78"/>
        <v>11446.28</v>
      </c>
    </row>
    <row r="101" spans="1:131" s="2049" customFormat="1" ht="15" customHeight="1" x14ac:dyDescent="0.25">
      <c r="A101" s="2089" t="s">
        <v>34</v>
      </c>
      <c r="B101" s="2090" t="s">
        <v>35</v>
      </c>
      <c r="C101" s="2091" t="s">
        <v>268</v>
      </c>
      <c r="D101" s="2092">
        <f t="shared" si="79"/>
        <v>81680.103408415176</v>
      </c>
      <c r="E101" s="2093">
        <f t="shared" si="80"/>
        <v>123744.72659158483</v>
      </c>
      <c r="F101" s="2093">
        <f t="shared" si="81"/>
        <v>39064.19999999999</v>
      </c>
      <c r="G101" s="2093">
        <f t="shared" si="82"/>
        <v>-0.13999999999999999</v>
      </c>
      <c r="H101" s="2093">
        <f t="shared" si="83"/>
        <v>0</v>
      </c>
      <c r="I101" s="2093">
        <f t="shared" ref="I101:I124" si="84">SUM(D101:H101)</f>
        <v>244488.88999999998</v>
      </c>
      <c r="J101" s="2093">
        <f t="shared" ref="J101:J124" si="85">G101+H101</f>
        <v>-0.13999999999999999</v>
      </c>
      <c r="K101" s="2094">
        <f t="shared" ref="K101:K124" si="86">F101+J101</f>
        <v>39064.05999999999</v>
      </c>
      <c r="L101" s="2095"/>
      <c r="M101" s="2096"/>
      <c r="N101" s="2096"/>
      <c r="O101" s="2096"/>
      <c r="P101" s="2096"/>
      <c r="Q101" s="2097">
        <f t="shared" ref="Q101:Q124" si="87">SUM(L101:P101)</f>
        <v>0</v>
      </c>
      <c r="R101" s="2098"/>
      <c r="S101" s="2099"/>
      <c r="T101" s="2099"/>
      <c r="U101" s="2099"/>
      <c r="V101" s="2099"/>
      <c r="W101" s="2100">
        <f t="shared" ref="W101:W124" si="88">SUM(R101:V101)</f>
        <v>0</v>
      </c>
      <c r="X101" s="2101">
        <v>7198.42</v>
      </c>
      <c r="Y101" s="2102">
        <v>42.83</v>
      </c>
      <c r="Z101" s="2102">
        <v>1328.27</v>
      </c>
      <c r="AA101" s="2102">
        <v>0.03</v>
      </c>
      <c r="AB101" s="2102">
        <v>0</v>
      </c>
      <c r="AC101" s="2100">
        <f t="shared" ref="AC101:AC124" si="89">SUM(X101:AB101)</f>
        <v>8569.5500000000011</v>
      </c>
      <c r="AD101" s="2103">
        <v>11138.4</v>
      </c>
      <c r="AE101" s="2104">
        <v>0</v>
      </c>
      <c r="AF101" s="2104">
        <v>2784.54</v>
      </c>
      <c r="AG101" s="2104">
        <v>0</v>
      </c>
      <c r="AH101" s="2104">
        <v>0</v>
      </c>
      <c r="AI101" s="2105">
        <f t="shared" ref="AI101:AI124" si="90">SUM(AD101:AH101)</f>
        <v>13922.939999999999</v>
      </c>
      <c r="AJ101" s="2101">
        <v>6127.03</v>
      </c>
      <c r="AK101" s="2102">
        <v>1112.97</v>
      </c>
      <c r="AL101" s="2102">
        <v>1328.03</v>
      </c>
      <c r="AM101" s="2102">
        <v>-0.03</v>
      </c>
      <c r="AN101" s="2102">
        <v>0</v>
      </c>
      <c r="AO101" s="2106">
        <f t="shared" ref="AO101:AO124" si="91">SUM(AJ101:AN101)</f>
        <v>8568</v>
      </c>
      <c r="AP101" s="2101">
        <v>732.96</v>
      </c>
      <c r="AQ101" s="2102">
        <v>183.24</v>
      </c>
      <c r="AR101" s="2102">
        <v>0</v>
      </c>
      <c r="AS101" s="2102">
        <v>0</v>
      </c>
      <c r="AT101" s="2102">
        <v>0</v>
      </c>
      <c r="AU101" s="2106">
        <f t="shared" ref="AU101:AU124" si="92">SUM(AP101:AT101)</f>
        <v>916.2</v>
      </c>
      <c r="AV101" s="2107">
        <v>7354.1</v>
      </c>
      <c r="AW101" s="2108">
        <v>1838.51</v>
      </c>
      <c r="AX101" s="2108">
        <v>0</v>
      </c>
      <c r="AY101" s="2108">
        <v>0</v>
      </c>
      <c r="AZ101" s="2109">
        <v>0</v>
      </c>
      <c r="BA101" s="2110">
        <f t="shared" ref="BA101:BA124" si="93">SUM(AV101:AZ101)</f>
        <v>9192.61</v>
      </c>
      <c r="BB101" s="2111">
        <v>48.73</v>
      </c>
      <c r="BC101" s="2112">
        <v>87.98</v>
      </c>
      <c r="BD101" s="2112">
        <v>0</v>
      </c>
      <c r="BE101" s="2112">
        <v>0</v>
      </c>
      <c r="BF101" s="2113">
        <v>0</v>
      </c>
      <c r="BG101" s="2114">
        <f t="shared" ref="BG101:BG124" si="94">SUM(BB101:BF101)</f>
        <v>136.71</v>
      </c>
      <c r="BH101" s="2103">
        <v>17367.75</v>
      </c>
      <c r="BI101" s="2104">
        <v>2199.91</v>
      </c>
      <c r="BJ101" s="2104">
        <v>3589.36</v>
      </c>
      <c r="BK101" s="2104">
        <v>-0.02</v>
      </c>
      <c r="BL101" s="2104">
        <v>0</v>
      </c>
      <c r="BM101" s="2117">
        <f t="shared" ref="BM101:BM124" si="95">SUM(BH101:BL101)</f>
        <v>23157</v>
      </c>
      <c r="BN101" s="2103"/>
      <c r="BO101" s="2104"/>
      <c r="BP101" s="2104"/>
      <c r="BQ101" s="2104"/>
      <c r="BR101" s="2104"/>
      <c r="BS101" s="2105">
        <f t="shared" ref="BS101:BS124" si="96">SUM(BN101:BR101)</f>
        <v>0</v>
      </c>
      <c r="BT101" s="2103">
        <v>19573.173408415176</v>
      </c>
      <c r="BU101" s="2104">
        <v>116781.98659158482</v>
      </c>
      <c r="BV101" s="2104">
        <v>25011.89</v>
      </c>
      <c r="BW101" s="2104">
        <v>-0.13</v>
      </c>
      <c r="BX101" s="2104">
        <v>0</v>
      </c>
      <c r="BY101" s="2105">
        <f t="shared" ref="BY101:BY124" si="97">SUM(BT101:BX101)</f>
        <v>161366.91999999998</v>
      </c>
      <c r="BZ101" s="2103">
        <v>3406.25</v>
      </c>
      <c r="CA101" s="2104">
        <v>0</v>
      </c>
      <c r="CB101" s="2104">
        <v>3145.49</v>
      </c>
      <c r="CC101" s="2104">
        <v>0.01</v>
      </c>
      <c r="CD101" s="2104">
        <v>0</v>
      </c>
      <c r="CE101" s="2105">
        <f t="shared" ref="CE101:CE124" si="98">SUM(BZ101:CD101)</f>
        <v>6551.75</v>
      </c>
      <c r="CF101" s="2115"/>
      <c r="CG101" s="2116"/>
      <c r="CH101" s="2116"/>
      <c r="CI101" s="2116"/>
      <c r="CJ101" s="2116"/>
      <c r="CK101" s="2117">
        <f t="shared" ref="CK101:CK124" si="99">SUM(CF101:CJ101)</f>
        <v>0</v>
      </c>
      <c r="CL101" s="2103"/>
      <c r="CM101" s="2104"/>
      <c r="CN101" s="2104"/>
      <c r="CO101" s="2104"/>
      <c r="CP101" s="2104"/>
      <c r="CQ101" s="2105">
        <f t="shared" ref="CQ101:CQ124" si="100">SUM(CL101:CP101)</f>
        <v>0</v>
      </c>
      <c r="CR101" s="2103"/>
      <c r="CS101" s="2104"/>
      <c r="CT101" s="2104"/>
      <c r="CU101" s="2104"/>
      <c r="CV101" s="2104"/>
      <c r="CW101" s="2117">
        <f t="shared" ref="CW101:CW124" si="101">SUM(CR101:CV101)</f>
        <v>0</v>
      </c>
      <c r="CX101" s="2103"/>
      <c r="CY101" s="2104"/>
      <c r="CZ101" s="2104"/>
      <c r="DA101" s="2104"/>
      <c r="DB101" s="2104"/>
      <c r="DC101" s="2105">
        <f t="shared" ref="DC101:DC124" si="102">SUM(CX101:DB101)</f>
        <v>0</v>
      </c>
      <c r="DD101" s="2103"/>
      <c r="DE101" s="2104"/>
      <c r="DF101" s="2104"/>
      <c r="DG101" s="2104"/>
      <c r="DH101" s="2104"/>
      <c r="DI101" s="2105">
        <f t="shared" ref="DI101:DI124" si="103">SUM(DD101:DH101)</f>
        <v>0</v>
      </c>
      <c r="DJ101" s="2103"/>
      <c r="DK101" s="2104"/>
      <c r="DL101" s="2104"/>
      <c r="DM101" s="2104"/>
      <c r="DN101" s="2104"/>
      <c r="DO101" s="2105">
        <f t="shared" ref="DO101:DO124" si="104">SUM(DJ101:DN101)</f>
        <v>0</v>
      </c>
      <c r="DP101" s="2103">
        <v>2170</v>
      </c>
      <c r="DQ101" s="2104">
        <v>1497.3</v>
      </c>
      <c r="DR101" s="2104">
        <v>672.7</v>
      </c>
      <c r="DS101" s="2104">
        <v>0</v>
      </c>
      <c r="DT101" s="2104">
        <v>0</v>
      </c>
      <c r="DU101" s="2118">
        <f t="shared" ref="DU101:DU124" si="105">SUM(DP101:DT101)</f>
        <v>4340</v>
      </c>
      <c r="DV101" s="2103">
        <v>6563.29</v>
      </c>
      <c r="DW101" s="2104">
        <v>0</v>
      </c>
      <c r="DX101" s="2104">
        <v>1203.92</v>
      </c>
      <c r="DY101" s="2104">
        <v>0</v>
      </c>
      <c r="DZ101" s="2104">
        <v>0</v>
      </c>
      <c r="EA101" s="2105">
        <f t="shared" ref="EA101:EA124" si="106">SUM(DV101:DZ101)</f>
        <v>7767.21</v>
      </c>
    </row>
    <row r="102" spans="1:131" s="2049" customFormat="1" ht="15" customHeight="1" x14ac:dyDescent="0.25">
      <c r="A102" s="2089" t="s">
        <v>52</v>
      </c>
      <c r="B102" s="2090" t="s">
        <v>53</v>
      </c>
      <c r="C102" s="2091" t="s">
        <v>265</v>
      </c>
      <c r="D102" s="2092">
        <f t="shared" si="79"/>
        <v>176947.59345002976</v>
      </c>
      <c r="E102" s="2093">
        <f t="shared" si="80"/>
        <v>95074.156549970183</v>
      </c>
      <c r="F102" s="2093">
        <f t="shared" si="81"/>
        <v>62946.340000000004</v>
      </c>
      <c r="G102" s="2093">
        <f t="shared" si="82"/>
        <v>-0.18</v>
      </c>
      <c r="H102" s="2093">
        <f t="shared" si="83"/>
        <v>0</v>
      </c>
      <c r="I102" s="2093">
        <f t="shared" si="84"/>
        <v>334967.90999999997</v>
      </c>
      <c r="J102" s="2093">
        <f t="shared" si="85"/>
        <v>-0.18</v>
      </c>
      <c r="K102" s="2094">
        <f t="shared" si="86"/>
        <v>62946.16</v>
      </c>
      <c r="L102" s="2095"/>
      <c r="M102" s="2096"/>
      <c r="N102" s="2096"/>
      <c r="O102" s="2096"/>
      <c r="P102" s="2096"/>
      <c r="Q102" s="2097">
        <f t="shared" si="87"/>
        <v>0</v>
      </c>
      <c r="R102" s="2098"/>
      <c r="S102" s="2099"/>
      <c r="T102" s="2099"/>
      <c r="U102" s="2099"/>
      <c r="V102" s="2099"/>
      <c r="W102" s="2100">
        <f t="shared" si="88"/>
        <v>0</v>
      </c>
      <c r="X102" s="2101">
        <v>25047.73</v>
      </c>
      <c r="Y102" s="2102">
        <v>149.09</v>
      </c>
      <c r="Z102" s="2102">
        <v>4621.93</v>
      </c>
      <c r="AA102" s="2102">
        <v>-0.01</v>
      </c>
      <c r="AB102" s="2102">
        <v>0</v>
      </c>
      <c r="AC102" s="2100">
        <f t="shared" si="89"/>
        <v>29818.74</v>
      </c>
      <c r="AD102" s="2103">
        <v>31312.39</v>
      </c>
      <c r="AE102" s="2104">
        <v>0</v>
      </c>
      <c r="AF102" s="2104">
        <v>7828.1</v>
      </c>
      <c r="AG102" s="2104">
        <v>0</v>
      </c>
      <c r="AH102" s="2104">
        <v>0</v>
      </c>
      <c r="AI102" s="2105">
        <f t="shared" si="90"/>
        <v>39140.49</v>
      </c>
      <c r="AJ102" s="2098"/>
      <c r="AK102" s="2099"/>
      <c r="AL102" s="2099"/>
      <c r="AM102" s="2099"/>
      <c r="AN102" s="2099"/>
      <c r="AO102" s="2106">
        <f t="shared" si="91"/>
        <v>0</v>
      </c>
      <c r="AP102" s="2101">
        <v>4224.71</v>
      </c>
      <c r="AQ102" s="2102">
        <v>1056.17</v>
      </c>
      <c r="AR102" s="2102">
        <v>0</v>
      </c>
      <c r="AS102" s="2102">
        <v>0</v>
      </c>
      <c r="AT102" s="2102">
        <v>0</v>
      </c>
      <c r="AU102" s="2106">
        <f t="shared" si="92"/>
        <v>5280.88</v>
      </c>
      <c r="AV102" s="2107">
        <v>10239.99</v>
      </c>
      <c r="AW102" s="2108">
        <v>2560.0100000000002</v>
      </c>
      <c r="AX102" s="2108">
        <v>0</v>
      </c>
      <c r="AY102" s="2108">
        <v>0</v>
      </c>
      <c r="AZ102" s="2109">
        <v>0</v>
      </c>
      <c r="BA102" s="2110">
        <f t="shared" si="93"/>
        <v>12800</v>
      </c>
      <c r="BB102" s="2111">
        <v>5987.51</v>
      </c>
      <c r="BC102" s="2112">
        <v>10812.49</v>
      </c>
      <c r="BD102" s="2112">
        <v>0</v>
      </c>
      <c r="BE102" s="2112">
        <v>0</v>
      </c>
      <c r="BF102" s="2113">
        <v>0</v>
      </c>
      <c r="BG102" s="2114">
        <f t="shared" si="94"/>
        <v>16800</v>
      </c>
      <c r="BH102" s="2103">
        <v>35056.769999999997</v>
      </c>
      <c r="BI102" s="2104">
        <v>4440.51</v>
      </c>
      <c r="BJ102" s="2104">
        <v>7245.04</v>
      </c>
      <c r="BK102" s="2104">
        <v>0.01</v>
      </c>
      <c r="BL102" s="2104">
        <v>0</v>
      </c>
      <c r="BM102" s="2117">
        <f t="shared" si="95"/>
        <v>46742.33</v>
      </c>
      <c r="BN102" s="2103">
        <v>-55.13</v>
      </c>
      <c r="BO102" s="2104">
        <v>-55.13</v>
      </c>
      <c r="BP102" s="2104">
        <v>0</v>
      </c>
      <c r="BQ102" s="2104">
        <v>0.03</v>
      </c>
      <c r="BR102" s="2104">
        <v>0</v>
      </c>
      <c r="BS102" s="2105">
        <f t="shared" si="96"/>
        <v>-110.23</v>
      </c>
      <c r="BT102" s="2103">
        <v>18723.993450029826</v>
      </c>
      <c r="BU102" s="2104">
        <v>67522.806549970177</v>
      </c>
      <c r="BV102" s="2104">
        <v>15820.45</v>
      </c>
      <c r="BW102" s="2104">
        <v>-0.22</v>
      </c>
      <c r="BX102" s="2104">
        <v>0</v>
      </c>
      <c r="BY102" s="2105">
        <f t="shared" si="97"/>
        <v>102067.03</v>
      </c>
      <c r="BZ102" s="2103">
        <v>23395.5</v>
      </c>
      <c r="CA102" s="2104">
        <v>0</v>
      </c>
      <c r="CB102" s="2104">
        <v>21604.5</v>
      </c>
      <c r="CC102" s="2104">
        <v>0</v>
      </c>
      <c r="CD102" s="2104">
        <v>0</v>
      </c>
      <c r="CE102" s="2105">
        <f t="shared" si="98"/>
        <v>45000</v>
      </c>
      <c r="CF102" s="2115"/>
      <c r="CG102" s="2116"/>
      <c r="CH102" s="2116"/>
      <c r="CI102" s="2116"/>
      <c r="CJ102" s="2116"/>
      <c r="CK102" s="2117">
        <f t="shared" si="99"/>
        <v>0</v>
      </c>
      <c r="CL102" s="2103"/>
      <c r="CM102" s="2104"/>
      <c r="CN102" s="2104"/>
      <c r="CO102" s="2104"/>
      <c r="CP102" s="2104"/>
      <c r="CQ102" s="2105">
        <f t="shared" si="100"/>
        <v>0</v>
      </c>
      <c r="CR102" s="2103">
        <v>-80.23</v>
      </c>
      <c r="CS102" s="2104">
        <v>-80.23</v>
      </c>
      <c r="CT102" s="2104">
        <v>0</v>
      </c>
      <c r="CU102" s="2104">
        <v>0</v>
      </c>
      <c r="CV102" s="2104">
        <v>0</v>
      </c>
      <c r="CW102" s="2117">
        <f t="shared" si="101"/>
        <v>-160.46</v>
      </c>
      <c r="CX102" s="2103"/>
      <c r="CY102" s="2104"/>
      <c r="CZ102" s="2104"/>
      <c r="DA102" s="2104"/>
      <c r="DB102" s="2104"/>
      <c r="DC102" s="2105">
        <f t="shared" si="102"/>
        <v>0</v>
      </c>
      <c r="DD102" s="2103"/>
      <c r="DE102" s="2104"/>
      <c r="DF102" s="2104"/>
      <c r="DG102" s="2104"/>
      <c r="DH102" s="2104"/>
      <c r="DI102" s="2105">
        <f t="shared" si="103"/>
        <v>0</v>
      </c>
      <c r="DJ102" s="2103"/>
      <c r="DK102" s="2104"/>
      <c r="DL102" s="2104"/>
      <c r="DM102" s="2104"/>
      <c r="DN102" s="2104"/>
      <c r="DO102" s="2105">
        <f t="shared" si="104"/>
        <v>0</v>
      </c>
      <c r="DP102" s="2115">
        <v>12562.96</v>
      </c>
      <c r="DQ102" s="2116">
        <v>8668.44</v>
      </c>
      <c r="DR102" s="2116">
        <v>3894.51</v>
      </c>
      <c r="DS102" s="2116">
        <v>0</v>
      </c>
      <c r="DT102" s="2116">
        <v>0</v>
      </c>
      <c r="DU102" s="2118">
        <f t="shared" si="105"/>
        <v>25125.910000000003</v>
      </c>
      <c r="DV102" s="2103">
        <v>10531.4</v>
      </c>
      <c r="DW102" s="2104">
        <v>0</v>
      </c>
      <c r="DX102" s="2104">
        <v>1931.81</v>
      </c>
      <c r="DY102" s="2104">
        <v>0.01</v>
      </c>
      <c r="DZ102" s="2104">
        <v>0</v>
      </c>
      <c r="EA102" s="2105">
        <f t="shared" si="106"/>
        <v>12463.22</v>
      </c>
    </row>
    <row r="103" spans="1:131" s="2049" customFormat="1" ht="15" customHeight="1" x14ac:dyDescent="0.25">
      <c r="A103" s="2089" t="s">
        <v>54</v>
      </c>
      <c r="B103" s="2090" t="s">
        <v>55</v>
      </c>
      <c r="C103" s="2091" t="s">
        <v>264</v>
      </c>
      <c r="D103" s="2092">
        <f t="shared" si="79"/>
        <v>281407.61464361491</v>
      </c>
      <c r="E103" s="2093">
        <f t="shared" si="80"/>
        <v>247842.61535638515</v>
      </c>
      <c r="F103" s="2093">
        <f t="shared" si="81"/>
        <v>98803.89</v>
      </c>
      <c r="G103" s="2093">
        <f t="shared" si="82"/>
        <v>-0.11000000000000001</v>
      </c>
      <c r="H103" s="2093">
        <f t="shared" si="83"/>
        <v>0</v>
      </c>
      <c r="I103" s="2093">
        <f t="shared" si="84"/>
        <v>628054.01000000013</v>
      </c>
      <c r="J103" s="2093">
        <f t="shared" si="85"/>
        <v>-0.11000000000000001</v>
      </c>
      <c r="K103" s="2094">
        <f t="shared" si="86"/>
        <v>98803.78</v>
      </c>
      <c r="L103" s="2095"/>
      <c r="M103" s="2096"/>
      <c r="N103" s="2096"/>
      <c r="O103" s="2096"/>
      <c r="P103" s="2096"/>
      <c r="Q103" s="2097">
        <f t="shared" si="87"/>
        <v>0</v>
      </c>
      <c r="R103" s="2101"/>
      <c r="S103" s="2102"/>
      <c r="T103" s="2102"/>
      <c r="U103" s="2102"/>
      <c r="V103" s="2102"/>
      <c r="W103" s="2100">
        <f t="shared" si="88"/>
        <v>0</v>
      </c>
      <c r="X103" s="2101">
        <v>42628.61</v>
      </c>
      <c r="Y103" s="2102">
        <v>253.75</v>
      </c>
      <c r="Z103" s="2102">
        <v>7865.99</v>
      </c>
      <c r="AA103" s="2102">
        <v>0</v>
      </c>
      <c r="AB103" s="2102">
        <v>0</v>
      </c>
      <c r="AC103" s="2100">
        <f t="shared" si="89"/>
        <v>50748.35</v>
      </c>
      <c r="AD103" s="2103">
        <v>47613.69</v>
      </c>
      <c r="AE103" s="2104">
        <v>0</v>
      </c>
      <c r="AF103" s="2104">
        <v>11903.42</v>
      </c>
      <c r="AG103" s="2104">
        <v>0</v>
      </c>
      <c r="AH103" s="2104">
        <v>0</v>
      </c>
      <c r="AI103" s="2105">
        <f t="shared" si="90"/>
        <v>59517.11</v>
      </c>
      <c r="AJ103" s="2101">
        <v>9697.89</v>
      </c>
      <c r="AK103" s="2102">
        <v>1791.52</v>
      </c>
      <c r="AL103" s="2102">
        <v>2107.52</v>
      </c>
      <c r="AM103" s="2102">
        <v>-0.01</v>
      </c>
      <c r="AN103" s="2102">
        <v>0</v>
      </c>
      <c r="AO103" s="2106">
        <f t="shared" si="91"/>
        <v>13596.92</v>
      </c>
      <c r="AP103" s="2101"/>
      <c r="AQ103" s="2102"/>
      <c r="AR103" s="2102"/>
      <c r="AS103" s="2102"/>
      <c r="AT103" s="2102"/>
      <c r="AU103" s="2106">
        <f t="shared" si="92"/>
        <v>0</v>
      </c>
      <c r="AV103" s="2107">
        <v>2861.55</v>
      </c>
      <c r="AW103" s="2108">
        <v>715.39</v>
      </c>
      <c r="AX103" s="2108">
        <v>0</v>
      </c>
      <c r="AY103" s="2108">
        <v>0</v>
      </c>
      <c r="AZ103" s="2109">
        <v>0</v>
      </c>
      <c r="BA103" s="2110">
        <f t="shared" si="93"/>
        <v>3576.94</v>
      </c>
      <c r="BB103" s="2111">
        <v>2726.46</v>
      </c>
      <c r="BC103" s="2112">
        <v>4923.54</v>
      </c>
      <c r="BD103" s="2112">
        <v>0</v>
      </c>
      <c r="BE103" s="2112">
        <v>0</v>
      </c>
      <c r="BF103" s="2113">
        <v>0</v>
      </c>
      <c r="BG103" s="2114">
        <f t="shared" si="94"/>
        <v>7650</v>
      </c>
      <c r="BH103" s="2103">
        <v>36482.269999999997</v>
      </c>
      <c r="BI103" s="2104">
        <v>4621.1099999999997</v>
      </c>
      <c r="BJ103" s="2104">
        <v>7539.69</v>
      </c>
      <c r="BK103" s="2104">
        <v>-7.0000000000000007E-2</v>
      </c>
      <c r="BL103" s="2104">
        <v>0</v>
      </c>
      <c r="BM103" s="2117">
        <f t="shared" si="95"/>
        <v>48643</v>
      </c>
      <c r="BN103" s="2103"/>
      <c r="BO103" s="2104"/>
      <c r="BP103" s="2104"/>
      <c r="BQ103" s="2104"/>
      <c r="BR103" s="2104"/>
      <c r="BS103" s="2105">
        <f t="shared" si="96"/>
        <v>0</v>
      </c>
      <c r="BT103" s="2103">
        <v>121386.49464361487</v>
      </c>
      <c r="BU103" s="2104">
        <v>233518.02535638516</v>
      </c>
      <c r="BV103" s="2104">
        <v>65100.83</v>
      </c>
      <c r="BW103" s="2104">
        <v>-0.06</v>
      </c>
      <c r="BX103" s="2104">
        <v>0</v>
      </c>
      <c r="BY103" s="2105">
        <f t="shared" si="97"/>
        <v>420005.29000000004</v>
      </c>
      <c r="BZ103" s="2103">
        <v>697.32</v>
      </c>
      <c r="CA103" s="2104">
        <v>0</v>
      </c>
      <c r="CB103" s="2104">
        <v>643.94000000000005</v>
      </c>
      <c r="CC103" s="2104">
        <v>0</v>
      </c>
      <c r="CD103" s="2104">
        <v>0</v>
      </c>
      <c r="CE103" s="2105">
        <f t="shared" si="98"/>
        <v>1341.2600000000002</v>
      </c>
      <c r="CF103" s="2115"/>
      <c r="CG103" s="2116"/>
      <c r="CH103" s="2116"/>
      <c r="CI103" s="2116"/>
      <c r="CJ103" s="2116"/>
      <c r="CK103" s="2117">
        <f t="shared" si="99"/>
        <v>0</v>
      </c>
      <c r="CL103" s="2103"/>
      <c r="CM103" s="2104"/>
      <c r="CN103" s="2104"/>
      <c r="CO103" s="2104"/>
      <c r="CP103" s="2104"/>
      <c r="CQ103" s="2105">
        <f t="shared" si="100"/>
        <v>0</v>
      </c>
      <c r="CR103" s="2103"/>
      <c r="CS103" s="2104"/>
      <c r="CT103" s="2104"/>
      <c r="CU103" s="2104"/>
      <c r="CV103" s="2104"/>
      <c r="CW103" s="2117">
        <f t="shared" si="101"/>
        <v>0</v>
      </c>
      <c r="CX103" s="2103"/>
      <c r="CY103" s="2104"/>
      <c r="CZ103" s="2104"/>
      <c r="DA103" s="2104"/>
      <c r="DB103" s="2104"/>
      <c r="DC103" s="2105">
        <f t="shared" si="102"/>
        <v>0</v>
      </c>
      <c r="DD103" s="2103">
        <v>-200</v>
      </c>
      <c r="DE103" s="2104">
        <v>0</v>
      </c>
      <c r="DF103" s="2104">
        <v>0</v>
      </c>
      <c r="DG103" s="2104">
        <v>0</v>
      </c>
      <c r="DH103" s="2104">
        <v>0</v>
      </c>
      <c r="DI103" s="2105">
        <f t="shared" si="103"/>
        <v>-200</v>
      </c>
      <c r="DJ103" s="2103">
        <v>-162.5</v>
      </c>
      <c r="DK103" s="2104">
        <v>-162.5</v>
      </c>
      <c r="DL103" s="2104">
        <v>0</v>
      </c>
      <c r="DM103" s="2104">
        <v>0</v>
      </c>
      <c r="DN103" s="2104">
        <v>0</v>
      </c>
      <c r="DO103" s="2105">
        <f t="shared" si="104"/>
        <v>-325</v>
      </c>
      <c r="DP103" s="2103">
        <v>3162.01</v>
      </c>
      <c r="DQ103" s="2104">
        <v>2181.7800000000002</v>
      </c>
      <c r="DR103" s="2104">
        <v>980.22</v>
      </c>
      <c r="DS103" s="2104">
        <v>-0.01</v>
      </c>
      <c r="DT103" s="2104">
        <v>0</v>
      </c>
      <c r="DU103" s="2118">
        <f t="shared" si="105"/>
        <v>6324.0000000000009</v>
      </c>
      <c r="DV103" s="2103">
        <v>14513.82</v>
      </c>
      <c r="DW103" s="2104">
        <v>0</v>
      </c>
      <c r="DX103" s="2104">
        <v>2662.28</v>
      </c>
      <c r="DY103" s="2104">
        <v>0.04</v>
      </c>
      <c r="DZ103" s="2104">
        <v>0</v>
      </c>
      <c r="EA103" s="2105">
        <f t="shared" si="106"/>
        <v>17176.14</v>
      </c>
    </row>
    <row r="104" spans="1:131" s="2049" customFormat="1" ht="15" customHeight="1" x14ac:dyDescent="0.25">
      <c r="A104" s="2089" t="s">
        <v>66</v>
      </c>
      <c r="B104" s="2090" t="s">
        <v>67</v>
      </c>
      <c r="C104" s="2091" t="s">
        <v>265</v>
      </c>
      <c r="D104" s="2092">
        <f t="shared" si="79"/>
        <v>88183.060948172788</v>
      </c>
      <c r="E104" s="2093">
        <f t="shared" si="80"/>
        <v>36764.529051827209</v>
      </c>
      <c r="F104" s="2093">
        <f t="shared" si="81"/>
        <v>24677.35</v>
      </c>
      <c r="G104" s="2093">
        <f t="shared" si="82"/>
        <v>-0.41000000000000003</v>
      </c>
      <c r="H104" s="2093">
        <f t="shared" si="83"/>
        <v>0</v>
      </c>
      <c r="I104" s="2093">
        <f t="shared" si="84"/>
        <v>149624.53</v>
      </c>
      <c r="J104" s="2093">
        <f t="shared" si="85"/>
        <v>-0.41000000000000003</v>
      </c>
      <c r="K104" s="2094">
        <f t="shared" si="86"/>
        <v>24676.94</v>
      </c>
      <c r="L104" s="2095"/>
      <c r="M104" s="2096"/>
      <c r="N104" s="2096"/>
      <c r="O104" s="2096"/>
      <c r="P104" s="2096"/>
      <c r="Q104" s="2097">
        <f t="shared" si="87"/>
        <v>0</v>
      </c>
      <c r="R104" s="2098"/>
      <c r="S104" s="2099"/>
      <c r="T104" s="2099"/>
      <c r="U104" s="2099"/>
      <c r="V104" s="2099"/>
      <c r="W104" s="2100">
        <f t="shared" si="88"/>
        <v>0</v>
      </c>
      <c r="X104" s="2101">
        <v>9162.66</v>
      </c>
      <c r="Y104" s="2102">
        <v>54.56</v>
      </c>
      <c r="Z104" s="2102">
        <v>1690.74</v>
      </c>
      <c r="AA104" s="2102">
        <v>-0.03</v>
      </c>
      <c r="AB104" s="2102">
        <v>0</v>
      </c>
      <c r="AC104" s="2100">
        <f t="shared" si="89"/>
        <v>10907.929999999998</v>
      </c>
      <c r="AD104" s="2103">
        <v>26764.26</v>
      </c>
      <c r="AE104" s="2104">
        <v>0</v>
      </c>
      <c r="AF104" s="2104">
        <v>6691.04</v>
      </c>
      <c r="AG104" s="2104">
        <v>0</v>
      </c>
      <c r="AH104" s="2104">
        <v>0</v>
      </c>
      <c r="AI104" s="2105">
        <f t="shared" si="90"/>
        <v>33455.299999999996</v>
      </c>
      <c r="AJ104" s="2101">
        <v>4599.17</v>
      </c>
      <c r="AK104" s="2102">
        <v>1768.87</v>
      </c>
      <c r="AL104" s="2102">
        <v>1168.0999999999999</v>
      </c>
      <c r="AM104" s="2102">
        <v>-0.02</v>
      </c>
      <c r="AN104" s="2102">
        <v>0</v>
      </c>
      <c r="AO104" s="2106">
        <f t="shared" si="91"/>
        <v>7536.119999999999</v>
      </c>
      <c r="AP104" s="2101">
        <v>427.32</v>
      </c>
      <c r="AQ104" s="2102">
        <v>106.83</v>
      </c>
      <c r="AR104" s="2102">
        <v>0</v>
      </c>
      <c r="AS104" s="2102">
        <v>0</v>
      </c>
      <c r="AT104" s="2102">
        <v>0</v>
      </c>
      <c r="AU104" s="2106">
        <f t="shared" si="92"/>
        <v>534.15</v>
      </c>
      <c r="AV104" s="2107">
        <v>5197.55</v>
      </c>
      <c r="AW104" s="2108">
        <v>1299.4000000000001</v>
      </c>
      <c r="AX104" s="2108">
        <v>0</v>
      </c>
      <c r="AY104" s="2108">
        <v>0</v>
      </c>
      <c r="AZ104" s="2109">
        <v>0</v>
      </c>
      <c r="BA104" s="2110">
        <f t="shared" si="93"/>
        <v>6496.9500000000007</v>
      </c>
      <c r="BB104" s="2111">
        <v>288.86</v>
      </c>
      <c r="BC104" s="2112">
        <v>521.64</v>
      </c>
      <c r="BD104" s="2112">
        <v>0</v>
      </c>
      <c r="BE104" s="2112">
        <v>0</v>
      </c>
      <c r="BF104" s="2113">
        <v>0</v>
      </c>
      <c r="BG104" s="2114">
        <f t="shared" si="94"/>
        <v>810.5</v>
      </c>
      <c r="BH104" s="2103">
        <v>27995.360000000001</v>
      </c>
      <c r="BI104" s="2104">
        <v>3546.13</v>
      </c>
      <c r="BJ104" s="2104">
        <v>5785.75</v>
      </c>
      <c r="BK104" s="2104">
        <v>-0.25</v>
      </c>
      <c r="BL104" s="2104">
        <v>0</v>
      </c>
      <c r="BM104" s="2117">
        <f t="shared" si="95"/>
        <v>37326.990000000005</v>
      </c>
      <c r="BN104" s="2103"/>
      <c r="BO104" s="2104"/>
      <c r="BP104" s="2104"/>
      <c r="BQ104" s="2104"/>
      <c r="BR104" s="2104"/>
      <c r="BS104" s="2105">
        <f t="shared" si="96"/>
        <v>0</v>
      </c>
      <c r="BT104" s="2103">
        <v>4143.1209481727892</v>
      </c>
      <c r="BU104" s="2104">
        <v>26256.17905182721</v>
      </c>
      <c r="BV104" s="2104">
        <v>5576.21</v>
      </c>
      <c r="BW104" s="2104">
        <v>-0.1</v>
      </c>
      <c r="BX104" s="2104">
        <v>0</v>
      </c>
      <c r="BY104" s="2105">
        <f t="shared" si="97"/>
        <v>35975.410000000003</v>
      </c>
      <c r="BZ104" s="2103">
        <v>1911.69</v>
      </c>
      <c r="CA104" s="2104">
        <v>0</v>
      </c>
      <c r="CB104" s="2104">
        <v>1765.37</v>
      </c>
      <c r="CC104" s="2104">
        <v>0</v>
      </c>
      <c r="CD104" s="2104">
        <v>0</v>
      </c>
      <c r="CE104" s="2105">
        <f t="shared" si="98"/>
        <v>3677.06</v>
      </c>
      <c r="CF104" s="2115"/>
      <c r="CG104" s="2116"/>
      <c r="CH104" s="2116"/>
      <c r="CI104" s="2116"/>
      <c r="CJ104" s="2116"/>
      <c r="CK104" s="2117">
        <f t="shared" si="99"/>
        <v>0</v>
      </c>
      <c r="CL104" s="2103"/>
      <c r="CM104" s="2104"/>
      <c r="CN104" s="2104"/>
      <c r="CO104" s="2104"/>
      <c r="CP104" s="2104"/>
      <c r="CQ104" s="2105">
        <f t="shared" si="100"/>
        <v>0</v>
      </c>
      <c r="CR104" s="2103"/>
      <c r="CS104" s="2104"/>
      <c r="CT104" s="2104"/>
      <c r="CU104" s="2104"/>
      <c r="CV104" s="2104"/>
      <c r="CW104" s="2117">
        <f t="shared" si="101"/>
        <v>0</v>
      </c>
      <c r="CX104" s="2103"/>
      <c r="CY104" s="2104"/>
      <c r="CZ104" s="2104"/>
      <c r="DA104" s="2104"/>
      <c r="DB104" s="2104"/>
      <c r="DC104" s="2105">
        <f t="shared" si="102"/>
        <v>0</v>
      </c>
      <c r="DD104" s="2103"/>
      <c r="DE104" s="2104"/>
      <c r="DF104" s="2104"/>
      <c r="DG104" s="2104"/>
      <c r="DH104" s="2104"/>
      <c r="DI104" s="2105">
        <f t="shared" si="103"/>
        <v>0</v>
      </c>
      <c r="DJ104" s="2103"/>
      <c r="DK104" s="2104"/>
      <c r="DL104" s="2104"/>
      <c r="DM104" s="2104"/>
      <c r="DN104" s="2104"/>
      <c r="DO104" s="2105">
        <f t="shared" si="104"/>
        <v>0</v>
      </c>
      <c r="DP104" s="2103">
        <v>4653.5</v>
      </c>
      <c r="DQ104" s="2104">
        <v>3210.92</v>
      </c>
      <c r="DR104" s="2104">
        <v>1442.59</v>
      </c>
      <c r="DS104" s="2104">
        <v>-0.01</v>
      </c>
      <c r="DT104" s="2104">
        <v>0</v>
      </c>
      <c r="DU104" s="2118">
        <f t="shared" si="105"/>
        <v>9307</v>
      </c>
      <c r="DV104" s="2103">
        <v>3039.57</v>
      </c>
      <c r="DW104" s="2104">
        <v>0</v>
      </c>
      <c r="DX104" s="2104">
        <v>557.54999999999995</v>
      </c>
      <c r="DY104" s="2104">
        <v>0</v>
      </c>
      <c r="DZ104" s="2104">
        <v>0</v>
      </c>
      <c r="EA104" s="2105">
        <f t="shared" si="106"/>
        <v>3597.12</v>
      </c>
    </row>
    <row r="105" spans="1:131" s="2049" customFormat="1" ht="15" customHeight="1" x14ac:dyDescent="0.25">
      <c r="A105" s="2089" t="s">
        <v>82</v>
      </c>
      <c r="B105" s="2090" t="s">
        <v>311</v>
      </c>
      <c r="C105" s="2091" t="s">
        <v>264</v>
      </c>
      <c r="D105" s="2092">
        <f t="shared" si="79"/>
        <v>22047.46686923852</v>
      </c>
      <c r="E105" s="2093">
        <f t="shared" si="80"/>
        <v>22907.94313076148</v>
      </c>
      <c r="F105" s="2093">
        <f t="shared" si="81"/>
        <v>8407.4500000000007</v>
      </c>
      <c r="G105" s="2093">
        <f t="shared" si="82"/>
        <v>-0.08</v>
      </c>
      <c r="H105" s="2093">
        <f t="shared" si="83"/>
        <v>0</v>
      </c>
      <c r="I105" s="2093">
        <f t="shared" si="84"/>
        <v>53362.78</v>
      </c>
      <c r="J105" s="2093">
        <f t="shared" si="85"/>
        <v>-0.08</v>
      </c>
      <c r="K105" s="2094">
        <f t="shared" si="86"/>
        <v>8407.3700000000008</v>
      </c>
      <c r="L105" s="2095"/>
      <c r="M105" s="2096"/>
      <c r="N105" s="2096"/>
      <c r="O105" s="2096"/>
      <c r="P105" s="2096"/>
      <c r="Q105" s="2097">
        <f t="shared" si="87"/>
        <v>0</v>
      </c>
      <c r="R105" s="2098"/>
      <c r="S105" s="2099"/>
      <c r="T105" s="2099"/>
      <c r="U105" s="2099"/>
      <c r="V105" s="2099"/>
      <c r="W105" s="2100">
        <f t="shared" si="88"/>
        <v>0</v>
      </c>
      <c r="X105" s="2101">
        <v>937.48</v>
      </c>
      <c r="Y105" s="2102">
        <v>5.58</v>
      </c>
      <c r="Z105" s="2102">
        <v>172.98</v>
      </c>
      <c r="AA105" s="2102">
        <v>0</v>
      </c>
      <c r="AB105" s="2102">
        <v>0</v>
      </c>
      <c r="AC105" s="2100">
        <f t="shared" si="89"/>
        <v>1116.04</v>
      </c>
      <c r="AD105" s="2103">
        <v>3770.33</v>
      </c>
      <c r="AE105" s="2104">
        <v>0</v>
      </c>
      <c r="AF105" s="2104">
        <v>942.58</v>
      </c>
      <c r="AG105" s="2104">
        <v>0</v>
      </c>
      <c r="AH105" s="2104">
        <v>0</v>
      </c>
      <c r="AI105" s="2105">
        <f t="shared" si="90"/>
        <v>4712.91</v>
      </c>
      <c r="AJ105" s="2098"/>
      <c r="AK105" s="2099"/>
      <c r="AL105" s="2099"/>
      <c r="AM105" s="2099"/>
      <c r="AN105" s="2099"/>
      <c r="AO105" s="2106">
        <f t="shared" si="91"/>
        <v>0</v>
      </c>
      <c r="AP105" s="2101"/>
      <c r="AQ105" s="2102"/>
      <c r="AR105" s="2102"/>
      <c r="AS105" s="2102"/>
      <c r="AT105" s="2102"/>
      <c r="AU105" s="2106">
        <f t="shared" si="92"/>
        <v>0</v>
      </c>
      <c r="AV105" s="2107">
        <v>391.66</v>
      </c>
      <c r="AW105" s="2108">
        <v>97.92</v>
      </c>
      <c r="AX105" s="2108">
        <v>0</v>
      </c>
      <c r="AY105" s="2108">
        <v>0</v>
      </c>
      <c r="AZ105" s="2109">
        <v>0</v>
      </c>
      <c r="BA105" s="2110">
        <f t="shared" si="93"/>
        <v>489.58000000000004</v>
      </c>
      <c r="BB105" s="2119"/>
      <c r="BC105" s="2120"/>
      <c r="BD105" s="2120"/>
      <c r="BE105" s="2120"/>
      <c r="BF105" s="2120"/>
      <c r="BG105" s="2114">
        <f t="shared" si="94"/>
        <v>0</v>
      </c>
      <c r="BH105" s="2103">
        <v>13062.95</v>
      </c>
      <c r="BI105" s="2104">
        <v>1654.65</v>
      </c>
      <c r="BJ105" s="2104">
        <v>2699.67</v>
      </c>
      <c r="BK105" s="2104">
        <v>-0.01</v>
      </c>
      <c r="BL105" s="2104">
        <v>0</v>
      </c>
      <c r="BM105" s="2117">
        <f t="shared" si="95"/>
        <v>17417.260000000002</v>
      </c>
      <c r="BN105" s="2103"/>
      <c r="BO105" s="2104"/>
      <c r="BP105" s="2104"/>
      <c r="BQ105" s="2104"/>
      <c r="BR105" s="2104"/>
      <c r="BS105" s="2105">
        <f t="shared" si="96"/>
        <v>0</v>
      </c>
      <c r="BT105" s="2103">
        <v>3474.2068692385201</v>
      </c>
      <c r="BU105" s="2104">
        <v>21149.793130761478</v>
      </c>
      <c r="BV105" s="2104">
        <v>4516.8599999999997</v>
      </c>
      <c r="BW105" s="2104">
        <v>-0.08</v>
      </c>
      <c r="BX105" s="2104">
        <v>0</v>
      </c>
      <c r="BY105" s="2105">
        <f t="shared" si="97"/>
        <v>29140.78</v>
      </c>
      <c r="BZ105" s="2115"/>
      <c r="CA105" s="2116"/>
      <c r="CB105" s="2116"/>
      <c r="CC105" s="2116"/>
      <c r="CD105" s="2116"/>
      <c r="CE105" s="2105">
        <f t="shared" si="98"/>
        <v>0</v>
      </c>
      <c r="CF105" s="2115"/>
      <c r="CG105" s="2116"/>
      <c r="CH105" s="2116"/>
      <c r="CI105" s="2116"/>
      <c r="CJ105" s="2116"/>
      <c r="CK105" s="2117">
        <f t="shared" si="99"/>
        <v>0</v>
      </c>
      <c r="CL105" s="2115"/>
      <c r="CM105" s="2116"/>
      <c r="CN105" s="2116"/>
      <c r="CO105" s="2116"/>
      <c r="CP105" s="2116"/>
      <c r="CQ105" s="2105">
        <f t="shared" si="100"/>
        <v>0</v>
      </c>
      <c r="CR105" s="2115"/>
      <c r="CS105" s="2116"/>
      <c r="CT105" s="2116"/>
      <c r="CU105" s="2116"/>
      <c r="CV105" s="2116"/>
      <c r="CW105" s="2117">
        <f t="shared" si="101"/>
        <v>0</v>
      </c>
      <c r="CX105" s="2103"/>
      <c r="CY105" s="2104"/>
      <c r="CZ105" s="2104"/>
      <c r="DA105" s="2104"/>
      <c r="DB105" s="2104"/>
      <c r="DC105" s="2105">
        <f t="shared" si="102"/>
        <v>0</v>
      </c>
      <c r="DD105" s="2103"/>
      <c r="DE105" s="2104"/>
      <c r="DF105" s="2104"/>
      <c r="DG105" s="2104"/>
      <c r="DH105" s="2104"/>
      <c r="DI105" s="2105">
        <f t="shared" si="103"/>
        <v>0</v>
      </c>
      <c r="DJ105" s="2103"/>
      <c r="DK105" s="2104"/>
      <c r="DL105" s="2104"/>
      <c r="DM105" s="2104"/>
      <c r="DN105" s="2104"/>
      <c r="DO105" s="2105">
        <f t="shared" si="104"/>
        <v>0</v>
      </c>
      <c r="DP105" s="2103"/>
      <c r="DQ105" s="2104"/>
      <c r="DR105" s="2104"/>
      <c r="DS105" s="2104"/>
      <c r="DT105" s="2104"/>
      <c r="DU105" s="2118">
        <f t="shared" si="105"/>
        <v>0</v>
      </c>
      <c r="DV105" s="2103">
        <v>410.84</v>
      </c>
      <c r="DW105" s="2104">
        <v>0</v>
      </c>
      <c r="DX105" s="2104">
        <v>75.36</v>
      </c>
      <c r="DY105" s="2104">
        <v>0.01</v>
      </c>
      <c r="DZ105" s="2104">
        <v>0</v>
      </c>
      <c r="EA105" s="2105">
        <f t="shared" si="106"/>
        <v>486.21</v>
      </c>
    </row>
    <row r="106" spans="1:131" s="2049" customFormat="1" ht="15" customHeight="1" x14ac:dyDescent="0.25">
      <c r="A106" s="2089" t="s">
        <v>88</v>
      </c>
      <c r="B106" s="2090" t="s">
        <v>89</v>
      </c>
      <c r="C106" s="2091" t="s">
        <v>267</v>
      </c>
      <c r="D106" s="2092">
        <f t="shared" si="79"/>
        <v>67222.941444943848</v>
      </c>
      <c r="E106" s="2093">
        <f t="shared" si="80"/>
        <v>42731.828555056149</v>
      </c>
      <c r="F106" s="2093">
        <f t="shared" si="81"/>
        <v>28383.810000000005</v>
      </c>
      <c r="G106" s="2093">
        <f t="shared" si="82"/>
        <v>35.189999999999991</v>
      </c>
      <c r="H106" s="2093">
        <f t="shared" si="83"/>
        <v>0</v>
      </c>
      <c r="I106" s="2093">
        <f t="shared" si="84"/>
        <v>138373.76999999999</v>
      </c>
      <c r="J106" s="2093">
        <f t="shared" si="85"/>
        <v>35.189999999999991</v>
      </c>
      <c r="K106" s="2094">
        <f t="shared" si="86"/>
        <v>28419.000000000004</v>
      </c>
      <c r="L106" s="2127"/>
      <c r="M106" s="2128"/>
      <c r="N106" s="2128"/>
      <c r="O106" s="2128"/>
      <c r="P106" s="2128"/>
      <c r="Q106" s="2097">
        <f t="shared" si="87"/>
        <v>0</v>
      </c>
      <c r="R106" s="2098"/>
      <c r="S106" s="2099"/>
      <c r="T106" s="2099"/>
      <c r="U106" s="2099"/>
      <c r="V106" s="2099"/>
      <c r="W106" s="2100">
        <f t="shared" si="88"/>
        <v>0</v>
      </c>
      <c r="X106" s="2101">
        <v>8221.7999999999993</v>
      </c>
      <c r="Y106" s="2102">
        <v>48.95</v>
      </c>
      <c r="Z106" s="2102">
        <v>1517.12</v>
      </c>
      <c r="AA106" s="2102">
        <v>-0.02</v>
      </c>
      <c r="AB106" s="2102">
        <v>0</v>
      </c>
      <c r="AC106" s="2100">
        <f t="shared" si="89"/>
        <v>9787.8499999999985</v>
      </c>
      <c r="AD106" s="2103">
        <v>9901.64</v>
      </c>
      <c r="AE106" s="2104">
        <v>0</v>
      </c>
      <c r="AF106" s="2104">
        <v>2475.4</v>
      </c>
      <c r="AG106" s="2104">
        <v>0</v>
      </c>
      <c r="AH106" s="2104">
        <v>0</v>
      </c>
      <c r="AI106" s="2105">
        <f t="shared" si="90"/>
        <v>12377.039999999999</v>
      </c>
      <c r="AJ106" s="2098"/>
      <c r="AK106" s="2099"/>
      <c r="AL106" s="2099"/>
      <c r="AM106" s="2099"/>
      <c r="AN106" s="2099"/>
      <c r="AO106" s="2106">
        <f t="shared" si="91"/>
        <v>0</v>
      </c>
      <c r="AP106" s="2101">
        <v>1025.47</v>
      </c>
      <c r="AQ106" s="2102">
        <v>256.38</v>
      </c>
      <c r="AR106" s="2102">
        <v>0</v>
      </c>
      <c r="AS106" s="2102">
        <v>0</v>
      </c>
      <c r="AT106" s="2102">
        <v>0</v>
      </c>
      <c r="AU106" s="2106">
        <f t="shared" si="92"/>
        <v>1281.8499999999999</v>
      </c>
      <c r="AV106" s="2107">
        <v>1201.73</v>
      </c>
      <c r="AW106" s="2108">
        <v>300.44</v>
      </c>
      <c r="AX106" s="2108">
        <v>0</v>
      </c>
      <c r="AY106" s="2108">
        <v>0</v>
      </c>
      <c r="AZ106" s="2109">
        <v>0</v>
      </c>
      <c r="BA106" s="2110">
        <f t="shared" si="93"/>
        <v>1502.17</v>
      </c>
      <c r="BB106" s="2111">
        <v>602.32000000000005</v>
      </c>
      <c r="BC106" s="2112">
        <v>1087.68</v>
      </c>
      <c r="BD106" s="2112">
        <v>0</v>
      </c>
      <c r="BE106" s="2112">
        <v>0</v>
      </c>
      <c r="BF106" s="2113">
        <v>0</v>
      </c>
      <c r="BG106" s="2114">
        <f t="shared" si="94"/>
        <v>1690</v>
      </c>
      <c r="BH106" s="2103">
        <v>17379.04</v>
      </c>
      <c r="BI106" s="2104">
        <v>2201.37</v>
      </c>
      <c r="BJ106" s="2104">
        <v>3591.66</v>
      </c>
      <c r="BK106" s="2104">
        <v>35.26</v>
      </c>
      <c r="BL106" s="2104">
        <v>0</v>
      </c>
      <c r="BM106" s="2117">
        <f t="shared" si="95"/>
        <v>23207.329999999998</v>
      </c>
      <c r="BN106" s="2103"/>
      <c r="BO106" s="2104"/>
      <c r="BP106" s="2104"/>
      <c r="BQ106" s="2104"/>
      <c r="BR106" s="2104"/>
      <c r="BS106" s="2105">
        <f t="shared" si="96"/>
        <v>0</v>
      </c>
      <c r="BT106" s="2103">
        <v>5844.8814449438469</v>
      </c>
      <c r="BU106" s="2104">
        <v>35042.008555056149</v>
      </c>
      <c r="BV106" s="2104">
        <v>7499.98</v>
      </c>
      <c r="BW106" s="2104">
        <v>-7.0000000000000007E-2</v>
      </c>
      <c r="BX106" s="2104">
        <v>0</v>
      </c>
      <c r="BY106" s="2105">
        <f t="shared" si="97"/>
        <v>48386.799999999996</v>
      </c>
      <c r="BZ106" s="2103">
        <v>10497.15</v>
      </c>
      <c r="CA106" s="2104">
        <v>0</v>
      </c>
      <c r="CB106" s="2104">
        <v>9693.5300000000007</v>
      </c>
      <c r="CC106" s="2104">
        <v>-0.02</v>
      </c>
      <c r="CD106" s="2104">
        <v>0</v>
      </c>
      <c r="CE106" s="2105">
        <f t="shared" si="98"/>
        <v>20190.66</v>
      </c>
      <c r="CF106" s="2103">
        <v>357.37</v>
      </c>
      <c r="CG106" s="2104">
        <v>0</v>
      </c>
      <c r="CH106" s="2104">
        <v>673.7</v>
      </c>
      <c r="CI106" s="2104">
        <v>0</v>
      </c>
      <c r="CJ106" s="2104">
        <v>0</v>
      </c>
      <c r="CK106" s="2117">
        <f t="shared" si="99"/>
        <v>1031.0700000000002</v>
      </c>
      <c r="CL106" s="2103"/>
      <c r="CM106" s="2104"/>
      <c r="CN106" s="2104"/>
      <c r="CO106" s="2104"/>
      <c r="CP106" s="2104"/>
      <c r="CQ106" s="2105">
        <f t="shared" si="100"/>
        <v>0</v>
      </c>
      <c r="CR106" s="2103"/>
      <c r="CS106" s="2104"/>
      <c r="CT106" s="2104"/>
      <c r="CU106" s="2104"/>
      <c r="CV106" s="2104"/>
      <c r="CW106" s="2117">
        <f t="shared" si="101"/>
        <v>0</v>
      </c>
      <c r="CX106" s="2103"/>
      <c r="CY106" s="2104"/>
      <c r="CZ106" s="2104"/>
      <c r="DA106" s="2104"/>
      <c r="DB106" s="2104"/>
      <c r="DC106" s="2105">
        <f t="shared" si="102"/>
        <v>0</v>
      </c>
      <c r="DD106" s="2103"/>
      <c r="DE106" s="2104"/>
      <c r="DF106" s="2104"/>
      <c r="DG106" s="2104"/>
      <c r="DH106" s="2104"/>
      <c r="DI106" s="2105">
        <f t="shared" si="103"/>
        <v>0</v>
      </c>
      <c r="DJ106" s="2103"/>
      <c r="DK106" s="2104"/>
      <c r="DL106" s="2104"/>
      <c r="DM106" s="2104"/>
      <c r="DN106" s="2104"/>
      <c r="DO106" s="2105">
        <f t="shared" si="104"/>
        <v>0</v>
      </c>
      <c r="DP106" s="2103">
        <v>5500</v>
      </c>
      <c r="DQ106" s="2104">
        <v>3795</v>
      </c>
      <c r="DR106" s="2104">
        <v>1705</v>
      </c>
      <c r="DS106" s="2104">
        <v>0</v>
      </c>
      <c r="DT106" s="2104">
        <v>0</v>
      </c>
      <c r="DU106" s="2118">
        <f t="shared" si="105"/>
        <v>11000</v>
      </c>
      <c r="DV106" s="2103">
        <v>6691.54</v>
      </c>
      <c r="DW106" s="2104">
        <v>0</v>
      </c>
      <c r="DX106" s="2104">
        <v>1227.42</v>
      </c>
      <c r="DY106" s="2104">
        <v>0.04</v>
      </c>
      <c r="DZ106" s="2104">
        <v>0</v>
      </c>
      <c r="EA106" s="2105">
        <f t="shared" si="106"/>
        <v>7919</v>
      </c>
    </row>
    <row r="107" spans="1:131" s="2049" customFormat="1" ht="15" customHeight="1" x14ac:dyDescent="0.25">
      <c r="A107" s="2089" t="s">
        <v>90</v>
      </c>
      <c r="B107" s="2090" t="s">
        <v>91</v>
      </c>
      <c r="C107" s="2091" t="s">
        <v>268</v>
      </c>
      <c r="D107" s="2092">
        <f t="shared" si="79"/>
        <v>28287.420919485601</v>
      </c>
      <c r="E107" s="2093">
        <f t="shared" si="80"/>
        <v>9462.309080514402</v>
      </c>
      <c r="F107" s="2093">
        <f t="shared" si="81"/>
        <v>7400.9900000000007</v>
      </c>
      <c r="G107" s="2093">
        <f t="shared" si="82"/>
        <v>-0.17</v>
      </c>
      <c r="H107" s="2093">
        <f t="shared" si="83"/>
        <v>0</v>
      </c>
      <c r="I107" s="2093">
        <f t="shared" si="84"/>
        <v>45150.55</v>
      </c>
      <c r="J107" s="2093">
        <f t="shared" si="85"/>
        <v>-0.17</v>
      </c>
      <c r="K107" s="2094">
        <f t="shared" si="86"/>
        <v>7400.8200000000006</v>
      </c>
      <c r="L107" s="2095"/>
      <c r="M107" s="2096"/>
      <c r="N107" s="2096"/>
      <c r="O107" s="2096"/>
      <c r="P107" s="2096"/>
      <c r="Q107" s="2097">
        <f t="shared" si="87"/>
        <v>0</v>
      </c>
      <c r="R107" s="2098"/>
      <c r="S107" s="2099"/>
      <c r="T107" s="2099"/>
      <c r="U107" s="2099"/>
      <c r="V107" s="2099"/>
      <c r="W107" s="2100">
        <f t="shared" si="88"/>
        <v>0</v>
      </c>
      <c r="X107" s="2101">
        <v>944.79</v>
      </c>
      <c r="Y107" s="2102">
        <v>5.62</v>
      </c>
      <c r="Z107" s="2102">
        <v>174.34</v>
      </c>
      <c r="AA107" s="2102">
        <v>0</v>
      </c>
      <c r="AB107" s="2102">
        <v>0</v>
      </c>
      <c r="AC107" s="2100">
        <f t="shared" si="89"/>
        <v>1124.75</v>
      </c>
      <c r="AD107" s="2103">
        <v>7980.64</v>
      </c>
      <c r="AE107" s="2104">
        <v>0</v>
      </c>
      <c r="AF107" s="2104">
        <v>1995.15</v>
      </c>
      <c r="AG107" s="2104">
        <v>0</v>
      </c>
      <c r="AH107" s="2104">
        <v>0</v>
      </c>
      <c r="AI107" s="2105">
        <f t="shared" si="90"/>
        <v>9975.7900000000009</v>
      </c>
      <c r="AJ107" s="2098"/>
      <c r="AK107" s="2099"/>
      <c r="AL107" s="2099"/>
      <c r="AM107" s="2099"/>
      <c r="AN107" s="2099"/>
      <c r="AO107" s="2106">
        <f t="shared" si="91"/>
        <v>0</v>
      </c>
      <c r="AP107" s="2098"/>
      <c r="AQ107" s="2099"/>
      <c r="AR107" s="2099"/>
      <c r="AS107" s="2099"/>
      <c r="AT107" s="2099"/>
      <c r="AU107" s="2106">
        <f t="shared" si="92"/>
        <v>0</v>
      </c>
      <c r="AV107" s="2121">
        <v>460.28</v>
      </c>
      <c r="AW107" s="2122">
        <v>115.06</v>
      </c>
      <c r="AX107" s="2122">
        <v>0</v>
      </c>
      <c r="AY107" s="2122">
        <v>0</v>
      </c>
      <c r="AZ107" s="2123">
        <v>0</v>
      </c>
      <c r="BA107" s="2110">
        <f t="shared" si="93"/>
        <v>575.33999999999992</v>
      </c>
      <c r="BB107" s="2119">
        <v>97.45</v>
      </c>
      <c r="BC107" s="2120">
        <v>175.97</v>
      </c>
      <c r="BD107" s="2120">
        <v>0</v>
      </c>
      <c r="BE107" s="2120">
        <v>0</v>
      </c>
      <c r="BF107" s="2120">
        <v>0</v>
      </c>
      <c r="BG107" s="2114">
        <f t="shared" si="94"/>
        <v>273.42</v>
      </c>
      <c r="BH107" s="2103">
        <v>12751.01</v>
      </c>
      <c r="BI107" s="2104">
        <v>1615.15</v>
      </c>
      <c r="BJ107" s="2104">
        <v>2635.22</v>
      </c>
      <c r="BK107" s="2104">
        <v>-0.05</v>
      </c>
      <c r="BL107" s="2104">
        <v>0</v>
      </c>
      <c r="BM107" s="2117">
        <f t="shared" si="95"/>
        <v>17001.330000000002</v>
      </c>
      <c r="BN107" s="2103"/>
      <c r="BO107" s="2104"/>
      <c r="BP107" s="2104"/>
      <c r="BQ107" s="2104"/>
      <c r="BR107" s="2104"/>
      <c r="BS107" s="2105">
        <f t="shared" si="96"/>
        <v>0</v>
      </c>
      <c r="BT107" s="2103">
        <v>1098.8209194855981</v>
      </c>
      <c r="BU107" s="2104">
        <v>4833.9990805144016</v>
      </c>
      <c r="BV107" s="2104">
        <v>1088.31</v>
      </c>
      <c r="BW107" s="2104">
        <v>-0.14000000000000001</v>
      </c>
      <c r="BX107" s="2104">
        <v>0</v>
      </c>
      <c r="BY107" s="2105">
        <f t="shared" si="97"/>
        <v>7020.9899999999989</v>
      </c>
      <c r="BZ107" s="2115"/>
      <c r="CA107" s="2116"/>
      <c r="CB107" s="2116"/>
      <c r="CC107" s="2116"/>
      <c r="CD107" s="2116"/>
      <c r="CE107" s="2105">
        <f t="shared" si="98"/>
        <v>0</v>
      </c>
      <c r="CF107" s="2115"/>
      <c r="CG107" s="2116"/>
      <c r="CH107" s="2116"/>
      <c r="CI107" s="2116"/>
      <c r="CJ107" s="2116"/>
      <c r="CK107" s="2117">
        <f t="shared" si="99"/>
        <v>0</v>
      </c>
      <c r="CL107" s="2103"/>
      <c r="CM107" s="2104"/>
      <c r="CN107" s="2104"/>
      <c r="CO107" s="2104"/>
      <c r="CP107" s="2104"/>
      <c r="CQ107" s="2105">
        <f t="shared" si="100"/>
        <v>0</v>
      </c>
      <c r="CR107" s="2103">
        <v>-210</v>
      </c>
      <c r="CS107" s="2104">
        <v>-210</v>
      </c>
      <c r="CT107" s="2104">
        <v>0</v>
      </c>
      <c r="CU107" s="2104">
        <v>0</v>
      </c>
      <c r="CV107" s="2104">
        <v>0</v>
      </c>
      <c r="CW107" s="2117">
        <f t="shared" si="101"/>
        <v>-420</v>
      </c>
      <c r="CX107" s="2103">
        <v>-65</v>
      </c>
      <c r="CY107" s="2104">
        <v>-65</v>
      </c>
      <c r="CZ107" s="2104">
        <v>0</v>
      </c>
      <c r="DA107" s="2104">
        <v>0</v>
      </c>
      <c r="DB107" s="2104">
        <v>0</v>
      </c>
      <c r="DC107" s="2105">
        <f t="shared" si="102"/>
        <v>-130</v>
      </c>
      <c r="DD107" s="2103"/>
      <c r="DE107" s="2104"/>
      <c r="DF107" s="2104"/>
      <c r="DG107" s="2104"/>
      <c r="DH107" s="2104"/>
      <c r="DI107" s="2105">
        <f t="shared" si="103"/>
        <v>0</v>
      </c>
      <c r="DJ107" s="2103"/>
      <c r="DK107" s="2104"/>
      <c r="DL107" s="2104"/>
      <c r="DM107" s="2104"/>
      <c r="DN107" s="2104"/>
      <c r="DO107" s="2105">
        <f t="shared" si="104"/>
        <v>0</v>
      </c>
      <c r="DP107" s="2103">
        <v>4335.53</v>
      </c>
      <c r="DQ107" s="2104">
        <v>2991.51</v>
      </c>
      <c r="DR107" s="2104">
        <v>1344.01</v>
      </c>
      <c r="DS107" s="2104">
        <v>0</v>
      </c>
      <c r="DT107" s="2104">
        <v>0</v>
      </c>
      <c r="DU107" s="2118">
        <f t="shared" si="105"/>
        <v>8671.0499999999993</v>
      </c>
      <c r="DV107" s="2103">
        <v>893.9</v>
      </c>
      <c r="DW107" s="2104">
        <v>0</v>
      </c>
      <c r="DX107" s="2104">
        <v>163.96</v>
      </c>
      <c r="DY107" s="2104">
        <v>0.02</v>
      </c>
      <c r="DZ107" s="2104">
        <v>0</v>
      </c>
      <c r="EA107" s="2105">
        <f t="shared" si="106"/>
        <v>1057.8799999999999</v>
      </c>
    </row>
    <row r="108" spans="1:131" s="2049" customFormat="1" ht="15" customHeight="1" x14ac:dyDescent="0.25">
      <c r="A108" s="2089" t="s">
        <v>106</v>
      </c>
      <c r="B108" s="2090" t="s">
        <v>107</v>
      </c>
      <c r="C108" s="2091" t="s">
        <v>264</v>
      </c>
      <c r="D108" s="2092">
        <f t="shared" si="79"/>
        <v>367337.45624984551</v>
      </c>
      <c r="E108" s="2093">
        <f t="shared" si="80"/>
        <v>315677.27375015448</v>
      </c>
      <c r="F108" s="2093">
        <f t="shared" si="81"/>
        <v>136658.39000000001</v>
      </c>
      <c r="G108" s="2093">
        <f t="shared" si="82"/>
        <v>15024.37</v>
      </c>
      <c r="H108" s="2093">
        <f t="shared" si="83"/>
        <v>346.5</v>
      </c>
      <c r="I108" s="2093">
        <f t="shared" si="84"/>
        <v>835043.99</v>
      </c>
      <c r="J108" s="2093">
        <f t="shared" si="85"/>
        <v>15370.87</v>
      </c>
      <c r="K108" s="2094">
        <f t="shared" si="86"/>
        <v>152029.26</v>
      </c>
      <c r="L108" s="2095"/>
      <c r="M108" s="2096"/>
      <c r="N108" s="2096"/>
      <c r="O108" s="2096"/>
      <c r="P108" s="2096"/>
      <c r="Q108" s="2097">
        <f t="shared" si="87"/>
        <v>0</v>
      </c>
      <c r="R108" s="2098"/>
      <c r="S108" s="2099"/>
      <c r="T108" s="2099"/>
      <c r="U108" s="2099"/>
      <c r="V108" s="2099"/>
      <c r="W108" s="2100">
        <f t="shared" si="88"/>
        <v>0</v>
      </c>
      <c r="X108" s="2101">
        <v>13835.74</v>
      </c>
      <c r="Y108" s="2102">
        <v>82.35</v>
      </c>
      <c r="Z108" s="2102">
        <v>2553.0300000000002</v>
      </c>
      <c r="AA108" s="2102">
        <v>0</v>
      </c>
      <c r="AB108" s="2102">
        <v>0</v>
      </c>
      <c r="AC108" s="2100">
        <f t="shared" si="89"/>
        <v>16471.12</v>
      </c>
      <c r="AD108" s="2103">
        <v>66246</v>
      </c>
      <c r="AE108" s="2104">
        <v>0</v>
      </c>
      <c r="AF108" s="2104">
        <v>16561.5</v>
      </c>
      <c r="AG108" s="2104">
        <v>0</v>
      </c>
      <c r="AH108" s="2104">
        <v>0</v>
      </c>
      <c r="AI108" s="2105">
        <f t="shared" si="90"/>
        <v>82807.5</v>
      </c>
      <c r="AJ108" s="2101">
        <v>11524.42</v>
      </c>
      <c r="AK108" s="2102">
        <v>2865.6</v>
      </c>
      <c r="AL108" s="2102">
        <v>2639.59</v>
      </c>
      <c r="AM108" s="2102">
        <v>-0.03</v>
      </c>
      <c r="AN108" s="2102">
        <v>0</v>
      </c>
      <c r="AO108" s="2106">
        <f t="shared" si="91"/>
        <v>17029.580000000002</v>
      </c>
      <c r="AP108" s="2101">
        <v>11471.2</v>
      </c>
      <c r="AQ108" s="2102">
        <v>2867.8</v>
      </c>
      <c r="AR108" s="2102">
        <v>0</v>
      </c>
      <c r="AS108" s="2102">
        <v>0</v>
      </c>
      <c r="AT108" s="2102">
        <v>346.5</v>
      </c>
      <c r="AU108" s="2106">
        <f t="shared" si="92"/>
        <v>14685.5</v>
      </c>
      <c r="AV108" s="2107">
        <v>3315.55</v>
      </c>
      <c r="AW108" s="2108">
        <v>828.88</v>
      </c>
      <c r="AX108" s="2108">
        <v>0</v>
      </c>
      <c r="AY108" s="2108">
        <v>0</v>
      </c>
      <c r="AZ108" s="2109">
        <v>0</v>
      </c>
      <c r="BA108" s="2110">
        <f t="shared" si="93"/>
        <v>4144.43</v>
      </c>
      <c r="BB108" s="2111">
        <v>1326</v>
      </c>
      <c r="BC108" s="2112">
        <v>2394.56</v>
      </c>
      <c r="BD108" s="2112">
        <v>0</v>
      </c>
      <c r="BE108" s="2112">
        <v>0</v>
      </c>
      <c r="BF108" s="2113">
        <v>0</v>
      </c>
      <c r="BG108" s="2114">
        <f t="shared" si="94"/>
        <v>3720.56</v>
      </c>
      <c r="BH108" s="2103">
        <v>61071.88</v>
      </c>
      <c r="BI108" s="2104">
        <v>7735.76</v>
      </c>
      <c r="BJ108" s="2104">
        <v>12621.51</v>
      </c>
      <c r="BK108" s="2104">
        <v>0</v>
      </c>
      <c r="BL108" s="2104">
        <v>0</v>
      </c>
      <c r="BM108" s="2117">
        <f t="shared" si="95"/>
        <v>81429.149999999994</v>
      </c>
      <c r="BN108" s="2103">
        <v>-752.5</v>
      </c>
      <c r="BO108" s="2104">
        <v>-752.5</v>
      </c>
      <c r="BP108" s="2104">
        <v>0</v>
      </c>
      <c r="BQ108" s="2104">
        <v>0</v>
      </c>
      <c r="BR108" s="2104">
        <v>0</v>
      </c>
      <c r="BS108" s="2105">
        <f t="shared" si="96"/>
        <v>-1505</v>
      </c>
      <c r="BT108" s="2103">
        <v>165370.83624984554</v>
      </c>
      <c r="BU108" s="2104">
        <v>299654.82375015446</v>
      </c>
      <c r="BV108" s="2104">
        <v>85300.59</v>
      </c>
      <c r="BW108" s="2104">
        <v>-0.09</v>
      </c>
      <c r="BX108" s="2104">
        <v>0</v>
      </c>
      <c r="BY108" s="2105">
        <f t="shared" si="97"/>
        <v>550326.16</v>
      </c>
      <c r="BZ108" s="2103">
        <v>13694.36</v>
      </c>
      <c r="CA108" s="2104">
        <v>0</v>
      </c>
      <c r="CB108" s="2104">
        <v>12646.04</v>
      </c>
      <c r="CC108" s="2104">
        <v>-0.01</v>
      </c>
      <c r="CD108" s="2104">
        <v>0</v>
      </c>
      <c r="CE108" s="2105">
        <f t="shared" si="98"/>
        <v>26340.390000000003</v>
      </c>
      <c r="CF108" s="2103">
        <v>356.24</v>
      </c>
      <c r="CG108" s="2104">
        <v>0</v>
      </c>
      <c r="CH108" s="2104">
        <v>671.57</v>
      </c>
      <c r="CI108" s="2104">
        <v>0</v>
      </c>
      <c r="CJ108" s="2104">
        <v>0</v>
      </c>
      <c r="CK108" s="2117">
        <f t="shared" si="99"/>
        <v>1027.81</v>
      </c>
      <c r="CL108" s="2103"/>
      <c r="CM108" s="2104"/>
      <c r="CN108" s="2104"/>
      <c r="CO108" s="2104"/>
      <c r="CP108" s="2104"/>
      <c r="CQ108" s="2105">
        <f t="shared" si="100"/>
        <v>0</v>
      </c>
      <c r="CR108" s="2115"/>
      <c r="CS108" s="2116"/>
      <c r="CT108" s="2116"/>
      <c r="CU108" s="2116"/>
      <c r="CV108" s="2116"/>
      <c r="CW108" s="2117">
        <f t="shared" si="101"/>
        <v>0</v>
      </c>
      <c r="CX108" s="2103">
        <v>-100</v>
      </c>
      <c r="CY108" s="2104">
        <v>0</v>
      </c>
      <c r="CZ108" s="2104">
        <v>0</v>
      </c>
      <c r="DA108" s="2104">
        <v>0</v>
      </c>
      <c r="DB108" s="2104">
        <v>0</v>
      </c>
      <c r="DC108" s="2105">
        <f t="shared" si="102"/>
        <v>-100</v>
      </c>
      <c r="DD108" s="2103"/>
      <c r="DE108" s="2104"/>
      <c r="DF108" s="2104"/>
      <c r="DG108" s="2104"/>
      <c r="DH108" s="2104"/>
      <c r="DI108" s="2105">
        <f t="shared" si="103"/>
        <v>0</v>
      </c>
      <c r="DJ108" s="2103"/>
      <c r="DK108" s="2104"/>
      <c r="DL108" s="2104"/>
      <c r="DM108" s="2104"/>
      <c r="DN108" s="2104"/>
      <c r="DO108" s="2105">
        <f t="shared" si="104"/>
        <v>0</v>
      </c>
      <c r="DP108" s="2103">
        <v>0</v>
      </c>
      <c r="DQ108" s="2104">
        <v>0</v>
      </c>
      <c r="DR108" s="2104">
        <v>0</v>
      </c>
      <c r="DS108" s="2104">
        <v>16000</v>
      </c>
      <c r="DT108" s="2104">
        <v>0</v>
      </c>
      <c r="DU108" s="2118">
        <f t="shared" si="105"/>
        <v>16000</v>
      </c>
      <c r="DV108" s="2103">
        <v>19977.73</v>
      </c>
      <c r="DW108" s="2104">
        <v>0</v>
      </c>
      <c r="DX108" s="2104">
        <v>3664.56</v>
      </c>
      <c r="DY108" s="2104">
        <v>-975.5</v>
      </c>
      <c r="DZ108" s="2104">
        <v>0</v>
      </c>
      <c r="EA108" s="2105">
        <f t="shared" si="106"/>
        <v>22666.79</v>
      </c>
    </row>
    <row r="109" spans="1:131" s="2049" customFormat="1" ht="15" customHeight="1" x14ac:dyDescent="0.25">
      <c r="A109" s="2089" t="s">
        <v>116</v>
      </c>
      <c r="B109" s="2090" t="s">
        <v>117</v>
      </c>
      <c r="C109" s="2091" t="s">
        <v>266</v>
      </c>
      <c r="D109" s="2092">
        <f t="shared" si="79"/>
        <v>75564.876896767571</v>
      </c>
      <c r="E109" s="2093">
        <f t="shared" si="80"/>
        <v>201326.54310323246</v>
      </c>
      <c r="F109" s="2093">
        <f t="shared" si="81"/>
        <v>52285.3</v>
      </c>
      <c r="G109" s="2093">
        <f t="shared" si="82"/>
        <v>-0.21</v>
      </c>
      <c r="H109" s="2093">
        <f t="shared" si="83"/>
        <v>0</v>
      </c>
      <c r="I109" s="2093">
        <f t="shared" si="84"/>
        <v>329176.51</v>
      </c>
      <c r="J109" s="2093">
        <f t="shared" si="85"/>
        <v>-0.21</v>
      </c>
      <c r="K109" s="2094">
        <f t="shared" si="86"/>
        <v>52285.090000000004</v>
      </c>
      <c r="L109" s="2095"/>
      <c r="M109" s="2096"/>
      <c r="N109" s="2096"/>
      <c r="O109" s="2096"/>
      <c r="P109" s="2096"/>
      <c r="Q109" s="2097">
        <f t="shared" si="87"/>
        <v>0</v>
      </c>
      <c r="R109" s="2098"/>
      <c r="S109" s="2099"/>
      <c r="T109" s="2099"/>
      <c r="U109" s="2099"/>
      <c r="V109" s="2099"/>
      <c r="W109" s="2100">
        <f t="shared" si="88"/>
        <v>0</v>
      </c>
      <c r="X109" s="2101">
        <v>5400.27</v>
      </c>
      <c r="Y109" s="2102">
        <v>32.15</v>
      </c>
      <c r="Z109" s="2102">
        <v>996.49</v>
      </c>
      <c r="AA109" s="2102">
        <v>-0.03</v>
      </c>
      <c r="AB109" s="2102">
        <v>0</v>
      </c>
      <c r="AC109" s="2100">
        <f t="shared" si="89"/>
        <v>6428.88</v>
      </c>
      <c r="AD109" s="2103">
        <v>21693</v>
      </c>
      <c r="AE109" s="2104">
        <v>0</v>
      </c>
      <c r="AF109" s="2104">
        <v>5423.25</v>
      </c>
      <c r="AG109" s="2104">
        <v>0</v>
      </c>
      <c r="AH109" s="2104">
        <v>0</v>
      </c>
      <c r="AI109" s="2105">
        <f t="shared" si="90"/>
        <v>27116.25</v>
      </c>
      <c r="AJ109" s="2098"/>
      <c r="AK109" s="2099"/>
      <c r="AL109" s="2099"/>
      <c r="AM109" s="2099"/>
      <c r="AN109" s="2099"/>
      <c r="AO109" s="2106">
        <f t="shared" si="91"/>
        <v>0</v>
      </c>
      <c r="AP109" s="2098"/>
      <c r="AQ109" s="2099"/>
      <c r="AR109" s="2099"/>
      <c r="AS109" s="2099"/>
      <c r="AT109" s="2099"/>
      <c r="AU109" s="2106">
        <f t="shared" si="92"/>
        <v>0</v>
      </c>
      <c r="AV109" s="2107">
        <v>1320.72</v>
      </c>
      <c r="AW109" s="2108">
        <v>330.18</v>
      </c>
      <c r="AX109" s="2108">
        <v>0</v>
      </c>
      <c r="AY109" s="2108">
        <v>0</v>
      </c>
      <c r="AZ109" s="2109">
        <v>0</v>
      </c>
      <c r="BA109" s="2110">
        <f t="shared" si="93"/>
        <v>1650.9</v>
      </c>
      <c r="BB109" s="2119"/>
      <c r="BC109" s="2120"/>
      <c r="BD109" s="2120"/>
      <c r="BE109" s="2120"/>
      <c r="BF109" s="2120"/>
      <c r="BG109" s="2114">
        <f t="shared" si="94"/>
        <v>0</v>
      </c>
      <c r="BH109" s="2103">
        <v>8043.35</v>
      </c>
      <c r="BI109" s="2104">
        <v>1018.83</v>
      </c>
      <c r="BJ109" s="2104">
        <v>1662.31</v>
      </c>
      <c r="BK109" s="2104">
        <v>-0.03</v>
      </c>
      <c r="BL109" s="2104">
        <v>0</v>
      </c>
      <c r="BM109" s="2117">
        <f t="shared" si="95"/>
        <v>10724.46</v>
      </c>
      <c r="BN109" s="2103"/>
      <c r="BO109" s="2104"/>
      <c r="BP109" s="2104"/>
      <c r="BQ109" s="2104"/>
      <c r="BR109" s="2104"/>
      <c r="BS109" s="2105">
        <f t="shared" si="96"/>
        <v>0</v>
      </c>
      <c r="BT109" s="2103">
        <v>33318.986896767557</v>
      </c>
      <c r="BU109" s="2104">
        <v>197392.03310323245</v>
      </c>
      <c r="BV109" s="2104">
        <v>42319.8</v>
      </c>
      <c r="BW109" s="2104">
        <v>-0.13</v>
      </c>
      <c r="BX109" s="2104">
        <v>0</v>
      </c>
      <c r="BY109" s="2105">
        <f t="shared" si="97"/>
        <v>273030.69</v>
      </c>
      <c r="BZ109" s="2103">
        <v>477.38</v>
      </c>
      <c r="CA109" s="2104">
        <v>0</v>
      </c>
      <c r="CB109" s="2104">
        <v>440.83</v>
      </c>
      <c r="CC109" s="2104">
        <v>0</v>
      </c>
      <c r="CD109" s="2104">
        <v>0</v>
      </c>
      <c r="CE109" s="2105">
        <f t="shared" si="98"/>
        <v>918.21</v>
      </c>
      <c r="CF109" s="2115"/>
      <c r="CG109" s="2116"/>
      <c r="CH109" s="2116"/>
      <c r="CI109" s="2116"/>
      <c r="CJ109" s="2116"/>
      <c r="CK109" s="2117">
        <f t="shared" si="99"/>
        <v>0</v>
      </c>
      <c r="CL109" s="2103"/>
      <c r="CM109" s="2104"/>
      <c r="CN109" s="2104"/>
      <c r="CO109" s="2104"/>
      <c r="CP109" s="2104"/>
      <c r="CQ109" s="2105">
        <f t="shared" si="100"/>
        <v>0</v>
      </c>
      <c r="CR109" s="2115"/>
      <c r="CS109" s="2116"/>
      <c r="CT109" s="2116"/>
      <c r="CU109" s="2116"/>
      <c r="CV109" s="2116"/>
      <c r="CW109" s="2117">
        <f t="shared" si="101"/>
        <v>0</v>
      </c>
      <c r="CX109" s="2103"/>
      <c r="CY109" s="2104"/>
      <c r="CZ109" s="2104"/>
      <c r="DA109" s="2104"/>
      <c r="DB109" s="2104"/>
      <c r="DC109" s="2105">
        <f t="shared" si="102"/>
        <v>0</v>
      </c>
      <c r="DD109" s="2103"/>
      <c r="DE109" s="2104"/>
      <c r="DF109" s="2104"/>
      <c r="DG109" s="2104"/>
      <c r="DH109" s="2104"/>
      <c r="DI109" s="2105">
        <f t="shared" si="103"/>
        <v>0</v>
      </c>
      <c r="DJ109" s="2103"/>
      <c r="DK109" s="2104"/>
      <c r="DL109" s="2104"/>
      <c r="DM109" s="2104"/>
      <c r="DN109" s="2104"/>
      <c r="DO109" s="2105">
        <f t="shared" si="104"/>
        <v>0</v>
      </c>
      <c r="DP109" s="2103">
        <v>3700.5</v>
      </c>
      <c r="DQ109" s="2104">
        <v>2553.35</v>
      </c>
      <c r="DR109" s="2104">
        <v>1147.17</v>
      </c>
      <c r="DS109" s="2104">
        <v>-0.02</v>
      </c>
      <c r="DT109" s="2104">
        <v>0</v>
      </c>
      <c r="DU109" s="2118">
        <f t="shared" si="105"/>
        <v>7401</v>
      </c>
      <c r="DV109" s="2103">
        <v>1610.67</v>
      </c>
      <c r="DW109" s="2104">
        <v>0</v>
      </c>
      <c r="DX109" s="2104">
        <v>295.45</v>
      </c>
      <c r="DY109" s="2104">
        <v>0</v>
      </c>
      <c r="DZ109" s="2104">
        <v>0</v>
      </c>
      <c r="EA109" s="2105">
        <f t="shared" si="106"/>
        <v>1906.1200000000001</v>
      </c>
    </row>
    <row r="110" spans="1:131" s="2049" customFormat="1" ht="15" customHeight="1" x14ac:dyDescent="0.25">
      <c r="A110" s="2089" t="s">
        <v>138</v>
      </c>
      <c r="B110" s="2090" t="s">
        <v>139</v>
      </c>
      <c r="C110" s="2091" t="s">
        <v>265</v>
      </c>
      <c r="D110" s="2092">
        <f t="shared" si="79"/>
        <v>206605.53825078334</v>
      </c>
      <c r="E110" s="2093">
        <f t="shared" si="80"/>
        <v>148086.57174921664</v>
      </c>
      <c r="F110" s="2093">
        <f t="shared" si="81"/>
        <v>66192.579999999987</v>
      </c>
      <c r="G110" s="2093">
        <f t="shared" si="82"/>
        <v>-9.999999999999995E-3</v>
      </c>
      <c r="H110" s="2093">
        <f t="shared" si="83"/>
        <v>0</v>
      </c>
      <c r="I110" s="2093">
        <f t="shared" si="84"/>
        <v>420884.67999999993</v>
      </c>
      <c r="J110" s="2093">
        <f t="shared" si="85"/>
        <v>-9.999999999999995E-3</v>
      </c>
      <c r="K110" s="2094">
        <f t="shared" si="86"/>
        <v>66192.569999999992</v>
      </c>
      <c r="L110" s="2095"/>
      <c r="M110" s="2096"/>
      <c r="N110" s="2096"/>
      <c r="O110" s="2096"/>
      <c r="P110" s="2096"/>
      <c r="Q110" s="2097">
        <f t="shared" si="87"/>
        <v>0</v>
      </c>
      <c r="R110" s="2098"/>
      <c r="S110" s="2099"/>
      <c r="T110" s="2099"/>
      <c r="U110" s="2099"/>
      <c r="V110" s="2099"/>
      <c r="W110" s="2100">
        <f t="shared" si="88"/>
        <v>0</v>
      </c>
      <c r="X110" s="2101">
        <v>18733.11</v>
      </c>
      <c r="Y110" s="2102">
        <v>111.51</v>
      </c>
      <c r="Z110" s="2102">
        <v>3456.71</v>
      </c>
      <c r="AA110" s="2102">
        <v>-0.02</v>
      </c>
      <c r="AB110" s="2102">
        <v>0</v>
      </c>
      <c r="AC110" s="2100">
        <f t="shared" si="89"/>
        <v>22301.309999999998</v>
      </c>
      <c r="AD110" s="2103">
        <v>63845.02</v>
      </c>
      <c r="AE110" s="2104">
        <v>0</v>
      </c>
      <c r="AF110" s="2104">
        <v>15961.26</v>
      </c>
      <c r="AG110" s="2104">
        <v>0</v>
      </c>
      <c r="AH110" s="2104">
        <v>0</v>
      </c>
      <c r="AI110" s="2105">
        <f t="shared" si="90"/>
        <v>79806.28</v>
      </c>
      <c r="AJ110" s="2098"/>
      <c r="AK110" s="2099"/>
      <c r="AL110" s="2099"/>
      <c r="AM110" s="2099"/>
      <c r="AN110" s="2099"/>
      <c r="AO110" s="2106">
        <f t="shared" si="91"/>
        <v>0</v>
      </c>
      <c r="AP110" s="2101">
        <v>8341.35</v>
      </c>
      <c r="AQ110" s="2102">
        <v>2085.34</v>
      </c>
      <c r="AR110" s="2102">
        <v>0</v>
      </c>
      <c r="AS110" s="2102">
        <v>0</v>
      </c>
      <c r="AT110" s="2102">
        <v>0</v>
      </c>
      <c r="AU110" s="2106">
        <f t="shared" si="92"/>
        <v>10426.69</v>
      </c>
      <c r="AV110" s="2107">
        <v>15734.31</v>
      </c>
      <c r="AW110" s="2108">
        <v>3933.58</v>
      </c>
      <c r="AX110" s="2108">
        <v>0</v>
      </c>
      <c r="AY110" s="2108">
        <v>0</v>
      </c>
      <c r="AZ110" s="2109">
        <v>0</v>
      </c>
      <c r="BA110" s="2110">
        <f t="shared" si="93"/>
        <v>19667.89</v>
      </c>
      <c r="BB110" s="2111">
        <v>4431.83</v>
      </c>
      <c r="BC110" s="2112">
        <v>8003.17</v>
      </c>
      <c r="BD110" s="2112">
        <v>0</v>
      </c>
      <c r="BE110" s="2112">
        <v>0</v>
      </c>
      <c r="BF110" s="2113">
        <v>0</v>
      </c>
      <c r="BG110" s="2114">
        <f t="shared" si="94"/>
        <v>12435</v>
      </c>
      <c r="BH110" s="2103">
        <v>47632.23</v>
      </c>
      <c r="BI110" s="2104">
        <v>6033.41</v>
      </c>
      <c r="BJ110" s="2104">
        <v>9844</v>
      </c>
      <c r="BK110" s="2104">
        <v>-0.03</v>
      </c>
      <c r="BL110" s="2104">
        <v>0</v>
      </c>
      <c r="BM110" s="2117">
        <f t="shared" si="95"/>
        <v>63509.61</v>
      </c>
      <c r="BN110" s="2103"/>
      <c r="BO110" s="2104"/>
      <c r="BP110" s="2104"/>
      <c r="BQ110" s="2104"/>
      <c r="BR110" s="2104"/>
      <c r="BS110" s="2105">
        <f t="shared" si="96"/>
        <v>0</v>
      </c>
      <c r="BT110" s="2103">
        <v>19935.538250783342</v>
      </c>
      <c r="BU110" s="2104">
        <v>119860.32174921664</v>
      </c>
      <c r="BV110" s="2104">
        <v>25643.01</v>
      </c>
      <c r="BW110" s="2104">
        <v>-0.01</v>
      </c>
      <c r="BX110" s="2104">
        <v>0</v>
      </c>
      <c r="BY110" s="2105">
        <f t="shared" si="97"/>
        <v>165438.85999999999</v>
      </c>
      <c r="BZ110" s="2103">
        <v>5978.86</v>
      </c>
      <c r="CA110" s="2104">
        <v>0</v>
      </c>
      <c r="CB110" s="2104">
        <v>5521.15</v>
      </c>
      <c r="CC110" s="2104">
        <v>-0.01</v>
      </c>
      <c r="CD110" s="2104">
        <v>0</v>
      </c>
      <c r="CE110" s="2105">
        <f t="shared" si="98"/>
        <v>11499.999999999998</v>
      </c>
      <c r="CF110" s="2115"/>
      <c r="CG110" s="2116"/>
      <c r="CH110" s="2116"/>
      <c r="CI110" s="2116"/>
      <c r="CJ110" s="2116"/>
      <c r="CK110" s="2117">
        <f t="shared" si="99"/>
        <v>0</v>
      </c>
      <c r="CL110" s="2103"/>
      <c r="CM110" s="2104"/>
      <c r="CN110" s="2104"/>
      <c r="CO110" s="2104"/>
      <c r="CP110" s="2104"/>
      <c r="CQ110" s="2105">
        <f t="shared" si="100"/>
        <v>0</v>
      </c>
      <c r="CR110" s="2103"/>
      <c r="CS110" s="2104"/>
      <c r="CT110" s="2104"/>
      <c r="CU110" s="2104"/>
      <c r="CV110" s="2104"/>
      <c r="CW110" s="2117">
        <f t="shared" si="101"/>
        <v>0</v>
      </c>
      <c r="CX110" s="2103"/>
      <c r="CY110" s="2104"/>
      <c r="CZ110" s="2104"/>
      <c r="DA110" s="2104"/>
      <c r="DB110" s="2104"/>
      <c r="DC110" s="2105">
        <f t="shared" si="102"/>
        <v>0</v>
      </c>
      <c r="DD110" s="2103">
        <v>-919</v>
      </c>
      <c r="DE110" s="2104">
        <v>0</v>
      </c>
      <c r="DF110" s="2104">
        <v>0</v>
      </c>
      <c r="DG110" s="2104">
        <v>0</v>
      </c>
      <c r="DH110" s="2104">
        <v>0</v>
      </c>
      <c r="DI110" s="2105">
        <f t="shared" si="103"/>
        <v>-919</v>
      </c>
      <c r="DJ110" s="2103">
        <v>-242.5</v>
      </c>
      <c r="DK110" s="2104">
        <v>-242.5</v>
      </c>
      <c r="DL110" s="2104">
        <v>0</v>
      </c>
      <c r="DM110" s="2104">
        <v>0</v>
      </c>
      <c r="DN110" s="2104">
        <v>0</v>
      </c>
      <c r="DO110" s="2105">
        <f t="shared" si="104"/>
        <v>-485</v>
      </c>
      <c r="DP110" s="2115">
        <v>12031.5</v>
      </c>
      <c r="DQ110" s="2116">
        <v>8301.74</v>
      </c>
      <c r="DR110" s="2116">
        <v>3729.77</v>
      </c>
      <c r="DS110" s="2116">
        <v>-0.01</v>
      </c>
      <c r="DT110" s="2116">
        <v>0</v>
      </c>
      <c r="DU110" s="2118">
        <f t="shared" si="105"/>
        <v>24063</v>
      </c>
      <c r="DV110" s="2103">
        <v>11103.29</v>
      </c>
      <c r="DW110" s="2104">
        <v>0</v>
      </c>
      <c r="DX110" s="2104">
        <v>2036.68</v>
      </c>
      <c r="DY110" s="2104">
        <v>7.0000000000000007E-2</v>
      </c>
      <c r="DZ110" s="2104">
        <v>0</v>
      </c>
      <c r="EA110" s="2105">
        <f t="shared" si="106"/>
        <v>13140.04</v>
      </c>
    </row>
    <row r="111" spans="1:131" s="2049" customFormat="1" ht="15" customHeight="1" x14ac:dyDescent="0.25">
      <c r="A111" s="2089" t="s">
        <v>142</v>
      </c>
      <c r="B111" s="2090" t="s">
        <v>143</v>
      </c>
      <c r="C111" s="2091" t="s">
        <v>267</v>
      </c>
      <c r="D111" s="2092">
        <f t="shared" si="79"/>
        <v>40179.772167355375</v>
      </c>
      <c r="E111" s="2093">
        <f t="shared" si="80"/>
        <v>43769.007832644624</v>
      </c>
      <c r="F111" s="2093">
        <f t="shared" si="81"/>
        <v>15908.140000000001</v>
      </c>
      <c r="G111" s="2093">
        <f t="shared" si="82"/>
        <v>-0.12000000000000001</v>
      </c>
      <c r="H111" s="2093">
        <f t="shared" si="83"/>
        <v>0</v>
      </c>
      <c r="I111" s="2093">
        <f t="shared" si="84"/>
        <v>99856.8</v>
      </c>
      <c r="J111" s="2093">
        <f t="shared" si="85"/>
        <v>-0.12000000000000001</v>
      </c>
      <c r="K111" s="2094">
        <f t="shared" si="86"/>
        <v>15908.02</v>
      </c>
      <c r="L111" s="2095"/>
      <c r="M111" s="2096"/>
      <c r="N111" s="2096"/>
      <c r="O111" s="2096"/>
      <c r="P111" s="2096"/>
      <c r="Q111" s="2097">
        <f t="shared" si="87"/>
        <v>0</v>
      </c>
      <c r="R111" s="2098"/>
      <c r="S111" s="2099"/>
      <c r="T111" s="2099"/>
      <c r="U111" s="2099"/>
      <c r="V111" s="2099"/>
      <c r="W111" s="2100">
        <f t="shared" si="88"/>
        <v>0</v>
      </c>
      <c r="X111" s="2101">
        <v>7252.81</v>
      </c>
      <c r="Y111" s="2102">
        <v>43.19</v>
      </c>
      <c r="Z111" s="2102">
        <v>1338.32</v>
      </c>
      <c r="AA111" s="2102">
        <v>-0.03</v>
      </c>
      <c r="AB111" s="2102">
        <v>0</v>
      </c>
      <c r="AC111" s="2100">
        <f t="shared" si="89"/>
        <v>8634.2899999999991</v>
      </c>
      <c r="AD111" s="2103">
        <v>1312.32</v>
      </c>
      <c r="AE111" s="2104">
        <v>0</v>
      </c>
      <c r="AF111" s="2104">
        <v>328.07</v>
      </c>
      <c r="AG111" s="2104">
        <v>0</v>
      </c>
      <c r="AH111" s="2104">
        <v>0</v>
      </c>
      <c r="AI111" s="2105">
        <f t="shared" si="90"/>
        <v>1640.3899999999999</v>
      </c>
      <c r="AJ111" s="2098"/>
      <c r="AK111" s="2099"/>
      <c r="AL111" s="2099"/>
      <c r="AM111" s="2099"/>
      <c r="AN111" s="2099"/>
      <c r="AO111" s="2106">
        <f t="shared" si="91"/>
        <v>0</v>
      </c>
      <c r="AP111" s="2098">
        <v>17.309999999999999</v>
      </c>
      <c r="AQ111" s="2099">
        <v>4.33</v>
      </c>
      <c r="AR111" s="2099">
        <v>0</v>
      </c>
      <c r="AS111" s="2099">
        <v>0</v>
      </c>
      <c r="AT111" s="2099">
        <v>0</v>
      </c>
      <c r="AU111" s="2106">
        <f t="shared" si="92"/>
        <v>21.64</v>
      </c>
      <c r="AV111" s="2107">
        <v>803</v>
      </c>
      <c r="AW111" s="2108">
        <v>200.75</v>
      </c>
      <c r="AX111" s="2108">
        <v>0</v>
      </c>
      <c r="AY111" s="2108">
        <v>0</v>
      </c>
      <c r="AZ111" s="2109">
        <v>0</v>
      </c>
      <c r="BA111" s="2110">
        <f t="shared" si="93"/>
        <v>1003.75</v>
      </c>
      <c r="BB111" s="2119">
        <v>338.58</v>
      </c>
      <c r="BC111" s="2120">
        <v>611.41999999999996</v>
      </c>
      <c r="BD111" s="2120">
        <v>0</v>
      </c>
      <c r="BE111" s="2120">
        <v>0</v>
      </c>
      <c r="BF111" s="2120">
        <v>0</v>
      </c>
      <c r="BG111" s="2114">
        <f t="shared" si="94"/>
        <v>950</v>
      </c>
      <c r="BH111" s="2103">
        <v>17232.599999999999</v>
      </c>
      <c r="BI111" s="2104">
        <v>2182.81</v>
      </c>
      <c r="BJ111" s="2104">
        <v>3561.42</v>
      </c>
      <c r="BK111" s="2104">
        <v>-0.04</v>
      </c>
      <c r="BL111" s="2104">
        <v>0</v>
      </c>
      <c r="BM111" s="2117">
        <f t="shared" si="95"/>
        <v>22976.79</v>
      </c>
      <c r="BN111" s="2103"/>
      <c r="BO111" s="2104"/>
      <c r="BP111" s="2104"/>
      <c r="BQ111" s="2104"/>
      <c r="BR111" s="2104"/>
      <c r="BS111" s="2105">
        <f t="shared" si="96"/>
        <v>0</v>
      </c>
      <c r="BT111" s="2103">
        <v>6595.682167355375</v>
      </c>
      <c r="BU111" s="2104">
        <v>40726.507832644624</v>
      </c>
      <c r="BV111" s="2104">
        <v>8680.4500000000007</v>
      </c>
      <c r="BW111" s="2104">
        <v>-0.1</v>
      </c>
      <c r="BX111" s="2104">
        <v>0</v>
      </c>
      <c r="BY111" s="2105">
        <f t="shared" si="97"/>
        <v>56002.54</v>
      </c>
      <c r="BZ111" s="2103">
        <v>1059.72</v>
      </c>
      <c r="CA111" s="2104">
        <v>0</v>
      </c>
      <c r="CB111" s="2104">
        <v>978.61</v>
      </c>
      <c r="CC111" s="2104">
        <v>0</v>
      </c>
      <c r="CD111" s="2104">
        <v>0</v>
      </c>
      <c r="CE111" s="2105">
        <f t="shared" si="98"/>
        <v>2038.33</v>
      </c>
      <c r="CF111" s="2115"/>
      <c r="CG111" s="2116"/>
      <c r="CH111" s="2116"/>
      <c r="CI111" s="2116"/>
      <c r="CJ111" s="2116"/>
      <c r="CK111" s="2117">
        <f t="shared" si="99"/>
        <v>0</v>
      </c>
      <c r="CL111" s="2103"/>
      <c r="CM111" s="2104"/>
      <c r="CN111" s="2104"/>
      <c r="CO111" s="2104"/>
      <c r="CP111" s="2104"/>
      <c r="CQ111" s="2105">
        <f t="shared" si="100"/>
        <v>0</v>
      </c>
      <c r="CR111" s="2103"/>
      <c r="CS111" s="2104"/>
      <c r="CT111" s="2104"/>
      <c r="CU111" s="2104"/>
      <c r="CV111" s="2104"/>
      <c r="CW111" s="2117">
        <f t="shared" si="101"/>
        <v>0</v>
      </c>
      <c r="CX111" s="2103"/>
      <c r="CY111" s="2104"/>
      <c r="CZ111" s="2104"/>
      <c r="DA111" s="2104"/>
      <c r="DB111" s="2104"/>
      <c r="DC111" s="2105">
        <f t="shared" si="102"/>
        <v>0</v>
      </c>
      <c r="DD111" s="2103"/>
      <c r="DE111" s="2104"/>
      <c r="DF111" s="2104"/>
      <c r="DG111" s="2104"/>
      <c r="DH111" s="2104"/>
      <c r="DI111" s="2105">
        <f t="shared" si="103"/>
        <v>0</v>
      </c>
      <c r="DJ111" s="2103"/>
      <c r="DK111" s="2104"/>
      <c r="DL111" s="2104"/>
      <c r="DM111" s="2104"/>
      <c r="DN111" s="2104"/>
      <c r="DO111" s="2105">
        <f t="shared" si="104"/>
        <v>0</v>
      </c>
      <c r="DP111" s="2103"/>
      <c r="DQ111" s="2104"/>
      <c r="DR111" s="2104"/>
      <c r="DS111" s="2104"/>
      <c r="DT111" s="2104"/>
      <c r="DU111" s="2118">
        <f t="shared" si="105"/>
        <v>0</v>
      </c>
      <c r="DV111" s="2103">
        <v>5567.75</v>
      </c>
      <c r="DW111" s="2104">
        <v>0</v>
      </c>
      <c r="DX111" s="2104">
        <v>1021.27</v>
      </c>
      <c r="DY111" s="2104">
        <v>0.05</v>
      </c>
      <c r="DZ111" s="2104">
        <v>0</v>
      </c>
      <c r="EA111" s="2105">
        <f t="shared" si="106"/>
        <v>6589.0700000000006</v>
      </c>
    </row>
    <row r="112" spans="1:131" s="2049" customFormat="1" ht="15" customHeight="1" x14ac:dyDescent="0.25">
      <c r="A112" s="2089" t="s">
        <v>144</v>
      </c>
      <c r="B112" s="2090" t="s">
        <v>145</v>
      </c>
      <c r="C112" s="2091" t="s">
        <v>267</v>
      </c>
      <c r="D112" s="2092">
        <f t="shared" si="79"/>
        <v>48440.312319643941</v>
      </c>
      <c r="E112" s="2093">
        <f t="shared" si="80"/>
        <v>12320.277680356052</v>
      </c>
      <c r="F112" s="2093">
        <f t="shared" si="81"/>
        <v>13350.85</v>
      </c>
      <c r="G112" s="2093">
        <f t="shared" si="82"/>
        <v>-1.9999999999999997E-2</v>
      </c>
      <c r="H112" s="2093">
        <f t="shared" si="83"/>
        <v>0</v>
      </c>
      <c r="I112" s="2093">
        <f t="shared" si="84"/>
        <v>74111.42</v>
      </c>
      <c r="J112" s="2093">
        <f t="shared" si="85"/>
        <v>-1.9999999999999997E-2</v>
      </c>
      <c r="K112" s="2094">
        <f t="shared" si="86"/>
        <v>13350.83</v>
      </c>
      <c r="L112" s="2095"/>
      <c r="M112" s="2096"/>
      <c r="N112" s="2096"/>
      <c r="O112" s="2096"/>
      <c r="P112" s="2096"/>
      <c r="Q112" s="2097">
        <f t="shared" si="87"/>
        <v>0</v>
      </c>
      <c r="R112" s="2098"/>
      <c r="S112" s="2099"/>
      <c r="T112" s="2099"/>
      <c r="U112" s="2099"/>
      <c r="V112" s="2099"/>
      <c r="W112" s="2100">
        <f t="shared" si="88"/>
        <v>0</v>
      </c>
      <c r="X112" s="2101">
        <v>862.3</v>
      </c>
      <c r="Y112" s="2102">
        <v>5.13</v>
      </c>
      <c r="Z112" s="2102">
        <v>159.12</v>
      </c>
      <c r="AA112" s="2102">
        <v>0</v>
      </c>
      <c r="AB112" s="2102">
        <v>0</v>
      </c>
      <c r="AC112" s="2100">
        <f t="shared" si="89"/>
        <v>1026.55</v>
      </c>
      <c r="AD112" s="2103">
        <v>4240</v>
      </c>
      <c r="AE112" s="2104">
        <v>0</v>
      </c>
      <c r="AF112" s="2104">
        <v>1060</v>
      </c>
      <c r="AG112" s="2104">
        <v>0</v>
      </c>
      <c r="AH112" s="2104">
        <v>0</v>
      </c>
      <c r="AI112" s="2105">
        <f t="shared" si="90"/>
        <v>5300</v>
      </c>
      <c r="AJ112" s="2098"/>
      <c r="AK112" s="2099"/>
      <c r="AL112" s="2099"/>
      <c r="AM112" s="2099"/>
      <c r="AN112" s="2099"/>
      <c r="AO112" s="2106">
        <f t="shared" si="91"/>
        <v>0</v>
      </c>
      <c r="AP112" s="2098"/>
      <c r="AQ112" s="2099"/>
      <c r="AR112" s="2099"/>
      <c r="AS112" s="2099"/>
      <c r="AT112" s="2099"/>
      <c r="AU112" s="2106">
        <f t="shared" si="92"/>
        <v>0</v>
      </c>
      <c r="AV112" s="2107"/>
      <c r="AW112" s="2108"/>
      <c r="AX112" s="2108"/>
      <c r="AY112" s="2108"/>
      <c r="AZ112" s="2109"/>
      <c r="BA112" s="2110">
        <f t="shared" si="93"/>
        <v>0</v>
      </c>
      <c r="BB112" s="2119"/>
      <c r="BC112" s="2120"/>
      <c r="BD112" s="2120"/>
      <c r="BE112" s="2120"/>
      <c r="BF112" s="2120"/>
      <c r="BG112" s="2114">
        <f t="shared" si="94"/>
        <v>0</v>
      </c>
      <c r="BH112" s="2103">
        <v>14001.92</v>
      </c>
      <c r="BI112" s="2104">
        <v>1773.59</v>
      </c>
      <c r="BJ112" s="2104">
        <v>2893.74</v>
      </c>
      <c r="BK112" s="2104">
        <v>-0.03</v>
      </c>
      <c r="BL112" s="2104">
        <v>0</v>
      </c>
      <c r="BM112" s="2117">
        <f t="shared" si="95"/>
        <v>18669.22</v>
      </c>
      <c r="BN112" s="2103"/>
      <c r="BO112" s="2104"/>
      <c r="BP112" s="2104"/>
      <c r="BQ112" s="2104"/>
      <c r="BR112" s="2104"/>
      <c r="BS112" s="2105">
        <f t="shared" si="96"/>
        <v>0</v>
      </c>
      <c r="BT112" s="2103">
        <v>46.232319643948166</v>
      </c>
      <c r="BU112" s="2104">
        <v>105.30768035605183</v>
      </c>
      <c r="BV112" s="2104">
        <v>27.8</v>
      </c>
      <c r="BW112" s="2104">
        <v>0</v>
      </c>
      <c r="BX112" s="2104">
        <v>0</v>
      </c>
      <c r="BY112" s="2105">
        <f t="shared" si="97"/>
        <v>179.34</v>
      </c>
      <c r="BZ112" s="2115">
        <v>2598.8000000000002</v>
      </c>
      <c r="CA112" s="2116">
        <v>0</v>
      </c>
      <c r="CB112" s="2116">
        <v>2399.85</v>
      </c>
      <c r="CC112" s="2116">
        <v>0</v>
      </c>
      <c r="CD112" s="2116">
        <v>0</v>
      </c>
      <c r="CE112" s="2105">
        <f t="shared" si="98"/>
        <v>4998.6499999999996</v>
      </c>
      <c r="CF112" s="2115"/>
      <c r="CG112" s="2116"/>
      <c r="CH112" s="2116"/>
      <c r="CI112" s="2116"/>
      <c r="CJ112" s="2116"/>
      <c r="CK112" s="2117">
        <f t="shared" si="99"/>
        <v>0</v>
      </c>
      <c r="CL112" s="2103"/>
      <c r="CM112" s="2104"/>
      <c r="CN112" s="2104"/>
      <c r="CO112" s="2104"/>
      <c r="CP112" s="2104"/>
      <c r="CQ112" s="2105">
        <f t="shared" si="100"/>
        <v>0</v>
      </c>
      <c r="CR112" s="2103"/>
      <c r="CS112" s="2104"/>
      <c r="CT112" s="2104"/>
      <c r="CU112" s="2104"/>
      <c r="CV112" s="2104"/>
      <c r="CW112" s="2117">
        <f t="shared" si="101"/>
        <v>0</v>
      </c>
      <c r="CX112" s="2103"/>
      <c r="CY112" s="2104"/>
      <c r="CZ112" s="2104"/>
      <c r="DA112" s="2104"/>
      <c r="DB112" s="2104"/>
      <c r="DC112" s="2105">
        <f t="shared" si="102"/>
        <v>0</v>
      </c>
      <c r="DD112" s="2103"/>
      <c r="DE112" s="2104"/>
      <c r="DF112" s="2104"/>
      <c r="DG112" s="2104"/>
      <c r="DH112" s="2104"/>
      <c r="DI112" s="2105">
        <f t="shared" si="103"/>
        <v>0</v>
      </c>
      <c r="DJ112" s="2103"/>
      <c r="DK112" s="2104"/>
      <c r="DL112" s="2104"/>
      <c r="DM112" s="2104"/>
      <c r="DN112" s="2104"/>
      <c r="DO112" s="2105">
        <f t="shared" si="104"/>
        <v>0</v>
      </c>
      <c r="DP112" s="2103">
        <v>15125</v>
      </c>
      <c r="DQ112" s="2104">
        <v>10436.25</v>
      </c>
      <c r="DR112" s="2104">
        <v>4688.75</v>
      </c>
      <c r="DS112" s="2104">
        <v>0</v>
      </c>
      <c r="DT112" s="2104">
        <v>0</v>
      </c>
      <c r="DU112" s="2118">
        <f t="shared" si="105"/>
        <v>30250</v>
      </c>
      <c r="DV112" s="2103">
        <v>11566.06</v>
      </c>
      <c r="DW112" s="2104">
        <v>0</v>
      </c>
      <c r="DX112" s="2104">
        <v>2121.59</v>
      </c>
      <c r="DY112" s="2104">
        <v>0.01</v>
      </c>
      <c r="DZ112" s="2104">
        <v>0</v>
      </c>
      <c r="EA112" s="2105">
        <f t="shared" si="106"/>
        <v>13687.66</v>
      </c>
    </row>
    <row r="113" spans="1:131" s="2049" customFormat="1" ht="15" customHeight="1" x14ac:dyDescent="0.25">
      <c r="A113" s="2089" t="s">
        <v>158</v>
      </c>
      <c r="B113" s="2090" t="s">
        <v>159</v>
      </c>
      <c r="C113" s="2091" t="s">
        <v>264</v>
      </c>
      <c r="D113" s="2092">
        <f t="shared" si="79"/>
        <v>528667.4723159204</v>
      </c>
      <c r="E113" s="2093">
        <f t="shared" si="80"/>
        <v>489270.17768407945</v>
      </c>
      <c r="F113" s="2093">
        <f t="shared" si="81"/>
        <v>204357.40999999997</v>
      </c>
      <c r="G113" s="2093">
        <f t="shared" si="82"/>
        <v>-0.32000000000000006</v>
      </c>
      <c r="H113" s="2093">
        <f t="shared" si="83"/>
        <v>0</v>
      </c>
      <c r="I113" s="2093">
        <f t="shared" si="84"/>
        <v>1222294.7399999998</v>
      </c>
      <c r="J113" s="2093">
        <f t="shared" si="85"/>
        <v>-0.32000000000000006</v>
      </c>
      <c r="K113" s="2094">
        <f t="shared" si="86"/>
        <v>204357.08999999997</v>
      </c>
      <c r="L113" s="2095"/>
      <c r="M113" s="2096"/>
      <c r="N113" s="2096"/>
      <c r="O113" s="2096"/>
      <c r="P113" s="2096"/>
      <c r="Q113" s="2097">
        <f t="shared" si="87"/>
        <v>0</v>
      </c>
      <c r="R113" s="2098"/>
      <c r="S113" s="2099"/>
      <c r="T113" s="2099"/>
      <c r="U113" s="2099"/>
      <c r="V113" s="2099"/>
      <c r="W113" s="2100">
        <f t="shared" si="88"/>
        <v>0</v>
      </c>
      <c r="X113" s="2101">
        <v>49587.49</v>
      </c>
      <c r="Y113" s="2102">
        <v>295.18</v>
      </c>
      <c r="Z113" s="2102">
        <v>9150.09</v>
      </c>
      <c r="AA113" s="2102">
        <v>-0.02</v>
      </c>
      <c r="AB113" s="2102">
        <v>0</v>
      </c>
      <c r="AC113" s="2100">
        <f t="shared" si="89"/>
        <v>59032.74</v>
      </c>
      <c r="AD113" s="2103">
        <v>131953.44</v>
      </c>
      <c r="AE113" s="2104">
        <v>0</v>
      </c>
      <c r="AF113" s="2104">
        <v>32988.36</v>
      </c>
      <c r="AG113" s="2104">
        <v>0</v>
      </c>
      <c r="AH113" s="2104">
        <v>0</v>
      </c>
      <c r="AI113" s="2105">
        <f t="shared" si="90"/>
        <v>164941.79999999999</v>
      </c>
      <c r="AJ113" s="2101">
        <v>3656.06</v>
      </c>
      <c r="AK113" s="2102">
        <v>1972.36</v>
      </c>
      <c r="AL113" s="2102">
        <v>1032.46</v>
      </c>
      <c r="AM113" s="2102">
        <v>-0.11</v>
      </c>
      <c r="AN113" s="2102">
        <v>0</v>
      </c>
      <c r="AO113" s="2106">
        <f t="shared" si="91"/>
        <v>6660.77</v>
      </c>
      <c r="AP113" s="2101">
        <v>5383.15</v>
      </c>
      <c r="AQ113" s="2102">
        <v>1345.78</v>
      </c>
      <c r="AR113" s="2102">
        <v>0</v>
      </c>
      <c r="AS113" s="2102">
        <v>0</v>
      </c>
      <c r="AT113" s="2102">
        <v>0</v>
      </c>
      <c r="AU113" s="2106">
        <f t="shared" si="92"/>
        <v>6728.9299999999994</v>
      </c>
      <c r="AV113" s="2107">
        <v>9373.39</v>
      </c>
      <c r="AW113" s="2108">
        <v>2343.35</v>
      </c>
      <c r="AX113" s="2108">
        <v>0</v>
      </c>
      <c r="AY113" s="2108">
        <v>0</v>
      </c>
      <c r="AZ113" s="2109">
        <v>0</v>
      </c>
      <c r="BA113" s="2110">
        <f t="shared" si="93"/>
        <v>11716.74</v>
      </c>
      <c r="BB113" s="2111">
        <v>206.72</v>
      </c>
      <c r="BC113" s="2112">
        <v>373.28</v>
      </c>
      <c r="BD113" s="2112">
        <v>0</v>
      </c>
      <c r="BE113" s="2112">
        <v>0</v>
      </c>
      <c r="BF113" s="2113">
        <v>0</v>
      </c>
      <c r="BG113" s="2114">
        <f t="shared" si="94"/>
        <v>580</v>
      </c>
      <c r="BH113" s="2103">
        <v>89280.98</v>
      </c>
      <c r="BI113" s="2104">
        <v>11308.93</v>
      </c>
      <c r="BJ113" s="2104">
        <v>18451.400000000001</v>
      </c>
      <c r="BK113" s="2104">
        <v>-0.01</v>
      </c>
      <c r="BL113" s="2104">
        <v>0</v>
      </c>
      <c r="BM113" s="2117">
        <f t="shared" si="95"/>
        <v>119041.3</v>
      </c>
      <c r="BN113" s="2103">
        <v>-3555.4</v>
      </c>
      <c r="BO113" s="2104">
        <v>-3555.4</v>
      </c>
      <c r="BP113" s="2104">
        <v>0</v>
      </c>
      <c r="BQ113" s="2104">
        <v>0.01</v>
      </c>
      <c r="BR113" s="2104">
        <v>0</v>
      </c>
      <c r="BS113" s="2105">
        <f t="shared" si="96"/>
        <v>-7110.79</v>
      </c>
      <c r="BT113" s="2103">
        <v>185310.93231592051</v>
      </c>
      <c r="BU113" s="2104">
        <v>461311.90768407949</v>
      </c>
      <c r="BV113" s="2104">
        <v>118611.3</v>
      </c>
      <c r="BW113" s="2104">
        <v>-0.15</v>
      </c>
      <c r="BX113" s="2104">
        <v>0</v>
      </c>
      <c r="BY113" s="2105">
        <f t="shared" si="97"/>
        <v>765233.99</v>
      </c>
      <c r="BZ113" s="2103">
        <v>12706.68</v>
      </c>
      <c r="CA113" s="2104">
        <v>0</v>
      </c>
      <c r="CB113" s="2104">
        <v>11733.93</v>
      </c>
      <c r="CC113" s="2104">
        <v>-0.02</v>
      </c>
      <c r="CD113" s="2104">
        <v>0</v>
      </c>
      <c r="CE113" s="2105">
        <f t="shared" si="98"/>
        <v>24440.59</v>
      </c>
      <c r="CF113" s="2115"/>
      <c r="CG113" s="2116"/>
      <c r="CH113" s="2116"/>
      <c r="CI113" s="2116"/>
      <c r="CJ113" s="2116"/>
      <c r="CK113" s="2117">
        <f t="shared" si="99"/>
        <v>0</v>
      </c>
      <c r="CL113" s="2103"/>
      <c r="CM113" s="2104"/>
      <c r="CN113" s="2104"/>
      <c r="CO113" s="2104"/>
      <c r="CP113" s="2104"/>
      <c r="CQ113" s="2105">
        <f t="shared" si="100"/>
        <v>0</v>
      </c>
      <c r="CR113" s="2103">
        <v>-3049.13</v>
      </c>
      <c r="CS113" s="2104">
        <v>-3049.13</v>
      </c>
      <c r="CT113" s="2104">
        <v>0</v>
      </c>
      <c r="CU113" s="2104">
        <v>0.01</v>
      </c>
      <c r="CV113" s="2104">
        <v>0</v>
      </c>
      <c r="CW113" s="2117">
        <f t="shared" si="101"/>
        <v>-6098.25</v>
      </c>
      <c r="CX113" s="2103"/>
      <c r="CY113" s="2104"/>
      <c r="CZ113" s="2104"/>
      <c r="DA113" s="2104"/>
      <c r="DB113" s="2104"/>
      <c r="DC113" s="2105">
        <f t="shared" si="102"/>
        <v>0</v>
      </c>
      <c r="DD113" s="2103">
        <v>-1135.68</v>
      </c>
      <c r="DE113" s="2104">
        <v>0</v>
      </c>
      <c r="DF113" s="2104">
        <v>0</v>
      </c>
      <c r="DG113" s="2104">
        <v>0</v>
      </c>
      <c r="DH113" s="2104">
        <v>0</v>
      </c>
      <c r="DI113" s="2105">
        <f t="shared" si="103"/>
        <v>-1135.68</v>
      </c>
      <c r="DJ113" s="2103">
        <v>-836</v>
      </c>
      <c r="DK113" s="2104">
        <v>-836</v>
      </c>
      <c r="DL113" s="2104">
        <v>0</v>
      </c>
      <c r="DM113" s="2104">
        <v>0</v>
      </c>
      <c r="DN113" s="2104">
        <v>0</v>
      </c>
      <c r="DO113" s="2105">
        <f t="shared" si="104"/>
        <v>-1672</v>
      </c>
      <c r="DP113" s="2103">
        <v>25739.040000000001</v>
      </c>
      <c r="DQ113" s="2104">
        <v>17759.919999999998</v>
      </c>
      <c r="DR113" s="2104">
        <v>7979.1</v>
      </c>
      <c r="DS113" s="2104">
        <v>-0.03</v>
      </c>
      <c r="DT113" s="2104">
        <v>0</v>
      </c>
      <c r="DU113" s="2118">
        <f t="shared" si="105"/>
        <v>51478.03</v>
      </c>
      <c r="DV113" s="2103">
        <v>24045.8</v>
      </c>
      <c r="DW113" s="2104">
        <v>0</v>
      </c>
      <c r="DX113" s="2104">
        <v>4410.7700000000004</v>
      </c>
      <c r="DY113" s="2104">
        <v>0</v>
      </c>
      <c r="DZ113" s="2104">
        <v>0</v>
      </c>
      <c r="EA113" s="2105">
        <f t="shared" si="106"/>
        <v>28456.57</v>
      </c>
    </row>
    <row r="114" spans="1:131" s="2049" customFormat="1" ht="15" customHeight="1" x14ac:dyDescent="0.25">
      <c r="A114" s="2089" t="s">
        <v>160</v>
      </c>
      <c r="B114" s="2090" t="s">
        <v>161</v>
      </c>
      <c r="C114" s="2091" t="s">
        <v>264</v>
      </c>
      <c r="D114" s="2092">
        <f t="shared" si="79"/>
        <v>447819.23725838994</v>
      </c>
      <c r="E114" s="2093">
        <f t="shared" si="80"/>
        <v>335715.53274161008</v>
      </c>
      <c r="F114" s="2093">
        <f t="shared" si="81"/>
        <v>149765.30999999997</v>
      </c>
      <c r="G114" s="2093">
        <f t="shared" si="82"/>
        <v>-0.24</v>
      </c>
      <c r="H114" s="2093">
        <f t="shared" si="83"/>
        <v>0</v>
      </c>
      <c r="I114" s="2093">
        <f t="shared" si="84"/>
        <v>933299.84</v>
      </c>
      <c r="J114" s="2093">
        <f t="shared" si="85"/>
        <v>-0.24</v>
      </c>
      <c r="K114" s="2094">
        <f t="shared" si="86"/>
        <v>149765.06999999998</v>
      </c>
      <c r="L114" s="2095"/>
      <c r="M114" s="2096"/>
      <c r="N114" s="2096"/>
      <c r="O114" s="2096"/>
      <c r="P114" s="2096"/>
      <c r="Q114" s="2097">
        <f t="shared" si="87"/>
        <v>0</v>
      </c>
      <c r="R114" s="2098"/>
      <c r="S114" s="2099"/>
      <c r="T114" s="2099"/>
      <c r="U114" s="2099"/>
      <c r="V114" s="2099"/>
      <c r="W114" s="2100">
        <f t="shared" si="88"/>
        <v>0</v>
      </c>
      <c r="X114" s="2101">
        <v>66454.070000000007</v>
      </c>
      <c r="Y114" s="2102">
        <v>395.57</v>
      </c>
      <c r="Z114" s="2102">
        <v>12262.36</v>
      </c>
      <c r="AA114" s="2102">
        <v>0</v>
      </c>
      <c r="AB114" s="2102">
        <v>0</v>
      </c>
      <c r="AC114" s="2100">
        <f t="shared" si="89"/>
        <v>79112.000000000015</v>
      </c>
      <c r="AD114" s="2103">
        <v>48117.88</v>
      </c>
      <c r="AE114" s="2104">
        <v>0</v>
      </c>
      <c r="AF114" s="2104">
        <v>12029.46</v>
      </c>
      <c r="AG114" s="2104">
        <v>0</v>
      </c>
      <c r="AH114" s="2104">
        <v>0</v>
      </c>
      <c r="AI114" s="2105">
        <f t="shared" si="90"/>
        <v>60147.34</v>
      </c>
      <c r="AJ114" s="2101">
        <v>64410.46</v>
      </c>
      <c r="AK114" s="2102">
        <v>5472.8</v>
      </c>
      <c r="AL114" s="2102">
        <v>12818.8</v>
      </c>
      <c r="AM114" s="2102">
        <v>-0.02</v>
      </c>
      <c r="AN114" s="2102">
        <v>0</v>
      </c>
      <c r="AO114" s="2106">
        <f t="shared" si="91"/>
        <v>82702.039999999994</v>
      </c>
      <c r="AP114" s="2101">
        <v>9188.7099999999991</v>
      </c>
      <c r="AQ114" s="2102">
        <v>2297.17</v>
      </c>
      <c r="AR114" s="2102">
        <v>0</v>
      </c>
      <c r="AS114" s="2102">
        <v>0</v>
      </c>
      <c r="AT114" s="2102">
        <v>0</v>
      </c>
      <c r="AU114" s="2106">
        <f t="shared" si="92"/>
        <v>11485.88</v>
      </c>
      <c r="AV114" s="2107">
        <v>14188.35</v>
      </c>
      <c r="AW114" s="2108">
        <v>3547.09</v>
      </c>
      <c r="AX114" s="2108">
        <v>0</v>
      </c>
      <c r="AY114" s="2108">
        <v>0</v>
      </c>
      <c r="AZ114" s="2109">
        <v>0</v>
      </c>
      <c r="BA114" s="2110">
        <f t="shared" si="93"/>
        <v>17735.440000000002</v>
      </c>
      <c r="BB114" s="2111">
        <v>2770.37</v>
      </c>
      <c r="BC114" s="2112">
        <v>5002.83</v>
      </c>
      <c r="BD114" s="2112">
        <v>0</v>
      </c>
      <c r="BE114" s="2112">
        <v>0</v>
      </c>
      <c r="BF114" s="2113">
        <v>0</v>
      </c>
      <c r="BG114" s="2114">
        <f t="shared" si="94"/>
        <v>7773.2</v>
      </c>
      <c r="BH114" s="2103">
        <v>129533.95</v>
      </c>
      <c r="BI114" s="2104">
        <v>16407.62</v>
      </c>
      <c r="BJ114" s="2104">
        <v>26770.37</v>
      </c>
      <c r="BK114" s="2104">
        <v>-0.03</v>
      </c>
      <c r="BL114" s="2104">
        <v>0</v>
      </c>
      <c r="BM114" s="2117">
        <f t="shared" si="95"/>
        <v>172711.91</v>
      </c>
      <c r="BN114" s="2103"/>
      <c r="BO114" s="2104"/>
      <c r="BP114" s="2104"/>
      <c r="BQ114" s="2104"/>
      <c r="BR114" s="2104"/>
      <c r="BS114" s="2105">
        <f t="shared" si="96"/>
        <v>0</v>
      </c>
      <c r="BT114" s="2103">
        <v>45920.167258389993</v>
      </c>
      <c r="BU114" s="2104">
        <v>290658.63274161005</v>
      </c>
      <c r="BV114" s="2104">
        <v>61739.360000000001</v>
      </c>
      <c r="BW114" s="2104">
        <v>-0.18</v>
      </c>
      <c r="BX114" s="2104">
        <v>0</v>
      </c>
      <c r="BY114" s="2105">
        <f t="shared" si="97"/>
        <v>398317.98000000004</v>
      </c>
      <c r="BZ114" s="2103">
        <v>12458.79</v>
      </c>
      <c r="CA114" s="2104">
        <v>0</v>
      </c>
      <c r="CB114" s="2104">
        <v>11504.99</v>
      </c>
      <c r="CC114" s="2104">
        <v>0</v>
      </c>
      <c r="CD114" s="2104">
        <v>0</v>
      </c>
      <c r="CE114" s="2105">
        <f t="shared" si="98"/>
        <v>23963.78</v>
      </c>
      <c r="CF114" s="2115"/>
      <c r="CG114" s="2116"/>
      <c r="CH114" s="2116"/>
      <c r="CI114" s="2116"/>
      <c r="CJ114" s="2116"/>
      <c r="CK114" s="2117">
        <f t="shared" si="99"/>
        <v>0</v>
      </c>
      <c r="CL114" s="2103"/>
      <c r="CM114" s="2104"/>
      <c r="CN114" s="2104"/>
      <c r="CO114" s="2104"/>
      <c r="CP114" s="2104"/>
      <c r="CQ114" s="2105">
        <f t="shared" si="100"/>
        <v>0</v>
      </c>
      <c r="CR114" s="2115"/>
      <c r="CS114" s="2116"/>
      <c r="CT114" s="2116"/>
      <c r="CU114" s="2116"/>
      <c r="CV114" s="2116"/>
      <c r="CW114" s="2117">
        <f t="shared" si="101"/>
        <v>0</v>
      </c>
      <c r="CX114" s="2103"/>
      <c r="CY114" s="2104"/>
      <c r="CZ114" s="2104"/>
      <c r="DA114" s="2104"/>
      <c r="DB114" s="2104"/>
      <c r="DC114" s="2105">
        <f t="shared" si="102"/>
        <v>0</v>
      </c>
      <c r="DD114" s="2103">
        <v>-1972.88</v>
      </c>
      <c r="DE114" s="2104">
        <v>0</v>
      </c>
      <c r="DF114" s="2104">
        <v>0</v>
      </c>
      <c r="DG114" s="2104">
        <v>0</v>
      </c>
      <c r="DH114" s="2104">
        <v>0</v>
      </c>
      <c r="DI114" s="2105">
        <f t="shared" si="103"/>
        <v>-1972.88</v>
      </c>
      <c r="DJ114" s="2103">
        <v>-112.5</v>
      </c>
      <c r="DK114" s="2104">
        <v>-112.5</v>
      </c>
      <c r="DL114" s="2104">
        <v>0</v>
      </c>
      <c r="DM114" s="2104">
        <v>0</v>
      </c>
      <c r="DN114" s="2104">
        <v>0</v>
      </c>
      <c r="DO114" s="2105">
        <f t="shared" si="104"/>
        <v>-225</v>
      </c>
      <c r="DP114" s="2103">
        <v>17458.439999999999</v>
      </c>
      <c r="DQ114" s="2104">
        <v>12046.32</v>
      </c>
      <c r="DR114" s="2104">
        <v>5412.11</v>
      </c>
      <c r="DS114" s="2104">
        <v>-0.01</v>
      </c>
      <c r="DT114" s="2104">
        <v>0</v>
      </c>
      <c r="DU114" s="2118">
        <f t="shared" si="105"/>
        <v>34916.859999999993</v>
      </c>
      <c r="DV114" s="2103">
        <v>39403.43</v>
      </c>
      <c r="DW114" s="2104">
        <v>0</v>
      </c>
      <c r="DX114" s="2104">
        <v>7227.86</v>
      </c>
      <c r="DY114" s="2104">
        <v>0</v>
      </c>
      <c r="DZ114" s="2104">
        <v>0</v>
      </c>
      <c r="EA114" s="2105">
        <f t="shared" si="106"/>
        <v>46631.29</v>
      </c>
    </row>
    <row r="115" spans="1:131" s="2049" customFormat="1" ht="15" customHeight="1" x14ac:dyDescent="0.25">
      <c r="A115" s="2089" t="s">
        <v>166</v>
      </c>
      <c r="B115" s="2090" t="s">
        <v>167</v>
      </c>
      <c r="C115" s="2091" t="s">
        <v>268</v>
      </c>
      <c r="D115" s="2092">
        <f t="shared" si="79"/>
        <v>22625.007820218732</v>
      </c>
      <c r="E115" s="2093">
        <f t="shared" si="80"/>
        <v>17288.602179781272</v>
      </c>
      <c r="F115" s="2093">
        <f t="shared" si="81"/>
        <v>7821.2900000000009</v>
      </c>
      <c r="G115" s="2093">
        <f t="shared" si="82"/>
        <v>-6.0000000000000005E-2</v>
      </c>
      <c r="H115" s="2093">
        <f t="shared" si="83"/>
        <v>0</v>
      </c>
      <c r="I115" s="2093">
        <f t="shared" si="84"/>
        <v>47734.840000000004</v>
      </c>
      <c r="J115" s="2093">
        <f t="shared" si="85"/>
        <v>-6.0000000000000005E-2</v>
      </c>
      <c r="K115" s="2094">
        <f t="shared" si="86"/>
        <v>7821.2300000000005</v>
      </c>
      <c r="L115" s="2095"/>
      <c r="M115" s="2096"/>
      <c r="N115" s="2096"/>
      <c r="O115" s="2096"/>
      <c r="P115" s="2096"/>
      <c r="Q115" s="2097">
        <f t="shared" si="87"/>
        <v>0</v>
      </c>
      <c r="R115" s="2098"/>
      <c r="S115" s="2099"/>
      <c r="T115" s="2099"/>
      <c r="U115" s="2099"/>
      <c r="V115" s="2099"/>
      <c r="W115" s="2100">
        <f t="shared" si="88"/>
        <v>0</v>
      </c>
      <c r="X115" s="2101">
        <v>1668.67</v>
      </c>
      <c r="Y115" s="2102">
        <v>9.92</v>
      </c>
      <c r="Z115" s="2102">
        <v>307.91000000000003</v>
      </c>
      <c r="AA115" s="2102">
        <v>0</v>
      </c>
      <c r="AB115" s="2102">
        <v>0</v>
      </c>
      <c r="AC115" s="2100">
        <f t="shared" si="89"/>
        <v>1986.5000000000002</v>
      </c>
      <c r="AD115" s="2103">
        <v>6076</v>
      </c>
      <c r="AE115" s="2104">
        <v>0</v>
      </c>
      <c r="AF115" s="2104">
        <v>1519</v>
      </c>
      <c r="AG115" s="2104">
        <v>0</v>
      </c>
      <c r="AH115" s="2104">
        <v>0</v>
      </c>
      <c r="AI115" s="2105">
        <f t="shared" si="90"/>
        <v>7595</v>
      </c>
      <c r="AJ115" s="2098"/>
      <c r="AK115" s="2099"/>
      <c r="AL115" s="2099"/>
      <c r="AM115" s="2099"/>
      <c r="AN115" s="2099"/>
      <c r="AO115" s="2106">
        <f t="shared" si="91"/>
        <v>0</v>
      </c>
      <c r="AP115" s="2098"/>
      <c r="AQ115" s="2099"/>
      <c r="AR115" s="2099"/>
      <c r="AS115" s="2099"/>
      <c r="AT115" s="2099"/>
      <c r="AU115" s="2106">
        <f t="shared" si="92"/>
        <v>0</v>
      </c>
      <c r="AV115" s="2121"/>
      <c r="AW115" s="2122"/>
      <c r="AX115" s="2122"/>
      <c r="AY115" s="2122"/>
      <c r="AZ115" s="2123"/>
      <c r="BA115" s="2110">
        <f t="shared" si="93"/>
        <v>0</v>
      </c>
      <c r="BB115" s="2119"/>
      <c r="BC115" s="2120"/>
      <c r="BD115" s="2120"/>
      <c r="BE115" s="2120"/>
      <c r="BF115" s="2120"/>
      <c r="BG115" s="2114">
        <f t="shared" si="94"/>
        <v>0</v>
      </c>
      <c r="BH115" s="2103">
        <v>9464.44</v>
      </c>
      <c r="BI115" s="2104">
        <v>1198.83</v>
      </c>
      <c r="BJ115" s="2104">
        <v>1955.98</v>
      </c>
      <c r="BK115" s="2104">
        <v>0</v>
      </c>
      <c r="BL115" s="2104">
        <v>0</v>
      </c>
      <c r="BM115" s="2117">
        <f t="shared" si="95"/>
        <v>12619.25</v>
      </c>
      <c r="BN115" s="2103">
        <v>-260</v>
      </c>
      <c r="BO115" s="2104">
        <v>-260</v>
      </c>
      <c r="BP115" s="2104">
        <v>0</v>
      </c>
      <c r="BQ115" s="2104">
        <v>0</v>
      </c>
      <c r="BR115" s="2104">
        <v>0</v>
      </c>
      <c r="BS115" s="2105">
        <f t="shared" si="96"/>
        <v>-520</v>
      </c>
      <c r="BT115" s="2103">
        <v>2654.517820218729</v>
      </c>
      <c r="BU115" s="2104">
        <v>14415.792179781271</v>
      </c>
      <c r="BV115" s="2104">
        <v>3131.26</v>
      </c>
      <c r="BW115" s="2104">
        <v>-7.0000000000000007E-2</v>
      </c>
      <c r="BX115" s="2104">
        <v>0</v>
      </c>
      <c r="BY115" s="2105">
        <f t="shared" si="97"/>
        <v>20201.5</v>
      </c>
      <c r="BZ115" s="2115"/>
      <c r="CA115" s="2116"/>
      <c r="CB115" s="2116"/>
      <c r="CC115" s="2116"/>
      <c r="CD115" s="2116"/>
      <c r="CE115" s="2105">
        <f t="shared" si="98"/>
        <v>0</v>
      </c>
      <c r="CF115" s="2115"/>
      <c r="CG115" s="2116"/>
      <c r="CH115" s="2116"/>
      <c r="CI115" s="2116"/>
      <c r="CJ115" s="2116"/>
      <c r="CK115" s="2117">
        <f t="shared" si="99"/>
        <v>0</v>
      </c>
      <c r="CL115" s="2115"/>
      <c r="CM115" s="2116"/>
      <c r="CN115" s="2116"/>
      <c r="CO115" s="2116"/>
      <c r="CP115" s="2116"/>
      <c r="CQ115" s="2105">
        <f t="shared" si="100"/>
        <v>0</v>
      </c>
      <c r="CR115" s="2103"/>
      <c r="CS115" s="2104"/>
      <c r="CT115" s="2104"/>
      <c r="CU115" s="2104"/>
      <c r="CV115" s="2104"/>
      <c r="CW115" s="2117">
        <f t="shared" si="101"/>
        <v>0</v>
      </c>
      <c r="CX115" s="2103"/>
      <c r="CY115" s="2104"/>
      <c r="CZ115" s="2104"/>
      <c r="DA115" s="2104"/>
      <c r="DB115" s="2104"/>
      <c r="DC115" s="2105">
        <f t="shared" si="102"/>
        <v>0</v>
      </c>
      <c r="DD115" s="2103"/>
      <c r="DE115" s="2104"/>
      <c r="DF115" s="2104"/>
      <c r="DG115" s="2104"/>
      <c r="DH115" s="2104"/>
      <c r="DI115" s="2105">
        <f t="shared" si="103"/>
        <v>0</v>
      </c>
      <c r="DJ115" s="2103"/>
      <c r="DK115" s="2104"/>
      <c r="DL115" s="2104"/>
      <c r="DM115" s="2104"/>
      <c r="DN115" s="2104"/>
      <c r="DO115" s="2105">
        <f t="shared" si="104"/>
        <v>0</v>
      </c>
      <c r="DP115" s="2103">
        <v>2788.5</v>
      </c>
      <c r="DQ115" s="2104">
        <v>1924.06</v>
      </c>
      <c r="DR115" s="2104">
        <v>864.43</v>
      </c>
      <c r="DS115" s="2104">
        <v>0.01</v>
      </c>
      <c r="DT115" s="2104">
        <v>0</v>
      </c>
      <c r="DU115" s="2118">
        <f t="shared" si="105"/>
        <v>5577</v>
      </c>
      <c r="DV115" s="2103">
        <v>232.88</v>
      </c>
      <c r="DW115" s="2104">
        <v>0</v>
      </c>
      <c r="DX115" s="2104">
        <v>42.71</v>
      </c>
      <c r="DY115" s="2104">
        <v>0</v>
      </c>
      <c r="DZ115" s="2104">
        <v>0</v>
      </c>
      <c r="EA115" s="2105">
        <f t="shared" si="106"/>
        <v>275.58999999999997</v>
      </c>
    </row>
    <row r="116" spans="1:131" s="2049" customFormat="1" ht="15" customHeight="1" x14ac:dyDescent="0.25">
      <c r="A116" s="2089" t="s">
        <v>176</v>
      </c>
      <c r="B116" s="2090" t="s">
        <v>177</v>
      </c>
      <c r="C116" s="2091" t="s">
        <v>266</v>
      </c>
      <c r="D116" s="2092">
        <f t="shared" si="79"/>
        <v>65318.491051677585</v>
      </c>
      <c r="E116" s="2093">
        <f t="shared" si="80"/>
        <v>158326.79894832242</v>
      </c>
      <c r="F116" s="2093">
        <f t="shared" si="81"/>
        <v>41877.519999999997</v>
      </c>
      <c r="G116" s="2093">
        <f t="shared" si="82"/>
        <v>159.64999999999998</v>
      </c>
      <c r="H116" s="2093">
        <f t="shared" si="83"/>
        <v>0</v>
      </c>
      <c r="I116" s="2093">
        <f t="shared" si="84"/>
        <v>265682.46000000002</v>
      </c>
      <c r="J116" s="2093">
        <f t="shared" si="85"/>
        <v>159.64999999999998</v>
      </c>
      <c r="K116" s="2094">
        <f t="shared" si="86"/>
        <v>42037.17</v>
      </c>
      <c r="L116" s="2095"/>
      <c r="M116" s="2096"/>
      <c r="N116" s="2096"/>
      <c r="O116" s="2096"/>
      <c r="P116" s="2096"/>
      <c r="Q116" s="2097">
        <f t="shared" si="87"/>
        <v>0</v>
      </c>
      <c r="R116" s="2098"/>
      <c r="S116" s="2099"/>
      <c r="T116" s="2099"/>
      <c r="U116" s="2099"/>
      <c r="V116" s="2099"/>
      <c r="W116" s="2100">
        <f t="shared" si="88"/>
        <v>0</v>
      </c>
      <c r="X116" s="2101">
        <v>2731.97</v>
      </c>
      <c r="Y116" s="2102">
        <v>16.27</v>
      </c>
      <c r="Z116" s="2102">
        <v>504.12</v>
      </c>
      <c r="AA116" s="2102">
        <v>-0.01</v>
      </c>
      <c r="AB116" s="2102">
        <v>0</v>
      </c>
      <c r="AC116" s="2100">
        <f t="shared" si="89"/>
        <v>3252.3499999999995</v>
      </c>
      <c r="AD116" s="2103">
        <v>13186.99</v>
      </c>
      <c r="AE116" s="2104">
        <v>0</v>
      </c>
      <c r="AF116" s="2104">
        <v>3296.8</v>
      </c>
      <c r="AG116" s="2104">
        <v>159.69999999999999</v>
      </c>
      <c r="AH116" s="2104">
        <v>0</v>
      </c>
      <c r="AI116" s="2105">
        <f t="shared" si="90"/>
        <v>16643.490000000002</v>
      </c>
      <c r="AJ116" s="2098"/>
      <c r="AK116" s="2099"/>
      <c r="AL116" s="2099"/>
      <c r="AM116" s="2099"/>
      <c r="AN116" s="2099"/>
      <c r="AO116" s="2106">
        <f t="shared" si="91"/>
        <v>0</v>
      </c>
      <c r="AP116" s="2101">
        <v>609.32000000000005</v>
      </c>
      <c r="AQ116" s="2102">
        <v>152.33000000000001</v>
      </c>
      <c r="AR116" s="2102">
        <v>0</v>
      </c>
      <c r="AS116" s="2102">
        <v>0</v>
      </c>
      <c r="AT116" s="2102">
        <v>0</v>
      </c>
      <c r="AU116" s="2106">
        <f t="shared" si="92"/>
        <v>761.65000000000009</v>
      </c>
      <c r="AV116" s="2107">
        <v>80</v>
      </c>
      <c r="AW116" s="2108">
        <v>20</v>
      </c>
      <c r="AX116" s="2108">
        <v>0</v>
      </c>
      <c r="AY116" s="2108">
        <v>0</v>
      </c>
      <c r="AZ116" s="2109">
        <v>0</v>
      </c>
      <c r="BA116" s="2110">
        <f t="shared" si="93"/>
        <v>100</v>
      </c>
      <c r="BB116" s="2119"/>
      <c r="BC116" s="2120"/>
      <c r="BD116" s="2120"/>
      <c r="BE116" s="2120"/>
      <c r="BF116" s="2120"/>
      <c r="BG116" s="2114">
        <f t="shared" si="94"/>
        <v>0</v>
      </c>
      <c r="BH116" s="2103">
        <v>11173.84</v>
      </c>
      <c r="BI116" s="2104">
        <v>1415.35</v>
      </c>
      <c r="BJ116" s="2104">
        <v>2309.27</v>
      </c>
      <c r="BK116" s="2104">
        <v>-0.01</v>
      </c>
      <c r="BL116" s="2104">
        <v>0</v>
      </c>
      <c r="BM116" s="2117">
        <f t="shared" si="95"/>
        <v>14898.45</v>
      </c>
      <c r="BN116" s="2103"/>
      <c r="BO116" s="2104"/>
      <c r="BP116" s="2104"/>
      <c r="BQ116" s="2104"/>
      <c r="BR116" s="2104"/>
      <c r="BS116" s="2105">
        <f t="shared" si="96"/>
        <v>0</v>
      </c>
      <c r="BT116" s="2103">
        <v>26562.701051677592</v>
      </c>
      <c r="BU116" s="2104">
        <v>157041.18894832241</v>
      </c>
      <c r="BV116" s="2104">
        <v>33678.839999999997</v>
      </c>
      <c r="BW116" s="2104">
        <v>-0.11</v>
      </c>
      <c r="BX116" s="2104">
        <v>0</v>
      </c>
      <c r="BY116" s="2105">
        <f t="shared" si="97"/>
        <v>217282.62000000002</v>
      </c>
      <c r="BZ116" s="2103">
        <v>22.53</v>
      </c>
      <c r="CA116" s="2104">
        <v>0</v>
      </c>
      <c r="CB116" s="2104">
        <v>20.79</v>
      </c>
      <c r="CC116" s="2104">
        <v>0</v>
      </c>
      <c r="CD116" s="2104">
        <v>0</v>
      </c>
      <c r="CE116" s="2105">
        <f t="shared" si="98"/>
        <v>43.32</v>
      </c>
      <c r="CF116" s="2115">
        <v>0.32</v>
      </c>
      <c r="CG116" s="2116">
        <v>0</v>
      </c>
      <c r="CH116" s="2116">
        <v>0.6</v>
      </c>
      <c r="CI116" s="2116">
        <v>0</v>
      </c>
      <c r="CJ116" s="2116">
        <v>0</v>
      </c>
      <c r="CK116" s="2117">
        <f t="shared" si="99"/>
        <v>0.91999999999999993</v>
      </c>
      <c r="CL116" s="2103"/>
      <c r="CM116" s="2104"/>
      <c r="CN116" s="2104"/>
      <c r="CO116" s="2104"/>
      <c r="CP116" s="2104"/>
      <c r="CQ116" s="2105">
        <f t="shared" si="100"/>
        <v>0</v>
      </c>
      <c r="CR116" s="2103">
        <v>-318.33999999999997</v>
      </c>
      <c r="CS116" s="2104">
        <v>-318.33999999999997</v>
      </c>
      <c r="CT116" s="2104">
        <v>0</v>
      </c>
      <c r="CU116" s="2104">
        <v>0.01</v>
      </c>
      <c r="CV116" s="2104">
        <v>0</v>
      </c>
      <c r="CW116" s="2117">
        <f t="shared" si="101"/>
        <v>-636.66999999999996</v>
      </c>
      <c r="CX116" s="2103"/>
      <c r="CY116" s="2104"/>
      <c r="CZ116" s="2104"/>
      <c r="DA116" s="2104"/>
      <c r="DB116" s="2104"/>
      <c r="DC116" s="2105">
        <f t="shared" si="102"/>
        <v>0</v>
      </c>
      <c r="DD116" s="2103"/>
      <c r="DE116" s="2104"/>
      <c r="DF116" s="2104"/>
      <c r="DG116" s="2104"/>
      <c r="DH116" s="2104"/>
      <c r="DI116" s="2105">
        <f t="shared" si="103"/>
        <v>0</v>
      </c>
      <c r="DJ116" s="2103"/>
      <c r="DK116" s="2104"/>
      <c r="DL116" s="2104"/>
      <c r="DM116" s="2104"/>
      <c r="DN116" s="2104"/>
      <c r="DO116" s="2105">
        <f t="shared" si="104"/>
        <v>0</v>
      </c>
      <c r="DP116" s="2103"/>
      <c r="DQ116" s="2104"/>
      <c r="DR116" s="2104"/>
      <c r="DS116" s="2104"/>
      <c r="DT116" s="2104"/>
      <c r="DU116" s="2118">
        <f t="shared" si="105"/>
        <v>0</v>
      </c>
      <c r="DV116" s="2103">
        <v>11269.16</v>
      </c>
      <c r="DW116" s="2104">
        <v>0</v>
      </c>
      <c r="DX116" s="2104">
        <v>2067.1</v>
      </c>
      <c r="DY116" s="2104">
        <v>7.0000000000000007E-2</v>
      </c>
      <c r="DZ116" s="2104">
        <v>0</v>
      </c>
      <c r="EA116" s="2105">
        <f t="shared" si="106"/>
        <v>13336.33</v>
      </c>
    </row>
    <row r="117" spans="1:131" s="2049" customFormat="1" ht="15" customHeight="1" x14ac:dyDescent="0.25">
      <c r="A117" s="2089" t="s">
        <v>180</v>
      </c>
      <c r="B117" s="2090" t="s">
        <v>181</v>
      </c>
      <c r="C117" s="2091" t="s">
        <v>264</v>
      </c>
      <c r="D117" s="2092">
        <f t="shared" si="79"/>
        <v>206383.69877948414</v>
      </c>
      <c r="E117" s="2093">
        <f t="shared" si="80"/>
        <v>116259.65122051587</v>
      </c>
      <c r="F117" s="2093">
        <f t="shared" si="81"/>
        <v>60080.21</v>
      </c>
      <c r="G117" s="2093">
        <f t="shared" si="82"/>
        <v>-0.19</v>
      </c>
      <c r="H117" s="2093">
        <f t="shared" si="83"/>
        <v>0</v>
      </c>
      <c r="I117" s="2093">
        <f t="shared" si="84"/>
        <v>382723.37</v>
      </c>
      <c r="J117" s="2093">
        <f t="shared" si="85"/>
        <v>-0.19</v>
      </c>
      <c r="K117" s="2094">
        <f t="shared" si="86"/>
        <v>60080.02</v>
      </c>
      <c r="L117" s="2095"/>
      <c r="M117" s="2096"/>
      <c r="N117" s="2096"/>
      <c r="O117" s="2096"/>
      <c r="P117" s="2096"/>
      <c r="Q117" s="2097">
        <f t="shared" si="87"/>
        <v>0</v>
      </c>
      <c r="R117" s="2098"/>
      <c r="S117" s="2099"/>
      <c r="T117" s="2099"/>
      <c r="U117" s="2099"/>
      <c r="V117" s="2099"/>
      <c r="W117" s="2100">
        <f t="shared" si="88"/>
        <v>0</v>
      </c>
      <c r="X117" s="2101">
        <v>32347.55</v>
      </c>
      <c r="Y117" s="2102">
        <v>192.54</v>
      </c>
      <c r="Z117" s="2102">
        <v>5968.9</v>
      </c>
      <c r="AA117" s="2102">
        <v>0</v>
      </c>
      <c r="AB117" s="2102">
        <v>0</v>
      </c>
      <c r="AC117" s="2100">
        <f t="shared" si="89"/>
        <v>38508.99</v>
      </c>
      <c r="AD117" s="2103">
        <v>48003.73</v>
      </c>
      <c r="AE117" s="2104">
        <v>0</v>
      </c>
      <c r="AF117" s="2104">
        <v>12000.95</v>
      </c>
      <c r="AG117" s="2104">
        <v>0</v>
      </c>
      <c r="AH117" s="2104">
        <v>0</v>
      </c>
      <c r="AI117" s="2105">
        <f t="shared" si="90"/>
        <v>60004.680000000008</v>
      </c>
      <c r="AJ117" s="2101">
        <v>16759.02</v>
      </c>
      <c r="AK117" s="2102">
        <v>3985.92</v>
      </c>
      <c r="AL117" s="2102">
        <v>3805.31</v>
      </c>
      <c r="AM117" s="2102">
        <v>-7.0000000000000007E-2</v>
      </c>
      <c r="AN117" s="2102">
        <v>0</v>
      </c>
      <c r="AO117" s="2106">
        <f t="shared" si="91"/>
        <v>24550.180000000004</v>
      </c>
      <c r="AP117" s="2101">
        <v>5200.4399999999996</v>
      </c>
      <c r="AQ117" s="2102">
        <v>1300.1099999999999</v>
      </c>
      <c r="AR117" s="2102">
        <v>0</v>
      </c>
      <c r="AS117" s="2102">
        <v>0</v>
      </c>
      <c r="AT117" s="2102">
        <v>0</v>
      </c>
      <c r="AU117" s="2106">
        <f t="shared" si="92"/>
        <v>6500.5499999999993</v>
      </c>
      <c r="AV117" s="2107">
        <v>4103.95</v>
      </c>
      <c r="AW117" s="2108">
        <v>1025.98</v>
      </c>
      <c r="AX117" s="2108">
        <v>0</v>
      </c>
      <c r="AY117" s="2108">
        <v>0</v>
      </c>
      <c r="AZ117" s="2109">
        <v>0</v>
      </c>
      <c r="BA117" s="2110">
        <f t="shared" si="93"/>
        <v>5129.93</v>
      </c>
      <c r="BB117" s="2111">
        <v>327.89</v>
      </c>
      <c r="BC117" s="2112">
        <v>592.11</v>
      </c>
      <c r="BD117" s="2112">
        <v>0</v>
      </c>
      <c r="BE117" s="2112">
        <v>0</v>
      </c>
      <c r="BF117" s="2113">
        <v>0</v>
      </c>
      <c r="BG117" s="2114">
        <f t="shared" si="94"/>
        <v>920</v>
      </c>
      <c r="BH117" s="2103">
        <v>47066.18</v>
      </c>
      <c r="BI117" s="2104">
        <v>5961.73</v>
      </c>
      <c r="BJ117" s="2104">
        <v>9727.0300000000007</v>
      </c>
      <c r="BK117" s="2104">
        <v>-0.05</v>
      </c>
      <c r="BL117" s="2104">
        <v>0</v>
      </c>
      <c r="BM117" s="2117">
        <f t="shared" si="95"/>
        <v>62754.89</v>
      </c>
      <c r="BN117" s="2103"/>
      <c r="BO117" s="2104"/>
      <c r="BP117" s="2104"/>
      <c r="BQ117" s="2104"/>
      <c r="BR117" s="2104"/>
      <c r="BS117" s="2105">
        <f t="shared" si="96"/>
        <v>0</v>
      </c>
      <c r="BT117" s="2103">
        <v>36273.828779484131</v>
      </c>
      <c r="BU117" s="2104">
        <v>97271.401220515865</v>
      </c>
      <c r="BV117" s="2104">
        <v>24496.5</v>
      </c>
      <c r="BW117" s="2104">
        <v>-0.14000000000000001</v>
      </c>
      <c r="BX117" s="2104">
        <v>0</v>
      </c>
      <c r="BY117" s="2105">
        <f t="shared" si="97"/>
        <v>158041.58999999997</v>
      </c>
      <c r="BZ117" s="2103"/>
      <c r="CA117" s="2104"/>
      <c r="CB117" s="2104"/>
      <c r="CC117" s="2104"/>
      <c r="CD117" s="2104"/>
      <c r="CE117" s="2105">
        <f t="shared" si="98"/>
        <v>0</v>
      </c>
      <c r="CF117" s="2103"/>
      <c r="CG117" s="2104"/>
      <c r="CH117" s="2104"/>
      <c r="CI117" s="2104"/>
      <c r="CJ117" s="2104"/>
      <c r="CK117" s="2117">
        <f t="shared" si="99"/>
        <v>0</v>
      </c>
      <c r="CL117" s="2103"/>
      <c r="CM117" s="2104"/>
      <c r="CN117" s="2104"/>
      <c r="CO117" s="2104"/>
      <c r="CP117" s="2104"/>
      <c r="CQ117" s="2105">
        <f t="shared" si="100"/>
        <v>0</v>
      </c>
      <c r="CR117" s="2115"/>
      <c r="CS117" s="2116"/>
      <c r="CT117" s="2116"/>
      <c r="CU117" s="2116"/>
      <c r="CV117" s="2116"/>
      <c r="CW117" s="2117">
        <f t="shared" si="101"/>
        <v>0</v>
      </c>
      <c r="CX117" s="2103"/>
      <c r="CY117" s="2104"/>
      <c r="CZ117" s="2104"/>
      <c r="DA117" s="2104"/>
      <c r="DB117" s="2104"/>
      <c r="DC117" s="2105">
        <f t="shared" si="102"/>
        <v>0</v>
      </c>
      <c r="DD117" s="2103">
        <v>-20</v>
      </c>
      <c r="DE117" s="2104">
        <v>0</v>
      </c>
      <c r="DF117" s="2104">
        <v>0</v>
      </c>
      <c r="DG117" s="2104">
        <v>0</v>
      </c>
      <c r="DH117" s="2104">
        <v>0</v>
      </c>
      <c r="DI117" s="2105">
        <f t="shared" si="103"/>
        <v>-20</v>
      </c>
      <c r="DJ117" s="2103"/>
      <c r="DK117" s="2104"/>
      <c r="DL117" s="2104"/>
      <c r="DM117" s="2104"/>
      <c r="DN117" s="2104"/>
      <c r="DO117" s="2105">
        <f t="shared" si="104"/>
        <v>0</v>
      </c>
      <c r="DP117" s="2103">
        <v>8594</v>
      </c>
      <c r="DQ117" s="2104">
        <v>5929.86</v>
      </c>
      <c r="DR117" s="2104">
        <v>2664.14</v>
      </c>
      <c r="DS117" s="2104">
        <v>0</v>
      </c>
      <c r="DT117" s="2104">
        <v>0</v>
      </c>
      <c r="DU117" s="2118">
        <f t="shared" si="105"/>
        <v>17188</v>
      </c>
      <c r="DV117" s="2103">
        <v>7727.11</v>
      </c>
      <c r="DW117" s="2104">
        <v>0</v>
      </c>
      <c r="DX117" s="2104">
        <v>1417.38</v>
      </c>
      <c r="DY117" s="2104">
        <v>7.0000000000000007E-2</v>
      </c>
      <c r="DZ117" s="2104">
        <v>0</v>
      </c>
      <c r="EA117" s="2105">
        <f t="shared" si="106"/>
        <v>9144.56</v>
      </c>
    </row>
    <row r="118" spans="1:131" s="2049" customFormat="1" ht="15" customHeight="1" x14ac:dyDescent="0.25">
      <c r="A118" s="2089" t="s">
        <v>192</v>
      </c>
      <c r="B118" s="2090" t="s">
        <v>193</v>
      </c>
      <c r="C118" s="2091" t="s">
        <v>268</v>
      </c>
      <c r="D118" s="2092">
        <f t="shared" si="79"/>
        <v>12910.90800669069</v>
      </c>
      <c r="E118" s="2093">
        <f t="shared" si="80"/>
        <v>11281.031993309311</v>
      </c>
      <c r="F118" s="2093">
        <f t="shared" si="81"/>
        <v>3729.18</v>
      </c>
      <c r="G118" s="2093">
        <f t="shared" si="82"/>
        <v>1387.48</v>
      </c>
      <c r="H118" s="2093">
        <f t="shared" si="83"/>
        <v>184.24</v>
      </c>
      <c r="I118" s="2093">
        <f t="shared" si="84"/>
        <v>29492.840000000004</v>
      </c>
      <c r="J118" s="2093">
        <f t="shared" si="85"/>
        <v>1571.72</v>
      </c>
      <c r="K118" s="2094">
        <f t="shared" si="86"/>
        <v>5300.9</v>
      </c>
      <c r="L118" s="2095"/>
      <c r="M118" s="2096"/>
      <c r="N118" s="2096"/>
      <c r="O118" s="2096"/>
      <c r="P118" s="2096"/>
      <c r="Q118" s="2097">
        <f t="shared" si="87"/>
        <v>0</v>
      </c>
      <c r="R118" s="2101">
        <v>0</v>
      </c>
      <c r="S118" s="2102">
        <v>0</v>
      </c>
      <c r="T118" s="2102">
        <v>0</v>
      </c>
      <c r="U118" s="2102">
        <v>1387.5</v>
      </c>
      <c r="V118" s="2102">
        <v>0</v>
      </c>
      <c r="W118" s="2100">
        <f t="shared" si="88"/>
        <v>1387.5</v>
      </c>
      <c r="X118" s="2101">
        <v>1690.08</v>
      </c>
      <c r="Y118" s="2102">
        <v>10.06</v>
      </c>
      <c r="Z118" s="2102">
        <v>311.86</v>
      </c>
      <c r="AA118" s="2102">
        <v>0</v>
      </c>
      <c r="AB118" s="2102">
        <v>0</v>
      </c>
      <c r="AC118" s="2100">
        <f t="shared" si="89"/>
        <v>2012</v>
      </c>
      <c r="AD118" s="2103">
        <v>1197.02</v>
      </c>
      <c r="AE118" s="2104">
        <v>0</v>
      </c>
      <c r="AF118" s="2104">
        <v>299.24</v>
      </c>
      <c r="AG118" s="2104">
        <v>0</v>
      </c>
      <c r="AH118" s="2104">
        <v>0</v>
      </c>
      <c r="AI118" s="2105">
        <f t="shared" si="90"/>
        <v>1496.26</v>
      </c>
      <c r="AJ118" s="2098"/>
      <c r="AK118" s="2099"/>
      <c r="AL118" s="2099"/>
      <c r="AM118" s="2099"/>
      <c r="AN118" s="2099"/>
      <c r="AO118" s="2106">
        <f t="shared" si="91"/>
        <v>0</v>
      </c>
      <c r="AP118" s="2101">
        <v>621.02</v>
      </c>
      <c r="AQ118" s="2102">
        <v>155.25</v>
      </c>
      <c r="AR118" s="2102">
        <v>0</v>
      </c>
      <c r="AS118" s="2102">
        <v>0</v>
      </c>
      <c r="AT118" s="2102">
        <v>0</v>
      </c>
      <c r="AU118" s="2106">
        <f t="shared" si="92"/>
        <v>776.27</v>
      </c>
      <c r="AV118" s="2124">
        <v>2815.99</v>
      </c>
      <c r="AW118" s="2125">
        <v>704.01</v>
      </c>
      <c r="AX118" s="2125">
        <v>0</v>
      </c>
      <c r="AY118" s="2125">
        <v>0</v>
      </c>
      <c r="AZ118" s="2126">
        <v>0</v>
      </c>
      <c r="BA118" s="2110">
        <f t="shared" si="93"/>
        <v>3520</v>
      </c>
      <c r="BB118" s="2119"/>
      <c r="BC118" s="2120"/>
      <c r="BD118" s="2120"/>
      <c r="BE118" s="2120"/>
      <c r="BF118" s="2120"/>
      <c r="BG118" s="2114">
        <f t="shared" si="94"/>
        <v>0</v>
      </c>
      <c r="BH118" s="2103"/>
      <c r="BI118" s="2104"/>
      <c r="BJ118" s="2104"/>
      <c r="BK118" s="2104"/>
      <c r="BL118" s="2104"/>
      <c r="BM118" s="2117">
        <f t="shared" si="95"/>
        <v>0</v>
      </c>
      <c r="BN118" s="2103"/>
      <c r="BO118" s="2104"/>
      <c r="BP118" s="2104"/>
      <c r="BQ118" s="2104"/>
      <c r="BR118" s="2104"/>
      <c r="BS118" s="2105">
        <f t="shared" si="96"/>
        <v>0</v>
      </c>
      <c r="BT118" s="2103">
        <v>1264.928006690689</v>
      </c>
      <c r="BU118" s="2104">
        <v>7565.4619933093109</v>
      </c>
      <c r="BV118" s="2104">
        <v>1619.79</v>
      </c>
      <c r="BW118" s="2104">
        <v>-0.04</v>
      </c>
      <c r="BX118" s="2104">
        <v>0</v>
      </c>
      <c r="BY118" s="2105">
        <f t="shared" si="97"/>
        <v>10450.14</v>
      </c>
      <c r="BZ118" s="2115"/>
      <c r="CA118" s="2116"/>
      <c r="CB118" s="2116"/>
      <c r="CC118" s="2116"/>
      <c r="CD118" s="2116"/>
      <c r="CE118" s="2105">
        <f t="shared" si="98"/>
        <v>0</v>
      </c>
      <c r="CF118" s="2115"/>
      <c r="CG118" s="2116"/>
      <c r="CH118" s="2116"/>
      <c r="CI118" s="2116"/>
      <c r="CJ118" s="2116"/>
      <c r="CK118" s="2117">
        <f t="shared" si="99"/>
        <v>0</v>
      </c>
      <c r="CL118" s="2103"/>
      <c r="CM118" s="2104"/>
      <c r="CN118" s="2104"/>
      <c r="CO118" s="2104"/>
      <c r="CP118" s="2104"/>
      <c r="CQ118" s="2105">
        <f t="shared" si="100"/>
        <v>0</v>
      </c>
      <c r="CR118" s="2115"/>
      <c r="CS118" s="2116"/>
      <c r="CT118" s="2116"/>
      <c r="CU118" s="2116"/>
      <c r="CV118" s="2116"/>
      <c r="CW118" s="2117">
        <f t="shared" si="101"/>
        <v>0</v>
      </c>
      <c r="CX118" s="2103"/>
      <c r="CY118" s="2104"/>
      <c r="CZ118" s="2104"/>
      <c r="DA118" s="2104"/>
      <c r="DB118" s="2104"/>
      <c r="DC118" s="2105">
        <f t="shared" si="102"/>
        <v>0</v>
      </c>
      <c r="DD118" s="2103"/>
      <c r="DE118" s="2104"/>
      <c r="DF118" s="2104"/>
      <c r="DG118" s="2104"/>
      <c r="DH118" s="2104"/>
      <c r="DI118" s="2105">
        <f t="shared" si="103"/>
        <v>0</v>
      </c>
      <c r="DJ118" s="2103"/>
      <c r="DK118" s="2104"/>
      <c r="DL118" s="2104"/>
      <c r="DM118" s="2104"/>
      <c r="DN118" s="2104"/>
      <c r="DO118" s="2105">
        <f t="shared" si="104"/>
        <v>0</v>
      </c>
      <c r="DP118" s="2103">
        <v>4125</v>
      </c>
      <c r="DQ118" s="2104">
        <v>2846.25</v>
      </c>
      <c r="DR118" s="2104">
        <v>1278.75</v>
      </c>
      <c r="DS118" s="2104">
        <v>0</v>
      </c>
      <c r="DT118" s="2104">
        <v>0</v>
      </c>
      <c r="DU118" s="2118">
        <f t="shared" si="105"/>
        <v>8250</v>
      </c>
      <c r="DV118" s="2103">
        <v>1196.8699999999999</v>
      </c>
      <c r="DW118" s="2104">
        <v>0</v>
      </c>
      <c r="DX118" s="2104">
        <v>219.54</v>
      </c>
      <c r="DY118" s="2104">
        <v>0.02</v>
      </c>
      <c r="DZ118" s="2104">
        <v>184.24</v>
      </c>
      <c r="EA118" s="2105">
        <f t="shared" si="106"/>
        <v>1600.6699999999998</v>
      </c>
    </row>
    <row r="119" spans="1:131" s="2049" customFormat="1" ht="15" customHeight="1" x14ac:dyDescent="0.25">
      <c r="A119" s="2089" t="s">
        <v>196</v>
      </c>
      <c r="B119" s="2090" t="s">
        <v>312</v>
      </c>
      <c r="C119" s="2091" t="s">
        <v>266</v>
      </c>
      <c r="D119" s="2092">
        <f t="shared" si="79"/>
        <v>561955.50919488131</v>
      </c>
      <c r="E119" s="2093">
        <f t="shared" si="80"/>
        <v>116486.4508051187</v>
      </c>
      <c r="F119" s="2093">
        <f t="shared" si="81"/>
        <v>142860.92000000001</v>
      </c>
      <c r="G119" s="2093">
        <f t="shared" si="82"/>
        <v>-0.41000000000000003</v>
      </c>
      <c r="H119" s="2093">
        <f t="shared" si="83"/>
        <v>998.22</v>
      </c>
      <c r="I119" s="2093">
        <f t="shared" si="84"/>
        <v>822300.69</v>
      </c>
      <c r="J119" s="2093">
        <f t="shared" si="85"/>
        <v>997.81000000000006</v>
      </c>
      <c r="K119" s="2094">
        <f t="shared" si="86"/>
        <v>143858.73000000001</v>
      </c>
      <c r="L119" s="2095"/>
      <c r="M119" s="2096"/>
      <c r="N119" s="2096"/>
      <c r="O119" s="2096"/>
      <c r="P119" s="2096"/>
      <c r="Q119" s="2097">
        <f t="shared" si="87"/>
        <v>0</v>
      </c>
      <c r="R119" s="2101"/>
      <c r="S119" s="2102"/>
      <c r="T119" s="2102"/>
      <c r="U119" s="2102"/>
      <c r="V119" s="2102"/>
      <c r="W119" s="2100">
        <f t="shared" si="88"/>
        <v>0</v>
      </c>
      <c r="X119" s="2101">
        <v>55617.25</v>
      </c>
      <c r="Y119" s="2102">
        <v>331.05</v>
      </c>
      <c r="Z119" s="2102">
        <v>10262.700000000001</v>
      </c>
      <c r="AA119" s="2102">
        <v>-0.01</v>
      </c>
      <c r="AB119" s="2102">
        <v>0</v>
      </c>
      <c r="AC119" s="2100">
        <f t="shared" si="89"/>
        <v>66210.990000000005</v>
      </c>
      <c r="AD119" s="2103">
        <v>267812.26</v>
      </c>
      <c r="AE119" s="2104">
        <v>0</v>
      </c>
      <c r="AF119" s="2104">
        <v>66953.06</v>
      </c>
      <c r="AG119" s="2104">
        <v>0</v>
      </c>
      <c r="AH119" s="2104">
        <v>0</v>
      </c>
      <c r="AI119" s="2105">
        <f t="shared" si="90"/>
        <v>334765.32</v>
      </c>
      <c r="AJ119" s="2101">
        <v>5833.94</v>
      </c>
      <c r="AK119" s="2102">
        <v>3114.3</v>
      </c>
      <c r="AL119" s="2102">
        <v>1641.42</v>
      </c>
      <c r="AM119" s="2102">
        <v>-0.03</v>
      </c>
      <c r="AN119" s="2102">
        <v>0</v>
      </c>
      <c r="AO119" s="2106">
        <f t="shared" si="91"/>
        <v>10589.63</v>
      </c>
      <c r="AP119" s="2101">
        <v>29529.97</v>
      </c>
      <c r="AQ119" s="2102">
        <v>7382.49</v>
      </c>
      <c r="AR119" s="2102">
        <v>0</v>
      </c>
      <c r="AS119" s="2102">
        <v>0</v>
      </c>
      <c r="AT119" s="2102">
        <v>0</v>
      </c>
      <c r="AU119" s="2106">
        <f t="shared" si="92"/>
        <v>36912.46</v>
      </c>
      <c r="AV119" s="2107">
        <v>26435.51</v>
      </c>
      <c r="AW119" s="2108">
        <v>6608.88</v>
      </c>
      <c r="AX119" s="2108">
        <v>0</v>
      </c>
      <c r="AY119" s="2108">
        <v>0</v>
      </c>
      <c r="AZ119" s="2109">
        <v>0</v>
      </c>
      <c r="BA119" s="2110">
        <f t="shared" si="93"/>
        <v>33044.39</v>
      </c>
      <c r="BB119" s="2111">
        <v>1104.8399999999999</v>
      </c>
      <c r="BC119" s="2112">
        <v>1995.16</v>
      </c>
      <c r="BD119" s="2112">
        <v>0</v>
      </c>
      <c r="BE119" s="2112">
        <v>0</v>
      </c>
      <c r="BF119" s="2113">
        <v>0</v>
      </c>
      <c r="BG119" s="2114">
        <f t="shared" si="94"/>
        <v>3100</v>
      </c>
      <c r="BH119" s="2103">
        <v>116238.8</v>
      </c>
      <c r="BI119" s="2104">
        <v>14723.62</v>
      </c>
      <c r="BJ119" s="2104">
        <v>24022.69</v>
      </c>
      <c r="BK119" s="2104">
        <v>-0.11</v>
      </c>
      <c r="BL119" s="2104">
        <v>998.22</v>
      </c>
      <c r="BM119" s="2117">
        <f t="shared" si="95"/>
        <v>155983.22</v>
      </c>
      <c r="BN119" s="2103"/>
      <c r="BO119" s="2104"/>
      <c r="BP119" s="2104"/>
      <c r="BQ119" s="2104"/>
      <c r="BR119" s="2104"/>
      <c r="BS119" s="2105">
        <f t="shared" si="96"/>
        <v>0</v>
      </c>
      <c r="BT119" s="2103">
        <v>12056.6591948813</v>
      </c>
      <c r="BU119" s="2104">
        <v>69065.760805118698</v>
      </c>
      <c r="BV119" s="2104">
        <v>14880.54</v>
      </c>
      <c r="BW119" s="2104">
        <v>-0.25</v>
      </c>
      <c r="BX119" s="2104">
        <v>0</v>
      </c>
      <c r="BY119" s="2105">
        <f t="shared" si="97"/>
        <v>96002.709999999992</v>
      </c>
      <c r="BZ119" s="2103">
        <v>15356.15</v>
      </c>
      <c r="CA119" s="2104">
        <v>0</v>
      </c>
      <c r="CB119" s="2104">
        <v>14180.59</v>
      </c>
      <c r="CC119" s="2104">
        <v>0</v>
      </c>
      <c r="CD119" s="2104">
        <v>0</v>
      </c>
      <c r="CE119" s="2105">
        <f t="shared" si="98"/>
        <v>29536.739999999998</v>
      </c>
      <c r="CF119" s="2115"/>
      <c r="CG119" s="2116"/>
      <c r="CH119" s="2116"/>
      <c r="CI119" s="2116"/>
      <c r="CJ119" s="2116"/>
      <c r="CK119" s="2117">
        <f t="shared" si="99"/>
        <v>0</v>
      </c>
      <c r="CL119" s="2103"/>
      <c r="CM119" s="2104"/>
      <c r="CN119" s="2104"/>
      <c r="CO119" s="2104"/>
      <c r="CP119" s="2104"/>
      <c r="CQ119" s="2105">
        <f t="shared" si="100"/>
        <v>0</v>
      </c>
      <c r="CR119" s="2115"/>
      <c r="CS119" s="2116"/>
      <c r="CT119" s="2116"/>
      <c r="CU119" s="2116"/>
      <c r="CV119" s="2116"/>
      <c r="CW119" s="2117">
        <f t="shared" si="101"/>
        <v>0</v>
      </c>
      <c r="CX119" s="2103">
        <v>-7132.94</v>
      </c>
      <c r="CY119" s="2104">
        <v>-7132.94</v>
      </c>
      <c r="CZ119" s="2104">
        <v>0</v>
      </c>
      <c r="DA119" s="2104">
        <v>0</v>
      </c>
      <c r="DB119" s="2104">
        <v>0</v>
      </c>
      <c r="DC119" s="2105">
        <f t="shared" si="102"/>
        <v>-14265.88</v>
      </c>
      <c r="DD119" s="2103">
        <v>-30</v>
      </c>
      <c r="DE119" s="2104">
        <v>0</v>
      </c>
      <c r="DF119" s="2104">
        <v>0</v>
      </c>
      <c r="DG119" s="2104">
        <v>0</v>
      </c>
      <c r="DH119" s="2104">
        <v>0</v>
      </c>
      <c r="DI119" s="2105">
        <f t="shared" si="103"/>
        <v>-30</v>
      </c>
      <c r="DJ119" s="2103"/>
      <c r="DK119" s="2104"/>
      <c r="DL119" s="2104"/>
      <c r="DM119" s="2104"/>
      <c r="DN119" s="2104"/>
      <c r="DO119" s="2105">
        <f t="shared" si="104"/>
        <v>0</v>
      </c>
      <c r="DP119" s="2103">
        <v>29562.5</v>
      </c>
      <c r="DQ119" s="2104">
        <v>20398.13</v>
      </c>
      <c r="DR119" s="2104">
        <v>9164.3799999999992</v>
      </c>
      <c r="DS119" s="2104">
        <v>-0.01</v>
      </c>
      <c r="DT119" s="2104">
        <v>0</v>
      </c>
      <c r="DU119" s="2118">
        <f t="shared" si="105"/>
        <v>59125</v>
      </c>
      <c r="DV119" s="2103">
        <v>9570.57</v>
      </c>
      <c r="DW119" s="2104">
        <v>0</v>
      </c>
      <c r="DX119" s="2104">
        <v>1755.54</v>
      </c>
      <c r="DY119" s="2104">
        <v>0</v>
      </c>
      <c r="DZ119" s="2104">
        <v>0</v>
      </c>
      <c r="EA119" s="2105">
        <f t="shared" si="106"/>
        <v>11326.11</v>
      </c>
    </row>
    <row r="120" spans="1:131" s="2049" customFormat="1" ht="15" customHeight="1" x14ac:dyDescent="0.25">
      <c r="A120" s="2089" t="s">
        <v>200</v>
      </c>
      <c r="B120" s="2090" t="s">
        <v>313</v>
      </c>
      <c r="C120" s="2091" t="s">
        <v>265</v>
      </c>
      <c r="D120" s="2092">
        <f t="shared" si="79"/>
        <v>329552.44528876367</v>
      </c>
      <c r="E120" s="2093">
        <f t="shared" si="80"/>
        <v>269703.53471123619</v>
      </c>
      <c r="F120" s="2093">
        <f t="shared" si="81"/>
        <v>112339.15000000001</v>
      </c>
      <c r="G120" s="2093">
        <f t="shared" si="82"/>
        <v>-334.39</v>
      </c>
      <c r="H120" s="2093">
        <f t="shared" si="83"/>
        <v>1294.18</v>
      </c>
      <c r="I120" s="2093">
        <f t="shared" si="84"/>
        <v>712554.91999999993</v>
      </c>
      <c r="J120" s="2093">
        <f t="shared" si="85"/>
        <v>959.79000000000008</v>
      </c>
      <c r="K120" s="2094">
        <f t="shared" si="86"/>
        <v>113298.94</v>
      </c>
      <c r="L120" s="2095"/>
      <c r="M120" s="2096"/>
      <c r="N120" s="2096"/>
      <c r="O120" s="2096"/>
      <c r="P120" s="2096"/>
      <c r="Q120" s="2097">
        <f t="shared" si="87"/>
        <v>0</v>
      </c>
      <c r="R120" s="2098"/>
      <c r="S120" s="2099"/>
      <c r="T120" s="2099"/>
      <c r="U120" s="2099"/>
      <c r="V120" s="2099"/>
      <c r="W120" s="2100">
        <f t="shared" si="88"/>
        <v>0</v>
      </c>
      <c r="X120" s="2101">
        <v>36432.47</v>
      </c>
      <c r="Y120" s="2102">
        <v>216.85</v>
      </c>
      <c r="Z120" s="2102">
        <v>6722.67</v>
      </c>
      <c r="AA120" s="2102">
        <v>0.01</v>
      </c>
      <c r="AB120" s="2102">
        <v>1294.18</v>
      </c>
      <c r="AC120" s="2100">
        <f t="shared" si="89"/>
        <v>44666.18</v>
      </c>
      <c r="AD120" s="2103">
        <v>38212.559999999998</v>
      </c>
      <c r="AE120" s="2104">
        <v>0</v>
      </c>
      <c r="AF120" s="2104">
        <v>9553.14</v>
      </c>
      <c r="AG120" s="2104">
        <v>0</v>
      </c>
      <c r="AH120" s="2104">
        <v>0</v>
      </c>
      <c r="AI120" s="2105">
        <f t="shared" si="90"/>
        <v>47765.7</v>
      </c>
      <c r="AJ120" s="2101">
        <v>22645.38</v>
      </c>
      <c r="AK120" s="2102">
        <v>1999.27</v>
      </c>
      <c r="AL120" s="2102">
        <v>4520.6400000000003</v>
      </c>
      <c r="AM120" s="2102">
        <v>-0.06</v>
      </c>
      <c r="AN120" s="2102">
        <v>0</v>
      </c>
      <c r="AO120" s="2106">
        <f t="shared" si="91"/>
        <v>29165.23</v>
      </c>
      <c r="AP120" s="2101">
        <v>17727.97</v>
      </c>
      <c r="AQ120" s="2102">
        <v>4432</v>
      </c>
      <c r="AR120" s="2102">
        <v>0</v>
      </c>
      <c r="AS120" s="2102">
        <v>0</v>
      </c>
      <c r="AT120" s="2102">
        <v>0</v>
      </c>
      <c r="AU120" s="2106">
        <f t="shared" si="92"/>
        <v>22159.97</v>
      </c>
      <c r="AV120" s="2107">
        <v>26568.98</v>
      </c>
      <c r="AW120" s="2108">
        <v>6642.22</v>
      </c>
      <c r="AX120" s="2108">
        <v>0</v>
      </c>
      <c r="AY120" s="2108">
        <v>0</v>
      </c>
      <c r="AZ120" s="2109">
        <v>0</v>
      </c>
      <c r="BA120" s="2110">
        <f t="shared" si="93"/>
        <v>33211.199999999997</v>
      </c>
      <c r="BB120" s="2111">
        <v>2264.2800000000002</v>
      </c>
      <c r="BC120" s="2112">
        <v>4088.92</v>
      </c>
      <c r="BD120" s="2112">
        <v>0</v>
      </c>
      <c r="BE120" s="2112">
        <v>0</v>
      </c>
      <c r="BF120" s="2113">
        <v>0</v>
      </c>
      <c r="BG120" s="2114">
        <f t="shared" si="94"/>
        <v>6353.2000000000007</v>
      </c>
      <c r="BH120" s="2103">
        <v>99352.42</v>
      </c>
      <c r="BI120" s="2104">
        <v>12584.63</v>
      </c>
      <c r="BJ120" s="2104">
        <v>20532.849999999999</v>
      </c>
      <c r="BK120" s="2104">
        <v>-0.06</v>
      </c>
      <c r="BL120" s="2104">
        <v>0</v>
      </c>
      <c r="BM120" s="2117">
        <f t="shared" si="95"/>
        <v>132469.84</v>
      </c>
      <c r="BN120" s="2103">
        <v>-1366.22</v>
      </c>
      <c r="BO120" s="2104">
        <v>-1366.22</v>
      </c>
      <c r="BP120" s="2104">
        <v>0</v>
      </c>
      <c r="BQ120" s="2104">
        <v>0</v>
      </c>
      <c r="BR120" s="2104">
        <v>0</v>
      </c>
      <c r="BS120" s="2105">
        <f t="shared" si="96"/>
        <v>-2732.44</v>
      </c>
      <c r="BT120" s="2103">
        <v>52615.935288763721</v>
      </c>
      <c r="BU120" s="2104">
        <v>233848.90471123625</v>
      </c>
      <c r="BV120" s="2104">
        <v>52546.87</v>
      </c>
      <c r="BW120" s="2104">
        <v>-0.27</v>
      </c>
      <c r="BX120" s="2104">
        <v>0</v>
      </c>
      <c r="BY120" s="2105">
        <f t="shared" si="97"/>
        <v>339011.43999999994</v>
      </c>
      <c r="BZ120" s="2103">
        <v>13781.6</v>
      </c>
      <c r="CA120" s="2104">
        <v>0</v>
      </c>
      <c r="CB120" s="2104">
        <v>12726.6</v>
      </c>
      <c r="CC120" s="2104">
        <v>0</v>
      </c>
      <c r="CD120" s="2104">
        <v>0</v>
      </c>
      <c r="CE120" s="2105">
        <f t="shared" si="98"/>
        <v>26508.2</v>
      </c>
      <c r="CF120" s="2115"/>
      <c r="CG120" s="2116"/>
      <c r="CH120" s="2116"/>
      <c r="CI120" s="2116"/>
      <c r="CJ120" s="2116"/>
      <c r="CK120" s="2117">
        <f t="shared" si="99"/>
        <v>0</v>
      </c>
      <c r="CL120" s="2103">
        <v>-625</v>
      </c>
      <c r="CM120" s="2104">
        <v>0</v>
      </c>
      <c r="CN120" s="2104">
        <v>0</v>
      </c>
      <c r="CO120" s="2104">
        <v>0</v>
      </c>
      <c r="CP120" s="2104">
        <v>0</v>
      </c>
      <c r="CQ120" s="2105">
        <f t="shared" si="100"/>
        <v>-625</v>
      </c>
      <c r="CR120" s="2103">
        <v>-55.27</v>
      </c>
      <c r="CS120" s="2104">
        <v>-55.27</v>
      </c>
      <c r="CT120" s="2104">
        <v>0</v>
      </c>
      <c r="CU120" s="2104">
        <v>0</v>
      </c>
      <c r="CV120" s="2104">
        <v>0</v>
      </c>
      <c r="CW120" s="2117">
        <f t="shared" si="101"/>
        <v>-110.54</v>
      </c>
      <c r="CX120" s="2103">
        <v>-981.54</v>
      </c>
      <c r="CY120" s="2104">
        <v>-981.54</v>
      </c>
      <c r="CZ120" s="2104">
        <v>0</v>
      </c>
      <c r="DA120" s="2104">
        <v>0</v>
      </c>
      <c r="DB120" s="2104">
        <v>0</v>
      </c>
      <c r="DC120" s="2105">
        <f t="shared" si="102"/>
        <v>-1963.08</v>
      </c>
      <c r="DD120" s="2103"/>
      <c r="DE120" s="2104"/>
      <c r="DF120" s="2104"/>
      <c r="DG120" s="2104"/>
      <c r="DH120" s="2104"/>
      <c r="DI120" s="2105">
        <f t="shared" si="103"/>
        <v>0</v>
      </c>
      <c r="DJ120" s="2103"/>
      <c r="DK120" s="2104"/>
      <c r="DL120" s="2104"/>
      <c r="DM120" s="2104"/>
      <c r="DN120" s="2104"/>
      <c r="DO120" s="2105">
        <f t="shared" si="104"/>
        <v>0</v>
      </c>
      <c r="DP120" s="2103">
        <v>12019.98</v>
      </c>
      <c r="DQ120" s="2104">
        <v>8293.77</v>
      </c>
      <c r="DR120" s="2104">
        <v>3726.18</v>
      </c>
      <c r="DS120" s="2104">
        <v>-0.02</v>
      </c>
      <c r="DT120" s="2104">
        <v>0</v>
      </c>
      <c r="DU120" s="2118">
        <f t="shared" si="105"/>
        <v>24039.91</v>
      </c>
      <c r="DV120" s="2103">
        <v>10958.9</v>
      </c>
      <c r="DW120" s="2104">
        <v>0</v>
      </c>
      <c r="DX120" s="2104">
        <v>2010.2</v>
      </c>
      <c r="DY120" s="2104">
        <v>-333.99</v>
      </c>
      <c r="DZ120" s="2104">
        <v>0</v>
      </c>
      <c r="EA120" s="2105">
        <f t="shared" si="106"/>
        <v>12635.11</v>
      </c>
    </row>
    <row r="121" spans="1:131" s="2049" customFormat="1" ht="15" customHeight="1" x14ac:dyDescent="0.25">
      <c r="A121" s="2089" t="s">
        <v>222</v>
      </c>
      <c r="B121" s="2090" t="s">
        <v>223</v>
      </c>
      <c r="C121" s="2091" t="s">
        <v>264</v>
      </c>
      <c r="D121" s="2092">
        <f t="shared" si="79"/>
        <v>201200.09438073036</v>
      </c>
      <c r="E121" s="2093">
        <f t="shared" si="80"/>
        <v>34685.355619269627</v>
      </c>
      <c r="F121" s="2093">
        <f t="shared" si="81"/>
        <v>62268.299999999996</v>
      </c>
      <c r="G121" s="2093">
        <f t="shared" si="82"/>
        <v>-0.11</v>
      </c>
      <c r="H121" s="2093">
        <f t="shared" si="83"/>
        <v>51217.4</v>
      </c>
      <c r="I121" s="2093">
        <f t="shared" si="84"/>
        <v>349371.04000000004</v>
      </c>
      <c r="J121" s="2093">
        <f t="shared" si="85"/>
        <v>51217.29</v>
      </c>
      <c r="K121" s="2094">
        <f t="shared" si="86"/>
        <v>113485.59</v>
      </c>
      <c r="L121" s="2095"/>
      <c r="M121" s="2096"/>
      <c r="N121" s="2096"/>
      <c r="O121" s="2096"/>
      <c r="P121" s="2096"/>
      <c r="Q121" s="2097">
        <f t="shared" si="87"/>
        <v>0</v>
      </c>
      <c r="R121" s="2101">
        <v>0</v>
      </c>
      <c r="S121" s="2102">
        <v>0</v>
      </c>
      <c r="T121" s="2102">
        <v>0</v>
      </c>
      <c r="U121" s="2102">
        <v>0</v>
      </c>
      <c r="V121" s="2102">
        <v>51217.4</v>
      </c>
      <c r="W121" s="2100">
        <f t="shared" si="88"/>
        <v>51217.4</v>
      </c>
      <c r="X121" s="2101">
        <v>17542.560000000001</v>
      </c>
      <c r="Y121" s="2102">
        <v>104.42</v>
      </c>
      <c r="Z121" s="2102">
        <v>3237.02</v>
      </c>
      <c r="AA121" s="2102">
        <v>0</v>
      </c>
      <c r="AB121" s="2102">
        <v>0</v>
      </c>
      <c r="AC121" s="2100">
        <f t="shared" si="89"/>
        <v>20884</v>
      </c>
      <c r="AD121" s="2103">
        <v>128938.32</v>
      </c>
      <c r="AE121" s="2104">
        <v>0</v>
      </c>
      <c r="AF121" s="2104">
        <v>32234.58</v>
      </c>
      <c r="AG121" s="2104">
        <v>0</v>
      </c>
      <c r="AH121" s="2104">
        <v>0</v>
      </c>
      <c r="AI121" s="2105">
        <f t="shared" si="90"/>
        <v>161172.90000000002</v>
      </c>
      <c r="AJ121" s="2098"/>
      <c r="AK121" s="2099"/>
      <c r="AL121" s="2099"/>
      <c r="AM121" s="2099"/>
      <c r="AN121" s="2099"/>
      <c r="AO121" s="2106">
        <f t="shared" si="91"/>
        <v>0</v>
      </c>
      <c r="AP121" s="2101">
        <v>2273.1799999999998</v>
      </c>
      <c r="AQ121" s="2102">
        <v>568.29999999999995</v>
      </c>
      <c r="AR121" s="2102">
        <v>0</v>
      </c>
      <c r="AS121" s="2102">
        <v>0</v>
      </c>
      <c r="AT121" s="2102">
        <v>0</v>
      </c>
      <c r="AU121" s="2106">
        <f t="shared" si="92"/>
        <v>2841.4799999999996</v>
      </c>
      <c r="AV121" s="2107">
        <v>6361.59</v>
      </c>
      <c r="AW121" s="2108">
        <v>1590.41</v>
      </c>
      <c r="AX121" s="2108">
        <v>0</v>
      </c>
      <c r="AY121" s="2108">
        <v>0</v>
      </c>
      <c r="AZ121" s="2109">
        <v>0</v>
      </c>
      <c r="BA121" s="2110">
        <f t="shared" si="93"/>
        <v>7952</v>
      </c>
      <c r="BB121" s="2119"/>
      <c r="BC121" s="2120"/>
      <c r="BD121" s="2120"/>
      <c r="BE121" s="2120"/>
      <c r="BF121" s="2120"/>
      <c r="BG121" s="2114">
        <f t="shared" si="94"/>
        <v>0</v>
      </c>
      <c r="BH121" s="2103">
        <v>238.55</v>
      </c>
      <c r="BI121" s="2104">
        <v>30.22</v>
      </c>
      <c r="BJ121" s="2104">
        <v>49.3</v>
      </c>
      <c r="BK121" s="2104">
        <v>0</v>
      </c>
      <c r="BL121" s="2104">
        <v>0</v>
      </c>
      <c r="BM121" s="2117">
        <f t="shared" si="95"/>
        <v>318.07</v>
      </c>
      <c r="BN121" s="2103">
        <v>-196.79</v>
      </c>
      <c r="BO121" s="2104">
        <v>-196.79</v>
      </c>
      <c r="BP121" s="2104">
        <v>0</v>
      </c>
      <c r="BQ121" s="2104">
        <v>0</v>
      </c>
      <c r="BR121" s="2104">
        <v>0</v>
      </c>
      <c r="BS121" s="2105">
        <f t="shared" si="96"/>
        <v>-393.58</v>
      </c>
      <c r="BT121" s="2103">
        <v>10783.184380730376</v>
      </c>
      <c r="BU121" s="2104">
        <v>28580.965619269624</v>
      </c>
      <c r="BV121" s="2104">
        <v>7220.67</v>
      </c>
      <c r="BW121" s="2104">
        <v>-0.11</v>
      </c>
      <c r="BX121" s="2104">
        <v>0</v>
      </c>
      <c r="BY121" s="2105">
        <f t="shared" si="97"/>
        <v>46584.71</v>
      </c>
      <c r="BZ121" s="2103">
        <v>13399.29</v>
      </c>
      <c r="CA121" s="2104">
        <v>0</v>
      </c>
      <c r="CB121" s="2104">
        <v>12373.56</v>
      </c>
      <c r="CC121" s="2104">
        <v>-0.02</v>
      </c>
      <c r="CD121" s="2104">
        <v>0</v>
      </c>
      <c r="CE121" s="2105">
        <f t="shared" si="98"/>
        <v>25772.829999999998</v>
      </c>
      <c r="CF121" s="2103">
        <v>963.41</v>
      </c>
      <c r="CG121" s="2104">
        <v>0</v>
      </c>
      <c r="CH121" s="2104">
        <v>1816.22</v>
      </c>
      <c r="CI121" s="2104">
        <v>0</v>
      </c>
      <c r="CJ121" s="2104">
        <v>0</v>
      </c>
      <c r="CK121" s="2117">
        <f t="shared" si="99"/>
        <v>2779.63</v>
      </c>
      <c r="CL121" s="2103"/>
      <c r="CM121" s="2104"/>
      <c r="CN121" s="2104"/>
      <c r="CO121" s="2104"/>
      <c r="CP121" s="2104"/>
      <c r="CQ121" s="2105">
        <f t="shared" si="100"/>
        <v>0</v>
      </c>
      <c r="CR121" s="2115"/>
      <c r="CS121" s="2116"/>
      <c r="CT121" s="2116"/>
      <c r="CU121" s="2116"/>
      <c r="CV121" s="2116"/>
      <c r="CW121" s="2117">
        <f t="shared" si="101"/>
        <v>0</v>
      </c>
      <c r="CX121" s="2103">
        <v>-50.82</v>
      </c>
      <c r="CY121" s="2104">
        <v>-50.82</v>
      </c>
      <c r="CZ121" s="2104">
        <v>0</v>
      </c>
      <c r="DA121" s="2104">
        <v>0</v>
      </c>
      <c r="DB121" s="2104">
        <v>0</v>
      </c>
      <c r="DC121" s="2105">
        <f t="shared" si="102"/>
        <v>-101.64</v>
      </c>
      <c r="DD121" s="2103">
        <v>-1769.75</v>
      </c>
      <c r="DE121" s="2104">
        <v>0</v>
      </c>
      <c r="DF121" s="2104">
        <v>0</v>
      </c>
      <c r="DG121" s="2104">
        <v>0</v>
      </c>
      <c r="DH121" s="2104">
        <v>0</v>
      </c>
      <c r="DI121" s="2105">
        <f t="shared" si="103"/>
        <v>-1769.75</v>
      </c>
      <c r="DJ121" s="2103">
        <v>-1159.49</v>
      </c>
      <c r="DK121" s="2104">
        <v>-1159.49</v>
      </c>
      <c r="DL121" s="2104">
        <v>0</v>
      </c>
      <c r="DM121" s="2104">
        <v>0</v>
      </c>
      <c r="DN121" s="2104">
        <v>0</v>
      </c>
      <c r="DO121" s="2105">
        <f t="shared" si="104"/>
        <v>-2318.98</v>
      </c>
      <c r="DP121" s="2103">
        <v>7562.5</v>
      </c>
      <c r="DQ121" s="2104">
        <v>5218.1400000000003</v>
      </c>
      <c r="DR121" s="2104">
        <v>2344.39</v>
      </c>
      <c r="DS121" s="2104">
        <v>-0.03</v>
      </c>
      <c r="DT121" s="2104">
        <v>0</v>
      </c>
      <c r="DU121" s="2118">
        <f t="shared" si="105"/>
        <v>15124.999999999998</v>
      </c>
      <c r="DV121" s="2103">
        <v>16314.36</v>
      </c>
      <c r="DW121" s="2104">
        <v>0</v>
      </c>
      <c r="DX121" s="2104">
        <v>2992.56</v>
      </c>
      <c r="DY121" s="2104">
        <v>0.05</v>
      </c>
      <c r="DZ121" s="2104">
        <v>0</v>
      </c>
      <c r="EA121" s="2105">
        <f t="shared" si="106"/>
        <v>19306.97</v>
      </c>
    </row>
    <row r="122" spans="1:131" s="2049" customFormat="1" ht="15" customHeight="1" x14ac:dyDescent="0.25">
      <c r="A122" s="2089" t="s">
        <v>230</v>
      </c>
      <c r="B122" s="2090" t="s">
        <v>231</v>
      </c>
      <c r="C122" s="2091" t="s">
        <v>264</v>
      </c>
      <c r="D122" s="2092">
        <f t="shared" si="79"/>
        <v>498448.90336106531</v>
      </c>
      <c r="E122" s="2093">
        <f t="shared" si="80"/>
        <v>64762.906638934634</v>
      </c>
      <c r="F122" s="2093">
        <f t="shared" si="81"/>
        <v>124808.76000000001</v>
      </c>
      <c r="G122" s="2093">
        <f t="shared" si="82"/>
        <v>248772.74</v>
      </c>
      <c r="H122" s="2093">
        <f t="shared" si="83"/>
        <v>0</v>
      </c>
      <c r="I122" s="2093">
        <f t="shared" si="84"/>
        <v>936793.30999999994</v>
      </c>
      <c r="J122" s="2093">
        <f t="shared" si="85"/>
        <v>248772.74</v>
      </c>
      <c r="K122" s="2094">
        <f t="shared" si="86"/>
        <v>373581.5</v>
      </c>
      <c r="L122" s="2095"/>
      <c r="M122" s="2096"/>
      <c r="N122" s="2096"/>
      <c r="O122" s="2096"/>
      <c r="P122" s="2096"/>
      <c r="Q122" s="2097">
        <f t="shared" si="87"/>
        <v>0</v>
      </c>
      <c r="R122" s="2101">
        <v>0</v>
      </c>
      <c r="S122" s="2102">
        <v>0</v>
      </c>
      <c r="T122" s="2102">
        <v>0</v>
      </c>
      <c r="U122" s="2102">
        <v>127721.16</v>
      </c>
      <c r="V122" s="2102">
        <v>0</v>
      </c>
      <c r="W122" s="2100">
        <f t="shared" si="88"/>
        <v>127721.16</v>
      </c>
      <c r="X122" s="2098">
        <v>35560.68</v>
      </c>
      <c r="Y122" s="2099">
        <v>211.71</v>
      </c>
      <c r="Z122" s="2099">
        <v>6561.82</v>
      </c>
      <c r="AA122" s="2099">
        <v>-7.0000000000000007E-2</v>
      </c>
      <c r="AB122" s="2099">
        <v>0</v>
      </c>
      <c r="AC122" s="2100">
        <f t="shared" si="89"/>
        <v>42334.14</v>
      </c>
      <c r="AD122" s="2103">
        <v>258959.94</v>
      </c>
      <c r="AE122" s="2104">
        <v>0</v>
      </c>
      <c r="AF122" s="2104">
        <v>64739.96</v>
      </c>
      <c r="AG122" s="2104">
        <v>26213.4</v>
      </c>
      <c r="AH122" s="2104">
        <v>0</v>
      </c>
      <c r="AI122" s="2105">
        <f t="shared" si="90"/>
        <v>349913.30000000005</v>
      </c>
      <c r="AJ122" s="2101">
        <v>5081.43</v>
      </c>
      <c r="AK122" s="2102">
        <v>3447.9</v>
      </c>
      <c r="AL122" s="2102">
        <v>1564.58</v>
      </c>
      <c r="AM122" s="2102">
        <v>-0.09</v>
      </c>
      <c r="AN122" s="2102">
        <v>0</v>
      </c>
      <c r="AO122" s="2106">
        <f t="shared" si="91"/>
        <v>10093.82</v>
      </c>
      <c r="AP122" s="2101">
        <v>17536.95</v>
      </c>
      <c r="AQ122" s="2102">
        <v>4384.24</v>
      </c>
      <c r="AR122" s="2102">
        <v>0</v>
      </c>
      <c r="AS122" s="2102">
        <v>0</v>
      </c>
      <c r="AT122" s="2102">
        <v>0</v>
      </c>
      <c r="AU122" s="2106">
        <f t="shared" si="92"/>
        <v>21921.190000000002</v>
      </c>
      <c r="AV122" s="2107">
        <v>25847.31</v>
      </c>
      <c r="AW122" s="2108">
        <v>6461.81</v>
      </c>
      <c r="AX122" s="2108">
        <v>0</v>
      </c>
      <c r="AY122" s="2108">
        <v>0</v>
      </c>
      <c r="AZ122" s="2109">
        <v>0</v>
      </c>
      <c r="BA122" s="2110">
        <f t="shared" si="93"/>
        <v>32309.120000000003</v>
      </c>
      <c r="BB122" s="2111">
        <v>3498.08</v>
      </c>
      <c r="BC122" s="2112">
        <v>6316.92</v>
      </c>
      <c r="BD122" s="2112">
        <v>0</v>
      </c>
      <c r="BE122" s="2112">
        <v>175</v>
      </c>
      <c r="BF122" s="2113">
        <v>0</v>
      </c>
      <c r="BG122" s="2114">
        <f t="shared" si="94"/>
        <v>9990</v>
      </c>
      <c r="BH122" s="2103">
        <v>127321.01</v>
      </c>
      <c r="BI122" s="2104">
        <v>16127.4</v>
      </c>
      <c r="BJ122" s="2104">
        <v>26313</v>
      </c>
      <c r="BK122" s="2104">
        <v>-0.09</v>
      </c>
      <c r="BL122" s="2104">
        <v>0</v>
      </c>
      <c r="BM122" s="2117">
        <f t="shared" si="95"/>
        <v>169761.32</v>
      </c>
      <c r="BN122" s="2103">
        <v>-1315.88</v>
      </c>
      <c r="BO122" s="2104">
        <v>-1315.88</v>
      </c>
      <c r="BP122" s="2104">
        <v>0</v>
      </c>
      <c r="BQ122" s="2104">
        <v>0.04</v>
      </c>
      <c r="BR122" s="2104">
        <v>0</v>
      </c>
      <c r="BS122" s="2105">
        <f t="shared" si="96"/>
        <v>-2631.7200000000003</v>
      </c>
      <c r="BT122" s="2103">
        <v>8217.5633610653749</v>
      </c>
      <c r="BU122" s="2104">
        <v>33299.206638934629</v>
      </c>
      <c r="BV122" s="2104">
        <v>7615.55</v>
      </c>
      <c r="BW122" s="2104">
        <v>10988.81</v>
      </c>
      <c r="BX122" s="2104">
        <v>0</v>
      </c>
      <c r="BY122" s="2105">
        <f t="shared" si="97"/>
        <v>60121.130000000005</v>
      </c>
      <c r="BZ122" s="2103">
        <v>13299.99</v>
      </c>
      <c r="CA122" s="2104">
        <v>0</v>
      </c>
      <c r="CB122" s="2104">
        <v>12281.82</v>
      </c>
      <c r="CC122" s="2104">
        <v>-0.03</v>
      </c>
      <c r="CD122" s="2104">
        <v>0</v>
      </c>
      <c r="CE122" s="2105">
        <f t="shared" si="98"/>
        <v>25581.78</v>
      </c>
      <c r="CF122" s="2103">
        <v>77.989999999999995</v>
      </c>
      <c r="CG122" s="2104">
        <v>0</v>
      </c>
      <c r="CH122" s="2104">
        <v>147.02000000000001</v>
      </c>
      <c r="CI122" s="2104">
        <v>-0.01</v>
      </c>
      <c r="CJ122" s="2104">
        <v>0</v>
      </c>
      <c r="CK122" s="2117">
        <f t="shared" si="99"/>
        <v>225</v>
      </c>
      <c r="CL122" s="2103"/>
      <c r="CM122" s="2104"/>
      <c r="CN122" s="2104"/>
      <c r="CO122" s="2104"/>
      <c r="CP122" s="2104"/>
      <c r="CQ122" s="2105">
        <f t="shared" si="100"/>
        <v>0</v>
      </c>
      <c r="CR122" s="2103"/>
      <c r="CS122" s="2104"/>
      <c r="CT122" s="2104"/>
      <c r="CU122" s="2104"/>
      <c r="CV122" s="2104"/>
      <c r="CW122" s="2117">
        <f t="shared" si="101"/>
        <v>0</v>
      </c>
      <c r="CX122" s="2103">
        <v>-2978.5</v>
      </c>
      <c r="CY122" s="2104">
        <v>-2978.5</v>
      </c>
      <c r="CZ122" s="2104">
        <v>0</v>
      </c>
      <c r="DA122" s="2104">
        <v>0</v>
      </c>
      <c r="DB122" s="2104">
        <v>0</v>
      </c>
      <c r="DC122" s="2105">
        <f t="shared" si="102"/>
        <v>-5957</v>
      </c>
      <c r="DD122" s="2103">
        <v>-21913.17</v>
      </c>
      <c r="DE122" s="2104">
        <v>0</v>
      </c>
      <c r="DF122" s="2104">
        <v>0</v>
      </c>
      <c r="DG122" s="2104">
        <v>0</v>
      </c>
      <c r="DH122" s="2104">
        <v>0</v>
      </c>
      <c r="DI122" s="2105">
        <f t="shared" si="103"/>
        <v>-21913.17</v>
      </c>
      <c r="DJ122" s="2103">
        <v>-1191.9000000000001</v>
      </c>
      <c r="DK122" s="2104">
        <v>-1191.9000000000001</v>
      </c>
      <c r="DL122" s="2104">
        <v>0</v>
      </c>
      <c r="DM122" s="2104">
        <v>0</v>
      </c>
      <c r="DN122" s="2104">
        <v>0</v>
      </c>
      <c r="DO122" s="2105">
        <f t="shared" si="104"/>
        <v>-2383.8000000000002</v>
      </c>
      <c r="DP122" s="2115"/>
      <c r="DQ122" s="2116"/>
      <c r="DR122" s="2116"/>
      <c r="DS122" s="2116"/>
      <c r="DT122" s="2116"/>
      <c r="DU122" s="2118">
        <f t="shared" si="105"/>
        <v>0</v>
      </c>
      <c r="DV122" s="2103">
        <v>30447.41</v>
      </c>
      <c r="DW122" s="2104">
        <v>0</v>
      </c>
      <c r="DX122" s="2104">
        <v>5585.01</v>
      </c>
      <c r="DY122" s="2104">
        <v>83674.62</v>
      </c>
      <c r="DZ122" s="2104">
        <v>0</v>
      </c>
      <c r="EA122" s="2105">
        <f t="shared" si="106"/>
        <v>119707.04</v>
      </c>
    </row>
    <row r="123" spans="1:131" s="2049" customFormat="1" ht="15" customHeight="1" x14ac:dyDescent="0.25">
      <c r="A123" s="2089" t="s">
        <v>238</v>
      </c>
      <c r="B123" s="2090" t="s">
        <v>239</v>
      </c>
      <c r="C123" s="2091" t="s">
        <v>264</v>
      </c>
      <c r="D123" s="2092">
        <f t="shared" si="79"/>
        <v>24838.225158039004</v>
      </c>
      <c r="E123" s="2093">
        <f t="shared" si="80"/>
        <v>29603.404841960994</v>
      </c>
      <c r="F123" s="2093">
        <f t="shared" si="81"/>
        <v>11095.71</v>
      </c>
      <c r="G123" s="2093">
        <f t="shared" si="82"/>
        <v>-0.05</v>
      </c>
      <c r="H123" s="2093">
        <f t="shared" si="83"/>
        <v>0</v>
      </c>
      <c r="I123" s="2093">
        <f t="shared" si="84"/>
        <v>65537.289999999994</v>
      </c>
      <c r="J123" s="2093">
        <f t="shared" si="85"/>
        <v>-0.05</v>
      </c>
      <c r="K123" s="2094">
        <f t="shared" si="86"/>
        <v>11095.66</v>
      </c>
      <c r="L123" s="2095"/>
      <c r="M123" s="2096"/>
      <c r="N123" s="2096"/>
      <c r="O123" s="2096"/>
      <c r="P123" s="2096"/>
      <c r="Q123" s="2097">
        <f t="shared" si="87"/>
        <v>0</v>
      </c>
      <c r="R123" s="2098"/>
      <c r="S123" s="2099"/>
      <c r="T123" s="2099"/>
      <c r="U123" s="2099"/>
      <c r="V123" s="2099"/>
      <c r="W123" s="2100">
        <f t="shared" si="88"/>
        <v>0</v>
      </c>
      <c r="X123" s="2101">
        <v>2054.9499999999998</v>
      </c>
      <c r="Y123" s="2102">
        <v>12.25</v>
      </c>
      <c r="Z123" s="2102">
        <v>379.2</v>
      </c>
      <c r="AA123" s="2102">
        <v>-0.02</v>
      </c>
      <c r="AB123" s="2102">
        <v>0</v>
      </c>
      <c r="AC123" s="2100">
        <f t="shared" si="89"/>
        <v>2446.3799999999997</v>
      </c>
      <c r="AD123" s="2103">
        <v>10858.36</v>
      </c>
      <c r="AE123" s="2104">
        <v>0</v>
      </c>
      <c r="AF123" s="2104">
        <v>2714.6</v>
      </c>
      <c r="AG123" s="2104">
        <v>0</v>
      </c>
      <c r="AH123" s="2104">
        <v>0</v>
      </c>
      <c r="AI123" s="2105">
        <f t="shared" si="90"/>
        <v>13572.960000000001</v>
      </c>
      <c r="AJ123" s="2098"/>
      <c r="AK123" s="2099"/>
      <c r="AL123" s="2099"/>
      <c r="AM123" s="2099"/>
      <c r="AN123" s="2099"/>
      <c r="AO123" s="2106">
        <f t="shared" si="91"/>
        <v>0</v>
      </c>
      <c r="AP123" s="2098"/>
      <c r="AQ123" s="2099"/>
      <c r="AR123" s="2099"/>
      <c r="AS123" s="2099"/>
      <c r="AT123" s="2099"/>
      <c r="AU123" s="2106">
        <f t="shared" si="92"/>
        <v>0</v>
      </c>
      <c r="AV123" s="2107">
        <v>47.18</v>
      </c>
      <c r="AW123" s="2108">
        <v>11.8</v>
      </c>
      <c r="AX123" s="2108">
        <v>0</v>
      </c>
      <c r="AY123" s="2108">
        <v>0</v>
      </c>
      <c r="AZ123" s="2109">
        <v>0</v>
      </c>
      <c r="BA123" s="2110">
        <f t="shared" si="93"/>
        <v>58.980000000000004</v>
      </c>
      <c r="BB123" s="2119"/>
      <c r="BC123" s="2120"/>
      <c r="BD123" s="2120"/>
      <c r="BE123" s="2120"/>
      <c r="BF123" s="2120"/>
      <c r="BG123" s="2114">
        <f t="shared" si="94"/>
        <v>0</v>
      </c>
      <c r="BH123" s="2115">
        <v>1128.5</v>
      </c>
      <c r="BI123" s="2116">
        <v>142.96</v>
      </c>
      <c r="BJ123" s="2116">
        <v>233.24</v>
      </c>
      <c r="BK123" s="2116">
        <v>-0.03</v>
      </c>
      <c r="BL123" s="2116">
        <v>0</v>
      </c>
      <c r="BM123" s="2117">
        <f t="shared" si="95"/>
        <v>1504.67</v>
      </c>
      <c r="BN123" s="2103"/>
      <c r="BO123" s="2104"/>
      <c r="BP123" s="2104"/>
      <c r="BQ123" s="2104"/>
      <c r="BR123" s="2104"/>
      <c r="BS123" s="2105">
        <f t="shared" si="96"/>
        <v>0</v>
      </c>
      <c r="BT123" s="2103">
        <v>4644.9651580390018</v>
      </c>
      <c r="BU123" s="2104">
        <v>29436.394841960995</v>
      </c>
      <c r="BV123" s="2104">
        <v>6251.62</v>
      </c>
      <c r="BW123" s="2104">
        <v>-0.03</v>
      </c>
      <c r="BX123" s="2104">
        <v>0</v>
      </c>
      <c r="BY123" s="2105">
        <f t="shared" si="97"/>
        <v>40332.950000000004</v>
      </c>
      <c r="BZ123" s="2115">
        <v>536.92999999999995</v>
      </c>
      <c r="CA123" s="2116">
        <v>0</v>
      </c>
      <c r="CB123" s="2116">
        <v>495.83</v>
      </c>
      <c r="CC123" s="2116">
        <v>0</v>
      </c>
      <c r="CD123" s="2116">
        <v>0</v>
      </c>
      <c r="CE123" s="2105">
        <f t="shared" si="98"/>
        <v>1032.76</v>
      </c>
      <c r="CF123" s="2115"/>
      <c r="CG123" s="2116"/>
      <c r="CH123" s="2116"/>
      <c r="CI123" s="2116"/>
      <c r="CJ123" s="2116"/>
      <c r="CK123" s="2117">
        <f t="shared" si="99"/>
        <v>0</v>
      </c>
      <c r="CL123" s="2103"/>
      <c r="CM123" s="2104"/>
      <c r="CN123" s="2104"/>
      <c r="CO123" s="2104"/>
      <c r="CP123" s="2104"/>
      <c r="CQ123" s="2105">
        <f t="shared" si="100"/>
        <v>0</v>
      </c>
      <c r="CR123" s="2115"/>
      <c r="CS123" s="2116"/>
      <c r="CT123" s="2116"/>
      <c r="CU123" s="2116"/>
      <c r="CV123" s="2116"/>
      <c r="CW123" s="2117">
        <f t="shared" si="101"/>
        <v>0</v>
      </c>
      <c r="CX123" s="2103"/>
      <c r="CY123" s="2104"/>
      <c r="CZ123" s="2104"/>
      <c r="DA123" s="2104"/>
      <c r="DB123" s="2104"/>
      <c r="DC123" s="2105">
        <f t="shared" si="102"/>
        <v>0</v>
      </c>
      <c r="DD123" s="2103"/>
      <c r="DE123" s="2104"/>
      <c r="DF123" s="2104"/>
      <c r="DG123" s="2104"/>
      <c r="DH123" s="2104"/>
      <c r="DI123" s="2105">
        <f t="shared" si="103"/>
        <v>0</v>
      </c>
      <c r="DJ123" s="2103"/>
      <c r="DK123" s="2104"/>
      <c r="DL123" s="2104"/>
      <c r="DM123" s="2104"/>
      <c r="DN123" s="2104"/>
      <c r="DO123" s="2105">
        <f t="shared" si="104"/>
        <v>0</v>
      </c>
      <c r="DP123" s="2103"/>
      <c r="DQ123" s="2104"/>
      <c r="DR123" s="2104"/>
      <c r="DS123" s="2104"/>
      <c r="DT123" s="2104"/>
      <c r="DU123" s="2118">
        <f t="shared" si="105"/>
        <v>0</v>
      </c>
      <c r="DV123" s="2103">
        <v>5567.34</v>
      </c>
      <c r="DW123" s="2104">
        <v>0</v>
      </c>
      <c r="DX123" s="2104">
        <v>1021.22</v>
      </c>
      <c r="DY123" s="2104">
        <v>0.03</v>
      </c>
      <c r="DZ123" s="2104">
        <v>0</v>
      </c>
      <c r="EA123" s="2105">
        <f t="shared" si="106"/>
        <v>6588.59</v>
      </c>
    </row>
    <row r="124" spans="1:131" s="2049" customFormat="1" ht="15" customHeight="1" x14ac:dyDescent="0.25">
      <c r="A124" s="2130" t="s">
        <v>240</v>
      </c>
      <c r="B124" s="2131" t="s">
        <v>241</v>
      </c>
      <c r="C124" s="2132" t="s">
        <v>267</v>
      </c>
      <c r="D124" s="2133">
        <f t="shared" si="79"/>
        <v>49704.469325800055</v>
      </c>
      <c r="E124" s="2134">
        <f t="shared" si="80"/>
        <v>39022.390674199938</v>
      </c>
      <c r="F124" s="2134">
        <f t="shared" si="81"/>
        <v>15643.539999999999</v>
      </c>
      <c r="G124" s="2134">
        <f t="shared" si="82"/>
        <v>25805.57</v>
      </c>
      <c r="H124" s="2134">
        <f t="shared" si="83"/>
        <v>0</v>
      </c>
      <c r="I124" s="2134">
        <f t="shared" si="84"/>
        <v>130175.96999999997</v>
      </c>
      <c r="J124" s="2134">
        <f t="shared" si="85"/>
        <v>25805.57</v>
      </c>
      <c r="K124" s="2135">
        <f t="shared" si="86"/>
        <v>41449.11</v>
      </c>
      <c r="L124" s="2136"/>
      <c r="M124" s="2137"/>
      <c r="N124" s="2137"/>
      <c r="O124" s="2137"/>
      <c r="P124" s="2137"/>
      <c r="Q124" s="2138">
        <f t="shared" si="87"/>
        <v>0</v>
      </c>
      <c r="R124" s="2139"/>
      <c r="S124" s="2140"/>
      <c r="T124" s="2140"/>
      <c r="U124" s="2140"/>
      <c r="V124" s="2140"/>
      <c r="W124" s="2141">
        <f t="shared" si="88"/>
        <v>0</v>
      </c>
      <c r="X124" s="2142">
        <v>13937.68</v>
      </c>
      <c r="Y124" s="2143">
        <v>82.99</v>
      </c>
      <c r="Z124" s="2143">
        <v>2571.85</v>
      </c>
      <c r="AA124" s="2143">
        <v>-0.04</v>
      </c>
      <c r="AB124" s="2143">
        <v>0</v>
      </c>
      <c r="AC124" s="2141">
        <f t="shared" si="89"/>
        <v>16592.48</v>
      </c>
      <c r="AD124" s="2144">
        <v>123.76</v>
      </c>
      <c r="AE124" s="2145">
        <v>0</v>
      </c>
      <c r="AF124" s="2145">
        <v>30.94</v>
      </c>
      <c r="AG124" s="2145">
        <v>0</v>
      </c>
      <c r="AH124" s="2145">
        <v>0</v>
      </c>
      <c r="AI124" s="2146">
        <f t="shared" si="90"/>
        <v>154.70000000000002</v>
      </c>
      <c r="AJ124" s="2139"/>
      <c r="AK124" s="2140"/>
      <c r="AL124" s="2140"/>
      <c r="AM124" s="2140"/>
      <c r="AN124" s="2140"/>
      <c r="AO124" s="2147">
        <f t="shared" si="91"/>
        <v>0</v>
      </c>
      <c r="AP124" s="2142"/>
      <c r="AQ124" s="2143"/>
      <c r="AR124" s="2143"/>
      <c r="AS124" s="2143"/>
      <c r="AT124" s="2143"/>
      <c r="AU124" s="2147">
        <f t="shared" si="92"/>
        <v>0</v>
      </c>
      <c r="AV124" s="2148">
        <v>591.62</v>
      </c>
      <c r="AW124" s="2149">
        <v>147.9</v>
      </c>
      <c r="AX124" s="2149">
        <v>0</v>
      </c>
      <c r="AY124" s="2149">
        <v>0</v>
      </c>
      <c r="AZ124" s="2150">
        <v>0</v>
      </c>
      <c r="BA124" s="2151">
        <f t="shared" si="93"/>
        <v>739.52</v>
      </c>
      <c r="BB124" s="2152">
        <v>1026.43</v>
      </c>
      <c r="BC124" s="2153">
        <v>1853.57</v>
      </c>
      <c r="BD124" s="2153">
        <v>0</v>
      </c>
      <c r="BE124" s="2153">
        <v>0</v>
      </c>
      <c r="BF124" s="2154">
        <v>0</v>
      </c>
      <c r="BG124" s="2155">
        <f t="shared" si="94"/>
        <v>2880</v>
      </c>
      <c r="BH124" s="2144">
        <v>19932.509999999998</v>
      </c>
      <c r="BI124" s="2145">
        <v>2524.79</v>
      </c>
      <c r="BJ124" s="2145">
        <v>4119.43</v>
      </c>
      <c r="BK124" s="2145">
        <v>-0.08</v>
      </c>
      <c r="BL124" s="2145">
        <v>0</v>
      </c>
      <c r="BM124" s="2156">
        <f t="shared" si="95"/>
        <v>26576.649999999998</v>
      </c>
      <c r="BN124" s="2144"/>
      <c r="BO124" s="2145"/>
      <c r="BP124" s="2145"/>
      <c r="BQ124" s="2145"/>
      <c r="BR124" s="2145"/>
      <c r="BS124" s="2146">
        <f t="shared" si="96"/>
        <v>0</v>
      </c>
      <c r="BT124" s="2144">
        <v>4935.3193258000538</v>
      </c>
      <c r="BU124" s="2145">
        <v>31276.190674199945</v>
      </c>
      <c r="BV124" s="2145">
        <v>6642.35</v>
      </c>
      <c r="BW124" s="2145">
        <v>-7.0000000000000007E-2</v>
      </c>
      <c r="BX124" s="2145">
        <v>0</v>
      </c>
      <c r="BY124" s="2146">
        <f t="shared" si="97"/>
        <v>42853.789999999994</v>
      </c>
      <c r="BZ124" s="2144">
        <v>0</v>
      </c>
      <c r="CA124" s="2145">
        <v>0</v>
      </c>
      <c r="CB124" s="2145">
        <v>0</v>
      </c>
      <c r="CC124" s="2145">
        <v>24639.45</v>
      </c>
      <c r="CD124" s="2145">
        <v>0</v>
      </c>
      <c r="CE124" s="2146">
        <f t="shared" si="98"/>
        <v>24639.45</v>
      </c>
      <c r="CF124" s="2157"/>
      <c r="CG124" s="2158"/>
      <c r="CH124" s="2158"/>
      <c r="CI124" s="2158"/>
      <c r="CJ124" s="2158"/>
      <c r="CK124" s="2156">
        <f t="shared" si="99"/>
        <v>0</v>
      </c>
      <c r="CL124" s="2144"/>
      <c r="CM124" s="2145"/>
      <c r="CN124" s="2145"/>
      <c r="CO124" s="2145"/>
      <c r="CP124" s="2145"/>
      <c r="CQ124" s="2146">
        <f t="shared" si="100"/>
        <v>0</v>
      </c>
      <c r="CR124" s="2144"/>
      <c r="CS124" s="2145"/>
      <c r="CT124" s="2145"/>
      <c r="CU124" s="2145"/>
      <c r="CV124" s="2145"/>
      <c r="CW124" s="2156">
        <f t="shared" si="101"/>
        <v>0</v>
      </c>
      <c r="CX124" s="2144">
        <v>-65</v>
      </c>
      <c r="CY124" s="2145">
        <v>-65</v>
      </c>
      <c r="CZ124" s="2145">
        <v>0</v>
      </c>
      <c r="DA124" s="2145">
        <v>0</v>
      </c>
      <c r="DB124" s="2145">
        <v>0</v>
      </c>
      <c r="DC124" s="2146">
        <f t="shared" si="102"/>
        <v>-130</v>
      </c>
      <c r="DD124" s="2159"/>
      <c r="DE124" s="2160"/>
      <c r="DF124" s="2160"/>
      <c r="DG124" s="2160"/>
      <c r="DH124" s="2160"/>
      <c r="DI124" s="2161">
        <f t="shared" si="103"/>
        <v>0</v>
      </c>
      <c r="DJ124" s="2159"/>
      <c r="DK124" s="2160"/>
      <c r="DL124" s="2160"/>
      <c r="DM124" s="2160"/>
      <c r="DN124" s="2160"/>
      <c r="DO124" s="2161">
        <f t="shared" si="104"/>
        <v>0</v>
      </c>
      <c r="DP124" s="2144">
        <v>4640.5</v>
      </c>
      <c r="DQ124" s="2145">
        <v>3201.95</v>
      </c>
      <c r="DR124" s="2145">
        <v>1438.55</v>
      </c>
      <c r="DS124" s="2145">
        <v>1166.28</v>
      </c>
      <c r="DT124" s="2145">
        <v>0</v>
      </c>
      <c r="DU124" s="2162">
        <f t="shared" si="105"/>
        <v>10447.280000000001</v>
      </c>
      <c r="DV124" s="2144">
        <v>4581.6499999999996</v>
      </c>
      <c r="DW124" s="2145">
        <v>0</v>
      </c>
      <c r="DX124" s="2145">
        <v>840.42</v>
      </c>
      <c r="DY124" s="2145">
        <v>0.03</v>
      </c>
      <c r="DZ124" s="2145">
        <v>0</v>
      </c>
      <c r="EA124" s="2146">
        <f t="shared" si="106"/>
        <v>5422.0999999999995</v>
      </c>
    </row>
    <row r="125" spans="1:131" s="2049" customFormat="1" ht="15" x14ac:dyDescent="0.25">
      <c r="BB125" s="2163"/>
      <c r="BC125" s="2163"/>
      <c r="BD125" s="2163"/>
      <c r="BE125" s="2163"/>
      <c r="BF125" s="2163"/>
      <c r="BG125" s="2163"/>
      <c r="BH125" s="2163"/>
      <c r="BI125" s="2163"/>
      <c r="BJ125" s="2163"/>
      <c r="BK125" s="2163"/>
      <c r="BL125" s="2163"/>
      <c r="BM125" s="2163"/>
      <c r="BN125" s="2163"/>
      <c r="BO125" s="2163"/>
      <c r="BP125" s="2163"/>
      <c r="BQ125" s="2163"/>
      <c r="BR125" s="2163"/>
      <c r="BS125" s="2163"/>
      <c r="BT125" s="2163"/>
      <c r="BU125" s="2163"/>
      <c r="BV125" s="2163"/>
      <c r="BW125" s="2163"/>
      <c r="BX125" s="2163"/>
      <c r="BY125" s="2163"/>
      <c r="BZ125" s="2163"/>
      <c r="CA125" s="2163"/>
      <c r="CB125" s="2163"/>
      <c r="CC125" s="2163"/>
      <c r="CD125" s="2163"/>
      <c r="CE125" s="2163"/>
      <c r="CF125" s="2163"/>
      <c r="CG125" s="2163"/>
      <c r="CH125" s="2163"/>
      <c r="CI125" s="2163"/>
      <c r="CJ125" s="2163"/>
      <c r="CK125" s="2163"/>
      <c r="CL125" s="2163"/>
      <c r="CM125" s="2163"/>
      <c r="CN125" s="2163"/>
      <c r="CO125" s="2163"/>
      <c r="CP125" s="2163"/>
      <c r="CQ125" s="2163"/>
      <c r="CR125" s="2163"/>
      <c r="CS125" s="2163"/>
      <c r="CT125" s="2163"/>
      <c r="CU125" s="2163"/>
      <c r="CV125" s="2163"/>
      <c r="CW125" s="2163"/>
      <c r="CX125" s="2163"/>
      <c r="CY125" s="2163"/>
      <c r="CZ125" s="2163"/>
      <c r="DA125" s="2163"/>
      <c r="DB125" s="2163"/>
      <c r="DC125" s="2163"/>
      <c r="DD125" s="2163"/>
      <c r="DE125" s="2163"/>
      <c r="DF125" s="2163"/>
      <c r="DG125" s="2163"/>
      <c r="DH125" s="2163"/>
      <c r="DI125" s="2163"/>
      <c r="DJ125" s="2163"/>
      <c r="DK125" s="2163"/>
      <c r="DL125" s="2163"/>
      <c r="DM125" s="2163"/>
      <c r="DN125" s="2163"/>
      <c r="DO125" s="2163"/>
      <c r="DP125" s="1965"/>
      <c r="DQ125" s="1965"/>
      <c r="DR125" s="1965"/>
      <c r="DS125" s="1965"/>
      <c r="DT125" s="1965"/>
    </row>
    <row r="126" spans="1:131" s="2049" customFormat="1" ht="15" x14ac:dyDescent="0.25">
      <c r="A126" s="2049" t="s">
        <v>266</v>
      </c>
      <c r="D126" s="2164">
        <f t="shared" ref="D126:D131" si="107">L126+R126+X126+AD126+AJ126+AP126+AV126+BB126+BH126+BN126+BT126+BZ126+CF126+CL126+CR126+CX126+DD126+DJ126+DP126+DV126</f>
        <v>2158915.734442248</v>
      </c>
      <c r="E126" s="2165">
        <f t="shared" ref="E126:E131" si="108">M126+S126+Y126+AE126+AK126+AQ126+AW126+BC126+BI126+BO126+BU126+CA126+CG126+CM126+CS126+CY126+DE126+DK126+DQ126+DW126</f>
        <v>2610444.6655577519</v>
      </c>
      <c r="F126" s="2165">
        <f t="shared" ref="F126:F131" si="109">N126+T126+Z126+AF126+AL126+AR126+AX126+BD126+BJ126+BP126+BV126+CB126+CH126+CN126+CT126+CZ126+DF126+DL126+DR126+DX126</f>
        <v>929501.21999999986</v>
      </c>
      <c r="G126" s="2165">
        <f t="shared" ref="G126:G131" si="110">O126+U126+AA126+AG126+AM126+AS126+AY126+BE126+BK126+BQ126+BW126+CC126+CI126+CO126+CU126+DA126+DG126+DM126+DS126+DY126</f>
        <v>46284.469999999994</v>
      </c>
      <c r="H126" s="2165">
        <f t="shared" ref="H126:H131" si="111">P126+V126+AB126+AH126+AN126+AT126+AZ126+BF126+BL126+BR126+BX126+CD126+CJ126+CP126+CV126+DB126+DH126+DN126+DT126+DZ126</f>
        <v>61543.93</v>
      </c>
      <c r="I126" s="2165">
        <f t="shared" ref="I126:I130" si="112">SUM(D126:H126)</f>
        <v>5806690.0199999996</v>
      </c>
      <c r="J126" s="2165">
        <f t="shared" ref="J126:J130" si="113">G126+H126</f>
        <v>107828.4</v>
      </c>
      <c r="K126" s="2165">
        <f t="shared" ref="K126:K130" si="114">F126+J126</f>
        <v>1037329.6199999999</v>
      </c>
      <c r="L126" s="2165">
        <v>0</v>
      </c>
      <c r="M126" s="2165">
        <v>2047</v>
      </c>
      <c r="N126" s="2165">
        <v>0</v>
      </c>
      <c r="O126" s="2165">
        <v>0</v>
      </c>
      <c r="P126" s="2165">
        <v>0</v>
      </c>
      <c r="Q126" s="2165">
        <f t="shared" ref="Q126:Q130" si="115">SUM(L126:P126)</f>
        <v>2047</v>
      </c>
      <c r="R126" s="2165"/>
      <c r="S126" s="2165"/>
      <c r="T126" s="2165"/>
      <c r="U126" s="2165"/>
      <c r="V126" s="2165"/>
      <c r="W126" s="2165">
        <f t="shared" ref="W126:W130" si="116">SUM(R126:V126)</f>
        <v>0</v>
      </c>
      <c r="X126" s="2165">
        <v>274018.10000000009</v>
      </c>
      <c r="Y126" s="2165">
        <v>1631.1200000000003</v>
      </c>
      <c r="Z126" s="2165">
        <v>50562.92</v>
      </c>
      <c r="AA126" s="2165">
        <v>-3.7</v>
      </c>
      <c r="AB126" s="2165">
        <v>4000</v>
      </c>
      <c r="AC126" s="2165">
        <f t="shared" ref="AC126:AC130" si="117">SUM(X126:AB126)</f>
        <v>330208.44000000006</v>
      </c>
      <c r="AD126" s="2166">
        <v>563966.99</v>
      </c>
      <c r="AE126" s="2167">
        <v>0</v>
      </c>
      <c r="AF126" s="2167">
        <v>140991.77999999997</v>
      </c>
      <c r="AG126" s="2167">
        <v>159.69999999999999</v>
      </c>
      <c r="AH126" s="2167">
        <v>49825.13</v>
      </c>
      <c r="AI126" s="2168">
        <f t="shared" ref="AI126:AI130" si="118">SUM(AD126:AH126)</f>
        <v>754943.6</v>
      </c>
      <c r="AJ126" s="2166">
        <v>5968.36</v>
      </c>
      <c r="AK126" s="2167">
        <v>3207.05</v>
      </c>
      <c r="AL126" s="2167">
        <v>1683.0900000000001</v>
      </c>
      <c r="AM126" s="2167">
        <v>-0.04</v>
      </c>
      <c r="AN126" s="2167">
        <v>0</v>
      </c>
      <c r="AO126" s="2168">
        <f t="shared" ref="AO126:AO130" si="119">SUM(AJ126:AN126)</f>
        <v>10858.46</v>
      </c>
      <c r="AP126" s="2166">
        <v>49234.999999999993</v>
      </c>
      <c r="AQ126" s="2167">
        <v>12308.749999999998</v>
      </c>
      <c r="AR126" s="2167">
        <v>0</v>
      </c>
      <c r="AS126" s="2167">
        <v>0</v>
      </c>
      <c r="AT126" s="2167">
        <v>0</v>
      </c>
      <c r="AU126" s="2168">
        <f t="shared" ref="AU126:AU130" si="120">SUM(AP126:AT126)</f>
        <v>61543.749999999993</v>
      </c>
      <c r="AV126" s="2166">
        <v>55965.780000000006</v>
      </c>
      <c r="AW126" s="2167">
        <v>13991.43</v>
      </c>
      <c r="AX126" s="2167">
        <v>0</v>
      </c>
      <c r="AY126" s="2167">
        <v>0</v>
      </c>
      <c r="AZ126" s="2167">
        <v>0</v>
      </c>
      <c r="BA126" s="2168">
        <f t="shared" ref="BA126:BA130" si="121">SUM(AV126:AZ126)</f>
        <v>69957.210000000006</v>
      </c>
      <c r="BB126" s="2166">
        <v>3236.46</v>
      </c>
      <c r="BC126" s="2167">
        <v>5844.4900000000007</v>
      </c>
      <c r="BD126" s="2167">
        <v>0</v>
      </c>
      <c r="BE126" s="2167">
        <v>0</v>
      </c>
      <c r="BF126" s="2167">
        <v>0</v>
      </c>
      <c r="BG126" s="2168">
        <f t="shared" ref="BG126:BG130" si="122">SUM(BB126:BF126)</f>
        <v>9080.9500000000007</v>
      </c>
      <c r="BH126" s="2166">
        <v>573159.18000000005</v>
      </c>
      <c r="BI126" s="2167">
        <v>72600.439999999988</v>
      </c>
      <c r="BJ126" s="2167">
        <v>118453.15</v>
      </c>
      <c r="BK126" s="2167">
        <v>31114.579999999998</v>
      </c>
      <c r="BL126" s="2167">
        <v>5402.22</v>
      </c>
      <c r="BM126" s="2168">
        <f t="shared" ref="BM126:BM130" si="123">SUM(BH126:BL126)</f>
        <v>800729.57</v>
      </c>
      <c r="BN126" s="2166">
        <v>-237.83</v>
      </c>
      <c r="BO126" s="2167">
        <v>-237.83</v>
      </c>
      <c r="BP126" s="2167">
        <v>0</v>
      </c>
      <c r="BQ126" s="2167">
        <v>0</v>
      </c>
      <c r="BR126" s="2167">
        <v>0</v>
      </c>
      <c r="BS126" s="2168">
        <f t="shared" ref="BS126:BS130" si="124">SUM(BN126:BR126)</f>
        <v>-475.66</v>
      </c>
      <c r="BT126" s="2166">
        <v>412158.65444224823</v>
      </c>
      <c r="BU126" s="2167">
        <v>2435293.3755577519</v>
      </c>
      <c r="BV126" s="2167">
        <v>522313.7</v>
      </c>
      <c r="BW126" s="2167">
        <v>15028.38</v>
      </c>
      <c r="BX126" s="2167">
        <v>0</v>
      </c>
      <c r="BY126" s="2168">
        <f t="shared" ref="BY126:BY130" si="125">SUM(BT126:BX126)</f>
        <v>3384794.1100000003</v>
      </c>
      <c r="BZ126" s="2166">
        <v>53734.6</v>
      </c>
      <c r="CA126" s="2167">
        <v>0</v>
      </c>
      <c r="CB126" s="2167">
        <v>49621.100000000006</v>
      </c>
      <c r="CC126" s="2167">
        <v>-0.1</v>
      </c>
      <c r="CD126" s="2167">
        <v>0</v>
      </c>
      <c r="CE126" s="2168">
        <f t="shared" ref="CE126:CE130" si="126">SUM(BZ126:CD126)</f>
        <v>103355.6</v>
      </c>
      <c r="CF126" s="2166">
        <v>0.32</v>
      </c>
      <c r="CG126" s="2167">
        <v>0</v>
      </c>
      <c r="CH126" s="2167">
        <v>0.6</v>
      </c>
      <c r="CI126" s="2167">
        <v>0</v>
      </c>
      <c r="CJ126" s="2167">
        <v>0</v>
      </c>
      <c r="CK126" s="2168">
        <f t="shared" ref="CK126:CK130" si="127">SUM(CF126:CJ126)</f>
        <v>0.91999999999999993</v>
      </c>
      <c r="CL126" s="2166"/>
      <c r="CM126" s="2167"/>
      <c r="CN126" s="2167"/>
      <c r="CO126" s="2167"/>
      <c r="CP126" s="2167"/>
      <c r="CQ126" s="2168">
        <f t="shared" ref="CQ126:CQ130" si="128">SUM(CL126:CP126)</f>
        <v>0</v>
      </c>
      <c r="CR126" s="2166">
        <v>-468.62</v>
      </c>
      <c r="CS126" s="2167">
        <v>-468.62</v>
      </c>
      <c r="CT126" s="2167">
        <v>0</v>
      </c>
      <c r="CU126" s="2167">
        <v>0.02</v>
      </c>
      <c r="CV126" s="2167">
        <v>0</v>
      </c>
      <c r="CW126" s="2168">
        <f t="shared" ref="CW126:CW130" si="129">SUM(CR126:CV126)</f>
        <v>-937.22</v>
      </c>
      <c r="CX126" s="2166">
        <v>-7575.69</v>
      </c>
      <c r="CY126" s="2167">
        <v>-7575.69</v>
      </c>
      <c r="CZ126" s="2167">
        <v>0</v>
      </c>
      <c r="DA126" s="2167">
        <v>0</v>
      </c>
      <c r="DB126" s="2167">
        <v>0</v>
      </c>
      <c r="DC126" s="2168">
        <f t="shared" ref="DC126:DC130" si="130">SUM(CX126:DB126)</f>
        <v>-15151.38</v>
      </c>
      <c r="DD126" s="2166">
        <v>-589</v>
      </c>
      <c r="DE126" s="2167">
        <v>0</v>
      </c>
      <c r="DF126" s="2167">
        <v>0</v>
      </c>
      <c r="DG126" s="2167">
        <v>0</v>
      </c>
      <c r="DH126" s="2167">
        <v>0</v>
      </c>
      <c r="DI126" s="2168">
        <f t="shared" ref="DI126:DI130" si="131">SUM(DD126:DH126)</f>
        <v>-589</v>
      </c>
      <c r="DJ126" s="2166">
        <v>-973.5</v>
      </c>
      <c r="DK126" s="2167">
        <v>-973.5</v>
      </c>
      <c r="DL126" s="2167">
        <v>0</v>
      </c>
      <c r="DM126" s="2167">
        <v>0</v>
      </c>
      <c r="DN126" s="2167">
        <v>0</v>
      </c>
      <c r="DO126" s="2168">
        <f t="shared" ref="DO126:DO130" si="132">SUM(DJ126:DN126)</f>
        <v>-1947</v>
      </c>
      <c r="DP126" s="2166">
        <v>105473.4</v>
      </c>
      <c r="DQ126" s="2167">
        <v>72776.64999999998</v>
      </c>
      <c r="DR126" s="2167">
        <v>32696.76</v>
      </c>
      <c r="DS126" s="2167">
        <v>-0.11</v>
      </c>
      <c r="DT126" s="2167">
        <v>892.04</v>
      </c>
      <c r="DU126" s="2168">
        <f t="shared" ref="DU126:DU130" si="133">SUM(DP126:DT126)</f>
        <v>211838.74000000002</v>
      </c>
      <c r="DV126" s="2166">
        <v>71843.530000000013</v>
      </c>
      <c r="DW126" s="2167">
        <v>0</v>
      </c>
      <c r="DX126" s="2167">
        <v>13178.119999999999</v>
      </c>
      <c r="DY126" s="2167">
        <v>-14.260000000000003</v>
      </c>
      <c r="DZ126" s="2167">
        <v>1424.54</v>
      </c>
      <c r="EA126" s="2168">
        <f t="shared" ref="EA126:EA130" si="134">SUM(DV126:DZ126)</f>
        <v>86431.930000000008</v>
      </c>
    </row>
    <row r="127" spans="1:131" s="2049" customFormat="1" ht="15" x14ac:dyDescent="0.25">
      <c r="A127" s="2049" t="s">
        <v>264</v>
      </c>
      <c r="D127" s="2164">
        <f t="shared" si="107"/>
        <v>3471437.8313467689</v>
      </c>
      <c r="E127" s="2165">
        <f t="shared" si="108"/>
        <v>2057813.1186532322</v>
      </c>
      <c r="F127" s="2165">
        <f t="shared" si="109"/>
        <v>1128224.02</v>
      </c>
      <c r="G127" s="2165">
        <f t="shared" si="110"/>
        <v>303155.68</v>
      </c>
      <c r="H127" s="2165">
        <f t="shared" si="111"/>
        <v>69549.62999999999</v>
      </c>
      <c r="I127" s="2165">
        <f t="shared" si="112"/>
        <v>7030180.2800000003</v>
      </c>
      <c r="J127" s="2165">
        <f t="shared" si="113"/>
        <v>372705.31</v>
      </c>
      <c r="K127" s="2165">
        <f t="shared" si="114"/>
        <v>1500929.33</v>
      </c>
      <c r="L127" s="2165">
        <v>0</v>
      </c>
      <c r="M127" s="2165">
        <v>866.23</v>
      </c>
      <c r="N127" s="2165">
        <v>0</v>
      </c>
      <c r="O127" s="2165">
        <v>0</v>
      </c>
      <c r="P127" s="2165">
        <v>0</v>
      </c>
      <c r="Q127" s="2165">
        <f t="shared" si="115"/>
        <v>866.23</v>
      </c>
      <c r="R127" s="2165">
        <v>0</v>
      </c>
      <c r="S127" s="2165">
        <v>0</v>
      </c>
      <c r="T127" s="2165">
        <v>0</v>
      </c>
      <c r="U127" s="2165">
        <v>127955.8</v>
      </c>
      <c r="V127" s="2165">
        <v>51217.4</v>
      </c>
      <c r="W127" s="2165">
        <f t="shared" si="116"/>
        <v>179173.2</v>
      </c>
      <c r="X127" s="2165">
        <v>327753.60000000003</v>
      </c>
      <c r="Y127" s="2165">
        <v>1951.1</v>
      </c>
      <c r="Z127" s="2165">
        <v>60478.48000000001</v>
      </c>
      <c r="AA127" s="2165">
        <v>-0.33</v>
      </c>
      <c r="AB127" s="2165">
        <v>0</v>
      </c>
      <c r="AC127" s="2165">
        <f t="shared" si="117"/>
        <v>390182.85000000003</v>
      </c>
      <c r="AD127" s="2166">
        <v>1190504.3700000001</v>
      </c>
      <c r="AE127" s="2167">
        <v>0</v>
      </c>
      <c r="AF127" s="2167">
        <v>297625.98</v>
      </c>
      <c r="AG127" s="2167">
        <v>65106.320000000007</v>
      </c>
      <c r="AH127" s="2167">
        <v>17833.8</v>
      </c>
      <c r="AI127" s="2168">
        <f t="shared" si="118"/>
        <v>1571070.4700000002</v>
      </c>
      <c r="AJ127" s="2166">
        <v>120259.78</v>
      </c>
      <c r="AK127" s="2167">
        <v>24689.86</v>
      </c>
      <c r="AL127" s="2167">
        <v>26588.47</v>
      </c>
      <c r="AM127" s="2167">
        <v>-0.37</v>
      </c>
      <c r="AN127" s="2167">
        <v>0</v>
      </c>
      <c r="AO127" s="2168">
        <f t="shared" si="119"/>
        <v>171537.74000000002</v>
      </c>
      <c r="AP127" s="2166">
        <v>56577.170000000006</v>
      </c>
      <c r="AQ127" s="2167">
        <v>14144.28</v>
      </c>
      <c r="AR127" s="2167">
        <v>0</v>
      </c>
      <c r="AS127" s="2167">
        <v>0</v>
      </c>
      <c r="AT127" s="2167">
        <v>346.5</v>
      </c>
      <c r="AU127" s="2168">
        <f t="shared" si="120"/>
        <v>71067.950000000012</v>
      </c>
      <c r="AV127" s="2166">
        <v>80638.290000000008</v>
      </c>
      <c r="AW127" s="2167">
        <v>20159.580000000002</v>
      </c>
      <c r="AX127" s="2167">
        <v>0</v>
      </c>
      <c r="AY127" s="2167">
        <v>0</v>
      </c>
      <c r="AZ127" s="2167">
        <v>0</v>
      </c>
      <c r="BA127" s="2168">
        <f t="shared" si="121"/>
        <v>100797.87000000001</v>
      </c>
      <c r="BB127" s="2166">
        <v>12586.249999999998</v>
      </c>
      <c r="BC127" s="2167">
        <v>22728.57</v>
      </c>
      <c r="BD127" s="2167">
        <v>0</v>
      </c>
      <c r="BE127" s="2167">
        <v>175</v>
      </c>
      <c r="BF127" s="2167">
        <v>0</v>
      </c>
      <c r="BG127" s="2168">
        <f t="shared" si="122"/>
        <v>35489.82</v>
      </c>
      <c r="BH127" s="2166">
        <v>650352.47</v>
      </c>
      <c r="BI127" s="2167">
        <v>82378.190000000017</v>
      </c>
      <c r="BJ127" s="2167">
        <v>134406.28999999998</v>
      </c>
      <c r="BK127" s="2167">
        <v>124.4</v>
      </c>
      <c r="BL127" s="2167">
        <v>0</v>
      </c>
      <c r="BM127" s="2168">
        <f t="shared" si="123"/>
        <v>867261.35</v>
      </c>
      <c r="BN127" s="2166">
        <v>-6071.44</v>
      </c>
      <c r="BO127" s="2167">
        <v>-6071.44</v>
      </c>
      <c r="BP127" s="2167">
        <v>0</v>
      </c>
      <c r="BQ127" s="2167">
        <v>0.05</v>
      </c>
      <c r="BR127" s="2167">
        <v>0</v>
      </c>
      <c r="BS127" s="2168">
        <f t="shared" si="124"/>
        <v>-12142.83</v>
      </c>
      <c r="BT127" s="2166">
        <v>663758.66134676803</v>
      </c>
      <c r="BU127" s="2167">
        <v>1834933.1686532323</v>
      </c>
      <c r="BV127" s="2167">
        <v>458340.3</v>
      </c>
      <c r="BW127" s="2167">
        <v>11305.339999999997</v>
      </c>
      <c r="BX127" s="2167">
        <v>0</v>
      </c>
      <c r="BY127" s="2168">
        <f t="shared" si="125"/>
        <v>2968337.4699999997</v>
      </c>
      <c r="BZ127" s="2166">
        <v>78754.650000000009</v>
      </c>
      <c r="CA127" s="2167">
        <v>0</v>
      </c>
      <c r="CB127" s="2167">
        <v>72725.710000000021</v>
      </c>
      <c r="CC127" s="2167">
        <v>-9.9999999999999992E-2</v>
      </c>
      <c r="CD127" s="2167">
        <v>151.93</v>
      </c>
      <c r="CE127" s="2168">
        <f t="shared" si="126"/>
        <v>151632.19000000003</v>
      </c>
      <c r="CF127" s="2166">
        <v>1416.1299999999999</v>
      </c>
      <c r="CG127" s="2167">
        <v>0</v>
      </c>
      <c r="CH127" s="2167">
        <v>2669.66</v>
      </c>
      <c r="CI127" s="2167">
        <v>-0.01</v>
      </c>
      <c r="CJ127" s="2167">
        <v>0</v>
      </c>
      <c r="CK127" s="2168">
        <f t="shared" si="127"/>
        <v>4085.7799999999997</v>
      </c>
      <c r="CL127" s="2166">
        <v>-1353.51</v>
      </c>
      <c r="CM127" s="2167">
        <v>0</v>
      </c>
      <c r="CN127" s="2167">
        <v>0</v>
      </c>
      <c r="CO127" s="2167">
        <v>0</v>
      </c>
      <c r="CP127" s="2167">
        <v>0</v>
      </c>
      <c r="CQ127" s="2168">
        <f t="shared" si="128"/>
        <v>-1353.51</v>
      </c>
      <c r="CR127" s="2166">
        <v>-3830.03</v>
      </c>
      <c r="CS127" s="2167">
        <v>-3830.03</v>
      </c>
      <c r="CT127" s="2167">
        <v>0</v>
      </c>
      <c r="CU127" s="2167">
        <v>0.01</v>
      </c>
      <c r="CV127" s="2167">
        <v>0</v>
      </c>
      <c r="CW127" s="2168">
        <f t="shared" si="129"/>
        <v>-7660.05</v>
      </c>
      <c r="CX127" s="2166">
        <v>-3427.92</v>
      </c>
      <c r="CY127" s="2167">
        <v>-3327.92</v>
      </c>
      <c r="CZ127" s="2167">
        <v>0</v>
      </c>
      <c r="DA127" s="2167">
        <v>0.01</v>
      </c>
      <c r="DB127" s="2167">
        <v>0</v>
      </c>
      <c r="DC127" s="2168">
        <f t="shared" si="130"/>
        <v>-6755.83</v>
      </c>
      <c r="DD127" s="2166">
        <v>-31124.48</v>
      </c>
      <c r="DE127" s="2167">
        <v>0</v>
      </c>
      <c r="DF127" s="2167">
        <v>0</v>
      </c>
      <c r="DG127" s="2167">
        <v>0</v>
      </c>
      <c r="DH127" s="2167">
        <v>0</v>
      </c>
      <c r="DI127" s="2168">
        <f t="shared" si="131"/>
        <v>-31124.48</v>
      </c>
      <c r="DJ127" s="2166">
        <v>-3579.09</v>
      </c>
      <c r="DK127" s="2167">
        <v>-3579.09</v>
      </c>
      <c r="DL127" s="2167">
        <v>0</v>
      </c>
      <c r="DM127" s="2167">
        <v>0</v>
      </c>
      <c r="DN127" s="2167">
        <v>0</v>
      </c>
      <c r="DO127" s="2168">
        <f t="shared" si="132"/>
        <v>-7158.18</v>
      </c>
      <c r="DP127" s="2166">
        <v>105464.70999999999</v>
      </c>
      <c r="DQ127" s="2167">
        <v>72770.62000000001</v>
      </c>
      <c r="DR127" s="2167">
        <v>32694.099999999995</v>
      </c>
      <c r="DS127" s="2167">
        <v>15999.769999999999</v>
      </c>
      <c r="DT127" s="2167">
        <v>0</v>
      </c>
      <c r="DU127" s="2168">
        <f t="shared" si="133"/>
        <v>226929.2</v>
      </c>
      <c r="DV127" s="2166">
        <v>232758.22000000006</v>
      </c>
      <c r="DW127" s="2167">
        <v>0</v>
      </c>
      <c r="DX127" s="2167">
        <v>42695.03</v>
      </c>
      <c r="DY127" s="2167">
        <v>82489.790000000008</v>
      </c>
      <c r="DZ127" s="2167">
        <v>0</v>
      </c>
      <c r="EA127" s="2168">
        <f t="shared" si="134"/>
        <v>357943.04000000004</v>
      </c>
    </row>
    <row r="128" spans="1:131" s="2049" customFormat="1" ht="15" x14ac:dyDescent="0.25">
      <c r="A128" s="2049" t="s">
        <v>267</v>
      </c>
      <c r="D128" s="2164">
        <f t="shared" si="107"/>
        <v>3561554.1034625764</v>
      </c>
      <c r="E128" s="2165">
        <f t="shared" si="108"/>
        <v>1903199.9965374242</v>
      </c>
      <c r="F128" s="2165">
        <f t="shared" si="109"/>
        <v>1157811.6300000004</v>
      </c>
      <c r="G128" s="2165">
        <f t="shared" si="110"/>
        <v>1210729.6100000001</v>
      </c>
      <c r="H128" s="2165">
        <f t="shared" si="111"/>
        <v>2175746.19</v>
      </c>
      <c r="I128" s="2165">
        <f t="shared" si="112"/>
        <v>10009041.530000001</v>
      </c>
      <c r="J128" s="2165">
        <f t="shared" si="113"/>
        <v>3386475.8</v>
      </c>
      <c r="K128" s="2165">
        <f t="shared" si="114"/>
        <v>4544287.43</v>
      </c>
      <c r="L128" s="2165">
        <v>0</v>
      </c>
      <c r="M128" s="2165">
        <v>4687</v>
      </c>
      <c r="N128" s="2165">
        <v>0</v>
      </c>
      <c r="O128" s="2165">
        <v>0</v>
      </c>
      <c r="P128" s="2165">
        <v>0</v>
      </c>
      <c r="Q128" s="2165">
        <f t="shared" si="115"/>
        <v>4687</v>
      </c>
      <c r="R128" s="2165">
        <v>0</v>
      </c>
      <c r="S128" s="2165">
        <v>0</v>
      </c>
      <c r="T128" s="2165">
        <v>0</v>
      </c>
      <c r="U128" s="2165">
        <v>31620.560000000001</v>
      </c>
      <c r="V128" s="2165">
        <v>0</v>
      </c>
      <c r="W128" s="2165">
        <f t="shared" si="116"/>
        <v>31620.560000000001</v>
      </c>
      <c r="X128" s="2165">
        <v>411762.80000000005</v>
      </c>
      <c r="Y128" s="2165">
        <v>2451.11</v>
      </c>
      <c r="Z128" s="2165">
        <v>75980.13</v>
      </c>
      <c r="AA128" s="2165">
        <v>401.25</v>
      </c>
      <c r="AB128" s="2165">
        <v>0</v>
      </c>
      <c r="AC128" s="2165">
        <f t="shared" si="117"/>
        <v>490595.29000000004</v>
      </c>
      <c r="AD128" s="2166">
        <v>1255011.42</v>
      </c>
      <c r="AE128" s="2167">
        <v>0</v>
      </c>
      <c r="AF128" s="2167">
        <v>313752.74</v>
      </c>
      <c r="AG128" s="2167">
        <v>1120049.27</v>
      </c>
      <c r="AH128" s="2167">
        <v>2086880.71</v>
      </c>
      <c r="AI128" s="2168">
        <f t="shared" si="118"/>
        <v>4775694.1399999997</v>
      </c>
      <c r="AJ128" s="2166">
        <v>53149.89</v>
      </c>
      <c r="AK128" s="2167">
        <v>14030.95</v>
      </c>
      <c r="AL128" s="2167">
        <v>12323.15</v>
      </c>
      <c r="AM128" s="2167">
        <v>-0.14000000000000001</v>
      </c>
      <c r="AN128" s="2167">
        <v>0</v>
      </c>
      <c r="AO128" s="2168">
        <f t="shared" si="119"/>
        <v>79503.849999999991</v>
      </c>
      <c r="AP128" s="2166">
        <v>142500.29</v>
      </c>
      <c r="AQ128" s="2167">
        <v>35625.07</v>
      </c>
      <c r="AR128" s="2167">
        <v>0</v>
      </c>
      <c r="AS128" s="2167">
        <v>0</v>
      </c>
      <c r="AT128" s="2167">
        <v>0</v>
      </c>
      <c r="AU128" s="2168">
        <f t="shared" si="120"/>
        <v>178125.36000000002</v>
      </c>
      <c r="AV128" s="2166">
        <v>111559.82</v>
      </c>
      <c r="AW128" s="2167">
        <v>27889.980000000003</v>
      </c>
      <c r="AX128" s="2167">
        <v>0</v>
      </c>
      <c r="AY128" s="2167">
        <v>0</v>
      </c>
      <c r="AZ128" s="2167">
        <v>0</v>
      </c>
      <c r="BA128" s="2168">
        <f t="shared" si="121"/>
        <v>139449.80000000002</v>
      </c>
      <c r="BB128" s="2166">
        <v>26200.729999999996</v>
      </c>
      <c r="BC128" s="2167">
        <v>47314.469999999994</v>
      </c>
      <c r="BD128" s="2167">
        <v>0</v>
      </c>
      <c r="BE128" s="2167">
        <v>0</v>
      </c>
      <c r="BF128" s="2167">
        <v>285</v>
      </c>
      <c r="BG128" s="2168">
        <f t="shared" si="122"/>
        <v>73800.199999999983</v>
      </c>
      <c r="BH128" s="2166">
        <v>683765.18</v>
      </c>
      <c r="BI128" s="2167">
        <v>86610.400000000009</v>
      </c>
      <c r="BJ128" s="2167">
        <v>141311.71</v>
      </c>
      <c r="BK128" s="2167">
        <v>12589.69</v>
      </c>
      <c r="BL128" s="2167">
        <v>3099.24</v>
      </c>
      <c r="BM128" s="2168">
        <f t="shared" si="123"/>
        <v>927376.22</v>
      </c>
      <c r="BN128" s="2166">
        <v>-6698.6</v>
      </c>
      <c r="BO128" s="2167">
        <v>-6698.6</v>
      </c>
      <c r="BP128" s="2167">
        <v>0</v>
      </c>
      <c r="BQ128" s="2167">
        <v>7.0000000000000007E-2</v>
      </c>
      <c r="BR128" s="2167">
        <v>0</v>
      </c>
      <c r="BS128" s="2168">
        <f t="shared" si="124"/>
        <v>-13397.130000000001</v>
      </c>
      <c r="BT128" s="2166">
        <v>384342.60346257588</v>
      </c>
      <c r="BU128" s="2167">
        <v>1589451.086537424</v>
      </c>
      <c r="BV128" s="2167">
        <v>362057.36</v>
      </c>
      <c r="BW128" s="2167">
        <v>-2.3000000000000003</v>
      </c>
      <c r="BX128" s="2167">
        <v>9210.16</v>
      </c>
      <c r="BY128" s="2168">
        <f t="shared" si="125"/>
        <v>2345058.91</v>
      </c>
      <c r="BZ128" s="2166">
        <v>174980.85</v>
      </c>
      <c r="CA128" s="2167">
        <v>0</v>
      </c>
      <c r="CB128" s="2167">
        <v>161585.51</v>
      </c>
      <c r="CC128" s="2167">
        <v>49278.85</v>
      </c>
      <c r="CD128" s="2167">
        <v>0</v>
      </c>
      <c r="CE128" s="2168">
        <f t="shared" si="126"/>
        <v>385845.20999999996</v>
      </c>
      <c r="CF128" s="2166">
        <v>2915.3099999999995</v>
      </c>
      <c r="CG128" s="2167">
        <v>0</v>
      </c>
      <c r="CH128" s="2167">
        <v>5495.8499999999995</v>
      </c>
      <c r="CI128" s="2167">
        <v>0</v>
      </c>
      <c r="CJ128" s="2167">
        <v>0</v>
      </c>
      <c r="CK128" s="2168">
        <f t="shared" si="127"/>
        <v>8411.16</v>
      </c>
      <c r="CL128" s="2166">
        <v>-1403.56</v>
      </c>
      <c r="CM128" s="2167">
        <v>0</v>
      </c>
      <c r="CN128" s="2167">
        <v>0</v>
      </c>
      <c r="CO128" s="2167">
        <v>0</v>
      </c>
      <c r="CP128" s="2167">
        <v>0</v>
      </c>
      <c r="CQ128" s="2168">
        <f t="shared" si="128"/>
        <v>-1403.56</v>
      </c>
      <c r="CR128" s="2166">
        <v>-4025.1499999999996</v>
      </c>
      <c r="CS128" s="2167">
        <v>-4025.1499999999996</v>
      </c>
      <c r="CT128" s="2167">
        <v>0</v>
      </c>
      <c r="CU128" s="2167">
        <v>0.04</v>
      </c>
      <c r="CV128" s="2167">
        <v>0</v>
      </c>
      <c r="CW128" s="2168">
        <f t="shared" si="129"/>
        <v>-8050.2599999999993</v>
      </c>
      <c r="CX128" s="2166">
        <v>-5519.3600000000006</v>
      </c>
      <c r="CY128" s="2167">
        <v>-5519.3600000000006</v>
      </c>
      <c r="CZ128" s="2167">
        <v>0</v>
      </c>
      <c r="DA128" s="2167">
        <v>0.03</v>
      </c>
      <c r="DB128" s="2167">
        <v>0</v>
      </c>
      <c r="DC128" s="2168">
        <f t="shared" si="130"/>
        <v>-11038.69</v>
      </c>
      <c r="DD128" s="2166">
        <v>-11264.03</v>
      </c>
      <c r="DE128" s="2167">
        <v>0</v>
      </c>
      <c r="DF128" s="2167">
        <v>0</v>
      </c>
      <c r="DG128" s="2167">
        <v>0</v>
      </c>
      <c r="DH128" s="2167">
        <v>0</v>
      </c>
      <c r="DI128" s="2168">
        <f t="shared" si="131"/>
        <v>-11264.03</v>
      </c>
      <c r="DJ128" s="2166">
        <v>-4696.96</v>
      </c>
      <c r="DK128" s="2167">
        <v>-4696.96</v>
      </c>
      <c r="DL128" s="2167">
        <v>0</v>
      </c>
      <c r="DM128" s="2167">
        <v>0</v>
      </c>
      <c r="DN128" s="2167">
        <v>0</v>
      </c>
      <c r="DO128" s="2168">
        <f t="shared" si="132"/>
        <v>-9393.92</v>
      </c>
      <c r="DP128" s="2166">
        <v>168232.02</v>
      </c>
      <c r="DQ128" s="2167">
        <v>116080</v>
      </c>
      <c r="DR128" s="2167">
        <v>52151.870000000017</v>
      </c>
      <c r="DS128" s="2167">
        <v>1166.1600000000001</v>
      </c>
      <c r="DT128" s="2167">
        <v>9697</v>
      </c>
      <c r="DU128" s="2168">
        <f t="shared" si="133"/>
        <v>347327.05</v>
      </c>
      <c r="DV128" s="2166">
        <v>180740.85000000003</v>
      </c>
      <c r="DW128" s="2167">
        <v>0</v>
      </c>
      <c r="DX128" s="2167">
        <v>33153.310000000005</v>
      </c>
      <c r="DY128" s="2167">
        <v>-4373.8700000000008</v>
      </c>
      <c r="DZ128" s="2167">
        <v>66574.080000000002</v>
      </c>
      <c r="EA128" s="2168">
        <f t="shared" si="134"/>
        <v>276094.37000000005</v>
      </c>
    </row>
    <row r="129" spans="1:131" s="2049" customFormat="1" ht="15" x14ac:dyDescent="0.25">
      <c r="A129" s="2049" t="s">
        <v>265</v>
      </c>
      <c r="D129" s="2164">
        <f t="shared" si="107"/>
        <v>2353190.7936088406</v>
      </c>
      <c r="E129" s="2165">
        <f t="shared" si="108"/>
        <v>1565505.9363911592</v>
      </c>
      <c r="F129" s="2165">
        <f t="shared" si="109"/>
        <v>750172.0199999999</v>
      </c>
      <c r="G129" s="2165">
        <f t="shared" si="110"/>
        <v>29324.139999999992</v>
      </c>
      <c r="H129" s="2165">
        <f t="shared" si="111"/>
        <v>64793.159999999996</v>
      </c>
      <c r="I129" s="2165">
        <f t="shared" si="112"/>
        <v>4762986.0499999989</v>
      </c>
      <c r="J129" s="2165">
        <f t="shared" si="113"/>
        <v>94117.299999999988</v>
      </c>
      <c r="K129" s="2165">
        <f t="shared" si="114"/>
        <v>844289.31999999983</v>
      </c>
      <c r="L129" s="2165"/>
      <c r="M129" s="2165"/>
      <c r="N129" s="2165"/>
      <c r="O129" s="2165"/>
      <c r="P129" s="2165"/>
      <c r="Q129" s="2165">
        <f t="shared" si="115"/>
        <v>0</v>
      </c>
      <c r="R129" s="2165">
        <v>0</v>
      </c>
      <c r="S129" s="2165">
        <v>0</v>
      </c>
      <c r="T129" s="2165">
        <v>0</v>
      </c>
      <c r="U129" s="2165">
        <v>0</v>
      </c>
      <c r="V129" s="2165">
        <v>62168.61</v>
      </c>
      <c r="W129" s="2165">
        <f t="shared" si="116"/>
        <v>62168.61</v>
      </c>
      <c r="X129" s="2165">
        <v>248335.29000000004</v>
      </c>
      <c r="Y129" s="2165">
        <v>1478.3400000000001</v>
      </c>
      <c r="Z129" s="2165">
        <v>45824.000000000007</v>
      </c>
      <c r="AA129" s="2165">
        <v>-0.40000000000000013</v>
      </c>
      <c r="AB129" s="2165">
        <v>2013.99</v>
      </c>
      <c r="AC129" s="2165">
        <f t="shared" si="117"/>
        <v>297651.22000000003</v>
      </c>
      <c r="AD129" s="2166">
        <v>688794.34</v>
      </c>
      <c r="AE129" s="2167">
        <v>0</v>
      </c>
      <c r="AF129" s="2167">
        <v>172198.66999999998</v>
      </c>
      <c r="AG129" s="2167">
        <v>28669.61</v>
      </c>
      <c r="AH129" s="2167">
        <v>610.55999999999995</v>
      </c>
      <c r="AI129" s="2168">
        <f t="shared" si="118"/>
        <v>890273.18</v>
      </c>
      <c r="AJ129" s="2166">
        <v>65375.24</v>
      </c>
      <c r="AK129" s="2167">
        <v>16795.46</v>
      </c>
      <c r="AL129" s="2167">
        <v>15072.78</v>
      </c>
      <c r="AM129" s="2167">
        <v>-0.26999999999999996</v>
      </c>
      <c r="AN129" s="2167">
        <v>0</v>
      </c>
      <c r="AO129" s="2168">
        <f t="shared" si="119"/>
        <v>97243.209999999992</v>
      </c>
      <c r="AP129" s="2166">
        <v>86895.670000000013</v>
      </c>
      <c r="AQ129" s="2167">
        <v>21723.960000000003</v>
      </c>
      <c r="AR129" s="2167">
        <v>0</v>
      </c>
      <c r="AS129" s="2167">
        <v>0</v>
      </c>
      <c r="AT129" s="2167">
        <v>0</v>
      </c>
      <c r="AU129" s="2168">
        <f t="shared" si="120"/>
        <v>108619.63000000002</v>
      </c>
      <c r="AV129" s="2166">
        <v>120595.28000000001</v>
      </c>
      <c r="AW129" s="2167">
        <v>30148.83</v>
      </c>
      <c r="AX129" s="2167">
        <v>0</v>
      </c>
      <c r="AY129" s="2167">
        <v>0</v>
      </c>
      <c r="AZ129" s="2167">
        <v>0</v>
      </c>
      <c r="BA129" s="2168">
        <f t="shared" si="121"/>
        <v>150744.11000000002</v>
      </c>
      <c r="BB129" s="2166">
        <v>24821.699999999997</v>
      </c>
      <c r="BC129" s="2167">
        <v>44823.990000000005</v>
      </c>
      <c r="BD129" s="2167">
        <v>0</v>
      </c>
      <c r="BE129" s="2167">
        <v>-0.02</v>
      </c>
      <c r="BF129" s="2167">
        <v>0</v>
      </c>
      <c r="BG129" s="2168">
        <f t="shared" si="122"/>
        <v>69645.67</v>
      </c>
      <c r="BH129" s="2166">
        <v>559125.86999999988</v>
      </c>
      <c r="BI129" s="2167">
        <v>70822.820000000007</v>
      </c>
      <c r="BJ129" s="2167">
        <v>115552.92000000001</v>
      </c>
      <c r="BK129" s="2167">
        <v>-1.1500000000000001</v>
      </c>
      <c r="BL129" s="2167">
        <v>0</v>
      </c>
      <c r="BM129" s="2168">
        <f t="shared" si="123"/>
        <v>745500.46</v>
      </c>
      <c r="BN129" s="2166">
        <v>-1886.0300000000002</v>
      </c>
      <c r="BO129" s="2167">
        <v>-1886.0300000000002</v>
      </c>
      <c r="BP129" s="2167">
        <v>0</v>
      </c>
      <c r="BQ129" s="2167">
        <v>0.03</v>
      </c>
      <c r="BR129" s="2167">
        <v>0</v>
      </c>
      <c r="BS129" s="2168">
        <f t="shared" si="124"/>
        <v>-3772.03</v>
      </c>
      <c r="BT129" s="2166">
        <v>271458.05360884074</v>
      </c>
      <c r="BU129" s="2167">
        <v>1305244.1463911592</v>
      </c>
      <c r="BV129" s="2167">
        <v>289217.93999999994</v>
      </c>
      <c r="BW129" s="2167">
        <v>439.9500000000001</v>
      </c>
      <c r="BX129" s="2167">
        <v>0</v>
      </c>
      <c r="BY129" s="2168">
        <f t="shared" si="125"/>
        <v>1866360.0899999999</v>
      </c>
      <c r="BZ129" s="2166">
        <v>58051.849999999984</v>
      </c>
      <c r="CA129" s="2167">
        <v>0</v>
      </c>
      <c r="CB129" s="2167">
        <v>53607.839999999997</v>
      </c>
      <c r="CC129" s="2167">
        <v>-0.02</v>
      </c>
      <c r="CD129" s="2167">
        <v>0</v>
      </c>
      <c r="CE129" s="2168">
        <f t="shared" si="126"/>
        <v>111659.66999999997</v>
      </c>
      <c r="CF129" s="2166"/>
      <c r="CG129" s="2167"/>
      <c r="CH129" s="2167"/>
      <c r="CI129" s="2167"/>
      <c r="CJ129" s="2167"/>
      <c r="CK129" s="2168">
        <f t="shared" si="127"/>
        <v>0</v>
      </c>
      <c r="CL129" s="2166">
        <v>-825</v>
      </c>
      <c r="CM129" s="2167">
        <v>0</v>
      </c>
      <c r="CN129" s="2167">
        <v>0</v>
      </c>
      <c r="CO129" s="2167">
        <v>0</v>
      </c>
      <c r="CP129" s="2167">
        <v>0</v>
      </c>
      <c r="CQ129" s="2168">
        <f t="shared" si="128"/>
        <v>-825</v>
      </c>
      <c r="CR129" s="2166">
        <v>-183.89</v>
      </c>
      <c r="CS129" s="2167">
        <v>-183.89</v>
      </c>
      <c r="CT129" s="2167">
        <v>0</v>
      </c>
      <c r="CU129" s="2167">
        <v>0.01</v>
      </c>
      <c r="CV129" s="2167">
        <v>0</v>
      </c>
      <c r="CW129" s="2168">
        <f t="shared" si="129"/>
        <v>-367.77</v>
      </c>
      <c r="CX129" s="2166">
        <v>-2555.34</v>
      </c>
      <c r="CY129" s="2167">
        <v>-2555.34</v>
      </c>
      <c r="CZ129" s="2167">
        <v>0</v>
      </c>
      <c r="DA129" s="2167">
        <v>0.02</v>
      </c>
      <c r="DB129" s="2167">
        <v>0</v>
      </c>
      <c r="DC129" s="2168">
        <f t="shared" si="130"/>
        <v>-5110.66</v>
      </c>
      <c r="DD129" s="2166">
        <v>-4984.22</v>
      </c>
      <c r="DE129" s="2167">
        <v>0</v>
      </c>
      <c r="DF129" s="2167">
        <v>0</v>
      </c>
      <c r="DG129" s="2167">
        <v>0</v>
      </c>
      <c r="DH129" s="2167">
        <v>0</v>
      </c>
      <c r="DI129" s="2168">
        <f t="shared" si="131"/>
        <v>-4984.22</v>
      </c>
      <c r="DJ129" s="2166">
        <v>-367.5</v>
      </c>
      <c r="DK129" s="2167">
        <v>-367.5</v>
      </c>
      <c r="DL129" s="2167">
        <v>0</v>
      </c>
      <c r="DM129" s="2167">
        <v>0</v>
      </c>
      <c r="DN129" s="2167">
        <v>0</v>
      </c>
      <c r="DO129" s="2168">
        <f t="shared" si="132"/>
        <v>-735</v>
      </c>
      <c r="DP129" s="2166">
        <v>115161.21</v>
      </c>
      <c r="DQ129" s="2167">
        <v>79461.150000000009</v>
      </c>
      <c r="DR129" s="2167">
        <v>35700.01</v>
      </c>
      <c r="DS129" s="2167">
        <v>549.28</v>
      </c>
      <c r="DT129" s="2167">
        <v>0</v>
      </c>
      <c r="DU129" s="2168">
        <f t="shared" si="133"/>
        <v>230871.65000000002</v>
      </c>
      <c r="DV129" s="2166">
        <v>125378.27000000002</v>
      </c>
      <c r="DW129" s="2167">
        <v>0</v>
      </c>
      <c r="DX129" s="2167">
        <v>22997.86</v>
      </c>
      <c r="DY129" s="2167">
        <v>-332.90000000000009</v>
      </c>
      <c r="DZ129" s="2167">
        <v>0</v>
      </c>
      <c r="EA129" s="2168">
        <f t="shared" si="134"/>
        <v>148043.23000000001</v>
      </c>
    </row>
    <row r="130" spans="1:131" s="2049" customFormat="1" ht="15" x14ac:dyDescent="0.25">
      <c r="A130" s="2049" t="s">
        <v>268</v>
      </c>
      <c r="D130" s="2164">
        <f t="shared" si="107"/>
        <v>1612374.7471395691</v>
      </c>
      <c r="E130" s="2165">
        <f t="shared" si="108"/>
        <v>994485.46286043071</v>
      </c>
      <c r="F130" s="2165">
        <f t="shared" si="109"/>
        <v>506768.69</v>
      </c>
      <c r="G130" s="2165">
        <f t="shared" si="110"/>
        <v>2509.5500000000006</v>
      </c>
      <c r="H130" s="2165">
        <f t="shared" si="111"/>
        <v>184.24</v>
      </c>
      <c r="I130" s="2165">
        <f t="shared" si="112"/>
        <v>3116322.69</v>
      </c>
      <c r="J130" s="2165">
        <f t="shared" si="113"/>
        <v>2693.7900000000009</v>
      </c>
      <c r="K130" s="2165">
        <f t="shared" si="114"/>
        <v>509462.48</v>
      </c>
      <c r="L130" s="2165">
        <v>0</v>
      </c>
      <c r="M130" s="2165">
        <v>1782</v>
      </c>
      <c r="N130" s="2165">
        <v>0</v>
      </c>
      <c r="O130" s="2165">
        <v>0</v>
      </c>
      <c r="P130" s="2165">
        <v>0</v>
      </c>
      <c r="Q130" s="2165">
        <f t="shared" si="115"/>
        <v>1782</v>
      </c>
      <c r="R130" s="2165">
        <v>0</v>
      </c>
      <c r="S130" s="2165">
        <v>0</v>
      </c>
      <c r="T130" s="2165">
        <v>0</v>
      </c>
      <c r="U130" s="2165">
        <v>1387.5</v>
      </c>
      <c r="V130" s="2165">
        <v>0</v>
      </c>
      <c r="W130" s="2165">
        <f t="shared" si="116"/>
        <v>1387.5</v>
      </c>
      <c r="X130" s="2165">
        <v>138547.81</v>
      </c>
      <c r="Y130" s="2165">
        <v>824.70999999999992</v>
      </c>
      <c r="Z130" s="2165">
        <v>25565.35</v>
      </c>
      <c r="AA130" s="2165">
        <v>-0.05</v>
      </c>
      <c r="AB130" s="2165">
        <v>0</v>
      </c>
      <c r="AC130" s="2165">
        <f t="shared" si="117"/>
        <v>164937.82</v>
      </c>
      <c r="AD130" s="2166">
        <v>708765.55999999994</v>
      </c>
      <c r="AE130" s="2167">
        <v>0</v>
      </c>
      <c r="AF130" s="2167">
        <v>177191.40000000002</v>
      </c>
      <c r="AG130" s="2167">
        <v>0</v>
      </c>
      <c r="AH130" s="2167">
        <v>0</v>
      </c>
      <c r="AI130" s="2168">
        <f t="shared" si="118"/>
        <v>885956.96</v>
      </c>
      <c r="AJ130" s="2166">
        <v>32349.989999999998</v>
      </c>
      <c r="AK130" s="2167">
        <v>11765.869999999999</v>
      </c>
      <c r="AL130" s="2167">
        <v>8092.25</v>
      </c>
      <c r="AM130" s="2167">
        <v>-0.06</v>
      </c>
      <c r="AN130" s="2167">
        <v>0</v>
      </c>
      <c r="AO130" s="2168">
        <f t="shared" si="119"/>
        <v>52208.05</v>
      </c>
      <c r="AP130" s="2166">
        <v>38285.67</v>
      </c>
      <c r="AQ130" s="2167">
        <v>9571.43</v>
      </c>
      <c r="AR130" s="2167">
        <v>0</v>
      </c>
      <c r="AS130" s="2167">
        <v>0</v>
      </c>
      <c r="AT130" s="2167">
        <v>0</v>
      </c>
      <c r="AU130" s="2168">
        <f t="shared" si="120"/>
        <v>47857.1</v>
      </c>
      <c r="AV130" s="2166">
        <v>75130.5</v>
      </c>
      <c r="AW130" s="2167">
        <v>18782.659999999996</v>
      </c>
      <c r="AX130" s="2167">
        <v>0</v>
      </c>
      <c r="AY130" s="2167">
        <v>0</v>
      </c>
      <c r="AZ130" s="2167">
        <v>0</v>
      </c>
      <c r="BA130" s="2168">
        <f t="shared" si="121"/>
        <v>93913.16</v>
      </c>
      <c r="BB130" s="2166">
        <v>3228.6400000000003</v>
      </c>
      <c r="BC130" s="2167">
        <v>5830.3899999999994</v>
      </c>
      <c r="BD130" s="2167">
        <v>0</v>
      </c>
      <c r="BE130" s="2167">
        <v>0</v>
      </c>
      <c r="BF130" s="2167">
        <v>0</v>
      </c>
      <c r="BG130" s="2168">
        <f t="shared" si="122"/>
        <v>9059.0299999999988</v>
      </c>
      <c r="BH130" s="2166">
        <v>294854.68999999994</v>
      </c>
      <c r="BI130" s="2167">
        <v>37348.33</v>
      </c>
      <c r="BJ130" s="2167">
        <v>60936.76999999999</v>
      </c>
      <c r="BK130" s="2167">
        <v>1057.6900000000003</v>
      </c>
      <c r="BL130" s="2167">
        <v>0</v>
      </c>
      <c r="BM130" s="2168">
        <f t="shared" si="123"/>
        <v>394197.47999999992</v>
      </c>
      <c r="BN130" s="2166">
        <v>-1881.24</v>
      </c>
      <c r="BO130" s="2167">
        <v>-1881.24</v>
      </c>
      <c r="BP130" s="2167">
        <v>0</v>
      </c>
      <c r="BQ130" s="2167">
        <v>0.01</v>
      </c>
      <c r="BR130" s="2167">
        <v>0</v>
      </c>
      <c r="BS130" s="2168">
        <f t="shared" si="124"/>
        <v>-3762.47</v>
      </c>
      <c r="BT130" s="2166">
        <v>152374.27713956917</v>
      </c>
      <c r="BU130" s="2167">
        <v>857071.22286043072</v>
      </c>
      <c r="BV130" s="2167">
        <v>185164.69</v>
      </c>
      <c r="BW130" s="2167">
        <v>-1.8900000000000006</v>
      </c>
      <c r="BX130" s="2167">
        <v>0</v>
      </c>
      <c r="BY130" s="2168">
        <f t="shared" si="125"/>
        <v>1194608.3</v>
      </c>
      <c r="BZ130" s="2166">
        <v>9490.4700000000012</v>
      </c>
      <c r="CA130" s="2167">
        <v>0</v>
      </c>
      <c r="CB130" s="2167">
        <v>8763.9000000000015</v>
      </c>
      <c r="CC130" s="2167">
        <v>0</v>
      </c>
      <c r="CD130" s="2167">
        <v>0</v>
      </c>
      <c r="CE130" s="2168">
        <f t="shared" si="126"/>
        <v>18254.370000000003</v>
      </c>
      <c r="CF130" s="2166">
        <v>207.96</v>
      </c>
      <c r="CG130" s="2167">
        <v>0</v>
      </c>
      <c r="CH130" s="2167">
        <v>392.04</v>
      </c>
      <c r="CI130" s="2167">
        <v>0</v>
      </c>
      <c r="CJ130" s="2167">
        <v>0</v>
      </c>
      <c r="CK130" s="2168">
        <f t="shared" si="127"/>
        <v>600</v>
      </c>
      <c r="CL130" s="2166"/>
      <c r="CM130" s="2167"/>
      <c r="CN130" s="2167"/>
      <c r="CO130" s="2167"/>
      <c r="CP130" s="2167"/>
      <c r="CQ130" s="2168">
        <f t="shared" si="128"/>
        <v>0</v>
      </c>
      <c r="CR130" s="2166">
        <v>-255</v>
      </c>
      <c r="CS130" s="2167">
        <v>-255</v>
      </c>
      <c r="CT130" s="2167">
        <v>0</v>
      </c>
      <c r="CU130" s="2167">
        <v>0</v>
      </c>
      <c r="CV130" s="2167">
        <v>0</v>
      </c>
      <c r="CW130" s="2168">
        <f t="shared" si="129"/>
        <v>-510</v>
      </c>
      <c r="CX130" s="2166">
        <v>-846</v>
      </c>
      <c r="CY130" s="2167">
        <v>-846</v>
      </c>
      <c r="CZ130" s="2167">
        <v>0</v>
      </c>
      <c r="DA130" s="2167">
        <v>0</v>
      </c>
      <c r="DB130" s="2167">
        <v>0</v>
      </c>
      <c r="DC130" s="2168">
        <f t="shared" si="130"/>
        <v>-1692</v>
      </c>
      <c r="DD130" s="2166">
        <v>-5064</v>
      </c>
      <c r="DE130" s="2167">
        <v>0</v>
      </c>
      <c r="DF130" s="2167">
        <v>0</v>
      </c>
      <c r="DG130" s="2167">
        <v>0</v>
      </c>
      <c r="DH130" s="2167">
        <v>0</v>
      </c>
      <c r="DI130" s="2168">
        <f t="shared" si="131"/>
        <v>-5064</v>
      </c>
      <c r="DJ130" s="2166"/>
      <c r="DK130" s="2167"/>
      <c r="DL130" s="2167"/>
      <c r="DM130" s="2167"/>
      <c r="DN130" s="2167"/>
      <c r="DO130" s="2168">
        <f t="shared" si="132"/>
        <v>0</v>
      </c>
      <c r="DP130" s="2166">
        <v>78972.600000000006</v>
      </c>
      <c r="DQ130" s="2167">
        <v>54491.09</v>
      </c>
      <c r="DR130" s="2167">
        <v>24481.5</v>
      </c>
      <c r="DS130" s="2167">
        <v>-0.03</v>
      </c>
      <c r="DT130" s="2167">
        <v>0</v>
      </c>
      <c r="DU130" s="2168">
        <f t="shared" si="133"/>
        <v>157945.16</v>
      </c>
      <c r="DV130" s="2166">
        <v>88212.820000000022</v>
      </c>
      <c r="DW130" s="2167">
        <v>0</v>
      </c>
      <c r="DX130" s="2167">
        <v>16180.789999999999</v>
      </c>
      <c r="DY130" s="2167">
        <v>66.379999999999981</v>
      </c>
      <c r="DZ130" s="2167">
        <v>184.24</v>
      </c>
      <c r="EA130" s="2168">
        <f t="shared" si="134"/>
        <v>104644.23000000003</v>
      </c>
    </row>
    <row r="131" spans="1:131" s="2049" customFormat="1" ht="15" x14ac:dyDescent="0.25">
      <c r="A131" s="2049" t="s">
        <v>9</v>
      </c>
      <c r="D131" s="2169">
        <f t="shared" si="107"/>
        <v>13157473.209999999</v>
      </c>
      <c r="E131" s="2170">
        <f t="shared" si="108"/>
        <v>9131449.179999996</v>
      </c>
      <c r="F131" s="2170">
        <f t="shared" si="109"/>
        <v>4472477.58</v>
      </c>
      <c r="G131" s="2170">
        <f t="shared" si="110"/>
        <v>1592003.4500000007</v>
      </c>
      <c r="H131" s="2170">
        <f t="shared" si="111"/>
        <v>2371817.1500000004</v>
      </c>
      <c r="I131" s="2170">
        <f t="shared" ref="I131" si="135">SUM(I126:I130)</f>
        <v>30725220.570000004</v>
      </c>
      <c r="J131" s="2170">
        <f>SUM(J126:J130)</f>
        <v>3963820.5999999996</v>
      </c>
      <c r="K131" s="2170">
        <f>SUM(K126:K130)</f>
        <v>8436298.1799999997</v>
      </c>
      <c r="L131" s="2170">
        <f t="shared" ref="L131:P131" si="136">SUM(L126:L130)</f>
        <v>0</v>
      </c>
      <c r="M131" s="2170">
        <f t="shared" si="136"/>
        <v>9382.23</v>
      </c>
      <c r="N131" s="2170">
        <f t="shared" si="136"/>
        <v>0</v>
      </c>
      <c r="O131" s="2170">
        <f t="shared" si="136"/>
        <v>0</v>
      </c>
      <c r="P131" s="2170">
        <f t="shared" si="136"/>
        <v>0</v>
      </c>
      <c r="Q131" s="2170">
        <f>SUM(Q126:Q130)</f>
        <v>9382.23</v>
      </c>
      <c r="R131" s="2170">
        <f t="shared" ref="R131:V131" si="137">SUM(R126:R130)</f>
        <v>0</v>
      </c>
      <c r="S131" s="2170">
        <f t="shared" si="137"/>
        <v>0</v>
      </c>
      <c r="T131" s="2170">
        <f t="shared" si="137"/>
        <v>0</v>
      </c>
      <c r="U131" s="2170">
        <f t="shared" si="137"/>
        <v>160963.86000000002</v>
      </c>
      <c r="V131" s="2170">
        <f t="shared" si="137"/>
        <v>113386.01000000001</v>
      </c>
      <c r="W131" s="2170">
        <f>SUM(W126:W130)</f>
        <v>274349.87</v>
      </c>
      <c r="X131" s="2170">
        <f t="shared" ref="X131:AB131" si="138">SUM(X126:X130)</f>
        <v>1400417.6000000003</v>
      </c>
      <c r="Y131" s="2170">
        <f t="shared" si="138"/>
        <v>8336.3799999999992</v>
      </c>
      <c r="Z131" s="2170">
        <f t="shared" si="138"/>
        <v>258410.88000000003</v>
      </c>
      <c r="AA131" s="2170">
        <f t="shared" si="138"/>
        <v>396.77000000000004</v>
      </c>
      <c r="AB131" s="2170">
        <f t="shared" si="138"/>
        <v>6013.99</v>
      </c>
      <c r="AC131" s="2170">
        <f>SUM(AC126:AC130)</f>
        <v>1673575.62</v>
      </c>
      <c r="AD131" s="2171">
        <f t="shared" ref="AD131:AH131" si="139">SUM(AD126:AD130)</f>
        <v>4407042.68</v>
      </c>
      <c r="AE131" s="2172">
        <f t="shared" si="139"/>
        <v>0</v>
      </c>
      <c r="AF131" s="2172">
        <f t="shared" si="139"/>
        <v>1101760.5699999998</v>
      </c>
      <c r="AG131" s="2172">
        <f t="shared" si="139"/>
        <v>1213984.9000000001</v>
      </c>
      <c r="AH131" s="2172">
        <f t="shared" si="139"/>
        <v>2155150.2000000002</v>
      </c>
      <c r="AI131" s="2173">
        <f>SUM(AI126:AI130)</f>
        <v>8877938.3499999996</v>
      </c>
      <c r="AJ131" s="2171">
        <f t="shared" ref="AJ131:AN131" si="140">SUM(AJ126:AJ130)</f>
        <v>277103.26</v>
      </c>
      <c r="AK131" s="2172">
        <f t="shared" si="140"/>
        <v>70489.19</v>
      </c>
      <c r="AL131" s="2172">
        <f t="shared" si="140"/>
        <v>63759.74</v>
      </c>
      <c r="AM131" s="2172">
        <f t="shared" si="140"/>
        <v>-0.88000000000000012</v>
      </c>
      <c r="AN131" s="2172">
        <f t="shared" si="140"/>
        <v>0</v>
      </c>
      <c r="AO131" s="2173">
        <f>SUM(AO126:AO130)</f>
        <v>411351.31</v>
      </c>
      <c r="AP131" s="2171">
        <f t="shared" ref="AP131:AT131" si="141">SUM(AP126:AP130)</f>
        <v>373493.8</v>
      </c>
      <c r="AQ131" s="2172">
        <f t="shared" si="141"/>
        <v>93373.489999999991</v>
      </c>
      <c r="AR131" s="2172">
        <f t="shared" si="141"/>
        <v>0</v>
      </c>
      <c r="AS131" s="2172">
        <f t="shared" si="141"/>
        <v>0</v>
      </c>
      <c r="AT131" s="2172">
        <f t="shared" si="141"/>
        <v>346.5</v>
      </c>
      <c r="AU131" s="2173">
        <f>SUM(AU126:AU130)</f>
        <v>467213.79000000004</v>
      </c>
      <c r="AV131" s="2171">
        <f t="shared" ref="AV131:AZ131" si="142">SUM(AV126:AV130)</f>
        <v>443889.67000000004</v>
      </c>
      <c r="AW131" s="2172">
        <f t="shared" si="142"/>
        <v>110972.48000000001</v>
      </c>
      <c r="AX131" s="2172">
        <f t="shared" si="142"/>
        <v>0</v>
      </c>
      <c r="AY131" s="2172">
        <f t="shared" si="142"/>
        <v>0</v>
      </c>
      <c r="AZ131" s="2172">
        <f t="shared" si="142"/>
        <v>0</v>
      </c>
      <c r="BA131" s="2173">
        <f>SUM(BA126:BA130)</f>
        <v>554862.15</v>
      </c>
      <c r="BB131" s="2171">
        <f t="shared" ref="BB131:BF131" si="143">SUM(BB126:BB130)</f>
        <v>70073.779999999984</v>
      </c>
      <c r="BC131" s="2172">
        <f t="shared" si="143"/>
        <v>126541.91</v>
      </c>
      <c r="BD131" s="2172">
        <f t="shared" si="143"/>
        <v>0</v>
      </c>
      <c r="BE131" s="2172">
        <f t="shared" si="143"/>
        <v>174.98</v>
      </c>
      <c r="BF131" s="2172">
        <f t="shared" si="143"/>
        <v>285</v>
      </c>
      <c r="BG131" s="2173">
        <f>SUM(BG126:BG130)</f>
        <v>197075.66999999998</v>
      </c>
      <c r="BH131" s="2171">
        <f t="shared" ref="BH131:BL131" si="144">SUM(BH126:BH130)</f>
        <v>2761257.39</v>
      </c>
      <c r="BI131" s="2172">
        <f t="shared" si="144"/>
        <v>349760.18000000005</v>
      </c>
      <c r="BJ131" s="2172">
        <f t="shared" si="144"/>
        <v>570660.84</v>
      </c>
      <c r="BK131" s="2172">
        <f t="shared" si="144"/>
        <v>44885.21</v>
      </c>
      <c r="BL131" s="2172">
        <f t="shared" si="144"/>
        <v>8501.4599999999991</v>
      </c>
      <c r="BM131" s="2173">
        <f>SUM(BM126:BM130)</f>
        <v>3735065.0799999996</v>
      </c>
      <c r="BN131" s="2171">
        <f t="shared" ref="BN131:BR131" si="145">SUM(BN126:BN130)</f>
        <v>-16775.14</v>
      </c>
      <c r="BO131" s="2172">
        <f t="shared" si="145"/>
        <v>-16775.14</v>
      </c>
      <c r="BP131" s="2172">
        <f t="shared" si="145"/>
        <v>0</v>
      </c>
      <c r="BQ131" s="2172">
        <f t="shared" si="145"/>
        <v>0.16000000000000003</v>
      </c>
      <c r="BR131" s="2172">
        <f t="shared" si="145"/>
        <v>0</v>
      </c>
      <c r="BS131" s="2173">
        <f>SUM(BS126:BS130)</f>
        <v>-33550.120000000003</v>
      </c>
      <c r="BT131" s="2171">
        <f t="shared" ref="BT131:BX131" si="146">SUM(BT126:BT130)</f>
        <v>1884092.2500000021</v>
      </c>
      <c r="BU131" s="2172">
        <f t="shared" si="146"/>
        <v>8021992.9999999972</v>
      </c>
      <c r="BV131" s="2172">
        <f t="shared" si="146"/>
        <v>1817093.9899999998</v>
      </c>
      <c r="BW131" s="2172">
        <f t="shared" si="146"/>
        <v>26769.479999999996</v>
      </c>
      <c r="BX131" s="2172">
        <f t="shared" si="146"/>
        <v>9210.16</v>
      </c>
      <c r="BY131" s="2173">
        <f>SUM(BY126:BY130)</f>
        <v>11759158.880000001</v>
      </c>
      <c r="BZ131" s="2171">
        <f t="shared" ref="BZ131:CD131" si="147">SUM(BZ126:BZ130)</f>
        <v>375012.41999999993</v>
      </c>
      <c r="CA131" s="2172">
        <f t="shared" si="147"/>
        <v>0</v>
      </c>
      <c r="CB131" s="2172">
        <f t="shared" si="147"/>
        <v>346304.06000000006</v>
      </c>
      <c r="CC131" s="2172">
        <f t="shared" si="147"/>
        <v>49278.630000000005</v>
      </c>
      <c r="CD131" s="2172">
        <f t="shared" si="147"/>
        <v>151.93</v>
      </c>
      <c r="CE131" s="2173">
        <f>SUM(CE126:CE130)</f>
        <v>770747.03999999992</v>
      </c>
      <c r="CF131" s="2171">
        <f t="shared" ref="CF131:CJ131" si="148">SUM(CF126:CF130)</f>
        <v>4539.7199999999993</v>
      </c>
      <c r="CG131" s="2172">
        <f t="shared" si="148"/>
        <v>0</v>
      </c>
      <c r="CH131" s="2172">
        <f t="shared" si="148"/>
        <v>8558.15</v>
      </c>
      <c r="CI131" s="2172">
        <f t="shared" si="148"/>
        <v>-0.01</v>
      </c>
      <c r="CJ131" s="2172">
        <f t="shared" si="148"/>
        <v>0</v>
      </c>
      <c r="CK131" s="2173">
        <f>SUM(CK126:CK130)</f>
        <v>13097.86</v>
      </c>
      <c r="CL131" s="2171">
        <f t="shared" ref="CL131:CP131" si="149">SUM(CL126:CL130)</f>
        <v>-3582.0699999999997</v>
      </c>
      <c r="CM131" s="2172">
        <f t="shared" si="149"/>
        <v>0</v>
      </c>
      <c r="CN131" s="2172">
        <f t="shared" si="149"/>
        <v>0</v>
      </c>
      <c r="CO131" s="2172">
        <f t="shared" si="149"/>
        <v>0</v>
      </c>
      <c r="CP131" s="2172">
        <f t="shared" si="149"/>
        <v>0</v>
      </c>
      <c r="CQ131" s="2173">
        <f>SUM(CQ126:CQ130)</f>
        <v>-3582.0699999999997</v>
      </c>
      <c r="CR131" s="2171">
        <f t="shared" ref="CR131:CV131" si="150">SUM(CR126:CR130)</f>
        <v>-8762.6899999999987</v>
      </c>
      <c r="CS131" s="2172">
        <f t="shared" si="150"/>
        <v>-8762.6899999999987</v>
      </c>
      <c r="CT131" s="2172">
        <f t="shared" si="150"/>
        <v>0</v>
      </c>
      <c r="CU131" s="2172">
        <f t="shared" si="150"/>
        <v>0.08</v>
      </c>
      <c r="CV131" s="2172">
        <f t="shared" si="150"/>
        <v>0</v>
      </c>
      <c r="CW131" s="2173">
        <f>SUM(CW126:CW130)</f>
        <v>-17525.3</v>
      </c>
      <c r="CX131" s="2171">
        <f t="shared" ref="CX131:DB131" si="151">SUM(CX126:CX130)</f>
        <v>-19924.310000000001</v>
      </c>
      <c r="CY131" s="2172">
        <f t="shared" si="151"/>
        <v>-19824.310000000001</v>
      </c>
      <c r="CZ131" s="2172">
        <f t="shared" si="151"/>
        <v>0</v>
      </c>
      <c r="DA131" s="2172">
        <f t="shared" si="151"/>
        <v>0.06</v>
      </c>
      <c r="DB131" s="2172">
        <f t="shared" si="151"/>
        <v>0</v>
      </c>
      <c r="DC131" s="2173">
        <f>SUM(DC126:DC130)</f>
        <v>-39748.559999999998</v>
      </c>
      <c r="DD131" s="2171">
        <f t="shared" ref="DD131:DH131" si="152">SUM(DD126:DD130)</f>
        <v>-53025.73</v>
      </c>
      <c r="DE131" s="2172">
        <f t="shared" si="152"/>
        <v>0</v>
      </c>
      <c r="DF131" s="2172">
        <f t="shared" si="152"/>
        <v>0</v>
      </c>
      <c r="DG131" s="2172">
        <f t="shared" si="152"/>
        <v>0</v>
      </c>
      <c r="DH131" s="2172">
        <f t="shared" si="152"/>
        <v>0</v>
      </c>
      <c r="DI131" s="2173">
        <f>SUM(DI126:DI130)</f>
        <v>-53025.73</v>
      </c>
      <c r="DJ131" s="2171">
        <f t="shared" ref="DJ131:DN131" si="153">SUM(DJ126:DJ130)</f>
        <v>-9617.0499999999993</v>
      </c>
      <c r="DK131" s="2172">
        <f t="shared" si="153"/>
        <v>-9617.0499999999993</v>
      </c>
      <c r="DL131" s="2172">
        <f t="shared" si="153"/>
        <v>0</v>
      </c>
      <c r="DM131" s="2172">
        <f t="shared" si="153"/>
        <v>0</v>
      </c>
      <c r="DN131" s="2172">
        <f t="shared" si="153"/>
        <v>0</v>
      </c>
      <c r="DO131" s="2173">
        <f>SUM(DO126:DO130)</f>
        <v>-19234.099999999999</v>
      </c>
      <c r="DP131" s="2171">
        <f t="shared" ref="DP131:DT131" si="154">SUM(DP126:DP130)</f>
        <v>573303.94000000006</v>
      </c>
      <c r="DQ131" s="2172">
        <f t="shared" si="154"/>
        <v>395579.51</v>
      </c>
      <c r="DR131" s="2172">
        <f t="shared" si="154"/>
        <v>177724.24000000002</v>
      </c>
      <c r="DS131" s="2172">
        <f t="shared" si="154"/>
        <v>17715.07</v>
      </c>
      <c r="DT131" s="2172">
        <f t="shared" si="154"/>
        <v>10589.04</v>
      </c>
      <c r="DU131" s="2173">
        <f>SUM(DU126:DU130)</f>
        <v>1174911.8</v>
      </c>
      <c r="DV131" s="2171">
        <f t="shared" ref="DV131:DY131" si="155">SUM(DV126:DV130)</f>
        <v>698933.69000000018</v>
      </c>
      <c r="DW131" s="2172">
        <f t="shared" si="155"/>
        <v>0</v>
      </c>
      <c r="DX131" s="2172">
        <f t="shared" si="155"/>
        <v>128205.10999999999</v>
      </c>
      <c r="DY131" s="2172">
        <f t="shared" si="155"/>
        <v>77835.140000000029</v>
      </c>
      <c r="DZ131" s="2172">
        <f t="shared" ref="DZ131" si="156">SUM(DZ126:DZ130)</f>
        <v>68182.86</v>
      </c>
      <c r="EA131" s="2173">
        <f>SUM(EA126:EA130)</f>
        <v>973156.8</v>
      </c>
    </row>
    <row r="133" spans="1:131" s="369" customFormat="1" x14ac:dyDescent="0.25">
      <c r="A133" s="917" t="s">
        <v>1280</v>
      </c>
      <c r="B133" s="676"/>
      <c r="C133" s="676"/>
      <c r="D133" s="629"/>
      <c r="BB133" s="952"/>
      <c r="BC133" s="952"/>
      <c r="BD133" s="952"/>
      <c r="BE133" s="952"/>
      <c r="BF133" s="952"/>
      <c r="BG133" s="952"/>
      <c r="BH133" s="952"/>
      <c r="BI133" s="952"/>
      <c r="BJ133" s="952"/>
      <c r="BK133" s="952"/>
      <c r="BL133" s="952"/>
      <c r="BM133" s="952"/>
      <c r="BN133" s="952"/>
      <c r="BO133" s="952"/>
      <c r="BP133" s="952"/>
      <c r="BQ133" s="952"/>
      <c r="BR133" s="952"/>
      <c r="BS133" s="952"/>
      <c r="BT133" s="952"/>
      <c r="BU133" s="952"/>
      <c r="BV133" s="952"/>
      <c r="BW133" s="952"/>
      <c r="BX133" s="952"/>
      <c r="BY133" s="952"/>
      <c r="BZ133" s="952"/>
      <c r="CA133" s="952"/>
      <c r="CB133" s="952"/>
      <c r="CC133" s="952"/>
      <c r="CD133" s="952"/>
      <c r="CE133" s="952"/>
      <c r="CF133" s="952"/>
      <c r="CG133" s="952"/>
      <c r="CH133" s="952"/>
      <c r="CI133" s="952"/>
      <c r="CJ133" s="952"/>
      <c r="CK133" s="952"/>
      <c r="CL133" s="952"/>
      <c r="CM133" s="952"/>
      <c r="CN133" s="952"/>
      <c r="CO133" s="952"/>
      <c r="CP133" s="952"/>
      <c r="CQ133" s="952"/>
      <c r="CR133" s="952"/>
      <c r="CS133" s="952"/>
      <c r="CT133" s="952"/>
      <c r="CU133" s="952"/>
      <c r="CV133" s="952"/>
      <c r="CW133" s="952"/>
      <c r="CX133" s="952"/>
      <c r="CY133" s="952"/>
      <c r="CZ133" s="952"/>
      <c r="DA133" s="952"/>
      <c r="DB133" s="952"/>
      <c r="DC133" s="952"/>
      <c r="DD133" s="952"/>
      <c r="DE133" s="952"/>
      <c r="DF133" s="952"/>
      <c r="DG133" s="952"/>
      <c r="DH133" s="952"/>
      <c r="DI133" s="952"/>
      <c r="DJ133" s="952"/>
      <c r="DK133" s="952"/>
      <c r="DL133" s="952"/>
      <c r="DM133" s="952"/>
      <c r="DN133" s="952"/>
      <c r="DO133" s="952"/>
    </row>
    <row r="134" spans="1:131" s="369" customFormat="1" x14ac:dyDescent="0.25">
      <c r="BB134" s="952"/>
      <c r="BC134" s="952"/>
      <c r="BD134" s="952"/>
      <c r="BE134" s="952"/>
      <c r="BF134" s="952"/>
      <c r="BG134" s="952"/>
      <c r="BH134" s="952"/>
      <c r="BI134" s="952"/>
      <c r="BJ134" s="952"/>
      <c r="BK134" s="952"/>
      <c r="BL134" s="952"/>
      <c r="BM134" s="952"/>
      <c r="BN134" s="952"/>
      <c r="BO134" s="952"/>
      <c r="BP134" s="952"/>
      <c r="BQ134" s="952"/>
      <c r="BR134" s="952"/>
      <c r="BS134" s="952"/>
      <c r="BT134" s="952"/>
      <c r="BU134" s="952"/>
      <c r="BV134" s="952"/>
      <c r="BW134" s="952"/>
      <c r="BX134" s="952"/>
      <c r="BY134" s="952"/>
      <c r="BZ134" s="952"/>
      <c r="CA134" s="952"/>
      <c r="CB134" s="952"/>
      <c r="CC134" s="952"/>
      <c r="CD134" s="952"/>
      <c r="CE134" s="952"/>
      <c r="CF134" s="952"/>
      <c r="CG134" s="952"/>
      <c r="CH134" s="952"/>
      <c r="CI134" s="952"/>
      <c r="CJ134" s="952"/>
      <c r="CK134" s="952"/>
      <c r="CL134" s="952"/>
      <c r="CM134" s="952"/>
      <c r="CN134" s="952"/>
      <c r="CO134" s="952"/>
      <c r="CP134" s="952"/>
      <c r="CQ134" s="952"/>
      <c r="CR134" s="952"/>
      <c r="CS134" s="952"/>
      <c r="CT134" s="952"/>
      <c r="CU134" s="952"/>
      <c r="CV134" s="952"/>
      <c r="CW134" s="952"/>
      <c r="CX134" s="952"/>
      <c r="CY134" s="952"/>
      <c r="CZ134" s="952"/>
      <c r="DA134" s="952"/>
      <c r="DB134" s="952"/>
      <c r="DC134" s="952"/>
      <c r="DD134" s="952"/>
      <c r="DE134" s="952"/>
      <c r="DF134" s="952"/>
      <c r="DG134" s="952"/>
      <c r="DH134" s="952"/>
      <c r="DI134" s="952"/>
      <c r="DJ134" s="952"/>
      <c r="DK134" s="952"/>
      <c r="DL134" s="952"/>
      <c r="DM134" s="952"/>
      <c r="DN134" s="952"/>
      <c r="DO134" s="952"/>
    </row>
    <row r="135" spans="1:131" s="389" customFormat="1" x14ac:dyDescent="0.25">
      <c r="A135" s="389" t="s">
        <v>248</v>
      </c>
      <c r="BB135" s="953"/>
      <c r="BC135" s="953"/>
      <c r="BD135" s="953"/>
      <c r="BE135" s="953"/>
      <c r="BF135" s="953"/>
      <c r="BG135" s="953"/>
      <c r="BH135" s="953"/>
      <c r="BI135" s="953"/>
      <c r="BJ135" s="953"/>
      <c r="BK135" s="953"/>
      <c r="BL135" s="953"/>
      <c r="BM135" s="953"/>
      <c r="BN135" s="953"/>
      <c r="BO135" s="953"/>
      <c r="BP135" s="953"/>
      <c r="BQ135" s="953"/>
      <c r="BR135" s="953"/>
      <c r="BS135" s="953"/>
      <c r="BT135" s="953"/>
      <c r="BU135" s="953"/>
      <c r="BV135" s="953"/>
      <c r="BW135" s="953"/>
      <c r="BX135" s="953"/>
      <c r="BY135" s="953"/>
      <c r="BZ135" s="953"/>
      <c r="CA135" s="953"/>
      <c r="CB135" s="953"/>
      <c r="CC135" s="953"/>
      <c r="CD135" s="953"/>
      <c r="CE135" s="953"/>
      <c r="CF135" s="953"/>
      <c r="CG135" s="953"/>
      <c r="CH135" s="953"/>
      <c r="CI135" s="953"/>
      <c r="CJ135" s="953"/>
      <c r="CK135" s="953"/>
      <c r="CL135" s="953"/>
      <c r="CM135" s="953"/>
      <c r="CN135" s="953"/>
      <c r="CO135" s="953"/>
      <c r="CP135" s="953"/>
      <c r="CQ135" s="953"/>
      <c r="CR135" s="953"/>
      <c r="CS135" s="953"/>
      <c r="CT135" s="953"/>
      <c r="CU135" s="953"/>
      <c r="CV135" s="953"/>
      <c r="CW135" s="953"/>
      <c r="CX135" s="953"/>
      <c r="CY135" s="953"/>
      <c r="CZ135" s="953"/>
      <c r="DA135" s="953"/>
      <c r="DB135" s="953"/>
      <c r="DC135" s="953"/>
      <c r="DD135" s="953"/>
      <c r="DE135" s="953"/>
      <c r="DF135" s="953"/>
      <c r="DG135" s="953"/>
      <c r="DH135" s="953"/>
      <c r="DI135" s="953"/>
      <c r="DJ135" s="953"/>
      <c r="DK135" s="953"/>
      <c r="DL135" s="953"/>
      <c r="DM135" s="953"/>
      <c r="DN135" s="953"/>
      <c r="DO135" s="953"/>
    </row>
    <row r="136" spans="1:131" x14ac:dyDescent="0.25">
      <c r="A136" s="390" t="s">
        <v>249</v>
      </c>
      <c r="B136" s="391" t="s">
        <v>250</v>
      </c>
      <c r="C136" s="391"/>
    </row>
  </sheetData>
  <autoFilter ref="A3:B3"/>
  <sortState ref="A4:EG124">
    <sortCondition ref="A4:A124"/>
  </sortState>
  <hyperlinks>
    <hyperlink ref="B136" r:id="rId1"/>
  </hyperlinks>
  <pageMargins left="0.7" right="0.7" top="0.75" bottom="0.75" header="0.3" footer="0.3"/>
  <pageSetup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2.75" x14ac:dyDescent="0.2"/>
  <cols>
    <col min="1" max="1" width="9" style="219"/>
    <col min="2" max="2" width="27.75" style="219" customWidth="1"/>
    <col min="3" max="3" width="14.25" style="219" customWidth="1"/>
    <col min="4" max="9" width="12.125" style="219" customWidth="1"/>
    <col min="10" max="16384" width="9" style="219"/>
  </cols>
  <sheetData>
    <row r="1" spans="1:9" x14ac:dyDescent="0.2">
      <c r="A1" s="65" t="s">
        <v>1266</v>
      </c>
      <c r="D1" s="955"/>
      <c r="E1" s="955"/>
      <c r="F1" s="955"/>
      <c r="G1" s="955"/>
      <c r="H1" s="955"/>
      <c r="I1" s="955"/>
    </row>
    <row r="2" spans="1:9" x14ac:dyDescent="0.2">
      <c r="D2" s="956"/>
      <c r="E2" s="956"/>
      <c r="F2" s="956"/>
      <c r="G2" s="956"/>
      <c r="H2" s="956"/>
      <c r="I2" s="956"/>
    </row>
    <row r="3" spans="1:9" ht="25.5" x14ac:dyDescent="0.2">
      <c r="A3" s="957" t="s">
        <v>4</v>
      </c>
      <c r="B3" s="958" t="s">
        <v>5</v>
      </c>
      <c r="C3" s="958" t="s">
        <v>251</v>
      </c>
      <c r="D3" s="959" t="s">
        <v>971</v>
      </c>
      <c r="E3" s="960" t="s">
        <v>972</v>
      </c>
      <c r="F3" s="960" t="s">
        <v>970</v>
      </c>
      <c r="G3" s="960" t="s">
        <v>973</v>
      </c>
      <c r="H3" s="961" t="s">
        <v>974</v>
      </c>
      <c r="I3" s="961" t="s">
        <v>975</v>
      </c>
    </row>
    <row r="4" spans="1:9" ht="15" x14ac:dyDescent="0.25">
      <c r="A4" s="1911">
        <v>999</v>
      </c>
      <c r="B4" s="1912" t="s">
        <v>9</v>
      </c>
      <c r="C4" s="1913"/>
      <c r="D4" s="1914">
        <f t="shared" ref="D4:H4" si="0">SUM(D5:D124)</f>
        <v>0</v>
      </c>
      <c r="E4" s="1915">
        <f t="shared" si="0"/>
        <v>250750679.99999997</v>
      </c>
      <c r="F4" s="1915">
        <f t="shared" si="0"/>
        <v>131361258.22000001</v>
      </c>
      <c r="G4" s="1915">
        <f t="shared" si="0"/>
        <v>0</v>
      </c>
      <c r="H4" s="1917">
        <f t="shared" si="0"/>
        <v>382111938.21999991</v>
      </c>
      <c r="I4" s="1917">
        <f t="shared" ref="I4" si="1">SUM(I5:I124)</f>
        <v>131361258.22000001</v>
      </c>
    </row>
    <row r="5" spans="1:9" s="234" customFormat="1" ht="15" x14ac:dyDescent="0.25">
      <c r="A5" s="2020" t="s">
        <v>10</v>
      </c>
      <c r="B5" s="2021" t="s">
        <v>11</v>
      </c>
      <c r="C5" s="1373" t="s">
        <v>264</v>
      </c>
      <c r="D5" s="2022"/>
      <c r="E5" s="2023">
        <v>350208.03</v>
      </c>
      <c r="F5" s="2023">
        <v>114599.85</v>
      </c>
      <c r="G5" s="2024"/>
      <c r="H5" s="2025">
        <f t="shared" ref="H5:H36" si="2">SUM(D5:G5)</f>
        <v>464807.88</v>
      </c>
      <c r="I5" s="2025">
        <f t="shared" ref="I5:I36" si="3">F5+G5</f>
        <v>114599.85</v>
      </c>
    </row>
    <row r="6" spans="1:9" s="234" customFormat="1" ht="15" x14ac:dyDescent="0.25">
      <c r="A6" s="2020" t="s">
        <v>12</v>
      </c>
      <c r="B6" s="2021" t="s">
        <v>13</v>
      </c>
      <c r="C6" s="1373" t="s">
        <v>265</v>
      </c>
      <c r="D6" s="2022"/>
      <c r="E6" s="2023">
        <v>5347458.46</v>
      </c>
      <c r="F6" s="2023">
        <v>3278224.2</v>
      </c>
      <c r="G6" s="2024"/>
      <c r="H6" s="2025">
        <f t="shared" si="2"/>
        <v>8625682.6600000001</v>
      </c>
      <c r="I6" s="2025">
        <f t="shared" si="3"/>
        <v>3278224.2</v>
      </c>
    </row>
    <row r="7" spans="1:9" s="234" customFormat="1" ht="15" x14ac:dyDescent="0.25">
      <c r="A7" s="2020" t="s">
        <v>16</v>
      </c>
      <c r="B7" s="2021" t="s">
        <v>297</v>
      </c>
      <c r="C7" s="1373" t="s">
        <v>265</v>
      </c>
      <c r="D7" s="2022"/>
      <c r="E7" s="2023">
        <v>2620216.59</v>
      </c>
      <c r="F7" s="2023">
        <v>725006.03</v>
      </c>
      <c r="G7" s="2024"/>
      <c r="H7" s="2025">
        <f t="shared" si="2"/>
        <v>3345222.62</v>
      </c>
      <c r="I7" s="2025">
        <f t="shared" si="3"/>
        <v>725006.03</v>
      </c>
    </row>
    <row r="8" spans="1:9" s="234" customFormat="1" ht="15" x14ac:dyDescent="0.25">
      <c r="A8" s="2020" t="s">
        <v>18</v>
      </c>
      <c r="B8" s="2021" t="s">
        <v>19</v>
      </c>
      <c r="C8" s="1373" t="s">
        <v>266</v>
      </c>
      <c r="D8" s="2022"/>
      <c r="E8" s="2023">
        <v>254791.77</v>
      </c>
      <c r="F8" s="2023">
        <v>110051.82</v>
      </c>
      <c r="G8" s="2024"/>
      <c r="H8" s="2025">
        <f t="shared" si="2"/>
        <v>364843.58999999997</v>
      </c>
      <c r="I8" s="2025">
        <f t="shared" si="3"/>
        <v>110051.82</v>
      </c>
    </row>
    <row r="9" spans="1:9" s="234" customFormat="1" ht="15" x14ac:dyDescent="0.25">
      <c r="A9" s="2020" t="s">
        <v>20</v>
      </c>
      <c r="B9" s="2021" t="s">
        <v>21</v>
      </c>
      <c r="C9" s="1373" t="s">
        <v>265</v>
      </c>
      <c r="D9" s="2022"/>
      <c r="E9" s="2023">
        <v>1047016.84</v>
      </c>
      <c r="F9" s="2023">
        <v>374147.31</v>
      </c>
      <c r="G9" s="2024"/>
      <c r="H9" s="2025">
        <f t="shared" si="2"/>
        <v>1421164.15</v>
      </c>
      <c r="I9" s="2025">
        <f t="shared" si="3"/>
        <v>374147.31</v>
      </c>
    </row>
    <row r="10" spans="1:9" s="234" customFormat="1" ht="15" x14ac:dyDescent="0.25">
      <c r="A10" s="2020" t="s">
        <v>22</v>
      </c>
      <c r="B10" s="2021" t="s">
        <v>23</v>
      </c>
      <c r="C10" s="1373" t="s">
        <v>265</v>
      </c>
      <c r="D10" s="2022"/>
      <c r="E10" s="2023">
        <v>1115063.77</v>
      </c>
      <c r="F10" s="2023">
        <v>386846.68</v>
      </c>
      <c r="G10" s="2024"/>
      <c r="H10" s="2025">
        <f t="shared" si="2"/>
        <v>1501910.45</v>
      </c>
      <c r="I10" s="2025">
        <f t="shared" si="3"/>
        <v>386846.68</v>
      </c>
    </row>
    <row r="11" spans="1:9" s="234" customFormat="1" ht="15" x14ac:dyDescent="0.25">
      <c r="A11" s="2020" t="s">
        <v>24</v>
      </c>
      <c r="B11" s="2021" t="s">
        <v>25</v>
      </c>
      <c r="C11" s="1373" t="s">
        <v>267</v>
      </c>
      <c r="D11" s="2022"/>
      <c r="E11" s="2023">
        <v>3581426.6</v>
      </c>
      <c r="F11" s="2023">
        <v>3026723.55</v>
      </c>
      <c r="G11" s="2024"/>
      <c r="H11" s="2025">
        <f t="shared" si="2"/>
        <v>6608150.1500000004</v>
      </c>
      <c r="I11" s="2025">
        <f t="shared" si="3"/>
        <v>3026723.55</v>
      </c>
    </row>
    <row r="12" spans="1:9" s="234" customFormat="1" ht="15" x14ac:dyDescent="0.25">
      <c r="A12" s="2020" t="s">
        <v>26</v>
      </c>
      <c r="B12" s="2021" t="s">
        <v>685</v>
      </c>
      <c r="C12" s="1373" t="s">
        <v>265</v>
      </c>
      <c r="D12" s="2022"/>
      <c r="E12" s="2023">
        <v>6711713.5</v>
      </c>
      <c r="F12" s="2023">
        <v>3077977.3100000005</v>
      </c>
      <c r="G12" s="2024"/>
      <c r="H12" s="2025">
        <f t="shared" si="2"/>
        <v>9789690.8100000005</v>
      </c>
      <c r="I12" s="2025">
        <f t="shared" si="3"/>
        <v>3077977.3100000005</v>
      </c>
    </row>
    <row r="13" spans="1:9" s="234" customFormat="1" ht="15" x14ac:dyDescent="0.25">
      <c r="A13" s="2020" t="s">
        <v>27</v>
      </c>
      <c r="B13" s="2021" t="s">
        <v>28</v>
      </c>
      <c r="C13" s="1373" t="s">
        <v>265</v>
      </c>
      <c r="D13" s="2022"/>
      <c r="E13" s="2023">
        <v>65842.14</v>
      </c>
      <c r="F13" s="2023">
        <v>49166.46</v>
      </c>
      <c r="G13" s="2024"/>
      <c r="H13" s="2025">
        <f t="shared" si="2"/>
        <v>115008.6</v>
      </c>
      <c r="I13" s="2025">
        <f t="shared" si="3"/>
        <v>49166.46</v>
      </c>
    </row>
    <row r="14" spans="1:9" s="234" customFormat="1" ht="15" x14ac:dyDescent="0.25">
      <c r="A14" s="2020" t="s">
        <v>29</v>
      </c>
      <c r="B14" s="2021" t="s">
        <v>901</v>
      </c>
      <c r="C14" s="1373" t="s">
        <v>265</v>
      </c>
      <c r="D14" s="2022"/>
      <c r="E14" s="2023">
        <v>2075792.57</v>
      </c>
      <c r="F14" s="2023">
        <v>902905.74</v>
      </c>
      <c r="G14" s="2024"/>
      <c r="H14" s="2025">
        <f t="shared" si="2"/>
        <v>2978698.31</v>
      </c>
      <c r="I14" s="2025">
        <f t="shared" si="3"/>
        <v>902905.74</v>
      </c>
    </row>
    <row r="15" spans="1:9" s="234" customFormat="1" ht="15" x14ac:dyDescent="0.25">
      <c r="A15" s="2020" t="s">
        <v>30</v>
      </c>
      <c r="B15" s="2021" t="s">
        <v>31</v>
      </c>
      <c r="C15" s="1373" t="s">
        <v>268</v>
      </c>
      <c r="D15" s="2022"/>
      <c r="E15" s="2023">
        <v>270945.09000000003</v>
      </c>
      <c r="F15" s="2023">
        <v>72977.919999999998</v>
      </c>
      <c r="G15" s="2024"/>
      <c r="H15" s="2025">
        <f t="shared" si="2"/>
        <v>343923.01</v>
      </c>
      <c r="I15" s="2025">
        <f t="shared" si="3"/>
        <v>72977.919999999998</v>
      </c>
    </row>
    <row r="16" spans="1:9" s="234" customFormat="1" ht="15" x14ac:dyDescent="0.25">
      <c r="A16" s="2020" t="s">
        <v>32</v>
      </c>
      <c r="B16" s="2021" t="s">
        <v>33</v>
      </c>
      <c r="C16" s="1373" t="s">
        <v>265</v>
      </c>
      <c r="D16" s="2022"/>
      <c r="E16" s="2023">
        <v>923289</v>
      </c>
      <c r="F16" s="2023">
        <v>523280.42</v>
      </c>
      <c r="G16" s="2024"/>
      <c r="H16" s="2025">
        <f t="shared" si="2"/>
        <v>1446569.42</v>
      </c>
      <c r="I16" s="2025">
        <f t="shared" si="3"/>
        <v>523280.42</v>
      </c>
    </row>
    <row r="17" spans="1:9" s="234" customFormat="1" ht="15" x14ac:dyDescent="0.25">
      <c r="A17" s="2020" t="s">
        <v>36</v>
      </c>
      <c r="B17" s="2021" t="s">
        <v>37</v>
      </c>
      <c r="C17" s="1373" t="s">
        <v>264</v>
      </c>
      <c r="D17" s="2022"/>
      <c r="E17" s="2023">
        <v>592415.19999999995</v>
      </c>
      <c r="F17" s="2023">
        <v>185149.54</v>
      </c>
      <c r="G17" s="2024"/>
      <c r="H17" s="2025">
        <f t="shared" si="2"/>
        <v>777564.74</v>
      </c>
      <c r="I17" s="2025">
        <f t="shared" si="3"/>
        <v>185149.54</v>
      </c>
    </row>
    <row r="18" spans="1:9" s="234" customFormat="1" ht="15" x14ac:dyDescent="0.25">
      <c r="A18" s="2020" t="s">
        <v>38</v>
      </c>
      <c r="B18" s="2021" t="s">
        <v>39</v>
      </c>
      <c r="C18" s="1373" t="s">
        <v>268</v>
      </c>
      <c r="D18" s="2022"/>
      <c r="E18" s="2023">
        <v>1112677.29</v>
      </c>
      <c r="F18" s="2023">
        <v>552010.80000000005</v>
      </c>
      <c r="G18" s="2024"/>
      <c r="H18" s="2025">
        <f t="shared" si="2"/>
        <v>1664688.09</v>
      </c>
      <c r="I18" s="2025">
        <f t="shared" si="3"/>
        <v>552010.80000000005</v>
      </c>
    </row>
    <row r="19" spans="1:9" s="234" customFormat="1" ht="15" x14ac:dyDescent="0.25">
      <c r="A19" s="2020" t="s">
        <v>40</v>
      </c>
      <c r="B19" s="2021" t="s">
        <v>41</v>
      </c>
      <c r="C19" s="1373" t="s">
        <v>266</v>
      </c>
      <c r="D19" s="2022"/>
      <c r="E19" s="2023">
        <v>1243735.1599999999</v>
      </c>
      <c r="F19" s="2023">
        <v>293643.74</v>
      </c>
      <c r="G19" s="2024"/>
      <c r="H19" s="2025">
        <f t="shared" si="2"/>
        <v>1537378.9</v>
      </c>
      <c r="I19" s="2025">
        <f t="shared" si="3"/>
        <v>293643.74</v>
      </c>
    </row>
    <row r="20" spans="1:9" s="234" customFormat="1" ht="15" x14ac:dyDescent="0.25">
      <c r="A20" s="2020" t="s">
        <v>42</v>
      </c>
      <c r="B20" s="2021" t="s">
        <v>43</v>
      </c>
      <c r="C20" s="1373" t="s">
        <v>265</v>
      </c>
      <c r="D20" s="2022"/>
      <c r="E20" s="2023">
        <v>1731234.39</v>
      </c>
      <c r="F20" s="2023">
        <v>761444.15</v>
      </c>
      <c r="G20" s="2024"/>
      <c r="H20" s="2025">
        <f t="shared" si="2"/>
        <v>2492678.54</v>
      </c>
      <c r="I20" s="2025">
        <f t="shared" si="3"/>
        <v>761444.15</v>
      </c>
    </row>
    <row r="21" spans="1:9" s="234" customFormat="1" ht="15" x14ac:dyDescent="0.25">
      <c r="A21" s="2020" t="s">
        <v>44</v>
      </c>
      <c r="B21" s="2021" t="s">
        <v>45</v>
      </c>
      <c r="C21" s="1373" t="s">
        <v>266</v>
      </c>
      <c r="D21" s="2022"/>
      <c r="E21" s="2023">
        <v>1224738.06</v>
      </c>
      <c r="F21" s="2023">
        <v>607134.31000000006</v>
      </c>
      <c r="G21" s="2024"/>
      <c r="H21" s="2025">
        <f t="shared" si="2"/>
        <v>1831872.37</v>
      </c>
      <c r="I21" s="2025">
        <f t="shared" si="3"/>
        <v>607134.31000000006</v>
      </c>
    </row>
    <row r="22" spans="1:9" s="234" customFormat="1" ht="15" x14ac:dyDescent="0.25">
      <c r="A22" s="2020" t="s">
        <v>46</v>
      </c>
      <c r="B22" s="2021" t="s">
        <v>47</v>
      </c>
      <c r="C22" s="1373" t="s">
        <v>268</v>
      </c>
      <c r="D22" s="2022"/>
      <c r="E22" s="2023">
        <v>1471002.67</v>
      </c>
      <c r="F22" s="2023">
        <v>538279.99</v>
      </c>
      <c r="G22" s="2024"/>
      <c r="H22" s="2025">
        <f t="shared" si="2"/>
        <v>2009282.66</v>
      </c>
      <c r="I22" s="2025">
        <f t="shared" si="3"/>
        <v>538279.99</v>
      </c>
    </row>
    <row r="23" spans="1:9" s="234" customFormat="1" ht="15" x14ac:dyDescent="0.25">
      <c r="A23" s="2020" t="s">
        <v>48</v>
      </c>
      <c r="B23" s="2021" t="s">
        <v>269</v>
      </c>
      <c r="C23" s="1373" t="s">
        <v>266</v>
      </c>
      <c r="D23" s="2022"/>
      <c r="E23" s="2023">
        <v>163618.23999999999</v>
      </c>
      <c r="F23" s="2023">
        <v>74579.8</v>
      </c>
      <c r="G23" s="2024"/>
      <c r="H23" s="2025">
        <f t="shared" si="2"/>
        <v>238198.03999999998</v>
      </c>
      <c r="I23" s="2025">
        <f t="shared" si="3"/>
        <v>74579.8</v>
      </c>
    </row>
    <row r="24" spans="1:9" s="234" customFormat="1" ht="15" x14ac:dyDescent="0.25">
      <c r="A24" s="2020" t="s">
        <v>50</v>
      </c>
      <c r="B24" s="2021" t="s">
        <v>51</v>
      </c>
      <c r="C24" s="1373" t="s">
        <v>265</v>
      </c>
      <c r="D24" s="2022"/>
      <c r="E24" s="2023">
        <v>892465.71</v>
      </c>
      <c r="F24" s="2023">
        <v>253600.59</v>
      </c>
      <c r="G24" s="2024"/>
      <c r="H24" s="2025">
        <f t="shared" si="2"/>
        <v>1146066.3</v>
      </c>
      <c r="I24" s="2025">
        <f t="shared" si="3"/>
        <v>253600.59</v>
      </c>
    </row>
    <row r="25" spans="1:9" s="234" customFormat="1" ht="15" x14ac:dyDescent="0.25">
      <c r="A25" s="2020" t="s">
        <v>56</v>
      </c>
      <c r="B25" s="2021" t="s">
        <v>295</v>
      </c>
      <c r="C25" s="1373" t="s">
        <v>266</v>
      </c>
      <c r="D25" s="2022"/>
      <c r="E25" s="2023">
        <v>7701557.1399999997</v>
      </c>
      <c r="F25" s="2023">
        <v>4718281.5</v>
      </c>
      <c r="G25" s="2024"/>
      <c r="H25" s="2025">
        <f t="shared" si="2"/>
        <v>12419838.640000001</v>
      </c>
      <c r="I25" s="2025">
        <f t="shared" si="3"/>
        <v>4718281.5</v>
      </c>
    </row>
    <row r="26" spans="1:9" s="234" customFormat="1" ht="15" x14ac:dyDescent="0.25">
      <c r="A26" s="2020" t="s">
        <v>58</v>
      </c>
      <c r="B26" s="2021" t="s">
        <v>59</v>
      </c>
      <c r="C26" s="1373" t="s">
        <v>267</v>
      </c>
      <c r="D26" s="2022"/>
      <c r="E26" s="2023">
        <v>386503.03</v>
      </c>
      <c r="F26" s="2023">
        <v>318621.23</v>
      </c>
      <c r="G26" s="2024"/>
      <c r="H26" s="2025">
        <f t="shared" si="2"/>
        <v>705124.26</v>
      </c>
      <c r="I26" s="2025">
        <f t="shared" si="3"/>
        <v>318621.23</v>
      </c>
    </row>
    <row r="27" spans="1:9" s="234" customFormat="1" ht="15" x14ac:dyDescent="0.25">
      <c r="A27" s="2020" t="s">
        <v>60</v>
      </c>
      <c r="B27" s="2021" t="s">
        <v>61</v>
      </c>
      <c r="C27" s="1373" t="s">
        <v>265</v>
      </c>
      <c r="D27" s="2022"/>
      <c r="E27" s="2023">
        <v>340602.15</v>
      </c>
      <c r="F27" s="2023">
        <v>137507.75</v>
      </c>
      <c r="G27" s="2024"/>
      <c r="H27" s="2025">
        <f t="shared" si="2"/>
        <v>478109.9</v>
      </c>
      <c r="I27" s="2025">
        <f t="shared" si="3"/>
        <v>137507.75</v>
      </c>
    </row>
    <row r="28" spans="1:9" s="234" customFormat="1" ht="15" x14ac:dyDescent="0.25">
      <c r="A28" s="2020" t="s">
        <v>62</v>
      </c>
      <c r="B28" s="2021" t="s">
        <v>63</v>
      </c>
      <c r="C28" s="1373" t="s">
        <v>267</v>
      </c>
      <c r="D28" s="2022"/>
      <c r="E28" s="2023">
        <v>2634873.67</v>
      </c>
      <c r="F28" s="2023">
        <v>1284698.1599999999</v>
      </c>
      <c r="G28" s="2024"/>
      <c r="H28" s="2025">
        <f t="shared" si="2"/>
        <v>3919571.83</v>
      </c>
      <c r="I28" s="2025">
        <f t="shared" si="3"/>
        <v>1284698.1599999999</v>
      </c>
    </row>
    <row r="29" spans="1:9" s="234" customFormat="1" ht="15" x14ac:dyDescent="0.25">
      <c r="A29" s="2020" t="s">
        <v>64</v>
      </c>
      <c r="B29" s="2021" t="s">
        <v>65</v>
      </c>
      <c r="C29" s="1373" t="s">
        <v>266</v>
      </c>
      <c r="D29" s="2022"/>
      <c r="E29" s="2023">
        <v>540239.38</v>
      </c>
      <c r="F29" s="2023">
        <v>239698.94</v>
      </c>
      <c r="G29" s="2024"/>
      <c r="H29" s="2025">
        <f t="shared" si="2"/>
        <v>779938.32000000007</v>
      </c>
      <c r="I29" s="2025">
        <f t="shared" si="3"/>
        <v>239698.94</v>
      </c>
    </row>
    <row r="30" spans="1:9" s="234" customFormat="1" ht="15" x14ac:dyDescent="0.25">
      <c r="A30" s="2020" t="s">
        <v>68</v>
      </c>
      <c r="B30" s="2021" t="s">
        <v>69</v>
      </c>
      <c r="C30" s="1373" t="s">
        <v>268</v>
      </c>
      <c r="D30" s="2022"/>
      <c r="E30" s="2023">
        <v>901099.82</v>
      </c>
      <c r="F30" s="2023">
        <v>335681.4</v>
      </c>
      <c r="G30" s="2024"/>
      <c r="H30" s="2025">
        <f t="shared" si="2"/>
        <v>1236781.22</v>
      </c>
      <c r="I30" s="2025">
        <f t="shared" si="3"/>
        <v>335681.4</v>
      </c>
    </row>
    <row r="31" spans="1:9" s="234" customFormat="1" ht="15" x14ac:dyDescent="0.25">
      <c r="A31" s="2020" t="s">
        <v>70</v>
      </c>
      <c r="B31" s="2021" t="s">
        <v>71</v>
      </c>
      <c r="C31" s="1373" t="s">
        <v>264</v>
      </c>
      <c r="D31" s="2022"/>
      <c r="E31" s="2023">
        <v>1125998.78</v>
      </c>
      <c r="F31" s="2023">
        <v>555314.11</v>
      </c>
      <c r="G31" s="2024"/>
      <c r="H31" s="2025">
        <f t="shared" si="2"/>
        <v>1681312.8900000001</v>
      </c>
      <c r="I31" s="2025">
        <f t="shared" si="3"/>
        <v>555314.11</v>
      </c>
    </row>
    <row r="32" spans="1:9" s="234" customFormat="1" ht="15" x14ac:dyDescent="0.25">
      <c r="A32" s="2020" t="s">
        <v>72</v>
      </c>
      <c r="B32" s="2021" t="s">
        <v>73</v>
      </c>
      <c r="C32" s="1373" t="s">
        <v>266</v>
      </c>
      <c r="D32" s="2022"/>
      <c r="E32" s="2023">
        <v>603086.80000000005</v>
      </c>
      <c r="F32" s="2023">
        <v>392667.69</v>
      </c>
      <c r="G32" s="2024"/>
      <c r="H32" s="2025">
        <f t="shared" si="2"/>
        <v>995754.49</v>
      </c>
      <c r="I32" s="2025">
        <f t="shared" si="3"/>
        <v>392667.69</v>
      </c>
    </row>
    <row r="33" spans="1:9" s="234" customFormat="1" ht="15" x14ac:dyDescent="0.25">
      <c r="A33" s="2020" t="s">
        <v>74</v>
      </c>
      <c r="B33" s="2021" t="s">
        <v>302</v>
      </c>
      <c r="C33" s="1373" t="s">
        <v>267</v>
      </c>
      <c r="D33" s="2022"/>
      <c r="E33" s="2023">
        <v>23095210.579999998</v>
      </c>
      <c r="F33" s="2023">
        <v>17732598.93</v>
      </c>
      <c r="G33" s="2024"/>
      <c r="H33" s="2025">
        <f t="shared" si="2"/>
        <v>40827809.509999998</v>
      </c>
      <c r="I33" s="2025">
        <f t="shared" si="3"/>
        <v>17732598.93</v>
      </c>
    </row>
    <row r="34" spans="1:9" s="234" customFormat="1" ht="15" x14ac:dyDescent="0.25">
      <c r="A34" s="2020" t="s">
        <v>76</v>
      </c>
      <c r="B34" s="2021" t="s">
        <v>77</v>
      </c>
      <c r="C34" s="1373" t="s">
        <v>267</v>
      </c>
      <c r="D34" s="2022"/>
      <c r="E34" s="2023">
        <v>2276915.64</v>
      </c>
      <c r="F34" s="2023">
        <v>1775430.49</v>
      </c>
      <c r="G34" s="2024"/>
      <c r="H34" s="2025">
        <f t="shared" si="2"/>
        <v>4052346.13</v>
      </c>
      <c r="I34" s="2025">
        <f t="shared" si="3"/>
        <v>1775430.49</v>
      </c>
    </row>
    <row r="35" spans="1:9" s="234" customFormat="1" ht="15" x14ac:dyDescent="0.25">
      <c r="A35" s="2020" t="s">
        <v>78</v>
      </c>
      <c r="B35" s="2021" t="s">
        <v>79</v>
      </c>
      <c r="C35" s="1373" t="s">
        <v>268</v>
      </c>
      <c r="D35" s="2022"/>
      <c r="E35" s="2023">
        <v>424736.95</v>
      </c>
      <c r="F35" s="2023">
        <v>128738.8</v>
      </c>
      <c r="G35" s="2024"/>
      <c r="H35" s="2025">
        <f t="shared" si="2"/>
        <v>553475.75</v>
      </c>
      <c r="I35" s="2025">
        <f t="shared" si="3"/>
        <v>128738.8</v>
      </c>
    </row>
    <row r="36" spans="1:9" s="234" customFormat="1" ht="15" x14ac:dyDescent="0.25">
      <c r="A36" s="2020" t="s">
        <v>80</v>
      </c>
      <c r="B36" s="2021" t="s">
        <v>81</v>
      </c>
      <c r="C36" s="1373" t="s">
        <v>266</v>
      </c>
      <c r="D36" s="2022"/>
      <c r="E36" s="2023">
        <v>2006578.92</v>
      </c>
      <c r="F36" s="2023">
        <v>1179619.73</v>
      </c>
      <c r="G36" s="2024"/>
      <c r="H36" s="2025">
        <f t="shared" si="2"/>
        <v>3186198.65</v>
      </c>
      <c r="I36" s="2025">
        <f t="shared" si="3"/>
        <v>1179619.73</v>
      </c>
    </row>
    <row r="37" spans="1:9" s="234" customFormat="1" ht="15" x14ac:dyDescent="0.25">
      <c r="A37" s="2020" t="s">
        <v>84</v>
      </c>
      <c r="B37" s="2021" t="s">
        <v>308</v>
      </c>
      <c r="C37" s="1373" t="s">
        <v>265</v>
      </c>
      <c r="D37" s="2022"/>
      <c r="E37" s="2023">
        <v>3751215.36</v>
      </c>
      <c r="F37" s="2023">
        <v>1344556.52</v>
      </c>
      <c r="G37" s="2024"/>
      <c r="H37" s="2025">
        <f t="shared" ref="H37:H68" si="4">SUM(D37:G37)</f>
        <v>5095771.88</v>
      </c>
      <c r="I37" s="2025">
        <f t="shared" ref="I37:I68" si="5">F37+G37</f>
        <v>1344556.52</v>
      </c>
    </row>
    <row r="38" spans="1:9" s="234" customFormat="1" ht="15" x14ac:dyDescent="0.25">
      <c r="A38" s="2020" t="s">
        <v>86</v>
      </c>
      <c r="B38" s="2021" t="s">
        <v>87</v>
      </c>
      <c r="C38" s="1373" t="s">
        <v>267</v>
      </c>
      <c r="D38" s="2022"/>
      <c r="E38" s="2023">
        <v>1908803.27</v>
      </c>
      <c r="F38" s="2023">
        <v>1357132.86</v>
      </c>
      <c r="G38" s="2024"/>
      <c r="H38" s="2025">
        <f t="shared" si="4"/>
        <v>3265936.13</v>
      </c>
      <c r="I38" s="2025">
        <f t="shared" si="5"/>
        <v>1357132.86</v>
      </c>
    </row>
    <row r="39" spans="1:9" s="234" customFormat="1" ht="15" x14ac:dyDescent="0.25">
      <c r="A39" s="2020" t="s">
        <v>92</v>
      </c>
      <c r="B39" s="2021" t="s">
        <v>93</v>
      </c>
      <c r="C39" s="1373" t="s">
        <v>268</v>
      </c>
      <c r="D39" s="2022"/>
      <c r="E39" s="2023">
        <v>1386480.51</v>
      </c>
      <c r="F39" s="2023">
        <v>476395.48</v>
      </c>
      <c r="G39" s="2024"/>
      <c r="H39" s="2025">
        <f t="shared" si="4"/>
        <v>1862875.99</v>
      </c>
      <c r="I39" s="2025">
        <f t="shared" si="5"/>
        <v>476395.48</v>
      </c>
    </row>
    <row r="40" spans="1:9" s="234" customFormat="1" ht="15" x14ac:dyDescent="0.25">
      <c r="A40" s="2020" t="s">
        <v>94</v>
      </c>
      <c r="B40" s="2021" t="s">
        <v>95</v>
      </c>
      <c r="C40" s="1373" t="s">
        <v>264</v>
      </c>
      <c r="D40" s="2022"/>
      <c r="E40" s="2023">
        <v>544483.79</v>
      </c>
      <c r="F40" s="2023">
        <v>316214.64</v>
      </c>
      <c r="G40" s="2024"/>
      <c r="H40" s="2025">
        <f t="shared" si="4"/>
        <v>860698.43</v>
      </c>
      <c r="I40" s="2025">
        <f t="shared" si="5"/>
        <v>316214.64</v>
      </c>
    </row>
    <row r="41" spans="1:9" s="234" customFormat="1" ht="15" x14ac:dyDescent="0.25">
      <c r="A41" s="2020" t="s">
        <v>96</v>
      </c>
      <c r="B41" s="2021" t="s">
        <v>97</v>
      </c>
      <c r="C41" s="1373" t="s">
        <v>266</v>
      </c>
      <c r="D41" s="2022"/>
      <c r="E41" s="2023">
        <v>649960.05000000005</v>
      </c>
      <c r="F41" s="2023">
        <v>673538.84</v>
      </c>
      <c r="G41" s="2024"/>
      <c r="H41" s="2025">
        <f t="shared" si="4"/>
        <v>1323498.8900000001</v>
      </c>
      <c r="I41" s="2025">
        <f t="shared" si="5"/>
        <v>673538.84</v>
      </c>
    </row>
    <row r="42" spans="1:9" s="234" customFormat="1" ht="15" x14ac:dyDescent="0.25">
      <c r="A42" s="2020" t="s">
        <v>98</v>
      </c>
      <c r="B42" s="2021" t="s">
        <v>99</v>
      </c>
      <c r="C42" s="1373" t="s">
        <v>268</v>
      </c>
      <c r="D42" s="2022"/>
      <c r="E42" s="2023">
        <v>455002.06</v>
      </c>
      <c r="F42" s="2023">
        <v>126552.92</v>
      </c>
      <c r="G42" s="2024"/>
      <c r="H42" s="2025">
        <f t="shared" si="4"/>
        <v>581554.98</v>
      </c>
      <c r="I42" s="2025">
        <f t="shared" si="5"/>
        <v>126552.92</v>
      </c>
    </row>
    <row r="43" spans="1:9" s="234" customFormat="1" ht="15" x14ac:dyDescent="0.25">
      <c r="A43" s="2020" t="s">
        <v>100</v>
      </c>
      <c r="B43" s="2021" t="s">
        <v>101</v>
      </c>
      <c r="C43" s="1373" t="s">
        <v>267</v>
      </c>
      <c r="D43" s="2022"/>
      <c r="E43" s="2023">
        <v>798906.41</v>
      </c>
      <c r="F43" s="2023">
        <v>413807.18</v>
      </c>
      <c r="G43" s="2024"/>
      <c r="H43" s="2025">
        <f t="shared" si="4"/>
        <v>1212713.5900000001</v>
      </c>
      <c r="I43" s="2025">
        <f t="shared" si="5"/>
        <v>413807.18</v>
      </c>
    </row>
    <row r="44" spans="1:9" s="234" customFormat="1" ht="15" x14ac:dyDescent="0.25">
      <c r="A44" s="2020" t="s">
        <v>102</v>
      </c>
      <c r="B44" s="2021" t="s">
        <v>103</v>
      </c>
      <c r="C44" s="1373" t="s">
        <v>264</v>
      </c>
      <c r="D44" s="2022"/>
      <c r="E44" s="2023">
        <v>449633.25</v>
      </c>
      <c r="F44" s="2023">
        <v>132956.99</v>
      </c>
      <c r="G44" s="2024"/>
      <c r="H44" s="2025">
        <f t="shared" si="4"/>
        <v>582590.24</v>
      </c>
      <c r="I44" s="2025">
        <f t="shared" si="5"/>
        <v>132956.99</v>
      </c>
    </row>
    <row r="45" spans="1:9" s="234" customFormat="1" ht="15" x14ac:dyDescent="0.25">
      <c r="A45" s="2020" t="s">
        <v>104</v>
      </c>
      <c r="B45" s="2021" t="s">
        <v>309</v>
      </c>
      <c r="C45" s="1373" t="s">
        <v>265</v>
      </c>
      <c r="D45" s="2022"/>
      <c r="E45" s="2023">
        <v>2011364.07</v>
      </c>
      <c r="F45" s="2023">
        <v>609607.93000000005</v>
      </c>
      <c r="G45" s="2024"/>
      <c r="H45" s="2025">
        <f t="shared" si="4"/>
        <v>2620972</v>
      </c>
      <c r="I45" s="2025">
        <f t="shared" si="5"/>
        <v>609607.93000000005</v>
      </c>
    </row>
    <row r="46" spans="1:9" s="234" customFormat="1" ht="15" x14ac:dyDescent="0.25">
      <c r="A46" s="2020" t="s">
        <v>108</v>
      </c>
      <c r="B46" s="2021" t="s">
        <v>109</v>
      </c>
      <c r="C46" s="1373" t="s">
        <v>266</v>
      </c>
      <c r="D46" s="2022"/>
      <c r="E46" s="2023">
        <v>2292597.06</v>
      </c>
      <c r="F46" s="2023">
        <v>1582820.66</v>
      </c>
      <c r="G46" s="2024"/>
      <c r="H46" s="2025">
        <f t="shared" si="4"/>
        <v>3875417.7199999997</v>
      </c>
      <c r="I46" s="2025">
        <f t="shared" si="5"/>
        <v>1582820.66</v>
      </c>
    </row>
    <row r="47" spans="1:9" s="234" customFormat="1" ht="15" x14ac:dyDescent="0.25">
      <c r="A47" s="2020" t="s">
        <v>110</v>
      </c>
      <c r="B47" s="2021" t="s">
        <v>111</v>
      </c>
      <c r="C47" s="1373" t="s">
        <v>266</v>
      </c>
      <c r="D47" s="2022"/>
      <c r="E47" s="2023">
        <v>7675601.5899999999</v>
      </c>
      <c r="F47" s="2023">
        <v>4606023.43</v>
      </c>
      <c r="G47" s="2024"/>
      <c r="H47" s="2025">
        <f t="shared" si="4"/>
        <v>12281625.02</v>
      </c>
      <c r="I47" s="2025">
        <f t="shared" si="5"/>
        <v>4606023.43</v>
      </c>
    </row>
    <row r="48" spans="1:9" s="234" customFormat="1" ht="15" x14ac:dyDescent="0.25">
      <c r="A48" s="2020" t="s">
        <v>112</v>
      </c>
      <c r="B48" s="2021" t="s">
        <v>300</v>
      </c>
      <c r="C48" s="1373" t="s">
        <v>265</v>
      </c>
      <c r="D48" s="2022"/>
      <c r="E48" s="2023">
        <v>630522.17000000004</v>
      </c>
      <c r="F48" s="2023">
        <v>275674.33999999997</v>
      </c>
      <c r="G48" s="2024"/>
      <c r="H48" s="2025">
        <f t="shared" si="4"/>
        <v>906196.51</v>
      </c>
      <c r="I48" s="2025">
        <f t="shared" si="5"/>
        <v>275674.33999999997</v>
      </c>
    </row>
    <row r="49" spans="1:9" s="234" customFormat="1" ht="15" x14ac:dyDescent="0.25">
      <c r="A49" s="2020" t="s">
        <v>114</v>
      </c>
      <c r="B49" s="2021" t="s">
        <v>115</v>
      </c>
      <c r="C49" s="1373" t="s">
        <v>265</v>
      </c>
      <c r="D49" s="2022"/>
      <c r="E49" s="2023">
        <v>34550.65</v>
      </c>
      <c r="F49" s="2023">
        <v>21374.66</v>
      </c>
      <c r="G49" s="2024"/>
      <c r="H49" s="2025">
        <f t="shared" si="4"/>
        <v>55925.31</v>
      </c>
      <c r="I49" s="2025">
        <f t="shared" si="5"/>
        <v>21374.66</v>
      </c>
    </row>
    <row r="50" spans="1:9" s="234" customFormat="1" ht="15" x14ac:dyDescent="0.25">
      <c r="A50" s="2020" t="s">
        <v>118</v>
      </c>
      <c r="B50" s="2021" t="s">
        <v>119</v>
      </c>
      <c r="C50" s="1373" t="s">
        <v>264</v>
      </c>
      <c r="D50" s="2022"/>
      <c r="E50" s="2023">
        <v>137685.62</v>
      </c>
      <c r="F50" s="2023">
        <v>86244.93</v>
      </c>
      <c r="G50" s="2024"/>
      <c r="H50" s="2025">
        <f t="shared" si="4"/>
        <v>223930.55</v>
      </c>
      <c r="I50" s="2025">
        <f t="shared" si="5"/>
        <v>86244.93</v>
      </c>
    </row>
    <row r="51" spans="1:9" s="234" customFormat="1" ht="15" x14ac:dyDescent="0.25">
      <c r="A51" s="2020" t="s">
        <v>120</v>
      </c>
      <c r="B51" s="2021" t="s">
        <v>121</v>
      </c>
      <c r="C51" s="1373" t="s">
        <v>264</v>
      </c>
      <c r="D51" s="2022"/>
      <c r="E51" s="2023">
        <v>582805.17000000004</v>
      </c>
      <c r="F51" s="2023">
        <v>369747.11</v>
      </c>
      <c r="G51" s="2024"/>
      <c r="H51" s="2025">
        <f t="shared" si="4"/>
        <v>952552.28</v>
      </c>
      <c r="I51" s="2025">
        <f t="shared" si="5"/>
        <v>369747.11</v>
      </c>
    </row>
    <row r="52" spans="1:9" s="234" customFormat="1" ht="15" x14ac:dyDescent="0.25">
      <c r="A52" s="2020" t="s">
        <v>122</v>
      </c>
      <c r="B52" s="2021" t="s">
        <v>271</v>
      </c>
      <c r="C52" s="1373" t="s">
        <v>266</v>
      </c>
      <c r="D52" s="2022"/>
      <c r="E52" s="2023">
        <v>233610.1</v>
      </c>
      <c r="F52" s="2023">
        <v>107090.54</v>
      </c>
      <c r="G52" s="2024"/>
      <c r="H52" s="2025">
        <f t="shared" si="4"/>
        <v>340700.64</v>
      </c>
      <c r="I52" s="2025">
        <f t="shared" si="5"/>
        <v>107090.54</v>
      </c>
    </row>
    <row r="53" spans="1:9" s="234" customFormat="1" ht="15" x14ac:dyDescent="0.25">
      <c r="A53" s="2020" t="s">
        <v>124</v>
      </c>
      <c r="B53" s="2021" t="s">
        <v>125</v>
      </c>
      <c r="C53" s="1373" t="s">
        <v>267</v>
      </c>
      <c r="D53" s="2022"/>
      <c r="E53" s="2023">
        <v>1599448.16</v>
      </c>
      <c r="F53" s="2023">
        <v>915144.23</v>
      </c>
      <c r="G53" s="2024"/>
      <c r="H53" s="2025">
        <f t="shared" si="4"/>
        <v>2514592.3899999997</v>
      </c>
      <c r="I53" s="2025">
        <f t="shared" si="5"/>
        <v>915144.23</v>
      </c>
    </row>
    <row r="54" spans="1:9" s="234" customFormat="1" ht="15" x14ac:dyDescent="0.25">
      <c r="A54" s="2020" t="s">
        <v>126</v>
      </c>
      <c r="B54" s="2021" t="s">
        <v>127</v>
      </c>
      <c r="C54" s="1373" t="s">
        <v>266</v>
      </c>
      <c r="D54" s="2022"/>
      <c r="E54" s="2023">
        <v>496077.39</v>
      </c>
      <c r="F54" s="2023">
        <v>304830.40999999997</v>
      </c>
      <c r="G54" s="2024"/>
      <c r="H54" s="2025">
        <f t="shared" si="4"/>
        <v>800907.8</v>
      </c>
      <c r="I54" s="2025">
        <f t="shared" si="5"/>
        <v>304830.40999999997</v>
      </c>
    </row>
    <row r="55" spans="1:9" s="234" customFormat="1" ht="15" x14ac:dyDescent="0.25">
      <c r="A55" s="2020" t="s">
        <v>128</v>
      </c>
      <c r="B55" s="2021" t="s">
        <v>129</v>
      </c>
      <c r="C55" s="1373" t="s">
        <v>266</v>
      </c>
      <c r="D55" s="2022"/>
      <c r="E55" s="2023">
        <v>332460.94</v>
      </c>
      <c r="F55" s="2023">
        <v>297887.15000000002</v>
      </c>
      <c r="G55" s="2024"/>
      <c r="H55" s="2025">
        <f t="shared" si="4"/>
        <v>630348.09000000008</v>
      </c>
      <c r="I55" s="2025">
        <f t="shared" si="5"/>
        <v>297887.15000000002</v>
      </c>
    </row>
    <row r="56" spans="1:9" s="234" customFormat="1" ht="15" x14ac:dyDescent="0.25">
      <c r="A56" s="2020" t="s">
        <v>130</v>
      </c>
      <c r="B56" s="2021" t="s">
        <v>131</v>
      </c>
      <c r="C56" s="1373" t="s">
        <v>268</v>
      </c>
      <c r="D56" s="2022"/>
      <c r="E56" s="2023">
        <v>1013814.65</v>
      </c>
      <c r="F56" s="2023">
        <v>271013.71999999997</v>
      </c>
      <c r="G56" s="2024"/>
      <c r="H56" s="2025">
        <f t="shared" si="4"/>
        <v>1284828.3700000001</v>
      </c>
      <c r="I56" s="2025">
        <f t="shared" si="5"/>
        <v>271013.71999999997</v>
      </c>
    </row>
    <row r="57" spans="1:9" s="234" customFormat="1" ht="15" x14ac:dyDescent="0.25">
      <c r="A57" s="2020" t="s">
        <v>132</v>
      </c>
      <c r="B57" s="2021" t="s">
        <v>133</v>
      </c>
      <c r="C57" s="1373" t="s">
        <v>267</v>
      </c>
      <c r="D57" s="2022"/>
      <c r="E57" s="2023">
        <v>3433574.81</v>
      </c>
      <c r="F57" s="2023">
        <v>2978571.98</v>
      </c>
      <c r="G57" s="2024"/>
      <c r="H57" s="2025">
        <f t="shared" si="4"/>
        <v>6412146.79</v>
      </c>
      <c r="I57" s="2025">
        <f t="shared" si="5"/>
        <v>2978571.98</v>
      </c>
    </row>
    <row r="58" spans="1:9" s="234" customFormat="1" ht="15" x14ac:dyDescent="0.25">
      <c r="A58" s="2020" t="s">
        <v>134</v>
      </c>
      <c r="B58" s="2021" t="s">
        <v>135</v>
      </c>
      <c r="C58" s="1373" t="s">
        <v>267</v>
      </c>
      <c r="D58" s="2022"/>
      <c r="E58" s="2023">
        <v>1642653.9</v>
      </c>
      <c r="F58" s="2023">
        <v>1250988.53</v>
      </c>
      <c r="G58" s="2024"/>
      <c r="H58" s="2025">
        <f t="shared" si="4"/>
        <v>2893642.4299999997</v>
      </c>
      <c r="I58" s="2025">
        <f t="shared" si="5"/>
        <v>1250988.53</v>
      </c>
    </row>
    <row r="59" spans="1:9" s="234" customFormat="1" ht="15" x14ac:dyDescent="0.25">
      <c r="A59" s="2020" t="s">
        <v>136</v>
      </c>
      <c r="B59" s="2021" t="s">
        <v>137</v>
      </c>
      <c r="C59" s="1373" t="s">
        <v>266</v>
      </c>
      <c r="D59" s="2022"/>
      <c r="E59" s="2023">
        <v>1006171.77</v>
      </c>
      <c r="F59" s="2023">
        <v>148770.67000000001</v>
      </c>
      <c r="G59" s="2024"/>
      <c r="H59" s="2025">
        <f t="shared" si="4"/>
        <v>1154942.44</v>
      </c>
      <c r="I59" s="2025">
        <f t="shared" si="5"/>
        <v>148770.67000000001</v>
      </c>
    </row>
    <row r="60" spans="1:9" s="234" customFormat="1" ht="15" x14ac:dyDescent="0.25">
      <c r="A60" s="2020" t="s">
        <v>140</v>
      </c>
      <c r="B60" s="2021" t="s">
        <v>141</v>
      </c>
      <c r="C60" s="1373" t="s">
        <v>267</v>
      </c>
      <c r="D60" s="2022"/>
      <c r="E60" s="2023">
        <v>2160003.14</v>
      </c>
      <c r="F60" s="2023">
        <v>1055454.8700000001</v>
      </c>
      <c r="G60" s="2024"/>
      <c r="H60" s="2025">
        <f t="shared" si="4"/>
        <v>3215458.0100000002</v>
      </c>
      <c r="I60" s="2025">
        <f t="shared" si="5"/>
        <v>1055454.8700000001</v>
      </c>
    </row>
    <row r="61" spans="1:9" s="234" customFormat="1" ht="15" x14ac:dyDescent="0.25">
      <c r="A61" s="2020" t="s">
        <v>146</v>
      </c>
      <c r="B61" s="2021" t="s">
        <v>147</v>
      </c>
      <c r="C61" s="1373" t="s">
        <v>264</v>
      </c>
      <c r="D61" s="2022"/>
      <c r="E61" s="2023">
        <v>66900.3</v>
      </c>
      <c r="F61" s="2023">
        <v>49116.75</v>
      </c>
      <c r="G61" s="2024"/>
      <c r="H61" s="2025">
        <f t="shared" si="4"/>
        <v>116017.05</v>
      </c>
      <c r="I61" s="2025">
        <f t="shared" si="5"/>
        <v>49116.75</v>
      </c>
    </row>
    <row r="62" spans="1:9" s="234" customFormat="1" ht="15" x14ac:dyDescent="0.25">
      <c r="A62" s="2020" t="s">
        <v>148</v>
      </c>
      <c r="B62" s="2021" t="s">
        <v>149</v>
      </c>
      <c r="C62" s="1373" t="s">
        <v>265</v>
      </c>
      <c r="D62" s="2022"/>
      <c r="E62" s="2023">
        <v>1206324.8799999999</v>
      </c>
      <c r="F62" s="2023">
        <v>343735.83</v>
      </c>
      <c r="G62" s="2024"/>
      <c r="H62" s="2025">
        <f t="shared" si="4"/>
        <v>1550060.71</v>
      </c>
      <c r="I62" s="2025">
        <f t="shared" si="5"/>
        <v>343735.83</v>
      </c>
    </row>
    <row r="63" spans="1:9" s="234" customFormat="1" ht="15" x14ac:dyDescent="0.25">
      <c r="A63" s="2020" t="s">
        <v>150</v>
      </c>
      <c r="B63" s="2021" t="s">
        <v>151</v>
      </c>
      <c r="C63" s="1373" t="s">
        <v>266</v>
      </c>
      <c r="D63" s="2022"/>
      <c r="E63" s="2023">
        <v>306702.53000000003</v>
      </c>
      <c r="F63" s="2023">
        <v>233681.67</v>
      </c>
      <c r="G63" s="2024"/>
      <c r="H63" s="2025">
        <f t="shared" si="4"/>
        <v>540384.20000000007</v>
      </c>
      <c r="I63" s="2025">
        <f t="shared" si="5"/>
        <v>233681.67</v>
      </c>
    </row>
    <row r="64" spans="1:9" s="234" customFormat="1" ht="15" x14ac:dyDescent="0.25">
      <c r="A64" s="2020" t="s">
        <v>152</v>
      </c>
      <c r="B64" s="2021" t="s">
        <v>153</v>
      </c>
      <c r="C64" s="1373" t="s">
        <v>268</v>
      </c>
      <c r="D64" s="2022"/>
      <c r="E64" s="2023">
        <v>460347.57</v>
      </c>
      <c r="F64" s="2023">
        <v>177807.9</v>
      </c>
      <c r="G64" s="2024"/>
      <c r="H64" s="2025">
        <f t="shared" si="4"/>
        <v>638155.47</v>
      </c>
      <c r="I64" s="2025">
        <f t="shared" si="5"/>
        <v>177807.9</v>
      </c>
    </row>
    <row r="65" spans="1:9" s="234" customFormat="1" ht="15" x14ac:dyDescent="0.25">
      <c r="A65" s="2020" t="s">
        <v>154</v>
      </c>
      <c r="B65" s="2021" t="s">
        <v>155</v>
      </c>
      <c r="C65" s="1373" t="s">
        <v>265</v>
      </c>
      <c r="D65" s="2022"/>
      <c r="E65" s="2023">
        <v>683145.52</v>
      </c>
      <c r="F65" s="2023">
        <v>309183.46000000002</v>
      </c>
      <c r="G65" s="2024"/>
      <c r="H65" s="2025">
        <f t="shared" si="4"/>
        <v>992328.98</v>
      </c>
      <c r="I65" s="2025">
        <f t="shared" si="5"/>
        <v>309183.46000000002</v>
      </c>
    </row>
    <row r="66" spans="1:9" s="234" customFormat="1" ht="15" x14ac:dyDescent="0.25">
      <c r="A66" s="2020" t="s">
        <v>156</v>
      </c>
      <c r="B66" s="2021" t="s">
        <v>157</v>
      </c>
      <c r="C66" s="1373" t="s">
        <v>266</v>
      </c>
      <c r="D66" s="2022"/>
      <c r="E66" s="2023">
        <v>643945.43999999994</v>
      </c>
      <c r="F66" s="2023">
        <v>486141.88</v>
      </c>
      <c r="G66" s="2024"/>
      <c r="H66" s="2025">
        <f t="shared" si="4"/>
        <v>1130087.3199999998</v>
      </c>
      <c r="I66" s="2025">
        <f t="shared" si="5"/>
        <v>486141.88</v>
      </c>
    </row>
    <row r="67" spans="1:9" s="234" customFormat="1" ht="15" x14ac:dyDescent="0.25">
      <c r="A67" s="2020" t="s">
        <v>162</v>
      </c>
      <c r="B67" s="2021" t="s">
        <v>163</v>
      </c>
      <c r="C67" s="1373" t="s">
        <v>264</v>
      </c>
      <c r="D67" s="2022"/>
      <c r="E67" s="2023">
        <v>384920.05</v>
      </c>
      <c r="F67" s="2023">
        <v>96127.62</v>
      </c>
      <c r="G67" s="2024"/>
      <c r="H67" s="2025">
        <f t="shared" si="4"/>
        <v>481047.67</v>
      </c>
      <c r="I67" s="2025">
        <f t="shared" si="5"/>
        <v>96127.62</v>
      </c>
    </row>
    <row r="68" spans="1:9" s="234" customFormat="1" ht="15" x14ac:dyDescent="0.25">
      <c r="A68" s="2020" t="s">
        <v>164</v>
      </c>
      <c r="B68" s="2021" t="s">
        <v>165</v>
      </c>
      <c r="C68" s="1373" t="s">
        <v>266</v>
      </c>
      <c r="D68" s="2022"/>
      <c r="E68" s="2023">
        <v>277564.08</v>
      </c>
      <c r="F68" s="2023">
        <v>134624.98000000001</v>
      </c>
      <c r="G68" s="2024"/>
      <c r="H68" s="2025">
        <f t="shared" si="4"/>
        <v>412189.06000000006</v>
      </c>
      <c r="I68" s="2025">
        <f t="shared" si="5"/>
        <v>134624.98000000001</v>
      </c>
    </row>
    <row r="69" spans="1:9" s="234" customFormat="1" ht="15" x14ac:dyDescent="0.25">
      <c r="A69" s="2020" t="s">
        <v>168</v>
      </c>
      <c r="B69" s="2021" t="s">
        <v>169</v>
      </c>
      <c r="C69" s="1373" t="s">
        <v>266</v>
      </c>
      <c r="D69" s="2022"/>
      <c r="E69" s="2023">
        <v>393979.2</v>
      </c>
      <c r="F69" s="2023">
        <v>158252.01</v>
      </c>
      <c r="G69" s="2024"/>
      <c r="H69" s="2025">
        <f t="shared" ref="H69:H100" si="6">SUM(D69:G69)</f>
        <v>552231.21</v>
      </c>
      <c r="I69" s="2025">
        <f t="shared" ref="I69:I100" si="7">F69+G69</f>
        <v>158252.01</v>
      </c>
    </row>
    <row r="70" spans="1:9" s="234" customFormat="1" ht="15" x14ac:dyDescent="0.25">
      <c r="A70" s="2020" t="s">
        <v>170</v>
      </c>
      <c r="B70" s="2021" t="s">
        <v>171</v>
      </c>
      <c r="C70" s="1373" t="s">
        <v>267</v>
      </c>
      <c r="D70" s="2022"/>
      <c r="E70" s="2023">
        <v>1817458.49</v>
      </c>
      <c r="F70" s="2023">
        <v>1131079.6399999999</v>
      </c>
      <c r="G70" s="2024"/>
      <c r="H70" s="2025">
        <f t="shared" si="6"/>
        <v>2948538.13</v>
      </c>
      <c r="I70" s="2025">
        <f t="shared" si="7"/>
        <v>1131079.6399999999</v>
      </c>
    </row>
    <row r="71" spans="1:9" s="234" customFormat="1" ht="15" x14ac:dyDescent="0.25">
      <c r="A71" s="2020" t="s">
        <v>172</v>
      </c>
      <c r="B71" s="2021" t="s">
        <v>173</v>
      </c>
      <c r="C71" s="1373" t="s">
        <v>267</v>
      </c>
      <c r="D71" s="2022"/>
      <c r="E71" s="2023">
        <v>1012894.47</v>
      </c>
      <c r="F71" s="2023">
        <v>405745.74</v>
      </c>
      <c r="G71" s="2024"/>
      <c r="H71" s="2025">
        <f t="shared" si="6"/>
        <v>1418640.21</v>
      </c>
      <c r="I71" s="2025">
        <f t="shared" si="7"/>
        <v>405745.74</v>
      </c>
    </row>
    <row r="72" spans="1:9" s="234" customFormat="1" ht="15" x14ac:dyDescent="0.25">
      <c r="A72" s="2020" t="s">
        <v>174</v>
      </c>
      <c r="B72" s="2021" t="s">
        <v>175</v>
      </c>
      <c r="C72" s="1373" t="s">
        <v>268</v>
      </c>
      <c r="D72" s="2022"/>
      <c r="E72" s="2023">
        <v>358937.63</v>
      </c>
      <c r="F72" s="2023">
        <v>138829.76000000001</v>
      </c>
      <c r="G72" s="2024"/>
      <c r="H72" s="2025">
        <f t="shared" si="6"/>
        <v>497767.39</v>
      </c>
      <c r="I72" s="2025">
        <f t="shared" si="7"/>
        <v>138829.76000000001</v>
      </c>
    </row>
    <row r="73" spans="1:9" s="234" customFormat="1" ht="15" x14ac:dyDescent="0.25">
      <c r="A73" s="2020" t="s">
        <v>178</v>
      </c>
      <c r="B73" s="2021" t="s">
        <v>179</v>
      </c>
      <c r="C73" s="1373" t="s">
        <v>265</v>
      </c>
      <c r="D73" s="2022"/>
      <c r="E73" s="2023">
        <v>5746812.4900000002</v>
      </c>
      <c r="F73" s="2023">
        <v>1389950.28</v>
      </c>
      <c r="G73" s="2024"/>
      <c r="H73" s="2025">
        <f t="shared" si="6"/>
        <v>7136762.7700000005</v>
      </c>
      <c r="I73" s="2025">
        <f t="shared" si="7"/>
        <v>1389950.28</v>
      </c>
    </row>
    <row r="74" spans="1:9" s="234" customFormat="1" ht="15" x14ac:dyDescent="0.25">
      <c r="A74" s="2020" t="s">
        <v>182</v>
      </c>
      <c r="B74" s="2021" t="s">
        <v>183</v>
      </c>
      <c r="C74" s="1373" t="s">
        <v>266</v>
      </c>
      <c r="D74" s="2022"/>
      <c r="E74" s="2023">
        <v>919258.74</v>
      </c>
      <c r="F74" s="2023">
        <v>671563.93</v>
      </c>
      <c r="G74" s="2024"/>
      <c r="H74" s="2025">
        <f t="shared" si="6"/>
        <v>1590822.67</v>
      </c>
      <c r="I74" s="2025">
        <f t="shared" si="7"/>
        <v>671563.93</v>
      </c>
    </row>
    <row r="75" spans="1:9" s="234" customFormat="1" ht="15" x14ac:dyDescent="0.25">
      <c r="A75" s="2020" t="s">
        <v>184</v>
      </c>
      <c r="B75" s="2021" t="s">
        <v>185</v>
      </c>
      <c r="C75" s="1373" t="s">
        <v>266</v>
      </c>
      <c r="D75" s="2022"/>
      <c r="E75" s="2023">
        <v>930067.28</v>
      </c>
      <c r="F75" s="2023">
        <v>267168.89</v>
      </c>
      <c r="G75" s="2024"/>
      <c r="H75" s="2025">
        <f t="shared" si="6"/>
        <v>1197236.17</v>
      </c>
      <c r="I75" s="2025">
        <f t="shared" si="7"/>
        <v>267168.89</v>
      </c>
    </row>
    <row r="76" spans="1:9" s="234" customFormat="1" ht="15" x14ac:dyDescent="0.25">
      <c r="A76" s="2020" t="s">
        <v>186</v>
      </c>
      <c r="B76" s="2021" t="s">
        <v>187</v>
      </c>
      <c r="C76" s="1373" t="s">
        <v>264</v>
      </c>
      <c r="D76" s="2022"/>
      <c r="E76" s="2023">
        <v>731837.17</v>
      </c>
      <c r="F76" s="2023">
        <v>438187.6</v>
      </c>
      <c r="G76" s="2024"/>
      <c r="H76" s="2025">
        <f t="shared" si="6"/>
        <v>1170024.77</v>
      </c>
      <c r="I76" s="2025">
        <f t="shared" si="7"/>
        <v>438187.6</v>
      </c>
    </row>
    <row r="77" spans="1:9" s="234" customFormat="1" ht="15" x14ac:dyDescent="0.25">
      <c r="A77" s="2020" t="s">
        <v>188</v>
      </c>
      <c r="B77" s="2021" t="s">
        <v>189</v>
      </c>
      <c r="C77" s="1373" t="s">
        <v>267</v>
      </c>
      <c r="D77" s="2022"/>
      <c r="E77" s="2023">
        <v>7522813.54</v>
      </c>
      <c r="F77" s="2023">
        <v>3777608.32</v>
      </c>
      <c r="G77" s="2024"/>
      <c r="H77" s="2025">
        <f t="shared" si="6"/>
        <v>11300421.859999999</v>
      </c>
      <c r="I77" s="2025">
        <f t="shared" si="7"/>
        <v>3777608.32</v>
      </c>
    </row>
    <row r="78" spans="1:9" s="234" customFormat="1" ht="15" x14ac:dyDescent="0.25">
      <c r="A78" s="2020" t="s">
        <v>190</v>
      </c>
      <c r="B78" s="2021" t="s">
        <v>191</v>
      </c>
      <c r="C78" s="1373" t="s">
        <v>268</v>
      </c>
      <c r="D78" s="2022"/>
      <c r="E78" s="2023">
        <v>2603257.44</v>
      </c>
      <c r="F78" s="2023">
        <v>975689.29</v>
      </c>
      <c r="G78" s="2024"/>
      <c r="H78" s="2025">
        <f t="shared" si="6"/>
        <v>3578946.73</v>
      </c>
      <c r="I78" s="2025">
        <f t="shared" si="7"/>
        <v>975689.29</v>
      </c>
    </row>
    <row r="79" spans="1:9" s="234" customFormat="1" ht="15" x14ac:dyDescent="0.25">
      <c r="A79" s="2020" t="s">
        <v>194</v>
      </c>
      <c r="B79" s="2021" t="s">
        <v>195</v>
      </c>
      <c r="C79" s="1373" t="s">
        <v>267</v>
      </c>
      <c r="D79" s="2022"/>
      <c r="E79" s="2023">
        <v>621776.47</v>
      </c>
      <c r="F79" s="2023">
        <v>388082.55</v>
      </c>
      <c r="G79" s="2024"/>
      <c r="H79" s="2025">
        <f t="shared" si="6"/>
        <v>1009859.02</v>
      </c>
      <c r="I79" s="2025">
        <f t="shared" si="7"/>
        <v>388082.55</v>
      </c>
    </row>
    <row r="80" spans="1:9" s="234" customFormat="1" ht="15" x14ac:dyDescent="0.25">
      <c r="A80" s="2020" t="s">
        <v>198</v>
      </c>
      <c r="B80" s="2021" t="s">
        <v>199</v>
      </c>
      <c r="C80" s="1373" t="s">
        <v>266</v>
      </c>
      <c r="D80" s="2022"/>
      <c r="E80" s="2023">
        <v>283686.58</v>
      </c>
      <c r="F80" s="2023">
        <v>116854.43</v>
      </c>
      <c r="G80" s="2024"/>
      <c r="H80" s="2025">
        <f t="shared" si="6"/>
        <v>400541.01</v>
      </c>
      <c r="I80" s="2025">
        <f t="shared" si="7"/>
        <v>116854.43</v>
      </c>
    </row>
    <row r="81" spans="1:9" s="234" customFormat="1" ht="15" x14ac:dyDescent="0.25">
      <c r="A81" s="2020" t="s">
        <v>202</v>
      </c>
      <c r="B81" s="2021" t="s">
        <v>203</v>
      </c>
      <c r="C81" s="1373" t="s">
        <v>265</v>
      </c>
      <c r="D81" s="2022"/>
      <c r="E81" s="2023">
        <v>4920442.3599999994</v>
      </c>
      <c r="F81" s="2023">
        <v>3549263.68</v>
      </c>
      <c r="G81" s="2024"/>
      <c r="H81" s="2025">
        <f t="shared" si="6"/>
        <v>8469706.0399999991</v>
      </c>
      <c r="I81" s="2025">
        <f t="shared" si="7"/>
        <v>3549263.68</v>
      </c>
    </row>
    <row r="82" spans="1:9" s="234" customFormat="1" ht="30" x14ac:dyDescent="0.25">
      <c r="A82" s="2020" t="s">
        <v>204</v>
      </c>
      <c r="B82" s="2021" t="s">
        <v>205</v>
      </c>
      <c r="C82" s="1373" t="s">
        <v>265</v>
      </c>
      <c r="D82" s="2022"/>
      <c r="E82" s="2023">
        <v>3581757.81</v>
      </c>
      <c r="F82" s="2023">
        <v>1077100.52</v>
      </c>
      <c r="G82" s="2024"/>
      <c r="H82" s="2025">
        <f t="shared" si="6"/>
        <v>4658858.33</v>
      </c>
      <c r="I82" s="2025">
        <f t="shared" si="7"/>
        <v>1077100.52</v>
      </c>
    </row>
    <row r="83" spans="1:9" s="234" customFormat="1" ht="15" x14ac:dyDescent="0.25">
      <c r="A83" s="2020" t="s">
        <v>206</v>
      </c>
      <c r="B83" s="2021" t="s">
        <v>207</v>
      </c>
      <c r="C83" s="1373" t="s">
        <v>267</v>
      </c>
      <c r="D83" s="2022"/>
      <c r="E83" s="2023">
        <v>5980352.21</v>
      </c>
      <c r="F83" s="2023">
        <v>3340708.4</v>
      </c>
      <c r="G83" s="2024"/>
      <c r="H83" s="2025">
        <f t="shared" si="6"/>
        <v>9321060.6099999994</v>
      </c>
      <c r="I83" s="2025">
        <f t="shared" si="7"/>
        <v>3340708.4</v>
      </c>
    </row>
    <row r="84" spans="1:9" s="234" customFormat="1" ht="15" x14ac:dyDescent="0.25">
      <c r="A84" s="2020" t="s">
        <v>208</v>
      </c>
      <c r="B84" s="2021" t="s">
        <v>209</v>
      </c>
      <c r="C84" s="1373" t="s">
        <v>268</v>
      </c>
      <c r="D84" s="2022"/>
      <c r="E84" s="2023">
        <v>1469400.31</v>
      </c>
      <c r="F84" s="2023">
        <v>361365.27</v>
      </c>
      <c r="G84" s="2024"/>
      <c r="H84" s="2025">
        <f t="shared" si="6"/>
        <v>1830765.58</v>
      </c>
      <c r="I84" s="2025">
        <f t="shared" si="7"/>
        <v>361365.27</v>
      </c>
    </row>
    <row r="85" spans="1:9" s="234" customFormat="1" ht="15" x14ac:dyDescent="0.25">
      <c r="A85" s="2020" t="s">
        <v>210</v>
      </c>
      <c r="B85" s="2021" t="s">
        <v>211</v>
      </c>
      <c r="C85" s="1373" t="s">
        <v>268</v>
      </c>
      <c r="D85" s="2022"/>
      <c r="E85" s="2023">
        <v>572863.35</v>
      </c>
      <c r="F85" s="2023">
        <v>272296.32000000001</v>
      </c>
      <c r="G85" s="2024"/>
      <c r="H85" s="2025">
        <f t="shared" si="6"/>
        <v>845159.66999999993</v>
      </c>
      <c r="I85" s="2025">
        <f t="shared" si="7"/>
        <v>272296.32000000001</v>
      </c>
    </row>
    <row r="86" spans="1:9" s="234" customFormat="1" ht="15" x14ac:dyDescent="0.25">
      <c r="A86" s="2020" t="s">
        <v>212</v>
      </c>
      <c r="B86" s="2021" t="s">
        <v>213</v>
      </c>
      <c r="C86" s="1373" t="s">
        <v>267</v>
      </c>
      <c r="D86" s="2022"/>
      <c r="E86" s="2023">
        <v>2015695.26</v>
      </c>
      <c r="F86" s="2023">
        <v>991185.76</v>
      </c>
      <c r="G86" s="2024"/>
      <c r="H86" s="2025">
        <f t="shared" si="6"/>
        <v>3006881.02</v>
      </c>
      <c r="I86" s="2025">
        <f t="shared" si="7"/>
        <v>991185.76</v>
      </c>
    </row>
    <row r="87" spans="1:9" s="234" customFormat="1" ht="15" x14ac:dyDescent="0.25">
      <c r="A87" s="2020" t="s">
        <v>214</v>
      </c>
      <c r="B87" s="2021" t="s">
        <v>215</v>
      </c>
      <c r="C87" s="1373" t="s">
        <v>268</v>
      </c>
      <c r="D87" s="2022"/>
      <c r="E87" s="2023">
        <v>790376.97</v>
      </c>
      <c r="F87" s="2023">
        <v>208141.78</v>
      </c>
      <c r="G87" s="2024"/>
      <c r="H87" s="2025">
        <f t="shared" si="6"/>
        <v>998518.75</v>
      </c>
      <c r="I87" s="2025">
        <f t="shared" si="7"/>
        <v>208141.78</v>
      </c>
    </row>
    <row r="88" spans="1:9" s="234" customFormat="1" ht="15" x14ac:dyDescent="0.25">
      <c r="A88" s="2020" t="s">
        <v>216</v>
      </c>
      <c r="B88" s="2021" t="s">
        <v>217</v>
      </c>
      <c r="C88" s="1373" t="s">
        <v>264</v>
      </c>
      <c r="D88" s="2022"/>
      <c r="E88" s="2023">
        <v>237473.71</v>
      </c>
      <c r="F88" s="2023">
        <v>100590.41</v>
      </c>
      <c r="G88" s="2024"/>
      <c r="H88" s="2025">
        <f t="shared" si="6"/>
        <v>338064.12</v>
      </c>
      <c r="I88" s="2025">
        <f t="shared" si="7"/>
        <v>100590.41</v>
      </c>
    </row>
    <row r="89" spans="1:9" s="234" customFormat="1" ht="15" x14ac:dyDescent="0.25">
      <c r="A89" s="2020" t="s">
        <v>218</v>
      </c>
      <c r="B89" s="2021" t="s">
        <v>219</v>
      </c>
      <c r="C89" s="1373" t="s">
        <v>267</v>
      </c>
      <c r="D89" s="2022"/>
      <c r="E89" s="2023">
        <v>4795350</v>
      </c>
      <c r="F89" s="2023">
        <v>3836831.16</v>
      </c>
      <c r="G89" s="2024"/>
      <c r="H89" s="2025">
        <f t="shared" si="6"/>
        <v>8632181.1600000001</v>
      </c>
      <c r="I89" s="2025">
        <f t="shared" si="7"/>
        <v>3836831.16</v>
      </c>
    </row>
    <row r="90" spans="1:9" s="234" customFormat="1" ht="15" x14ac:dyDescent="0.25">
      <c r="A90" s="2020" t="s">
        <v>220</v>
      </c>
      <c r="B90" s="2021" t="s">
        <v>221</v>
      </c>
      <c r="C90" s="1373" t="s">
        <v>267</v>
      </c>
      <c r="D90" s="2022"/>
      <c r="E90" s="2023">
        <v>3392588.02</v>
      </c>
      <c r="F90" s="2023">
        <v>2703681.47</v>
      </c>
      <c r="G90" s="2024"/>
      <c r="H90" s="2025">
        <f t="shared" si="6"/>
        <v>6096269.4900000002</v>
      </c>
      <c r="I90" s="2025">
        <f t="shared" si="7"/>
        <v>2703681.47</v>
      </c>
    </row>
    <row r="91" spans="1:9" s="234" customFormat="1" ht="15" x14ac:dyDescent="0.25">
      <c r="A91" s="2020" t="s">
        <v>224</v>
      </c>
      <c r="B91" s="2021" t="s">
        <v>225</v>
      </c>
      <c r="C91" s="1373" t="s">
        <v>264</v>
      </c>
      <c r="D91" s="2022"/>
      <c r="E91" s="2023">
        <v>28298.71</v>
      </c>
      <c r="F91" s="2023">
        <v>18701.29</v>
      </c>
      <c r="G91" s="2024"/>
      <c r="H91" s="2025">
        <f t="shared" si="6"/>
        <v>47000</v>
      </c>
      <c r="I91" s="2025">
        <f t="shared" si="7"/>
        <v>18701.29</v>
      </c>
    </row>
    <row r="92" spans="1:9" s="234" customFormat="1" ht="15" x14ac:dyDescent="0.25">
      <c r="A92" s="2020" t="s">
        <v>226</v>
      </c>
      <c r="B92" s="2021" t="s">
        <v>227</v>
      </c>
      <c r="C92" s="1373" t="s">
        <v>264</v>
      </c>
      <c r="D92" s="2022"/>
      <c r="E92" s="2023">
        <v>366497.95</v>
      </c>
      <c r="F92" s="2023">
        <v>112959.82</v>
      </c>
      <c r="G92" s="2024"/>
      <c r="H92" s="2025">
        <f t="shared" si="6"/>
        <v>479457.77</v>
      </c>
      <c r="I92" s="2025">
        <f t="shared" si="7"/>
        <v>112959.82</v>
      </c>
    </row>
    <row r="93" spans="1:9" s="234" customFormat="1" ht="15" x14ac:dyDescent="0.25">
      <c r="A93" s="2020" t="s">
        <v>228</v>
      </c>
      <c r="B93" s="2021" t="s">
        <v>229</v>
      </c>
      <c r="C93" s="1373" t="s">
        <v>268</v>
      </c>
      <c r="D93" s="2022"/>
      <c r="E93" s="2023">
        <v>1075902.92</v>
      </c>
      <c r="F93" s="2023">
        <v>336559.34</v>
      </c>
      <c r="G93" s="2024"/>
      <c r="H93" s="2025">
        <f t="shared" si="6"/>
        <v>1412462.26</v>
      </c>
      <c r="I93" s="2025">
        <f t="shared" si="7"/>
        <v>336559.34</v>
      </c>
    </row>
    <row r="94" spans="1:9" s="234" customFormat="1" ht="15" x14ac:dyDescent="0.25">
      <c r="A94" s="2020" t="s">
        <v>232</v>
      </c>
      <c r="B94" s="2021" t="s">
        <v>233</v>
      </c>
      <c r="C94" s="1373" t="s">
        <v>267</v>
      </c>
      <c r="D94" s="2022"/>
      <c r="E94" s="2023">
        <v>1018805.43</v>
      </c>
      <c r="F94" s="2023">
        <v>648615.44999999995</v>
      </c>
      <c r="G94" s="2024"/>
      <c r="H94" s="2025">
        <f t="shared" si="6"/>
        <v>1667420.88</v>
      </c>
      <c r="I94" s="2025">
        <f t="shared" si="7"/>
        <v>648615.44999999995</v>
      </c>
    </row>
    <row r="95" spans="1:9" s="234" customFormat="1" ht="15" x14ac:dyDescent="0.25">
      <c r="A95" s="2020" t="s">
        <v>234</v>
      </c>
      <c r="B95" s="2021" t="s">
        <v>235</v>
      </c>
      <c r="C95" s="1373" t="s">
        <v>268</v>
      </c>
      <c r="D95" s="2022"/>
      <c r="E95" s="2023">
        <v>1272588.42</v>
      </c>
      <c r="F95" s="2023">
        <v>490816.59</v>
      </c>
      <c r="G95" s="2024"/>
      <c r="H95" s="2025">
        <f t="shared" si="6"/>
        <v>1763405.01</v>
      </c>
      <c r="I95" s="2025">
        <f t="shared" si="7"/>
        <v>490816.59</v>
      </c>
    </row>
    <row r="96" spans="1:9" s="234" customFormat="1" ht="15" x14ac:dyDescent="0.25">
      <c r="A96" s="2020" t="s">
        <v>236</v>
      </c>
      <c r="B96" s="2021" t="s">
        <v>237</v>
      </c>
      <c r="C96" s="1373" t="s">
        <v>266</v>
      </c>
      <c r="D96" s="2022"/>
      <c r="E96" s="2023">
        <v>1082673.24</v>
      </c>
      <c r="F96" s="2023">
        <v>474565.43</v>
      </c>
      <c r="G96" s="2024"/>
      <c r="H96" s="2025">
        <f t="shared" si="6"/>
        <v>1557238.67</v>
      </c>
      <c r="I96" s="2025">
        <f t="shared" si="7"/>
        <v>474565.43</v>
      </c>
    </row>
    <row r="97" spans="1:9" s="234" customFormat="1" ht="15" x14ac:dyDescent="0.25">
      <c r="A97" s="2020" t="s">
        <v>242</v>
      </c>
      <c r="B97" s="2021" t="s">
        <v>243</v>
      </c>
      <c r="C97" s="1373" t="s">
        <v>268</v>
      </c>
      <c r="D97" s="2022"/>
      <c r="E97" s="2023">
        <v>1276787.04</v>
      </c>
      <c r="F97" s="2023">
        <v>442239.45</v>
      </c>
      <c r="G97" s="2024"/>
      <c r="H97" s="2025">
        <f t="shared" si="6"/>
        <v>1719026.49</v>
      </c>
      <c r="I97" s="2025">
        <f t="shared" si="7"/>
        <v>442239.45</v>
      </c>
    </row>
    <row r="98" spans="1:9" s="234" customFormat="1" ht="15" x14ac:dyDescent="0.25">
      <c r="A98" s="2020" t="s">
        <v>244</v>
      </c>
      <c r="B98" s="2021" t="s">
        <v>245</v>
      </c>
      <c r="C98" s="1373" t="s">
        <v>268</v>
      </c>
      <c r="D98" s="2022"/>
      <c r="E98" s="2023">
        <v>1456185.86</v>
      </c>
      <c r="F98" s="2023">
        <v>526565.49</v>
      </c>
      <c r="G98" s="2024"/>
      <c r="H98" s="2025">
        <f t="shared" si="6"/>
        <v>1982751.35</v>
      </c>
      <c r="I98" s="2025">
        <f t="shared" si="7"/>
        <v>526565.49</v>
      </c>
    </row>
    <row r="99" spans="1:9" s="234" customFormat="1" ht="15" x14ac:dyDescent="0.25">
      <c r="A99" s="2020" t="s">
        <v>246</v>
      </c>
      <c r="B99" s="2021" t="s">
        <v>310</v>
      </c>
      <c r="C99" s="1373" t="s">
        <v>264</v>
      </c>
      <c r="D99" s="2022"/>
      <c r="E99" s="2023">
        <v>1010009.1900000001</v>
      </c>
      <c r="F99" s="2023">
        <v>569151.18000000005</v>
      </c>
      <c r="G99" s="2024"/>
      <c r="H99" s="2025">
        <f t="shared" si="6"/>
        <v>1579160.37</v>
      </c>
      <c r="I99" s="2025">
        <f t="shared" si="7"/>
        <v>569151.18000000005</v>
      </c>
    </row>
    <row r="100" spans="1:9" s="234" customFormat="1" ht="15" x14ac:dyDescent="0.25">
      <c r="A100" s="2020" t="s">
        <v>14</v>
      </c>
      <c r="B100" s="2021" t="s">
        <v>15</v>
      </c>
      <c r="C100" s="1373" t="s">
        <v>267</v>
      </c>
      <c r="D100" s="2022"/>
      <c r="E100" s="2023">
        <v>3683896.78</v>
      </c>
      <c r="F100" s="2023">
        <v>3376927.55</v>
      </c>
      <c r="G100" s="2024"/>
      <c r="H100" s="2025">
        <f t="shared" si="6"/>
        <v>7060824.3300000001</v>
      </c>
      <c r="I100" s="2025">
        <f t="shared" si="7"/>
        <v>3376927.55</v>
      </c>
    </row>
    <row r="101" spans="1:9" s="234" customFormat="1" ht="15" x14ac:dyDescent="0.25">
      <c r="A101" s="2020" t="s">
        <v>34</v>
      </c>
      <c r="B101" s="2021" t="s">
        <v>35</v>
      </c>
      <c r="C101" s="1373" t="s">
        <v>268</v>
      </c>
      <c r="D101" s="2022"/>
      <c r="E101" s="2023">
        <v>1327867.51</v>
      </c>
      <c r="F101" s="2023">
        <v>464100.72</v>
      </c>
      <c r="G101" s="2024"/>
      <c r="H101" s="2025">
        <f t="shared" ref="H101:H124" si="8">SUM(D101:G101)</f>
        <v>1791968.23</v>
      </c>
      <c r="I101" s="2025">
        <f t="shared" ref="I101:I124" si="9">F101+G101</f>
        <v>464100.72</v>
      </c>
    </row>
    <row r="102" spans="1:9" s="234" customFormat="1" ht="15" x14ac:dyDescent="0.25">
      <c r="A102" s="2020" t="s">
        <v>52</v>
      </c>
      <c r="B102" s="2021" t="s">
        <v>53</v>
      </c>
      <c r="C102" s="1373" t="s">
        <v>265</v>
      </c>
      <c r="D102" s="2022"/>
      <c r="E102" s="2023">
        <v>5697193.5099999998</v>
      </c>
      <c r="F102" s="2023">
        <v>2142634.27</v>
      </c>
      <c r="G102" s="2024"/>
      <c r="H102" s="2025">
        <f t="shared" si="8"/>
        <v>7839827.7799999993</v>
      </c>
      <c r="I102" s="2025">
        <f t="shared" si="9"/>
        <v>2142634.27</v>
      </c>
    </row>
    <row r="103" spans="1:9" s="234" customFormat="1" ht="15" x14ac:dyDescent="0.25">
      <c r="A103" s="2020" t="s">
        <v>54</v>
      </c>
      <c r="B103" s="2021" t="s">
        <v>55</v>
      </c>
      <c r="C103" s="1373" t="s">
        <v>264</v>
      </c>
      <c r="D103" s="2022"/>
      <c r="E103" s="2023">
        <v>2478561.41</v>
      </c>
      <c r="F103" s="2023">
        <v>1379656.82</v>
      </c>
      <c r="G103" s="2024"/>
      <c r="H103" s="2025">
        <f t="shared" si="8"/>
        <v>3858218.2300000004</v>
      </c>
      <c r="I103" s="2025">
        <f t="shared" si="9"/>
        <v>1379656.82</v>
      </c>
    </row>
    <row r="104" spans="1:9" s="234" customFormat="1" ht="15" x14ac:dyDescent="0.25">
      <c r="A104" s="2020" t="s">
        <v>66</v>
      </c>
      <c r="B104" s="2021" t="s">
        <v>67</v>
      </c>
      <c r="C104" s="1373" t="s">
        <v>265</v>
      </c>
      <c r="D104" s="2022"/>
      <c r="E104" s="2023">
        <v>3286950.34</v>
      </c>
      <c r="F104" s="2023">
        <v>886615.78</v>
      </c>
      <c r="G104" s="2024"/>
      <c r="H104" s="2025">
        <f t="shared" si="8"/>
        <v>4173566.12</v>
      </c>
      <c r="I104" s="2025">
        <f t="shared" si="9"/>
        <v>886615.78</v>
      </c>
    </row>
    <row r="105" spans="1:9" s="234" customFormat="1" ht="15" x14ac:dyDescent="0.25">
      <c r="A105" s="2020" t="s">
        <v>82</v>
      </c>
      <c r="B105" s="2021" t="s">
        <v>311</v>
      </c>
      <c r="C105" s="1373" t="s">
        <v>264</v>
      </c>
      <c r="D105" s="2022"/>
      <c r="E105" s="2023">
        <v>71896.679999999993</v>
      </c>
      <c r="F105" s="2023">
        <v>41477.9</v>
      </c>
      <c r="G105" s="2024"/>
      <c r="H105" s="2025">
        <f t="shared" si="8"/>
        <v>113374.57999999999</v>
      </c>
      <c r="I105" s="2025">
        <f t="shared" si="9"/>
        <v>41477.9</v>
      </c>
    </row>
    <row r="106" spans="1:9" s="234" customFormat="1" ht="15" x14ac:dyDescent="0.25">
      <c r="A106" s="2020" t="s">
        <v>88</v>
      </c>
      <c r="B106" s="2021" t="s">
        <v>89</v>
      </c>
      <c r="C106" s="1373" t="s">
        <v>267</v>
      </c>
      <c r="D106" s="2022"/>
      <c r="E106" s="2023">
        <v>1408861.95</v>
      </c>
      <c r="F106" s="2023">
        <v>698844.13</v>
      </c>
      <c r="G106" s="2024"/>
      <c r="H106" s="2025">
        <f t="shared" si="8"/>
        <v>2107706.08</v>
      </c>
      <c r="I106" s="2025">
        <f t="shared" si="9"/>
        <v>698844.13</v>
      </c>
    </row>
    <row r="107" spans="1:9" s="234" customFormat="1" ht="15" x14ac:dyDescent="0.25">
      <c r="A107" s="2020" t="s">
        <v>90</v>
      </c>
      <c r="B107" s="2021" t="s">
        <v>91</v>
      </c>
      <c r="C107" s="1373" t="s">
        <v>268</v>
      </c>
      <c r="D107" s="2022"/>
      <c r="E107" s="2023">
        <v>229353.21</v>
      </c>
      <c r="F107" s="2023">
        <v>65843.88</v>
      </c>
      <c r="G107" s="2024"/>
      <c r="H107" s="2025">
        <f t="shared" si="8"/>
        <v>295197.08999999997</v>
      </c>
      <c r="I107" s="2025">
        <f t="shared" si="9"/>
        <v>65843.88</v>
      </c>
    </row>
    <row r="108" spans="1:9" s="234" customFormat="1" ht="15" x14ac:dyDescent="0.25">
      <c r="A108" s="2020" t="s">
        <v>106</v>
      </c>
      <c r="B108" s="2021" t="s">
        <v>107</v>
      </c>
      <c r="C108" s="1373" t="s">
        <v>264</v>
      </c>
      <c r="D108" s="2022"/>
      <c r="E108" s="2023">
        <v>5560134.9500000002</v>
      </c>
      <c r="F108" s="2023">
        <v>1572622.47</v>
      </c>
      <c r="G108" s="2024"/>
      <c r="H108" s="2025">
        <f t="shared" si="8"/>
        <v>7132757.4199999999</v>
      </c>
      <c r="I108" s="2025">
        <f t="shared" si="9"/>
        <v>1572622.47</v>
      </c>
    </row>
    <row r="109" spans="1:9" s="234" customFormat="1" ht="15" x14ac:dyDescent="0.25">
      <c r="A109" s="2020" t="s">
        <v>116</v>
      </c>
      <c r="B109" s="2021" t="s">
        <v>117</v>
      </c>
      <c r="C109" s="1373" t="s">
        <v>266</v>
      </c>
      <c r="D109" s="2022"/>
      <c r="E109" s="2023">
        <v>1975242.26</v>
      </c>
      <c r="F109" s="2023">
        <v>700732.55</v>
      </c>
      <c r="G109" s="2024"/>
      <c r="H109" s="2025">
        <f t="shared" si="8"/>
        <v>2675974.81</v>
      </c>
      <c r="I109" s="2025">
        <f t="shared" si="9"/>
        <v>700732.55</v>
      </c>
    </row>
    <row r="110" spans="1:9" s="234" customFormat="1" ht="15" x14ac:dyDescent="0.25">
      <c r="A110" s="2020" t="s">
        <v>138</v>
      </c>
      <c r="B110" s="2021" t="s">
        <v>139</v>
      </c>
      <c r="C110" s="1373" t="s">
        <v>265</v>
      </c>
      <c r="D110" s="2022"/>
      <c r="E110" s="2023">
        <v>4391765.5999999996</v>
      </c>
      <c r="F110" s="2023">
        <v>1628724.25</v>
      </c>
      <c r="G110" s="2024"/>
      <c r="H110" s="2025">
        <f t="shared" si="8"/>
        <v>6020489.8499999996</v>
      </c>
      <c r="I110" s="2025">
        <f t="shared" si="9"/>
        <v>1628724.25</v>
      </c>
    </row>
    <row r="111" spans="1:9" s="234" customFormat="1" ht="15" x14ac:dyDescent="0.25">
      <c r="A111" s="2020" t="s">
        <v>142</v>
      </c>
      <c r="B111" s="2021" t="s">
        <v>143</v>
      </c>
      <c r="C111" s="1373" t="s">
        <v>267</v>
      </c>
      <c r="D111" s="2022"/>
      <c r="E111" s="2023">
        <v>721601.01</v>
      </c>
      <c r="F111" s="2023">
        <v>509590.51</v>
      </c>
      <c r="G111" s="2024"/>
      <c r="H111" s="2025">
        <f t="shared" si="8"/>
        <v>1231191.52</v>
      </c>
      <c r="I111" s="2025">
        <f t="shared" si="9"/>
        <v>509590.51</v>
      </c>
    </row>
    <row r="112" spans="1:9" s="234" customFormat="1" ht="15" x14ac:dyDescent="0.25">
      <c r="A112" s="2020" t="s">
        <v>144</v>
      </c>
      <c r="B112" s="2021" t="s">
        <v>145</v>
      </c>
      <c r="C112" s="1373" t="s">
        <v>267</v>
      </c>
      <c r="D112" s="2022"/>
      <c r="E112" s="2023">
        <v>598523.12</v>
      </c>
      <c r="F112" s="2023">
        <v>440302.93</v>
      </c>
      <c r="G112" s="2024"/>
      <c r="H112" s="2025">
        <f t="shared" si="8"/>
        <v>1038826.05</v>
      </c>
      <c r="I112" s="2025">
        <f t="shared" si="9"/>
        <v>440302.93</v>
      </c>
    </row>
    <row r="113" spans="1:9" s="234" customFormat="1" ht="15" x14ac:dyDescent="0.25">
      <c r="A113" s="2020" t="s">
        <v>158</v>
      </c>
      <c r="B113" s="2021" t="s">
        <v>159</v>
      </c>
      <c r="C113" s="1373" t="s">
        <v>264</v>
      </c>
      <c r="D113" s="2022"/>
      <c r="E113" s="2023">
        <v>4965776.6399999997</v>
      </c>
      <c r="F113" s="2023">
        <v>1780492.56</v>
      </c>
      <c r="G113" s="2024"/>
      <c r="H113" s="2025">
        <f t="shared" si="8"/>
        <v>6746269.1999999993</v>
      </c>
      <c r="I113" s="2025">
        <f t="shared" si="9"/>
        <v>1780492.56</v>
      </c>
    </row>
    <row r="114" spans="1:9" s="234" customFormat="1" ht="15" x14ac:dyDescent="0.25">
      <c r="A114" s="2020" t="s">
        <v>160</v>
      </c>
      <c r="B114" s="2021" t="s">
        <v>161</v>
      </c>
      <c r="C114" s="1373" t="s">
        <v>264</v>
      </c>
      <c r="D114" s="2022"/>
      <c r="E114" s="2023">
        <v>7046532.3899999997</v>
      </c>
      <c r="F114" s="2023">
        <v>2146588.4700000002</v>
      </c>
      <c r="G114" s="2024"/>
      <c r="H114" s="2025">
        <f t="shared" si="8"/>
        <v>9193120.8599999994</v>
      </c>
      <c r="I114" s="2025">
        <f t="shared" si="9"/>
        <v>2146588.4700000002</v>
      </c>
    </row>
    <row r="115" spans="1:9" s="234" customFormat="1" ht="15" x14ac:dyDescent="0.25">
      <c r="A115" s="2020" t="s">
        <v>166</v>
      </c>
      <c r="B115" s="2021" t="s">
        <v>167</v>
      </c>
      <c r="C115" s="1373" t="s">
        <v>268</v>
      </c>
      <c r="D115" s="2022"/>
      <c r="E115" s="2023">
        <v>92623.59</v>
      </c>
      <c r="F115" s="2023">
        <v>43823.01</v>
      </c>
      <c r="G115" s="2024"/>
      <c r="H115" s="2025">
        <f t="shared" si="8"/>
        <v>136446.6</v>
      </c>
      <c r="I115" s="2025">
        <f t="shared" si="9"/>
        <v>43823.01</v>
      </c>
    </row>
    <row r="116" spans="1:9" s="234" customFormat="1" ht="15" x14ac:dyDescent="0.25">
      <c r="A116" s="2020" t="s">
        <v>176</v>
      </c>
      <c r="B116" s="2021" t="s">
        <v>177</v>
      </c>
      <c r="C116" s="1373" t="s">
        <v>266</v>
      </c>
      <c r="D116" s="2022"/>
      <c r="E116" s="2023">
        <v>2667085.11</v>
      </c>
      <c r="F116" s="2023">
        <v>1326886.94</v>
      </c>
      <c r="G116" s="2024"/>
      <c r="H116" s="2025">
        <f t="shared" si="8"/>
        <v>3993972.05</v>
      </c>
      <c r="I116" s="2025">
        <f t="shared" si="9"/>
        <v>1326886.94</v>
      </c>
    </row>
    <row r="117" spans="1:9" s="234" customFormat="1" ht="15" x14ac:dyDescent="0.25">
      <c r="A117" s="2020" t="s">
        <v>180</v>
      </c>
      <c r="B117" s="2021" t="s">
        <v>181</v>
      </c>
      <c r="C117" s="1373" t="s">
        <v>264</v>
      </c>
      <c r="D117" s="2022"/>
      <c r="E117" s="2023">
        <v>2113175.2999999998</v>
      </c>
      <c r="F117" s="2023">
        <v>754455.71</v>
      </c>
      <c r="G117" s="2024"/>
      <c r="H117" s="2025">
        <f t="shared" si="8"/>
        <v>2867631.01</v>
      </c>
      <c r="I117" s="2025">
        <f t="shared" si="9"/>
        <v>754455.71</v>
      </c>
    </row>
    <row r="118" spans="1:9" s="234" customFormat="1" ht="15" x14ac:dyDescent="0.25">
      <c r="A118" s="2020" t="s">
        <v>192</v>
      </c>
      <c r="B118" s="2021" t="s">
        <v>193</v>
      </c>
      <c r="C118" s="1373" t="s">
        <v>268</v>
      </c>
      <c r="D118" s="2022"/>
      <c r="E118" s="2023">
        <v>723944.72</v>
      </c>
      <c r="F118" s="2023">
        <v>170818.86</v>
      </c>
      <c r="G118" s="2024"/>
      <c r="H118" s="2025">
        <f t="shared" si="8"/>
        <v>894763.58</v>
      </c>
      <c r="I118" s="2025">
        <f t="shared" si="9"/>
        <v>170818.86</v>
      </c>
    </row>
    <row r="119" spans="1:9" s="234" customFormat="1" ht="15" x14ac:dyDescent="0.25">
      <c r="A119" s="2020" t="s">
        <v>196</v>
      </c>
      <c r="B119" s="2021" t="s">
        <v>312</v>
      </c>
      <c r="C119" s="1373" t="s">
        <v>266</v>
      </c>
      <c r="D119" s="2022"/>
      <c r="E119" s="2023">
        <v>11080841.1</v>
      </c>
      <c r="F119" s="2023">
        <v>6612071.8700000001</v>
      </c>
      <c r="G119" s="2024"/>
      <c r="H119" s="2025">
        <f t="shared" si="8"/>
        <v>17692912.969999999</v>
      </c>
      <c r="I119" s="2025">
        <f t="shared" si="9"/>
        <v>6612071.8700000001</v>
      </c>
    </row>
    <row r="120" spans="1:9" s="234" customFormat="1" ht="15" x14ac:dyDescent="0.25">
      <c r="A120" s="2020" t="s">
        <v>200</v>
      </c>
      <c r="B120" s="2021" t="s">
        <v>313</v>
      </c>
      <c r="C120" s="1373" t="s">
        <v>265</v>
      </c>
      <c r="D120" s="2022"/>
      <c r="E120" s="2023">
        <v>8080443</v>
      </c>
      <c r="F120" s="2023">
        <v>3551044.93</v>
      </c>
      <c r="G120" s="2024"/>
      <c r="H120" s="2025">
        <f t="shared" si="8"/>
        <v>11631487.93</v>
      </c>
      <c r="I120" s="2025">
        <f t="shared" si="9"/>
        <v>3551044.93</v>
      </c>
    </row>
    <row r="121" spans="1:9" s="234" customFormat="1" ht="15" x14ac:dyDescent="0.25">
      <c r="A121" s="2020" t="s">
        <v>222</v>
      </c>
      <c r="B121" s="2021" t="s">
        <v>223</v>
      </c>
      <c r="C121" s="1373" t="s">
        <v>264</v>
      </c>
      <c r="D121" s="2022"/>
      <c r="E121" s="2023">
        <v>846285.24</v>
      </c>
      <c r="F121" s="2023">
        <v>262640.7</v>
      </c>
      <c r="G121" s="2024"/>
      <c r="H121" s="2025">
        <f t="shared" si="8"/>
        <v>1108925.94</v>
      </c>
      <c r="I121" s="2025">
        <f t="shared" si="9"/>
        <v>262640.7</v>
      </c>
    </row>
    <row r="122" spans="1:9" s="234" customFormat="1" ht="15" x14ac:dyDescent="0.25">
      <c r="A122" s="2020" t="s">
        <v>230</v>
      </c>
      <c r="B122" s="2021" t="s">
        <v>231</v>
      </c>
      <c r="C122" s="1373" t="s">
        <v>264</v>
      </c>
      <c r="D122" s="2022"/>
      <c r="E122" s="2023">
        <v>6841347.1799999997</v>
      </c>
      <c r="F122" s="2023">
        <v>3439286.5</v>
      </c>
      <c r="G122" s="2024"/>
      <c r="H122" s="2025">
        <f t="shared" si="8"/>
        <v>10280633.68</v>
      </c>
      <c r="I122" s="2025">
        <f t="shared" si="9"/>
        <v>3439286.5</v>
      </c>
    </row>
    <row r="123" spans="1:9" s="234" customFormat="1" ht="15" x14ac:dyDescent="0.25">
      <c r="A123" s="2020" t="s">
        <v>238</v>
      </c>
      <c r="B123" s="2021" t="s">
        <v>239</v>
      </c>
      <c r="C123" s="1373" t="s">
        <v>264</v>
      </c>
      <c r="D123" s="2022"/>
      <c r="E123" s="2023">
        <v>105673.21</v>
      </c>
      <c r="F123" s="2023">
        <v>56908.18</v>
      </c>
      <c r="G123" s="2024"/>
      <c r="H123" s="2025">
        <f t="shared" si="8"/>
        <v>162581.39000000001</v>
      </c>
      <c r="I123" s="2025">
        <f t="shared" si="9"/>
        <v>56908.18</v>
      </c>
    </row>
    <row r="124" spans="1:9" s="234" customFormat="1" ht="15" x14ac:dyDescent="0.25">
      <c r="A124" s="2020" t="s">
        <v>240</v>
      </c>
      <c r="B124" s="2021" t="s">
        <v>241</v>
      </c>
      <c r="C124" s="1383" t="s">
        <v>267</v>
      </c>
      <c r="D124" s="2022"/>
      <c r="E124" s="2023">
        <v>1377945.73</v>
      </c>
      <c r="F124" s="2023">
        <v>1128385.8600000001</v>
      </c>
      <c r="G124" s="2024"/>
      <c r="H124" s="2025">
        <f t="shared" si="8"/>
        <v>2506331.59</v>
      </c>
      <c r="I124" s="2025">
        <f t="shared" si="9"/>
        <v>1128385.8600000001</v>
      </c>
    </row>
    <row r="125" spans="1:9" s="234" customFormat="1" ht="15" x14ac:dyDescent="0.25">
      <c r="A125" s="1965"/>
      <c r="B125" s="1965"/>
      <c r="C125" s="1965"/>
      <c r="D125" s="2026"/>
      <c r="E125" s="2026"/>
      <c r="F125" s="2026"/>
      <c r="G125" s="2026"/>
      <c r="H125" s="2026"/>
      <c r="I125" s="2026"/>
    </row>
    <row r="126" spans="1:9" s="234" customFormat="1" ht="15" x14ac:dyDescent="0.25">
      <c r="A126" s="1965" t="s">
        <v>266</v>
      </c>
      <c r="B126" s="1965"/>
      <c r="C126" s="1965"/>
      <c r="D126" s="2027">
        <v>0</v>
      </c>
      <c r="E126" s="2028">
        <v>46985869.930000007</v>
      </c>
      <c r="F126" s="2028">
        <v>26519183.810000002</v>
      </c>
      <c r="G126" s="2028">
        <v>0</v>
      </c>
      <c r="H126" s="2029">
        <f t="shared" ref="H126:H130" si="10">SUM(D126:G126)</f>
        <v>73505053.74000001</v>
      </c>
      <c r="I126" s="2030">
        <f t="shared" ref="I126:I130" si="11">F126+G126</f>
        <v>26519183.810000002</v>
      </c>
    </row>
    <row r="127" spans="1:9" s="234" customFormat="1" ht="15" x14ac:dyDescent="0.25">
      <c r="A127" s="1965" t="s">
        <v>264</v>
      </c>
      <c r="B127" s="1965"/>
      <c r="C127" s="1965"/>
      <c r="D127" s="2027">
        <v>0</v>
      </c>
      <c r="E127" s="2028">
        <v>36638549.920000002</v>
      </c>
      <c r="F127" s="2028">
        <v>14579191.150000002</v>
      </c>
      <c r="G127" s="2028">
        <v>0</v>
      </c>
      <c r="H127" s="2029">
        <f t="shared" si="10"/>
        <v>51217741.070000008</v>
      </c>
      <c r="I127" s="2030">
        <f t="shared" si="11"/>
        <v>14579191.150000002</v>
      </c>
    </row>
    <row r="128" spans="1:9" s="234" customFormat="1" ht="15" x14ac:dyDescent="0.25">
      <c r="A128" s="1965" t="s">
        <v>267</v>
      </c>
      <c r="B128" s="1965"/>
      <c r="C128" s="1965"/>
      <c r="D128" s="2027">
        <v>0</v>
      </c>
      <c r="E128" s="2028">
        <v>79486881.690000027</v>
      </c>
      <c r="F128" s="2028">
        <v>55486761.479999997</v>
      </c>
      <c r="G128" s="2028">
        <v>0</v>
      </c>
      <c r="H128" s="2029">
        <f t="shared" si="10"/>
        <v>134973643.17000002</v>
      </c>
      <c r="I128" s="2030">
        <f t="shared" si="11"/>
        <v>55486761.479999997</v>
      </c>
    </row>
    <row r="129" spans="1:9" s="234" customFormat="1" ht="15" x14ac:dyDescent="0.25">
      <c r="A129" s="1965" t="s">
        <v>265</v>
      </c>
      <c r="B129" s="1965"/>
      <c r="C129" s="1965"/>
      <c r="D129" s="2027">
        <v>0</v>
      </c>
      <c r="E129" s="2028">
        <v>66893182.880000003</v>
      </c>
      <c r="F129" s="2028">
        <v>27599573.090000004</v>
      </c>
      <c r="G129" s="2028">
        <v>0</v>
      </c>
      <c r="H129" s="2029">
        <f t="shared" si="10"/>
        <v>94492755.969999999</v>
      </c>
      <c r="I129" s="2030">
        <f t="shared" si="11"/>
        <v>27599573.090000004</v>
      </c>
    </row>
    <row r="130" spans="1:9" s="234" customFormat="1" ht="15" x14ac:dyDescent="0.25">
      <c r="A130" s="1965" t="s">
        <v>268</v>
      </c>
      <c r="B130" s="1965"/>
      <c r="C130" s="1965"/>
      <c r="D130" s="2027">
        <v>0</v>
      </c>
      <c r="E130" s="2028">
        <v>20746195.580000002</v>
      </c>
      <c r="F130" s="2031">
        <v>7176548.6899999995</v>
      </c>
      <c r="G130" s="2028">
        <v>0</v>
      </c>
      <c r="H130" s="2029">
        <f t="shared" si="10"/>
        <v>27922744.270000003</v>
      </c>
      <c r="I130" s="2030">
        <f t="shared" si="11"/>
        <v>7176548.6899999995</v>
      </c>
    </row>
    <row r="131" spans="1:9" s="234" customFormat="1" ht="15" x14ac:dyDescent="0.25">
      <c r="A131" s="1965" t="s">
        <v>9</v>
      </c>
      <c r="B131" s="1965"/>
      <c r="C131" s="1965"/>
      <c r="D131" s="1966">
        <f t="shared" ref="D131:G131" si="12">SUM(D126:D130)</f>
        <v>0</v>
      </c>
      <c r="E131" s="2031">
        <f t="shared" si="12"/>
        <v>250750680.00000003</v>
      </c>
      <c r="F131" s="2031">
        <f t="shared" si="12"/>
        <v>131361258.22</v>
      </c>
      <c r="G131" s="2031">
        <f t="shared" si="12"/>
        <v>0</v>
      </c>
      <c r="H131" s="2029">
        <f t="shared" ref="H131" si="13">SUM(D131:G131)</f>
        <v>382111938.22000003</v>
      </c>
      <c r="I131" s="2030">
        <f t="shared" ref="I131" si="14">F131+G131</f>
        <v>131361258.22</v>
      </c>
    </row>
    <row r="132" spans="1:9" s="234" customFormat="1" x14ac:dyDescent="0.2">
      <c r="D132" s="1364"/>
      <c r="E132" s="962"/>
      <c r="F132" s="962"/>
      <c r="G132" s="962"/>
      <c r="H132" s="1202"/>
      <c r="I132" s="1202"/>
    </row>
    <row r="133" spans="1:9" s="234" customFormat="1" x14ac:dyDescent="0.2">
      <c r="D133" s="962"/>
      <c r="E133" s="962"/>
      <c r="F133" s="962"/>
      <c r="G133" s="962"/>
      <c r="H133" s="962"/>
      <c r="I133" s="962"/>
    </row>
    <row r="134" spans="1:9" s="963" customFormat="1" ht="15.75" x14ac:dyDescent="0.25">
      <c r="A134" s="917" t="s">
        <v>1263</v>
      </c>
      <c r="B134" s="964"/>
      <c r="C134" s="964"/>
    </row>
    <row r="135" spans="1:9" s="963" customFormat="1" x14ac:dyDescent="0.2"/>
    <row r="136" spans="1:9" s="182" customFormat="1" x14ac:dyDescent="0.2">
      <c r="A136" s="182" t="s">
        <v>248</v>
      </c>
    </row>
    <row r="137" spans="1:9" x14ac:dyDescent="0.2">
      <c r="A137" s="189" t="s">
        <v>249</v>
      </c>
      <c r="B137" s="167" t="s">
        <v>250</v>
      </c>
      <c r="C137" s="167"/>
    </row>
  </sheetData>
  <autoFilter ref="A3:I124"/>
  <sortState ref="A5:I124">
    <sortCondition ref="A5:A124"/>
  </sortState>
  <hyperlinks>
    <hyperlink ref="B137"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G139"/>
  <sheetViews>
    <sheetView workbookViewId="0">
      <pane xSplit="3" ySplit="5" topLeftCell="R6" activePane="bottomRight" state="frozen"/>
      <selection pane="topRight" activeCell="D1" sqref="D1"/>
      <selection pane="bottomLeft" activeCell="A5" sqref="A5"/>
      <selection pane="bottomRight"/>
    </sheetView>
  </sheetViews>
  <sheetFormatPr defaultRowHeight="15.75" x14ac:dyDescent="0.25"/>
  <cols>
    <col min="1" max="1" width="9" style="265"/>
    <col min="2" max="2" width="22.375" style="265" customWidth="1"/>
    <col min="3" max="3" width="14.125" style="265" customWidth="1"/>
    <col min="4" max="4" width="12.5" style="265" customWidth="1"/>
    <col min="5" max="5" width="9" style="265"/>
    <col min="6" max="7" width="11" style="265" customWidth="1"/>
    <col min="8" max="8" width="9.75" style="265" customWidth="1"/>
    <col min="9" max="12" width="9" style="265"/>
    <col min="13" max="13" width="11.875" style="265" customWidth="1"/>
    <col min="14" max="23" width="9" style="265"/>
    <col min="24" max="28" width="10.25" style="265" customWidth="1"/>
    <col min="29" max="31" width="9.875" style="265" customWidth="1"/>
    <col min="32" max="16384" width="9" style="265"/>
  </cols>
  <sheetData>
    <row r="1" spans="1:33" x14ac:dyDescent="0.25">
      <c r="A1" s="180" t="s">
        <v>1342</v>
      </c>
    </row>
    <row r="2" spans="1:33" x14ac:dyDescent="0.25">
      <c r="A2" s="180"/>
    </row>
    <row r="3" spans="1:33" ht="32.25" customHeight="1" x14ac:dyDescent="0.25">
      <c r="E3" s="2277"/>
      <c r="F3" s="2706" t="s">
        <v>1337</v>
      </c>
      <c r="G3" s="2707"/>
      <c r="H3" s="2701" t="s">
        <v>1335</v>
      </c>
      <c r="I3" s="2701"/>
      <c r="J3" s="2701"/>
      <c r="K3" s="2701"/>
      <c r="L3" s="2707"/>
      <c r="M3" s="2706" t="s">
        <v>617</v>
      </c>
      <c r="N3" s="2701"/>
      <c r="O3" s="2707"/>
      <c r="P3" s="2706" t="s">
        <v>548</v>
      </c>
      <c r="Q3" s="2701"/>
      <c r="R3" s="2701"/>
      <c r="S3" s="2706" t="s">
        <v>549</v>
      </c>
      <c r="T3" s="2701"/>
      <c r="U3" s="2707"/>
      <c r="V3" s="2709" t="s">
        <v>1343</v>
      </c>
      <c r="W3" s="2710"/>
      <c r="X3" s="2700" t="s">
        <v>1344</v>
      </c>
      <c r="Y3" s="2701"/>
      <c r="Z3" s="2701"/>
      <c r="AA3" s="2701"/>
      <c r="AB3" s="2702"/>
      <c r="AC3" s="2703" t="s">
        <v>1345</v>
      </c>
      <c r="AD3" s="2704"/>
      <c r="AE3" s="2705"/>
      <c r="AF3" s="2276" t="s">
        <v>551</v>
      </c>
      <c r="AG3" s="64" t="s">
        <v>723</v>
      </c>
    </row>
    <row r="4" spans="1:33" ht="47.25" x14ac:dyDescent="0.25">
      <c r="A4" s="64" t="s">
        <v>4</v>
      </c>
      <c r="B4" s="64" t="s">
        <v>5</v>
      </c>
      <c r="C4" s="64" t="s">
        <v>251</v>
      </c>
      <c r="D4" s="64" t="s">
        <v>719</v>
      </c>
      <c r="E4" s="584" t="s">
        <v>281</v>
      </c>
      <c r="F4" s="2278" t="s">
        <v>548</v>
      </c>
      <c r="G4" s="2279" t="s">
        <v>549</v>
      </c>
      <c r="H4" s="2285" t="s">
        <v>1340</v>
      </c>
      <c r="I4" s="2285" t="s">
        <v>1341</v>
      </c>
      <c r="J4" s="2285" t="s">
        <v>1338</v>
      </c>
      <c r="K4" s="2285" t="s">
        <v>581</v>
      </c>
      <c r="L4" s="2290" t="s">
        <v>1339</v>
      </c>
      <c r="M4" s="2284" t="s">
        <v>1323</v>
      </c>
      <c r="N4" s="2285" t="s">
        <v>717</v>
      </c>
      <c r="O4" s="2286" t="s">
        <v>1336</v>
      </c>
      <c r="P4" s="2284" t="s">
        <v>1323</v>
      </c>
      <c r="Q4" s="2285" t="s">
        <v>717</v>
      </c>
      <c r="R4" s="2285" t="s">
        <v>1336</v>
      </c>
      <c r="S4" s="2284" t="s">
        <v>1323</v>
      </c>
      <c r="T4" s="2285" t="s">
        <v>717</v>
      </c>
      <c r="U4" s="2286" t="s">
        <v>1336</v>
      </c>
      <c r="V4" s="2285" t="s">
        <v>548</v>
      </c>
      <c r="W4" s="2285" t="s">
        <v>549</v>
      </c>
      <c r="X4" s="2299" t="s">
        <v>1348</v>
      </c>
      <c r="Y4" s="310" t="s">
        <v>1347</v>
      </c>
      <c r="Z4" s="2285" t="s">
        <v>1346</v>
      </c>
      <c r="AA4" s="2285" t="s">
        <v>447</v>
      </c>
      <c r="AB4" s="2298" t="s">
        <v>1339</v>
      </c>
      <c r="AC4" s="2299" t="s">
        <v>1323</v>
      </c>
      <c r="AD4" s="2300" t="s">
        <v>717</v>
      </c>
      <c r="AE4" s="2298" t="s">
        <v>1336</v>
      </c>
      <c r="AF4" s="584" t="s">
        <v>281</v>
      </c>
      <c r="AG4" s="64" t="s">
        <v>551</v>
      </c>
    </row>
    <row r="5" spans="1:33" x14ac:dyDescent="0.25">
      <c r="A5" s="581">
        <v>999</v>
      </c>
      <c r="B5" s="582" t="s">
        <v>9</v>
      </c>
      <c r="C5" s="582"/>
      <c r="D5" s="582"/>
      <c r="E5" s="585">
        <f t="shared" ref="E5" si="0">SUM(E6:E125)</f>
        <v>8411808</v>
      </c>
      <c r="F5" s="2280">
        <f>SUM(F6:F125)</f>
        <v>4136814</v>
      </c>
      <c r="G5" s="2280">
        <f>SUM(G6:G125)</f>
        <v>4274994</v>
      </c>
      <c r="H5" s="586">
        <f t="shared" ref="H5" si="1">SUM(H6:H125)</f>
        <v>5891553</v>
      </c>
      <c r="I5" s="586">
        <f t="shared" ref="I5" si="2">SUM(I6:I125)</f>
        <v>1664523</v>
      </c>
      <c r="J5" s="586">
        <f t="shared" ref="J5" si="3">SUM(J6:J125)</f>
        <v>555515</v>
      </c>
      <c r="K5" s="586">
        <f t="shared" ref="K5" si="4">SUM(K6:K125)</f>
        <v>54917</v>
      </c>
      <c r="L5" s="587">
        <f t="shared" ref="L5" si="5">SUM(L6:L125)</f>
        <v>245300</v>
      </c>
      <c r="M5" s="2280">
        <f t="shared" ref="M5" si="6">SUM(M6:M125)</f>
        <v>1870123</v>
      </c>
      <c r="N5" s="586">
        <f>SUM(N6:N125)</f>
        <v>5312941</v>
      </c>
      <c r="O5" s="2281">
        <f t="shared" ref="O5:U5" si="7">SUM(O6:O125)</f>
        <v>1228744</v>
      </c>
      <c r="P5" s="2280">
        <f t="shared" si="7"/>
        <v>954775</v>
      </c>
      <c r="Q5" s="586">
        <f t="shared" si="7"/>
        <v>2639321</v>
      </c>
      <c r="R5" s="586">
        <f t="shared" si="7"/>
        <v>542718</v>
      </c>
      <c r="S5" s="2280">
        <f t="shared" si="7"/>
        <v>915348</v>
      </c>
      <c r="T5" s="586">
        <f t="shared" si="7"/>
        <v>2673620</v>
      </c>
      <c r="U5" s="2281">
        <f t="shared" si="7"/>
        <v>686026</v>
      </c>
      <c r="V5" s="2291">
        <f t="shared" ref="V5:V36" si="8">F5/E5</f>
        <v>0.49178654576994624</v>
      </c>
      <c r="W5" s="2291">
        <f t="shared" ref="W5:W36" si="9">G5/E5</f>
        <v>0.50821345423005371</v>
      </c>
      <c r="X5" s="2296">
        <f t="shared" ref="X5:X36" si="10">H5/E5</f>
        <v>0.70039080777877949</v>
      </c>
      <c r="Y5" s="2291">
        <f t="shared" ref="Y5:Y36" si="11">I5/E5</f>
        <v>0.1978793381874622</v>
      </c>
      <c r="Z5" s="2291">
        <f t="shared" ref="Z5:Z36" si="12">J5/E5</f>
        <v>6.6039904857552623E-2</v>
      </c>
      <c r="AA5" s="2291">
        <f t="shared" ref="AA5:AA36" si="13">K5/E5</f>
        <v>6.5285608040506872E-3</v>
      </c>
      <c r="AB5" s="2297">
        <f t="shared" ref="AB5:AB36" si="14">L5/E5</f>
        <v>2.9161388372154953E-2</v>
      </c>
      <c r="AC5" s="591">
        <f t="shared" ref="AC5" si="15">M5/E5</f>
        <v>0.22232117043089905</v>
      </c>
      <c r="AD5" s="592">
        <f t="shared" ref="AD5" si="16">N5/E5</f>
        <v>0.63160511985057199</v>
      </c>
      <c r="AE5" s="593">
        <f t="shared" ref="AE5" si="17">O5/E5</f>
        <v>0.14607370971852901</v>
      </c>
      <c r="AF5" s="585">
        <f t="shared" ref="AF5" si="18">SUM(AF6:AF125)</f>
        <v>766004</v>
      </c>
      <c r="AG5" s="583">
        <f t="shared" ref="AG5" si="19">AF5/E5</f>
        <v>9.1062943899813217E-2</v>
      </c>
    </row>
    <row r="6" spans="1:33" x14ac:dyDescent="0.25">
      <c r="A6" s="265" t="s">
        <v>10</v>
      </c>
      <c r="B6" s="265" t="s">
        <v>11</v>
      </c>
      <c r="C6" s="265" t="s">
        <v>264</v>
      </c>
      <c r="D6" s="265">
        <v>2</v>
      </c>
      <c r="E6" s="588">
        <v>32947</v>
      </c>
      <c r="F6" s="2282">
        <v>16049</v>
      </c>
      <c r="G6" s="2283">
        <v>16898</v>
      </c>
      <c r="H6" s="589">
        <v>22527</v>
      </c>
      <c r="I6" s="589">
        <v>9347</v>
      </c>
      <c r="J6" s="589">
        <v>246</v>
      </c>
      <c r="K6" s="589">
        <v>266</v>
      </c>
      <c r="L6" s="590">
        <v>561</v>
      </c>
      <c r="M6" s="2282">
        <f t="shared" ref="M6:M37" si="20">P6+S6</f>
        <v>6797</v>
      </c>
      <c r="N6" s="589">
        <f t="shared" ref="N6:N37" si="21">Q6+T6</f>
        <v>18810</v>
      </c>
      <c r="O6" s="2283">
        <f t="shared" ref="O6:O37" si="22">R6+U6</f>
        <v>7340</v>
      </c>
      <c r="P6" s="2282">
        <v>3490</v>
      </c>
      <c r="Q6" s="589">
        <v>9218</v>
      </c>
      <c r="R6" s="589">
        <v>3341</v>
      </c>
      <c r="S6" s="2282">
        <v>3307</v>
      </c>
      <c r="T6" s="589">
        <v>9592</v>
      </c>
      <c r="U6" s="2283">
        <v>3999</v>
      </c>
      <c r="V6" s="1189">
        <f t="shared" si="8"/>
        <v>0.48711567062251493</v>
      </c>
      <c r="W6" s="1189">
        <f t="shared" si="9"/>
        <v>0.51288432937748507</v>
      </c>
      <c r="X6" s="1231">
        <f t="shared" si="10"/>
        <v>0.68373448265395942</v>
      </c>
      <c r="Y6" s="1189">
        <f t="shared" si="11"/>
        <v>0.28369806052144353</v>
      </c>
      <c r="Z6" s="1189">
        <f t="shared" si="12"/>
        <v>7.4665371657510549E-3</v>
      </c>
      <c r="AA6" s="1189">
        <f t="shared" si="13"/>
        <v>8.0735727076820356E-3</v>
      </c>
      <c r="AB6" s="1233">
        <f t="shared" si="14"/>
        <v>1.702734695116399E-2</v>
      </c>
      <c r="AC6" s="594">
        <f t="shared" ref="AC6:AC37" si="23">M6/E6</f>
        <v>0.20630102892524357</v>
      </c>
      <c r="AD6" s="595">
        <f t="shared" ref="AD6:AD37" si="24">N6/E6</f>
        <v>0.57091692718608678</v>
      </c>
      <c r="AE6" s="596">
        <f t="shared" ref="AE6:AE37" si="25">O6/E6</f>
        <v>0.22278204388866968</v>
      </c>
      <c r="AF6" s="588">
        <v>2931</v>
      </c>
      <c r="AG6" s="267">
        <f t="shared" ref="AG6:AG37" si="26">AF6/E6</f>
        <v>8.8961058669985132E-2</v>
      </c>
    </row>
    <row r="7" spans="1:33" x14ac:dyDescent="0.25">
      <c r="A7" s="265" t="s">
        <v>12</v>
      </c>
      <c r="B7" s="265" t="s">
        <v>13</v>
      </c>
      <c r="C7" s="265" t="s">
        <v>265</v>
      </c>
      <c r="D7" s="265">
        <v>3</v>
      </c>
      <c r="E7" s="588">
        <v>106878</v>
      </c>
      <c r="F7" s="2282">
        <v>51093</v>
      </c>
      <c r="G7" s="2283">
        <v>55785</v>
      </c>
      <c r="H7" s="589">
        <v>87681</v>
      </c>
      <c r="I7" s="589">
        <v>10554</v>
      </c>
      <c r="J7" s="589">
        <v>5449</v>
      </c>
      <c r="K7" s="589">
        <v>523</v>
      </c>
      <c r="L7" s="590">
        <v>2671</v>
      </c>
      <c r="M7" s="2282">
        <f t="shared" si="20"/>
        <v>21718</v>
      </c>
      <c r="N7" s="589">
        <f t="shared" si="21"/>
        <v>66222</v>
      </c>
      <c r="O7" s="2283">
        <f t="shared" si="22"/>
        <v>18938</v>
      </c>
      <c r="P7" s="2282">
        <v>11023</v>
      </c>
      <c r="Q7" s="589">
        <v>31783</v>
      </c>
      <c r="R7" s="589">
        <v>8287</v>
      </c>
      <c r="S7" s="2282">
        <v>10695</v>
      </c>
      <c r="T7" s="589">
        <v>34439</v>
      </c>
      <c r="U7" s="2283">
        <v>10651</v>
      </c>
      <c r="V7" s="1189">
        <f t="shared" si="8"/>
        <v>0.47804973895469599</v>
      </c>
      <c r="W7" s="1189">
        <f t="shared" si="9"/>
        <v>0.52195026104530395</v>
      </c>
      <c r="X7" s="1231">
        <f t="shared" si="10"/>
        <v>0.82038398922135514</v>
      </c>
      <c r="Y7" s="1189">
        <f t="shared" si="11"/>
        <v>9.8748105316341997E-2</v>
      </c>
      <c r="Z7" s="1189">
        <f t="shared" si="12"/>
        <v>5.0983364209659612E-2</v>
      </c>
      <c r="AA7" s="1189">
        <f t="shared" si="13"/>
        <v>4.8934298920264227E-3</v>
      </c>
      <c r="AB7" s="1233">
        <f t="shared" si="14"/>
        <v>2.4991111360616779E-2</v>
      </c>
      <c r="AC7" s="594">
        <f t="shared" si="23"/>
        <v>0.20320365276296337</v>
      </c>
      <c r="AD7" s="595">
        <f t="shared" si="24"/>
        <v>0.6196036602481334</v>
      </c>
      <c r="AE7" s="596">
        <f t="shared" si="25"/>
        <v>0.17719268698890323</v>
      </c>
      <c r="AF7" s="588">
        <v>6064</v>
      </c>
      <c r="AG7" s="267">
        <f t="shared" si="26"/>
        <v>5.6737588652482268E-2</v>
      </c>
    </row>
    <row r="8" spans="1:33" x14ac:dyDescent="0.25">
      <c r="A8" s="265" t="s">
        <v>16</v>
      </c>
      <c r="B8" s="265" t="s">
        <v>297</v>
      </c>
      <c r="C8" s="265" t="s">
        <v>265</v>
      </c>
      <c r="D8" s="265">
        <v>2</v>
      </c>
      <c r="E8" s="588">
        <v>21113</v>
      </c>
      <c r="F8" s="2282">
        <v>10319</v>
      </c>
      <c r="G8" s="2283">
        <v>10794</v>
      </c>
      <c r="H8" s="589">
        <v>19078</v>
      </c>
      <c r="I8" s="589">
        <v>1468</v>
      </c>
      <c r="J8" s="589">
        <v>97</v>
      </c>
      <c r="K8" s="589">
        <v>82</v>
      </c>
      <c r="L8" s="590">
        <v>388</v>
      </c>
      <c r="M8" s="2282">
        <f t="shared" si="20"/>
        <v>4006</v>
      </c>
      <c r="N8" s="589">
        <f t="shared" si="21"/>
        <v>12082</v>
      </c>
      <c r="O8" s="2283">
        <f t="shared" si="22"/>
        <v>5025</v>
      </c>
      <c r="P8" s="2282">
        <v>2075</v>
      </c>
      <c r="Q8" s="589">
        <v>5996</v>
      </c>
      <c r="R8" s="589">
        <v>2248</v>
      </c>
      <c r="S8" s="2282">
        <v>1931</v>
      </c>
      <c r="T8" s="589">
        <v>6086</v>
      </c>
      <c r="U8" s="2283">
        <v>2777</v>
      </c>
      <c r="V8" s="1189">
        <f t="shared" si="8"/>
        <v>0.48875100648889308</v>
      </c>
      <c r="W8" s="1189">
        <f t="shared" si="9"/>
        <v>0.51124899351110686</v>
      </c>
      <c r="X8" s="1231">
        <f t="shared" si="10"/>
        <v>0.90361388717851565</v>
      </c>
      <c r="Y8" s="1189">
        <f t="shared" si="11"/>
        <v>6.9530620944441818E-2</v>
      </c>
      <c r="Z8" s="1189">
        <f t="shared" si="12"/>
        <v>4.5943257708520816E-3</v>
      </c>
      <c r="AA8" s="1189">
        <f t="shared" si="13"/>
        <v>3.883863022782172E-3</v>
      </c>
      <c r="AB8" s="1233">
        <f t="shared" si="14"/>
        <v>1.8377303083408326E-2</v>
      </c>
      <c r="AC8" s="594">
        <f t="shared" si="23"/>
        <v>0.18974091791787051</v>
      </c>
      <c r="AD8" s="595">
        <f t="shared" si="24"/>
        <v>0.57225406147870983</v>
      </c>
      <c r="AE8" s="596">
        <f t="shared" si="25"/>
        <v>0.23800502060341969</v>
      </c>
      <c r="AF8" s="588">
        <v>340</v>
      </c>
      <c r="AG8" s="267">
        <f t="shared" si="26"/>
        <v>1.6103822289584617E-2</v>
      </c>
    </row>
    <row r="9" spans="1:33" x14ac:dyDescent="0.25">
      <c r="A9" s="265" t="s">
        <v>18</v>
      </c>
      <c r="B9" s="265" t="s">
        <v>19</v>
      </c>
      <c r="C9" s="265" t="s">
        <v>266</v>
      </c>
      <c r="D9" s="265">
        <v>1</v>
      </c>
      <c r="E9" s="588">
        <v>12913</v>
      </c>
      <c r="F9" s="2282">
        <v>6333</v>
      </c>
      <c r="G9" s="2283">
        <v>6580</v>
      </c>
      <c r="H9" s="589">
        <v>9698</v>
      </c>
      <c r="I9" s="589">
        <v>2817</v>
      </c>
      <c r="J9" s="589">
        <v>89</v>
      </c>
      <c r="K9" s="589">
        <v>80</v>
      </c>
      <c r="L9" s="590">
        <v>229</v>
      </c>
      <c r="M9" s="2282">
        <f t="shared" si="20"/>
        <v>2711</v>
      </c>
      <c r="N9" s="589">
        <f t="shared" si="21"/>
        <v>7706</v>
      </c>
      <c r="O9" s="2283">
        <f t="shared" si="22"/>
        <v>2496</v>
      </c>
      <c r="P9" s="2282">
        <v>1384</v>
      </c>
      <c r="Q9" s="589">
        <v>3818</v>
      </c>
      <c r="R9" s="589">
        <v>1131</v>
      </c>
      <c r="S9" s="2282">
        <v>1327</v>
      </c>
      <c r="T9" s="589">
        <v>3888</v>
      </c>
      <c r="U9" s="2283">
        <v>1365</v>
      </c>
      <c r="V9" s="1189">
        <f t="shared" si="8"/>
        <v>0.49043599473398902</v>
      </c>
      <c r="W9" s="1189">
        <f t="shared" si="9"/>
        <v>0.50956400526601098</v>
      </c>
      <c r="X9" s="1231">
        <f t="shared" si="10"/>
        <v>0.75102609773096884</v>
      </c>
      <c r="Y9" s="1189">
        <f t="shared" si="11"/>
        <v>0.21815224967087432</v>
      </c>
      <c r="Z9" s="1189">
        <f t="shared" si="12"/>
        <v>6.8922790985828236E-3</v>
      </c>
      <c r="AA9" s="1189">
        <f t="shared" si="13"/>
        <v>6.1953070549059085E-3</v>
      </c>
      <c r="AB9" s="1233">
        <f t="shared" si="14"/>
        <v>1.7734066444668163E-2</v>
      </c>
      <c r="AC9" s="594">
        <f t="shared" si="23"/>
        <v>0.20994346782312398</v>
      </c>
      <c r="AD9" s="595">
        <f t="shared" si="24"/>
        <v>0.59676295206381169</v>
      </c>
      <c r="AE9" s="596">
        <f t="shared" si="25"/>
        <v>0.19329358011306436</v>
      </c>
      <c r="AF9" s="588">
        <v>413</v>
      </c>
      <c r="AG9" s="267">
        <f t="shared" si="26"/>
        <v>3.1983272670951753E-2</v>
      </c>
    </row>
    <row r="10" spans="1:33" x14ac:dyDescent="0.25">
      <c r="A10" s="265" t="s">
        <v>20</v>
      </c>
      <c r="B10" s="265" t="s">
        <v>21</v>
      </c>
      <c r="C10" s="265" t="s">
        <v>265</v>
      </c>
      <c r="D10" s="265">
        <v>2</v>
      </c>
      <c r="E10" s="588">
        <v>31633</v>
      </c>
      <c r="F10" s="2282">
        <v>15242</v>
      </c>
      <c r="G10" s="2283">
        <v>16391</v>
      </c>
      <c r="H10" s="589">
        <v>24498</v>
      </c>
      <c r="I10" s="589">
        <v>5967</v>
      </c>
      <c r="J10" s="589">
        <v>172</v>
      </c>
      <c r="K10" s="589">
        <v>282</v>
      </c>
      <c r="L10" s="590">
        <v>714</v>
      </c>
      <c r="M10" s="2282">
        <f t="shared" si="20"/>
        <v>6269</v>
      </c>
      <c r="N10" s="589">
        <f t="shared" si="21"/>
        <v>19007</v>
      </c>
      <c r="O10" s="2283">
        <f t="shared" si="22"/>
        <v>6357</v>
      </c>
      <c r="P10" s="2282">
        <v>3224</v>
      </c>
      <c r="Q10" s="589">
        <v>9200</v>
      </c>
      <c r="R10" s="589">
        <v>2818</v>
      </c>
      <c r="S10" s="2282">
        <v>3045</v>
      </c>
      <c r="T10" s="589">
        <v>9807</v>
      </c>
      <c r="U10" s="2283">
        <v>3539</v>
      </c>
      <c r="V10" s="1189">
        <f t="shared" si="8"/>
        <v>0.48183858628647297</v>
      </c>
      <c r="W10" s="1189">
        <f t="shared" si="9"/>
        <v>0.51816141371352697</v>
      </c>
      <c r="X10" s="1231">
        <f t="shared" si="10"/>
        <v>0.77444440931938163</v>
      </c>
      <c r="Y10" s="1189">
        <f t="shared" si="11"/>
        <v>0.18863212467992285</v>
      </c>
      <c r="Z10" s="1189">
        <f t="shared" si="12"/>
        <v>5.4373597192804981E-3</v>
      </c>
      <c r="AA10" s="1189">
        <f t="shared" si="13"/>
        <v>8.9147409350994206E-3</v>
      </c>
      <c r="AB10" s="1233">
        <f t="shared" si="14"/>
        <v>2.2571365346315556E-2</v>
      </c>
      <c r="AC10" s="594">
        <f t="shared" si="23"/>
        <v>0.19817911674517119</v>
      </c>
      <c r="AD10" s="595">
        <f t="shared" si="24"/>
        <v>0.60085986153700255</v>
      </c>
      <c r="AE10" s="596">
        <f t="shared" si="25"/>
        <v>0.20096102171782632</v>
      </c>
      <c r="AF10" s="588">
        <v>752</v>
      </c>
      <c r="AG10" s="267">
        <f t="shared" si="26"/>
        <v>2.3772642493598457E-2</v>
      </c>
    </row>
    <row r="11" spans="1:33" x14ac:dyDescent="0.25">
      <c r="A11" s="265" t="s">
        <v>22</v>
      </c>
      <c r="B11" s="265" t="s">
        <v>23</v>
      </c>
      <c r="C11" s="265" t="s">
        <v>265</v>
      </c>
      <c r="D11" s="265">
        <v>1</v>
      </c>
      <c r="E11" s="588">
        <v>15475</v>
      </c>
      <c r="F11" s="2282">
        <v>7501</v>
      </c>
      <c r="G11" s="2283">
        <v>7974</v>
      </c>
      <c r="H11" s="589">
        <v>12049</v>
      </c>
      <c r="I11" s="589">
        <v>3019</v>
      </c>
      <c r="J11" s="589">
        <v>64</v>
      </c>
      <c r="K11" s="589">
        <v>49</v>
      </c>
      <c r="L11" s="590">
        <v>294</v>
      </c>
      <c r="M11" s="2282">
        <f t="shared" si="20"/>
        <v>3380</v>
      </c>
      <c r="N11" s="589">
        <f t="shared" si="21"/>
        <v>9042</v>
      </c>
      <c r="O11" s="2283">
        <f t="shared" si="22"/>
        <v>3053</v>
      </c>
      <c r="P11" s="2282">
        <v>1721</v>
      </c>
      <c r="Q11" s="589">
        <v>4379</v>
      </c>
      <c r="R11" s="589">
        <v>1401</v>
      </c>
      <c r="S11" s="2282">
        <v>1659</v>
      </c>
      <c r="T11" s="589">
        <v>4663</v>
      </c>
      <c r="U11" s="2283">
        <v>1652</v>
      </c>
      <c r="V11" s="1189">
        <f t="shared" si="8"/>
        <v>0.48471728594507268</v>
      </c>
      <c r="W11" s="1189">
        <f t="shared" si="9"/>
        <v>0.51528271405492732</v>
      </c>
      <c r="X11" s="1231">
        <f t="shared" si="10"/>
        <v>0.77861066235864296</v>
      </c>
      <c r="Y11" s="1189">
        <f t="shared" si="11"/>
        <v>0.19508885298869144</v>
      </c>
      <c r="Z11" s="1189">
        <f t="shared" si="12"/>
        <v>4.1357027463651049E-3</v>
      </c>
      <c r="AA11" s="1189">
        <f t="shared" si="13"/>
        <v>3.1663974151857834E-3</v>
      </c>
      <c r="AB11" s="1233">
        <f t="shared" si="14"/>
        <v>1.8998384491114701E-2</v>
      </c>
      <c r="AC11" s="594">
        <f t="shared" si="23"/>
        <v>0.21841680129240712</v>
      </c>
      <c r="AD11" s="595">
        <f t="shared" si="24"/>
        <v>0.58429725363489504</v>
      </c>
      <c r="AE11" s="596">
        <f t="shared" si="25"/>
        <v>0.19728594507269789</v>
      </c>
      <c r="AF11" s="588">
        <v>220</v>
      </c>
      <c r="AG11" s="267">
        <f t="shared" si="26"/>
        <v>1.4216478190630048E-2</v>
      </c>
    </row>
    <row r="12" spans="1:33" x14ac:dyDescent="0.25">
      <c r="A12" s="265" t="s">
        <v>24</v>
      </c>
      <c r="B12" s="265" t="s">
        <v>25</v>
      </c>
      <c r="C12" s="265" t="s">
        <v>267</v>
      </c>
      <c r="D12" s="265">
        <v>3</v>
      </c>
      <c r="E12" s="588">
        <v>230050</v>
      </c>
      <c r="F12" s="2282">
        <v>114874</v>
      </c>
      <c r="G12" s="2283">
        <v>115176</v>
      </c>
      <c r="H12" s="589">
        <v>174722</v>
      </c>
      <c r="I12" s="589">
        <v>21693</v>
      </c>
      <c r="J12" s="589">
        <v>24307</v>
      </c>
      <c r="K12" s="589">
        <v>1880</v>
      </c>
      <c r="L12" s="590">
        <v>7448</v>
      </c>
      <c r="M12" s="2282">
        <f t="shared" si="20"/>
        <v>40787</v>
      </c>
      <c r="N12" s="589">
        <f t="shared" si="21"/>
        <v>166895</v>
      </c>
      <c r="O12" s="2283">
        <f t="shared" si="22"/>
        <v>22368</v>
      </c>
      <c r="P12" s="2282">
        <v>20798</v>
      </c>
      <c r="Q12" s="589">
        <v>83991</v>
      </c>
      <c r="R12" s="589">
        <v>10085</v>
      </c>
      <c r="S12" s="2282">
        <v>19989</v>
      </c>
      <c r="T12" s="589">
        <v>82904</v>
      </c>
      <c r="U12" s="2283">
        <v>12283</v>
      </c>
      <c r="V12" s="1189">
        <f t="shared" si="8"/>
        <v>0.49934362095196694</v>
      </c>
      <c r="W12" s="1189">
        <f t="shared" si="9"/>
        <v>0.50065637904803306</v>
      </c>
      <c r="X12" s="1231">
        <f t="shared" si="10"/>
        <v>0.75949576179091505</v>
      </c>
      <c r="Y12" s="1189">
        <f t="shared" si="11"/>
        <v>9.4296891980004349E-2</v>
      </c>
      <c r="Z12" s="1189">
        <f t="shared" si="12"/>
        <v>0.10565963920886763</v>
      </c>
      <c r="AA12" s="1189">
        <f t="shared" si="13"/>
        <v>8.1721364920669427E-3</v>
      </c>
      <c r="AB12" s="1233">
        <f t="shared" si="14"/>
        <v>3.2375570528146054E-2</v>
      </c>
      <c r="AC12" s="594">
        <f t="shared" si="23"/>
        <v>0.17729623994783741</v>
      </c>
      <c r="AD12" s="595">
        <f t="shared" si="24"/>
        <v>0.7254727233210172</v>
      </c>
      <c r="AE12" s="596">
        <f t="shared" si="25"/>
        <v>9.7231036731145401E-2</v>
      </c>
      <c r="AF12" s="588">
        <v>35372</v>
      </c>
      <c r="AG12" s="267">
        <f t="shared" si="26"/>
        <v>0.15375787872201696</v>
      </c>
    </row>
    <row r="13" spans="1:33" x14ac:dyDescent="0.25">
      <c r="A13" s="265" t="s">
        <v>26</v>
      </c>
      <c r="B13" s="265" t="s">
        <v>685</v>
      </c>
      <c r="C13" s="265" t="s">
        <v>265</v>
      </c>
      <c r="D13" s="265">
        <v>3</v>
      </c>
      <c r="E13" s="588">
        <v>121247</v>
      </c>
      <c r="F13" s="2282">
        <v>59711</v>
      </c>
      <c r="G13" s="2283">
        <v>61536</v>
      </c>
      <c r="H13" s="589">
        <v>108619</v>
      </c>
      <c r="I13" s="589">
        <v>8733</v>
      </c>
      <c r="J13" s="589">
        <v>1048</v>
      </c>
      <c r="K13" s="589">
        <v>436</v>
      </c>
      <c r="L13" s="590">
        <v>2411</v>
      </c>
      <c r="M13" s="2282">
        <f t="shared" si="20"/>
        <v>24191</v>
      </c>
      <c r="N13" s="589">
        <f t="shared" si="21"/>
        <v>72703</v>
      </c>
      <c r="O13" s="2283">
        <f t="shared" si="22"/>
        <v>24353</v>
      </c>
      <c r="P13" s="2282">
        <v>12465</v>
      </c>
      <c r="Q13" s="589">
        <v>36237</v>
      </c>
      <c r="R13" s="589">
        <v>11009</v>
      </c>
      <c r="S13" s="2282">
        <v>11726</v>
      </c>
      <c r="T13" s="589">
        <v>36466</v>
      </c>
      <c r="U13" s="2283">
        <v>13344</v>
      </c>
      <c r="V13" s="1189">
        <f t="shared" si="8"/>
        <v>0.49247404059481886</v>
      </c>
      <c r="W13" s="1189">
        <f t="shared" si="9"/>
        <v>0.50752595940518119</v>
      </c>
      <c r="X13" s="1231">
        <f t="shared" si="10"/>
        <v>0.89584896945903814</v>
      </c>
      <c r="Y13" s="1189">
        <f t="shared" si="11"/>
        <v>7.2026524367613226E-2</v>
      </c>
      <c r="Z13" s="1189">
        <f t="shared" si="12"/>
        <v>8.6435128291834033E-3</v>
      </c>
      <c r="AA13" s="1189">
        <f t="shared" si="13"/>
        <v>3.5959652609961483E-3</v>
      </c>
      <c r="AB13" s="1233">
        <f t="shared" si="14"/>
        <v>1.9885028083169068E-2</v>
      </c>
      <c r="AC13" s="594">
        <f t="shared" si="23"/>
        <v>0.19951833859806842</v>
      </c>
      <c r="AD13" s="595">
        <f t="shared" si="24"/>
        <v>0.59962720727110774</v>
      </c>
      <c r="AE13" s="596">
        <f t="shared" si="25"/>
        <v>0.20085445413082387</v>
      </c>
      <c r="AF13" s="588">
        <v>4469</v>
      </c>
      <c r="AG13" s="267">
        <f t="shared" si="26"/>
        <v>3.6858643925210523E-2</v>
      </c>
    </row>
    <row r="14" spans="1:33" x14ac:dyDescent="0.25">
      <c r="A14" s="265" t="s">
        <v>27</v>
      </c>
      <c r="B14" s="265" t="s">
        <v>28</v>
      </c>
      <c r="C14" s="265" t="s">
        <v>265</v>
      </c>
      <c r="D14" s="265">
        <v>1</v>
      </c>
      <c r="E14" s="588">
        <v>4476</v>
      </c>
      <c r="F14" s="2282">
        <v>2264</v>
      </c>
      <c r="G14" s="2283">
        <v>2212</v>
      </c>
      <c r="H14" s="589">
        <v>4176</v>
      </c>
      <c r="I14" s="589">
        <v>218</v>
      </c>
      <c r="J14" s="589">
        <v>22</v>
      </c>
      <c r="K14" s="589">
        <v>11</v>
      </c>
      <c r="L14" s="590">
        <v>49</v>
      </c>
      <c r="M14" s="2282">
        <f t="shared" si="20"/>
        <v>709</v>
      </c>
      <c r="N14" s="589">
        <f t="shared" si="21"/>
        <v>2593</v>
      </c>
      <c r="O14" s="2283">
        <f t="shared" si="22"/>
        <v>1174</v>
      </c>
      <c r="P14" s="2282">
        <v>360</v>
      </c>
      <c r="Q14" s="589">
        <v>1313</v>
      </c>
      <c r="R14" s="589">
        <v>591</v>
      </c>
      <c r="S14" s="2282">
        <v>349</v>
      </c>
      <c r="T14" s="589">
        <v>1280</v>
      </c>
      <c r="U14" s="2283">
        <v>583</v>
      </c>
      <c r="V14" s="1189">
        <f t="shared" si="8"/>
        <v>0.50580875781948165</v>
      </c>
      <c r="W14" s="1189">
        <f t="shared" si="9"/>
        <v>0.4941912421805183</v>
      </c>
      <c r="X14" s="1231">
        <f t="shared" si="10"/>
        <v>0.93297587131367288</v>
      </c>
      <c r="Y14" s="1189">
        <f t="shared" si="11"/>
        <v>4.8704200178731012E-2</v>
      </c>
      <c r="Z14" s="1189">
        <f t="shared" si="12"/>
        <v>4.9151027703306528E-3</v>
      </c>
      <c r="AA14" s="1189">
        <f t="shared" si="13"/>
        <v>2.4575513851653264E-3</v>
      </c>
      <c r="AB14" s="1233">
        <f t="shared" si="14"/>
        <v>1.0947274352100089E-2</v>
      </c>
      <c r="AC14" s="594">
        <f t="shared" si="23"/>
        <v>0.15840035746201966</v>
      </c>
      <c r="AD14" s="595">
        <f t="shared" si="24"/>
        <v>0.57931188561215374</v>
      </c>
      <c r="AE14" s="596">
        <f t="shared" si="25"/>
        <v>0.26228775692582662</v>
      </c>
      <c r="AF14" s="588">
        <v>110</v>
      </c>
      <c r="AG14" s="267">
        <f t="shared" si="26"/>
        <v>2.4575513851653262E-2</v>
      </c>
    </row>
    <row r="15" spans="1:33" x14ac:dyDescent="0.25">
      <c r="A15" s="265" t="s">
        <v>29</v>
      </c>
      <c r="B15" s="458" t="s">
        <v>901</v>
      </c>
      <c r="C15" s="265" t="s">
        <v>265</v>
      </c>
      <c r="D15" s="265">
        <v>2</v>
      </c>
      <c r="E15" s="588">
        <v>77960</v>
      </c>
      <c r="F15" s="2282">
        <v>38507</v>
      </c>
      <c r="G15" s="2283">
        <v>39453</v>
      </c>
      <c r="H15" s="589">
        <v>70081</v>
      </c>
      <c r="I15" s="589">
        <v>5503</v>
      </c>
      <c r="J15" s="589">
        <v>916</v>
      </c>
      <c r="K15" s="589">
        <v>276</v>
      </c>
      <c r="L15" s="590">
        <v>1184</v>
      </c>
      <c r="M15" s="2282">
        <f t="shared" si="20"/>
        <v>15711</v>
      </c>
      <c r="N15" s="589">
        <f t="shared" si="21"/>
        <v>46289</v>
      </c>
      <c r="O15" s="2283">
        <f t="shared" si="22"/>
        <v>15960</v>
      </c>
      <c r="P15" s="2282">
        <v>7961</v>
      </c>
      <c r="Q15" s="589">
        <v>22964</v>
      </c>
      <c r="R15" s="589">
        <v>7582</v>
      </c>
      <c r="S15" s="2282">
        <v>7750</v>
      </c>
      <c r="T15" s="589">
        <v>23325</v>
      </c>
      <c r="U15" s="2283">
        <v>8378</v>
      </c>
      <c r="V15" s="1189">
        <f t="shared" si="8"/>
        <v>0.49393278604412522</v>
      </c>
      <c r="W15" s="1189">
        <f t="shared" si="9"/>
        <v>0.50606721395587484</v>
      </c>
      <c r="X15" s="1231">
        <f t="shared" si="10"/>
        <v>0.89893535146228831</v>
      </c>
      <c r="Y15" s="1189">
        <f t="shared" si="11"/>
        <v>7.0587480759363774E-2</v>
      </c>
      <c r="Z15" s="1189">
        <f t="shared" si="12"/>
        <v>1.1749615187275526E-2</v>
      </c>
      <c r="AA15" s="1189">
        <f t="shared" si="13"/>
        <v>3.5402770651616214E-3</v>
      </c>
      <c r="AB15" s="1233">
        <f t="shared" si="14"/>
        <v>1.5187275525910723E-2</v>
      </c>
      <c r="AC15" s="594">
        <f t="shared" si="23"/>
        <v>0.20152642380708055</v>
      </c>
      <c r="AD15" s="595">
        <f t="shared" si="24"/>
        <v>0.59375320677270393</v>
      </c>
      <c r="AE15" s="596">
        <f t="shared" si="25"/>
        <v>0.20472036942021549</v>
      </c>
      <c r="AF15" s="588">
        <v>1634</v>
      </c>
      <c r="AG15" s="267">
        <f t="shared" si="26"/>
        <v>2.0959466393022062E-2</v>
      </c>
    </row>
    <row r="16" spans="1:33" x14ac:dyDescent="0.25">
      <c r="A16" s="265" t="s">
        <v>30</v>
      </c>
      <c r="B16" s="265" t="s">
        <v>31</v>
      </c>
      <c r="C16" s="265" t="s">
        <v>268</v>
      </c>
      <c r="D16" s="265">
        <v>1</v>
      </c>
      <c r="E16" s="588">
        <v>6513</v>
      </c>
      <c r="F16" s="2282">
        <v>3597</v>
      </c>
      <c r="G16" s="2283">
        <v>2916</v>
      </c>
      <c r="H16" s="589">
        <v>6178</v>
      </c>
      <c r="I16" s="589">
        <v>241</v>
      </c>
      <c r="J16" s="589">
        <v>26</v>
      </c>
      <c r="K16" s="589">
        <v>11</v>
      </c>
      <c r="L16" s="590">
        <v>57</v>
      </c>
      <c r="M16" s="2282">
        <f t="shared" si="20"/>
        <v>1054</v>
      </c>
      <c r="N16" s="589">
        <f t="shared" si="21"/>
        <v>4027</v>
      </c>
      <c r="O16" s="2283">
        <f t="shared" si="22"/>
        <v>1432</v>
      </c>
      <c r="P16" s="2282">
        <v>547</v>
      </c>
      <c r="Q16" s="589">
        <v>2338</v>
      </c>
      <c r="R16" s="589">
        <v>712</v>
      </c>
      <c r="S16" s="2282">
        <v>507</v>
      </c>
      <c r="T16" s="589">
        <v>1689</v>
      </c>
      <c r="U16" s="2283">
        <v>720</v>
      </c>
      <c r="V16" s="1189">
        <f t="shared" si="8"/>
        <v>0.55228005527406721</v>
      </c>
      <c r="W16" s="1189">
        <f t="shared" si="9"/>
        <v>0.44771994472593274</v>
      </c>
      <c r="X16" s="1231">
        <f t="shared" si="10"/>
        <v>0.94856440964225397</v>
      </c>
      <c r="Y16" s="1189">
        <f t="shared" si="11"/>
        <v>3.7002917242438198E-2</v>
      </c>
      <c r="Z16" s="1189">
        <f t="shared" si="12"/>
        <v>3.9920159680638719E-3</v>
      </c>
      <c r="AA16" s="1189">
        <f t="shared" si="13"/>
        <v>1.6889298326424075E-3</v>
      </c>
      <c r="AB16" s="1233">
        <f t="shared" si="14"/>
        <v>8.7517273146015661E-3</v>
      </c>
      <c r="AC16" s="594">
        <f t="shared" si="23"/>
        <v>0.16183018578228159</v>
      </c>
      <c r="AD16" s="595">
        <f t="shared" si="24"/>
        <v>0.61830185782281588</v>
      </c>
      <c r="AE16" s="596">
        <f t="shared" si="25"/>
        <v>0.2198679563949025</v>
      </c>
      <c r="AF16" s="588">
        <v>53</v>
      </c>
      <c r="AG16" s="267">
        <f t="shared" si="26"/>
        <v>8.1375710118225097E-3</v>
      </c>
    </row>
    <row r="17" spans="1:33" x14ac:dyDescent="0.25">
      <c r="A17" s="265" t="s">
        <v>32</v>
      </c>
      <c r="B17" s="265" t="s">
        <v>33</v>
      </c>
      <c r="C17" s="265" t="s">
        <v>265</v>
      </c>
      <c r="D17" s="265">
        <v>1</v>
      </c>
      <c r="E17" s="588">
        <v>33231</v>
      </c>
      <c r="F17" s="2282">
        <v>16451</v>
      </c>
      <c r="G17" s="2283">
        <v>16780</v>
      </c>
      <c r="H17" s="589">
        <v>31383</v>
      </c>
      <c r="I17" s="589">
        <v>1067</v>
      </c>
      <c r="J17" s="589">
        <v>247</v>
      </c>
      <c r="K17" s="589">
        <v>107</v>
      </c>
      <c r="L17" s="590">
        <v>427</v>
      </c>
      <c r="M17" s="2282">
        <f t="shared" si="20"/>
        <v>6447</v>
      </c>
      <c r="N17" s="589">
        <f t="shared" si="21"/>
        <v>19674</v>
      </c>
      <c r="O17" s="2283">
        <f t="shared" si="22"/>
        <v>7110</v>
      </c>
      <c r="P17" s="2282">
        <v>3282</v>
      </c>
      <c r="Q17" s="589">
        <v>9847</v>
      </c>
      <c r="R17" s="589">
        <v>3322</v>
      </c>
      <c r="S17" s="2282">
        <v>3165</v>
      </c>
      <c r="T17" s="589">
        <v>9827</v>
      </c>
      <c r="U17" s="2283">
        <v>3788</v>
      </c>
      <c r="V17" s="1189">
        <f t="shared" si="8"/>
        <v>0.49504980289488731</v>
      </c>
      <c r="W17" s="1189">
        <f t="shared" si="9"/>
        <v>0.50495019710511269</v>
      </c>
      <c r="X17" s="1231">
        <f t="shared" si="10"/>
        <v>0.94438927507447867</v>
      </c>
      <c r="Y17" s="1189">
        <f t="shared" si="11"/>
        <v>3.2108573320092683E-2</v>
      </c>
      <c r="Z17" s="1189">
        <f t="shared" si="12"/>
        <v>7.4328187535734709E-3</v>
      </c>
      <c r="AA17" s="1189">
        <f t="shared" si="13"/>
        <v>3.2198850470945804E-3</v>
      </c>
      <c r="AB17" s="1233">
        <f t="shared" si="14"/>
        <v>1.2849447804760616E-2</v>
      </c>
      <c r="AC17" s="594">
        <f t="shared" si="23"/>
        <v>0.19400559718335289</v>
      </c>
      <c r="AD17" s="595">
        <f t="shared" si="24"/>
        <v>0.59203755529475488</v>
      </c>
      <c r="AE17" s="596">
        <f t="shared" si="25"/>
        <v>0.2139568475218922</v>
      </c>
      <c r="AF17" s="588">
        <v>539</v>
      </c>
      <c r="AG17" s="267">
        <f t="shared" si="26"/>
        <v>1.6219794769943726E-2</v>
      </c>
    </row>
    <row r="18" spans="1:33" x14ac:dyDescent="0.25">
      <c r="A18" s="265" t="s">
        <v>36</v>
      </c>
      <c r="B18" s="265" t="s">
        <v>37</v>
      </c>
      <c r="C18" s="265" t="s">
        <v>264</v>
      </c>
      <c r="D18" s="265">
        <v>2</v>
      </c>
      <c r="E18" s="588">
        <v>16243</v>
      </c>
      <c r="F18" s="2282">
        <v>8528</v>
      </c>
      <c r="G18" s="2283">
        <v>7715</v>
      </c>
      <c r="H18" s="589">
        <v>6961</v>
      </c>
      <c r="I18" s="589">
        <v>8962</v>
      </c>
      <c r="J18" s="589">
        <v>62</v>
      </c>
      <c r="K18" s="589">
        <v>73</v>
      </c>
      <c r="L18" s="590">
        <v>185</v>
      </c>
      <c r="M18" s="2282">
        <f t="shared" si="20"/>
        <v>2786</v>
      </c>
      <c r="N18" s="589">
        <f t="shared" si="21"/>
        <v>10131</v>
      </c>
      <c r="O18" s="2283">
        <f t="shared" si="22"/>
        <v>3326</v>
      </c>
      <c r="P18" s="2282">
        <v>1445</v>
      </c>
      <c r="Q18" s="589">
        <v>5608</v>
      </c>
      <c r="R18" s="589">
        <v>1475</v>
      </c>
      <c r="S18" s="2282">
        <v>1341</v>
      </c>
      <c r="T18" s="589">
        <v>4523</v>
      </c>
      <c r="U18" s="2283">
        <v>1851</v>
      </c>
      <c r="V18" s="1189">
        <f t="shared" si="8"/>
        <v>0.52502616511728128</v>
      </c>
      <c r="W18" s="1189">
        <f t="shared" si="9"/>
        <v>0.47497383488271872</v>
      </c>
      <c r="X18" s="1231">
        <f t="shared" si="10"/>
        <v>0.42855383857661761</v>
      </c>
      <c r="Y18" s="1189">
        <f t="shared" si="11"/>
        <v>0.55174536723511669</v>
      </c>
      <c r="Z18" s="1189">
        <f t="shared" si="12"/>
        <v>3.817028873976482E-3</v>
      </c>
      <c r="AA18" s="1189">
        <f t="shared" si="13"/>
        <v>4.4942436741981159E-3</v>
      </c>
      <c r="AB18" s="1233">
        <f t="shared" si="14"/>
        <v>1.1389521640091117E-2</v>
      </c>
      <c r="AC18" s="594">
        <f t="shared" si="23"/>
        <v>0.17152003940158839</v>
      </c>
      <c r="AD18" s="595">
        <f t="shared" si="24"/>
        <v>0.62371483100412484</v>
      </c>
      <c r="AE18" s="596">
        <f t="shared" si="25"/>
        <v>0.20476512959428678</v>
      </c>
      <c r="AF18" s="588">
        <v>360</v>
      </c>
      <c r="AG18" s="267">
        <f t="shared" si="26"/>
        <v>2.2163393461798929E-2</v>
      </c>
    </row>
    <row r="19" spans="1:33" x14ac:dyDescent="0.25">
      <c r="A19" s="265" t="s">
        <v>38</v>
      </c>
      <c r="B19" s="265" t="s">
        <v>39</v>
      </c>
      <c r="C19" s="265" t="s">
        <v>268</v>
      </c>
      <c r="D19" s="265">
        <v>2</v>
      </c>
      <c r="E19" s="588">
        <v>22178</v>
      </c>
      <c r="F19" s="2282">
        <v>11287</v>
      </c>
      <c r="G19" s="2283">
        <v>10891</v>
      </c>
      <c r="H19" s="589">
        <v>21174</v>
      </c>
      <c r="I19" s="589">
        <v>716</v>
      </c>
      <c r="J19" s="589">
        <v>111</v>
      </c>
      <c r="K19" s="589">
        <v>33</v>
      </c>
      <c r="L19" s="590">
        <v>144</v>
      </c>
      <c r="M19" s="2282">
        <f t="shared" si="20"/>
        <v>3935</v>
      </c>
      <c r="N19" s="589">
        <f t="shared" si="21"/>
        <v>13648</v>
      </c>
      <c r="O19" s="2283">
        <f t="shared" si="22"/>
        <v>4595</v>
      </c>
      <c r="P19" s="2282">
        <v>2035</v>
      </c>
      <c r="Q19" s="589">
        <v>7215</v>
      </c>
      <c r="R19" s="589">
        <v>2037</v>
      </c>
      <c r="S19" s="2282">
        <v>1900</v>
      </c>
      <c r="T19" s="589">
        <v>6433</v>
      </c>
      <c r="U19" s="2283">
        <v>2558</v>
      </c>
      <c r="V19" s="1189">
        <f t="shared" si="8"/>
        <v>0.50892776625484715</v>
      </c>
      <c r="W19" s="1189">
        <f t="shared" si="9"/>
        <v>0.49107223374515285</v>
      </c>
      <c r="X19" s="1231">
        <f t="shared" si="10"/>
        <v>0.95472991252592654</v>
      </c>
      <c r="Y19" s="1189">
        <f t="shared" si="11"/>
        <v>3.2284245648841192E-2</v>
      </c>
      <c r="Z19" s="1189">
        <f t="shared" si="12"/>
        <v>5.0049598701415818E-3</v>
      </c>
      <c r="AA19" s="1189">
        <f t="shared" si="13"/>
        <v>1.4879610424745242E-3</v>
      </c>
      <c r="AB19" s="1233">
        <f t="shared" si="14"/>
        <v>6.4929209126161061E-3</v>
      </c>
      <c r="AC19" s="594">
        <f t="shared" si="23"/>
        <v>0.17742808188294706</v>
      </c>
      <c r="AD19" s="595">
        <f t="shared" si="24"/>
        <v>0.61538461538461542</v>
      </c>
      <c r="AE19" s="596">
        <f t="shared" si="25"/>
        <v>0.20718730273243754</v>
      </c>
      <c r="AF19" s="588">
        <v>152</v>
      </c>
      <c r="AG19" s="267">
        <f t="shared" si="26"/>
        <v>6.8536387410947789E-3</v>
      </c>
    </row>
    <row r="20" spans="1:33" x14ac:dyDescent="0.25">
      <c r="A20" s="265" t="s">
        <v>40</v>
      </c>
      <c r="B20" s="265" t="s">
        <v>41</v>
      </c>
      <c r="C20" s="265" t="s">
        <v>266</v>
      </c>
      <c r="D20" s="265">
        <v>2</v>
      </c>
      <c r="E20" s="588">
        <v>17048</v>
      </c>
      <c r="F20" s="2282">
        <v>9355</v>
      </c>
      <c r="G20" s="2283">
        <v>7693</v>
      </c>
      <c r="H20" s="589">
        <v>10759</v>
      </c>
      <c r="I20" s="589">
        <v>5845</v>
      </c>
      <c r="J20" s="589">
        <v>71</v>
      </c>
      <c r="K20" s="589">
        <v>69</v>
      </c>
      <c r="L20" s="590">
        <v>304</v>
      </c>
      <c r="M20" s="2282">
        <f t="shared" si="20"/>
        <v>3172</v>
      </c>
      <c r="N20" s="589">
        <f t="shared" si="21"/>
        <v>10838</v>
      </c>
      <c r="O20" s="2283">
        <f t="shared" si="22"/>
        <v>3038</v>
      </c>
      <c r="P20" s="2282">
        <v>1634</v>
      </c>
      <c r="Q20" s="589">
        <v>6326</v>
      </c>
      <c r="R20" s="589">
        <v>1395</v>
      </c>
      <c r="S20" s="2282">
        <v>1538</v>
      </c>
      <c r="T20" s="589">
        <v>4512</v>
      </c>
      <c r="U20" s="2283">
        <v>1643</v>
      </c>
      <c r="V20" s="1189">
        <f t="shared" si="8"/>
        <v>0.54874472078836223</v>
      </c>
      <c r="W20" s="1189">
        <f t="shared" si="9"/>
        <v>0.45125527921163772</v>
      </c>
      <c r="X20" s="1231">
        <f t="shared" si="10"/>
        <v>0.63110042233693098</v>
      </c>
      <c r="Y20" s="1189">
        <f t="shared" si="11"/>
        <v>0.34285546691694041</v>
      </c>
      <c r="Z20" s="1189">
        <f t="shared" si="12"/>
        <v>4.1647114030971379E-3</v>
      </c>
      <c r="AA20" s="1189">
        <f t="shared" si="13"/>
        <v>4.0473955889253873E-3</v>
      </c>
      <c r="AB20" s="1233">
        <f t="shared" si="14"/>
        <v>1.7832003754106054E-2</v>
      </c>
      <c r="AC20" s="594">
        <f t="shared" si="23"/>
        <v>0.18606288127639606</v>
      </c>
      <c r="AD20" s="595">
        <f t="shared" si="24"/>
        <v>0.63573439699671519</v>
      </c>
      <c r="AE20" s="596">
        <f t="shared" si="25"/>
        <v>0.17820272172688878</v>
      </c>
      <c r="AF20" s="588">
        <v>444</v>
      </c>
      <c r="AG20" s="267">
        <f t="shared" si="26"/>
        <v>2.6044110746128578E-2</v>
      </c>
    </row>
    <row r="21" spans="1:33" x14ac:dyDescent="0.25">
      <c r="A21" s="265" t="s">
        <v>42</v>
      </c>
      <c r="B21" s="265" t="s">
        <v>43</v>
      </c>
      <c r="C21" s="265" t="s">
        <v>265</v>
      </c>
      <c r="D21" s="265">
        <v>2</v>
      </c>
      <c r="E21" s="588">
        <v>54952</v>
      </c>
      <c r="F21" s="2282">
        <v>26650</v>
      </c>
      <c r="G21" s="2283">
        <v>28302</v>
      </c>
      <c r="H21" s="589">
        <v>45107</v>
      </c>
      <c r="I21" s="589">
        <v>7994</v>
      </c>
      <c r="J21" s="589">
        <v>574</v>
      </c>
      <c r="K21" s="589">
        <v>207</v>
      </c>
      <c r="L21" s="590">
        <v>1070</v>
      </c>
      <c r="M21" s="2282">
        <f t="shared" si="20"/>
        <v>10924</v>
      </c>
      <c r="N21" s="589">
        <f t="shared" si="21"/>
        <v>33651</v>
      </c>
      <c r="O21" s="2283">
        <f t="shared" si="22"/>
        <v>10377</v>
      </c>
      <c r="P21" s="2282">
        <v>5527</v>
      </c>
      <c r="Q21" s="589">
        <v>16567</v>
      </c>
      <c r="R21" s="589">
        <v>4556</v>
      </c>
      <c r="S21" s="2282">
        <v>5397</v>
      </c>
      <c r="T21" s="589">
        <v>17084</v>
      </c>
      <c r="U21" s="2283">
        <v>5821</v>
      </c>
      <c r="V21" s="1189">
        <f t="shared" si="8"/>
        <v>0.48496869995632552</v>
      </c>
      <c r="W21" s="1189">
        <f t="shared" si="9"/>
        <v>0.51503130004367448</v>
      </c>
      <c r="X21" s="1231">
        <f t="shared" si="10"/>
        <v>0.82084364536322607</v>
      </c>
      <c r="Y21" s="1189">
        <f t="shared" si="11"/>
        <v>0.14547241228708691</v>
      </c>
      <c r="Z21" s="1189">
        <f t="shared" si="12"/>
        <v>1.0445479691367011E-2</v>
      </c>
      <c r="AA21" s="1189">
        <f t="shared" si="13"/>
        <v>3.7669238608239917E-3</v>
      </c>
      <c r="AB21" s="1233">
        <f t="shared" si="14"/>
        <v>1.9471538797495996E-2</v>
      </c>
      <c r="AC21" s="594">
        <f t="shared" si="23"/>
        <v>0.19879167273256659</v>
      </c>
      <c r="AD21" s="595">
        <f t="shared" si="24"/>
        <v>0.61237079633134373</v>
      </c>
      <c r="AE21" s="596">
        <f t="shared" si="25"/>
        <v>0.18883753093608968</v>
      </c>
      <c r="AF21" s="588">
        <v>1191</v>
      </c>
      <c r="AG21" s="267">
        <f t="shared" si="26"/>
        <v>2.167346047459601E-2</v>
      </c>
    </row>
    <row r="22" spans="1:33" x14ac:dyDescent="0.25">
      <c r="A22" s="265" t="s">
        <v>44</v>
      </c>
      <c r="B22" s="265" t="s">
        <v>45</v>
      </c>
      <c r="C22" s="265" t="s">
        <v>266</v>
      </c>
      <c r="D22" s="265">
        <v>2</v>
      </c>
      <c r="E22" s="588">
        <v>30178</v>
      </c>
      <c r="F22" s="2282">
        <v>14776</v>
      </c>
      <c r="G22" s="2283">
        <v>15402</v>
      </c>
      <c r="H22" s="589">
        <v>20240</v>
      </c>
      <c r="I22" s="589">
        <v>8437</v>
      </c>
      <c r="J22" s="589">
        <v>233</v>
      </c>
      <c r="K22" s="589">
        <v>245</v>
      </c>
      <c r="L22" s="590">
        <v>1023</v>
      </c>
      <c r="M22" s="2282">
        <f t="shared" si="20"/>
        <v>7067</v>
      </c>
      <c r="N22" s="589">
        <f t="shared" si="21"/>
        <v>18295</v>
      </c>
      <c r="O22" s="2283">
        <f t="shared" si="22"/>
        <v>4816</v>
      </c>
      <c r="P22" s="2282">
        <v>3530</v>
      </c>
      <c r="Q22" s="589">
        <v>9123</v>
      </c>
      <c r="R22" s="589">
        <v>2123</v>
      </c>
      <c r="S22" s="2282">
        <v>3537</v>
      </c>
      <c r="T22" s="589">
        <v>9172</v>
      </c>
      <c r="U22" s="2283">
        <v>2693</v>
      </c>
      <c r="V22" s="1189">
        <f t="shared" si="8"/>
        <v>0.48962820597786466</v>
      </c>
      <c r="W22" s="1189">
        <f t="shared" si="9"/>
        <v>0.51037179402213528</v>
      </c>
      <c r="X22" s="1231">
        <f t="shared" si="10"/>
        <v>0.67068725561667442</v>
      </c>
      <c r="Y22" s="1189">
        <f t="shared" si="11"/>
        <v>0.27957452448803766</v>
      </c>
      <c r="Z22" s="1189">
        <f t="shared" si="12"/>
        <v>7.7208562528994634E-3</v>
      </c>
      <c r="AA22" s="1189">
        <f t="shared" si="13"/>
        <v>8.1184969182848433E-3</v>
      </c>
      <c r="AB22" s="1233">
        <f t="shared" si="14"/>
        <v>3.3898866724103652E-2</v>
      </c>
      <c r="AC22" s="594">
        <f t="shared" si="23"/>
        <v>0.23417721518987342</v>
      </c>
      <c r="AD22" s="595">
        <f t="shared" si="24"/>
        <v>0.60623633110212738</v>
      </c>
      <c r="AE22" s="596">
        <f t="shared" si="25"/>
        <v>0.1595864537079992</v>
      </c>
      <c r="AF22" s="588">
        <v>1377</v>
      </c>
      <c r="AG22" s="267">
        <f t="shared" si="26"/>
        <v>4.5629266352972361E-2</v>
      </c>
    </row>
    <row r="23" spans="1:33" x14ac:dyDescent="0.25">
      <c r="A23" s="265" t="s">
        <v>46</v>
      </c>
      <c r="B23" s="265" t="s">
        <v>47</v>
      </c>
      <c r="C23" s="265" t="s">
        <v>268</v>
      </c>
      <c r="D23" s="265">
        <v>2</v>
      </c>
      <c r="E23" s="588">
        <v>29531</v>
      </c>
      <c r="F23" s="2282">
        <v>14607</v>
      </c>
      <c r="G23" s="2283">
        <v>14924</v>
      </c>
      <c r="H23" s="589">
        <v>28914</v>
      </c>
      <c r="I23" s="589">
        <v>232</v>
      </c>
      <c r="J23" s="589">
        <v>61</v>
      </c>
      <c r="K23" s="589">
        <v>101</v>
      </c>
      <c r="L23" s="590">
        <v>223</v>
      </c>
      <c r="M23" s="2282">
        <f t="shared" si="20"/>
        <v>5602</v>
      </c>
      <c r="N23" s="589">
        <f t="shared" si="21"/>
        <v>17220</v>
      </c>
      <c r="O23" s="2283">
        <f t="shared" si="22"/>
        <v>6709</v>
      </c>
      <c r="P23" s="2282">
        <v>2863</v>
      </c>
      <c r="Q23" s="589">
        <v>8637</v>
      </c>
      <c r="R23" s="589">
        <v>3107</v>
      </c>
      <c r="S23" s="2282">
        <v>2739</v>
      </c>
      <c r="T23" s="589">
        <v>8583</v>
      </c>
      <c r="U23" s="2283">
        <v>3602</v>
      </c>
      <c r="V23" s="1189">
        <f t="shared" si="8"/>
        <v>0.49463275879584168</v>
      </c>
      <c r="W23" s="1189">
        <f t="shared" si="9"/>
        <v>0.50536724120415832</v>
      </c>
      <c r="X23" s="1231">
        <f t="shared" si="10"/>
        <v>0.97910670143239309</v>
      </c>
      <c r="Y23" s="1189">
        <f t="shared" si="11"/>
        <v>7.8561511631844508E-3</v>
      </c>
      <c r="Z23" s="1189">
        <f t="shared" si="12"/>
        <v>2.0656259523890151E-3</v>
      </c>
      <c r="AA23" s="1189">
        <f t="shared" si="13"/>
        <v>3.4201347736277131E-3</v>
      </c>
      <c r="AB23" s="1233">
        <f t="shared" si="14"/>
        <v>7.5513866784057432E-3</v>
      </c>
      <c r="AC23" s="594">
        <f t="shared" si="23"/>
        <v>0.1896989604144797</v>
      </c>
      <c r="AD23" s="595">
        <f t="shared" si="24"/>
        <v>0.58311604754325963</v>
      </c>
      <c r="AE23" s="596">
        <f t="shared" si="25"/>
        <v>0.22718499204226067</v>
      </c>
      <c r="AF23" s="588">
        <v>888</v>
      </c>
      <c r="AG23" s="267">
        <f t="shared" si="26"/>
        <v>3.0070095831499104E-2</v>
      </c>
    </row>
    <row r="24" spans="1:33" x14ac:dyDescent="0.25">
      <c r="A24" s="265" t="s">
        <v>48</v>
      </c>
      <c r="B24" s="265" t="s">
        <v>269</v>
      </c>
      <c r="C24" s="265" t="s">
        <v>266</v>
      </c>
      <c r="D24" s="265">
        <v>1</v>
      </c>
      <c r="E24" s="588">
        <v>7071</v>
      </c>
      <c r="F24" s="2282">
        <v>3429</v>
      </c>
      <c r="G24" s="2283">
        <v>3642</v>
      </c>
      <c r="H24" s="589">
        <v>3025</v>
      </c>
      <c r="I24" s="589">
        <v>3287</v>
      </c>
      <c r="J24" s="589">
        <v>37</v>
      </c>
      <c r="K24" s="589">
        <v>499</v>
      </c>
      <c r="L24" s="590">
        <v>223</v>
      </c>
      <c r="M24" s="2282">
        <f t="shared" si="20"/>
        <v>1099</v>
      </c>
      <c r="N24" s="589">
        <f t="shared" si="21"/>
        <v>4334</v>
      </c>
      <c r="O24" s="2283">
        <f t="shared" si="22"/>
        <v>1638</v>
      </c>
      <c r="P24" s="2282">
        <v>546</v>
      </c>
      <c r="Q24" s="589">
        <v>2143</v>
      </c>
      <c r="R24" s="589">
        <v>740</v>
      </c>
      <c r="S24" s="2282">
        <v>553</v>
      </c>
      <c r="T24" s="589">
        <v>2191</v>
      </c>
      <c r="U24" s="2283">
        <v>898</v>
      </c>
      <c r="V24" s="1189">
        <f t="shared" si="8"/>
        <v>0.48493848112006788</v>
      </c>
      <c r="W24" s="1189">
        <f t="shared" si="9"/>
        <v>0.51506151887993212</v>
      </c>
      <c r="X24" s="1231">
        <f t="shared" si="10"/>
        <v>0.42780370527506717</v>
      </c>
      <c r="Y24" s="1189">
        <f t="shared" si="11"/>
        <v>0.46485645594682506</v>
      </c>
      <c r="Z24" s="1189">
        <f t="shared" si="12"/>
        <v>5.2326403620421439E-3</v>
      </c>
      <c r="AA24" s="1189">
        <f t="shared" si="13"/>
        <v>7.0569933531325124E-2</v>
      </c>
      <c r="AB24" s="1233">
        <f t="shared" si="14"/>
        <v>3.1537264884740492E-2</v>
      </c>
      <c r="AC24" s="594">
        <f t="shared" si="23"/>
        <v>0.15542356102390043</v>
      </c>
      <c r="AD24" s="595">
        <f t="shared" si="24"/>
        <v>0.61292603592136896</v>
      </c>
      <c r="AE24" s="596">
        <f t="shared" si="25"/>
        <v>0.23165040305473059</v>
      </c>
      <c r="AF24" s="588">
        <v>147</v>
      </c>
      <c r="AG24" s="267">
        <f t="shared" si="26"/>
        <v>2.0789138735680949E-2</v>
      </c>
    </row>
    <row r="25" spans="1:33" x14ac:dyDescent="0.25">
      <c r="A25" s="265" t="s">
        <v>50</v>
      </c>
      <c r="B25" s="265" t="s">
        <v>51</v>
      </c>
      <c r="C25" s="265" t="s">
        <v>265</v>
      </c>
      <c r="D25" s="265">
        <v>2</v>
      </c>
      <c r="E25" s="588">
        <v>12129</v>
      </c>
      <c r="F25" s="2282">
        <v>6052</v>
      </c>
      <c r="G25" s="2283">
        <v>6077</v>
      </c>
      <c r="H25" s="589">
        <v>8357</v>
      </c>
      <c r="I25" s="589">
        <v>3480</v>
      </c>
      <c r="J25" s="589">
        <v>28</v>
      </c>
      <c r="K25" s="589">
        <v>50</v>
      </c>
      <c r="L25" s="590">
        <v>214</v>
      </c>
      <c r="M25" s="2282">
        <f t="shared" si="20"/>
        <v>2624</v>
      </c>
      <c r="N25" s="589">
        <f t="shared" si="21"/>
        <v>6954</v>
      </c>
      <c r="O25" s="2283">
        <f t="shared" si="22"/>
        <v>2551</v>
      </c>
      <c r="P25" s="2282">
        <v>1386</v>
      </c>
      <c r="Q25" s="589">
        <v>3499</v>
      </c>
      <c r="R25" s="589">
        <v>1167</v>
      </c>
      <c r="S25" s="2282">
        <v>1238</v>
      </c>
      <c r="T25" s="589">
        <v>3455</v>
      </c>
      <c r="U25" s="2283">
        <v>1384</v>
      </c>
      <c r="V25" s="1189">
        <f t="shared" si="8"/>
        <v>0.49896941215269192</v>
      </c>
      <c r="W25" s="1189">
        <f t="shared" si="9"/>
        <v>0.50103058784730814</v>
      </c>
      <c r="X25" s="1231">
        <f t="shared" si="10"/>
        <v>0.68900981119630633</v>
      </c>
      <c r="Y25" s="1189">
        <f t="shared" si="11"/>
        <v>0.28691565669057628</v>
      </c>
      <c r="Z25" s="1189">
        <f t="shared" si="12"/>
        <v>2.308516777970154E-3</v>
      </c>
      <c r="AA25" s="1189">
        <f t="shared" si="13"/>
        <v>4.1223513892324178E-3</v>
      </c>
      <c r="AB25" s="1233">
        <f t="shared" si="14"/>
        <v>1.764366394591475E-2</v>
      </c>
      <c r="AC25" s="594">
        <f t="shared" si="23"/>
        <v>0.2163410009069173</v>
      </c>
      <c r="AD25" s="595">
        <f t="shared" si="24"/>
        <v>0.57333663121444467</v>
      </c>
      <c r="AE25" s="596">
        <f t="shared" si="25"/>
        <v>0.21032236787863798</v>
      </c>
      <c r="AF25" s="588">
        <v>256</v>
      </c>
      <c r="AG25" s="267">
        <f t="shared" si="26"/>
        <v>2.1106439112869982E-2</v>
      </c>
    </row>
    <row r="26" spans="1:33" x14ac:dyDescent="0.25">
      <c r="A26" s="265" t="s">
        <v>56</v>
      </c>
      <c r="B26" s="265" t="s">
        <v>295</v>
      </c>
      <c r="C26" s="265" t="s">
        <v>266</v>
      </c>
      <c r="D26" s="265">
        <v>3</v>
      </c>
      <c r="E26" s="588">
        <v>356781</v>
      </c>
      <c r="F26" s="2282">
        <v>171618</v>
      </c>
      <c r="G26" s="2283">
        <v>185163</v>
      </c>
      <c r="H26" s="589">
        <v>248445</v>
      </c>
      <c r="I26" s="589">
        <v>82860</v>
      </c>
      <c r="J26" s="589">
        <v>13432</v>
      </c>
      <c r="K26" s="589">
        <v>2420</v>
      </c>
      <c r="L26" s="590">
        <v>9624</v>
      </c>
      <c r="M26" s="2282">
        <f t="shared" si="20"/>
        <v>85435</v>
      </c>
      <c r="N26" s="589">
        <f t="shared" si="21"/>
        <v>220450</v>
      </c>
      <c r="O26" s="2283">
        <f t="shared" si="22"/>
        <v>50896</v>
      </c>
      <c r="P26" s="2282">
        <v>43926</v>
      </c>
      <c r="Q26" s="589">
        <v>105343</v>
      </c>
      <c r="R26" s="589">
        <v>22349</v>
      </c>
      <c r="S26" s="2282">
        <v>41509</v>
      </c>
      <c r="T26" s="589">
        <v>115107</v>
      </c>
      <c r="U26" s="2283">
        <v>28547</v>
      </c>
      <c r="V26" s="1189">
        <f t="shared" si="8"/>
        <v>0.48101776720172879</v>
      </c>
      <c r="W26" s="1189">
        <f t="shared" si="9"/>
        <v>0.51898223279827116</v>
      </c>
      <c r="X26" s="1231">
        <f t="shared" si="10"/>
        <v>0.69635154338375638</v>
      </c>
      <c r="Y26" s="1189">
        <f t="shared" si="11"/>
        <v>0.23224330892059836</v>
      </c>
      <c r="Z26" s="1189">
        <f t="shared" si="12"/>
        <v>3.7647744694924899E-2</v>
      </c>
      <c r="AA26" s="1189">
        <f t="shared" si="13"/>
        <v>6.7828724063220859E-3</v>
      </c>
      <c r="AB26" s="1233">
        <f t="shared" si="14"/>
        <v>2.6974530594398246E-2</v>
      </c>
      <c r="AC26" s="594">
        <f t="shared" si="23"/>
        <v>0.23946062150170552</v>
      </c>
      <c r="AD26" s="595">
        <f t="shared" si="24"/>
        <v>0.61788604213789411</v>
      </c>
      <c r="AE26" s="596">
        <f t="shared" si="25"/>
        <v>0.14265333636040037</v>
      </c>
      <c r="AF26" s="588">
        <v>29560</v>
      </c>
      <c r="AG26" s="267">
        <f t="shared" si="26"/>
        <v>8.2851945591273082E-2</v>
      </c>
    </row>
    <row r="27" spans="1:33" x14ac:dyDescent="0.25">
      <c r="A27" s="265" t="s">
        <v>58</v>
      </c>
      <c r="B27" s="265" t="s">
        <v>59</v>
      </c>
      <c r="C27" s="265" t="s">
        <v>267</v>
      </c>
      <c r="D27" s="265">
        <v>1</v>
      </c>
      <c r="E27" s="588">
        <v>14374</v>
      </c>
      <c r="F27" s="2282">
        <v>7128</v>
      </c>
      <c r="G27" s="2283">
        <v>7246</v>
      </c>
      <c r="H27" s="589">
        <v>13063</v>
      </c>
      <c r="I27" s="589">
        <v>689</v>
      </c>
      <c r="J27" s="589">
        <v>200</v>
      </c>
      <c r="K27" s="589">
        <v>70</v>
      </c>
      <c r="L27" s="590">
        <v>352</v>
      </c>
      <c r="M27" s="2282">
        <f t="shared" si="20"/>
        <v>2998</v>
      </c>
      <c r="N27" s="589">
        <f t="shared" si="21"/>
        <v>8517</v>
      </c>
      <c r="O27" s="2283">
        <f t="shared" si="22"/>
        <v>2859</v>
      </c>
      <c r="P27" s="2282">
        <v>1527</v>
      </c>
      <c r="Q27" s="589">
        <v>4257</v>
      </c>
      <c r="R27" s="589">
        <v>1344</v>
      </c>
      <c r="S27" s="2282">
        <v>1471</v>
      </c>
      <c r="T27" s="589">
        <v>4260</v>
      </c>
      <c r="U27" s="2283">
        <v>1515</v>
      </c>
      <c r="V27" s="1189">
        <f t="shared" si="8"/>
        <v>0.49589536663420064</v>
      </c>
      <c r="W27" s="1189">
        <f t="shared" si="9"/>
        <v>0.50410463336579936</v>
      </c>
      <c r="X27" s="1231">
        <f t="shared" si="10"/>
        <v>0.90879365521079725</v>
      </c>
      <c r="Y27" s="1189">
        <f t="shared" si="11"/>
        <v>4.7933769305690828E-2</v>
      </c>
      <c r="Z27" s="1189">
        <f t="shared" si="12"/>
        <v>1.3914011409489356E-2</v>
      </c>
      <c r="AA27" s="1189">
        <f t="shared" si="13"/>
        <v>4.8699039933212743E-3</v>
      </c>
      <c r="AB27" s="1233">
        <f t="shared" si="14"/>
        <v>2.4488660080701267E-2</v>
      </c>
      <c r="AC27" s="594">
        <f t="shared" si="23"/>
        <v>0.20857103102824545</v>
      </c>
      <c r="AD27" s="595">
        <f t="shared" si="24"/>
        <v>0.59252817587310425</v>
      </c>
      <c r="AE27" s="596">
        <f t="shared" si="25"/>
        <v>0.19890079309865033</v>
      </c>
      <c r="AF27" s="588">
        <v>758</v>
      </c>
      <c r="AG27" s="267">
        <f t="shared" si="26"/>
        <v>5.2734103241964661E-2</v>
      </c>
    </row>
    <row r="28" spans="1:33" x14ac:dyDescent="0.25">
      <c r="A28" s="265" t="s">
        <v>60</v>
      </c>
      <c r="B28" s="265" t="s">
        <v>61</v>
      </c>
      <c r="C28" s="265" t="s">
        <v>265</v>
      </c>
      <c r="D28" s="265">
        <v>1</v>
      </c>
      <c r="E28" s="588">
        <v>5158</v>
      </c>
      <c r="F28" s="2282">
        <v>2582</v>
      </c>
      <c r="G28" s="2283">
        <v>2576</v>
      </c>
      <c r="H28" s="589">
        <v>5075</v>
      </c>
      <c r="I28" s="589">
        <v>17</v>
      </c>
      <c r="J28" s="589">
        <v>8</v>
      </c>
      <c r="K28" s="589">
        <v>18</v>
      </c>
      <c r="L28" s="590">
        <v>40</v>
      </c>
      <c r="M28" s="2282">
        <f t="shared" si="20"/>
        <v>973</v>
      </c>
      <c r="N28" s="589">
        <f t="shared" si="21"/>
        <v>3050</v>
      </c>
      <c r="O28" s="2283">
        <f t="shared" si="22"/>
        <v>1135</v>
      </c>
      <c r="P28" s="2282">
        <v>500</v>
      </c>
      <c r="Q28" s="589">
        <v>1543</v>
      </c>
      <c r="R28" s="589">
        <v>539</v>
      </c>
      <c r="S28" s="2282">
        <v>473</v>
      </c>
      <c r="T28" s="589">
        <v>1507</v>
      </c>
      <c r="U28" s="2283">
        <v>596</v>
      </c>
      <c r="V28" s="1189">
        <f t="shared" si="8"/>
        <v>0.5005816207832493</v>
      </c>
      <c r="W28" s="1189">
        <f t="shared" si="9"/>
        <v>0.4994183792167507</v>
      </c>
      <c r="X28" s="1231">
        <f t="shared" si="10"/>
        <v>0.98390849166343541</v>
      </c>
      <c r="Y28" s="1189">
        <f t="shared" si="11"/>
        <v>3.2958511050794883E-3</v>
      </c>
      <c r="Z28" s="1189">
        <f t="shared" si="12"/>
        <v>1.5509887553315238E-3</v>
      </c>
      <c r="AA28" s="1189">
        <f t="shared" si="13"/>
        <v>3.4897246994959287E-3</v>
      </c>
      <c r="AB28" s="1233">
        <f t="shared" si="14"/>
        <v>7.7549437766576195E-3</v>
      </c>
      <c r="AC28" s="594">
        <f t="shared" si="23"/>
        <v>0.18863900736719658</v>
      </c>
      <c r="AD28" s="595">
        <f t="shared" si="24"/>
        <v>0.59131446297014345</v>
      </c>
      <c r="AE28" s="596">
        <f t="shared" si="25"/>
        <v>0.22004652966265995</v>
      </c>
      <c r="AF28" s="588">
        <v>71</v>
      </c>
      <c r="AG28" s="267">
        <f t="shared" si="26"/>
        <v>1.3765025203567274E-2</v>
      </c>
    </row>
    <row r="29" spans="1:33" x14ac:dyDescent="0.25">
      <c r="A29" s="265" t="s">
        <v>62</v>
      </c>
      <c r="B29" s="265" t="s">
        <v>63</v>
      </c>
      <c r="C29" s="265" t="s">
        <v>267</v>
      </c>
      <c r="D29" s="265">
        <v>2</v>
      </c>
      <c r="E29" s="588">
        <v>50083</v>
      </c>
      <c r="F29" s="2282">
        <v>25079</v>
      </c>
      <c r="G29" s="2283">
        <v>25004</v>
      </c>
      <c r="H29" s="589">
        <v>39839</v>
      </c>
      <c r="I29" s="589">
        <v>7571</v>
      </c>
      <c r="J29" s="589">
        <v>794</v>
      </c>
      <c r="K29" s="589">
        <v>433</v>
      </c>
      <c r="L29" s="590">
        <v>1446</v>
      </c>
      <c r="M29" s="2282">
        <f t="shared" si="20"/>
        <v>12545</v>
      </c>
      <c r="N29" s="589">
        <f t="shared" si="21"/>
        <v>30161</v>
      </c>
      <c r="O29" s="2283">
        <f t="shared" si="22"/>
        <v>7377</v>
      </c>
      <c r="P29" s="2282">
        <v>6314</v>
      </c>
      <c r="Q29" s="589">
        <v>15305</v>
      </c>
      <c r="R29" s="589">
        <v>3460</v>
      </c>
      <c r="S29" s="2282">
        <v>6231</v>
      </c>
      <c r="T29" s="589">
        <v>14856</v>
      </c>
      <c r="U29" s="2283">
        <v>3917</v>
      </c>
      <c r="V29" s="1189">
        <f t="shared" si="8"/>
        <v>0.50074875706327493</v>
      </c>
      <c r="W29" s="1189">
        <f t="shared" si="9"/>
        <v>0.49925124293672501</v>
      </c>
      <c r="X29" s="1231">
        <f t="shared" si="10"/>
        <v>0.79545953716830065</v>
      </c>
      <c r="Y29" s="1189">
        <f t="shared" si="11"/>
        <v>0.15116905936145997</v>
      </c>
      <c r="Z29" s="1189">
        <f t="shared" si="12"/>
        <v>1.5853682886408562E-2</v>
      </c>
      <c r="AA29" s="1189">
        <f t="shared" si="13"/>
        <v>8.6456482239482459E-3</v>
      </c>
      <c r="AB29" s="1233">
        <f t="shared" si="14"/>
        <v>2.8872072359882595E-2</v>
      </c>
      <c r="AC29" s="594">
        <f t="shared" si="23"/>
        <v>0.25048419623425117</v>
      </c>
      <c r="AD29" s="595">
        <f t="shared" si="24"/>
        <v>0.60222031427829803</v>
      </c>
      <c r="AE29" s="596">
        <f t="shared" si="25"/>
        <v>0.14729548948745083</v>
      </c>
      <c r="AF29" s="588">
        <v>5059</v>
      </c>
      <c r="AG29" s="267">
        <f t="shared" si="26"/>
        <v>0.10101231954954774</v>
      </c>
    </row>
    <row r="30" spans="1:33" x14ac:dyDescent="0.25">
      <c r="A30" s="265" t="s">
        <v>64</v>
      </c>
      <c r="B30" s="265" t="s">
        <v>65</v>
      </c>
      <c r="C30" s="265" t="s">
        <v>266</v>
      </c>
      <c r="D30" s="265">
        <v>1</v>
      </c>
      <c r="E30" s="588">
        <v>9652</v>
      </c>
      <c r="F30" s="2282">
        <v>4655</v>
      </c>
      <c r="G30" s="2283">
        <v>4997</v>
      </c>
      <c r="H30" s="589">
        <v>6231</v>
      </c>
      <c r="I30" s="589">
        <v>3087</v>
      </c>
      <c r="J30" s="589">
        <v>40</v>
      </c>
      <c r="K30" s="589">
        <v>51</v>
      </c>
      <c r="L30" s="590">
        <v>243</v>
      </c>
      <c r="M30" s="2282">
        <f t="shared" si="20"/>
        <v>1931</v>
      </c>
      <c r="N30" s="589">
        <f t="shared" si="21"/>
        <v>5735</v>
      </c>
      <c r="O30" s="2283">
        <f t="shared" si="22"/>
        <v>1986</v>
      </c>
      <c r="P30" s="2282">
        <v>963</v>
      </c>
      <c r="Q30" s="589">
        <v>2763</v>
      </c>
      <c r="R30" s="589">
        <v>929</v>
      </c>
      <c r="S30" s="2282">
        <v>968</v>
      </c>
      <c r="T30" s="589">
        <v>2972</v>
      </c>
      <c r="U30" s="2283">
        <v>1057</v>
      </c>
      <c r="V30" s="1189">
        <f t="shared" si="8"/>
        <v>0.48228346456692911</v>
      </c>
      <c r="W30" s="1189">
        <f t="shared" si="9"/>
        <v>0.51771653543307083</v>
      </c>
      <c r="X30" s="1231">
        <f t="shared" si="10"/>
        <v>0.64556568586821383</v>
      </c>
      <c r="Y30" s="1189">
        <f t="shared" si="11"/>
        <v>0.31983008702859511</v>
      </c>
      <c r="Z30" s="1189">
        <f t="shared" si="12"/>
        <v>4.1442188147534191E-3</v>
      </c>
      <c r="AA30" s="1189">
        <f t="shared" si="13"/>
        <v>5.2838789888106094E-3</v>
      </c>
      <c r="AB30" s="1233">
        <f t="shared" si="14"/>
        <v>2.517612929962702E-2</v>
      </c>
      <c r="AC30" s="594">
        <f t="shared" si="23"/>
        <v>0.20006216328222129</v>
      </c>
      <c r="AD30" s="595">
        <f t="shared" si="24"/>
        <v>0.59417737256527148</v>
      </c>
      <c r="AE30" s="596">
        <f t="shared" si="25"/>
        <v>0.20576046415250726</v>
      </c>
      <c r="AF30" s="588">
        <v>261</v>
      </c>
      <c r="AG30" s="267">
        <f t="shared" si="26"/>
        <v>2.704102776626606E-2</v>
      </c>
    </row>
    <row r="31" spans="1:33" x14ac:dyDescent="0.25">
      <c r="A31" s="265" t="s">
        <v>68</v>
      </c>
      <c r="B31" s="265" t="s">
        <v>69</v>
      </c>
      <c r="C31" s="265" t="s">
        <v>268</v>
      </c>
      <c r="D31" s="265">
        <v>2</v>
      </c>
      <c r="E31" s="588">
        <v>14968</v>
      </c>
      <c r="F31" s="2282">
        <v>7609</v>
      </c>
      <c r="G31" s="2283">
        <v>7359</v>
      </c>
      <c r="H31" s="589">
        <v>14736</v>
      </c>
      <c r="I31" s="589">
        <v>65</v>
      </c>
      <c r="J31" s="589">
        <v>28</v>
      </c>
      <c r="K31" s="589">
        <v>36</v>
      </c>
      <c r="L31" s="590">
        <v>103</v>
      </c>
      <c r="M31" s="2282">
        <f t="shared" si="20"/>
        <v>2973</v>
      </c>
      <c r="N31" s="589">
        <f t="shared" si="21"/>
        <v>9025</v>
      </c>
      <c r="O31" s="2283">
        <f t="shared" si="22"/>
        <v>2970</v>
      </c>
      <c r="P31" s="2282">
        <v>1535</v>
      </c>
      <c r="Q31" s="589">
        <v>4699</v>
      </c>
      <c r="R31" s="589">
        <v>1375</v>
      </c>
      <c r="S31" s="2282">
        <v>1438</v>
      </c>
      <c r="T31" s="589">
        <v>4326</v>
      </c>
      <c r="U31" s="2283">
        <v>1595</v>
      </c>
      <c r="V31" s="1189">
        <f t="shared" si="8"/>
        <v>0.50835114911811863</v>
      </c>
      <c r="W31" s="1189">
        <f t="shared" si="9"/>
        <v>0.49164885088188137</v>
      </c>
      <c r="X31" s="1231">
        <f t="shared" si="10"/>
        <v>0.98450026723677175</v>
      </c>
      <c r="Y31" s="1189">
        <f t="shared" si="11"/>
        <v>4.3425975414216993E-3</v>
      </c>
      <c r="Z31" s="1189">
        <f t="shared" si="12"/>
        <v>1.8706574024585784E-3</v>
      </c>
      <c r="AA31" s="1189">
        <f t="shared" si="13"/>
        <v>2.4051309460181719E-3</v>
      </c>
      <c r="AB31" s="1233">
        <f t="shared" si="14"/>
        <v>6.8813468733297705E-3</v>
      </c>
      <c r="AC31" s="594">
        <f t="shared" si="23"/>
        <v>0.19862373062533403</v>
      </c>
      <c r="AD31" s="595">
        <f t="shared" si="24"/>
        <v>0.60295296632816675</v>
      </c>
      <c r="AE31" s="596">
        <f t="shared" si="25"/>
        <v>0.19842330304649919</v>
      </c>
      <c r="AF31" s="588">
        <v>123</v>
      </c>
      <c r="AG31" s="267">
        <f t="shared" si="26"/>
        <v>8.217530732228754E-3</v>
      </c>
    </row>
    <row r="32" spans="1:33" x14ac:dyDescent="0.25">
      <c r="A32" s="265" t="s">
        <v>70</v>
      </c>
      <c r="B32" s="265" t="s">
        <v>71</v>
      </c>
      <c r="C32" s="265" t="s">
        <v>264</v>
      </c>
      <c r="D32" s="265">
        <v>2</v>
      </c>
      <c r="E32" s="588">
        <v>28144</v>
      </c>
      <c r="F32" s="2282">
        <v>13686</v>
      </c>
      <c r="G32" s="2283">
        <v>14458</v>
      </c>
      <c r="H32" s="589">
        <v>18097</v>
      </c>
      <c r="I32" s="589">
        <v>9245</v>
      </c>
      <c r="J32" s="589">
        <v>214</v>
      </c>
      <c r="K32" s="589">
        <v>143</v>
      </c>
      <c r="L32" s="590">
        <v>445</v>
      </c>
      <c r="M32" s="2282">
        <f t="shared" si="20"/>
        <v>5643</v>
      </c>
      <c r="N32" s="589">
        <f t="shared" si="21"/>
        <v>17693</v>
      </c>
      <c r="O32" s="2283">
        <f t="shared" si="22"/>
        <v>4808</v>
      </c>
      <c r="P32" s="2282">
        <v>2840</v>
      </c>
      <c r="Q32" s="589">
        <v>8647</v>
      </c>
      <c r="R32" s="589">
        <v>2199</v>
      </c>
      <c r="S32" s="2282">
        <v>2803</v>
      </c>
      <c r="T32" s="589">
        <v>9046</v>
      </c>
      <c r="U32" s="2283">
        <v>2609</v>
      </c>
      <c r="V32" s="1189">
        <f t="shared" si="8"/>
        <v>0.48628482092097786</v>
      </c>
      <c r="W32" s="1189">
        <f t="shared" si="9"/>
        <v>0.5137151790790222</v>
      </c>
      <c r="X32" s="1231">
        <f t="shared" si="10"/>
        <v>0.64301449687322343</v>
      </c>
      <c r="Y32" s="1189">
        <f t="shared" si="11"/>
        <v>0.32848919840818647</v>
      </c>
      <c r="Z32" s="1189">
        <f t="shared" si="12"/>
        <v>7.6037521318931215E-3</v>
      </c>
      <c r="AA32" s="1189">
        <f t="shared" si="13"/>
        <v>5.0810119386014785E-3</v>
      </c>
      <c r="AB32" s="1233">
        <f t="shared" si="14"/>
        <v>1.581154064809551E-2</v>
      </c>
      <c r="AC32" s="594">
        <f t="shared" si="23"/>
        <v>0.20050454803865833</v>
      </c>
      <c r="AD32" s="595">
        <f t="shared" si="24"/>
        <v>0.62865974985787376</v>
      </c>
      <c r="AE32" s="596">
        <f t="shared" si="25"/>
        <v>0.17083570210346788</v>
      </c>
      <c r="AF32" s="588">
        <v>981</v>
      </c>
      <c r="AG32" s="267">
        <f t="shared" si="26"/>
        <v>3.4856452529846503E-2</v>
      </c>
    </row>
    <row r="33" spans="1:33" x14ac:dyDescent="0.25">
      <c r="A33" s="265" t="s">
        <v>72</v>
      </c>
      <c r="B33" s="265" t="s">
        <v>73</v>
      </c>
      <c r="C33" s="265" t="s">
        <v>266</v>
      </c>
      <c r="D33" s="265">
        <v>1</v>
      </c>
      <c r="E33" s="588">
        <v>11123</v>
      </c>
      <c r="F33" s="2282">
        <v>5248</v>
      </c>
      <c r="G33" s="2283">
        <v>5875</v>
      </c>
      <c r="H33" s="589">
        <v>6334</v>
      </c>
      <c r="I33" s="589">
        <v>4249</v>
      </c>
      <c r="J33" s="589">
        <v>116</v>
      </c>
      <c r="K33" s="589">
        <v>126</v>
      </c>
      <c r="L33" s="590">
        <v>298</v>
      </c>
      <c r="M33" s="2282">
        <f t="shared" si="20"/>
        <v>2195</v>
      </c>
      <c r="N33" s="589">
        <f t="shared" si="21"/>
        <v>6548</v>
      </c>
      <c r="O33" s="2283">
        <f t="shared" si="22"/>
        <v>2380</v>
      </c>
      <c r="P33" s="2282">
        <v>1086</v>
      </c>
      <c r="Q33" s="589">
        <v>3072</v>
      </c>
      <c r="R33" s="589">
        <v>1090</v>
      </c>
      <c r="S33" s="2282">
        <v>1109</v>
      </c>
      <c r="T33" s="589">
        <v>3476</v>
      </c>
      <c r="U33" s="2283">
        <v>1290</v>
      </c>
      <c r="V33" s="1189">
        <f t="shared" si="8"/>
        <v>0.47181515778117417</v>
      </c>
      <c r="W33" s="1189">
        <f t="shared" si="9"/>
        <v>0.52818484221882589</v>
      </c>
      <c r="X33" s="1231">
        <f t="shared" si="10"/>
        <v>0.56945068776409247</v>
      </c>
      <c r="Y33" s="1189">
        <f t="shared" si="11"/>
        <v>0.38200125865324103</v>
      </c>
      <c r="Z33" s="1189">
        <f t="shared" si="12"/>
        <v>1.0428841139980221E-2</v>
      </c>
      <c r="AA33" s="1189">
        <f t="shared" si="13"/>
        <v>1.1327879169288861E-2</v>
      </c>
      <c r="AB33" s="1233">
        <f t="shared" si="14"/>
        <v>2.6791333273397465E-2</v>
      </c>
      <c r="AC33" s="594">
        <f t="shared" si="23"/>
        <v>0.19733884743324642</v>
      </c>
      <c r="AD33" s="595">
        <f t="shared" si="24"/>
        <v>0.58869010159129731</v>
      </c>
      <c r="AE33" s="596">
        <f t="shared" si="25"/>
        <v>0.21397105097545627</v>
      </c>
      <c r="AF33" s="588">
        <v>382</v>
      </c>
      <c r="AG33" s="267">
        <f t="shared" si="26"/>
        <v>3.4343252719590038E-2</v>
      </c>
    </row>
    <row r="34" spans="1:33" x14ac:dyDescent="0.25">
      <c r="A34" s="265" t="s">
        <v>74</v>
      </c>
      <c r="B34" s="265" t="s">
        <v>663</v>
      </c>
      <c r="C34" s="265" t="s">
        <v>267</v>
      </c>
      <c r="D34" s="265">
        <v>3</v>
      </c>
      <c r="E34" s="588">
        <v>1176830</v>
      </c>
      <c r="F34" s="2282">
        <v>582858</v>
      </c>
      <c r="G34" s="2283">
        <v>593972</v>
      </c>
      <c r="H34" s="589">
        <v>777840</v>
      </c>
      <c r="I34" s="589">
        <v>118781</v>
      </c>
      <c r="J34" s="589">
        <v>229419</v>
      </c>
      <c r="K34" s="589">
        <v>8131</v>
      </c>
      <c r="L34" s="590">
        <v>42659</v>
      </c>
      <c r="M34" s="2282">
        <f t="shared" si="20"/>
        <v>280315</v>
      </c>
      <c r="N34" s="589">
        <f t="shared" si="21"/>
        <v>749452</v>
      </c>
      <c r="O34" s="2283">
        <f t="shared" si="22"/>
        <v>147063</v>
      </c>
      <c r="P34" s="2282">
        <v>143767</v>
      </c>
      <c r="Q34" s="589">
        <v>372175</v>
      </c>
      <c r="R34" s="589">
        <v>66916</v>
      </c>
      <c r="S34" s="2282">
        <v>136548</v>
      </c>
      <c r="T34" s="589">
        <v>377277</v>
      </c>
      <c r="U34" s="2283">
        <v>80147</v>
      </c>
      <c r="V34" s="1189">
        <f t="shared" si="8"/>
        <v>0.49527799257326888</v>
      </c>
      <c r="W34" s="1189">
        <f t="shared" si="9"/>
        <v>0.50472200742673112</v>
      </c>
      <c r="X34" s="1231">
        <f t="shared" si="10"/>
        <v>0.66096207608575586</v>
      </c>
      <c r="Y34" s="1189">
        <f t="shared" si="11"/>
        <v>0.10093301496392852</v>
      </c>
      <c r="Z34" s="1189">
        <f t="shared" si="12"/>
        <v>0.19494659381558935</v>
      </c>
      <c r="AA34" s="1189">
        <f t="shared" si="13"/>
        <v>6.9092392274160246E-3</v>
      </c>
      <c r="AB34" s="1233">
        <f t="shared" si="14"/>
        <v>3.6249075907310316E-2</v>
      </c>
      <c r="AC34" s="594">
        <f t="shared" si="23"/>
        <v>0.23819498143317216</v>
      </c>
      <c r="AD34" s="595">
        <f t="shared" si="24"/>
        <v>0.6368396454883033</v>
      </c>
      <c r="AE34" s="596">
        <f t="shared" si="25"/>
        <v>0.12496537307852451</v>
      </c>
      <c r="AF34" s="588">
        <v>188945</v>
      </c>
      <c r="AG34" s="267">
        <f t="shared" si="26"/>
        <v>0.16055420069168869</v>
      </c>
    </row>
    <row r="35" spans="1:33" x14ac:dyDescent="0.25">
      <c r="A35" s="265" t="s">
        <v>76</v>
      </c>
      <c r="B35" s="265" t="s">
        <v>77</v>
      </c>
      <c r="C35" s="265" t="s">
        <v>267</v>
      </c>
      <c r="D35" s="265">
        <v>2</v>
      </c>
      <c r="E35" s="588">
        <v>69069</v>
      </c>
      <c r="F35" s="2282">
        <v>34173</v>
      </c>
      <c r="G35" s="2283">
        <v>34896</v>
      </c>
      <c r="H35" s="589">
        <v>60410</v>
      </c>
      <c r="I35" s="589">
        <v>5404</v>
      </c>
      <c r="J35" s="589">
        <v>1077</v>
      </c>
      <c r="K35" s="589">
        <v>398</v>
      </c>
      <c r="L35" s="590">
        <v>1780</v>
      </c>
      <c r="M35" s="2282">
        <f t="shared" si="20"/>
        <v>16194</v>
      </c>
      <c r="N35" s="589">
        <f t="shared" si="21"/>
        <v>41818</v>
      </c>
      <c r="O35" s="2283">
        <f t="shared" si="22"/>
        <v>11057</v>
      </c>
      <c r="P35" s="2282">
        <v>8386</v>
      </c>
      <c r="Q35" s="589">
        <v>20728</v>
      </c>
      <c r="R35" s="589">
        <v>5059</v>
      </c>
      <c r="S35" s="2282">
        <v>7808</v>
      </c>
      <c r="T35" s="589">
        <v>21090</v>
      </c>
      <c r="U35" s="2283">
        <v>5998</v>
      </c>
      <c r="V35" s="1189">
        <f t="shared" si="8"/>
        <v>0.49476610346175565</v>
      </c>
      <c r="W35" s="1189">
        <f t="shared" si="9"/>
        <v>0.50523389653824435</v>
      </c>
      <c r="X35" s="1231">
        <f t="shared" si="10"/>
        <v>0.87463261376304857</v>
      </c>
      <c r="Y35" s="1189">
        <f t="shared" si="11"/>
        <v>7.8240599979730416E-2</v>
      </c>
      <c r="Z35" s="1189">
        <f t="shared" si="12"/>
        <v>1.5593102549624288E-2</v>
      </c>
      <c r="AA35" s="1189">
        <f t="shared" si="13"/>
        <v>5.762353588440545E-3</v>
      </c>
      <c r="AB35" s="1233">
        <f t="shared" si="14"/>
        <v>2.5771330119156208E-2</v>
      </c>
      <c r="AC35" s="594">
        <f t="shared" si="23"/>
        <v>0.23446119098293011</v>
      </c>
      <c r="AD35" s="595">
        <f t="shared" si="24"/>
        <v>0.60545251849599679</v>
      </c>
      <c r="AE35" s="596">
        <f t="shared" si="25"/>
        <v>0.16008629052107312</v>
      </c>
      <c r="AF35" s="588">
        <v>5372</v>
      </c>
      <c r="AG35" s="267">
        <f t="shared" si="26"/>
        <v>7.777729516859952E-2</v>
      </c>
    </row>
    <row r="36" spans="1:33" x14ac:dyDescent="0.25">
      <c r="A36" s="265" t="s">
        <v>78</v>
      </c>
      <c r="B36" s="265" t="s">
        <v>79</v>
      </c>
      <c r="C36" s="265" t="s">
        <v>268</v>
      </c>
      <c r="D36" s="265">
        <v>1</v>
      </c>
      <c r="E36" s="588">
        <v>15731</v>
      </c>
      <c r="F36" s="2282">
        <v>7936</v>
      </c>
      <c r="G36" s="2283">
        <v>7795</v>
      </c>
      <c r="H36" s="589">
        <v>15046</v>
      </c>
      <c r="I36" s="589">
        <v>318</v>
      </c>
      <c r="J36" s="589">
        <v>104</v>
      </c>
      <c r="K36" s="589">
        <v>37</v>
      </c>
      <c r="L36" s="590">
        <v>226</v>
      </c>
      <c r="M36" s="2282">
        <f t="shared" si="20"/>
        <v>3174</v>
      </c>
      <c r="N36" s="589">
        <f t="shared" si="21"/>
        <v>9147</v>
      </c>
      <c r="O36" s="2283">
        <f t="shared" si="22"/>
        <v>3410</v>
      </c>
      <c r="P36" s="2282">
        <v>1666</v>
      </c>
      <c r="Q36" s="589">
        <v>4655</v>
      </c>
      <c r="R36" s="589">
        <v>1615</v>
      </c>
      <c r="S36" s="2282">
        <v>1508</v>
      </c>
      <c r="T36" s="589">
        <v>4492</v>
      </c>
      <c r="U36" s="2283">
        <v>1795</v>
      </c>
      <c r="V36" s="1189">
        <f t="shared" si="8"/>
        <v>0.50448159684699001</v>
      </c>
      <c r="W36" s="1189">
        <f t="shared" si="9"/>
        <v>0.49551840315300999</v>
      </c>
      <c r="X36" s="1231">
        <f t="shared" si="10"/>
        <v>0.95645540652215366</v>
      </c>
      <c r="Y36" s="1189">
        <f t="shared" si="11"/>
        <v>2.0214862373657109E-2</v>
      </c>
      <c r="Z36" s="1189">
        <f t="shared" si="12"/>
        <v>6.6111499586803124E-3</v>
      </c>
      <c r="AA36" s="1189">
        <f t="shared" si="13"/>
        <v>2.3520437352997268E-3</v>
      </c>
      <c r="AB36" s="1233">
        <f t="shared" si="14"/>
        <v>1.4366537410209141E-2</v>
      </c>
      <c r="AC36" s="594">
        <f t="shared" si="23"/>
        <v>0.20176721123895494</v>
      </c>
      <c r="AD36" s="595">
        <f t="shared" si="24"/>
        <v>0.58146335261585402</v>
      </c>
      <c r="AE36" s="596">
        <f t="shared" si="25"/>
        <v>0.21676943614519104</v>
      </c>
      <c r="AF36" s="588">
        <v>442</v>
      </c>
      <c r="AG36" s="267">
        <f t="shared" si="26"/>
        <v>2.8097387324391328E-2</v>
      </c>
    </row>
    <row r="37" spans="1:33" x14ac:dyDescent="0.25">
      <c r="A37" s="265" t="s">
        <v>80</v>
      </c>
      <c r="B37" s="265" t="s">
        <v>81</v>
      </c>
      <c r="C37" s="265" t="s">
        <v>266</v>
      </c>
      <c r="D37" s="265">
        <v>2</v>
      </c>
      <c r="E37" s="588">
        <v>26271</v>
      </c>
      <c r="F37" s="2282">
        <v>12092</v>
      </c>
      <c r="G37" s="2283">
        <v>14179</v>
      </c>
      <c r="H37" s="589">
        <v>21431</v>
      </c>
      <c r="I37" s="589">
        <v>3927</v>
      </c>
      <c r="J37" s="589">
        <v>191</v>
      </c>
      <c r="K37" s="589">
        <v>104</v>
      </c>
      <c r="L37" s="590">
        <v>618</v>
      </c>
      <c r="M37" s="2282">
        <f t="shared" si="20"/>
        <v>5396</v>
      </c>
      <c r="N37" s="589">
        <f t="shared" si="21"/>
        <v>15779</v>
      </c>
      <c r="O37" s="2283">
        <f t="shared" si="22"/>
        <v>5096</v>
      </c>
      <c r="P37" s="2282">
        <v>2708</v>
      </c>
      <c r="Q37" s="589">
        <v>7004</v>
      </c>
      <c r="R37" s="589">
        <v>2380</v>
      </c>
      <c r="S37" s="2282">
        <v>2688</v>
      </c>
      <c r="T37" s="589">
        <v>8775</v>
      </c>
      <c r="U37" s="2283">
        <v>2716</v>
      </c>
      <c r="V37" s="1189">
        <f t="shared" ref="V37:V68" si="27">F37/E37</f>
        <v>0.46027939553119407</v>
      </c>
      <c r="W37" s="1189">
        <f t="shared" ref="W37:W68" si="28">G37/E37</f>
        <v>0.53972060446880588</v>
      </c>
      <c r="X37" s="1231">
        <f t="shared" ref="X37:X68" si="29">H37/E37</f>
        <v>0.81576643447147046</v>
      </c>
      <c r="Y37" s="1189">
        <f t="shared" ref="Y37:Y68" si="30">I37/E37</f>
        <v>0.14948041566746603</v>
      </c>
      <c r="Z37" s="1189">
        <f t="shared" ref="Z37:Z68" si="31">J37/E37</f>
        <v>7.2703741768489968E-3</v>
      </c>
      <c r="AA37" s="1189">
        <f t="shared" ref="AA37:AA68" si="32">K37/E37</f>
        <v>3.9587377716874123E-3</v>
      </c>
      <c r="AB37" s="1233">
        <f t="shared" ref="AB37:AB68" si="33">L37/E37</f>
        <v>2.3524037912527121E-2</v>
      </c>
      <c r="AC37" s="594">
        <f t="shared" si="23"/>
        <v>0.20539758669255073</v>
      </c>
      <c r="AD37" s="595">
        <f t="shared" si="24"/>
        <v>0.60062426249476608</v>
      </c>
      <c r="AE37" s="596">
        <f t="shared" si="25"/>
        <v>0.19397815081268319</v>
      </c>
      <c r="AF37" s="588">
        <v>902</v>
      </c>
      <c r="AG37" s="267">
        <f t="shared" si="26"/>
        <v>3.4334437212135055E-2</v>
      </c>
    </row>
    <row r="38" spans="1:33" x14ac:dyDescent="0.25">
      <c r="A38" s="265" t="s">
        <v>84</v>
      </c>
      <c r="B38" s="265" t="s">
        <v>308</v>
      </c>
      <c r="C38" s="265" t="s">
        <v>265</v>
      </c>
      <c r="D38" s="265">
        <v>2</v>
      </c>
      <c r="E38" s="588">
        <v>56069</v>
      </c>
      <c r="F38" s="2282">
        <v>27715</v>
      </c>
      <c r="G38" s="2283">
        <v>28354</v>
      </c>
      <c r="H38" s="589">
        <v>50211</v>
      </c>
      <c r="I38" s="589">
        <v>4529</v>
      </c>
      <c r="J38" s="589">
        <v>267</v>
      </c>
      <c r="K38" s="589">
        <v>291</v>
      </c>
      <c r="L38" s="590">
        <v>771</v>
      </c>
      <c r="M38" s="2282">
        <f t="shared" ref="M38:M69" si="34">P38+S38</f>
        <v>10856</v>
      </c>
      <c r="N38" s="589">
        <f t="shared" ref="N38:N69" si="35">Q38+T38</f>
        <v>32825</v>
      </c>
      <c r="O38" s="2283">
        <f t="shared" ref="O38:O69" si="36">R38+U38</f>
        <v>12388</v>
      </c>
      <c r="P38" s="2282">
        <v>5498</v>
      </c>
      <c r="Q38" s="589">
        <v>16303</v>
      </c>
      <c r="R38" s="589">
        <v>5914</v>
      </c>
      <c r="S38" s="2282">
        <v>5358</v>
      </c>
      <c r="T38" s="589">
        <v>16522</v>
      </c>
      <c r="U38" s="2283">
        <v>6474</v>
      </c>
      <c r="V38" s="1189">
        <f t="shared" si="27"/>
        <v>0.49430166402111686</v>
      </c>
      <c r="W38" s="1189">
        <f t="shared" si="28"/>
        <v>0.50569833597888314</v>
      </c>
      <c r="X38" s="1231">
        <f t="shared" si="29"/>
        <v>0.89552158947011717</v>
      </c>
      <c r="Y38" s="1189">
        <f t="shared" si="30"/>
        <v>8.0775473077814838E-2</v>
      </c>
      <c r="Z38" s="1189">
        <f t="shared" si="31"/>
        <v>4.7619896912732525E-3</v>
      </c>
      <c r="AA38" s="1189">
        <f t="shared" si="32"/>
        <v>5.1900337084663543E-3</v>
      </c>
      <c r="AB38" s="1233">
        <f t="shared" si="33"/>
        <v>1.3750914052328381E-2</v>
      </c>
      <c r="AC38" s="594">
        <f t="shared" ref="AC38:AC69" si="37">M38/E38</f>
        <v>0.19361857711034619</v>
      </c>
      <c r="AD38" s="595">
        <f t="shared" ref="AD38:AD69" si="38">N38/E38</f>
        <v>0.58543936934848129</v>
      </c>
      <c r="AE38" s="596">
        <f t="shared" ref="AE38:AE69" si="39">O38/E38</f>
        <v>0.2209420535411725</v>
      </c>
      <c r="AF38" s="588">
        <v>1577</v>
      </c>
      <c r="AG38" s="267">
        <f t="shared" ref="AG38:AG69" si="40">AF38/E38</f>
        <v>2.8126058963063368E-2</v>
      </c>
    </row>
    <row r="39" spans="1:33" x14ac:dyDescent="0.25">
      <c r="A39" s="265" t="s">
        <v>86</v>
      </c>
      <c r="B39" s="265" t="s">
        <v>87</v>
      </c>
      <c r="C39" s="265" t="s">
        <v>267</v>
      </c>
      <c r="D39" s="265">
        <v>2</v>
      </c>
      <c r="E39" s="588">
        <v>84421</v>
      </c>
      <c r="F39" s="2282">
        <v>42005</v>
      </c>
      <c r="G39" s="2283">
        <v>42416</v>
      </c>
      <c r="H39" s="589">
        <v>77085</v>
      </c>
      <c r="I39" s="589">
        <v>3697</v>
      </c>
      <c r="J39" s="589">
        <v>1424</v>
      </c>
      <c r="K39" s="589">
        <v>430</v>
      </c>
      <c r="L39" s="590">
        <v>1785</v>
      </c>
      <c r="M39" s="2282">
        <f t="shared" si="34"/>
        <v>19477</v>
      </c>
      <c r="N39" s="589">
        <f t="shared" si="35"/>
        <v>50987</v>
      </c>
      <c r="O39" s="2283">
        <f t="shared" si="36"/>
        <v>13957</v>
      </c>
      <c r="P39" s="2282">
        <v>10036</v>
      </c>
      <c r="Q39" s="589">
        <v>25535</v>
      </c>
      <c r="R39" s="589">
        <v>6434</v>
      </c>
      <c r="S39" s="2282">
        <v>9441</v>
      </c>
      <c r="T39" s="589">
        <v>25452</v>
      </c>
      <c r="U39" s="2283">
        <v>7523</v>
      </c>
      <c r="V39" s="1189">
        <f t="shared" si="27"/>
        <v>0.49756577154973286</v>
      </c>
      <c r="W39" s="1189">
        <f t="shared" si="28"/>
        <v>0.50243422845026708</v>
      </c>
      <c r="X39" s="1231">
        <f t="shared" si="29"/>
        <v>0.9131021902133355</v>
      </c>
      <c r="Y39" s="1189">
        <f t="shared" si="30"/>
        <v>4.3792421316970899E-2</v>
      </c>
      <c r="Z39" s="1189">
        <f t="shared" si="31"/>
        <v>1.6867840940050463E-2</v>
      </c>
      <c r="AA39" s="1189">
        <f t="shared" si="32"/>
        <v>5.0935193849871475E-3</v>
      </c>
      <c r="AB39" s="1233">
        <f t="shared" si="33"/>
        <v>2.1144028144655949E-2</v>
      </c>
      <c r="AC39" s="594">
        <f t="shared" si="37"/>
        <v>0.23071273735208064</v>
      </c>
      <c r="AD39" s="595">
        <f t="shared" si="38"/>
        <v>0.60396109972637135</v>
      </c>
      <c r="AE39" s="596">
        <f t="shared" si="39"/>
        <v>0.16532616292154795</v>
      </c>
      <c r="AF39" s="588">
        <v>6744</v>
      </c>
      <c r="AG39" s="267">
        <f t="shared" si="40"/>
        <v>7.9885336586868194E-2</v>
      </c>
    </row>
    <row r="40" spans="1:33" x14ac:dyDescent="0.25">
      <c r="A40" s="265" t="s">
        <v>92</v>
      </c>
      <c r="B40" s="265" t="s">
        <v>93</v>
      </c>
      <c r="C40" s="265" t="s">
        <v>268</v>
      </c>
      <c r="D40" s="265">
        <v>2</v>
      </c>
      <c r="E40" s="588">
        <v>16857</v>
      </c>
      <c r="F40" s="2282">
        <v>8272</v>
      </c>
      <c r="G40" s="2283">
        <v>8585</v>
      </c>
      <c r="H40" s="589">
        <v>16241</v>
      </c>
      <c r="I40" s="589">
        <v>260</v>
      </c>
      <c r="J40" s="589">
        <v>129</v>
      </c>
      <c r="K40" s="589">
        <v>43</v>
      </c>
      <c r="L40" s="590">
        <v>184</v>
      </c>
      <c r="M40" s="2282">
        <f t="shared" si="34"/>
        <v>3500</v>
      </c>
      <c r="N40" s="589">
        <f t="shared" si="35"/>
        <v>9874</v>
      </c>
      <c r="O40" s="2283">
        <f t="shared" si="36"/>
        <v>3483</v>
      </c>
      <c r="P40" s="2282">
        <v>1753</v>
      </c>
      <c r="Q40" s="589">
        <v>4934</v>
      </c>
      <c r="R40" s="589">
        <v>1585</v>
      </c>
      <c r="S40" s="2282">
        <v>1747</v>
      </c>
      <c r="T40" s="589">
        <v>4940</v>
      </c>
      <c r="U40" s="2283">
        <v>1898</v>
      </c>
      <c r="V40" s="1189">
        <f t="shared" si="27"/>
        <v>0.49071602301714423</v>
      </c>
      <c r="W40" s="1189">
        <f t="shared" si="28"/>
        <v>0.50928397698285577</v>
      </c>
      <c r="X40" s="1231">
        <f t="shared" si="29"/>
        <v>0.96345731743489349</v>
      </c>
      <c r="Y40" s="1189">
        <f t="shared" si="30"/>
        <v>1.5423859524233256E-2</v>
      </c>
      <c r="Z40" s="1189">
        <f t="shared" si="31"/>
        <v>7.6526072254849619E-3</v>
      </c>
      <c r="AA40" s="1189">
        <f t="shared" si="32"/>
        <v>2.5508690751616541E-3</v>
      </c>
      <c r="AB40" s="1233">
        <f t="shared" si="33"/>
        <v>1.0915346740226612E-2</v>
      </c>
      <c r="AC40" s="594">
        <f t="shared" si="37"/>
        <v>0.20762887821083229</v>
      </c>
      <c r="AD40" s="595">
        <f t="shared" si="38"/>
        <v>0.58575072670107375</v>
      </c>
      <c r="AE40" s="596">
        <f t="shared" si="39"/>
        <v>0.20662039508809396</v>
      </c>
      <c r="AF40" s="588">
        <v>290</v>
      </c>
      <c r="AG40" s="267">
        <f t="shared" si="40"/>
        <v>1.7203535623183247E-2</v>
      </c>
    </row>
    <row r="41" spans="1:33" x14ac:dyDescent="0.25">
      <c r="A41" s="265" t="s">
        <v>94</v>
      </c>
      <c r="B41" s="265" t="s">
        <v>95</v>
      </c>
      <c r="C41" s="265" t="s">
        <v>264</v>
      </c>
      <c r="D41" s="265">
        <v>2</v>
      </c>
      <c r="E41" s="588">
        <v>37214</v>
      </c>
      <c r="F41" s="2282">
        <v>18366</v>
      </c>
      <c r="G41" s="2283">
        <v>18848</v>
      </c>
      <c r="H41" s="589">
        <v>32706</v>
      </c>
      <c r="I41" s="589">
        <v>3002</v>
      </c>
      <c r="J41" s="589">
        <v>354</v>
      </c>
      <c r="K41" s="589">
        <v>212</v>
      </c>
      <c r="L41" s="590">
        <v>940</v>
      </c>
      <c r="M41" s="2282">
        <f t="shared" si="34"/>
        <v>7593</v>
      </c>
      <c r="N41" s="589">
        <f t="shared" si="35"/>
        <v>22795</v>
      </c>
      <c r="O41" s="2283">
        <f t="shared" si="36"/>
        <v>6826</v>
      </c>
      <c r="P41" s="2282">
        <v>3899</v>
      </c>
      <c r="Q41" s="589">
        <v>11325</v>
      </c>
      <c r="R41" s="589">
        <v>3142</v>
      </c>
      <c r="S41" s="2282">
        <v>3694</v>
      </c>
      <c r="T41" s="589">
        <v>11470</v>
      </c>
      <c r="U41" s="2283">
        <v>3684</v>
      </c>
      <c r="V41" s="1189">
        <f t="shared" si="27"/>
        <v>0.49352394260224647</v>
      </c>
      <c r="W41" s="1189">
        <f t="shared" si="28"/>
        <v>0.50647605739775359</v>
      </c>
      <c r="X41" s="1231">
        <f t="shared" si="29"/>
        <v>0.87886279357231145</v>
      </c>
      <c r="Y41" s="1189">
        <f t="shared" si="30"/>
        <v>8.0668565593593811E-2</v>
      </c>
      <c r="Z41" s="1189">
        <f t="shared" si="31"/>
        <v>9.5125490406836131E-3</v>
      </c>
      <c r="AA41" s="1189">
        <f t="shared" si="32"/>
        <v>5.6967807814263449E-3</v>
      </c>
      <c r="AB41" s="1233">
        <f t="shared" si="33"/>
        <v>2.5259311011984736E-2</v>
      </c>
      <c r="AC41" s="594">
        <f t="shared" si="37"/>
        <v>0.20403611544042566</v>
      </c>
      <c r="AD41" s="595">
        <f t="shared" si="38"/>
        <v>0.61253829204062982</v>
      </c>
      <c r="AE41" s="596">
        <f t="shared" si="39"/>
        <v>0.1834255925189445</v>
      </c>
      <c r="AF41" s="588">
        <v>1287</v>
      </c>
      <c r="AG41" s="267">
        <f t="shared" si="40"/>
        <v>3.458375880045144E-2</v>
      </c>
    </row>
    <row r="42" spans="1:33" x14ac:dyDescent="0.25">
      <c r="A42" s="265" t="s">
        <v>96</v>
      </c>
      <c r="B42" s="265" t="s">
        <v>97</v>
      </c>
      <c r="C42" s="265" t="s">
        <v>266</v>
      </c>
      <c r="D42" s="265">
        <v>1</v>
      </c>
      <c r="E42" s="588">
        <v>22668</v>
      </c>
      <c r="F42" s="2282">
        <v>11176</v>
      </c>
      <c r="G42" s="2283">
        <v>11492</v>
      </c>
      <c r="H42" s="589">
        <v>18099</v>
      </c>
      <c r="I42" s="589">
        <v>3805</v>
      </c>
      <c r="J42" s="589">
        <v>322</v>
      </c>
      <c r="K42" s="589">
        <v>75</v>
      </c>
      <c r="L42" s="590">
        <v>367</v>
      </c>
      <c r="M42" s="2282">
        <f t="shared" si="34"/>
        <v>4242</v>
      </c>
      <c r="N42" s="589">
        <f t="shared" si="35"/>
        <v>13721</v>
      </c>
      <c r="O42" s="2283">
        <f t="shared" si="36"/>
        <v>4705</v>
      </c>
      <c r="P42" s="2282">
        <v>2164</v>
      </c>
      <c r="Q42" s="589">
        <v>6753</v>
      </c>
      <c r="R42" s="589">
        <v>2259</v>
      </c>
      <c r="S42" s="2282">
        <v>2078</v>
      </c>
      <c r="T42" s="589">
        <v>6968</v>
      </c>
      <c r="U42" s="2283">
        <v>2446</v>
      </c>
      <c r="V42" s="1189">
        <f t="shared" si="27"/>
        <v>0.49302982177518967</v>
      </c>
      <c r="W42" s="1189">
        <f t="shared" si="28"/>
        <v>0.50697017822481028</v>
      </c>
      <c r="X42" s="1231">
        <f t="shared" si="29"/>
        <v>0.79843832715722607</v>
      </c>
      <c r="Y42" s="1189">
        <f t="shared" si="30"/>
        <v>0.16785777307217223</v>
      </c>
      <c r="Z42" s="1189">
        <f t="shared" si="31"/>
        <v>1.4205046761955178E-2</v>
      </c>
      <c r="AA42" s="1189">
        <f t="shared" si="32"/>
        <v>3.3086289041821069E-3</v>
      </c>
      <c r="AB42" s="1233">
        <f t="shared" si="33"/>
        <v>1.6190224104464444E-2</v>
      </c>
      <c r="AC42" s="594">
        <f t="shared" si="37"/>
        <v>0.18713605082053997</v>
      </c>
      <c r="AD42" s="595">
        <f t="shared" si="38"/>
        <v>0.60530262925710254</v>
      </c>
      <c r="AE42" s="596">
        <f t="shared" si="39"/>
        <v>0.20756131992235752</v>
      </c>
      <c r="AF42" s="588">
        <v>626</v>
      </c>
      <c r="AG42" s="267">
        <f t="shared" si="40"/>
        <v>2.7616022586906652E-2</v>
      </c>
    </row>
    <row r="43" spans="1:33" x14ac:dyDescent="0.25">
      <c r="A43" s="265" t="s">
        <v>98</v>
      </c>
      <c r="B43" s="265" t="s">
        <v>99</v>
      </c>
      <c r="C43" s="265" t="s">
        <v>268</v>
      </c>
      <c r="D43" s="265">
        <v>2</v>
      </c>
      <c r="E43" s="588">
        <v>15107</v>
      </c>
      <c r="F43" s="2282">
        <v>7432</v>
      </c>
      <c r="G43" s="2283">
        <v>7675</v>
      </c>
      <c r="H43" s="589">
        <v>14459</v>
      </c>
      <c r="I43" s="589">
        <v>388</v>
      </c>
      <c r="J43" s="589">
        <v>29</v>
      </c>
      <c r="K43" s="589">
        <v>43</v>
      </c>
      <c r="L43" s="590">
        <v>188</v>
      </c>
      <c r="M43" s="2282">
        <f t="shared" si="34"/>
        <v>2742</v>
      </c>
      <c r="N43" s="589">
        <f t="shared" si="35"/>
        <v>8682</v>
      </c>
      <c r="O43" s="2283">
        <f t="shared" si="36"/>
        <v>3683</v>
      </c>
      <c r="P43" s="2282">
        <v>1376</v>
      </c>
      <c r="Q43" s="589">
        <v>4381</v>
      </c>
      <c r="R43" s="589">
        <v>1675</v>
      </c>
      <c r="S43" s="2282">
        <v>1366</v>
      </c>
      <c r="T43" s="589">
        <v>4301</v>
      </c>
      <c r="U43" s="2283">
        <v>2008</v>
      </c>
      <c r="V43" s="1189">
        <f t="shared" si="27"/>
        <v>0.49195737075527901</v>
      </c>
      <c r="W43" s="1189">
        <f t="shared" si="28"/>
        <v>0.50804262924472099</v>
      </c>
      <c r="X43" s="1231">
        <f t="shared" si="29"/>
        <v>0.95710597736148806</v>
      </c>
      <c r="Y43" s="1189">
        <f t="shared" si="30"/>
        <v>2.5683457999602834E-2</v>
      </c>
      <c r="Z43" s="1189">
        <f t="shared" si="31"/>
        <v>1.9196399020321704E-3</v>
      </c>
      <c r="AA43" s="1189">
        <f t="shared" si="32"/>
        <v>2.8463626133580461E-3</v>
      </c>
      <c r="AB43" s="1233">
        <f t="shared" si="33"/>
        <v>1.2444562123518899E-2</v>
      </c>
      <c r="AC43" s="594">
        <f t="shared" si="37"/>
        <v>0.18150526246111073</v>
      </c>
      <c r="AD43" s="595">
        <f t="shared" si="38"/>
        <v>0.5747004699808036</v>
      </c>
      <c r="AE43" s="596">
        <f t="shared" si="39"/>
        <v>0.24379426755808564</v>
      </c>
      <c r="AF43" s="588">
        <v>478</v>
      </c>
      <c r="AG43" s="267">
        <f t="shared" si="40"/>
        <v>3.1640961143840601E-2</v>
      </c>
    </row>
    <row r="44" spans="1:33" x14ac:dyDescent="0.25">
      <c r="A44" s="265" t="s">
        <v>100</v>
      </c>
      <c r="B44" s="265" t="s">
        <v>101</v>
      </c>
      <c r="C44" s="265" t="s">
        <v>267</v>
      </c>
      <c r="D44" s="265">
        <v>1</v>
      </c>
      <c r="E44" s="588">
        <v>19371</v>
      </c>
      <c r="F44" s="2282">
        <v>9521</v>
      </c>
      <c r="G44" s="2283">
        <v>9850</v>
      </c>
      <c r="H44" s="589">
        <v>17162</v>
      </c>
      <c r="I44" s="589">
        <v>1309</v>
      </c>
      <c r="J44" s="589">
        <v>316</v>
      </c>
      <c r="K44" s="589">
        <v>87</v>
      </c>
      <c r="L44" s="590">
        <v>497</v>
      </c>
      <c r="M44" s="2282">
        <f t="shared" si="34"/>
        <v>4660</v>
      </c>
      <c r="N44" s="589">
        <f t="shared" si="35"/>
        <v>11477</v>
      </c>
      <c r="O44" s="2283">
        <f t="shared" si="36"/>
        <v>3234</v>
      </c>
      <c r="P44" s="2282">
        <v>2386</v>
      </c>
      <c r="Q44" s="589">
        <v>5662</v>
      </c>
      <c r="R44" s="589">
        <v>1473</v>
      </c>
      <c r="S44" s="2282">
        <v>2274</v>
      </c>
      <c r="T44" s="589">
        <v>5815</v>
      </c>
      <c r="U44" s="2283">
        <v>1761</v>
      </c>
      <c r="V44" s="1189">
        <f t="shared" si="27"/>
        <v>0.49150792421661244</v>
      </c>
      <c r="W44" s="1189">
        <f t="shared" si="28"/>
        <v>0.50849207578338751</v>
      </c>
      <c r="X44" s="1231">
        <f t="shared" si="29"/>
        <v>0.88596355376593883</v>
      </c>
      <c r="Y44" s="1189">
        <f t="shared" si="30"/>
        <v>6.757524134014764E-2</v>
      </c>
      <c r="Z44" s="1189">
        <f t="shared" si="31"/>
        <v>1.631304527386299E-2</v>
      </c>
      <c r="AA44" s="1189">
        <f t="shared" si="32"/>
        <v>4.4912498064116459E-3</v>
      </c>
      <c r="AB44" s="1233">
        <f t="shared" si="33"/>
        <v>2.5656909813638946E-2</v>
      </c>
      <c r="AC44" s="594">
        <f t="shared" si="37"/>
        <v>0.24056579422848587</v>
      </c>
      <c r="AD44" s="595">
        <f t="shared" si="38"/>
        <v>0.59248360951938461</v>
      </c>
      <c r="AE44" s="596">
        <f t="shared" si="39"/>
        <v>0.16695059625212946</v>
      </c>
      <c r="AF44" s="588">
        <v>1105</v>
      </c>
      <c r="AG44" s="267">
        <f t="shared" si="40"/>
        <v>5.7044034897527233E-2</v>
      </c>
    </row>
    <row r="45" spans="1:33" x14ac:dyDescent="0.25">
      <c r="A45" s="265" t="s">
        <v>102</v>
      </c>
      <c r="B45" s="265" t="s">
        <v>103</v>
      </c>
      <c r="C45" s="265" t="s">
        <v>264</v>
      </c>
      <c r="D45" s="265">
        <v>2</v>
      </c>
      <c r="E45" s="588">
        <v>17011</v>
      </c>
      <c r="F45" s="2282">
        <v>9666</v>
      </c>
      <c r="G45" s="2283">
        <v>7345</v>
      </c>
      <c r="H45" s="589">
        <v>6245</v>
      </c>
      <c r="I45" s="589">
        <v>10339</v>
      </c>
      <c r="J45" s="589">
        <v>154</v>
      </c>
      <c r="K45" s="589">
        <v>81</v>
      </c>
      <c r="L45" s="590">
        <v>192</v>
      </c>
      <c r="M45" s="2282">
        <f t="shared" si="34"/>
        <v>3220</v>
      </c>
      <c r="N45" s="589">
        <f t="shared" si="35"/>
        <v>11007</v>
      </c>
      <c r="O45" s="2283">
        <f t="shared" si="36"/>
        <v>2784</v>
      </c>
      <c r="P45" s="2282">
        <v>1652</v>
      </c>
      <c r="Q45" s="589">
        <v>6847</v>
      </c>
      <c r="R45" s="589">
        <v>1167</v>
      </c>
      <c r="S45" s="2282">
        <v>1568</v>
      </c>
      <c r="T45" s="589">
        <v>4160</v>
      </c>
      <c r="U45" s="2283">
        <v>1617</v>
      </c>
      <c r="V45" s="1189">
        <f t="shared" si="27"/>
        <v>0.56822056316501091</v>
      </c>
      <c r="W45" s="1189">
        <f t="shared" si="28"/>
        <v>0.43177943683498915</v>
      </c>
      <c r="X45" s="1231">
        <f t="shared" si="29"/>
        <v>0.36711539592028686</v>
      </c>
      <c r="Y45" s="1189">
        <f t="shared" si="30"/>
        <v>0.6077831991064605</v>
      </c>
      <c r="Z45" s="1189">
        <f t="shared" si="31"/>
        <v>9.0529657280583146E-3</v>
      </c>
      <c r="AA45" s="1189">
        <f t="shared" si="32"/>
        <v>4.7616248309917111E-3</v>
      </c>
      <c r="AB45" s="1233">
        <f t="shared" si="33"/>
        <v>1.1286814414202574E-2</v>
      </c>
      <c r="AC45" s="594">
        <f t="shared" si="37"/>
        <v>0.18928928340485568</v>
      </c>
      <c r="AD45" s="595">
        <f t="shared" si="38"/>
        <v>0.64705190758920694</v>
      </c>
      <c r="AE45" s="596">
        <f t="shared" si="39"/>
        <v>0.16365880900593732</v>
      </c>
      <c r="AF45" s="588">
        <v>571</v>
      </c>
      <c r="AG45" s="267">
        <f t="shared" si="40"/>
        <v>3.356651578390453E-2</v>
      </c>
    </row>
    <row r="46" spans="1:33" x14ac:dyDescent="0.25">
      <c r="A46" s="265" t="s">
        <v>104</v>
      </c>
      <c r="B46" s="265" t="s">
        <v>649</v>
      </c>
      <c r="C46" s="265" t="s">
        <v>265</v>
      </c>
      <c r="D46" s="265">
        <v>2</v>
      </c>
      <c r="E46" s="588">
        <v>34992</v>
      </c>
      <c r="F46" s="2282">
        <v>16776</v>
      </c>
      <c r="G46" s="2283">
        <v>18216</v>
      </c>
      <c r="H46" s="589">
        <v>21396</v>
      </c>
      <c r="I46" s="589">
        <v>12779</v>
      </c>
      <c r="J46" s="589">
        <v>211</v>
      </c>
      <c r="K46" s="589">
        <v>135</v>
      </c>
      <c r="L46" s="590">
        <v>471</v>
      </c>
      <c r="M46" s="2282">
        <f t="shared" si="34"/>
        <v>7179</v>
      </c>
      <c r="N46" s="589">
        <f t="shared" si="35"/>
        <v>19721</v>
      </c>
      <c r="O46" s="2283">
        <f t="shared" si="36"/>
        <v>8092</v>
      </c>
      <c r="P46" s="2282">
        <v>3664</v>
      </c>
      <c r="Q46" s="589">
        <v>9682</v>
      </c>
      <c r="R46" s="589">
        <v>3430</v>
      </c>
      <c r="S46" s="2282">
        <v>3515</v>
      </c>
      <c r="T46" s="589">
        <v>10039</v>
      </c>
      <c r="U46" s="2283">
        <v>4662</v>
      </c>
      <c r="V46" s="1189">
        <f t="shared" si="27"/>
        <v>0.47942386831275718</v>
      </c>
      <c r="W46" s="1189">
        <f t="shared" si="28"/>
        <v>0.52057613168724282</v>
      </c>
      <c r="X46" s="1231">
        <f t="shared" si="29"/>
        <v>0.61145404663923186</v>
      </c>
      <c r="Y46" s="1189">
        <f t="shared" si="30"/>
        <v>0.36519775948788297</v>
      </c>
      <c r="Z46" s="1189">
        <f t="shared" si="31"/>
        <v>6.0299497027892094E-3</v>
      </c>
      <c r="AA46" s="1189">
        <f t="shared" si="32"/>
        <v>3.8580246913580245E-3</v>
      </c>
      <c r="AB46" s="1233">
        <f t="shared" si="33"/>
        <v>1.3460219478737998E-2</v>
      </c>
      <c r="AC46" s="594">
        <f t="shared" si="37"/>
        <v>0.20516117969821673</v>
      </c>
      <c r="AD46" s="595">
        <f t="shared" si="38"/>
        <v>0.56358596250571558</v>
      </c>
      <c r="AE46" s="596">
        <f t="shared" si="39"/>
        <v>0.23125285779606766</v>
      </c>
      <c r="AF46" s="588">
        <v>716</v>
      </c>
      <c r="AG46" s="267">
        <f t="shared" si="40"/>
        <v>2.0461819844535895E-2</v>
      </c>
    </row>
    <row r="47" spans="1:33" x14ac:dyDescent="0.25">
      <c r="A47" s="265" t="s">
        <v>108</v>
      </c>
      <c r="B47" s="265" t="s">
        <v>109</v>
      </c>
      <c r="C47" s="265" t="s">
        <v>266</v>
      </c>
      <c r="D47" s="265">
        <v>2</v>
      </c>
      <c r="E47" s="588">
        <v>104392</v>
      </c>
      <c r="F47" s="2282">
        <v>51153</v>
      </c>
      <c r="G47" s="2283">
        <v>53239</v>
      </c>
      <c r="H47" s="589">
        <v>90522</v>
      </c>
      <c r="I47" s="589">
        <v>9748</v>
      </c>
      <c r="J47" s="589">
        <v>1698</v>
      </c>
      <c r="K47" s="589">
        <v>580</v>
      </c>
      <c r="L47" s="590">
        <v>1844</v>
      </c>
      <c r="M47" s="2282">
        <f t="shared" si="34"/>
        <v>23244</v>
      </c>
      <c r="N47" s="589">
        <f t="shared" si="35"/>
        <v>63678</v>
      </c>
      <c r="O47" s="2283">
        <f t="shared" si="36"/>
        <v>17470</v>
      </c>
      <c r="P47" s="2282">
        <v>12052</v>
      </c>
      <c r="Q47" s="589">
        <v>31208</v>
      </c>
      <c r="R47" s="589">
        <v>7893</v>
      </c>
      <c r="S47" s="2282">
        <v>11192</v>
      </c>
      <c r="T47" s="589">
        <v>32470</v>
      </c>
      <c r="U47" s="2283">
        <v>9577</v>
      </c>
      <c r="V47" s="1189">
        <f t="shared" si="27"/>
        <v>0.49000881293585713</v>
      </c>
      <c r="W47" s="1189">
        <f t="shared" si="28"/>
        <v>0.50999118706414281</v>
      </c>
      <c r="X47" s="1231">
        <f t="shared" si="29"/>
        <v>0.86713541267530081</v>
      </c>
      <c r="Y47" s="1189">
        <f t="shared" si="30"/>
        <v>9.3378802973407921E-2</v>
      </c>
      <c r="Z47" s="1189">
        <f t="shared" si="31"/>
        <v>1.626561422331213E-2</v>
      </c>
      <c r="AA47" s="1189">
        <f t="shared" si="32"/>
        <v>5.5559813012491382E-3</v>
      </c>
      <c r="AB47" s="1233">
        <f t="shared" si="33"/>
        <v>1.7664188826730019E-2</v>
      </c>
      <c r="AC47" s="594">
        <f t="shared" si="37"/>
        <v>0.22266074028661201</v>
      </c>
      <c r="AD47" s="595">
        <f t="shared" si="38"/>
        <v>0.60998927120852175</v>
      </c>
      <c r="AE47" s="596">
        <f t="shared" si="39"/>
        <v>0.16734998850486626</v>
      </c>
      <c r="AF47" s="588">
        <v>3011</v>
      </c>
      <c r="AG47" s="267">
        <f t="shared" si="40"/>
        <v>2.8843206375967507E-2</v>
      </c>
    </row>
    <row r="48" spans="1:33" x14ac:dyDescent="0.25">
      <c r="A48" s="265" t="s">
        <v>110</v>
      </c>
      <c r="B48" s="265" t="s">
        <v>111</v>
      </c>
      <c r="C48" s="265" t="s">
        <v>266</v>
      </c>
      <c r="D48" s="265">
        <v>3</v>
      </c>
      <c r="E48" s="588">
        <v>326501</v>
      </c>
      <c r="F48" s="2282">
        <v>154327</v>
      </c>
      <c r="G48" s="2283">
        <v>172174</v>
      </c>
      <c r="H48" s="589">
        <v>190376</v>
      </c>
      <c r="I48" s="589">
        <v>99364</v>
      </c>
      <c r="J48" s="589">
        <v>27832</v>
      </c>
      <c r="K48" s="589">
        <v>1325</v>
      </c>
      <c r="L48" s="590">
        <v>7604</v>
      </c>
      <c r="M48" s="2282">
        <f t="shared" si="34"/>
        <v>75676</v>
      </c>
      <c r="N48" s="589">
        <f t="shared" si="35"/>
        <v>203124</v>
      </c>
      <c r="O48" s="2283">
        <f t="shared" si="36"/>
        <v>47701</v>
      </c>
      <c r="P48" s="2282">
        <v>38735</v>
      </c>
      <c r="Q48" s="589">
        <v>96370</v>
      </c>
      <c r="R48" s="589">
        <v>19222</v>
      </c>
      <c r="S48" s="2282">
        <v>36941</v>
      </c>
      <c r="T48" s="589">
        <v>106754</v>
      </c>
      <c r="U48" s="2283">
        <v>28479</v>
      </c>
      <c r="V48" s="1189">
        <f t="shared" si="27"/>
        <v>0.47266930269738838</v>
      </c>
      <c r="W48" s="1189">
        <f t="shared" si="28"/>
        <v>0.52733069730261162</v>
      </c>
      <c r="X48" s="1231">
        <f t="shared" si="29"/>
        <v>0.58307937801109333</v>
      </c>
      <c r="Y48" s="1189">
        <f t="shared" si="30"/>
        <v>0.30432984891317333</v>
      </c>
      <c r="Z48" s="1189">
        <f t="shared" si="31"/>
        <v>8.5243230495465561E-2</v>
      </c>
      <c r="AA48" s="1189">
        <f t="shared" si="32"/>
        <v>4.0581805262464741E-3</v>
      </c>
      <c r="AB48" s="1233">
        <f t="shared" si="33"/>
        <v>2.3289362054021275E-2</v>
      </c>
      <c r="AC48" s="594">
        <f t="shared" si="37"/>
        <v>0.23177876943715334</v>
      </c>
      <c r="AD48" s="595">
        <f t="shared" si="38"/>
        <v>0.62212366884021797</v>
      </c>
      <c r="AE48" s="596">
        <f t="shared" si="39"/>
        <v>0.14609756172262872</v>
      </c>
      <c r="AF48" s="588">
        <v>17352</v>
      </c>
      <c r="AG48" s="267">
        <f t="shared" si="40"/>
        <v>5.3145319616172693E-2</v>
      </c>
    </row>
    <row r="49" spans="1:33" x14ac:dyDescent="0.25">
      <c r="A49" s="265" t="s">
        <v>112</v>
      </c>
      <c r="B49" s="265" t="s">
        <v>113</v>
      </c>
      <c r="C49" s="265" t="s">
        <v>265</v>
      </c>
      <c r="D49" s="265">
        <v>3</v>
      </c>
      <c r="E49" s="588">
        <v>64890</v>
      </c>
      <c r="F49" s="2282">
        <v>30989</v>
      </c>
      <c r="G49" s="2283">
        <v>33901</v>
      </c>
      <c r="H49" s="589">
        <v>45205</v>
      </c>
      <c r="I49" s="589">
        <v>17699</v>
      </c>
      <c r="J49" s="589">
        <v>470</v>
      </c>
      <c r="K49" s="589">
        <v>260</v>
      </c>
      <c r="L49" s="590">
        <v>1256</v>
      </c>
      <c r="M49" s="2282">
        <f t="shared" si="34"/>
        <v>13366</v>
      </c>
      <c r="N49" s="589">
        <f t="shared" si="35"/>
        <v>37081</v>
      </c>
      <c r="O49" s="2283">
        <f t="shared" si="36"/>
        <v>14443</v>
      </c>
      <c r="P49" s="2282">
        <v>6893</v>
      </c>
      <c r="Q49" s="589">
        <v>17957</v>
      </c>
      <c r="R49" s="589">
        <v>6139</v>
      </c>
      <c r="S49" s="2282">
        <v>6473</v>
      </c>
      <c r="T49" s="589">
        <v>19124</v>
      </c>
      <c r="U49" s="2283">
        <v>8304</v>
      </c>
      <c r="V49" s="1189">
        <f t="shared" si="27"/>
        <v>0.47756202804746495</v>
      </c>
      <c r="W49" s="1189">
        <f t="shared" si="28"/>
        <v>0.52243797195253505</v>
      </c>
      <c r="X49" s="1231">
        <f t="shared" si="29"/>
        <v>0.69664046848512873</v>
      </c>
      <c r="Y49" s="1189">
        <f t="shared" si="30"/>
        <v>0.27275389120049315</v>
      </c>
      <c r="Z49" s="1189">
        <f t="shared" si="31"/>
        <v>7.2430266605023885E-3</v>
      </c>
      <c r="AA49" s="1189">
        <f t="shared" si="32"/>
        <v>4.0067807058098322E-3</v>
      </c>
      <c r="AB49" s="1233">
        <f t="shared" si="33"/>
        <v>1.9355832948065959E-2</v>
      </c>
      <c r="AC49" s="594">
        <f t="shared" si="37"/>
        <v>0.20597934966867007</v>
      </c>
      <c r="AD49" s="595">
        <f t="shared" si="38"/>
        <v>0.57144398212359382</v>
      </c>
      <c r="AE49" s="596">
        <f t="shared" si="39"/>
        <v>0.22257666820773617</v>
      </c>
      <c r="AF49" s="588">
        <v>3482</v>
      </c>
      <c r="AG49" s="267">
        <f t="shared" si="40"/>
        <v>5.3660040067807058E-2</v>
      </c>
    </row>
    <row r="50" spans="1:33" x14ac:dyDescent="0.25">
      <c r="A50" s="265" t="s">
        <v>114</v>
      </c>
      <c r="B50" s="265" t="s">
        <v>115</v>
      </c>
      <c r="C50" s="265" t="s">
        <v>265</v>
      </c>
      <c r="D50" s="265">
        <v>1</v>
      </c>
      <c r="E50" s="588">
        <v>2216</v>
      </c>
      <c r="F50" s="2282">
        <v>1115</v>
      </c>
      <c r="G50" s="2283">
        <v>1101</v>
      </c>
      <c r="H50" s="589">
        <v>2171</v>
      </c>
      <c r="I50" s="589">
        <v>22</v>
      </c>
      <c r="J50" s="589">
        <v>10</v>
      </c>
      <c r="K50" s="589">
        <v>7</v>
      </c>
      <c r="L50" s="590">
        <v>6</v>
      </c>
      <c r="M50" s="2282">
        <f t="shared" si="34"/>
        <v>305</v>
      </c>
      <c r="N50" s="589">
        <f t="shared" si="35"/>
        <v>1220</v>
      </c>
      <c r="O50" s="2283">
        <f t="shared" si="36"/>
        <v>691</v>
      </c>
      <c r="P50" s="2282">
        <v>146</v>
      </c>
      <c r="Q50" s="589">
        <v>639</v>
      </c>
      <c r="R50" s="589">
        <v>330</v>
      </c>
      <c r="S50" s="2282">
        <v>159</v>
      </c>
      <c r="T50" s="589">
        <v>581</v>
      </c>
      <c r="U50" s="2283">
        <v>361</v>
      </c>
      <c r="V50" s="1189">
        <f t="shared" si="27"/>
        <v>0.50315884476534301</v>
      </c>
      <c r="W50" s="1189">
        <f t="shared" si="28"/>
        <v>0.49684115523465705</v>
      </c>
      <c r="X50" s="1231">
        <f t="shared" si="29"/>
        <v>0.97969314079422387</v>
      </c>
      <c r="Y50" s="1189">
        <f t="shared" si="30"/>
        <v>9.9277978339350186E-3</v>
      </c>
      <c r="Z50" s="1189">
        <f t="shared" si="31"/>
        <v>4.5126353790613718E-3</v>
      </c>
      <c r="AA50" s="1189">
        <f t="shared" si="32"/>
        <v>3.1588447653429601E-3</v>
      </c>
      <c r="AB50" s="1233">
        <f t="shared" si="33"/>
        <v>2.707581227436823E-3</v>
      </c>
      <c r="AC50" s="594">
        <f t="shared" si="37"/>
        <v>0.13763537906137185</v>
      </c>
      <c r="AD50" s="595">
        <f t="shared" si="38"/>
        <v>0.55054151624548742</v>
      </c>
      <c r="AE50" s="596">
        <f t="shared" si="39"/>
        <v>0.31182310469314078</v>
      </c>
      <c r="AF50" s="588">
        <v>35</v>
      </c>
      <c r="AG50" s="267">
        <f t="shared" si="40"/>
        <v>1.57942238267148E-2</v>
      </c>
    </row>
    <row r="51" spans="1:33" x14ac:dyDescent="0.25">
      <c r="A51" s="265" t="s">
        <v>118</v>
      </c>
      <c r="B51" s="265" t="s">
        <v>119</v>
      </c>
      <c r="C51" s="265" t="s">
        <v>264</v>
      </c>
      <c r="D51" s="265">
        <v>2</v>
      </c>
      <c r="E51" s="588">
        <v>36596</v>
      </c>
      <c r="F51" s="2282">
        <v>17887</v>
      </c>
      <c r="G51" s="2283">
        <v>18709</v>
      </c>
      <c r="H51" s="589">
        <v>26799</v>
      </c>
      <c r="I51" s="589">
        <v>8459</v>
      </c>
      <c r="J51" s="589">
        <v>385</v>
      </c>
      <c r="K51" s="589">
        <v>166</v>
      </c>
      <c r="L51" s="590">
        <v>787</v>
      </c>
      <c r="M51" s="2282">
        <f t="shared" si="34"/>
        <v>7704</v>
      </c>
      <c r="N51" s="589">
        <f t="shared" si="35"/>
        <v>22195</v>
      </c>
      <c r="O51" s="2283">
        <f t="shared" si="36"/>
        <v>6697</v>
      </c>
      <c r="P51" s="2282">
        <v>3922</v>
      </c>
      <c r="Q51" s="589">
        <v>10980</v>
      </c>
      <c r="R51" s="589">
        <v>2985</v>
      </c>
      <c r="S51" s="2282">
        <v>3782</v>
      </c>
      <c r="T51" s="589">
        <v>11215</v>
      </c>
      <c r="U51" s="2283">
        <v>3712</v>
      </c>
      <c r="V51" s="1189">
        <f t="shared" si="27"/>
        <v>0.48876926440048091</v>
      </c>
      <c r="W51" s="1189">
        <f t="shared" si="28"/>
        <v>0.51123073559951904</v>
      </c>
      <c r="X51" s="1231">
        <f t="shared" si="29"/>
        <v>0.73229314679199908</v>
      </c>
      <c r="Y51" s="1189">
        <f t="shared" si="30"/>
        <v>0.23114548038036944</v>
      </c>
      <c r="Z51" s="1189">
        <f t="shared" si="31"/>
        <v>1.0520275439938791E-2</v>
      </c>
      <c r="AA51" s="1189">
        <f t="shared" si="32"/>
        <v>4.5360148650125699E-3</v>
      </c>
      <c r="AB51" s="1233">
        <f t="shared" si="33"/>
        <v>2.1505082522680075E-2</v>
      </c>
      <c r="AC51" s="594">
        <f t="shared" si="37"/>
        <v>0.21051481036178818</v>
      </c>
      <c r="AD51" s="595">
        <f t="shared" si="38"/>
        <v>0.60648704776478302</v>
      </c>
      <c r="AE51" s="596">
        <f t="shared" si="39"/>
        <v>0.18299814187342878</v>
      </c>
      <c r="AF51" s="588">
        <v>1076</v>
      </c>
      <c r="AG51" s="267">
        <f t="shared" si="40"/>
        <v>2.9402120450322439E-2</v>
      </c>
    </row>
    <row r="52" spans="1:33" x14ac:dyDescent="0.25">
      <c r="A52" s="265" t="s">
        <v>120</v>
      </c>
      <c r="B52" s="265" t="s">
        <v>121</v>
      </c>
      <c r="C52" s="265" t="s">
        <v>264</v>
      </c>
      <c r="D52" s="265">
        <v>2</v>
      </c>
      <c r="E52" s="588">
        <v>74404</v>
      </c>
      <c r="F52" s="2282">
        <v>35867</v>
      </c>
      <c r="G52" s="2283">
        <v>38537</v>
      </c>
      <c r="H52" s="589">
        <v>59835</v>
      </c>
      <c r="I52" s="589">
        <v>10106</v>
      </c>
      <c r="J52" s="589">
        <v>2092</v>
      </c>
      <c r="K52" s="589">
        <v>357</v>
      </c>
      <c r="L52" s="590">
        <v>2014</v>
      </c>
      <c r="M52" s="2282">
        <f t="shared" si="34"/>
        <v>15041</v>
      </c>
      <c r="N52" s="589">
        <f t="shared" si="35"/>
        <v>41260</v>
      </c>
      <c r="O52" s="2283">
        <f t="shared" si="36"/>
        <v>18103</v>
      </c>
      <c r="P52" s="2282">
        <v>7593</v>
      </c>
      <c r="Q52" s="589">
        <v>20029</v>
      </c>
      <c r="R52" s="589">
        <v>8245</v>
      </c>
      <c r="S52" s="2282">
        <v>7448</v>
      </c>
      <c r="T52" s="589">
        <v>21231</v>
      </c>
      <c r="U52" s="2283">
        <v>9858</v>
      </c>
      <c r="V52" s="1189">
        <f t="shared" si="27"/>
        <v>0.48205741626794257</v>
      </c>
      <c r="W52" s="1189">
        <f t="shared" si="28"/>
        <v>0.51794258373205737</v>
      </c>
      <c r="X52" s="1231">
        <f t="shared" si="29"/>
        <v>0.80419063491210152</v>
      </c>
      <c r="Y52" s="1189">
        <f t="shared" si="30"/>
        <v>0.13582603085855599</v>
      </c>
      <c r="Z52" s="1189">
        <f t="shared" si="31"/>
        <v>2.8116767915703458E-2</v>
      </c>
      <c r="AA52" s="1189">
        <f t="shared" si="32"/>
        <v>4.7981291328423204E-3</v>
      </c>
      <c r="AB52" s="1233">
        <f t="shared" si="33"/>
        <v>2.7068437180796732E-2</v>
      </c>
      <c r="AC52" s="594">
        <f t="shared" si="37"/>
        <v>0.20215311004784689</v>
      </c>
      <c r="AD52" s="595">
        <f t="shared" si="38"/>
        <v>0.55454007849040376</v>
      </c>
      <c r="AE52" s="596">
        <f t="shared" si="39"/>
        <v>0.24330681146174937</v>
      </c>
      <c r="AF52" s="588">
        <v>4023</v>
      </c>
      <c r="AG52" s="267">
        <f t="shared" si="40"/>
        <v>5.406967367345842E-2</v>
      </c>
    </row>
    <row r="53" spans="1:33" x14ac:dyDescent="0.25">
      <c r="A53" s="265" t="s">
        <v>122</v>
      </c>
      <c r="B53" s="265" t="s">
        <v>271</v>
      </c>
      <c r="C53" s="265" t="s">
        <v>266</v>
      </c>
      <c r="D53" s="265">
        <v>1</v>
      </c>
      <c r="E53" s="588">
        <v>7159</v>
      </c>
      <c r="F53" s="2282">
        <v>3616</v>
      </c>
      <c r="G53" s="2283">
        <v>3543</v>
      </c>
      <c r="H53" s="589">
        <v>4856</v>
      </c>
      <c r="I53" s="589">
        <v>1956</v>
      </c>
      <c r="J53" s="589">
        <v>35</v>
      </c>
      <c r="K53" s="589">
        <v>129</v>
      </c>
      <c r="L53" s="590">
        <v>183</v>
      </c>
      <c r="M53" s="2282">
        <f t="shared" si="34"/>
        <v>1327</v>
      </c>
      <c r="N53" s="589">
        <f t="shared" si="35"/>
        <v>4250</v>
      </c>
      <c r="O53" s="2283">
        <f t="shared" si="36"/>
        <v>1582</v>
      </c>
      <c r="P53" s="2282">
        <v>700</v>
      </c>
      <c r="Q53" s="589">
        <v>2185</v>
      </c>
      <c r="R53" s="589">
        <v>731</v>
      </c>
      <c r="S53" s="2282">
        <v>627</v>
      </c>
      <c r="T53" s="589">
        <v>2065</v>
      </c>
      <c r="U53" s="2283">
        <v>851</v>
      </c>
      <c r="V53" s="1189">
        <f t="shared" si="27"/>
        <v>0.50509847744098335</v>
      </c>
      <c r="W53" s="1189">
        <f t="shared" si="28"/>
        <v>0.49490152255901665</v>
      </c>
      <c r="X53" s="1231">
        <f t="shared" si="29"/>
        <v>0.67830702612096661</v>
      </c>
      <c r="Y53" s="1189">
        <f t="shared" si="30"/>
        <v>0.27322251711132839</v>
      </c>
      <c r="Z53" s="1189">
        <f t="shared" si="31"/>
        <v>4.8889509708059786E-3</v>
      </c>
      <c r="AA53" s="1189">
        <f t="shared" si="32"/>
        <v>1.8019276435256321E-2</v>
      </c>
      <c r="AB53" s="1233">
        <f t="shared" si="33"/>
        <v>2.5562229361642687E-2</v>
      </c>
      <c r="AC53" s="594">
        <f t="shared" si="37"/>
        <v>0.18536108395027237</v>
      </c>
      <c r="AD53" s="595">
        <f t="shared" si="38"/>
        <v>0.59365833216929742</v>
      </c>
      <c r="AE53" s="596">
        <f t="shared" si="39"/>
        <v>0.22098058388043024</v>
      </c>
      <c r="AF53" s="588">
        <v>210</v>
      </c>
      <c r="AG53" s="267">
        <f t="shared" si="40"/>
        <v>2.9333705824835871E-2</v>
      </c>
    </row>
    <row r="54" spans="1:33" x14ac:dyDescent="0.25">
      <c r="A54" s="265" t="s">
        <v>124</v>
      </c>
      <c r="B54" s="265" t="s">
        <v>125</v>
      </c>
      <c r="C54" s="265" t="s">
        <v>267</v>
      </c>
      <c r="D54" s="265">
        <v>1</v>
      </c>
      <c r="E54" s="588">
        <v>25984</v>
      </c>
      <c r="F54" s="2282">
        <v>13128</v>
      </c>
      <c r="G54" s="2283">
        <v>12856</v>
      </c>
      <c r="H54" s="589">
        <v>20184</v>
      </c>
      <c r="I54" s="589">
        <v>4301</v>
      </c>
      <c r="J54" s="589">
        <v>385</v>
      </c>
      <c r="K54" s="589">
        <v>192</v>
      </c>
      <c r="L54" s="590">
        <v>922</v>
      </c>
      <c r="M54" s="2282">
        <f t="shared" si="34"/>
        <v>6605</v>
      </c>
      <c r="N54" s="589">
        <f t="shared" si="35"/>
        <v>16080</v>
      </c>
      <c r="O54" s="2283">
        <f t="shared" si="36"/>
        <v>3299</v>
      </c>
      <c r="P54" s="2282">
        <v>3365</v>
      </c>
      <c r="Q54" s="589">
        <v>8205</v>
      </c>
      <c r="R54" s="589">
        <v>1558</v>
      </c>
      <c r="S54" s="2282">
        <v>3240</v>
      </c>
      <c r="T54" s="589">
        <v>7875</v>
      </c>
      <c r="U54" s="2283">
        <v>1741</v>
      </c>
      <c r="V54" s="1189">
        <f t="shared" si="27"/>
        <v>0.50523399014778325</v>
      </c>
      <c r="W54" s="1189">
        <f t="shared" si="28"/>
        <v>0.49476600985221675</v>
      </c>
      <c r="X54" s="1231">
        <f t="shared" si="29"/>
        <v>0.7767857142857143</v>
      </c>
      <c r="Y54" s="1189">
        <f t="shared" si="30"/>
        <v>0.16552493842364532</v>
      </c>
      <c r="Z54" s="1189">
        <f t="shared" si="31"/>
        <v>1.4816810344827586E-2</v>
      </c>
      <c r="AA54" s="1189">
        <f t="shared" si="32"/>
        <v>7.3891625615763543E-3</v>
      </c>
      <c r="AB54" s="1233">
        <f t="shared" si="33"/>
        <v>3.5483374384236453E-2</v>
      </c>
      <c r="AC54" s="594">
        <f t="shared" si="37"/>
        <v>0.25419488916256155</v>
      </c>
      <c r="AD54" s="595">
        <f t="shared" si="38"/>
        <v>0.61884236453201968</v>
      </c>
      <c r="AE54" s="596">
        <f t="shared" si="39"/>
        <v>0.12696274630541871</v>
      </c>
      <c r="AF54" s="588">
        <v>1267</v>
      </c>
      <c r="AG54" s="267">
        <f t="shared" si="40"/>
        <v>4.8760775862068964E-2</v>
      </c>
    </row>
    <row r="55" spans="1:33" x14ac:dyDescent="0.25">
      <c r="A55" s="265" t="s">
        <v>126</v>
      </c>
      <c r="B55" s="265" t="s">
        <v>127</v>
      </c>
      <c r="C55" s="265" t="s">
        <v>266</v>
      </c>
      <c r="D55" s="265">
        <v>1</v>
      </c>
      <c r="E55" s="588">
        <v>16334</v>
      </c>
      <c r="F55" s="2282">
        <v>7984</v>
      </c>
      <c r="G55" s="2283">
        <v>8350</v>
      </c>
      <c r="H55" s="589">
        <v>12818</v>
      </c>
      <c r="I55" s="589">
        <v>2764</v>
      </c>
      <c r="J55" s="589">
        <v>149</v>
      </c>
      <c r="K55" s="589">
        <v>248</v>
      </c>
      <c r="L55" s="590">
        <v>355</v>
      </c>
      <c r="M55" s="2282">
        <f t="shared" si="34"/>
        <v>3779</v>
      </c>
      <c r="N55" s="589">
        <f t="shared" si="35"/>
        <v>10034</v>
      </c>
      <c r="O55" s="2283">
        <f t="shared" si="36"/>
        <v>2521</v>
      </c>
      <c r="P55" s="2282">
        <v>1948</v>
      </c>
      <c r="Q55" s="589">
        <v>4895</v>
      </c>
      <c r="R55" s="589">
        <v>1141</v>
      </c>
      <c r="S55" s="2282">
        <v>1831</v>
      </c>
      <c r="T55" s="589">
        <v>5139</v>
      </c>
      <c r="U55" s="2283">
        <v>1380</v>
      </c>
      <c r="V55" s="1189">
        <f t="shared" si="27"/>
        <v>0.48879637565813638</v>
      </c>
      <c r="W55" s="1189">
        <f t="shared" si="28"/>
        <v>0.51120362434186362</v>
      </c>
      <c r="X55" s="1231">
        <f t="shared" si="29"/>
        <v>0.784743479857965</v>
      </c>
      <c r="Y55" s="1189">
        <f t="shared" si="30"/>
        <v>0.16921758295579772</v>
      </c>
      <c r="Z55" s="1189">
        <f t="shared" si="31"/>
        <v>9.1220766499326561E-3</v>
      </c>
      <c r="AA55" s="1189">
        <f t="shared" si="32"/>
        <v>1.5183053752908045E-2</v>
      </c>
      <c r="AB55" s="1233">
        <f t="shared" si="33"/>
        <v>2.1733806783396595E-2</v>
      </c>
      <c r="AC55" s="594">
        <f t="shared" si="37"/>
        <v>0.23135790375903023</v>
      </c>
      <c r="AD55" s="595">
        <f t="shared" si="38"/>
        <v>0.61430145708338435</v>
      </c>
      <c r="AE55" s="596">
        <f t="shared" si="39"/>
        <v>0.15434063915758539</v>
      </c>
      <c r="AF55" s="588">
        <v>412</v>
      </c>
      <c r="AG55" s="267">
        <f t="shared" si="40"/>
        <v>2.5223460266927882E-2</v>
      </c>
    </row>
    <row r="56" spans="1:33" x14ac:dyDescent="0.25">
      <c r="A56" s="265" t="s">
        <v>128</v>
      </c>
      <c r="B56" s="265" t="s">
        <v>129</v>
      </c>
      <c r="C56" s="265" t="s">
        <v>266</v>
      </c>
      <c r="D56" s="265">
        <v>1</v>
      </c>
      <c r="E56" s="588">
        <v>10972</v>
      </c>
      <c r="F56" s="2282">
        <v>5171</v>
      </c>
      <c r="G56" s="2283">
        <v>5801</v>
      </c>
      <c r="H56" s="589">
        <v>7663</v>
      </c>
      <c r="I56" s="589">
        <v>3041</v>
      </c>
      <c r="J56" s="589">
        <v>87</v>
      </c>
      <c r="K56" s="589">
        <v>31</v>
      </c>
      <c r="L56" s="590">
        <v>150</v>
      </c>
      <c r="M56" s="2282">
        <f t="shared" si="34"/>
        <v>1648</v>
      </c>
      <c r="N56" s="589">
        <f t="shared" si="35"/>
        <v>5308</v>
      </c>
      <c r="O56" s="2283">
        <f t="shared" si="36"/>
        <v>4016</v>
      </c>
      <c r="P56" s="2282">
        <v>855</v>
      </c>
      <c r="Q56" s="589">
        <v>2512</v>
      </c>
      <c r="R56" s="589">
        <v>1804</v>
      </c>
      <c r="S56" s="2282">
        <v>793</v>
      </c>
      <c r="T56" s="589">
        <v>2796</v>
      </c>
      <c r="U56" s="2283">
        <v>2212</v>
      </c>
      <c r="V56" s="1189">
        <f t="shared" si="27"/>
        <v>0.4712905577834488</v>
      </c>
      <c r="W56" s="1189">
        <f t="shared" si="28"/>
        <v>0.52870944221655125</v>
      </c>
      <c r="X56" s="1231">
        <f t="shared" si="29"/>
        <v>0.6984141450966096</v>
      </c>
      <c r="Y56" s="1189">
        <f t="shared" si="30"/>
        <v>0.27716004374772146</v>
      </c>
      <c r="Z56" s="1189">
        <f t="shared" si="31"/>
        <v>7.9292745169522415E-3</v>
      </c>
      <c r="AA56" s="1189">
        <f t="shared" si="32"/>
        <v>2.8253736784542472E-3</v>
      </c>
      <c r="AB56" s="1233">
        <f t="shared" si="33"/>
        <v>1.3671162960262486E-2</v>
      </c>
      <c r="AC56" s="594">
        <f t="shared" si="37"/>
        <v>0.15020051039008386</v>
      </c>
      <c r="AD56" s="595">
        <f t="shared" si="38"/>
        <v>0.48377688662048851</v>
      </c>
      <c r="AE56" s="596">
        <f t="shared" si="39"/>
        <v>0.36602260298942763</v>
      </c>
      <c r="AF56" s="588">
        <v>207</v>
      </c>
      <c r="AG56" s="267">
        <f t="shared" si="40"/>
        <v>1.8866204885162233E-2</v>
      </c>
    </row>
    <row r="57" spans="1:33" x14ac:dyDescent="0.25">
      <c r="A57" s="265" t="s">
        <v>130</v>
      </c>
      <c r="B57" s="265" t="s">
        <v>131</v>
      </c>
      <c r="C57" s="265" t="s">
        <v>268</v>
      </c>
      <c r="D57" s="265">
        <v>2</v>
      </c>
      <c r="E57" s="588">
        <v>24179</v>
      </c>
      <c r="F57" s="2282">
        <v>12585</v>
      </c>
      <c r="G57" s="2283">
        <v>11594</v>
      </c>
      <c r="H57" s="589">
        <v>22802</v>
      </c>
      <c r="I57" s="589">
        <v>960</v>
      </c>
      <c r="J57" s="589">
        <v>69</v>
      </c>
      <c r="K57" s="589">
        <v>115</v>
      </c>
      <c r="L57" s="590">
        <v>233</v>
      </c>
      <c r="M57" s="2282">
        <f t="shared" si="34"/>
        <v>4534</v>
      </c>
      <c r="N57" s="589">
        <f t="shared" si="35"/>
        <v>14817</v>
      </c>
      <c r="O57" s="2283">
        <f t="shared" si="36"/>
        <v>4828</v>
      </c>
      <c r="P57" s="2282">
        <v>2323</v>
      </c>
      <c r="Q57" s="589">
        <v>8048</v>
      </c>
      <c r="R57" s="589">
        <v>2214</v>
      </c>
      <c r="S57" s="2282">
        <v>2211</v>
      </c>
      <c r="T57" s="589">
        <v>6769</v>
      </c>
      <c r="U57" s="2283">
        <v>2614</v>
      </c>
      <c r="V57" s="1189">
        <f t="shared" si="27"/>
        <v>0.52049298978452374</v>
      </c>
      <c r="W57" s="1189">
        <f t="shared" si="28"/>
        <v>0.47950701021547626</v>
      </c>
      <c r="X57" s="1231">
        <f t="shared" si="29"/>
        <v>0.94304975391868973</v>
      </c>
      <c r="Y57" s="1189">
        <f t="shared" si="30"/>
        <v>3.9703875263658546E-2</v>
      </c>
      <c r="Z57" s="1189">
        <f t="shared" si="31"/>
        <v>2.853716034575458E-3</v>
      </c>
      <c r="AA57" s="1189">
        <f t="shared" si="32"/>
        <v>4.7561933909590964E-3</v>
      </c>
      <c r="AB57" s="1233">
        <f t="shared" si="33"/>
        <v>9.6364613921171259E-3</v>
      </c>
      <c r="AC57" s="594">
        <f t="shared" si="37"/>
        <v>0.18751809421398735</v>
      </c>
      <c r="AD57" s="595">
        <f t="shared" si="38"/>
        <v>0.61280449977252993</v>
      </c>
      <c r="AE57" s="596">
        <f t="shared" si="39"/>
        <v>0.19967740601348277</v>
      </c>
      <c r="AF57" s="588">
        <v>459</v>
      </c>
      <c r="AG57" s="267">
        <f t="shared" si="40"/>
        <v>1.8983415360436743E-2</v>
      </c>
    </row>
    <row r="58" spans="1:33" x14ac:dyDescent="0.25">
      <c r="A58" s="265" t="s">
        <v>132</v>
      </c>
      <c r="B58" s="265" t="s">
        <v>133</v>
      </c>
      <c r="C58" s="265" t="s">
        <v>267</v>
      </c>
      <c r="D58" s="265">
        <v>3</v>
      </c>
      <c r="E58" s="588">
        <v>385945</v>
      </c>
      <c r="F58" s="2282">
        <v>190869</v>
      </c>
      <c r="G58" s="2283">
        <v>195076</v>
      </c>
      <c r="H58" s="589">
        <v>267566</v>
      </c>
      <c r="I58" s="589">
        <v>29881</v>
      </c>
      <c r="J58" s="589">
        <v>72044</v>
      </c>
      <c r="K58" s="589">
        <v>2172</v>
      </c>
      <c r="L58" s="590">
        <v>14282</v>
      </c>
      <c r="M58" s="2282">
        <f t="shared" si="34"/>
        <v>110856</v>
      </c>
      <c r="N58" s="589">
        <f t="shared" si="35"/>
        <v>241382</v>
      </c>
      <c r="O58" s="2283">
        <f t="shared" si="36"/>
        <v>33707</v>
      </c>
      <c r="P58" s="2282">
        <v>56035</v>
      </c>
      <c r="Q58" s="589">
        <v>119990</v>
      </c>
      <c r="R58" s="589">
        <v>14844</v>
      </c>
      <c r="S58" s="2282">
        <v>54821</v>
      </c>
      <c r="T58" s="589">
        <v>121392</v>
      </c>
      <c r="U58" s="2283">
        <v>18863</v>
      </c>
      <c r="V58" s="1189">
        <f t="shared" si="27"/>
        <v>0.49454974154348419</v>
      </c>
      <c r="W58" s="1189">
        <f t="shared" si="28"/>
        <v>0.50545025845651581</v>
      </c>
      <c r="X58" s="1231">
        <f t="shared" si="29"/>
        <v>0.69327494850302507</v>
      </c>
      <c r="Y58" s="1189">
        <f t="shared" si="30"/>
        <v>7.742294886577103E-2</v>
      </c>
      <c r="Z58" s="1189">
        <f t="shared" si="31"/>
        <v>0.1866690849732475</v>
      </c>
      <c r="AA58" s="1189">
        <f t="shared" si="32"/>
        <v>5.6277448859293425E-3</v>
      </c>
      <c r="AB58" s="1233">
        <f t="shared" si="33"/>
        <v>3.7005272772027101E-2</v>
      </c>
      <c r="AC58" s="594">
        <f t="shared" si="37"/>
        <v>0.28723263677466998</v>
      </c>
      <c r="AD58" s="595">
        <f t="shared" si="38"/>
        <v>0.6254310847400536</v>
      </c>
      <c r="AE58" s="596">
        <f t="shared" si="39"/>
        <v>8.7336278485276406E-2</v>
      </c>
      <c r="AF58" s="588">
        <v>52804</v>
      </c>
      <c r="AG58" s="267">
        <f t="shared" si="40"/>
        <v>0.13681742217155293</v>
      </c>
    </row>
    <row r="59" spans="1:33" x14ac:dyDescent="0.25">
      <c r="A59" s="265" t="s">
        <v>134</v>
      </c>
      <c r="B59" s="265" t="s">
        <v>135</v>
      </c>
      <c r="C59" s="265" t="s">
        <v>267</v>
      </c>
      <c r="D59" s="265">
        <v>2</v>
      </c>
      <c r="E59" s="588">
        <v>35236</v>
      </c>
      <c r="F59" s="2282">
        <v>17415</v>
      </c>
      <c r="G59" s="2283">
        <v>17821</v>
      </c>
      <c r="H59" s="589">
        <v>28318</v>
      </c>
      <c r="I59" s="589">
        <v>5705</v>
      </c>
      <c r="J59" s="589">
        <v>215</v>
      </c>
      <c r="K59" s="589">
        <v>205</v>
      </c>
      <c r="L59" s="590">
        <v>793</v>
      </c>
      <c r="M59" s="2282">
        <f t="shared" si="34"/>
        <v>7289</v>
      </c>
      <c r="N59" s="589">
        <f t="shared" si="35"/>
        <v>21377</v>
      </c>
      <c r="O59" s="2283">
        <f t="shared" si="36"/>
        <v>6570</v>
      </c>
      <c r="P59" s="2282">
        <v>3692</v>
      </c>
      <c r="Q59" s="589">
        <v>10548</v>
      </c>
      <c r="R59" s="589">
        <v>3175</v>
      </c>
      <c r="S59" s="2282">
        <v>3597</v>
      </c>
      <c r="T59" s="589">
        <v>10829</v>
      </c>
      <c r="U59" s="2283">
        <v>3395</v>
      </c>
      <c r="V59" s="1189">
        <f t="shared" si="27"/>
        <v>0.49423884663412421</v>
      </c>
      <c r="W59" s="1189">
        <f t="shared" si="28"/>
        <v>0.50576115336587579</v>
      </c>
      <c r="X59" s="1231">
        <f t="shared" si="29"/>
        <v>0.80366670450675448</v>
      </c>
      <c r="Y59" s="1189">
        <f t="shared" si="30"/>
        <v>0.16190827562719945</v>
      </c>
      <c r="Z59" s="1189">
        <f t="shared" si="31"/>
        <v>6.101714155976842E-3</v>
      </c>
      <c r="AA59" s="1189">
        <f t="shared" si="32"/>
        <v>5.8179134975593141E-3</v>
      </c>
      <c r="AB59" s="1233">
        <f t="shared" si="33"/>
        <v>2.2505392212509932E-2</v>
      </c>
      <c r="AC59" s="594">
        <f t="shared" si="37"/>
        <v>0.20686229992053581</v>
      </c>
      <c r="AD59" s="595">
        <f t="shared" si="38"/>
        <v>0.60668066749914862</v>
      </c>
      <c r="AE59" s="596">
        <f t="shared" si="39"/>
        <v>0.1864570325803156</v>
      </c>
      <c r="AF59" s="588">
        <v>967</v>
      </c>
      <c r="AG59" s="267">
        <f t="shared" si="40"/>
        <v>2.7443523668974911E-2</v>
      </c>
    </row>
    <row r="60" spans="1:33" x14ac:dyDescent="0.25">
      <c r="A60" s="265" t="s">
        <v>136</v>
      </c>
      <c r="B60" s="265" t="s">
        <v>137</v>
      </c>
      <c r="C60" s="265" t="s">
        <v>266</v>
      </c>
      <c r="D60" s="265">
        <v>1</v>
      </c>
      <c r="E60" s="588">
        <v>12273</v>
      </c>
      <c r="F60" s="2282">
        <v>6499</v>
      </c>
      <c r="G60" s="2283">
        <v>5774</v>
      </c>
      <c r="H60" s="589">
        <v>7739</v>
      </c>
      <c r="I60" s="589">
        <v>4170</v>
      </c>
      <c r="J60" s="589">
        <v>40</v>
      </c>
      <c r="K60" s="589">
        <v>86</v>
      </c>
      <c r="L60" s="590">
        <v>238</v>
      </c>
      <c r="M60" s="2282">
        <f t="shared" si="34"/>
        <v>2289</v>
      </c>
      <c r="N60" s="589">
        <f t="shared" si="35"/>
        <v>7397</v>
      </c>
      <c r="O60" s="2283">
        <f t="shared" si="36"/>
        <v>2587</v>
      </c>
      <c r="P60" s="2282">
        <v>1175</v>
      </c>
      <c r="Q60" s="589">
        <v>4143</v>
      </c>
      <c r="R60" s="589">
        <v>1181</v>
      </c>
      <c r="S60" s="2282">
        <v>1114</v>
      </c>
      <c r="T60" s="589">
        <v>3254</v>
      </c>
      <c r="U60" s="2283">
        <v>1406</v>
      </c>
      <c r="V60" s="1189">
        <f t="shared" si="27"/>
        <v>0.52953638067302211</v>
      </c>
      <c r="W60" s="1189">
        <f t="shared" si="28"/>
        <v>0.47046361932697794</v>
      </c>
      <c r="X60" s="1231">
        <f t="shared" si="29"/>
        <v>0.63057117249246308</v>
      </c>
      <c r="Y60" s="1189">
        <f t="shared" si="30"/>
        <v>0.3397702273282816</v>
      </c>
      <c r="Z60" s="1189">
        <f t="shared" si="31"/>
        <v>3.2591868328851951E-3</v>
      </c>
      <c r="AA60" s="1189">
        <f t="shared" si="32"/>
        <v>7.0072516907031699E-3</v>
      </c>
      <c r="AB60" s="1233">
        <f t="shared" si="33"/>
        <v>1.9392161655666911E-2</v>
      </c>
      <c r="AC60" s="594">
        <f t="shared" si="37"/>
        <v>0.1865069665118553</v>
      </c>
      <c r="AD60" s="595">
        <f t="shared" si="38"/>
        <v>0.6027051250712947</v>
      </c>
      <c r="AE60" s="596">
        <f t="shared" si="39"/>
        <v>0.21078790841685</v>
      </c>
      <c r="AF60" s="588">
        <v>563</v>
      </c>
      <c r="AG60" s="267">
        <f t="shared" si="40"/>
        <v>4.5873054672859119E-2</v>
      </c>
    </row>
    <row r="61" spans="1:33" x14ac:dyDescent="0.25">
      <c r="A61" s="265" t="s">
        <v>140</v>
      </c>
      <c r="B61" s="265" t="s">
        <v>141</v>
      </c>
      <c r="C61" s="265" t="s">
        <v>267</v>
      </c>
      <c r="D61" s="265">
        <v>1</v>
      </c>
      <c r="E61" s="588">
        <v>13078</v>
      </c>
      <c r="F61" s="2282">
        <v>6334</v>
      </c>
      <c r="G61" s="2283">
        <v>6744</v>
      </c>
      <c r="H61" s="589">
        <v>11420</v>
      </c>
      <c r="I61" s="589">
        <v>1202</v>
      </c>
      <c r="J61" s="589">
        <v>88</v>
      </c>
      <c r="K61" s="589">
        <v>33</v>
      </c>
      <c r="L61" s="590">
        <v>335</v>
      </c>
      <c r="M61" s="2282">
        <f t="shared" si="34"/>
        <v>2650</v>
      </c>
      <c r="N61" s="589">
        <f t="shared" si="35"/>
        <v>7617</v>
      </c>
      <c r="O61" s="2283">
        <f t="shared" si="36"/>
        <v>2811</v>
      </c>
      <c r="P61" s="2282">
        <v>1305</v>
      </c>
      <c r="Q61" s="589">
        <v>3728</v>
      </c>
      <c r="R61" s="589">
        <v>1301</v>
      </c>
      <c r="S61" s="2282">
        <v>1345</v>
      </c>
      <c r="T61" s="589">
        <v>3889</v>
      </c>
      <c r="U61" s="2283">
        <v>1510</v>
      </c>
      <c r="V61" s="1189">
        <f t="shared" si="27"/>
        <v>0.48432482030891572</v>
      </c>
      <c r="W61" s="1189">
        <f t="shared" si="28"/>
        <v>0.51567517969108423</v>
      </c>
      <c r="X61" s="1231">
        <f t="shared" si="29"/>
        <v>0.87322220523015748</v>
      </c>
      <c r="Y61" s="1189">
        <f t="shared" si="30"/>
        <v>9.1910077993577005E-2</v>
      </c>
      <c r="Z61" s="1189">
        <f t="shared" si="31"/>
        <v>6.7288576234898305E-3</v>
      </c>
      <c r="AA61" s="1189">
        <f t="shared" si="32"/>
        <v>2.5233216088086864E-3</v>
      </c>
      <c r="AB61" s="1233">
        <f t="shared" si="33"/>
        <v>2.5615537543966966E-2</v>
      </c>
      <c r="AC61" s="594">
        <f t="shared" si="37"/>
        <v>0.20263037161645511</v>
      </c>
      <c r="AD61" s="595">
        <f t="shared" si="38"/>
        <v>0.58242850588775041</v>
      </c>
      <c r="AE61" s="596">
        <f t="shared" si="39"/>
        <v>0.21494112249579447</v>
      </c>
      <c r="AF61" s="588">
        <v>318</v>
      </c>
      <c r="AG61" s="267">
        <f t="shared" si="40"/>
        <v>2.4315644593974613E-2</v>
      </c>
    </row>
    <row r="62" spans="1:33" x14ac:dyDescent="0.25">
      <c r="A62" s="265" t="s">
        <v>146</v>
      </c>
      <c r="B62" s="265" t="s">
        <v>147</v>
      </c>
      <c r="C62" s="265" t="s">
        <v>264</v>
      </c>
      <c r="D62" s="265">
        <v>1</v>
      </c>
      <c r="E62" s="588">
        <v>8782</v>
      </c>
      <c r="F62" s="2282">
        <v>4243</v>
      </c>
      <c r="G62" s="2283">
        <v>4539</v>
      </c>
      <c r="H62" s="589">
        <v>7688</v>
      </c>
      <c r="I62" s="589">
        <v>800</v>
      </c>
      <c r="J62" s="589">
        <v>71</v>
      </c>
      <c r="K62" s="589">
        <v>35</v>
      </c>
      <c r="L62" s="590">
        <v>188</v>
      </c>
      <c r="M62" s="2282">
        <f t="shared" si="34"/>
        <v>1410</v>
      </c>
      <c r="N62" s="589">
        <f t="shared" si="35"/>
        <v>4724</v>
      </c>
      <c r="O62" s="2283">
        <f t="shared" si="36"/>
        <v>2648</v>
      </c>
      <c r="P62" s="2282">
        <v>694</v>
      </c>
      <c r="Q62" s="589">
        <v>2313</v>
      </c>
      <c r="R62" s="589">
        <v>1236</v>
      </c>
      <c r="S62" s="2282">
        <v>716</v>
      </c>
      <c r="T62" s="589">
        <v>2411</v>
      </c>
      <c r="U62" s="2283">
        <v>1412</v>
      </c>
      <c r="V62" s="1189">
        <f t="shared" si="27"/>
        <v>0.483147346845821</v>
      </c>
      <c r="W62" s="1189">
        <f t="shared" si="28"/>
        <v>0.51685265315417905</v>
      </c>
      <c r="X62" s="1231">
        <f t="shared" si="29"/>
        <v>0.87542700979275789</v>
      </c>
      <c r="Y62" s="1189">
        <f t="shared" si="30"/>
        <v>9.1095422455021641E-2</v>
      </c>
      <c r="Z62" s="1189">
        <f t="shared" si="31"/>
        <v>8.0847187428831693E-3</v>
      </c>
      <c r="AA62" s="1189">
        <f t="shared" si="32"/>
        <v>3.985424732407197E-3</v>
      </c>
      <c r="AB62" s="1233">
        <f t="shared" si="33"/>
        <v>2.1407424276930084E-2</v>
      </c>
      <c r="AC62" s="594">
        <f t="shared" si="37"/>
        <v>0.16055568207697563</v>
      </c>
      <c r="AD62" s="595">
        <f t="shared" si="38"/>
        <v>0.5379184695969027</v>
      </c>
      <c r="AE62" s="596">
        <f t="shared" si="39"/>
        <v>0.30152584832612161</v>
      </c>
      <c r="AF62" s="588">
        <v>234</v>
      </c>
      <c r="AG62" s="267">
        <f t="shared" si="40"/>
        <v>2.664541106809383E-2</v>
      </c>
    </row>
    <row r="63" spans="1:33" x14ac:dyDescent="0.25">
      <c r="A63" s="265" t="s">
        <v>148</v>
      </c>
      <c r="B63" s="265" t="s">
        <v>149</v>
      </c>
      <c r="C63" s="265" t="s">
        <v>265</v>
      </c>
      <c r="D63" s="265">
        <v>2</v>
      </c>
      <c r="E63" s="588">
        <v>30892</v>
      </c>
      <c r="F63" s="2282">
        <v>14946</v>
      </c>
      <c r="G63" s="2283">
        <v>15946</v>
      </c>
      <c r="H63" s="589">
        <v>19305</v>
      </c>
      <c r="I63" s="589">
        <v>10624</v>
      </c>
      <c r="J63" s="589">
        <v>289</v>
      </c>
      <c r="K63" s="589">
        <v>131</v>
      </c>
      <c r="L63" s="590">
        <v>543</v>
      </c>
      <c r="M63" s="2282">
        <f t="shared" si="34"/>
        <v>5838</v>
      </c>
      <c r="N63" s="589">
        <f t="shared" si="35"/>
        <v>17386</v>
      </c>
      <c r="O63" s="2283">
        <f t="shared" si="36"/>
        <v>7668</v>
      </c>
      <c r="P63" s="2282">
        <v>2962</v>
      </c>
      <c r="Q63" s="589">
        <v>8620</v>
      </c>
      <c r="R63" s="589">
        <v>3364</v>
      </c>
      <c r="S63" s="2282">
        <v>2876</v>
      </c>
      <c r="T63" s="589">
        <v>8766</v>
      </c>
      <c r="U63" s="2283">
        <v>4304</v>
      </c>
      <c r="V63" s="1189">
        <f t="shared" si="27"/>
        <v>0.48381457982649229</v>
      </c>
      <c r="W63" s="1189">
        <f t="shared" si="28"/>
        <v>0.51618542017350766</v>
      </c>
      <c r="X63" s="1231">
        <f t="shared" si="29"/>
        <v>0.62491907289913251</v>
      </c>
      <c r="Y63" s="1189">
        <f t="shared" si="30"/>
        <v>0.34390780784669173</v>
      </c>
      <c r="Z63" s="1189">
        <f t="shared" si="31"/>
        <v>9.3551728602874525E-3</v>
      </c>
      <c r="AA63" s="1189">
        <f t="shared" si="32"/>
        <v>4.2405800854590182E-3</v>
      </c>
      <c r="AB63" s="1233">
        <f t="shared" si="33"/>
        <v>1.7577366308429366E-2</v>
      </c>
      <c r="AC63" s="594">
        <f t="shared" si="37"/>
        <v>0.18898096594587596</v>
      </c>
      <c r="AD63" s="595">
        <f t="shared" si="38"/>
        <v>0.56279943027320989</v>
      </c>
      <c r="AE63" s="596">
        <f t="shared" si="39"/>
        <v>0.24821960378091415</v>
      </c>
      <c r="AF63" s="588">
        <v>891</v>
      </c>
      <c r="AG63" s="267">
        <f t="shared" si="40"/>
        <v>2.8842418749190728E-2</v>
      </c>
    </row>
    <row r="64" spans="1:33" x14ac:dyDescent="0.25">
      <c r="A64" s="265" t="s">
        <v>150</v>
      </c>
      <c r="B64" s="265" t="s">
        <v>151</v>
      </c>
      <c r="C64" s="265" t="s">
        <v>266</v>
      </c>
      <c r="D64" s="265">
        <v>1</v>
      </c>
      <c r="E64" s="588">
        <v>10778</v>
      </c>
      <c r="F64" s="2282">
        <v>5281</v>
      </c>
      <c r="G64" s="2283">
        <v>5497</v>
      </c>
      <c r="H64" s="589">
        <v>8600</v>
      </c>
      <c r="I64" s="589">
        <v>1876</v>
      </c>
      <c r="J64" s="589">
        <v>50</v>
      </c>
      <c r="K64" s="589">
        <v>56</v>
      </c>
      <c r="L64" s="590">
        <v>196</v>
      </c>
      <c r="M64" s="2282">
        <f t="shared" si="34"/>
        <v>1704</v>
      </c>
      <c r="N64" s="589">
        <f t="shared" si="35"/>
        <v>5817</v>
      </c>
      <c r="O64" s="2283">
        <f t="shared" si="36"/>
        <v>3257</v>
      </c>
      <c r="P64" s="2282">
        <v>864</v>
      </c>
      <c r="Q64" s="589">
        <v>2893</v>
      </c>
      <c r="R64" s="589">
        <v>1524</v>
      </c>
      <c r="S64" s="2282">
        <v>840</v>
      </c>
      <c r="T64" s="589">
        <v>2924</v>
      </c>
      <c r="U64" s="2283">
        <v>1733</v>
      </c>
      <c r="V64" s="1189">
        <f t="shared" si="27"/>
        <v>0.48997958804973091</v>
      </c>
      <c r="W64" s="1189">
        <f t="shared" si="28"/>
        <v>0.51002041195026904</v>
      </c>
      <c r="X64" s="1231">
        <f t="shared" si="29"/>
        <v>0.79792169233624044</v>
      </c>
      <c r="Y64" s="1189">
        <f t="shared" si="30"/>
        <v>0.17405826683985898</v>
      </c>
      <c r="Z64" s="1189">
        <f t="shared" si="31"/>
        <v>4.6390796066060492E-3</v>
      </c>
      <c r="AA64" s="1189">
        <f t="shared" si="32"/>
        <v>5.1957691593987757E-3</v>
      </c>
      <c r="AB64" s="1233">
        <f t="shared" si="33"/>
        <v>1.8185192057895712E-2</v>
      </c>
      <c r="AC64" s="594">
        <f t="shared" si="37"/>
        <v>0.15809983299313415</v>
      </c>
      <c r="AD64" s="595">
        <f t="shared" si="38"/>
        <v>0.53971052143254783</v>
      </c>
      <c r="AE64" s="596">
        <f t="shared" si="39"/>
        <v>0.30218964557431804</v>
      </c>
      <c r="AF64" s="588">
        <v>263</v>
      </c>
      <c r="AG64" s="267">
        <f t="shared" si="40"/>
        <v>2.440155873074782E-2</v>
      </c>
    </row>
    <row r="65" spans="1:33" x14ac:dyDescent="0.25">
      <c r="A65" s="265" t="s">
        <v>152</v>
      </c>
      <c r="B65" s="265" t="s">
        <v>153</v>
      </c>
      <c r="C65" s="265" t="s">
        <v>268</v>
      </c>
      <c r="D65" s="265">
        <v>2</v>
      </c>
      <c r="E65" s="588">
        <v>98602</v>
      </c>
      <c r="F65" s="2282">
        <v>51429</v>
      </c>
      <c r="G65" s="2283">
        <v>47173</v>
      </c>
      <c r="H65" s="589">
        <v>85423</v>
      </c>
      <c r="I65" s="589">
        <v>4128</v>
      </c>
      <c r="J65" s="589">
        <v>6454</v>
      </c>
      <c r="K65" s="589">
        <v>324</v>
      </c>
      <c r="L65" s="590">
        <v>2273</v>
      </c>
      <c r="M65" s="2282">
        <f t="shared" si="34"/>
        <v>15822</v>
      </c>
      <c r="N65" s="589">
        <f t="shared" si="35"/>
        <v>71392</v>
      </c>
      <c r="O65" s="2283">
        <f t="shared" si="36"/>
        <v>11388</v>
      </c>
      <c r="P65" s="2282">
        <v>8242</v>
      </c>
      <c r="Q65" s="589">
        <v>38124</v>
      </c>
      <c r="R65" s="589">
        <v>5063</v>
      </c>
      <c r="S65" s="2282">
        <v>7580</v>
      </c>
      <c r="T65" s="589">
        <v>33268</v>
      </c>
      <c r="U65" s="2283">
        <v>6325</v>
      </c>
      <c r="V65" s="1189">
        <f t="shared" si="27"/>
        <v>0.52158171233849215</v>
      </c>
      <c r="W65" s="1189">
        <f t="shared" si="28"/>
        <v>0.4784182876615079</v>
      </c>
      <c r="X65" s="1231">
        <f t="shared" si="29"/>
        <v>0.86634145352021252</v>
      </c>
      <c r="Y65" s="1189">
        <f t="shared" si="30"/>
        <v>4.1865276566398248E-2</v>
      </c>
      <c r="Z65" s="1189">
        <f t="shared" si="31"/>
        <v>6.5455061763453073E-2</v>
      </c>
      <c r="AA65" s="1189">
        <f t="shared" si="32"/>
        <v>3.2859374049207927E-3</v>
      </c>
      <c r="AB65" s="1233">
        <f t="shared" si="33"/>
        <v>2.3052270745015313E-2</v>
      </c>
      <c r="AC65" s="594">
        <f t="shared" si="37"/>
        <v>0.16046327660696538</v>
      </c>
      <c r="AD65" s="595">
        <f t="shared" si="38"/>
        <v>0.72404210867933716</v>
      </c>
      <c r="AE65" s="596">
        <f t="shared" si="39"/>
        <v>0.11549461471369749</v>
      </c>
      <c r="AF65" s="588">
        <v>3101</v>
      </c>
      <c r="AG65" s="267">
        <f t="shared" si="40"/>
        <v>3.1449666335368449E-2</v>
      </c>
    </row>
    <row r="66" spans="1:33" x14ac:dyDescent="0.25">
      <c r="A66" s="265" t="s">
        <v>154</v>
      </c>
      <c r="B66" s="265" t="s">
        <v>155</v>
      </c>
      <c r="C66" s="265" t="s">
        <v>265</v>
      </c>
      <c r="D66" s="265">
        <v>1</v>
      </c>
      <c r="E66" s="588">
        <v>14869</v>
      </c>
      <c r="F66" s="2282">
        <v>7248</v>
      </c>
      <c r="G66" s="2283">
        <v>7621</v>
      </c>
      <c r="H66" s="589">
        <v>12592</v>
      </c>
      <c r="I66" s="589">
        <v>1800</v>
      </c>
      <c r="J66" s="589">
        <v>105</v>
      </c>
      <c r="K66" s="589">
        <v>84</v>
      </c>
      <c r="L66" s="590">
        <v>288</v>
      </c>
      <c r="M66" s="2282">
        <f t="shared" si="34"/>
        <v>2803</v>
      </c>
      <c r="N66" s="589">
        <f t="shared" si="35"/>
        <v>8299</v>
      </c>
      <c r="O66" s="2283">
        <f t="shared" si="36"/>
        <v>3767</v>
      </c>
      <c r="P66" s="2282">
        <v>1433</v>
      </c>
      <c r="Q66" s="589">
        <v>4047</v>
      </c>
      <c r="R66" s="589">
        <v>1768</v>
      </c>
      <c r="S66" s="2282">
        <v>1370</v>
      </c>
      <c r="T66" s="589">
        <v>4252</v>
      </c>
      <c r="U66" s="2283">
        <v>1999</v>
      </c>
      <c r="V66" s="1189">
        <f t="shared" si="27"/>
        <v>0.48745712556325238</v>
      </c>
      <c r="W66" s="1189">
        <f t="shared" si="28"/>
        <v>0.51254287443674762</v>
      </c>
      <c r="X66" s="1231">
        <f t="shared" si="29"/>
        <v>0.84686260004035241</v>
      </c>
      <c r="Y66" s="1189">
        <f t="shared" si="30"/>
        <v>0.12105723316968189</v>
      </c>
      <c r="Z66" s="1189">
        <f t="shared" si="31"/>
        <v>7.0616719348981106E-3</v>
      </c>
      <c r="AA66" s="1189">
        <f t="shared" si="32"/>
        <v>5.6493375479184883E-3</v>
      </c>
      <c r="AB66" s="1233">
        <f t="shared" si="33"/>
        <v>1.9369157307149103E-2</v>
      </c>
      <c r="AC66" s="594">
        <f t="shared" si="37"/>
        <v>0.18851301365256573</v>
      </c>
      <c r="AD66" s="595">
        <f t="shared" si="38"/>
        <v>0.55814109893066111</v>
      </c>
      <c r="AE66" s="596">
        <f t="shared" si="39"/>
        <v>0.25334588741677316</v>
      </c>
      <c r="AF66" s="588">
        <v>602</v>
      </c>
      <c r="AG66" s="267">
        <f t="shared" si="40"/>
        <v>4.0486919093415834E-2</v>
      </c>
    </row>
    <row r="67" spans="1:33" x14ac:dyDescent="0.25">
      <c r="A67" s="265" t="s">
        <v>156</v>
      </c>
      <c r="B67" s="265" t="s">
        <v>157</v>
      </c>
      <c r="C67" s="265" t="s">
        <v>266</v>
      </c>
      <c r="D67" s="265">
        <v>1</v>
      </c>
      <c r="E67" s="588">
        <v>21147</v>
      </c>
      <c r="F67" s="2282">
        <v>10810</v>
      </c>
      <c r="G67" s="2283">
        <v>10337</v>
      </c>
      <c r="H67" s="589">
        <v>17348</v>
      </c>
      <c r="I67" s="589">
        <v>2795</v>
      </c>
      <c r="J67" s="589">
        <v>241</v>
      </c>
      <c r="K67" s="589">
        <v>237</v>
      </c>
      <c r="L67" s="590">
        <v>526</v>
      </c>
      <c r="M67" s="2282">
        <f t="shared" si="34"/>
        <v>4346</v>
      </c>
      <c r="N67" s="589">
        <f t="shared" si="35"/>
        <v>13352</v>
      </c>
      <c r="O67" s="2283">
        <f t="shared" si="36"/>
        <v>3449</v>
      </c>
      <c r="P67" s="2282">
        <v>2266</v>
      </c>
      <c r="Q67" s="589">
        <v>6831</v>
      </c>
      <c r="R67" s="589">
        <v>1713</v>
      </c>
      <c r="S67" s="2282">
        <v>2080</v>
      </c>
      <c r="T67" s="589">
        <v>6521</v>
      </c>
      <c r="U67" s="2283">
        <v>1736</v>
      </c>
      <c r="V67" s="1189">
        <f t="shared" si="27"/>
        <v>0.51118361942592327</v>
      </c>
      <c r="W67" s="1189">
        <f t="shared" si="28"/>
        <v>0.48881638057407673</v>
      </c>
      <c r="X67" s="1231">
        <f t="shared" si="29"/>
        <v>0.82035276871423846</v>
      </c>
      <c r="Y67" s="1189">
        <f t="shared" si="30"/>
        <v>0.13217004776091171</v>
      </c>
      <c r="Z67" s="1189">
        <f t="shared" si="31"/>
        <v>1.1396415567219936E-2</v>
      </c>
      <c r="AA67" s="1189">
        <f t="shared" si="32"/>
        <v>1.1207263441622926E-2</v>
      </c>
      <c r="AB67" s="1233">
        <f t="shared" si="33"/>
        <v>2.4873504516006999E-2</v>
      </c>
      <c r="AC67" s="594">
        <f t="shared" si="37"/>
        <v>0.20551378446115287</v>
      </c>
      <c r="AD67" s="595">
        <f t="shared" si="38"/>
        <v>0.63138979524282401</v>
      </c>
      <c r="AE67" s="596">
        <f t="shared" si="39"/>
        <v>0.16309642029602309</v>
      </c>
      <c r="AF67" s="588">
        <v>614</v>
      </c>
      <c r="AG67" s="267">
        <f t="shared" si="40"/>
        <v>2.9034851279141249E-2</v>
      </c>
    </row>
    <row r="68" spans="1:33" x14ac:dyDescent="0.25">
      <c r="A68" s="265" t="s">
        <v>162</v>
      </c>
      <c r="B68" s="265" t="s">
        <v>163</v>
      </c>
      <c r="C68" s="265" t="s">
        <v>264</v>
      </c>
      <c r="D68" s="265">
        <v>2</v>
      </c>
      <c r="E68" s="588">
        <v>12139</v>
      </c>
      <c r="F68" s="2282">
        <v>5848</v>
      </c>
      <c r="G68" s="2283">
        <v>6291</v>
      </c>
      <c r="H68" s="589">
        <v>7504</v>
      </c>
      <c r="I68" s="589">
        <v>4227</v>
      </c>
      <c r="J68" s="589">
        <v>106</v>
      </c>
      <c r="K68" s="589">
        <v>68</v>
      </c>
      <c r="L68" s="590">
        <v>234</v>
      </c>
      <c r="M68" s="2282">
        <f t="shared" si="34"/>
        <v>2455</v>
      </c>
      <c r="N68" s="589">
        <f t="shared" si="35"/>
        <v>6557</v>
      </c>
      <c r="O68" s="2283">
        <f t="shared" si="36"/>
        <v>3127</v>
      </c>
      <c r="P68" s="2282">
        <v>1313</v>
      </c>
      <c r="Q68" s="589">
        <v>3164</v>
      </c>
      <c r="R68" s="589">
        <v>1371</v>
      </c>
      <c r="S68" s="2282">
        <v>1142</v>
      </c>
      <c r="T68" s="589">
        <v>3393</v>
      </c>
      <c r="U68" s="2283">
        <v>1756</v>
      </c>
      <c r="V68" s="1189">
        <f t="shared" si="27"/>
        <v>0.48175302743224319</v>
      </c>
      <c r="W68" s="1189">
        <f t="shared" si="28"/>
        <v>0.51824697256775687</v>
      </c>
      <c r="X68" s="1231">
        <f t="shared" si="29"/>
        <v>0.61817283136996459</v>
      </c>
      <c r="Y68" s="1189">
        <f t="shared" si="30"/>
        <v>0.34821649229755336</v>
      </c>
      <c r="Z68" s="1189">
        <f t="shared" si="31"/>
        <v>8.7321855177526983E-3</v>
      </c>
      <c r="AA68" s="1189">
        <f t="shared" si="32"/>
        <v>5.6017793887470141E-3</v>
      </c>
      <c r="AB68" s="1233">
        <f t="shared" si="33"/>
        <v>1.9276711425982369E-2</v>
      </c>
      <c r="AC68" s="594">
        <f t="shared" si="37"/>
        <v>0.20224071175549879</v>
      </c>
      <c r="AD68" s="595">
        <f t="shared" si="38"/>
        <v>0.54015981547079661</v>
      </c>
      <c r="AE68" s="596">
        <f t="shared" si="39"/>
        <v>0.2575994727737046</v>
      </c>
      <c r="AF68" s="588">
        <v>1071</v>
      </c>
      <c r="AG68" s="267">
        <f t="shared" si="40"/>
        <v>8.8228025372765473E-2</v>
      </c>
    </row>
    <row r="69" spans="1:33" x14ac:dyDescent="0.25">
      <c r="A69" s="265" t="s">
        <v>164</v>
      </c>
      <c r="B69" s="265" t="s">
        <v>165</v>
      </c>
      <c r="C69" s="265" t="s">
        <v>266</v>
      </c>
      <c r="D69" s="265">
        <v>1</v>
      </c>
      <c r="E69" s="588">
        <v>12222</v>
      </c>
      <c r="F69" s="2282">
        <v>6027</v>
      </c>
      <c r="G69" s="2283">
        <v>6195</v>
      </c>
      <c r="H69" s="589">
        <v>8843</v>
      </c>
      <c r="I69" s="589">
        <v>3092</v>
      </c>
      <c r="J69" s="589">
        <v>60</v>
      </c>
      <c r="K69" s="589">
        <v>40</v>
      </c>
      <c r="L69" s="590">
        <v>187</v>
      </c>
      <c r="M69" s="2282">
        <f t="shared" si="34"/>
        <v>1857</v>
      </c>
      <c r="N69" s="589">
        <f t="shared" si="35"/>
        <v>6088</v>
      </c>
      <c r="O69" s="2283">
        <f t="shared" si="36"/>
        <v>4277</v>
      </c>
      <c r="P69" s="2282">
        <v>1017</v>
      </c>
      <c r="Q69" s="589">
        <v>2913</v>
      </c>
      <c r="R69" s="589">
        <v>2097</v>
      </c>
      <c r="S69" s="2282">
        <v>840</v>
      </c>
      <c r="T69" s="589">
        <v>3175</v>
      </c>
      <c r="U69" s="2283">
        <v>2180</v>
      </c>
      <c r="V69" s="1189">
        <f t="shared" ref="V69:V100" si="41">F69/E69</f>
        <v>0.49312714776632305</v>
      </c>
      <c r="W69" s="1189">
        <f t="shared" ref="W69:W100" si="42">G69/E69</f>
        <v>0.50687285223367695</v>
      </c>
      <c r="X69" s="1231">
        <f t="shared" ref="X69:X100" si="43">H69/E69</f>
        <v>0.72353133693339877</v>
      </c>
      <c r="Y69" s="1189">
        <f t="shared" ref="Y69:Y100" si="44">I69/E69</f>
        <v>0.25298641793487153</v>
      </c>
      <c r="Z69" s="1189">
        <f t="shared" ref="Z69:Z100" si="45">J69/E69</f>
        <v>4.9091801669121256E-3</v>
      </c>
      <c r="AA69" s="1189">
        <f t="shared" ref="AA69:AA100" si="46">K69/E69</f>
        <v>3.2727867779414172E-3</v>
      </c>
      <c r="AB69" s="1233">
        <f t="shared" ref="AB69:AB100" si="47">L69/E69</f>
        <v>1.5300278186876124E-2</v>
      </c>
      <c r="AC69" s="594">
        <f t="shared" si="37"/>
        <v>0.15193912616593028</v>
      </c>
      <c r="AD69" s="595">
        <f t="shared" si="38"/>
        <v>0.49811814760268369</v>
      </c>
      <c r="AE69" s="596">
        <f t="shared" si="39"/>
        <v>0.349942726231386</v>
      </c>
      <c r="AF69" s="588">
        <v>440</v>
      </c>
      <c r="AG69" s="267">
        <f t="shared" si="40"/>
        <v>3.6000654557355585E-2</v>
      </c>
    </row>
    <row r="70" spans="1:33" x14ac:dyDescent="0.25">
      <c r="A70" s="265" t="s">
        <v>168</v>
      </c>
      <c r="B70" s="265" t="s">
        <v>169</v>
      </c>
      <c r="C70" s="265" t="s">
        <v>266</v>
      </c>
      <c r="D70" s="265">
        <v>1</v>
      </c>
      <c r="E70" s="588">
        <v>15595</v>
      </c>
      <c r="F70" s="2282">
        <v>8452</v>
      </c>
      <c r="G70" s="2283">
        <v>7143</v>
      </c>
      <c r="H70" s="589">
        <v>8927</v>
      </c>
      <c r="I70" s="589">
        <v>6235</v>
      </c>
      <c r="J70" s="589">
        <v>72</v>
      </c>
      <c r="K70" s="589">
        <v>125</v>
      </c>
      <c r="L70" s="590">
        <v>236</v>
      </c>
      <c r="M70" s="2282">
        <f t="shared" ref="M70:M101" si="48">P70+S70</f>
        <v>3039</v>
      </c>
      <c r="N70" s="589">
        <f t="shared" ref="N70:N101" si="49">Q70+T70</f>
        <v>9561</v>
      </c>
      <c r="O70" s="2283">
        <f t="shared" ref="O70:O101" si="50">R70+U70</f>
        <v>2995</v>
      </c>
      <c r="P70" s="2282">
        <v>1515</v>
      </c>
      <c r="Q70" s="589">
        <v>5622</v>
      </c>
      <c r="R70" s="589">
        <v>1315</v>
      </c>
      <c r="S70" s="2282">
        <v>1524</v>
      </c>
      <c r="T70" s="589">
        <v>3939</v>
      </c>
      <c r="U70" s="2283">
        <v>1680</v>
      </c>
      <c r="V70" s="1189">
        <f t="shared" si="41"/>
        <v>0.54196857967297207</v>
      </c>
      <c r="W70" s="1189">
        <f t="shared" si="42"/>
        <v>0.45803142032702787</v>
      </c>
      <c r="X70" s="1231">
        <f t="shared" si="43"/>
        <v>0.57242705995511378</v>
      </c>
      <c r="Y70" s="1189">
        <f t="shared" si="44"/>
        <v>0.39980763065084962</v>
      </c>
      <c r="Z70" s="1189">
        <f t="shared" si="45"/>
        <v>4.6168643796088487E-3</v>
      </c>
      <c r="AA70" s="1189">
        <f t="shared" si="46"/>
        <v>8.0153895479320291E-3</v>
      </c>
      <c r="AB70" s="1233">
        <f t="shared" si="47"/>
        <v>1.5133055466495671E-2</v>
      </c>
      <c r="AC70" s="594">
        <f t="shared" ref="AC70:AC101" si="51">M70/E70</f>
        <v>0.19487015068932351</v>
      </c>
      <c r="AD70" s="595">
        <f t="shared" ref="AD70:AD101" si="52">N70/E70</f>
        <v>0.61308111574222512</v>
      </c>
      <c r="AE70" s="596">
        <f t="shared" ref="AE70:AE101" si="53">O70/E70</f>
        <v>0.19204873356845142</v>
      </c>
      <c r="AF70" s="588">
        <v>601</v>
      </c>
      <c r="AG70" s="267">
        <f t="shared" ref="AG70:AG101" si="54">AF70/E70</f>
        <v>3.8537992946457197E-2</v>
      </c>
    </row>
    <row r="71" spans="1:33" x14ac:dyDescent="0.25">
      <c r="A71" s="265" t="s">
        <v>170</v>
      </c>
      <c r="B71" s="265" t="s">
        <v>171</v>
      </c>
      <c r="C71" s="265" t="s">
        <v>267</v>
      </c>
      <c r="D71" s="265">
        <v>2</v>
      </c>
      <c r="E71" s="588">
        <v>35533</v>
      </c>
      <c r="F71" s="2282">
        <v>17387</v>
      </c>
      <c r="G71" s="2283">
        <v>18146</v>
      </c>
      <c r="H71" s="589">
        <v>29280</v>
      </c>
      <c r="I71" s="589">
        <v>4765</v>
      </c>
      <c r="J71" s="589">
        <v>402</v>
      </c>
      <c r="K71" s="589">
        <v>196</v>
      </c>
      <c r="L71" s="590">
        <v>890</v>
      </c>
      <c r="M71" s="2282">
        <f t="shared" si="48"/>
        <v>7650</v>
      </c>
      <c r="N71" s="589">
        <f t="shared" si="49"/>
        <v>20655</v>
      </c>
      <c r="O71" s="2283">
        <f t="shared" si="50"/>
        <v>7228</v>
      </c>
      <c r="P71" s="2282">
        <v>3898</v>
      </c>
      <c r="Q71" s="589">
        <v>10202</v>
      </c>
      <c r="R71" s="589">
        <v>3287</v>
      </c>
      <c r="S71" s="2282">
        <v>3752</v>
      </c>
      <c r="T71" s="589">
        <v>10453</v>
      </c>
      <c r="U71" s="2283">
        <v>3941</v>
      </c>
      <c r="V71" s="1189">
        <f t="shared" si="41"/>
        <v>0.48931978724003039</v>
      </c>
      <c r="W71" s="1189">
        <f t="shared" si="42"/>
        <v>0.51068021275996955</v>
      </c>
      <c r="X71" s="1231">
        <f t="shared" si="43"/>
        <v>0.82402273942532289</v>
      </c>
      <c r="Y71" s="1189">
        <f t="shared" si="44"/>
        <v>0.13410069512847211</v>
      </c>
      <c r="Z71" s="1189">
        <f t="shared" si="45"/>
        <v>1.131342695522472E-2</v>
      </c>
      <c r="AA71" s="1189">
        <f t="shared" si="46"/>
        <v>5.5159992120001125E-3</v>
      </c>
      <c r="AB71" s="1233">
        <f t="shared" si="47"/>
        <v>2.5047139278980102E-2</v>
      </c>
      <c r="AC71" s="594">
        <f t="shared" si="51"/>
        <v>0.21529282638673908</v>
      </c>
      <c r="AD71" s="595">
        <f t="shared" si="52"/>
        <v>0.58129063124419555</v>
      </c>
      <c r="AE71" s="596">
        <f t="shared" si="53"/>
        <v>0.20341654236906537</v>
      </c>
      <c r="AF71" s="588">
        <v>1621</v>
      </c>
      <c r="AG71" s="267">
        <f t="shared" si="54"/>
        <v>4.5619564911490725E-2</v>
      </c>
    </row>
    <row r="72" spans="1:33" x14ac:dyDescent="0.25">
      <c r="A72" s="265" t="s">
        <v>172</v>
      </c>
      <c r="B72" s="265" t="s">
        <v>173</v>
      </c>
      <c r="C72" s="265" t="s">
        <v>267</v>
      </c>
      <c r="D72" s="265">
        <v>2</v>
      </c>
      <c r="E72" s="588">
        <v>23654</v>
      </c>
      <c r="F72" s="2282">
        <v>11693</v>
      </c>
      <c r="G72" s="2283">
        <v>11961</v>
      </c>
      <c r="H72" s="589">
        <v>22710</v>
      </c>
      <c r="I72" s="589">
        <v>482</v>
      </c>
      <c r="J72" s="589">
        <v>116</v>
      </c>
      <c r="K72" s="589">
        <v>68</v>
      </c>
      <c r="L72" s="590">
        <v>278</v>
      </c>
      <c r="M72" s="2282">
        <f t="shared" si="48"/>
        <v>4717</v>
      </c>
      <c r="N72" s="589">
        <f t="shared" si="49"/>
        <v>14010</v>
      </c>
      <c r="O72" s="2283">
        <f t="shared" si="50"/>
        <v>4927</v>
      </c>
      <c r="P72" s="2282">
        <v>2380</v>
      </c>
      <c r="Q72" s="589">
        <v>7012</v>
      </c>
      <c r="R72" s="589">
        <v>2301</v>
      </c>
      <c r="S72" s="2282">
        <v>2337</v>
      </c>
      <c r="T72" s="589">
        <v>6998</v>
      </c>
      <c r="U72" s="2283">
        <v>2626</v>
      </c>
      <c r="V72" s="1189">
        <f t="shared" si="41"/>
        <v>0.4943349961951467</v>
      </c>
      <c r="W72" s="1189">
        <f t="shared" si="42"/>
        <v>0.50566500380485335</v>
      </c>
      <c r="X72" s="1231">
        <f t="shared" si="43"/>
        <v>0.9600913164792424</v>
      </c>
      <c r="Y72" s="1189">
        <f t="shared" si="44"/>
        <v>2.0377103238352921E-2</v>
      </c>
      <c r="Z72" s="1189">
        <f t="shared" si="45"/>
        <v>4.9040331444998734E-3</v>
      </c>
      <c r="AA72" s="1189">
        <f t="shared" si="46"/>
        <v>2.8747780502240638E-3</v>
      </c>
      <c r="AB72" s="1233">
        <f t="shared" si="47"/>
        <v>1.175276908768073E-2</v>
      </c>
      <c r="AC72" s="594">
        <f t="shared" si="51"/>
        <v>0.1994165891603957</v>
      </c>
      <c r="AD72" s="595">
        <f t="shared" si="52"/>
        <v>0.59228883064175197</v>
      </c>
      <c r="AE72" s="596">
        <f t="shared" si="53"/>
        <v>0.20829458019785238</v>
      </c>
      <c r="AF72" s="588">
        <v>447</v>
      </c>
      <c r="AG72" s="267">
        <f t="shared" si="54"/>
        <v>1.8897438065443476E-2</v>
      </c>
    </row>
    <row r="73" spans="1:33" x14ac:dyDescent="0.25">
      <c r="A73" s="265" t="s">
        <v>174</v>
      </c>
      <c r="B73" s="265" t="s">
        <v>175</v>
      </c>
      <c r="C73" s="265" t="s">
        <v>268</v>
      </c>
      <c r="D73" s="265">
        <v>2</v>
      </c>
      <c r="E73" s="588">
        <v>17923</v>
      </c>
      <c r="F73" s="2282">
        <v>8825</v>
      </c>
      <c r="G73" s="2283">
        <v>9098</v>
      </c>
      <c r="H73" s="589">
        <v>16555</v>
      </c>
      <c r="I73" s="589">
        <v>1009</v>
      </c>
      <c r="J73" s="589">
        <v>55</v>
      </c>
      <c r="K73" s="589">
        <v>96</v>
      </c>
      <c r="L73" s="590">
        <v>208</v>
      </c>
      <c r="M73" s="2282">
        <f t="shared" si="48"/>
        <v>3181</v>
      </c>
      <c r="N73" s="589">
        <f t="shared" si="49"/>
        <v>10169</v>
      </c>
      <c r="O73" s="2283">
        <f t="shared" si="50"/>
        <v>4573</v>
      </c>
      <c r="P73" s="2282">
        <v>1633</v>
      </c>
      <c r="Q73" s="589">
        <v>5127</v>
      </c>
      <c r="R73" s="589">
        <v>2065</v>
      </c>
      <c r="S73" s="2282">
        <v>1548</v>
      </c>
      <c r="T73" s="589">
        <v>5042</v>
      </c>
      <c r="U73" s="2283">
        <v>2508</v>
      </c>
      <c r="V73" s="1189">
        <f t="shared" si="41"/>
        <v>0.49238408748535401</v>
      </c>
      <c r="W73" s="1189">
        <f t="shared" si="42"/>
        <v>0.50761591251464599</v>
      </c>
      <c r="X73" s="1231">
        <f t="shared" si="43"/>
        <v>0.92367349216091055</v>
      </c>
      <c r="Y73" s="1189">
        <f t="shared" si="44"/>
        <v>5.6296378954416117E-2</v>
      </c>
      <c r="Z73" s="1189">
        <f t="shared" si="45"/>
        <v>3.068682698209005E-3</v>
      </c>
      <c r="AA73" s="1189">
        <f t="shared" si="46"/>
        <v>5.3562461641466271E-3</v>
      </c>
      <c r="AB73" s="1233">
        <f t="shared" si="47"/>
        <v>1.1605200022317692E-2</v>
      </c>
      <c r="AC73" s="594">
        <f t="shared" si="51"/>
        <v>0.17748144841823355</v>
      </c>
      <c r="AD73" s="595">
        <f t="shared" si="52"/>
        <v>0.56737153378340677</v>
      </c>
      <c r="AE73" s="596">
        <f t="shared" si="53"/>
        <v>0.25514701779835963</v>
      </c>
      <c r="AF73" s="588">
        <v>544</v>
      </c>
      <c r="AG73" s="267">
        <f t="shared" si="54"/>
        <v>3.0352061596830886E-2</v>
      </c>
    </row>
    <row r="74" spans="1:33" x14ac:dyDescent="0.25">
      <c r="A74" s="265" t="s">
        <v>178</v>
      </c>
      <c r="B74" s="265" t="s">
        <v>179</v>
      </c>
      <c r="C74" s="265" t="s">
        <v>265</v>
      </c>
      <c r="D74" s="265">
        <v>2</v>
      </c>
      <c r="E74" s="588">
        <v>61687</v>
      </c>
      <c r="F74" s="2282">
        <v>30343</v>
      </c>
      <c r="G74" s="2283">
        <v>31344</v>
      </c>
      <c r="H74" s="589">
        <v>47097</v>
      </c>
      <c r="I74" s="589">
        <v>13266</v>
      </c>
      <c r="J74" s="589">
        <v>288</v>
      </c>
      <c r="K74" s="589">
        <v>202</v>
      </c>
      <c r="L74" s="590">
        <v>834</v>
      </c>
      <c r="M74" s="2282">
        <f t="shared" si="48"/>
        <v>12023</v>
      </c>
      <c r="N74" s="589">
        <f t="shared" si="49"/>
        <v>36567</v>
      </c>
      <c r="O74" s="2283">
        <f t="shared" si="50"/>
        <v>13097</v>
      </c>
      <c r="P74" s="2282">
        <v>6018</v>
      </c>
      <c r="Q74" s="589">
        <v>18409</v>
      </c>
      <c r="R74" s="589">
        <v>5916</v>
      </c>
      <c r="S74" s="2282">
        <v>6005</v>
      </c>
      <c r="T74" s="589">
        <v>18158</v>
      </c>
      <c r="U74" s="2283">
        <v>7181</v>
      </c>
      <c r="V74" s="1189">
        <f t="shared" si="41"/>
        <v>0.49188645905944528</v>
      </c>
      <c r="W74" s="1189">
        <f t="shared" si="42"/>
        <v>0.50811354094055472</v>
      </c>
      <c r="X74" s="1231">
        <f t="shared" si="43"/>
        <v>0.76348339196265014</v>
      </c>
      <c r="Y74" s="1189">
        <f t="shared" si="44"/>
        <v>0.21505341481997828</v>
      </c>
      <c r="Z74" s="1189">
        <f t="shared" si="45"/>
        <v>4.668730850908619E-3</v>
      </c>
      <c r="AA74" s="1189">
        <f t="shared" si="46"/>
        <v>3.2745959440400735E-3</v>
      </c>
      <c r="AB74" s="1233">
        <f t="shared" si="47"/>
        <v>1.3519866422422876E-2</v>
      </c>
      <c r="AC74" s="594">
        <f t="shared" si="51"/>
        <v>0.19490330215442475</v>
      </c>
      <c r="AD74" s="595">
        <f t="shared" si="52"/>
        <v>0.59278292022630374</v>
      </c>
      <c r="AE74" s="596">
        <f t="shared" si="53"/>
        <v>0.21231377761927148</v>
      </c>
      <c r="AF74" s="588">
        <v>1619</v>
      </c>
      <c r="AG74" s="267">
        <f t="shared" si="54"/>
        <v>2.6245400165350884E-2</v>
      </c>
    </row>
    <row r="75" spans="1:33" x14ac:dyDescent="0.25">
      <c r="A75" s="265" t="s">
        <v>182</v>
      </c>
      <c r="B75" s="265" t="s">
        <v>183</v>
      </c>
      <c r="C75" s="265" t="s">
        <v>266</v>
      </c>
      <c r="D75" s="265">
        <v>1</v>
      </c>
      <c r="E75" s="588">
        <v>28443</v>
      </c>
      <c r="F75" s="2282">
        <v>14870</v>
      </c>
      <c r="G75" s="2283">
        <v>13573</v>
      </c>
      <c r="H75" s="589">
        <v>24721</v>
      </c>
      <c r="I75" s="589">
        <v>3000</v>
      </c>
      <c r="J75" s="589">
        <v>209</v>
      </c>
      <c r="K75" s="589">
        <v>124</v>
      </c>
      <c r="L75" s="590">
        <v>389</v>
      </c>
      <c r="M75" s="2282">
        <f t="shared" si="48"/>
        <v>5331</v>
      </c>
      <c r="N75" s="589">
        <f t="shared" si="49"/>
        <v>18199</v>
      </c>
      <c r="O75" s="2283">
        <f t="shared" si="50"/>
        <v>4913</v>
      </c>
      <c r="P75" s="2282">
        <v>2832</v>
      </c>
      <c r="Q75" s="589">
        <v>9655</v>
      </c>
      <c r="R75" s="589">
        <v>2383</v>
      </c>
      <c r="S75" s="2282">
        <v>2499</v>
      </c>
      <c r="T75" s="589">
        <v>8544</v>
      </c>
      <c r="U75" s="2283">
        <v>2530</v>
      </c>
      <c r="V75" s="1189">
        <f t="shared" si="41"/>
        <v>0.52279998593678589</v>
      </c>
      <c r="W75" s="1189">
        <f t="shared" si="42"/>
        <v>0.47720001406321416</v>
      </c>
      <c r="X75" s="1231">
        <f t="shared" si="43"/>
        <v>0.86914179235664313</v>
      </c>
      <c r="Y75" s="1189">
        <f t="shared" si="44"/>
        <v>0.10547410610695074</v>
      </c>
      <c r="Z75" s="1189">
        <f t="shared" si="45"/>
        <v>7.3480293921175683E-3</v>
      </c>
      <c r="AA75" s="1189">
        <f t="shared" si="46"/>
        <v>4.3595963857539638E-3</v>
      </c>
      <c r="AB75" s="1233">
        <f t="shared" si="47"/>
        <v>1.3676475758534612E-2</v>
      </c>
      <c r="AC75" s="594">
        <f t="shared" si="51"/>
        <v>0.18742748655205146</v>
      </c>
      <c r="AD75" s="595">
        <f t="shared" si="52"/>
        <v>0.6398410856801322</v>
      </c>
      <c r="AE75" s="596">
        <f t="shared" si="53"/>
        <v>0.17273142776781633</v>
      </c>
      <c r="AF75" s="588">
        <v>598</v>
      </c>
      <c r="AG75" s="267">
        <f t="shared" si="54"/>
        <v>2.1024505150652181E-2</v>
      </c>
    </row>
    <row r="76" spans="1:33" x14ac:dyDescent="0.25">
      <c r="A76" s="265" t="s">
        <v>184</v>
      </c>
      <c r="B76" s="265" t="s">
        <v>185</v>
      </c>
      <c r="C76" s="265" t="s">
        <v>266</v>
      </c>
      <c r="D76" s="265">
        <v>2</v>
      </c>
      <c r="E76" s="588">
        <v>23142</v>
      </c>
      <c r="F76" s="2282">
        <v>11516</v>
      </c>
      <c r="G76" s="2283">
        <v>11626</v>
      </c>
      <c r="H76" s="589">
        <v>14804</v>
      </c>
      <c r="I76" s="589">
        <v>7513</v>
      </c>
      <c r="J76" s="589">
        <v>331</v>
      </c>
      <c r="K76" s="589">
        <v>97</v>
      </c>
      <c r="L76" s="590">
        <v>397</v>
      </c>
      <c r="M76" s="2282">
        <f t="shared" si="48"/>
        <v>3730</v>
      </c>
      <c r="N76" s="589">
        <f t="shared" si="49"/>
        <v>15646</v>
      </c>
      <c r="O76" s="2283">
        <f t="shared" si="50"/>
        <v>3766</v>
      </c>
      <c r="P76" s="2282">
        <v>1883</v>
      </c>
      <c r="Q76" s="589">
        <v>7978</v>
      </c>
      <c r="R76" s="589">
        <v>1655</v>
      </c>
      <c r="S76" s="2282">
        <v>1847</v>
      </c>
      <c r="T76" s="589">
        <v>7668</v>
      </c>
      <c r="U76" s="2283">
        <v>2111</v>
      </c>
      <c r="V76" s="1189">
        <f t="shared" si="41"/>
        <v>0.49762336876674446</v>
      </c>
      <c r="W76" s="1189">
        <f t="shared" si="42"/>
        <v>0.5023766312332556</v>
      </c>
      <c r="X76" s="1231">
        <f t="shared" si="43"/>
        <v>0.63970270503845816</v>
      </c>
      <c r="Y76" s="1189">
        <f t="shared" si="44"/>
        <v>0.32464782646270851</v>
      </c>
      <c r="Z76" s="1189">
        <f t="shared" si="45"/>
        <v>1.43029988765016E-2</v>
      </c>
      <c r="AA76" s="1189">
        <f t="shared" si="46"/>
        <v>4.1915132659234291E-3</v>
      </c>
      <c r="AB76" s="1233">
        <f t="shared" si="47"/>
        <v>1.7154956356408263E-2</v>
      </c>
      <c r="AC76" s="594">
        <f t="shared" si="51"/>
        <v>0.16117880909169474</v>
      </c>
      <c r="AD76" s="595">
        <f t="shared" si="52"/>
        <v>0.67608676864575235</v>
      </c>
      <c r="AE76" s="596">
        <f t="shared" si="53"/>
        <v>0.16273442226255294</v>
      </c>
      <c r="AF76" s="588">
        <v>557</v>
      </c>
      <c r="AG76" s="267">
        <f t="shared" si="54"/>
        <v>2.4068792671333505E-2</v>
      </c>
    </row>
    <row r="77" spans="1:33" x14ac:dyDescent="0.25">
      <c r="A77" s="265" t="s">
        <v>186</v>
      </c>
      <c r="B77" s="265" t="s">
        <v>187</v>
      </c>
      <c r="C77" s="265" t="s">
        <v>264</v>
      </c>
      <c r="D77" s="265">
        <v>2</v>
      </c>
      <c r="E77" s="588">
        <v>37845</v>
      </c>
      <c r="F77" s="2282">
        <v>20522</v>
      </c>
      <c r="G77" s="2283">
        <v>17323</v>
      </c>
      <c r="H77" s="589">
        <v>23286</v>
      </c>
      <c r="I77" s="589">
        <v>12308</v>
      </c>
      <c r="J77" s="589">
        <v>722</v>
      </c>
      <c r="K77" s="589">
        <v>438</v>
      </c>
      <c r="L77" s="590">
        <v>1091</v>
      </c>
      <c r="M77" s="2282">
        <f t="shared" si="48"/>
        <v>8223</v>
      </c>
      <c r="N77" s="589">
        <f t="shared" si="49"/>
        <v>24616</v>
      </c>
      <c r="O77" s="2283">
        <f t="shared" si="50"/>
        <v>5006</v>
      </c>
      <c r="P77" s="2282">
        <v>4110</v>
      </c>
      <c r="Q77" s="589">
        <v>14024</v>
      </c>
      <c r="R77" s="589">
        <v>2388</v>
      </c>
      <c r="S77" s="2282">
        <v>4113</v>
      </c>
      <c r="T77" s="589">
        <v>10592</v>
      </c>
      <c r="U77" s="2283">
        <v>2618</v>
      </c>
      <c r="V77" s="1189">
        <f t="shared" si="41"/>
        <v>0.5422644999339411</v>
      </c>
      <c r="W77" s="1189">
        <f t="shared" si="42"/>
        <v>0.4577355000660589</v>
      </c>
      <c r="X77" s="1231">
        <f t="shared" si="43"/>
        <v>0.61529924692825999</v>
      </c>
      <c r="Y77" s="1189">
        <f t="shared" si="44"/>
        <v>0.3252212973972784</v>
      </c>
      <c r="Z77" s="1189">
        <f t="shared" si="45"/>
        <v>1.9077817413132515E-2</v>
      </c>
      <c r="AA77" s="1189">
        <f t="shared" si="46"/>
        <v>1.1573523583036068E-2</v>
      </c>
      <c r="AB77" s="1233">
        <f t="shared" si="47"/>
        <v>2.8828114678293038E-2</v>
      </c>
      <c r="AC77" s="594">
        <f t="shared" si="51"/>
        <v>0.21728101466508126</v>
      </c>
      <c r="AD77" s="595">
        <f t="shared" si="52"/>
        <v>0.65044259479455679</v>
      </c>
      <c r="AE77" s="596">
        <f t="shared" si="53"/>
        <v>0.132276390540362</v>
      </c>
      <c r="AF77" s="588">
        <v>2962</v>
      </c>
      <c r="AG77" s="267">
        <f t="shared" si="54"/>
        <v>7.8266613819527014E-2</v>
      </c>
    </row>
    <row r="78" spans="1:33" x14ac:dyDescent="0.25">
      <c r="A78" s="265" t="s">
        <v>188</v>
      </c>
      <c r="B78" s="265" t="s">
        <v>189</v>
      </c>
      <c r="C78" s="265" t="s">
        <v>267</v>
      </c>
      <c r="D78" s="265">
        <v>3</v>
      </c>
      <c r="E78" s="588">
        <v>455210</v>
      </c>
      <c r="F78" s="2282">
        <v>226849</v>
      </c>
      <c r="G78" s="2283">
        <v>228361</v>
      </c>
      <c r="H78" s="589">
        <v>288538</v>
      </c>
      <c r="I78" s="589">
        <v>100045</v>
      </c>
      <c r="J78" s="589">
        <v>40381</v>
      </c>
      <c r="K78" s="589">
        <v>5920</v>
      </c>
      <c r="L78" s="590">
        <v>20326</v>
      </c>
      <c r="M78" s="2282">
        <f t="shared" si="48"/>
        <v>125863</v>
      </c>
      <c r="N78" s="589">
        <f t="shared" si="49"/>
        <v>287885</v>
      </c>
      <c r="O78" s="2283">
        <f t="shared" si="50"/>
        <v>41462</v>
      </c>
      <c r="P78" s="2282">
        <v>64313</v>
      </c>
      <c r="Q78" s="589">
        <v>144132</v>
      </c>
      <c r="R78" s="589">
        <v>18404</v>
      </c>
      <c r="S78" s="2282">
        <v>61550</v>
      </c>
      <c r="T78" s="589">
        <v>143753</v>
      </c>
      <c r="U78" s="2283">
        <v>23058</v>
      </c>
      <c r="V78" s="1189">
        <f t="shared" si="41"/>
        <v>0.49833922804859293</v>
      </c>
      <c r="W78" s="1189">
        <f t="shared" si="42"/>
        <v>0.50166077195140701</v>
      </c>
      <c r="X78" s="1231">
        <f t="shared" si="43"/>
        <v>0.63385690121043037</v>
      </c>
      <c r="Y78" s="1189">
        <f t="shared" si="44"/>
        <v>0.21977768502449418</v>
      </c>
      <c r="Z78" s="1189">
        <f t="shared" si="45"/>
        <v>8.8708508161068511E-2</v>
      </c>
      <c r="AA78" s="1189">
        <f t="shared" si="46"/>
        <v>1.3004986709430812E-2</v>
      </c>
      <c r="AB78" s="1233">
        <f t="shared" si="47"/>
        <v>4.4651918894576127E-2</v>
      </c>
      <c r="AC78" s="594">
        <f t="shared" si="51"/>
        <v>0.27649436523802201</v>
      </c>
      <c r="AD78" s="595">
        <f t="shared" si="52"/>
        <v>0.63242239845346104</v>
      </c>
      <c r="AE78" s="596">
        <f t="shared" si="53"/>
        <v>9.1083236308516946E-2</v>
      </c>
      <c r="AF78" s="588">
        <v>104223</v>
      </c>
      <c r="AG78" s="267">
        <f t="shared" si="54"/>
        <v>0.22895586652314318</v>
      </c>
    </row>
    <row r="79" spans="1:33" x14ac:dyDescent="0.25">
      <c r="A79" s="265" t="s">
        <v>190</v>
      </c>
      <c r="B79" s="265" t="s">
        <v>191</v>
      </c>
      <c r="C79" s="265" t="s">
        <v>268</v>
      </c>
      <c r="D79" s="265">
        <v>2</v>
      </c>
      <c r="E79" s="588">
        <v>34203</v>
      </c>
      <c r="F79" s="2282">
        <v>17144</v>
      </c>
      <c r="G79" s="2283">
        <v>17059</v>
      </c>
      <c r="H79" s="589">
        <v>31651</v>
      </c>
      <c r="I79" s="589">
        <v>1733</v>
      </c>
      <c r="J79" s="589">
        <v>211</v>
      </c>
      <c r="K79" s="589">
        <v>81</v>
      </c>
      <c r="L79" s="590">
        <v>527</v>
      </c>
      <c r="M79" s="2282">
        <f t="shared" si="48"/>
        <v>6205</v>
      </c>
      <c r="N79" s="589">
        <f t="shared" si="49"/>
        <v>20582</v>
      </c>
      <c r="O79" s="2283">
        <f t="shared" si="50"/>
        <v>7416</v>
      </c>
      <c r="P79" s="2282">
        <v>3131</v>
      </c>
      <c r="Q79" s="589">
        <v>10661</v>
      </c>
      <c r="R79" s="589">
        <v>3352</v>
      </c>
      <c r="S79" s="2282">
        <v>3074</v>
      </c>
      <c r="T79" s="589">
        <v>9921</v>
      </c>
      <c r="U79" s="2283">
        <v>4064</v>
      </c>
      <c r="V79" s="1189">
        <f t="shared" si="41"/>
        <v>0.50124258106014097</v>
      </c>
      <c r="W79" s="1189">
        <f t="shared" si="42"/>
        <v>0.49875741893985909</v>
      </c>
      <c r="X79" s="1231">
        <f t="shared" si="43"/>
        <v>0.92538666198871444</v>
      </c>
      <c r="Y79" s="1189">
        <f t="shared" si="44"/>
        <v>5.0668070052334591E-2</v>
      </c>
      <c r="Z79" s="1189">
        <f t="shared" si="45"/>
        <v>6.1690494985819954E-3</v>
      </c>
      <c r="AA79" s="1189">
        <f t="shared" si="46"/>
        <v>2.3682133146215242E-3</v>
      </c>
      <c r="AB79" s="1233">
        <f t="shared" si="47"/>
        <v>1.5408005145747449E-2</v>
      </c>
      <c r="AC79" s="594">
        <f t="shared" si="51"/>
        <v>0.1814168347805748</v>
      </c>
      <c r="AD79" s="595">
        <f t="shared" si="52"/>
        <v>0.60176007952518784</v>
      </c>
      <c r="AE79" s="596">
        <f t="shared" si="53"/>
        <v>0.21682308569423736</v>
      </c>
      <c r="AF79" s="588">
        <v>602</v>
      </c>
      <c r="AG79" s="267">
        <f t="shared" si="54"/>
        <v>1.7600795251878489E-2</v>
      </c>
    </row>
    <row r="80" spans="1:33" x14ac:dyDescent="0.25">
      <c r="A80" s="265" t="s">
        <v>194</v>
      </c>
      <c r="B80" s="265" t="s">
        <v>195</v>
      </c>
      <c r="C80" s="265" t="s">
        <v>267</v>
      </c>
      <c r="D80" s="265">
        <v>1</v>
      </c>
      <c r="E80" s="588">
        <v>7388</v>
      </c>
      <c r="F80" s="2282">
        <v>3651</v>
      </c>
      <c r="G80" s="2283">
        <v>3737</v>
      </c>
      <c r="H80" s="589">
        <v>6816</v>
      </c>
      <c r="I80" s="589">
        <v>331</v>
      </c>
      <c r="J80" s="589">
        <v>62</v>
      </c>
      <c r="K80" s="589">
        <v>28</v>
      </c>
      <c r="L80" s="590">
        <v>151</v>
      </c>
      <c r="M80" s="2282">
        <f t="shared" si="48"/>
        <v>1307</v>
      </c>
      <c r="N80" s="589">
        <f t="shared" si="49"/>
        <v>4153</v>
      </c>
      <c r="O80" s="2283">
        <f t="shared" si="50"/>
        <v>1928</v>
      </c>
      <c r="P80" s="2282">
        <v>667</v>
      </c>
      <c r="Q80" s="589">
        <v>2045</v>
      </c>
      <c r="R80" s="589">
        <v>939</v>
      </c>
      <c r="S80" s="2282">
        <v>640</v>
      </c>
      <c r="T80" s="589">
        <v>2108</v>
      </c>
      <c r="U80" s="2283">
        <v>989</v>
      </c>
      <c r="V80" s="1189">
        <f t="shared" si="41"/>
        <v>0.4941797509474824</v>
      </c>
      <c r="W80" s="1189">
        <f t="shared" si="42"/>
        <v>0.50582024905251755</v>
      </c>
      <c r="X80" s="1231">
        <f t="shared" si="43"/>
        <v>0.92257715213860314</v>
      </c>
      <c r="Y80" s="1189">
        <f t="shared" si="44"/>
        <v>4.4802382241472656E-2</v>
      </c>
      <c r="Z80" s="1189">
        <f t="shared" si="45"/>
        <v>8.3919870059556041E-3</v>
      </c>
      <c r="AA80" s="1189">
        <f t="shared" si="46"/>
        <v>3.7899296155928532E-3</v>
      </c>
      <c r="AB80" s="1233">
        <f t="shared" si="47"/>
        <v>2.0438548998375744E-2</v>
      </c>
      <c r="AC80" s="594">
        <f t="shared" si="51"/>
        <v>0.17690850027070926</v>
      </c>
      <c r="AD80" s="595">
        <f t="shared" si="52"/>
        <v>0.56212777476989717</v>
      </c>
      <c r="AE80" s="596">
        <f t="shared" si="53"/>
        <v>0.26096372495939363</v>
      </c>
      <c r="AF80" s="588">
        <v>284</v>
      </c>
      <c r="AG80" s="267">
        <f t="shared" si="54"/>
        <v>3.8440714672441798E-2</v>
      </c>
    </row>
    <row r="81" spans="1:33" x14ac:dyDescent="0.25">
      <c r="A81" s="265" t="s">
        <v>198</v>
      </c>
      <c r="B81" s="265" t="s">
        <v>199</v>
      </c>
      <c r="C81" s="265" t="s">
        <v>266</v>
      </c>
      <c r="D81" s="265">
        <v>1</v>
      </c>
      <c r="E81" s="588">
        <v>8774</v>
      </c>
      <c r="F81" s="2282">
        <v>4843</v>
      </c>
      <c r="G81" s="2283">
        <v>3931</v>
      </c>
      <c r="H81" s="589">
        <v>5911</v>
      </c>
      <c r="I81" s="589">
        <v>2587</v>
      </c>
      <c r="J81" s="589">
        <v>56</v>
      </c>
      <c r="K81" s="589">
        <v>47</v>
      </c>
      <c r="L81" s="590">
        <v>173</v>
      </c>
      <c r="M81" s="2282">
        <f t="shared" si="48"/>
        <v>1481</v>
      </c>
      <c r="N81" s="589">
        <f t="shared" si="49"/>
        <v>5442</v>
      </c>
      <c r="O81" s="2283">
        <f t="shared" si="50"/>
        <v>1851</v>
      </c>
      <c r="P81" s="2282">
        <v>737</v>
      </c>
      <c r="Q81" s="589">
        <v>3351</v>
      </c>
      <c r="R81" s="589">
        <v>755</v>
      </c>
      <c r="S81" s="2282">
        <v>744</v>
      </c>
      <c r="T81" s="589">
        <v>2091</v>
      </c>
      <c r="U81" s="2283">
        <v>1096</v>
      </c>
      <c r="V81" s="1189">
        <f t="shared" si="41"/>
        <v>0.55197173467061778</v>
      </c>
      <c r="W81" s="1189">
        <f t="shared" si="42"/>
        <v>0.44802826532938228</v>
      </c>
      <c r="X81" s="1231">
        <f t="shared" si="43"/>
        <v>0.67369500797811721</v>
      </c>
      <c r="Y81" s="1189">
        <f t="shared" si="44"/>
        <v>0.29484841577387738</v>
      </c>
      <c r="Z81" s="1189">
        <f t="shared" si="45"/>
        <v>6.3824937314793705E-3</v>
      </c>
      <c r="AA81" s="1189">
        <f t="shared" si="46"/>
        <v>5.3567358103487573E-3</v>
      </c>
      <c r="AB81" s="1233">
        <f t="shared" si="47"/>
        <v>1.9717346706177342E-2</v>
      </c>
      <c r="AC81" s="594">
        <f t="shared" si="51"/>
        <v>0.16879416457715979</v>
      </c>
      <c r="AD81" s="595">
        <f t="shared" si="52"/>
        <v>0.62024162297697738</v>
      </c>
      <c r="AE81" s="596">
        <f t="shared" si="53"/>
        <v>0.21096421244586278</v>
      </c>
      <c r="AF81" s="588">
        <v>605</v>
      </c>
      <c r="AG81" s="267">
        <f t="shared" si="54"/>
        <v>6.8953726920446781E-2</v>
      </c>
    </row>
    <row r="82" spans="1:33" x14ac:dyDescent="0.25">
      <c r="A82" s="265" t="s">
        <v>202</v>
      </c>
      <c r="B82" s="265" t="s">
        <v>203</v>
      </c>
      <c r="C82" s="265" t="s">
        <v>265</v>
      </c>
      <c r="D82" s="265">
        <v>3</v>
      </c>
      <c r="E82" s="588">
        <v>119580</v>
      </c>
      <c r="F82" s="2282">
        <v>57351</v>
      </c>
      <c r="G82" s="2283">
        <v>62229</v>
      </c>
      <c r="H82" s="589">
        <v>105749</v>
      </c>
      <c r="I82" s="589">
        <v>7539</v>
      </c>
      <c r="J82" s="589">
        <v>3782</v>
      </c>
      <c r="K82" s="589">
        <v>332</v>
      </c>
      <c r="L82" s="590">
        <v>2178</v>
      </c>
      <c r="M82" s="2282">
        <f t="shared" si="48"/>
        <v>24149</v>
      </c>
      <c r="N82" s="589">
        <f t="shared" si="49"/>
        <v>71389</v>
      </c>
      <c r="O82" s="2283">
        <f t="shared" si="50"/>
        <v>24042</v>
      </c>
      <c r="P82" s="2282">
        <v>12460</v>
      </c>
      <c r="Q82" s="589">
        <v>34668</v>
      </c>
      <c r="R82" s="589">
        <v>10223</v>
      </c>
      <c r="S82" s="2282">
        <v>11689</v>
      </c>
      <c r="T82" s="589">
        <v>36721</v>
      </c>
      <c r="U82" s="2283">
        <v>13819</v>
      </c>
      <c r="V82" s="1189">
        <f t="shared" si="41"/>
        <v>0.47960361264425488</v>
      </c>
      <c r="W82" s="1189">
        <f t="shared" si="42"/>
        <v>0.52039638735574512</v>
      </c>
      <c r="X82" s="1231">
        <f t="shared" si="43"/>
        <v>0.88433684562635895</v>
      </c>
      <c r="Y82" s="1189">
        <f t="shared" si="44"/>
        <v>6.304565980933266E-2</v>
      </c>
      <c r="Z82" s="1189">
        <f t="shared" si="45"/>
        <v>3.1627362435189828E-2</v>
      </c>
      <c r="AA82" s="1189">
        <f t="shared" si="46"/>
        <v>2.776384010704131E-3</v>
      </c>
      <c r="AB82" s="1233">
        <f t="shared" si="47"/>
        <v>1.821374811841445E-2</v>
      </c>
      <c r="AC82" s="594">
        <f t="shared" si="51"/>
        <v>0.20194848636895801</v>
      </c>
      <c r="AD82" s="595">
        <f t="shared" si="52"/>
        <v>0.59699782572336513</v>
      </c>
      <c r="AE82" s="596">
        <f t="shared" si="53"/>
        <v>0.20105368790767686</v>
      </c>
      <c r="AF82" s="588">
        <v>3741</v>
      </c>
      <c r="AG82" s="267">
        <f t="shared" si="54"/>
        <v>3.1284495735072755E-2</v>
      </c>
    </row>
    <row r="83" spans="1:33" x14ac:dyDescent="0.25">
      <c r="A83" s="265" t="s">
        <v>204</v>
      </c>
      <c r="B83" s="265" t="s">
        <v>205</v>
      </c>
      <c r="C83" s="265" t="s">
        <v>265</v>
      </c>
      <c r="D83" s="265">
        <v>2</v>
      </c>
      <c r="E83" s="588">
        <v>35889</v>
      </c>
      <c r="F83" s="2282">
        <v>18084</v>
      </c>
      <c r="G83" s="2283">
        <v>17805</v>
      </c>
      <c r="H83" s="589">
        <v>32973</v>
      </c>
      <c r="I83" s="589">
        <v>1620</v>
      </c>
      <c r="J83" s="589">
        <v>381</v>
      </c>
      <c r="K83" s="589">
        <v>250</v>
      </c>
      <c r="L83" s="590">
        <v>665</v>
      </c>
      <c r="M83" s="2282">
        <f t="shared" si="48"/>
        <v>5890</v>
      </c>
      <c r="N83" s="589">
        <f t="shared" si="49"/>
        <v>22124</v>
      </c>
      <c r="O83" s="2283">
        <f t="shared" si="50"/>
        <v>7875</v>
      </c>
      <c r="P83" s="2282">
        <v>2928</v>
      </c>
      <c r="Q83" s="589">
        <v>11541</v>
      </c>
      <c r="R83" s="589">
        <v>3615</v>
      </c>
      <c r="S83" s="2282">
        <v>2962</v>
      </c>
      <c r="T83" s="589">
        <v>10583</v>
      </c>
      <c r="U83" s="2283">
        <v>4260</v>
      </c>
      <c r="V83" s="1189">
        <f t="shared" si="41"/>
        <v>0.50388698487001593</v>
      </c>
      <c r="W83" s="1189">
        <f t="shared" si="42"/>
        <v>0.49611301512998413</v>
      </c>
      <c r="X83" s="1231">
        <f t="shared" si="43"/>
        <v>0.91874947755579706</v>
      </c>
      <c r="Y83" s="1189">
        <f t="shared" si="44"/>
        <v>4.5139179135668311E-2</v>
      </c>
      <c r="Z83" s="1189">
        <f t="shared" si="45"/>
        <v>1.06160662041294E-2</v>
      </c>
      <c r="AA83" s="1189">
        <f t="shared" si="46"/>
        <v>6.9659227061216527E-3</v>
      </c>
      <c r="AB83" s="1233">
        <f t="shared" si="47"/>
        <v>1.8529354398283595E-2</v>
      </c>
      <c r="AC83" s="594">
        <f t="shared" si="51"/>
        <v>0.16411713895622615</v>
      </c>
      <c r="AD83" s="595">
        <f t="shared" si="52"/>
        <v>0.61645629580094174</v>
      </c>
      <c r="AE83" s="596">
        <f t="shared" si="53"/>
        <v>0.21942656524283208</v>
      </c>
      <c r="AF83" s="588">
        <v>850</v>
      </c>
      <c r="AG83" s="267">
        <f t="shared" si="54"/>
        <v>2.368413720081362E-2</v>
      </c>
    </row>
    <row r="84" spans="1:33" x14ac:dyDescent="0.25">
      <c r="A84" s="265" t="s">
        <v>206</v>
      </c>
      <c r="B84" s="265" t="s">
        <v>207</v>
      </c>
      <c r="C84" s="265" t="s">
        <v>267</v>
      </c>
      <c r="D84" s="265">
        <v>3</v>
      </c>
      <c r="E84" s="588">
        <v>132822</v>
      </c>
      <c r="F84" s="2282">
        <v>64681</v>
      </c>
      <c r="G84" s="2283">
        <v>68141</v>
      </c>
      <c r="H84" s="589">
        <v>119900</v>
      </c>
      <c r="I84" s="589">
        <v>6333</v>
      </c>
      <c r="J84" s="589">
        <v>2865</v>
      </c>
      <c r="K84" s="589">
        <v>1060</v>
      </c>
      <c r="L84" s="590">
        <v>2664</v>
      </c>
      <c r="M84" s="2282">
        <f t="shared" si="48"/>
        <v>26255</v>
      </c>
      <c r="N84" s="589">
        <f t="shared" si="49"/>
        <v>87150</v>
      </c>
      <c r="O84" s="2283">
        <f t="shared" si="50"/>
        <v>19417</v>
      </c>
      <c r="P84" s="2282">
        <v>13438</v>
      </c>
      <c r="Q84" s="589">
        <v>42618</v>
      </c>
      <c r="R84" s="589">
        <v>8625</v>
      </c>
      <c r="S84" s="2282">
        <v>12817</v>
      </c>
      <c r="T84" s="589">
        <v>44532</v>
      </c>
      <c r="U84" s="2283">
        <v>10792</v>
      </c>
      <c r="V84" s="1189">
        <f t="shared" si="41"/>
        <v>0.48697504931411967</v>
      </c>
      <c r="W84" s="1189">
        <f t="shared" si="42"/>
        <v>0.51302495068588039</v>
      </c>
      <c r="X84" s="1231">
        <f t="shared" si="43"/>
        <v>0.90271190013702551</v>
      </c>
      <c r="Y84" s="1189">
        <f t="shared" si="44"/>
        <v>4.7680354158196686E-2</v>
      </c>
      <c r="Z84" s="1189">
        <f t="shared" si="45"/>
        <v>2.1570221800605322E-2</v>
      </c>
      <c r="AA84" s="1189">
        <f t="shared" si="46"/>
        <v>7.9806056225625276E-3</v>
      </c>
      <c r="AB84" s="1233">
        <f t="shared" si="47"/>
        <v>2.0056918281609975E-2</v>
      </c>
      <c r="AC84" s="594">
        <f t="shared" si="51"/>
        <v>0.1976705666229992</v>
      </c>
      <c r="AD84" s="595">
        <f t="shared" si="52"/>
        <v>0.65614130189275877</v>
      </c>
      <c r="AE84" s="596">
        <f t="shared" si="53"/>
        <v>0.14618813148424206</v>
      </c>
      <c r="AF84" s="588">
        <v>15413</v>
      </c>
      <c r="AG84" s="267">
        <f t="shared" si="54"/>
        <v>0.11604252307599644</v>
      </c>
    </row>
    <row r="85" spans="1:33" x14ac:dyDescent="0.25">
      <c r="A85" s="265" t="s">
        <v>208</v>
      </c>
      <c r="B85" s="265" t="s">
        <v>209</v>
      </c>
      <c r="C85" s="265" t="s">
        <v>268</v>
      </c>
      <c r="D85" s="265">
        <v>2</v>
      </c>
      <c r="E85" s="588">
        <v>27370</v>
      </c>
      <c r="F85" s="2282">
        <v>13412</v>
      </c>
      <c r="G85" s="2283">
        <v>13958</v>
      </c>
      <c r="H85" s="589">
        <v>26736</v>
      </c>
      <c r="I85" s="589">
        <v>281</v>
      </c>
      <c r="J85" s="589">
        <v>58</v>
      </c>
      <c r="K85" s="589">
        <v>70</v>
      </c>
      <c r="L85" s="590">
        <v>225</v>
      </c>
      <c r="M85" s="2282">
        <f t="shared" si="48"/>
        <v>5311</v>
      </c>
      <c r="N85" s="589">
        <f t="shared" si="49"/>
        <v>16555</v>
      </c>
      <c r="O85" s="2283">
        <f t="shared" si="50"/>
        <v>5504</v>
      </c>
      <c r="P85" s="2282">
        <v>2673</v>
      </c>
      <c r="Q85" s="589">
        <v>8255</v>
      </c>
      <c r="R85" s="589">
        <v>2484</v>
      </c>
      <c r="S85" s="2282">
        <v>2638</v>
      </c>
      <c r="T85" s="589">
        <v>8300</v>
      </c>
      <c r="U85" s="2283">
        <v>3020</v>
      </c>
      <c r="V85" s="1189">
        <f t="shared" si="41"/>
        <v>0.49002557544757031</v>
      </c>
      <c r="W85" s="1189">
        <f t="shared" si="42"/>
        <v>0.50997442455242969</v>
      </c>
      <c r="X85" s="1231">
        <f t="shared" si="43"/>
        <v>0.9768359517720131</v>
      </c>
      <c r="Y85" s="1189">
        <f t="shared" si="44"/>
        <v>1.0266715381804896E-2</v>
      </c>
      <c r="Z85" s="1189">
        <f t="shared" si="45"/>
        <v>2.1191085129704055E-3</v>
      </c>
      <c r="AA85" s="1189">
        <f t="shared" si="46"/>
        <v>2.5575447570332483E-3</v>
      </c>
      <c r="AB85" s="1233">
        <f t="shared" si="47"/>
        <v>8.2206795761782976E-3</v>
      </c>
      <c r="AC85" s="594">
        <f t="shared" si="51"/>
        <v>0.19404457435147973</v>
      </c>
      <c r="AD85" s="595">
        <f t="shared" si="52"/>
        <v>0.6048593350383632</v>
      </c>
      <c r="AE85" s="596">
        <f t="shared" si="53"/>
        <v>0.2010960906101571</v>
      </c>
      <c r="AF85" s="588">
        <v>360</v>
      </c>
      <c r="AG85" s="267">
        <f t="shared" si="54"/>
        <v>1.3153087321885276E-2</v>
      </c>
    </row>
    <row r="86" spans="1:33" x14ac:dyDescent="0.25">
      <c r="A86" s="265" t="s">
        <v>210</v>
      </c>
      <c r="B86" s="265" t="s">
        <v>211</v>
      </c>
      <c r="C86" s="265" t="s">
        <v>268</v>
      </c>
      <c r="D86" s="265">
        <v>2</v>
      </c>
      <c r="E86" s="588">
        <v>21930</v>
      </c>
      <c r="F86" s="2282">
        <v>11019</v>
      </c>
      <c r="G86" s="2283">
        <v>10911</v>
      </c>
      <c r="H86" s="589">
        <v>21449</v>
      </c>
      <c r="I86" s="589">
        <v>177</v>
      </c>
      <c r="J86" s="589">
        <v>45</v>
      </c>
      <c r="K86" s="589">
        <v>84</v>
      </c>
      <c r="L86" s="590">
        <v>175</v>
      </c>
      <c r="M86" s="2282">
        <f t="shared" si="48"/>
        <v>4006</v>
      </c>
      <c r="N86" s="589">
        <f t="shared" si="49"/>
        <v>12987</v>
      </c>
      <c r="O86" s="2283">
        <f t="shared" si="50"/>
        <v>4937</v>
      </c>
      <c r="P86" s="2282">
        <v>2001</v>
      </c>
      <c r="Q86" s="589">
        <v>6733</v>
      </c>
      <c r="R86" s="589">
        <v>2285</v>
      </c>
      <c r="S86" s="2282">
        <v>2005</v>
      </c>
      <c r="T86" s="589">
        <v>6254</v>
      </c>
      <c r="U86" s="2283">
        <v>2652</v>
      </c>
      <c r="V86" s="1189">
        <f t="shared" si="41"/>
        <v>0.50246238030095758</v>
      </c>
      <c r="W86" s="1189">
        <f t="shared" si="42"/>
        <v>0.49753761969904242</v>
      </c>
      <c r="X86" s="1231">
        <f t="shared" si="43"/>
        <v>0.97806657546739628</v>
      </c>
      <c r="Y86" s="1189">
        <f t="shared" si="44"/>
        <v>8.0711354309165526E-3</v>
      </c>
      <c r="Z86" s="1189">
        <f t="shared" si="45"/>
        <v>2.0519835841313269E-3</v>
      </c>
      <c r="AA86" s="1189">
        <f t="shared" si="46"/>
        <v>3.8303693570451436E-3</v>
      </c>
      <c r="AB86" s="1233">
        <f t="shared" si="47"/>
        <v>7.9799361605107158E-3</v>
      </c>
      <c r="AC86" s="594">
        <f t="shared" si="51"/>
        <v>0.18267213862289103</v>
      </c>
      <c r="AD86" s="595">
        <f t="shared" si="52"/>
        <v>0.59220246238030094</v>
      </c>
      <c r="AE86" s="596">
        <f t="shared" si="53"/>
        <v>0.22512539899680803</v>
      </c>
      <c r="AF86" s="588">
        <v>289</v>
      </c>
      <c r="AG86" s="267">
        <f t="shared" si="54"/>
        <v>1.3178294573643411E-2</v>
      </c>
    </row>
    <row r="87" spans="1:33" x14ac:dyDescent="0.25">
      <c r="A87" s="265" t="s">
        <v>212</v>
      </c>
      <c r="B87" s="265" t="s">
        <v>213</v>
      </c>
      <c r="C87" s="265" t="s">
        <v>267</v>
      </c>
      <c r="D87" s="265">
        <v>2</v>
      </c>
      <c r="E87" s="588">
        <v>43175</v>
      </c>
      <c r="F87" s="2282">
        <v>21133</v>
      </c>
      <c r="G87" s="2283">
        <v>22042</v>
      </c>
      <c r="H87" s="589">
        <v>40733</v>
      </c>
      <c r="I87" s="589">
        <v>1111</v>
      </c>
      <c r="J87" s="589">
        <v>363</v>
      </c>
      <c r="K87" s="589">
        <v>210</v>
      </c>
      <c r="L87" s="590">
        <v>758</v>
      </c>
      <c r="M87" s="2282">
        <f t="shared" si="48"/>
        <v>9198</v>
      </c>
      <c r="N87" s="589">
        <f t="shared" si="49"/>
        <v>24843</v>
      </c>
      <c r="O87" s="2283">
        <f t="shared" si="50"/>
        <v>9134</v>
      </c>
      <c r="P87" s="2282">
        <v>4691</v>
      </c>
      <c r="Q87" s="589">
        <v>12331</v>
      </c>
      <c r="R87" s="589">
        <v>4111</v>
      </c>
      <c r="S87" s="2282">
        <v>4507</v>
      </c>
      <c r="T87" s="589">
        <v>12512</v>
      </c>
      <c r="U87" s="2283">
        <v>5023</v>
      </c>
      <c r="V87" s="1189">
        <f t="shared" si="41"/>
        <v>0.48947307469600465</v>
      </c>
      <c r="W87" s="1189">
        <f t="shared" si="42"/>
        <v>0.51052692530399535</v>
      </c>
      <c r="X87" s="1231">
        <f t="shared" si="43"/>
        <v>0.94343949044585984</v>
      </c>
      <c r="Y87" s="1189">
        <f t="shared" si="44"/>
        <v>2.573248407643312E-2</v>
      </c>
      <c r="Z87" s="1189">
        <f t="shared" si="45"/>
        <v>8.4076433121019114E-3</v>
      </c>
      <c r="AA87" s="1189">
        <f t="shared" si="46"/>
        <v>4.863925883034163E-3</v>
      </c>
      <c r="AB87" s="1233">
        <f t="shared" si="47"/>
        <v>1.7556456282570933E-2</v>
      </c>
      <c r="AC87" s="594">
        <f t="shared" si="51"/>
        <v>0.21303995367689635</v>
      </c>
      <c r="AD87" s="595">
        <f t="shared" si="52"/>
        <v>0.5754024319629415</v>
      </c>
      <c r="AE87" s="596">
        <f t="shared" si="53"/>
        <v>0.21155761436016213</v>
      </c>
      <c r="AF87" s="588">
        <v>3028</v>
      </c>
      <c r="AG87" s="267">
        <f t="shared" si="54"/>
        <v>7.0133178922987843E-2</v>
      </c>
    </row>
    <row r="88" spans="1:33" x14ac:dyDescent="0.25">
      <c r="A88" s="265" t="s">
        <v>214</v>
      </c>
      <c r="B88" s="265" t="s">
        <v>215</v>
      </c>
      <c r="C88" s="265" t="s">
        <v>268</v>
      </c>
      <c r="D88" s="265">
        <v>2</v>
      </c>
      <c r="E88" s="588">
        <v>31062</v>
      </c>
      <c r="F88" s="2282">
        <v>15257</v>
      </c>
      <c r="G88" s="2283">
        <v>15805</v>
      </c>
      <c r="H88" s="589">
        <v>29763</v>
      </c>
      <c r="I88" s="589">
        <v>757</v>
      </c>
      <c r="J88" s="589">
        <v>133</v>
      </c>
      <c r="K88" s="589">
        <v>56</v>
      </c>
      <c r="L88" s="590">
        <v>353</v>
      </c>
      <c r="M88" s="2282">
        <f t="shared" si="48"/>
        <v>6067</v>
      </c>
      <c r="N88" s="589">
        <f t="shared" si="49"/>
        <v>18438</v>
      </c>
      <c r="O88" s="2283">
        <f t="shared" si="50"/>
        <v>6557</v>
      </c>
      <c r="P88" s="2282">
        <v>3114</v>
      </c>
      <c r="Q88" s="589">
        <v>9230</v>
      </c>
      <c r="R88" s="589">
        <v>2913</v>
      </c>
      <c r="S88" s="2282">
        <v>2953</v>
      </c>
      <c r="T88" s="589">
        <v>9208</v>
      </c>
      <c r="U88" s="2283">
        <v>3644</v>
      </c>
      <c r="V88" s="1189">
        <f t="shared" si="41"/>
        <v>0.49117893245766531</v>
      </c>
      <c r="W88" s="1189">
        <f t="shared" si="42"/>
        <v>0.50882106754233469</v>
      </c>
      <c r="X88" s="1231">
        <f t="shared" si="43"/>
        <v>0.95818041336681481</v>
      </c>
      <c r="Y88" s="1189">
        <f t="shared" si="44"/>
        <v>2.4370613611486704E-2</v>
      </c>
      <c r="Z88" s="1189">
        <f t="shared" si="45"/>
        <v>4.2817590625201215E-3</v>
      </c>
      <c r="AA88" s="1189">
        <f t="shared" si="46"/>
        <v>1.8028459210611037E-3</v>
      </c>
      <c r="AB88" s="1233">
        <f t="shared" si="47"/>
        <v>1.1364368038117315E-2</v>
      </c>
      <c r="AC88" s="594">
        <f t="shared" si="51"/>
        <v>0.19531903934067349</v>
      </c>
      <c r="AD88" s="595">
        <f t="shared" si="52"/>
        <v>0.59358701950936832</v>
      </c>
      <c r="AE88" s="596">
        <f t="shared" si="53"/>
        <v>0.21109394114995814</v>
      </c>
      <c r="AF88" s="588">
        <v>649</v>
      </c>
      <c r="AG88" s="267">
        <f t="shared" si="54"/>
        <v>2.0893696478011717E-2</v>
      </c>
    </row>
    <row r="89" spans="1:33" x14ac:dyDescent="0.25">
      <c r="A89" s="265" t="s">
        <v>216</v>
      </c>
      <c r="B89" s="265" t="s">
        <v>217</v>
      </c>
      <c r="C89" s="265" t="s">
        <v>264</v>
      </c>
      <c r="D89" s="265">
        <v>2</v>
      </c>
      <c r="E89" s="588">
        <v>18057</v>
      </c>
      <c r="F89" s="2282">
        <v>9403</v>
      </c>
      <c r="G89" s="2283">
        <v>8654</v>
      </c>
      <c r="H89" s="589">
        <v>11198</v>
      </c>
      <c r="I89" s="589">
        <v>6397</v>
      </c>
      <c r="J89" s="589">
        <v>63</v>
      </c>
      <c r="K89" s="589">
        <v>88</v>
      </c>
      <c r="L89" s="590">
        <v>311</v>
      </c>
      <c r="M89" s="2282">
        <f t="shared" si="48"/>
        <v>3484</v>
      </c>
      <c r="N89" s="589">
        <f t="shared" si="49"/>
        <v>11127</v>
      </c>
      <c r="O89" s="2283">
        <f t="shared" si="50"/>
        <v>3446</v>
      </c>
      <c r="P89" s="2282">
        <v>1762</v>
      </c>
      <c r="Q89" s="589">
        <v>6016</v>
      </c>
      <c r="R89" s="589">
        <v>1625</v>
      </c>
      <c r="S89" s="2282">
        <v>1722</v>
      </c>
      <c r="T89" s="589">
        <v>5111</v>
      </c>
      <c r="U89" s="2283">
        <v>1821</v>
      </c>
      <c r="V89" s="1189">
        <f t="shared" si="41"/>
        <v>0.5207398792711968</v>
      </c>
      <c r="W89" s="1189">
        <f t="shared" si="42"/>
        <v>0.47926012072880325</v>
      </c>
      <c r="X89" s="1231">
        <f t="shared" si="43"/>
        <v>0.62014731129201972</v>
      </c>
      <c r="Y89" s="1189">
        <f t="shared" si="44"/>
        <v>0.35426704325192448</v>
      </c>
      <c r="Z89" s="1189">
        <f t="shared" si="45"/>
        <v>3.4889516530985216E-3</v>
      </c>
      <c r="AA89" s="1189">
        <f t="shared" si="46"/>
        <v>4.8734562773439663E-3</v>
      </c>
      <c r="AB89" s="1233">
        <f t="shared" si="47"/>
        <v>1.7223237525613336E-2</v>
      </c>
      <c r="AC89" s="594">
        <f t="shared" si="51"/>
        <v>0.1929445644348452</v>
      </c>
      <c r="AD89" s="595">
        <f t="shared" si="52"/>
        <v>0.61621531815916264</v>
      </c>
      <c r="AE89" s="596">
        <f t="shared" si="53"/>
        <v>0.19084011740599213</v>
      </c>
      <c r="AF89" s="588">
        <v>285</v>
      </c>
      <c r="AG89" s="267">
        <f t="shared" si="54"/>
        <v>1.5783352716398073E-2</v>
      </c>
    </row>
    <row r="90" spans="1:33" x14ac:dyDescent="0.25">
      <c r="A90" s="265" t="s">
        <v>218</v>
      </c>
      <c r="B90" s="265" t="s">
        <v>219</v>
      </c>
      <c r="C90" s="265" t="s">
        <v>267</v>
      </c>
      <c r="D90" s="265">
        <v>2</v>
      </c>
      <c r="E90" s="588">
        <v>132010</v>
      </c>
      <c r="F90" s="2282">
        <v>64870</v>
      </c>
      <c r="G90" s="2283">
        <v>67140</v>
      </c>
      <c r="H90" s="589">
        <v>101367</v>
      </c>
      <c r="I90" s="589">
        <v>21607</v>
      </c>
      <c r="J90" s="589">
        <v>3663</v>
      </c>
      <c r="K90" s="589">
        <v>797</v>
      </c>
      <c r="L90" s="590">
        <v>4576</v>
      </c>
      <c r="M90" s="2282">
        <f t="shared" si="48"/>
        <v>33247</v>
      </c>
      <c r="N90" s="589">
        <f t="shared" si="49"/>
        <v>81197</v>
      </c>
      <c r="O90" s="2283">
        <f t="shared" si="50"/>
        <v>17566</v>
      </c>
      <c r="P90" s="2282">
        <v>17001</v>
      </c>
      <c r="Q90" s="589">
        <v>40010</v>
      </c>
      <c r="R90" s="589">
        <v>7859</v>
      </c>
      <c r="S90" s="2282">
        <v>16246</v>
      </c>
      <c r="T90" s="589">
        <v>41187</v>
      </c>
      <c r="U90" s="2283">
        <v>9707</v>
      </c>
      <c r="V90" s="1189">
        <f t="shared" si="41"/>
        <v>0.49140216650253771</v>
      </c>
      <c r="W90" s="1189">
        <f t="shared" si="42"/>
        <v>0.50859783349746235</v>
      </c>
      <c r="X90" s="1231">
        <f t="shared" si="43"/>
        <v>0.7678736459359139</v>
      </c>
      <c r="Y90" s="1189">
        <f t="shared" si="44"/>
        <v>0.16367699416710854</v>
      </c>
      <c r="Z90" s="1189">
        <f t="shared" si="45"/>
        <v>2.7747897886523747E-2</v>
      </c>
      <c r="AA90" s="1189">
        <f t="shared" si="46"/>
        <v>6.0374214074691308E-3</v>
      </c>
      <c r="AB90" s="1233">
        <f t="shared" si="47"/>
        <v>3.4664040602984621E-2</v>
      </c>
      <c r="AC90" s="594">
        <f t="shared" si="51"/>
        <v>0.25185213241421106</v>
      </c>
      <c r="AD90" s="595">
        <f t="shared" si="52"/>
        <v>0.61508219074312553</v>
      </c>
      <c r="AE90" s="596">
        <f t="shared" si="53"/>
        <v>0.13306567684266343</v>
      </c>
      <c r="AF90" s="588">
        <v>12342</v>
      </c>
      <c r="AG90" s="267">
        <f t="shared" si="54"/>
        <v>9.3492917203242182E-2</v>
      </c>
    </row>
    <row r="91" spans="1:33" x14ac:dyDescent="0.25">
      <c r="A91" s="265" t="s">
        <v>220</v>
      </c>
      <c r="B91" s="265" t="s">
        <v>221</v>
      </c>
      <c r="C91" s="265" t="s">
        <v>267</v>
      </c>
      <c r="D91" s="265">
        <v>2</v>
      </c>
      <c r="E91" s="588">
        <v>144361</v>
      </c>
      <c r="F91" s="2282">
        <v>72725</v>
      </c>
      <c r="G91" s="2283">
        <v>71636</v>
      </c>
      <c r="H91" s="589">
        <v>105551</v>
      </c>
      <c r="I91" s="589">
        <v>26712</v>
      </c>
      <c r="J91" s="589">
        <v>5037</v>
      </c>
      <c r="K91" s="589">
        <v>1185</v>
      </c>
      <c r="L91" s="590">
        <v>5876</v>
      </c>
      <c r="M91" s="2282">
        <f t="shared" si="48"/>
        <v>37801</v>
      </c>
      <c r="N91" s="589">
        <f t="shared" si="49"/>
        <v>92109</v>
      </c>
      <c r="O91" s="2283">
        <f t="shared" si="50"/>
        <v>14451</v>
      </c>
      <c r="P91" s="2282">
        <v>19243</v>
      </c>
      <c r="Q91" s="589">
        <v>47006</v>
      </c>
      <c r="R91" s="589">
        <v>6476</v>
      </c>
      <c r="S91" s="2282">
        <v>18558</v>
      </c>
      <c r="T91" s="589">
        <v>45103</v>
      </c>
      <c r="U91" s="2283">
        <v>7975</v>
      </c>
      <c r="V91" s="1189">
        <f t="shared" si="41"/>
        <v>0.50377179432118091</v>
      </c>
      <c r="W91" s="1189">
        <f t="shared" si="42"/>
        <v>0.49622820567881909</v>
      </c>
      <c r="X91" s="1231">
        <f t="shared" si="43"/>
        <v>0.73116007786036397</v>
      </c>
      <c r="Y91" s="1189">
        <f t="shared" si="44"/>
        <v>0.1850361247151239</v>
      </c>
      <c r="Z91" s="1189">
        <f t="shared" si="45"/>
        <v>3.4891695125414762E-2</v>
      </c>
      <c r="AA91" s="1189">
        <f t="shared" si="46"/>
        <v>8.2085881921017453E-3</v>
      </c>
      <c r="AB91" s="1233">
        <f t="shared" si="47"/>
        <v>4.0703514106995659E-2</v>
      </c>
      <c r="AC91" s="594">
        <f t="shared" si="51"/>
        <v>0.2618504997887241</v>
      </c>
      <c r="AD91" s="595">
        <f t="shared" si="52"/>
        <v>0.63804628673949337</v>
      </c>
      <c r="AE91" s="596">
        <f t="shared" si="53"/>
        <v>0.10010321347178254</v>
      </c>
      <c r="AF91" s="588">
        <v>17735</v>
      </c>
      <c r="AG91" s="267">
        <f t="shared" si="54"/>
        <v>0.12285173973580123</v>
      </c>
    </row>
    <row r="92" spans="1:33" x14ac:dyDescent="0.25">
      <c r="A92" s="265" t="s">
        <v>224</v>
      </c>
      <c r="B92" s="265" t="s">
        <v>225</v>
      </c>
      <c r="C92" s="265" t="s">
        <v>264</v>
      </c>
      <c r="D92" s="265">
        <v>2</v>
      </c>
      <c r="E92" s="588">
        <v>6544</v>
      </c>
      <c r="F92" s="2282">
        <v>3194</v>
      </c>
      <c r="G92" s="2283">
        <v>3350</v>
      </c>
      <c r="H92" s="589">
        <v>3505</v>
      </c>
      <c r="I92" s="589">
        <v>2834</v>
      </c>
      <c r="J92" s="589">
        <v>31</v>
      </c>
      <c r="K92" s="589">
        <v>41</v>
      </c>
      <c r="L92" s="590">
        <v>133</v>
      </c>
      <c r="M92" s="2282">
        <f t="shared" si="48"/>
        <v>1151</v>
      </c>
      <c r="N92" s="589">
        <f t="shared" si="49"/>
        <v>4042</v>
      </c>
      <c r="O92" s="2283">
        <f t="shared" si="50"/>
        <v>1351</v>
      </c>
      <c r="P92" s="2282">
        <v>578</v>
      </c>
      <c r="Q92" s="589">
        <v>1985</v>
      </c>
      <c r="R92" s="589">
        <v>631</v>
      </c>
      <c r="S92" s="2282">
        <v>573</v>
      </c>
      <c r="T92" s="589">
        <v>2057</v>
      </c>
      <c r="U92" s="2283">
        <v>720</v>
      </c>
      <c r="V92" s="1189">
        <f t="shared" si="41"/>
        <v>0.488080684596577</v>
      </c>
      <c r="W92" s="1189">
        <f t="shared" si="42"/>
        <v>0.51191931540342295</v>
      </c>
      <c r="X92" s="1231">
        <f t="shared" si="43"/>
        <v>0.53560513447432767</v>
      </c>
      <c r="Y92" s="1189">
        <f t="shared" si="44"/>
        <v>0.43306845965770169</v>
      </c>
      <c r="Z92" s="1189">
        <f t="shared" si="45"/>
        <v>4.7371638141809292E-3</v>
      </c>
      <c r="AA92" s="1189">
        <f t="shared" si="46"/>
        <v>6.2652811735941323E-3</v>
      </c>
      <c r="AB92" s="1233">
        <f t="shared" si="47"/>
        <v>2.0323960880195599E-2</v>
      </c>
      <c r="AC92" s="594">
        <f t="shared" si="51"/>
        <v>0.17588630806845965</v>
      </c>
      <c r="AD92" s="595">
        <f t="shared" si="52"/>
        <v>0.61766503667481665</v>
      </c>
      <c r="AE92" s="596">
        <f t="shared" si="53"/>
        <v>0.20644865525672371</v>
      </c>
      <c r="AF92" s="588">
        <v>134</v>
      </c>
      <c r="AG92" s="267">
        <f t="shared" si="54"/>
        <v>2.047677261613692E-2</v>
      </c>
    </row>
    <row r="93" spans="1:33" x14ac:dyDescent="0.25">
      <c r="A93" s="265" t="s">
        <v>226</v>
      </c>
      <c r="B93" s="265" t="s">
        <v>227</v>
      </c>
      <c r="C93" s="265" t="s">
        <v>264</v>
      </c>
      <c r="D93" s="265">
        <v>2</v>
      </c>
      <c r="E93" s="588">
        <v>11504</v>
      </c>
      <c r="F93" s="2282">
        <v>6798</v>
      </c>
      <c r="G93" s="2283">
        <v>4706</v>
      </c>
      <c r="H93" s="589">
        <v>4678</v>
      </c>
      <c r="I93" s="589">
        <v>6576</v>
      </c>
      <c r="J93" s="589">
        <v>60</v>
      </c>
      <c r="K93" s="589">
        <v>55</v>
      </c>
      <c r="L93" s="590">
        <v>135</v>
      </c>
      <c r="M93" s="2282">
        <f t="shared" si="48"/>
        <v>1843</v>
      </c>
      <c r="N93" s="589">
        <f t="shared" si="49"/>
        <v>7698</v>
      </c>
      <c r="O93" s="2283">
        <f t="shared" si="50"/>
        <v>1963</v>
      </c>
      <c r="P93" s="2282">
        <v>916</v>
      </c>
      <c r="Q93" s="589">
        <v>5007</v>
      </c>
      <c r="R93" s="589">
        <v>875</v>
      </c>
      <c r="S93" s="2282">
        <v>927</v>
      </c>
      <c r="T93" s="589">
        <v>2691</v>
      </c>
      <c r="U93" s="2283">
        <v>1088</v>
      </c>
      <c r="V93" s="1189">
        <f t="shared" si="41"/>
        <v>0.59092489568845619</v>
      </c>
      <c r="W93" s="1189">
        <f t="shared" si="42"/>
        <v>0.40907510431154381</v>
      </c>
      <c r="X93" s="1231">
        <f t="shared" si="43"/>
        <v>0.4066411682892907</v>
      </c>
      <c r="Y93" s="1189">
        <f t="shared" si="44"/>
        <v>0.57162726008344922</v>
      </c>
      <c r="Z93" s="1189">
        <f t="shared" si="45"/>
        <v>5.2155771905424203E-3</v>
      </c>
      <c r="AA93" s="1189">
        <f t="shared" si="46"/>
        <v>4.7809457579972179E-3</v>
      </c>
      <c r="AB93" s="1233">
        <f t="shared" si="47"/>
        <v>1.1735048678720446E-2</v>
      </c>
      <c r="AC93" s="594">
        <f t="shared" si="51"/>
        <v>0.16020514603616134</v>
      </c>
      <c r="AD93" s="595">
        <f t="shared" si="52"/>
        <v>0.66915855354659248</v>
      </c>
      <c r="AE93" s="596">
        <f t="shared" si="53"/>
        <v>0.17063630041724617</v>
      </c>
      <c r="AF93" s="588">
        <v>345</v>
      </c>
      <c r="AG93" s="267">
        <f t="shared" si="54"/>
        <v>2.9989568845618916E-2</v>
      </c>
    </row>
    <row r="94" spans="1:33" x14ac:dyDescent="0.25">
      <c r="A94" s="265" t="s">
        <v>228</v>
      </c>
      <c r="B94" s="265" t="s">
        <v>229</v>
      </c>
      <c r="C94" s="265" t="s">
        <v>268</v>
      </c>
      <c r="D94" s="265">
        <v>2</v>
      </c>
      <c r="E94" s="588">
        <v>42150</v>
      </c>
      <c r="F94" s="2282">
        <v>21030</v>
      </c>
      <c r="G94" s="2283">
        <v>21120</v>
      </c>
      <c r="H94" s="589">
        <v>39950</v>
      </c>
      <c r="I94" s="589">
        <v>1334</v>
      </c>
      <c r="J94" s="589">
        <v>296</v>
      </c>
      <c r="K94" s="589">
        <v>84</v>
      </c>
      <c r="L94" s="590">
        <v>486</v>
      </c>
      <c r="M94" s="2282">
        <f t="shared" si="48"/>
        <v>8199</v>
      </c>
      <c r="N94" s="589">
        <f t="shared" si="49"/>
        <v>25185</v>
      </c>
      <c r="O94" s="2283">
        <f t="shared" si="50"/>
        <v>8766</v>
      </c>
      <c r="P94" s="2282">
        <v>4152</v>
      </c>
      <c r="Q94" s="589">
        <v>12967</v>
      </c>
      <c r="R94" s="589">
        <v>3911</v>
      </c>
      <c r="S94" s="2282">
        <v>4047</v>
      </c>
      <c r="T94" s="589">
        <v>12218</v>
      </c>
      <c r="U94" s="2283">
        <v>4855</v>
      </c>
      <c r="V94" s="1189">
        <f t="shared" si="41"/>
        <v>0.498932384341637</v>
      </c>
      <c r="W94" s="1189">
        <f t="shared" si="42"/>
        <v>0.501067615658363</v>
      </c>
      <c r="X94" s="1231">
        <f t="shared" si="43"/>
        <v>0.9478054567022538</v>
      </c>
      <c r="Y94" s="1189">
        <f t="shared" si="44"/>
        <v>3.1648873072360618E-2</v>
      </c>
      <c r="Z94" s="1189">
        <f t="shared" si="45"/>
        <v>7.0225385527876629E-3</v>
      </c>
      <c r="AA94" s="1189">
        <f t="shared" si="46"/>
        <v>1.99288256227758E-3</v>
      </c>
      <c r="AB94" s="1233">
        <f t="shared" si="47"/>
        <v>1.1530249110320285E-2</v>
      </c>
      <c r="AC94" s="594">
        <f t="shared" si="51"/>
        <v>0.19451957295373665</v>
      </c>
      <c r="AD94" s="595">
        <f t="shared" si="52"/>
        <v>0.59750889679715302</v>
      </c>
      <c r="AE94" s="596">
        <f t="shared" si="53"/>
        <v>0.20797153024911033</v>
      </c>
      <c r="AF94" s="588">
        <v>405</v>
      </c>
      <c r="AG94" s="267">
        <f t="shared" si="54"/>
        <v>9.6085409252669035E-3</v>
      </c>
    </row>
    <row r="95" spans="1:33" x14ac:dyDescent="0.25">
      <c r="A95" s="265" t="s">
        <v>232</v>
      </c>
      <c r="B95" s="265" t="s">
        <v>233</v>
      </c>
      <c r="C95" s="265" t="s">
        <v>267</v>
      </c>
      <c r="D95" s="265">
        <v>2</v>
      </c>
      <c r="E95" s="588">
        <v>39155</v>
      </c>
      <c r="F95" s="2282">
        <v>19551</v>
      </c>
      <c r="G95" s="2283">
        <v>19604</v>
      </c>
      <c r="H95" s="589">
        <v>35683</v>
      </c>
      <c r="I95" s="589">
        <v>1907</v>
      </c>
      <c r="J95" s="589">
        <v>472</v>
      </c>
      <c r="K95" s="589">
        <v>207</v>
      </c>
      <c r="L95" s="590">
        <v>886</v>
      </c>
      <c r="M95" s="2282">
        <f t="shared" si="48"/>
        <v>8801</v>
      </c>
      <c r="N95" s="589">
        <f t="shared" si="49"/>
        <v>24535</v>
      </c>
      <c r="O95" s="2283">
        <f t="shared" si="50"/>
        <v>5819</v>
      </c>
      <c r="P95" s="2282">
        <v>4443</v>
      </c>
      <c r="Q95" s="589">
        <v>12459</v>
      </c>
      <c r="R95" s="589">
        <v>2649</v>
      </c>
      <c r="S95" s="2282">
        <v>4358</v>
      </c>
      <c r="T95" s="589">
        <v>12076</v>
      </c>
      <c r="U95" s="2283">
        <v>3170</v>
      </c>
      <c r="V95" s="1189">
        <f t="shared" si="41"/>
        <v>0.49932320265611035</v>
      </c>
      <c r="W95" s="1189">
        <f t="shared" si="42"/>
        <v>0.5006767973438897</v>
      </c>
      <c r="X95" s="1231">
        <f t="shared" si="43"/>
        <v>0.9113267781892479</v>
      </c>
      <c r="Y95" s="1189">
        <f t="shared" si="44"/>
        <v>4.8703869237645254E-2</v>
      </c>
      <c r="Z95" s="1189">
        <f t="shared" si="45"/>
        <v>1.2054654577959392E-2</v>
      </c>
      <c r="AA95" s="1189">
        <f t="shared" si="46"/>
        <v>5.2866811390626994E-3</v>
      </c>
      <c r="AB95" s="1233">
        <f t="shared" si="47"/>
        <v>2.2628016856084791E-2</v>
      </c>
      <c r="AC95" s="594">
        <f t="shared" si="51"/>
        <v>0.22477333673860297</v>
      </c>
      <c r="AD95" s="595">
        <f t="shared" si="52"/>
        <v>0.62661218235218996</v>
      </c>
      <c r="AE95" s="596">
        <f t="shared" si="53"/>
        <v>0.14861448090920701</v>
      </c>
      <c r="AF95" s="588">
        <v>1643</v>
      </c>
      <c r="AG95" s="267">
        <f t="shared" si="54"/>
        <v>4.1961435321159493E-2</v>
      </c>
    </row>
    <row r="96" spans="1:33" x14ac:dyDescent="0.25">
      <c r="A96" s="265" t="s">
        <v>234</v>
      </c>
      <c r="B96" s="265" t="s">
        <v>235</v>
      </c>
      <c r="C96" s="265" t="s">
        <v>268</v>
      </c>
      <c r="D96" s="265">
        <v>2</v>
      </c>
      <c r="E96" s="588">
        <v>54214</v>
      </c>
      <c r="F96" s="2282">
        <v>26674</v>
      </c>
      <c r="G96" s="2283">
        <v>27540</v>
      </c>
      <c r="H96" s="589">
        <v>52482</v>
      </c>
      <c r="I96" s="589">
        <v>755</v>
      </c>
      <c r="J96" s="589">
        <v>320</v>
      </c>
      <c r="K96" s="589">
        <v>155</v>
      </c>
      <c r="L96" s="590">
        <v>502</v>
      </c>
      <c r="M96" s="2282">
        <f t="shared" si="48"/>
        <v>10240</v>
      </c>
      <c r="N96" s="589">
        <f t="shared" si="49"/>
        <v>32329</v>
      </c>
      <c r="O96" s="2283">
        <f t="shared" si="50"/>
        <v>11645</v>
      </c>
      <c r="P96" s="2282">
        <v>5192</v>
      </c>
      <c r="Q96" s="589">
        <v>16178</v>
      </c>
      <c r="R96" s="589">
        <v>5304</v>
      </c>
      <c r="S96" s="2282">
        <v>5048</v>
      </c>
      <c r="T96" s="589">
        <v>16151</v>
      </c>
      <c r="U96" s="2283">
        <v>6341</v>
      </c>
      <c r="V96" s="1189">
        <f t="shared" si="41"/>
        <v>0.4920131331390416</v>
      </c>
      <c r="W96" s="1189">
        <f t="shared" si="42"/>
        <v>0.5079868668609584</v>
      </c>
      <c r="X96" s="1231">
        <f t="shared" si="43"/>
        <v>0.9680525325561663</v>
      </c>
      <c r="Y96" s="1189">
        <f t="shared" si="44"/>
        <v>1.3926292101671156E-2</v>
      </c>
      <c r="Z96" s="1189">
        <f t="shared" si="45"/>
        <v>5.9025344007083043E-3</v>
      </c>
      <c r="AA96" s="1189">
        <f t="shared" si="46"/>
        <v>2.8590401003430847E-3</v>
      </c>
      <c r="AB96" s="1233">
        <f t="shared" si="47"/>
        <v>9.2596008411111527E-3</v>
      </c>
      <c r="AC96" s="594">
        <f t="shared" si="51"/>
        <v>0.18888110082266574</v>
      </c>
      <c r="AD96" s="595">
        <f t="shared" si="52"/>
        <v>0.59632198325155861</v>
      </c>
      <c r="AE96" s="596">
        <f t="shared" si="53"/>
        <v>0.21479691592577563</v>
      </c>
      <c r="AF96" s="588">
        <v>755</v>
      </c>
      <c r="AG96" s="267">
        <f t="shared" si="54"/>
        <v>1.3926292101671156E-2</v>
      </c>
    </row>
    <row r="97" spans="1:33" x14ac:dyDescent="0.25">
      <c r="A97" s="265" t="s">
        <v>236</v>
      </c>
      <c r="B97" s="265" t="s">
        <v>237</v>
      </c>
      <c r="C97" s="265" t="s">
        <v>266</v>
      </c>
      <c r="D97" s="265">
        <v>2</v>
      </c>
      <c r="E97" s="588">
        <v>17592</v>
      </c>
      <c r="F97" s="2282">
        <v>8560</v>
      </c>
      <c r="G97" s="2283">
        <v>9032</v>
      </c>
      <c r="H97" s="589">
        <v>12099</v>
      </c>
      <c r="I97" s="589">
        <v>4732</v>
      </c>
      <c r="J97" s="589">
        <v>152</v>
      </c>
      <c r="K97" s="589">
        <v>152</v>
      </c>
      <c r="L97" s="590">
        <v>457</v>
      </c>
      <c r="M97" s="2282">
        <f t="shared" si="48"/>
        <v>3312</v>
      </c>
      <c r="N97" s="589">
        <f t="shared" si="49"/>
        <v>10018</v>
      </c>
      <c r="O97" s="2283">
        <f t="shared" si="50"/>
        <v>4262</v>
      </c>
      <c r="P97" s="2282">
        <v>1680</v>
      </c>
      <c r="Q97" s="589">
        <v>4934</v>
      </c>
      <c r="R97" s="589">
        <v>1946</v>
      </c>
      <c r="S97" s="2282">
        <v>1632</v>
      </c>
      <c r="T97" s="589">
        <v>5084</v>
      </c>
      <c r="U97" s="2283">
        <v>2316</v>
      </c>
      <c r="V97" s="1189">
        <f t="shared" si="41"/>
        <v>0.48658481127785358</v>
      </c>
      <c r="W97" s="1189">
        <f t="shared" si="42"/>
        <v>0.51341518872214642</v>
      </c>
      <c r="X97" s="1231">
        <f t="shared" si="43"/>
        <v>0.68775579809004095</v>
      </c>
      <c r="Y97" s="1189">
        <f t="shared" si="44"/>
        <v>0.26898590268303774</v>
      </c>
      <c r="Z97" s="1189">
        <f t="shared" si="45"/>
        <v>8.6402910413824474E-3</v>
      </c>
      <c r="AA97" s="1189">
        <f t="shared" si="46"/>
        <v>8.6402910413824474E-3</v>
      </c>
      <c r="AB97" s="1233">
        <f t="shared" si="47"/>
        <v>2.5977717144156434E-2</v>
      </c>
      <c r="AC97" s="594">
        <f t="shared" si="51"/>
        <v>0.18826739427012279</v>
      </c>
      <c r="AD97" s="595">
        <f t="shared" si="52"/>
        <v>0.5694633924511141</v>
      </c>
      <c r="AE97" s="596">
        <f t="shared" si="53"/>
        <v>0.24226921327876308</v>
      </c>
      <c r="AF97" s="588">
        <v>1115</v>
      </c>
      <c r="AG97" s="267">
        <f t="shared" si="54"/>
        <v>6.3381082310140974E-2</v>
      </c>
    </row>
    <row r="98" spans="1:33" x14ac:dyDescent="0.25">
      <c r="A98" s="265" t="s">
        <v>242</v>
      </c>
      <c r="B98" s="265" t="s">
        <v>243</v>
      </c>
      <c r="C98" s="265" t="s">
        <v>268</v>
      </c>
      <c r="D98" s="265">
        <v>3</v>
      </c>
      <c r="E98" s="588">
        <v>39228</v>
      </c>
      <c r="F98" s="2282">
        <v>20429</v>
      </c>
      <c r="G98" s="2283">
        <v>18799</v>
      </c>
      <c r="H98" s="589">
        <v>36343</v>
      </c>
      <c r="I98" s="589">
        <v>2211</v>
      </c>
      <c r="J98" s="589">
        <v>166</v>
      </c>
      <c r="K98" s="589">
        <v>74</v>
      </c>
      <c r="L98" s="590">
        <v>434</v>
      </c>
      <c r="M98" s="2282">
        <f t="shared" si="48"/>
        <v>7861</v>
      </c>
      <c r="N98" s="589">
        <f t="shared" si="49"/>
        <v>24741</v>
      </c>
      <c r="O98" s="2283">
        <f t="shared" si="50"/>
        <v>6626</v>
      </c>
      <c r="P98" s="2282">
        <v>3991</v>
      </c>
      <c r="Q98" s="589">
        <v>13395</v>
      </c>
      <c r="R98" s="589">
        <v>3043</v>
      </c>
      <c r="S98" s="2282">
        <v>3870</v>
      </c>
      <c r="T98" s="589">
        <v>11346</v>
      </c>
      <c r="U98" s="2283">
        <v>3583</v>
      </c>
      <c r="V98" s="1189">
        <f t="shared" si="41"/>
        <v>0.5207759763434282</v>
      </c>
      <c r="W98" s="1189">
        <f t="shared" si="42"/>
        <v>0.47922402365657185</v>
      </c>
      <c r="X98" s="1231">
        <f t="shared" si="43"/>
        <v>0.92645559294381563</v>
      </c>
      <c r="Y98" s="1189">
        <f t="shared" si="44"/>
        <v>5.6362802080146837E-2</v>
      </c>
      <c r="Z98" s="1189">
        <f t="shared" si="45"/>
        <v>4.2316712552258589E-3</v>
      </c>
      <c r="AA98" s="1189">
        <f t="shared" si="46"/>
        <v>1.8864076679922504E-3</v>
      </c>
      <c r="AB98" s="1233">
        <f t="shared" si="47"/>
        <v>1.1063526052819414E-2</v>
      </c>
      <c r="AC98" s="594">
        <f t="shared" si="51"/>
        <v>0.20039257673090649</v>
      </c>
      <c r="AD98" s="595">
        <f t="shared" si="52"/>
        <v>0.63069746099724688</v>
      </c>
      <c r="AE98" s="596">
        <f t="shared" si="53"/>
        <v>0.16890996227184665</v>
      </c>
      <c r="AF98" s="588">
        <v>488</v>
      </c>
      <c r="AG98" s="267">
        <f t="shared" si="54"/>
        <v>1.2440093810543489E-2</v>
      </c>
    </row>
    <row r="99" spans="1:33" x14ac:dyDescent="0.25">
      <c r="A99" s="265" t="s">
        <v>244</v>
      </c>
      <c r="B99" s="265" t="s">
        <v>245</v>
      </c>
      <c r="C99" s="265" t="s">
        <v>268</v>
      </c>
      <c r="D99" s="265">
        <v>2</v>
      </c>
      <c r="E99" s="588">
        <v>29016</v>
      </c>
      <c r="F99" s="2282">
        <v>14197</v>
      </c>
      <c r="G99" s="2283">
        <v>14819</v>
      </c>
      <c r="H99" s="589">
        <v>27496</v>
      </c>
      <c r="I99" s="589">
        <v>829</v>
      </c>
      <c r="J99" s="589">
        <v>176</v>
      </c>
      <c r="K99" s="589">
        <v>68</v>
      </c>
      <c r="L99" s="590">
        <v>447</v>
      </c>
      <c r="M99" s="2282">
        <f t="shared" si="48"/>
        <v>5853</v>
      </c>
      <c r="N99" s="589">
        <f t="shared" si="49"/>
        <v>17240</v>
      </c>
      <c r="O99" s="2283">
        <f t="shared" si="50"/>
        <v>5923</v>
      </c>
      <c r="P99" s="2282">
        <v>3007</v>
      </c>
      <c r="Q99" s="589">
        <v>8504</v>
      </c>
      <c r="R99" s="589">
        <v>2686</v>
      </c>
      <c r="S99" s="2282">
        <v>2846</v>
      </c>
      <c r="T99" s="589">
        <v>8736</v>
      </c>
      <c r="U99" s="2283">
        <v>3237</v>
      </c>
      <c r="V99" s="1189">
        <f t="shared" si="41"/>
        <v>0.48928177557209818</v>
      </c>
      <c r="W99" s="1189">
        <f t="shared" si="42"/>
        <v>0.51071822442790182</v>
      </c>
      <c r="X99" s="1231">
        <f t="shared" si="43"/>
        <v>0.94761510890543144</v>
      </c>
      <c r="Y99" s="1189">
        <f t="shared" si="44"/>
        <v>2.8570443893024537E-2</v>
      </c>
      <c r="Z99" s="1189">
        <f t="shared" si="45"/>
        <v>6.0656189688447753E-3</v>
      </c>
      <c r="AA99" s="1189">
        <f t="shared" si="46"/>
        <v>2.3435346015991177E-3</v>
      </c>
      <c r="AB99" s="1233">
        <f t="shared" si="47"/>
        <v>1.5405293631100082E-2</v>
      </c>
      <c r="AC99" s="594">
        <f t="shared" si="51"/>
        <v>0.20171629445822994</v>
      </c>
      <c r="AD99" s="595">
        <f t="shared" si="52"/>
        <v>0.59415494899365862</v>
      </c>
      <c r="AE99" s="596">
        <f t="shared" si="53"/>
        <v>0.20412875654811138</v>
      </c>
      <c r="AF99" s="588">
        <v>341</v>
      </c>
      <c r="AG99" s="267">
        <f t="shared" si="54"/>
        <v>1.1752136752136752E-2</v>
      </c>
    </row>
    <row r="100" spans="1:33" x14ac:dyDescent="0.25">
      <c r="A100" s="265" t="s">
        <v>246</v>
      </c>
      <c r="B100" s="265" t="s">
        <v>247</v>
      </c>
      <c r="C100" s="265" t="s">
        <v>264</v>
      </c>
      <c r="D100" s="265">
        <v>2</v>
      </c>
      <c r="E100" s="588">
        <v>79993</v>
      </c>
      <c r="F100" s="2282">
        <v>39309</v>
      </c>
      <c r="G100" s="2283">
        <v>40684</v>
      </c>
      <c r="H100" s="589">
        <v>63145</v>
      </c>
      <c r="I100" s="589">
        <v>9457</v>
      </c>
      <c r="J100" s="589">
        <v>4175</v>
      </c>
      <c r="K100" s="589">
        <v>567</v>
      </c>
      <c r="L100" s="590">
        <v>2649</v>
      </c>
      <c r="M100" s="2282">
        <f t="shared" si="48"/>
        <v>19172</v>
      </c>
      <c r="N100" s="589">
        <f t="shared" si="49"/>
        <v>48199</v>
      </c>
      <c r="O100" s="2283">
        <f t="shared" si="50"/>
        <v>12622</v>
      </c>
      <c r="P100" s="2282">
        <v>9650</v>
      </c>
      <c r="Q100" s="589">
        <v>23973</v>
      </c>
      <c r="R100" s="589">
        <v>5686</v>
      </c>
      <c r="S100" s="2282">
        <v>9522</v>
      </c>
      <c r="T100" s="589">
        <v>24226</v>
      </c>
      <c r="U100" s="2283">
        <v>6936</v>
      </c>
      <c r="V100" s="1189">
        <f t="shared" si="41"/>
        <v>0.49140549798107336</v>
      </c>
      <c r="W100" s="1189">
        <f t="shared" si="42"/>
        <v>0.50859450201892664</v>
      </c>
      <c r="X100" s="1231">
        <f t="shared" si="43"/>
        <v>0.78938157088745264</v>
      </c>
      <c r="Y100" s="1189">
        <f t="shared" si="44"/>
        <v>0.11822284449889366</v>
      </c>
      <c r="Z100" s="1189">
        <f t="shared" si="45"/>
        <v>5.2192066805845511E-2</v>
      </c>
      <c r="AA100" s="1189">
        <f t="shared" si="46"/>
        <v>7.0881202105184202E-3</v>
      </c>
      <c r="AB100" s="1233">
        <f t="shared" si="47"/>
        <v>3.3115397597289764E-2</v>
      </c>
      <c r="AC100" s="594">
        <f t="shared" si="51"/>
        <v>0.23967097120998088</v>
      </c>
      <c r="AD100" s="595">
        <f t="shared" si="52"/>
        <v>0.60254022226944859</v>
      </c>
      <c r="AE100" s="596">
        <f t="shared" si="53"/>
        <v>0.15778880652057056</v>
      </c>
      <c r="AF100" s="588">
        <v>4455</v>
      </c>
      <c r="AG100" s="267">
        <f t="shared" si="54"/>
        <v>5.5692373082644735E-2</v>
      </c>
    </row>
    <row r="101" spans="1:33" x14ac:dyDescent="0.25">
      <c r="A101" s="265" t="s">
        <v>14</v>
      </c>
      <c r="B101" s="265" t="s">
        <v>15</v>
      </c>
      <c r="C101" s="265" t="s">
        <v>267</v>
      </c>
      <c r="D101" s="265">
        <v>3</v>
      </c>
      <c r="E101" s="588">
        <v>155810</v>
      </c>
      <c r="F101" s="2282">
        <v>75167</v>
      </c>
      <c r="G101" s="2283">
        <v>80643</v>
      </c>
      <c r="H101" s="589">
        <v>102936</v>
      </c>
      <c r="I101" s="589">
        <v>35991</v>
      </c>
      <c r="J101" s="589">
        <v>10620</v>
      </c>
      <c r="K101" s="589">
        <v>1325</v>
      </c>
      <c r="L101" s="590">
        <v>4938</v>
      </c>
      <c r="M101" s="2282">
        <f t="shared" si="48"/>
        <v>28484</v>
      </c>
      <c r="N101" s="589">
        <f t="shared" si="49"/>
        <v>111000</v>
      </c>
      <c r="O101" s="2283">
        <f t="shared" si="50"/>
        <v>16326</v>
      </c>
      <c r="P101" s="2282">
        <v>14548</v>
      </c>
      <c r="Q101" s="589">
        <v>53634</v>
      </c>
      <c r="R101" s="589">
        <v>6985</v>
      </c>
      <c r="S101" s="2282">
        <v>13936</v>
      </c>
      <c r="T101" s="589">
        <v>57366</v>
      </c>
      <c r="U101" s="2283">
        <v>9341</v>
      </c>
      <c r="V101" s="1189">
        <f t="shared" ref="V101:V125" si="55">F101/E101</f>
        <v>0.48242731531994093</v>
      </c>
      <c r="W101" s="1189">
        <f t="shared" ref="W101:W125" si="56">G101/E101</f>
        <v>0.51757268468005901</v>
      </c>
      <c r="X101" s="1231">
        <f t="shared" ref="X101:X125" si="57">H101/E101</f>
        <v>0.66065079263205184</v>
      </c>
      <c r="Y101" s="1189">
        <f t="shared" ref="Y101:Y125" si="58">I101/E101</f>
        <v>0.23099287593864323</v>
      </c>
      <c r="Z101" s="1189">
        <f t="shared" ref="Z101:Z125" si="59">J101/E101</f>
        <v>6.815993838649638E-2</v>
      </c>
      <c r="AA101" s="1189">
        <f t="shared" ref="AA101:AA125" si="60">K101/E101</f>
        <v>8.5039471150760541E-3</v>
      </c>
      <c r="AB101" s="1233">
        <f t="shared" ref="AB101:AB125" si="61">L101/E101</f>
        <v>3.1692445927732495E-2</v>
      </c>
      <c r="AC101" s="594">
        <f t="shared" si="51"/>
        <v>0.18281239971760477</v>
      </c>
      <c r="AD101" s="595">
        <f t="shared" si="52"/>
        <v>0.71240613567806943</v>
      </c>
      <c r="AE101" s="596">
        <f t="shared" si="53"/>
        <v>0.10478146460432577</v>
      </c>
      <c r="AF101" s="588">
        <v>26203</v>
      </c>
      <c r="AG101" s="267">
        <f t="shared" si="54"/>
        <v>0.16817277453308516</v>
      </c>
    </row>
    <row r="102" spans="1:33" x14ac:dyDescent="0.25">
      <c r="A102" s="265" t="s">
        <v>34</v>
      </c>
      <c r="B102" s="265" t="s">
        <v>35</v>
      </c>
      <c r="C102" s="265" t="s">
        <v>268</v>
      </c>
      <c r="D102" s="265">
        <v>2</v>
      </c>
      <c r="E102" s="588">
        <v>16960</v>
      </c>
      <c r="F102" s="2282">
        <v>8054</v>
      </c>
      <c r="G102" s="2283">
        <v>8906</v>
      </c>
      <c r="H102" s="589">
        <v>15400</v>
      </c>
      <c r="I102" s="589">
        <v>948</v>
      </c>
      <c r="J102" s="589">
        <v>177</v>
      </c>
      <c r="K102" s="589">
        <v>76</v>
      </c>
      <c r="L102" s="590">
        <v>359</v>
      </c>
      <c r="M102" s="2282">
        <f t="shared" ref="M102:M125" si="62">P102+S102</f>
        <v>3370</v>
      </c>
      <c r="N102" s="589">
        <f t="shared" ref="N102:N125" si="63">Q102+T102</f>
        <v>10147</v>
      </c>
      <c r="O102" s="2283">
        <f t="shared" ref="O102:O125" si="64">R102+U102</f>
        <v>3443</v>
      </c>
      <c r="P102" s="2282">
        <v>1737</v>
      </c>
      <c r="Q102" s="589">
        <v>4941</v>
      </c>
      <c r="R102" s="589">
        <v>1376</v>
      </c>
      <c r="S102" s="2282">
        <v>1633</v>
      </c>
      <c r="T102" s="589">
        <v>5206</v>
      </c>
      <c r="U102" s="2283">
        <v>2067</v>
      </c>
      <c r="V102" s="1189">
        <f t="shared" si="55"/>
        <v>0.47488207547169814</v>
      </c>
      <c r="W102" s="1189">
        <f t="shared" si="56"/>
        <v>0.52511792452830186</v>
      </c>
      <c r="X102" s="1231">
        <f t="shared" si="57"/>
        <v>0.90801886792452835</v>
      </c>
      <c r="Y102" s="1189">
        <f t="shared" si="58"/>
        <v>5.5896226415094341E-2</v>
      </c>
      <c r="Z102" s="1189">
        <f t="shared" si="59"/>
        <v>1.0436320754716981E-2</v>
      </c>
      <c r="AA102" s="1189">
        <f t="shared" si="60"/>
        <v>4.481132075471698E-3</v>
      </c>
      <c r="AB102" s="1233">
        <f t="shared" si="61"/>
        <v>2.1167452830188678E-2</v>
      </c>
      <c r="AC102" s="594">
        <f t="shared" ref="AC102:AC125" si="65">M102/E102</f>
        <v>0.19870283018867924</v>
      </c>
      <c r="AD102" s="595">
        <f t="shared" ref="AD102:AD125" si="66">N102/E102</f>
        <v>0.59829009433962266</v>
      </c>
      <c r="AE102" s="596">
        <f t="shared" ref="AE102:AE125" si="67">O102/E102</f>
        <v>0.20300707547169811</v>
      </c>
      <c r="AF102" s="588">
        <v>367</v>
      </c>
      <c r="AG102" s="267">
        <f t="shared" ref="AG102:AG125" si="68">AF102/E102</f>
        <v>2.1639150943396225E-2</v>
      </c>
    </row>
    <row r="103" spans="1:33" x14ac:dyDescent="0.25">
      <c r="A103" s="265" t="s">
        <v>52</v>
      </c>
      <c r="B103" s="265" t="s">
        <v>53</v>
      </c>
      <c r="C103" s="265" t="s">
        <v>265</v>
      </c>
      <c r="D103" s="265">
        <v>3</v>
      </c>
      <c r="E103" s="588">
        <v>46912</v>
      </c>
      <c r="F103" s="2282">
        <v>22722</v>
      </c>
      <c r="G103" s="2283">
        <v>24190</v>
      </c>
      <c r="H103" s="589">
        <v>32792</v>
      </c>
      <c r="I103" s="589">
        <v>8897</v>
      </c>
      <c r="J103" s="589">
        <v>3572</v>
      </c>
      <c r="K103" s="589">
        <v>212</v>
      </c>
      <c r="L103" s="590">
        <v>1439</v>
      </c>
      <c r="M103" s="2282">
        <f t="shared" si="62"/>
        <v>7550</v>
      </c>
      <c r="N103" s="589">
        <f t="shared" si="63"/>
        <v>34766</v>
      </c>
      <c r="O103" s="2283">
        <f t="shared" si="64"/>
        <v>4596</v>
      </c>
      <c r="P103" s="2282">
        <v>3959</v>
      </c>
      <c r="Q103" s="589">
        <v>16826</v>
      </c>
      <c r="R103" s="589">
        <v>1937</v>
      </c>
      <c r="S103" s="2282">
        <v>3591</v>
      </c>
      <c r="T103" s="589">
        <v>17940</v>
      </c>
      <c r="U103" s="2283">
        <v>2659</v>
      </c>
      <c r="V103" s="1189">
        <f t="shared" si="55"/>
        <v>0.48435368349249658</v>
      </c>
      <c r="W103" s="1189">
        <f t="shared" si="56"/>
        <v>0.51564631650750337</v>
      </c>
      <c r="X103" s="1231">
        <f t="shared" si="57"/>
        <v>0.69901091405184179</v>
      </c>
      <c r="Y103" s="1189">
        <f t="shared" si="58"/>
        <v>0.18965296725784447</v>
      </c>
      <c r="Z103" s="1189">
        <f t="shared" si="59"/>
        <v>7.6142564802182816E-2</v>
      </c>
      <c r="AA103" s="1189">
        <f t="shared" si="60"/>
        <v>4.5190995907230559E-3</v>
      </c>
      <c r="AB103" s="1233">
        <f t="shared" si="61"/>
        <v>3.0674454297407911E-2</v>
      </c>
      <c r="AC103" s="594">
        <f t="shared" si="65"/>
        <v>0.16093963165075034</v>
      </c>
      <c r="AD103" s="595">
        <f t="shared" si="66"/>
        <v>0.74108969986357431</v>
      </c>
      <c r="AE103" s="596">
        <f t="shared" si="67"/>
        <v>9.7970668485675302E-2</v>
      </c>
      <c r="AF103" s="588">
        <v>2495</v>
      </c>
      <c r="AG103" s="267">
        <f t="shared" si="68"/>
        <v>5.3184686221009553E-2</v>
      </c>
    </row>
    <row r="104" spans="1:33" x14ac:dyDescent="0.25">
      <c r="A104" s="265" t="s">
        <v>54</v>
      </c>
      <c r="B104" s="265" t="s">
        <v>55</v>
      </c>
      <c r="C104" s="265" t="s">
        <v>264</v>
      </c>
      <c r="D104" s="265">
        <v>3</v>
      </c>
      <c r="E104" s="588">
        <v>237940</v>
      </c>
      <c r="F104" s="2282">
        <v>116146</v>
      </c>
      <c r="G104" s="2283">
        <v>121794</v>
      </c>
      <c r="H104" s="589">
        <v>148335</v>
      </c>
      <c r="I104" s="589">
        <v>71932</v>
      </c>
      <c r="J104" s="589">
        <v>8146</v>
      </c>
      <c r="K104" s="589">
        <v>1392</v>
      </c>
      <c r="L104" s="590">
        <v>8135</v>
      </c>
      <c r="M104" s="2282">
        <f t="shared" si="62"/>
        <v>57573</v>
      </c>
      <c r="N104" s="589">
        <f t="shared" si="63"/>
        <v>150415</v>
      </c>
      <c r="O104" s="2283">
        <f t="shared" si="64"/>
        <v>29952</v>
      </c>
      <c r="P104" s="2282">
        <v>29313</v>
      </c>
      <c r="Q104" s="589">
        <v>73914</v>
      </c>
      <c r="R104" s="589">
        <v>12919</v>
      </c>
      <c r="S104" s="2282">
        <v>28260</v>
      </c>
      <c r="T104" s="589">
        <v>76501</v>
      </c>
      <c r="U104" s="2283">
        <v>17033</v>
      </c>
      <c r="V104" s="1189">
        <f t="shared" si="55"/>
        <v>0.4881314617130369</v>
      </c>
      <c r="W104" s="1189">
        <f t="shared" si="56"/>
        <v>0.5118685382869631</v>
      </c>
      <c r="X104" s="1231">
        <f t="shared" si="57"/>
        <v>0.6234134655795579</v>
      </c>
      <c r="Y104" s="1189">
        <f t="shared" si="58"/>
        <v>0.30231150710263094</v>
      </c>
      <c r="Z104" s="1189">
        <f t="shared" si="59"/>
        <v>3.4235521560057158E-2</v>
      </c>
      <c r="AA104" s="1189">
        <f t="shared" si="60"/>
        <v>5.850214339749517E-3</v>
      </c>
      <c r="AB104" s="1233">
        <f t="shared" si="61"/>
        <v>3.4189291418004537E-2</v>
      </c>
      <c r="AC104" s="594">
        <f t="shared" si="65"/>
        <v>0.24196436076321762</v>
      </c>
      <c r="AD104" s="595">
        <f t="shared" si="66"/>
        <v>0.63215516516768933</v>
      </c>
      <c r="AE104" s="596">
        <f t="shared" si="67"/>
        <v>0.12588047406909306</v>
      </c>
      <c r="AF104" s="588">
        <v>13598</v>
      </c>
      <c r="AG104" s="267">
        <f t="shared" si="68"/>
        <v>5.7148861057409434E-2</v>
      </c>
    </row>
    <row r="105" spans="1:33" x14ac:dyDescent="0.25">
      <c r="A105" s="265" t="s">
        <v>66</v>
      </c>
      <c r="B105" s="265" t="s">
        <v>67</v>
      </c>
      <c r="C105" s="265" t="s">
        <v>265</v>
      </c>
      <c r="D105" s="265">
        <v>3</v>
      </c>
      <c r="E105" s="588">
        <v>41898</v>
      </c>
      <c r="F105" s="2282">
        <v>19384</v>
      </c>
      <c r="G105" s="2283">
        <v>22514</v>
      </c>
      <c r="H105" s="589">
        <v>19445</v>
      </c>
      <c r="I105" s="589">
        <v>21055</v>
      </c>
      <c r="J105" s="589">
        <v>512</v>
      </c>
      <c r="K105" s="589">
        <v>221</v>
      </c>
      <c r="L105" s="590">
        <v>665</v>
      </c>
      <c r="M105" s="2282">
        <f t="shared" si="62"/>
        <v>9319</v>
      </c>
      <c r="N105" s="589">
        <f t="shared" si="63"/>
        <v>24049</v>
      </c>
      <c r="O105" s="2283">
        <f t="shared" si="64"/>
        <v>8530</v>
      </c>
      <c r="P105" s="2282">
        <v>4793</v>
      </c>
      <c r="Q105" s="589">
        <v>11268</v>
      </c>
      <c r="R105" s="589">
        <v>3323</v>
      </c>
      <c r="S105" s="2282">
        <v>4526</v>
      </c>
      <c r="T105" s="589">
        <v>12781</v>
      </c>
      <c r="U105" s="2283">
        <v>5207</v>
      </c>
      <c r="V105" s="1189">
        <f t="shared" si="55"/>
        <v>0.46264738173659842</v>
      </c>
      <c r="W105" s="1189">
        <f t="shared" si="56"/>
        <v>0.53735261826340164</v>
      </c>
      <c r="X105" s="1231">
        <f t="shared" si="57"/>
        <v>0.46410329848680126</v>
      </c>
      <c r="Y105" s="1189">
        <f t="shared" si="58"/>
        <v>0.50252995369707387</v>
      </c>
      <c r="Z105" s="1189">
        <f t="shared" si="59"/>
        <v>1.2220153706620841E-2</v>
      </c>
      <c r="AA105" s="1189">
        <f t="shared" si="60"/>
        <v>5.2747147835218869E-3</v>
      </c>
      <c r="AB105" s="1233">
        <f t="shared" si="61"/>
        <v>1.5871879325982146E-2</v>
      </c>
      <c r="AC105" s="594">
        <f t="shared" si="65"/>
        <v>0.22242111795312425</v>
      </c>
      <c r="AD105" s="595">
        <f t="shared" si="66"/>
        <v>0.57398921189555585</v>
      </c>
      <c r="AE105" s="596">
        <f t="shared" si="67"/>
        <v>0.20358967015131987</v>
      </c>
      <c r="AF105" s="588">
        <v>1718</v>
      </c>
      <c r="AG105" s="267">
        <f t="shared" si="68"/>
        <v>4.1004343882762903E-2</v>
      </c>
    </row>
    <row r="106" spans="1:33" x14ac:dyDescent="0.25">
      <c r="A106" s="265" t="s">
        <v>82</v>
      </c>
      <c r="B106" s="265" t="s">
        <v>311</v>
      </c>
      <c r="C106" s="265" t="s">
        <v>264</v>
      </c>
      <c r="D106" s="265">
        <v>2</v>
      </c>
      <c r="E106" s="588">
        <v>8306</v>
      </c>
      <c r="F106" s="2282">
        <v>3772</v>
      </c>
      <c r="G106" s="2283">
        <v>4534</v>
      </c>
      <c r="H106" s="589">
        <v>3247</v>
      </c>
      <c r="I106" s="589">
        <v>4763</v>
      </c>
      <c r="J106" s="589">
        <v>76</v>
      </c>
      <c r="K106" s="589">
        <v>37</v>
      </c>
      <c r="L106" s="590">
        <v>183</v>
      </c>
      <c r="M106" s="2282">
        <f t="shared" si="62"/>
        <v>1970</v>
      </c>
      <c r="N106" s="589">
        <f t="shared" si="63"/>
        <v>4760</v>
      </c>
      <c r="O106" s="2283">
        <f t="shared" si="64"/>
        <v>1576</v>
      </c>
      <c r="P106" s="2282">
        <v>1017</v>
      </c>
      <c r="Q106" s="589">
        <v>2099</v>
      </c>
      <c r="R106" s="589">
        <v>656</v>
      </c>
      <c r="S106" s="2282">
        <v>953</v>
      </c>
      <c r="T106" s="589">
        <v>2661</v>
      </c>
      <c r="U106" s="2283">
        <v>920</v>
      </c>
      <c r="V106" s="1189">
        <f t="shared" si="55"/>
        <v>0.45412954490729596</v>
      </c>
      <c r="W106" s="1189">
        <f t="shared" si="56"/>
        <v>0.54587045509270404</v>
      </c>
      <c r="X106" s="1231">
        <f t="shared" si="57"/>
        <v>0.39092222489766432</v>
      </c>
      <c r="Y106" s="1189">
        <f t="shared" si="58"/>
        <v>0.57344088610642907</v>
      </c>
      <c r="Z106" s="1189">
        <f t="shared" si="59"/>
        <v>9.1500120394895253E-3</v>
      </c>
      <c r="AA106" s="1189">
        <f t="shared" si="60"/>
        <v>4.4546111244883214E-3</v>
      </c>
      <c r="AB106" s="1233">
        <f t="shared" si="61"/>
        <v>2.2032265831928726E-2</v>
      </c>
      <c r="AC106" s="594">
        <f t="shared" si="65"/>
        <v>0.23717794365518902</v>
      </c>
      <c r="AD106" s="595">
        <f t="shared" si="66"/>
        <v>0.57307970142065978</v>
      </c>
      <c r="AE106" s="596">
        <f t="shared" si="67"/>
        <v>0.18974235492415123</v>
      </c>
      <c r="AF106" s="588">
        <v>189</v>
      </c>
      <c r="AG106" s="267">
        <f t="shared" si="68"/>
        <v>2.2754635203467374E-2</v>
      </c>
    </row>
    <row r="107" spans="1:33" x14ac:dyDescent="0.25">
      <c r="A107" s="265" t="s">
        <v>88</v>
      </c>
      <c r="B107" s="265" t="s">
        <v>89</v>
      </c>
      <c r="C107" s="265" t="s">
        <v>267</v>
      </c>
      <c r="D107" s="265">
        <v>2</v>
      </c>
      <c r="E107" s="588">
        <v>28297</v>
      </c>
      <c r="F107" s="2282">
        <v>12964</v>
      </c>
      <c r="G107" s="2283">
        <v>15333</v>
      </c>
      <c r="H107" s="589">
        <v>19312</v>
      </c>
      <c r="I107" s="589">
        <v>6729</v>
      </c>
      <c r="J107" s="589">
        <v>848</v>
      </c>
      <c r="K107" s="589">
        <v>252</v>
      </c>
      <c r="L107" s="590">
        <v>1156</v>
      </c>
      <c r="M107" s="2282">
        <f t="shared" si="62"/>
        <v>5945</v>
      </c>
      <c r="N107" s="589">
        <f t="shared" si="63"/>
        <v>19338</v>
      </c>
      <c r="O107" s="2283">
        <f t="shared" si="64"/>
        <v>3014</v>
      </c>
      <c r="P107" s="2282">
        <v>3017</v>
      </c>
      <c r="Q107" s="589">
        <v>8737</v>
      </c>
      <c r="R107" s="589">
        <v>1210</v>
      </c>
      <c r="S107" s="2282">
        <v>2928</v>
      </c>
      <c r="T107" s="589">
        <v>10601</v>
      </c>
      <c r="U107" s="2283">
        <v>1804</v>
      </c>
      <c r="V107" s="1189">
        <f t="shared" si="55"/>
        <v>0.45814043891578615</v>
      </c>
      <c r="W107" s="1189">
        <f t="shared" si="56"/>
        <v>0.54185956108421385</v>
      </c>
      <c r="X107" s="1231">
        <f t="shared" si="57"/>
        <v>0.68247517404671876</v>
      </c>
      <c r="Y107" s="1189">
        <f t="shared" si="58"/>
        <v>0.23779905997102166</v>
      </c>
      <c r="Z107" s="1189">
        <f t="shared" si="59"/>
        <v>2.9967841113899E-2</v>
      </c>
      <c r="AA107" s="1189">
        <f t="shared" si="60"/>
        <v>8.9055376895077216E-3</v>
      </c>
      <c r="AB107" s="1233">
        <f t="shared" si="61"/>
        <v>4.0852387178852881E-2</v>
      </c>
      <c r="AC107" s="594">
        <f t="shared" si="65"/>
        <v>0.21009294271477541</v>
      </c>
      <c r="AD107" s="595">
        <f t="shared" si="66"/>
        <v>0.68339399936389011</v>
      </c>
      <c r="AE107" s="596">
        <f t="shared" si="67"/>
        <v>0.10651305792133442</v>
      </c>
      <c r="AF107" s="588">
        <v>3016</v>
      </c>
      <c r="AG107" s="267">
        <f t="shared" si="68"/>
        <v>0.10658373679188607</v>
      </c>
    </row>
    <row r="108" spans="1:33" x14ac:dyDescent="0.25">
      <c r="A108" s="265" t="s">
        <v>90</v>
      </c>
      <c r="B108" s="265" t="s">
        <v>91</v>
      </c>
      <c r="C108" s="265" t="s">
        <v>268</v>
      </c>
      <c r="D108" s="265">
        <v>1</v>
      </c>
      <c r="E108" s="588">
        <v>6775</v>
      </c>
      <c r="F108" s="2282">
        <v>3140</v>
      </c>
      <c r="G108" s="2283">
        <v>3635</v>
      </c>
      <c r="H108" s="589">
        <v>6061</v>
      </c>
      <c r="I108" s="589">
        <v>467</v>
      </c>
      <c r="J108" s="589">
        <v>52</v>
      </c>
      <c r="K108" s="589">
        <v>44</v>
      </c>
      <c r="L108" s="590">
        <v>151</v>
      </c>
      <c r="M108" s="2282">
        <f t="shared" si="62"/>
        <v>1523</v>
      </c>
      <c r="N108" s="589">
        <f t="shared" si="63"/>
        <v>3825</v>
      </c>
      <c r="O108" s="2283">
        <f t="shared" si="64"/>
        <v>1427</v>
      </c>
      <c r="P108" s="2282">
        <v>748</v>
      </c>
      <c r="Q108" s="589">
        <v>1846</v>
      </c>
      <c r="R108" s="589">
        <v>546</v>
      </c>
      <c r="S108" s="2282">
        <v>775</v>
      </c>
      <c r="T108" s="589">
        <v>1979</v>
      </c>
      <c r="U108" s="2283">
        <v>881</v>
      </c>
      <c r="V108" s="1189">
        <f t="shared" si="55"/>
        <v>0.46346863468634686</v>
      </c>
      <c r="W108" s="1189">
        <f t="shared" si="56"/>
        <v>0.53653136531365309</v>
      </c>
      <c r="X108" s="1231">
        <f t="shared" si="57"/>
        <v>0.89461254612546126</v>
      </c>
      <c r="Y108" s="1189">
        <f t="shared" si="58"/>
        <v>6.8929889298892988E-2</v>
      </c>
      <c r="Z108" s="1189">
        <f t="shared" si="59"/>
        <v>7.675276752767528E-3</v>
      </c>
      <c r="AA108" s="1189">
        <f t="shared" si="60"/>
        <v>6.4944649446494465E-3</v>
      </c>
      <c r="AB108" s="1233">
        <f t="shared" si="61"/>
        <v>2.2287822878228784E-2</v>
      </c>
      <c r="AC108" s="594">
        <f t="shared" si="65"/>
        <v>0.2247970479704797</v>
      </c>
      <c r="AD108" s="595">
        <f t="shared" si="66"/>
        <v>0.56457564575645758</v>
      </c>
      <c r="AE108" s="596">
        <f t="shared" si="67"/>
        <v>0.21062730627306273</v>
      </c>
      <c r="AF108" s="588">
        <v>1046</v>
      </c>
      <c r="AG108" s="267">
        <f t="shared" si="68"/>
        <v>0.15439114391143913</v>
      </c>
    </row>
    <row r="109" spans="1:33" x14ac:dyDescent="0.25">
      <c r="A109" s="265" t="s">
        <v>106</v>
      </c>
      <c r="B109" s="265" t="s">
        <v>107</v>
      </c>
      <c r="C109" s="265" t="s">
        <v>264</v>
      </c>
      <c r="D109" s="265">
        <v>3</v>
      </c>
      <c r="E109" s="588">
        <v>135410</v>
      </c>
      <c r="F109" s="2282">
        <v>65078</v>
      </c>
      <c r="G109" s="2283">
        <v>70332</v>
      </c>
      <c r="H109" s="589">
        <v>57486</v>
      </c>
      <c r="I109" s="589">
        <v>68406</v>
      </c>
      <c r="J109" s="589">
        <v>3227</v>
      </c>
      <c r="K109" s="589">
        <v>899</v>
      </c>
      <c r="L109" s="590">
        <v>5392</v>
      </c>
      <c r="M109" s="2282">
        <f t="shared" si="62"/>
        <v>28972</v>
      </c>
      <c r="N109" s="589">
        <f t="shared" si="63"/>
        <v>86628</v>
      </c>
      <c r="O109" s="2283">
        <f t="shared" si="64"/>
        <v>19810</v>
      </c>
      <c r="P109" s="2282">
        <v>14836</v>
      </c>
      <c r="Q109" s="589">
        <v>42013</v>
      </c>
      <c r="R109" s="589">
        <v>8229</v>
      </c>
      <c r="S109" s="2282">
        <v>14136</v>
      </c>
      <c r="T109" s="589">
        <v>44615</v>
      </c>
      <c r="U109" s="2283">
        <v>11581</v>
      </c>
      <c r="V109" s="1189">
        <f t="shared" si="55"/>
        <v>0.48059966029096818</v>
      </c>
      <c r="W109" s="1189">
        <f t="shared" si="56"/>
        <v>0.51940033970903188</v>
      </c>
      <c r="X109" s="1231">
        <f t="shared" si="57"/>
        <v>0.42453290008123479</v>
      </c>
      <c r="Y109" s="1189">
        <f t="shared" si="58"/>
        <v>0.50517687024591984</v>
      </c>
      <c r="Z109" s="1189">
        <f t="shared" si="59"/>
        <v>2.3831327080717821E-2</v>
      </c>
      <c r="AA109" s="1189">
        <f t="shared" si="60"/>
        <v>6.6390960785761757E-3</v>
      </c>
      <c r="AB109" s="1233">
        <f t="shared" si="61"/>
        <v>3.9819806513551437E-2</v>
      </c>
      <c r="AC109" s="594">
        <f t="shared" si="65"/>
        <v>0.21395761022081086</v>
      </c>
      <c r="AD109" s="595">
        <f t="shared" si="66"/>
        <v>0.63974595672402335</v>
      </c>
      <c r="AE109" s="596">
        <f t="shared" si="67"/>
        <v>0.14629643305516579</v>
      </c>
      <c r="AF109" s="588">
        <v>7430</v>
      </c>
      <c r="AG109" s="267">
        <f t="shared" si="68"/>
        <v>5.4870393619378184E-2</v>
      </c>
    </row>
    <row r="110" spans="1:33" x14ac:dyDescent="0.25">
      <c r="A110" s="265" t="s">
        <v>116</v>
      </c>
      <c r="B110" s="265" t="s">
        <v>117</v>
      </c>
      <c r="C110" s="265" t="s">
        <v>266</v>
      </c>
      <c r="D110" s="265">
        <v>2</v>
      </c>
      <c r="E110" s="588">
        <v>22735</v>
      </c>
      <c r="F110" s="2282">
        <v>10569</v>
      </c>
      <c r="G110" s="2283">
        <v>12166</v>
      </c>
      <c r="H110" s="589">
        <v>12102</v>
      </c>
      <c r="I110" s="589">
        <v>9348</v>
      </c>
      <c r="J110" s="589">
        <v>284</v>
      </c>
      <c r="K110" s="589">
        <v>210</v>
      </c>
      <c r="L110" s="590">
        <v>791</v>
      </c>
      <c r="M110" s="2282">
        <f t="shared" si="62"/>
        <v>5910</v>
      </c>
      <c r="N110" s="589">
        <f t="shared" si="63"/>
        <v>13282</v>
      </c>
      <c r="O110" s="2283">
        <f t="shared" si="64"/>
        <v>3543</v>
      </c>
      <c r="P110" s="2282">
        <v>3016</v>
      </c>
      <c r="Q110" s="589">
        <v>6149</v>
      </c>
      <c r="R110" s="589">
        <v>1404</v>
      </c>
      <c r="S110" s="2282">
        <v>2894</v>
      </c>
      <c r="T110" s="589">
        <v>7133</v>
      </c>
      <c r="U110" s="2283">
        <v>2139</v>
      </c>
      <c r="V110" s="1189">
        <f t="shared" si="55"/>
        <v>0.46487794149989004</v>
      </c>
      <c r="W110" s="1189">
        <f t="shared" si="56"/>
        <v>0.53512205850010996</v>
      </c>
      <c r="X110" s="1231">
        <f t="shared" si="57"/>
        <v>0.53230701561469096</v>
      </c>
      <c r="Y110" s="1189">
        <f t="shared" si="58"/>
        <v>0.41117220145150651</v>
      </c>
      <c r="Z110" s="1189">
        <f t="shared" si="59"/>
        <v>1.2491752804046624E-2</v>
      </c>
      <c r="AA110" s="1189">
        <f t="shared" si="60"/>
        <v>9.2368594677809546E-3</v>
      </c>
      <c r="AB110" s="1233">
        <f t="shared" si="61"/>
        <v>3.479217066197493E-2</v>
      </c>
      <c r="AC110" s="594">
        <f t="shared" si="65"/>
        <v>0.25995161645040687</v>
      </c>
      <c r="AD110" s="595">
        <f t="shared" si="66"/>
        <v>0.58420936881460306</v>
      </c>
      <c r="AE110" s="596">
        <f t="shared" si="67"/>
        <v>0.15583901473499009</v>
      </c>
      <c r="AF110" s="588">
        <v>1757</v>
      </c>
      <c r="AG110" s="267">
        <f t="shared" si="68"/>
        <v>7.7281724213767319E-2</v>
      </c>
    </row>
    <row r="111" spans="1:33" x14ac:dyDescent="0.25">
      <c r="A111" s="265" t="s">
        <v>138</v>
      </c>
      <c r="B111" s="265" t="s">
        <v>139</v>
      </c>
      <c r="C111" s="265" t="s">
        <v>265</v>
      </c>
      <c r="D111" s="265">
        <v>3</v>
      </c>
      <c r="E111" s="588">
        <v>80212</v>
      </c>
      <c r="F111" s="2282">
        <v>37587</v>
      </c>
      <c r="G111" s="2283">
        <v>42625</v>
      </c>
      <c r="H111" s="589">
        <v>52958</v>
      </c>
      <c r="I111" s="589">
        <v>22677</v>
      </c>
      <c r="J111" s="589">
        <v>2348</v>
      </c>
      <c r="K111" s="589">
        <v>450</v>
      </c>
      <c r="L111" s="590">
        <v>1779</v>
      </c>
      <c r="M111" s="2282">
        <f t="shared" si="62"/>
        <v>15470</v>
      </c>
      <c r="N111" s="589">
        <f t="shared" si="63"/>
        <v>53158</v>
      </c>
      <c r="O111" s="2283">
        <f t="shared" si="64"/>
        <v>11584</v>
      </c>
      <c r="P111" s="2282">
        <v>7835</v>
      </c>
      <c r="Q111" s="589">
        <v>25065</v>
      </c>
      <c r="R111" s="589">
        <v>4687</v>
      </c>
      <c r="S111" s="2282">
        <v>7635</v>
      </c>
      <c r="T111" s="589">
        <v>28093</v>
      </c>
      <c r="U111" s="2283">
        <v>6897</v>
      </c>
      <c r="V111" s="1189">
        <f t="shared" si="55"/>
        <v>0.46859572133845312</v>
      </c>
      <c r="W111" s="1189">
        <f t="shared" si="56"/>
        <v>0.53140427866154694</v>
      </c>
      <c r="X111" s="1231">
        <f t="shared" si="57"/>
        <v>0.66022540268289032</v>
      </c>
      <c r="Y111" s="1189">
        <f t="shared" si="58"/>
        <v>0.2827133097292176</v>
      </c>
      <c r="Z111" s="1189">
        <f t="shared" si="59"/>
        <v>2.9272428065626091E-2</v>
      </c>
      <c r="AA111" s="1189">
        <f t="shared" si="60"/>
        <v>5.6101331471600261E-3</v>
      </c>
      <c r="AB111" s="1233">
        <f t="shared" si="61"/>
        <v>2.217872637510597E-2</v>
      </c>
      <c r="AC111" s="594">
        <f t="shared" si="65"/>
        <v>0.19286391063681244</v>
      </c>
      <c r="AD111" s="595">
        <f t="shared" si="66"/>
        <v>0.66271879519273924</v>
      </c>
      <c r="AE111" s="596">
        <f t="shared" si="67"/>
        <v>0.14441729417044832</v>
      </c>
      <c r="AF111" s="588">
        <v>2808</v>
      </c>
      <c r="AG111" s="267">
        <f t="shared" si="68"/>
        <v>3.5007230838278565E-2</v>
      </c>
    </row>
    <row r="112" spans="1:33" x14ac:dyDescent="0.25">
      <c r="A112" s="265" t="s">
        <v>142</v>
      </c>
      <c r="B112" s="265" t="s">
        <v>143</v>
      </c>
      <c r="C112" s="265" t="s">
        <v>267</v>
      </c>
      <c r="D112" s="265">
        <v>2</v>
      </c>
      <c r="E112" s="588">
        <v>41483</v>
      </c>
      <c r="F112" s="2282">
        <v>20667</v>
      </c>
      <c r="G112" s="2283">
        <v>20816</v>
      </c>
      <c r="H112" s="589">
        <v>30473</v>
      </c>
      <c r="I112" s="589">
        <v>6275</v>
      </c>
      <c r="J112" s="589">
        <v>2562</v>
      </c>
      <c r="K112" s="589">
        <v>717</v>
      </c>
      <c r="L112" s="590">
        <v>1456</v>
      </c>
      <c r="M112" s="2282">
        <f t="shared" si="62"/>
        <v>11027</v>
      </c>
      <c r="N112" s="589">
        <f t="shared" si="63"/>
        <v>26687</v>
      </c>
      <c r="O112" s="2283">
        <f t="shared" si="64"/>
        <v>3769</v>
      </c>
      <c r="P112" s="2282">
        <v>5600</v>
      </c>
      <c r="Q112" s="589">
        <v>13396</v>
      </c>
      <c r="R112" s="589">
        <v>1671</v>
      </c>
      <c r="S112" s="2282">
        <v>5427</v>
      </c>
      <c r="T112" s="589">
        <v>13291</v>
      </c>
      <c r="U112" s="2283">
        <v>2098</v>
      </c>
      <c r="V112" s="1189">
        <f t="shared" si="55"/>
        <v>0.49820408360051105</v>
      </c>
      <c r="W112" s="1189">
        <f t="shared" si="56"/>
        <v>0.50179591639948895</v>
      </c>
      <c r="X112" s="1231">
        <f t="shared" si="57"/>
        <v>0.73459007304196899</v>
      </c>
      <c r="Y112" s="1189">
        <f t="shared" si="58"/>
        <v>0.15126678398380058</v>
      </c>
      <c r="Z112" s="1189">
        <f t="shared" si="59"/>
        <v>6.1760239134103126E-2</v>
      </c>
      <c r="AA112" s="1189">
        <f t="shared" si="60"/>
        <v>1.728418870380638E-2</v>
      </c>
      <c r="AB112" s="1233">
        <f t="shared" si="61"/>
        <v>3.5098715136320902E-2</v>
      </c>
      <c r="AC112" s="594">
        <f t="shared" si="65"/>
        <v>0.26581973338476</v>
      </c>
      <c r="AD112" s="595">
        <f t="shared" si="66"/>
        <v>0.64332377118337636</v>
      </c>
      <c r="AE112" s="596">
        <f t="shared" si="67"/>
        <v>9.0856495431863651E-2</v>
      </c>
      <c r="AF112" s="588">
        <v>14908</v>
      </c>
      <c r="AG112" s="267">
        <f t="shared" si="68"/>
        <v>0.35937612998095603</v>
      </c>
    </row>
    <row r="113" spans="1:33" x14ac:dyDescent="0.25">
      <c r="A113" s="265" t="s">
        <v>144</v>
      </c>
      <c r="B113" s="265" t="s">
        <v>145</v>
      </c>
      <c r="C113" s="265" t="s">
        <v>267</v>
      </c>
      <c r="D113" s="265">
        <v>1</v>
      </c>
      <c r="E113" s="588">
        <v>15915</v>
      </c>
      <c r="F113" s="2282">
        <v>8131</v>
      </c>
      <c r="G113" s="2283">
        <v>7784</v>
      </c>
      <c r="H113" s="589">
        <v>11031</v>
      </c>
      <c r="I113" s="589">
        <v>2272</v>
      </c>
      <c r="J113" s="589">
        <v>1731</v>
      </c>
      <c r="K113" s="589">
        <v>280</v>
      </c>
      <c r="L113" s="590">
        <v>601</v>
      </c>
      <c r="M113" s="2282">
        <f t="shared" si="62"/>
        <v>4095</v>
      </c>
      <c r="N113" s="589">
        <f t="shared" si="63"/>
        <v>10559</v>
      </c>
      <c r="O113" s="2283">
        <f t="shared" si="64"/>
        <v>1261</v>
      </c>
      <c r="P113" s="2282">
        <v>2152</v>
      </c>
      <c r="Q113" s="589">
        <v>5435</v>
      </c>
      <c r="R113" s="589">
        <v>544</v>
      </c>
      <c r="S113" s="2282">
        <v>1943</v>
      </c>
      <c r="T113" s="589">
        <v>5124</v>
      </c>
      <c r="U113" s="2283">
        <v>717</v>
      </c>
      <c r="V113" s="1189">
        <f t="shared" si="55"/>
        <v>0.51090166509582158</v>
      </c>
      <c r="W113" s="1189">
        <f t="shared" si="56"/>
        <v>0.48909833490417842</v>
      </c>
      <c r="X113" s="1231">
        <f t="shared" si="57"/>
        <v>0.69311969839773802</v>
      </c>
      <c r="Y113" s="1189">
        <f t="shared" si="58"/>
        <v>0.1427584040213635</v>
      </c>
      <c r="Z113" s="1189">
        <f t="shared" si="59"/>
        <v>0.10876531573986804</v>
      </c>
      <c r="AA113" s="1189">
        <f t="shared" si="60"/>
        <v>1.7593465284322967E-2</v>
      </c>
      <c r="AB113" s="1233">
        <f t="shared" si="61"/>
        <v>3.7763116556707506E-2</v>
      </c>
      <c r="AC113" s="594">
        <f t="shared" si="65"/>
        <v>0.25730442978322338</v>
      </c>
      <c r="AD113" s="595">
        <f t="shared" si="66"/>
        <v>0.6634621426327364</v>
      </c>
      <c r="AE113" s="596">
        <f t="shared" si="67"/>
        <v>7.9233427584040214E-2</v>
      </c>
      <c r="AF113" s="588">
        <v>6151</v>
      </c>
      <c r="AG113" s="267">
        <f t="shared" si="68"/>
        <v>0.38649073201382345</v>
      </c>
    </row>
    <row r="114" spans="1:33" x14ac:dyDescent="0.25">
      <c r="A114" s="265" t="s">
        <v>158</v>
      </c>
      <c r="B114" s="265" t="s">
        <v>159</v>
      </c>
      <c r="C114" s="265" t="s">
        <v>264</v>
      </c>
      <c r="D114" s="265">
        <v>3</v>
      </c>
      <c r="E114" s="588">
        <v>181825</v>
      </c>
      <c r="F114" s="2282">
        <v>88395</v>
      </c>
      <c r="G114" s="2283">
        <v>93430</v>
      </c>
      <c r="H114" s="589">
        <v>91030</v>
      </c>
      <c r="I114" s="589">
        <v>75808</v>
      </c>
      <c r="J114" s="589">
        <v>5980</v>
      </c>
      <c r="K114" s="589">
        <v>1392</v>
      </c>
      <c r="L114" s="590">
        <v>7615</v>
      </c>
      <c r="M114" s="2282">
        <f t="shared" si="62"/>
        <v>42209</v>
      </c>
      <c r="N114" s="589">
        <f t="shared" si="63"/>
        <v>117293</v>
      </c>
      <c r="O114" s="2283">
        <f t="shared" si="64"/>
        <v>22323</v>
      </c>
      <c r="P114" s="2282">
        <v>21586</v>
      </c>
      <c r="Q114" s="589">
        <v>57730</v>
      </c>
      <c r="R114" s="589">
        <v>9079</v>
      </c>
      <c r="S114" s="2282">
        <v>20623</v>
      </c>
      <c r="T114" s="589">
        <v>59563</v>
      </c>
      <c r="U114" s="2283">
        <v>13244</v>
      </c>
      <c r="V114" s="1189">
        <f t="shared" si="55"/>
        <v>0.48615426921490446</v>
      </c>
      <c r="W114" s="1189">
        <f t="shared" si="56"/>
        <v>0.51384573078509554</v>
      </c>
      <c r="X114" s="1231">
        <f t="shared" si="57"/>
        <v>0.50064622576653373</v>
      </c>
      <c r="Y114" s="1189">
        <f t="shared" si="58"/>
        <v>0.41692836518630549</v>
      </c>
      <c r="Z114" s="1189">
        <f t="shared" si="59"/>
        <v>3.2888766671249826E-2</v>
      </c>
      <c r="AA114" s="1189">
        <f t="shared" si="60"/>
        <v>7.6557129107658467E-3</v>
      </c>
      <c r="AB114" s="1233">
        <f t="shared" si="61"/>
        <v>4.1880929465145059E-2</v>
      </c>
      <c r="AC114" s="594">
        <f t="shared" si="65"/>
        <v>0.232140794720198</v>
      </c>
      <c r="AD114" s="595">
        <f t="shared" si="66"/>
        <v>0.64508730922590407</v>
      </c>
      <c r="AE114" s="596">
        <f t="shared" si="67"/>
        <v>0.12277189605389797</v>
      </c>
      <c r="AF114" s="588">
        <v>16076</v>
      </c>
      <c r="AG114" s="267">
        <f t="shared" si="68"/>
        <v>8.8414684449333147E-2</v>
      </c>
    </row>
    <row r="115" spans="1:33" x14ac:dyDescent="0.25">
      <c r="A115" s="265" t="s">
        <v>160</v>
      </c>
      <c r="B115" s="265" t="s">
        <v>161</v>
      </c>
      <c r="C115" s="265" t="s">
        <v>264</v>
      </c>
      <c r="D115" s="265">
        <v>3</v>
      </c>
      <c r="E115" s="588">
        <v>245115</v>
      </c>
      <c r="F115" s="2282">
        <v>127919</v>
      </c>
      <c r="G115" s="2283">
        <v>117196</v>
      </c>
      <c r="H115" s="589">
        <v>120399</v>
      </c>
      <c r="I115" s="589">
        <v>104589</v>
      </c>
      <c r="J115" s="589">
        <v>9079</v>
      </c>
      <c r="K115" s="589">
        <v>2203</v>
      </c>
      <c r="L115" s="590">
        <v>8845</v>
      </c>
      <c r="M115" s="2282">
        <f t="shared" si="62"/>
        <v>49085</v>
      </c>
      <c r="N115" s="589">
        <f t="shared" si="63"/>
        <v>170461</v>
      </c>
      <c r="O115" s="2283">
        <f t="shared" si="64"/>
        <v>25569</v>
      </c>
      <c r="P115" s="2282">
        <v>24874</v>
      </c>
      <c r="Q115" s="589">
        <v>92347</v>
      </c>
      <c r="R115" s="589">
        <v>10698</v>
      </c>
      <c r="S115" s="2282">
        <v>24211</v>
      </c>
      <c r="T115" s="589">
        <v>78114</v>
      </c>
      <c r="U115" s="2283">
        <v>14871</v>
      </c>
      <c r="V115" s="1189">
        <f t="shared" si="55"/>
        <v>0.5218734063602799</v>
      </c>
      <c r="W115" s="1189">
        <f t="shared" si="56"/>
        <v>0.47812659363972015</v>
      </c>
      <c r="X115" s="1231">
        <f t="shared" si="57"/>
        <v>0.49119392938008688</v>
      </c>
      <c r="Y115" s="1189">
        <f t="shared" si="58"/>
        <v>0.42669359280337799</v>
      </c>
      <c r="Z115" s="1189">
        <f t="shared" si="59"/>
        <v>3.7039756848826058E-2</v>
      </c>
      <c r="AA115" s="1189">
        <f t="shared" si="60"/>
        <v>8.9876180568304667E-3</v>
      </c>
      <c r="AB115" s="1233">
        <f t="shared" si="61"/>
        <v>3.6085102910878568E-2</v>
      </c>
      <c r="AC115" s="594">
        <f t="shared" si="65"/>
        <v>0.20025294249637926</v>
      </c>
      <c r="AD115" s="595">
        <f t="shared" si="66"/>
        <v>0.69543275605328114</v>
      </c>
      <c r="AE115" s="596">
        <f t="shared" si="67"/>
        <v>0.10431430145033964</v>
      </c>
      <c r="AF115" s="588">
        <v>19021</v>
      </c>
      <c r="AG115" s="267">
        <f t="shared" si="68"/>
        <v>7.7600310058543953E-2</v>
      </c>
    </row>
    <row r="116" spans="1:33" x14ac:dyDescent="0.25">
      <c r="A116" s="265" t="s">
        <v>166</v>
      </c>
      <c r="B116" s="265" t="s">
        <v>167</v>
      </c>
      <c r="C116" s="265" t="s">
        <v>268</v>
      </c>
      <c r="D116" s="265">
        <v>1</v>
      </c>
      <c r="E116" s="588">
        <v>3864</v>
      </c>
      <c r="F116" s="2282">
        <v>1852</v>
      </c>
      <c r="G116" s="2283">
        <v>2012</v>
      </c>
      <c r="H116" s="589">
        <v>3467</v>
      </c>
      <c r="I116" s="589">
        <v>247</v>
      </c>
      <c r="J116" s="589">
        <v>59</v>
      </c>
      <c r="K116" s="589">
        <v>15</v>
      </c>
      <c r="L116" s="590">
        <v>76</v>
      </c>
      <c r="M116" s="2282">
        <f t="shared" si="62"/>
        <v>800</v>
      </c>
      <c r="N116" s="589">
        <f t="shared" si="63"/>
        <v>2414</v>
      </c>
      <c r="O116" s="2283">
        <f t="shared" si="64"/>
        <v>650</v>
      </c>
      <c r="P116" s="2282">
        <v>400</v>
      </c>
      <c r="Q116" s="589">
        <v>1181</v>
      </c>
      <c r="R116" s="589">
        <v>271</v>
      </c>
      <c r="S116" s="2282">
        <v>400</v>
      </c>
      <c r="T116" s="589">
        <v>1233</v>
      </c>
      <c r="U116" s="2283">
        <v>379</v>
      </c>
      <c r="V116" s="1189">
        <f t="shared" si="55"/>
        <v>0.47929606625258797</v>
      </c>
      <c r="W116" s="1189">
        <f t="shared" si="56"/>
        <v>0.52070393374741197</v>
      </c>
      <c r="X116" s="1231">
        <f t="shared" si="57"/>
        <v>0.89725672877846796</v>
      </c>
      <c r="Y116" s="1189">
        <f t="shared" si="58"/>
        <v>6.3923395445134576E-2</v>
      </c>
      <c r="Z116" s="1189">
        <f t="shared" si="59"/>
        <v>1.5269151138716356E-2</v>
      </c>
      <c r="AA116" s="1189">
        <f t="shared" si="60"/>
        <v>3.8819875776397515E-3</v>
      </c>
      <c r="AB116" s="1233">
        <f t="shared" si="61"/>
        <v>1.9668737060041408E-2</v>
      </c>
      <c r="AC116" s="594">
        <f t="shared" si="65"/>
        <v>0.20703933747412009</v>
      </c>
      <c r="AD116" s="595">
        <f t="shared" si="66"/>
        <v>0.62474120082815732</v>
      </c>
      <c r="AE116" s="596">
        <f t="shared" si="67"/>
        <v>0.16821946169772256</v>
      </c>
      <c r="AF116" s="588">
        <v>145</v>
      </c>
      <c r="AG116" s="267">
        <f t="shared" si="68"/>
        <v>3.7525879917184264E-2</v>
      </c>
    </row>
    <row r="117" spans="1:33" x14ac:dyDescent="0.25">
      <c r="A117" s="265" t="s">
        <v>176</v>
      </c>
      <c r="B117" s="265" t="s">
        <v>177</v>
      </c>
      <c r="C117" s="265" t="s">
        <v>266</v>
      </c>
      <c r="D117" s="265">
        <v>3</v>
      </c>
      <c r="E117" s="588">
        <v>31882</v>
      </c>
      <c r="F117" s="2282">
        <v>14726</v>
      </c>
      <c r="G117" s="2283">
        <v>17156</v>
      </c>
      <c r="H117" s="589">
        <v>5733</v>
      </c>
      <c r="I117" s="589">
        <v>24860</v>
      </c>
      <c r="J117" s="589">
        <v>358</v>
      </c>
      <c r="K117" s="589">
        <v>158</v>
      </c>
      <c r="L117" s="590">
        <v>773</v>
      </c>
      <c r="M117" s="2282">
        <f t="shared" si="62"/>
        <v>6869</v>
      </c>
      <c r="N117" s="589">
        <f t="shared" si="63"/>
        <v>19867</v>
      </c>
      <c r="O117" s="2283">
        <f t="shared" si="64"/>
        <v>5146</v>
      </c>
      <c r="P117" s="2282">
        <v>3520</v>
      </c>
      <c r="Q117" s="589">
        <v>9205</v>
      </c>
      <c r="R117" s="589">
        <v>2001</v>
      </c>
      <c r="S117" s="2282">
        <v>3349</v>
      </c>
      <c r="T117" s="589">
        <v>10662</v>
      </c>
      <c r="U117" s="2283">
        <v>3145</v>
      </c>
      <c r="V117" s="1189">
        <f t="shared" si="55"/>
        <v>0.46189072203751336</v>
      </c>
      <c r="W117" s="1189">
        <f t="shared" si="56"/>
        <v>0.53810927796248664</v>
      </c>
      <c r="X117" s="1231">
        <f t="shared" si="57"/>
        <v>0.17981933379336304</v>
      </c>
      <c r="Y117" s="1189">
        <f t="shared" si="58"/>
        <v>0.77975032933943922</v>
      </c>
      <c r="Z117" s="1189">
        <f t="shared" si="59"/>
        <v>1.1228906593061916E-2</v>
      </c>
      <c r="AA117" s="1189">
        <f t="shared" si="60"/>
        <v>4.9557744181669911E-3</v>
      </c>
      <c r="AB117" s="1233">
        <f t="shared" si="61"/>
        <v>2.4245655855968884E-2</v>
      </c>
      <c r="AC117" s="594">
        <f t="shared" si="65"/>
        <v>0.2154507245467662</v>
      </c>
      <c r="AD117" s="595">
        <f t="shared" si="66"/>
        <v>0.62314158459318736</v>
      </c>
      <c r="AE117" s="596">
        <f t="shared" si="67"/>
        <v>0.16140769086004642</v>
      </c>
      <c r="AF117" s="588">
        <v>1553</v>
      </c>
      <c r="AG117" s="267">
        <f t="shared" si="68"/>
        <v>4.871087133805909E-2</v>
      </c>
    </row>
    <row r="118" spans="1:33" x14ac:dyDescent="0.25">
      <c r="A118" s="265" t="s">
        <v>180</v>
      </c>
      <c r="B118" s="265" t="s">
        <v>181</v>
      </c>
      <c r="C118" s="265" t="s">
        <v>264</v>
      </c>
      <c r="D118" s="265">
        <v>3</v>
      </c>
      <c r="E118" s="588">
        <v>95252</v>
      </c>
      <c r="F118" s="2282">
        <v>45752</v>
      </c>
      <c r="G118" s="2283">
        <v>49500</v>
      </c>
      <c r="H118" s="589">
        <v>38954</v>
      </c>
      <c r="I118" s="589">
        <v>51645</v>
      </c>
      <c r="J118" s="589">
        <v>1331</v>
      </c>
      <c r="K118" s="589">
        <v>629</v>
      </c>
      <c r="L118" s="590">
        <v>2693</v>
      </c>
      <c r="M118" s="2282">
        <f t="shared" si="62"/>
        <v>22390</v>
      </c>
      <c r="N118" s="589">
        <f t="shared" si="63"/>
        <v>59134</v>
      </c>
      <c r="O118" s="2283">
        <f t="shared" si="64"/>
        <v>13728</v>
      </c>
      <c r="P118" s="2282">
        <v>11379</v>
      </c>
      <c r="Q118" s="589">
        <v>28834</v>
      </c>
      <c r="R118" s="589">
        <v>5539</v>
      </c>
      <c r="S118" s="2282">
        <v>11011</v>
      </c>
      <c r="T118" s="589">
        <v>30300</v>
      </c>
      <c r="U118" s="2283">
        <v>8189</v>
      </c>
      <c r="V118" s="1189">
        <f t="shared" si="55"/>
        <v>0.48032587242262631</v>
      </c>
      <c r="W118" s="1189">
        <f t="shared" si="56"/>
        <v>0.51967412757737375</v>
      </c>
      <c r="X118" s="1231">
        <f t="shared" si="57"/>
        <v>0.40895729223533361</v>
      </c>
      <c r="Y118" s="1189">
        <f t="shared" si="58"/>
        <v>0.54219333977239326</v>
      </c>
      <c r="Z118" s="1189">
        <f t="shared" si="59"/>
        <v>1.3973459874858271E-2</v>
      </c>
      <c r="AA118" s="1189">
        <f t="shared" si="60"/>
        <v>6.6035358837609713E-3</v>
      </c>
      <c r="AB118" s="1233">
        <f t="shared" si="61"/>
        <v>2.8272372233653885E-2</v>
      </c>
      <c r="AC118" s="594">
        <f t="shared" si="65"/>
        <v>0.23506068114055348</v>
      </c>
      <c r="AD118" s="595">
        <f t="shared" si="66"/>
        <v>0.62081636081132152</v>
      </c>
      <c r="AE118" s="596">
        <f t="shared" si="67"/>
        <v>0.14412295804812497</v>
      </c>
      <c r="AF118" s="588">
        <v>4029</v>
      </c>
      <c r="AG118" s="267">
        <f t="shared" si="68"/>
        <v>4.2298324444631087E-2</v>
      </c>
    </row>
    <row r="119" spans="1:33" x14ac:dyDescent="0.25">
      <c r="A119" s="265" t="s">
        <v>192</v>
      </c>
      <c r="B119" s="265" t="s">
        <v>193</v>
      </c>
      <c r="C119" s="265" t="s">
        <v>268</v>
      </c>
      <c r="D119" s="265">
        <v>1</v>
      </c>
      <c r="E119" s="588">
        <v>17483</v>
      </c>
      <c r="F119" s="2282">
        <v>8341</v>
      </c>
      <c r="G119" s="2283">
        <v>9142</v>
      </c>
      <c r="H119" s="589">
        <v>14906</v>
      </c>
      <c r="I119" s="589">
        <v>1709</v>
      </c>
      <c r="J119" s="589">
        <v>400</v>
      </c>
      <c r="K119" s="589">
        <v>45</v>
      </c>
      <c r="L119" s="590">
        <v>423</v>
      </c>
      <c r="M119" s="2282">
        <f t="shared" si="62"/>
        <v>2283</v>
      </c>
      <c r="N119" s="589">
        <f t="shared" si="63"/>
        <v>13786</v>
      </c>
      <c r="O119" s="2283">
        <f t="shared" si="64"/>
        <v>1414</v>
      </c>
      <c r="P119" s="2282">
        <v>1155</v>
      </c>
      <c r="Q119" s="589">
        <v>6590</v>
      </c>
      <c r="R119" s="589">
        <v>596</v>
      </c>
      <c r="S119" s="2282">
        <v>1128</v>
      </c>
      <c r="T119" s="589">
        <v>7196</v>
      </c>
      <c r="U119" s="2283">
        <v>818</v>
      </c>
      <c r="V119" s="1189">
        <f t="shared" si="55"/>
        <v>0.47709203225990965</v>
      </c>
      <c r="W119" s="1189">
        <f t="shared" si="56"/>
        <v>0.52290796774009041</v>
      </c>
      <c r="X119" s="1231">
        <f t="shared" si="57"/>
        <v>0.85259966824915634</v>
      </c>
      <c r="Y119" s="1189">
        <f t="shared" si="58"/>
        <v>9.7752102041983646E-2</v>
      </c>
      <c r="Z119" s="1189">
        <f t="shared" si="59"/>
        <v>2.2879368529428588E-2</v>
      </c>
      <c r="AA119" s="1189">
        <f t="shared" si="60"/>
        <v>2.5739289595607161E-3</v>
      </c>
      <c r="AB119" s="1233">
        <f t="shared" si="61"/>
        <v>2.4194932219870732E-2</v>
      </c>
      <c r="AC119" s="594">
        <f t="shared" si="65"/>
        <v>0.13058399588171365</v>
      </c>
      <c r="AD119" s="595">
        <f t="shared" si="66"/>
        <v>0.78853743636675633</v>
      </c>
      <c r="AE119" s="596">
        <f t="shared" si="67"/>
        <v>8.0878567751530059E-2</v>
      </c>
      <c r="AF119" s="588">
        <v>543</v>
      </c>
      <c r="AG119" s="267">
        <f t="shared" si="68"/>
        <v>3.1058742778699307E-2</v>
      </c>
    </row>
    <row r="120" spans="1:33" x14ac:dyDescent="0.25">
      <c r="A120" s="265" t="s">
        <v>196</v>
      </c>
      <c r="B120" s="265" t="s">
        <v>312</v>
      </c>
      <c r="C120" s="265" t="s">
        <v>266</v>
      </c>
      <c r="D120" s="265">
        <v>3</v>
      </c>
      <c r="E120" s="588">
        <v>223170</v>
      </c>
      <c r="F120" s="2282">
        <v>105917</v>
      </c>
      <c r="G120" s="2283">
        <v>117253</v>
      </c>
      <c r="H120" s="589">
        <v>100977</v>
      </c>
      <c r="I120" s="589">
        <v>110233</v>
      </c>
      <c r="J120" s="589">
        <v>5311</v>
      </c>
      <c r="K120" s="589">
        <v>1726</v>
      </c>
      <c r="L120" s="590">
        <v>4923</v>
      </c>
      <c r="M120" s="2282">
        <f t="shared" si="62"/>
        <v>40104</v>
      </c>
      <c r="N120" s="589">
        <f t="shared" si="63"/>
        <v>156744</v>
      </c>
      <c r="O120" s="2283">
        <f t="shared" si="64"/>
        <v>26322</v>
      </c>
      <c r="P120" s="2282">
        <v>20197</v>
      </c>
      <c r="Q120" s="589">
        <v>74881</v>
      </c>
      <c r="R120" s="589">
        <v>10839</v>
      </c>
      <c r="S120" s="2282">
        <v>19907</v>
      </c>
      <c r="T120" s="589">
        <v>81863</v>
      </c>
      <c r="U120" s="2283">
        <v>15483</v>
      </c>
      <c r="V120" s="1189">
        <f t="shared" si="55"/>
        <v>0.47460232110050632</v>
      </c>
      <c r="W120" s="1189">
        <f t="shared" si="56"/>
        <v>0.52539767889949363</v>
      </c>
      <c r="X120" s="1231">
        <f t="shared" si="57"/>
        <v>0.45246672939911281</v>
      </c>
      <c r="Y120" s="1189">
        <f t="shared" si="58"/>
        <v>0.49394183806067121</v>
      </c>
      <c r="Z120" s="1189">
        <f t="shared" si="59"/>
        <v>2.3798001523502262E-2</v>
      </c>
      <c r="AA120" s="1189">
        <f t="shared" si="60"/>
        <v>7.7340144284626074E-3</v>
      </c>
      <c r="AB120" s="1233">
        <f t="shared" si="61"/>
        <v>2.2059416588251109E-2</v>
      </c>
      <c r="AC120" s="594">
        <f t="shared" si="65"/>
        <v>0.17970157279204194</v>
      </c>
      <c r="AD120" s="595">
        <f t="shared" si="66"/>
        <v>0.70235246672939911</v>
      </c>
      <c r="AE120" s="596">
        <f t="shared" si="67"/>
        <v>0.11794596047855894</v>
      </c>
      <c r="AF120" s="588">
        <v>14514</v>
      </c>
      <c r="AG120" s="267">
        <f t="shared" si="68"/>
        <v>6.5035623067616621E-2</v>
      </c>
    </row>
    <row r="121" spans="1:33" x14ac:dyDescent="0.25">
      <c r="A121" s="265" t="s">
        <v>200</v>
      </c>
      <c r="B121" s="265" t="s">
        <v>313</v>
      </c>
      <c r="C121" s="265" t="s">
        <v>265</v>
      </c>
      <c r="D121" s="265">
        <v>3</v>
      </c>
      <c r="E121" s="588">
        <v>99660</v>
      </c>
      <c r="F121" s="2282">
        <v>47704</v>
      </c>
      <c r="G121" s="2283">
        <v>51956</v>
      </c>
      <c r="H121" s="589">
        <v>63814</v>
      </c>
      <c r="I121" s="589">
        <v>29475</v>
      </c>
      <c r="J121" s="589">
        <v>2945</v>
      </c>
      <c r="K121" s="589">
        <v>487</v>
      </c>
      <c r="L121" s="590">
        <v>2939</v>
      </c>
      <c r="M121" s="2282">
        <f t="shared" si="62"/>
        <v>22143</v>
      </c>
      <c r="N121" s="589">
        <f t="shared" si="63"/>
        <v>61977</v>
      </c>
      <c r="O121" s="2283">
        <f t="shared" si="64"/>
        <v>15540</v>
      </c>
      <c r="P121" s="2282">
        <v>11359</v>
      </c>
      <c r="Q121" s="589">
        <v>30093</v>
      </c>
      <c r="R121" s="589">
        <v>6252</v>
      </c>
      <c r="S121" s="2282">
        <v>10784</v>
      </c>
      <c r="T121" s="589">
        <v>31884</v>
      </c>
      <c r="U121" s="2283">
        <v>9288</v>
      </c>
      <c r="V121" s="1189">
        <f t="shared" si="55"/>
        <v>0.47866746939594623</v>
      </c>
      <c r="W121" s="1189">
        <f t="shared" si="56"/>
        <v>0.52133253060405382</v>
      </c>
      <c r="X121" s="1231">
        <f t="shared" si="57"/>
        <v>0.64031707806542248</v>
      </c>
      <c r="Y121" s="1189">
        <f t="shared" si="58"/>
        <v>0.29575556893437688</v>
      </c>
      <c r="Z121" s="1189">
        <f t="shared" si="59"/>
        <v>2.9550471603451735E-2</v>
      </c>
      <c r="AA121" s="1189">
        <f t="shared" si="60"/>
        <v>4.8866144892634961E-3</v>
      </c>
      <c r="AB121" s="1233">
        <f t="shared" si="61"/>
        <v>2.9490266907485449E-2</v>
      </c>
      <c r="AC121" s="594">
        <f t="shared" si="65"/>
        <v>0.22218543046357617</v>
      </c>
      <c r="AD121" s="595">
        <f t="shared" si="66"/>
        <v>0.6218844069837447</v>
      </c>
      <c r="AE121" s="596">
        <f t="shared" si="67"/>
        <v>0.15593016255267911</v>
      </c>
      <c r="AF121" s="588">
        <v>6217</v>
      </c>
      <c r="AG121" s="267">
        <f t="shared" si="68"/>
        <v>6.2382099137066022E-2</v>
      </c>
    </row>
    <row r="122" spans="1:33" x14ac:dyDescent="0.25">
      <c r="A122" s="265" t="s">
        <v>222</v>
      </c>
      <c r="B122" s="265" t="s">
        <v>223</v>
      </c>
      <c r="C122" s="265" t="s">
        <v>264</v>
      </c>
      <c r="D122" s="265">
        <v>3</v>
      </c>
      <c r="E122" s="588">
        <v>89273</v>
      </c>
      <c r="F122" s="2282">
        <v>43172</v>
      </c>
      <c r="G122" s="2283">
        <v>46101</v>
      </c>
      <c r="H122" s="589">
        <v>46875</v>
      </c>
      <c r="I122" s="589">
        <v>38038</v>
      </c>
      <c r="J122" s="589">
        <v>1664</v>
      </c>
      <c r="K122" s="589">
        <v>462</v>
      </c>
      <c r="L122" s="590">
        <v>2234</v>
      </c>
      <c r="M122" s="2282">
        <f t="shared" si="62"/>
        <v>22100</v>
      </c>
      <c r="N122" s="589">
        <f t="shared" si="63"/>
        <v>54995</v>
      </c>
      <c r="O122" s="2283">
        <f t="shared" si="64"/>
        <v>12178</v>
      </c>
      <c r="P122" s="2282">
        <v>11231</v>
      </c>
      <c r="Q122" s="589">
        <v>26565</v>
      </c>
      <c r="R122" s="589">
        <v>5376</v>
      </c>
      <c r="S122" s="2282">
        <v>10869</v>
      </c>
      <c r="T122" s="589">
        <v>28430</v>
      </c>
      <c r="U122" s="2283">
        <v>6802</v>
      </c>
      <c r="V122" s="1189">
        <f t="shared" si="55"/>
        <v>0.48359526396558872</v>
      </c>
      <c r="W122" s="1189">
        <f t="shared" si="56"/>
        <v>0.51640473603441128</v>
      </c>
      <c r="X122" s="1231">
        <f t="shared" si="57"/>
        <v>0.52507477064734021</v>
      </c>
      <c r="Y122" s="1189">
        <f t="shared" si="58"/>
        <v>0.42608627468551524</v>
      </c>
      <c r="Z122" s="1189">
        <f t="shared" si="59"/>
        <v>1.8639454258286382E-2</v>
      </c>
      <c r="AA122" s="1189">
        <f t="shared" si="60"/>
        <v>5.1751369395001846E-3</v>
      </c>
      <c r="AB122" s="1233">
        <f t="shared" si="61"/>
        <v>2.5024363469358036E-2</v>
      </c>
      <c r="AC122" s="594">
        <f t="shared" si="65"/>
        <v>0.24755525186786598</v>
      </c>
      <c r="AD122" s="595">
        <f t="shared" si="66"/>
        <v>0.61603172291734343</v>
      </c>
      <c r="AE122" s="596">
        <f t="shared" si="67"/>
        <v>0.1364130252147906</v>
      </c>
      <c r="AF122" s="588">
        <v>3633</v>
      </c>
      <c r="AG122" s="267">
        <f t="shared" si="68"/>
        <v>4.069539502425145E-2</v>
      </c>
    </row>
    <row r="123" spans="1:33" x14ac:dyDescent="0.25">
      <c r="A123" s="265" t="s">
        <v>230</v>
      </c>
      <c r="B123" s="265" t="s">
        <v>231</v>
      </c>
      <c r="C123" s="265" t="s">
        <v>264</v>
      </c>
      <c r="D123" s="265">
        <v>3</v>
      </c>
      <c r="E123" s="588">
        <v>452602</v>
      </c>
      <c r="F123" s="2282">
        <v>222333</v>
      </c>
      <c r="G123" s="2283">
        <v>230269</v>
      </c>
      <c r="H123" s="589">
        <v>308109</v>
      </c>
      <c r="I123" s="589">
        <v>91516</v>
      </c>
      <c r="J123" s="589">
        <v>31734</v>
      </c>
      <c r="K123" s="589">
        <v>2838</v>
      </c>
      <c r="L123" s="590">
        <v>18405</v>
      </c>
      <c r="M123" s="2282">
        <f t="shared" si="62"/>
        <v>101749</v>
      </c>
      <c r="N123" s="589">
        <f t="shared" si="63"/>
        <v>291014</v>
      </c>
      <c r="O123" s="2283">
        <f t="shared" si="64"/>
        <v>59839</v>
      </c>
      <c r="P123" s="2282">
        <v>51968</v>
      </c>
      <c r="Q123" s="589">
        <v>144769</v>
      </c>
      <c r="R123" s="589">
        <v>25596</v>
      </c>
      <c r="S123" s="2282">
        <v>49781</v>
      </c>
      <c r="T123" s="589">
        <v>146245</v>
      </c>
      <c r="U123" s="2283">
        <v>34243</v>
      </c>
      <c r="V123" s="1189">
        <f t="shared" si="55"/>
        <v>0.49123291545331216</v>
      </c>
      <c r="W123" s="1189">
        <f t="shared" si="56"/>
        <v>0.50876708454668784</v>
      </c>
      <c r="X123" s="1231">
        <f t="shared" si="57"/>
        <v>0.68075041648070489</v>
      </c>
      <c r="Y123" s="1189">
        <f t="shared" si="58"/>
        <v>0.20219972514482923</v>
      </c>
      <c r="Z123" s="1189">
        <f t="shared" si="59"/>
        <v>7.0114581906398993E-2</v>
      </c>
      <c r="AA123" s="1189">
        <f t="shared" si="60"/>
        <v>6.2704097639869026E-3</v>
      </c>
      <c r="AB123" s="1233">
        <f t="shared" si="61"/>
        <v>4.0664866704079962E-2</v>
      </c>
      <c r="AC123" s="594">
        <f t="shared" si="65"/>
        <v>0.22480899333188983</v>
      </c>
      <c r="AD123" s="595">
        <f t="shared" si="66"/>
        <v>0.6429799249671897</v>
      </c>
      <c r="AE123" s="596">
        <f t="shared" si="67"/>
        <v>0.13221108170092047</v>
      </c>
      <c r="AF123" s="588">
        <v>36435</v>
      </c>
      <c r="AG123" s="267">
        <f t="shared" si="68"/>
        <v>8.0501190891776875E-2</v>
      </c>
    </row>
    <row r="124" spans="1:33" x14ac:dyDescent="0.25">
      <c r="A124" s="265" t="s">
        <v>238</v>
      </c>
      <c r="B124" s="265" t="s">
        <v>239</v>
      </c>
      <c r="C124" s="265" t="s">
        <v>264</v>
      </c>
      <c r="D124" s="265">
        <v>1</v>
      </c>
      <c r="E124" s="588">
        <v>15214</v>
      </c>
      <c r="F124" s="2282">
        <v>6989</v>
      </c>
      <c r="G124" s="2283">
        <v>8225</v>
      </c>
      <c r="H124" s="589">
        <v>11337</v>
      </c>
      <c r="I124" s="589">
        <v>2372</v>
      </c>
      <c r="J124" s="589">
        <v>934</v>
      </c>
      <c r="K124" s="589">
        <v>78</v>
      </c>
      <c r="L124" s="590">
        <v>493</v>
      </c>
      <c r="M124" s="2282">
        <f t="shared" si="62"/>
        <v>1675</v>
      </c>
      <c r="N124" s="589">
        <f t="shared" si="63"/>
        <v>11059</v>
      </c>
      <c r="O124" s="2283">
        <f t="shared" si="64"/>
        <v>2480</v>
      </c>
      <c r="P124" s="2282">
        <v>830</v>
      </c>
      <c r="Q124" s="589">
        <v>5063</v>
      </c>
      <c r="R124" s="589">
        <v>1096</v>
      </c>
      <c r="S124" s="2282">
        <v>845</v>
      </c>
      <c r="T124" s="589">
        <v>5996</v>
      </c>
      <c r="U124" s="2283">
        <v>1384</v>
      </c>
      <c r="V124" s="1189">
        <f t="shared" si="55"/>
        <v>0.45937951886420403</v>
      </c>
      <c r="W124" s="1189">
        <f t="shared" si="56"/>
        <v>0.54062048113579597</v>
      </c>
      <c r="X124" s="1231">
        <f t="shared" si="57"/>
        <v>0.74516892336006313</v>
      </c>
      <c r="Y124" s="1189">
        <f t="shared" si="58"/>
        <v>0.15590903115551466</v>
      </c>
      <c r="Z124" s="1189">
        <f t="shared" si="59"/>
        <v>6.1390824240830817E-2</v>
      </c>
      <c r="AA124" s="1189">
        <f t="shared" si="60"/>
        <v>5.1268568423820165E-3</v>
      </c>
      <c r="AB124" s="1233">
        <f t="shared" si="61"/>
        <v>3.2404364401209411E-2</v>
      </c>
      <c r="AC124" s="594">
        <f t="shared" si="65"/>
        <v>0.11009596424345997</v>
      </c>
      <c r="AD124" s="595">
        <f t="shared" si="66"/>
        <v>0.72689627974234261</v>
      </c>
      <c r="AE124" s="596">
        <f t="shared" si="67"/>
        <v>0.16300775601419745</v>
      </c>
      <c r="AF124" s="588">
        <v>1139</v>
      </c>
      <c r="AG124" s="267">
        <f t="shared" si="68"/>
        <v>7.4865255685552787E-2</v>
      </c>
    </row>
    <row r="125" spans="1:33" x14ac:dyDescent="0.25">
      <c r="A125" s="265" t="s">
        <v>240</v>
      </c>
      <c r="B125" s="265" t="s">
        <v>241</v>
      </c>
      <c r="C125" s="265" t="s">
        <v>267</v>
      </c>
      <c r="D125" s="265">
        <v>2</v>
      </c>
      <c r="E125" s="588">
        <v>27516</v>
      </c>
      <c r="F125" s="2282">
        <v>13572</v>
      </c>
      <c r="G125" s="2283">
        <v>13944</v>
      </c>
      <c r="H125" s="589">
        <v>22323</v>
      </c>
      <c r="I125" s="589">
        <v>3207</v>
      </c>
      <c r="J125" s="589">
        <v>758</v>
      </c>
      <c r="K125" s="589">
        <v>287</v>
      </c>
      <c r="L125" s="590">
        <v>941</v>
      </c>
      <c r="M125" s="2282">
        <f t="shared" si="62"/>
        <v>6140</v>
      </c>
      <c r="N125" s="589">
        <f t="shared" si="63"/>
        <v>17172</v>
      </c>
      <c r="O125" s="2283">
        <f t="shared" si="64"/>
        <v>4204</v>
      </c>
      <c r="P125" s="2282">
        <v>3196</v>
      </c>
      <c r="Q125" s="589">
        <v>8555</v>
      </c>
      <c r="R125" s="589">
        <v>1821</v>
      </c>
      <c r="S125" s="2282">
        <v>2944</v>
      </c>
      <c r="T125" s="589">
        <v>8617</v>
      </c>
      <c r="U125" s="2283">
        <v>2383</v>
      </c>
      <c r="V125" s="1189">
        <f t="shared" si="55"/>
        <v>0.49324029655473178</v>
      </c>
      <c r="W125" s="1189">
        <f t="shared" si="56"/>
        <v>0.50675970344526822</v>
      </c>
      <c r="X125" s="1231">
        <f t="shared" si="57"/>
        <v>0.81127344090710862</v>
      </c>
      <c r="Y125" s="1189">
        <f t="shared" si="58"/>
        <v>0.11655037069341474</v>
      </c>
      <c r="Z125" s="1189">
        <f t="shared" si="59"/>
        <v>2.7547608664050007E-2</v>
      </c>
      <c r="AA125" s="1189">
        <f t="shared" si="60"/>
        <v>1.0430295101032126E-2</v>
      </c>
      <c r="AB125" s="1233">
        <f t="shared" si="61"/>
        <v>3.4198284634394532E-2</v>
      </c>
      <c r="AC125" s="594">
        <f t="shared" si="65"/>
        <v>0.2231428986771333</v>
      </c>
      <c r="AD125" s="595">
        <f t="shared" si="66"/>
        <v>0.62407326646314876</v>
      </c>
      <c r="AE125" s="596">
        <f t="shared" si="67"/>
        <v>0.15278383485971797</v>
      </c>
      <c r="AF125" s="588">
        <v>4613</v>
      </c>
      <c r="AG125" s="267">
        <f t="shared" si="68"/>
        <v>0.1676479139409798</v>
      </c>
    </row>
    <row r="126" spans="1:33" x14ac:dyDescent="0.25">
      <c r="E126" s="266"/>
      <c r="F126" s="266"/>
      <c r="G126" s="266"/>
      <c r="H126" s="266"/>
      <c r="I126" s="266"/>
      <c r="J126" s="266"/>
      <c r="K126" s="266"/>
      <c r="L126" s="266"/>
      <c r="M126" s="266"/>
      <c r="N126" s="266"/>
      <c r="O126" s="266"/>
      <c r="P126" s="266"/>
      <c r="Q126" s="266"/>
      <c r="R126" s="266"/>
      <c r="S126" s="266"/>
      <c r="T126" s="266"/>
      <c r="U126" s="266"/>
      <c r="V126" s="266"/>
      <c r="W126" s="266"/>
      <c r="X126" s="589"/>
      <c r="Y126" s="589"/>
      <c r="Z126" s="589"/>
      <c r="AA126" s="589"/>
      <c r="AB126" s="589"/>
      <c r="AC126" s="589"/>
      <c r="AD126" s="589"/>
      <c r="AE126" s="590"/>
      <c r="AF126" s="266"/>
    </row>
    <row r="127" spans="1:33" x14ac:dyDescent="0.25">
      <c r="A127" s="265" t="s">
        <v>266</v>
      </c>
      <c r="E127" s="1000">
        <v>1386816</v>
      </c>
      <c r="F127" s="2287">
        <v>669003</v>
      </c>
      <c r="G127" s="2289">
        <v>717813</v>
      </c>
      <c r="H127" s="2287">
        <v>878301</v>
      </c>
      <c r="I127" s="2288">
        <v>415628</v>
      </c>
      <c r="J127" s="2288">
        <v>51496</v>
      </c>
      <c r="K127" s="2288">
        <v>9040</v>
      </c>
      <c r="L127" s="2289">
        <v>32351</v>
      </c>
      <c r="M127" s="2287">
        <f t="shared" ref="M127:M131" si="69">P127+S127</f>
        <v>298894</v>
      </c>
      <c r="N127" s="2288">
        <f t="shared" ref="N127:N131" si="70">Q127+T127</f>
        <v>871213</v>
      </c>
      <c r="O127" s="2289">
        <f t="shared" ref="O127:O131" si="71">R127+U127</f>
        <v>216709</v>
      </c>
      <c r="P127" s="2287">
        <v>152933</v>
      </c>
      <c r="Q127" s="2288">
        <v>422070</v>
      </c>
      <c r="R127" s="2288">
        <v>94000</v>
      </c>
      <c r="S127" s="2287">
        <v>145961</v>
      </c>
      <c r="T127" s="2288">
        <v>449143</v>
      </c>
      <c r="U127" s="2289">
        <v>122709</v>
      </c>
      <c r="V127" s="2292">
        <f t="shared" ref="V127:V131" si="72">F127/E127</f>
        <v>0.4824021355392496</v>
      </c>
      <c r="W127" s="2292">
        <f t="shared" ref="W127:W131" si="73">G127/E127</f>
        <v>0.5175978644607504</v>
      </c>
      <c r="X127" s="2293">
        <f t="shared" ref="X127:X131" si="74">H127/E127</f>
        <v>0.63332194032950295</v>
      </c>
      <c r="Y127" s="2294">
        <f t="shared" ref="Y127:Y131" si="75">I127/E127</f>
        <v>0.29969945544325993</v>
      </c>
      <c r="Z127" s="2294">
        <f t="shared" ref="Z127:Z131" si="76">J127/E127</f>
        <v>3.7132539572661404E-2</v>
      </c>
      <c r="AA127" s="2294">
        <f t="shared" ref="AA127:AA131" si="77">K127/E127</f>
        <v>6.518528773824357E-3</v>
      </c>
      <c r="AB127" s="2295">
        <f t="shared" ref="AB127:AB131" si="78">L127/E127</f>
        <v>2.3327535880751305E-2</v>
      </c>
      <c r="AC127" s="1001">
        <f>M127/E127</f>
        <v>0.21552534727029396</v>
      </c>
      <c r="AD127" s="1002">
        <f>N127/E127</f>
        <v>0.62821095228206192</v>
      </c>
      <c r="AE127" s="1003">
        <f>O127/E127</f>
        <v>0.15626370044764409</v>
      </c>
      <c r="AF127" s="1000">
        <v>78484</v>
      </c>
      <c r="AG127" s="1004">
        <f>AF127/E127</f>
        <v>5.6592943836817573E-2</v>
      </c>
    </row>
    <row r="128" spans="1:33" x14ac:dyDescent="0.25">
      <c r="A128" s="265" t="s">
        <v>264</v>
      </c>
      <c r="E128" s="1000">
        <v>1878360</v>
      </c>
      <c r="F128" s="2287">
        <v>928922</v>
      </c>
      <c r="G128" s="2289">
        <v>949438</v>
      </c>
      <c r="H128" s="2287">
        <v>1119946</v>
      </c>
      <c r="I128" s="2288">
        <v>611128</v>
      </c>
      <c r="J128" s="2288">
        <v>70906</v>
      </c>
      <c r="K128" s="2288">
        <v>12520</v>
      </c>
      <c r="L128" s="2289">
        <v>63860</v>
      </c>
      <c r="M128" s="2287">
        <f t="shared" si="69"/>
        <v>414245</v>
      </c>
      <c r="N128" s="2288">
        <f t="shared" si="70"/>
        <v>1196613</v>
      </c>
      <c r="O128" s="2289">
        <f t="shared" si="71"/>
        <v>267502</v>
      </c>
      <c r="P128" s="2287">
        <v>210898</v>
      </c>
      <c r="Q128" s="2288">
        <v>602470</v>
      </c>
      <c r="R128" s="2288">
        <v>115554</v>
      </c>
      <c r="S128" s="2287">
        <v>203347</v>
      </c>
      <c r="T128" s="2288">
        <v>594143</v>
      </c>
      <c r="U128" s="2289">
        <v>151948</v>
      </c>
      <c r="V128" s="2292">
        <f t="shared" si="72"/>
        <v>0.49453885304201539</v>
      </c>
      <c r="W128" s="2292">
        <f t="shared" si="73"/>
        <v>0.50546114695798461</v>
      </c>
      <c r="X128" s="2293">
        <f t="shared" si="74"/>
        <v>0.59623607828105374</v>
      </c>
      <c r="Y128" s="2294">
        <f t="shared" si="75"/>
        <v>0.32535190272365255</v>
      </c>
      <c r="Z128" s="2294">
        <f t="shared" si="76"/>
        <v>3.7748887327242915E-2</v>
      </c>
      <c r="AA128" s="2294">
        <f t="shared" si="77"/>
        <v>6.6653889563236014E-3</v>
      </c>
      <c r="AB128" s="2295">
        <f t="shared" si="78"/>
        <v>3.3997742711727251E-2</v>
      </c>
      <c r="AC128" s="1001">
        <f>M128/E128</f>
        <v>0.22053546710960625</v>
      </c>
      <c r="AD128" s="1002">
        <f>N128/E128</f>
        <v>0.63705200281096275</v>
      </c>
      <c r="AE128" s="1003">
        <f>O128/E128</f>
        <v>0.142412530079431</v>
      </c>
      <c r="AF128" s="1000">
        <v>122265</v>
      </c>
      <c r="AG128" s="1004">
        <f>AF128/E128</f>
        <v>6.5091356289529168E-2</v>
      </c>
    </row>
    <row r="129" spans="1:33" x14ac:dyDescent="0.25">
      <c r="A129" s="265" t="s">
        <v>267</v>
      </c>
      <c r="E129" s="1000">
        <v>3386770</v>
      </c>
      <c r="F129" s="2287">
        <v>1676425</v>
      </c>
      <c r="G129" s="2289">
        <v>1710345</v>
      </c>
      <c r="H129" s="2287">
        <v>2424262</v>
      </c>
      <c r="I129" s="2288">
        <v>418000</v>
      </c>
      <c r="J129" s="2288">
        <v>400149</v>
      </c>
      <c r="K129" s="2288">
        <v>26563</v>
      </c>
      <c r="L129" s="2289">
        <v>117796</v>
      </c>
      <c r="M129" s="2287">
        <f t="shared" si="69"/>
        <v>814906</v>
      </c>
      <c r="N129" s="2288">
        <f t="shared" si="70"/>
        <v>2167056</v>
      </c>
      <c r="O129" s="2289">
        <f t="shared" si="71"/>
        <v>404808</v>
      </c>
      <c r="P129" s="2287">
        <v>416198</v>
      </c>
      <c r="Q129" s="2288">
        <v>1077696</v>
      </c>
      <c r="R129" s="2288">
        <v>182531</v>
      </c>
      <c r="S129" s="2287">
        <v>398708</v>
      </c>
      <c r="T129" s="2288">
        <v>1089360</v>
      </c>
      <c r="U129" s="2289">
        <v>222277</v>
      </c>
      <c r="V129" s="2292">
        <f t="shared" si="72"/>
        <v>0.49499227877889551</v>
      </c>
      <c r="W129" s="2292">
        <f t="shared" si="73"/>
        <v>0.50500772122110449</v>
      </c>
      <c r="X129" s="2293">
        <f t="shared" si="74"/>
        <v>0.71580355323804101</v>
      </c>
      <c r="Y129" s="2294">
        <f t="shared" si="75"/>
        <v>0.12342143103901357</v>
      </c>
      <c r="Z129" s="2294">
        <f t="shared" si="76"/>
        <v>0.11815062729385226</v>
      </c>
      <c r="AA129" s="2294">
        <f t="shared" si="77"/>
        <v>7.8431662026060226E-3</v>
      </c>
      <c r="AB129" s="2295">
        <f t="shared" si="78"/>
        <v>3.4781222226487184E-2</v>
      </c>
      <c r="AC129" s="1001">
        <f>M129/E129</f>
        <v>0.24061450880927845</v>
      </c>
      <c r="AD129" s="1002">
        <f>N129/E129</f>
        <v>0.63985921689397274</v>
      </c>
      <c r="AE129" s="1003">
        <f>O129/E129</f>
        <v>0.11952627429674882</v>
      </c>
      <c r="AF129" s="1000">
        <v>510338</v>
      </c>
      <c r="AG129" s="1004">
        <f>AF129/E129</f>
        <v>0.15068575663537825</v>
      </c>
    </row>
    <row r="130" spans="1:33" x14ac:dyDescent="0.25">
      <c r="A130" s="265" t="s">
        <v>265</v>
      </c>
      <c r="E130" s="1000">
        <v>1174018</v>
      </c>
      <c r="F130" s="2287">
        <v>568336</v>
      </c>
      <c r="G130" s="2289">
        <v>605682</v>
      </c>
      <c r="H130" s="2287">
        <v>921812</v>
      </c>
      <c r="I130" s="2288">
        <v>200002</v>
      </c>
      <c r="J130" s="2288">
        <v>23805</v>
      </c>
      <c r="K130" s="2288">
        <v>5103</v>
      </c>
      <c r="L130" s="2289">
        <v>23296</v>
      </c>
      <c r="M130" s="2287">
        <f t="shared" si="69"/>
        <v>233843</v>
      </c>
      <c r="N130" s="2288">
        <f t="shared" si="70"/>
        <v>711829</v>
      </c>
      <c r="O130" s="2289">
        <f t="shared" si="71"/>
        <v>228346</v>
      </c>
      <c r="P130" s="2287">
        <v>119472</v>
      </c>
      <c r="Q130" s="2288">
        <v>348446</v>
      </c>
      <c r="R130" s="2288">
        <v>100418</v>
      </c>
      <c r="S130" s="2287">
        <v>114371</v>
      </c>
      <c r="T130" s="2288">
        <v>363383</v>
      </c>
      <c r="U130" s="2289">
        <v>127928</v>
      </c>
      <c r="V130" s="2292">
        <f t="shared" si="72"/>
        <v>0.48409479241374492</v>
      </c>
      <c r="W130" s="2292">
        <f t="shared" si="73"/>
        <v>0.51590520758625502</v>
      </c>
      <c r="X130" s="2293">
        <f t="shared" si="74"/>
        <v>0.78517705861409282</v>
      </c>
      <c r="Y130" s="2294">
        <f t="shared" si="75"/>
        <v>0.17035684291041533</v>
      </c>
      <c r="Z130" s="2294">
        <f t="shared" si="76"/>
        <v>2.0276520462207563E-2</v>
      </c>
      <c r="AA130" s="2294">
        <f t="shared" si="77"/>
        <v>4.3466113807454397E-3</v>
      </c>
      <c r="AB130" s="2295">
        <f t="shared" si="78"/>
        <v>1.9842966632538855E-2</v>
      </c>
      <c r="AC130" s="1001">
        <f>M130/E130</f>
        <v>0.19918178426565861</v>
      </c>
      <c r="AD130" s="1002">
        <f>N130/E130</f>
        <v>0.6063186424739655</v>
      </c>
      <c r="AE130" s="1003">
        <f>O130/E130</f>
        <v>0.1944995732603759</v>
      </c>
      <c r="AF130" s="1000">
        <v>42397</v>
      </c>
      <c r="AG130" s="1004">
        <f>AF130/E130</f>
        <v>3.6112734217022227E-2</v>
      </c>
    </row>
    <row r="131" spans="1:33" x14ac:dyDescent="0.25">
      <c r="A131" s="265" t="s">
        <v>268</v>
      </c>
      <c r="E131" s="1000">
        <v>585844</v>
      </c>
      <c r="F131" s="2287">
        <v>294128</v>
      </c>
      <c r="G131" s="2289">
        <v>291716</v>
      </c>
      <c r="H131" s="2287">
        <v>547232</v>
      </c>
      <c r="I131" s="2288">
        <v>19765</v>
      </c>
      <c r="J131" s="2288">
        <v>9159</v>
      </c>
      <c r="K131" s="2288">
        <v>1691</v>
      </c>
      <c r="L131" s="2289">
        <v>7997</v>
      </c>
      <c r="M131" s="2287">
        <f t="shared" si="69"/>
        <v>108235</v>
      </c>
      <c r="N131" s="2288">
        <f t="shared" si="70"/>
        <v>366230</v>
      </c>
      <c r="O131" s="2289">
        <f t="shared" si="71"/>
        <v>111379</v>
      </c>
      <c r="P131" s="2287">
        <v>55274</v>
      </c>
      <c r="Q131" s="2288">
        <v>188639</v>
      </c>
      <c r="R131" s="2288">
        <v>50215</v>
      </c>
      <c r="S131" s="2287">
        <v>52961</v>
      </c>
      <c r="T131" s="2288">
        <v>177591</v>
      </c>
      <c r="U131" s="2289">
        <v>61164</v>
      </c>
      <c r="V131" s="2292">
        <f t="shared" si="72"/>
        <v>0.5020585684926363</v>
      </c>
      <c r="W131" s="2292">
        <f t="shared" si="73"/>
        <v>0.49794143150736375</v>
      </c>
      <c r="X131" s="2293">
        <f t="shared" si="74"/>
        <v>0.93409166945466715</v>
      </c>
      <c r="Y131" s="2294">
        <f t="shared" si="75"/>
        <v>3.3737650295983232E-2</v>
      </c>
      <c r="Z131" s="2294">
        <f t="shared" si="76"/>
        <v>1.5633854746314717E-2</v>
      </c>
      <c r="AA131" s="2294">
        <f t="shared" si="77"/>
        <v>2.886433931217184E-3</v>
      </c>
      <c r="AB131" s="2295">
        <f t="shared" si="78"/>
        <v>1.3650391571817754E-2</v>
      </c>
      <c r="AC131" s="1001">
        <f>M131/E131</f>
        <v>0.18475054792743462</v>
      </c>
      <c r="AD131" s="1002">
        <f>N131/E131</f>
        <v>0.62513228777626806</v>
      </c>
      <c r="AE131" s="1003">
        <f>O131/E131</f>
        <v>0.1901171642962973</v>
      </c>
      <c r="AF131" s="1000">
        <v>12520</v>
      </c>
      <c r="AG131" s="1004">
        <f>AF131/E131</f>
        <v>2.1370876888728057E-2</v>
      </c>
    </row>
    <row r="133" spans="1:33" ht="16.5" x14ac:dyDescent="0.3">
      <c r="A133" s="2301" t="s">
        <v>1351</v>
      </c>
      <c r="B133" s="2301"/>
      <c r="C133" s="2301"/>
      <c r="D133" s="2301"/>
      <c r="E133" s="2303"/>
    </row>
    <row r="134" spans="1:33" x14ac:dyDescent="0.25">
      <c r="A134" s="2708" t="s">
        <v>1350</v>
      </c>
      <c r="B134" s="2708"/>
      <c r="C134" s="2708"/>
      <c r="D134" s="2708"/>
      <c r="E134" s="2708"/>
    </row>
    <row r="135" spans="1:33" ht="16.5" x14ac:dyDescent="0.3">
      <c r="A135" s="2302" t="s">
        <v>1349</v>
      </c>
      <c r="B135" s="2304"/>
      <c r="C135" s="2304"/>
      <c r="D135" s="2304"/>
      <c r="E135" s="2304"/>
    </row>
    <row r="136" spans="1:33" ht="16.5" x14ac:dyDescent="0.3">
      <c r="A136" s="2302" t="s">
        <v>1356</v>
      </c>
    </row>
    <row r="137" spans="1:33" ht="16.5" x14ac:dyDescent="0.3">
      <c r="A137" s="2302"/>
    </row>
    <row r="138" spans="1:33" x14ac:dyDescent="0.25">
      <c r="A138" s="389" t="s">
        <v>248</v>
      </c>
      <c r="B138" s="389"/>
    </row>
    <row r="139" spans="1:33" x14ac:dyDescent="0.25">
      <c r="A139" s="390" t="s">
        <v>249</v>
      </c>
      <c r="B139" s="391" t="s">
        <v>250</v>
      </c>
    </row>
  </sheetData>
  <autoFilter ref="A4:D125"/>
  <sortState ref="A6:AJ125">
    <sortCondition ref="A6:A125"/>
  </sortState>
  <mergeCells count="9">
    <mergeCell ref="X3:AB3"/>
    <mergeCell ref="AC3:AE3"/>
    <mergeCell ref="M3:O3"/>
    <mergeCell ref="H3:L3"/>
    <mergeCell ref="A134:E134"/>
    <mergeCell ref="F3:G3"/>
    <mergeCell ref="P3:R3"/>
    <mergeCell ref="S3:U3"/>
    <mergeCell ref="V3:W3"/>
  </mergeCells>
  <hyperlinks>
    <hyperlink ref="B139" r:id="rId1"/>
  </hyperlinks>
  <pageMargins left="0.7" right="0.7" top="0.75" bottom="0.75" header="0.3" footer="0.3"/>
  <pageSetup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46"/>
  <sheetViews>
    <sheetView workbookViewId="0">
      <pane xSplit="3" ySplit="4" topLeftCell="J5" activePane="bottomRight" state="frozen"/>
      <selection pane="topRight" activeCell="D1" sqref="D1"/>
      <selection pane="bottomLeft" activeCell="A5" sqref="A5"/>
      <selection pane="bottomRight" activeCell="B5" sqref="B5"/>
    </sheetView>
  </sheetViews>
  <sheetFormatPr defaultRowHeight="15.75" x14ac:dyDescent="0.25"/>
  <cols>
    <col min="1" max="1" width="9.125" style="265" customWidth="1"/>
    <col min="2" max="2" width="33" style="265" customWidth="1"/>
    <col min="3" max="3" width="17.125" style="265" customWidth="1"/>
    <col min="4" max="4" width="22.75" style="265" customWidth="1"/>
    <col min="5" max="6" width="14.125" style="265" customWidth="1"/>
    <col min="7" max="7" width="13.5" style="265" customWidth="1"/>
    <col min="8" max="9" width="14.5" style="265" bestFit="1" customWidth="1"/>
    <col min="10" max="10" width="13.5" style="265" bestFit="1" customWidth="1"/>
    <col min="11" max="11" width="13.5" style="265" customWidth="1"/>
    <col min="12" max="14" width="16" style="265" bestFit="1" customWidth="1"/>
    <col min="15" max="15" width="15.375" style="265" customWidth="1"/>
    <col min="16" max="16384" width="9" style="265"/>
  </cols>
  <sheetData>
    <row r="1" spans="1:15" x14ac:dyDescent="0.25">
      <c r="A1" s="256" t="s">
        <v>1262</v>
      </c>
      <c r="B1" s="765"/>
      <c r="C1" s="766"/>
      <c r="D1" s="766"/>
    </row>
    <row r="2" spans="1:15" x14ac:dyDescent="0.25">
      <c r="A2" s="766"/>
      <c r="B2" s="766"/>
      <c r="C2" s="766"/>
      <c r="D2" s="766"/>
      <c r="E2" s="767"/>
      <c r="F2" s="767"/>
      <c r="G2" s="767"/>
      <c r="H2" s="767"/>
      <c r="I2" s="767"/>
      <c r="J2" s="767"/>
      <c r="K2" s="767"/>
      <c r="L2" s="767"/>
      <c r="M2" s="767"/>
      <c r="N2" s="767"/>
    </row>
    <row r="3" spans="1:15" ht="36.75" customHeight="1" x14ac:dyDescent="0.25">
      <c r="A3" s="686" t="s">
        <v>4</v>
      </c>
      <c r="B3" s="771" t="s">
        <v>5</v>
      </c>
      <c r="C3" s="1855" t="s">
        <v>251</v>
      </c>
      <c r="D3" s="1857" t="s">
        <v>662</v>
      </c>
      <c r="E3" s="1858" t="s">
        <v>314</v>
      </c>
      <c r="F3" s="1858" t="s">
        <v>315</v>
      </c>
      <c r="G3" s="1859" t="s">
        <v>316</v>
      </c>
      <c r="H3" s="1869" t="s">
        <v>595</v>
      </c>
      <c r="I3" s="1870" t="s">
        <v>596</v>
      </c>
      <c r="J3" s="1870" t="s">
        <v>597</v>
      </c>
      <c r="K3" s="1871" t="s">
        <v>1189</v>
      </c>
      <c r="L3" s="1869" t="s">
        <v>598</v>
      </c>
      <c r="M3" s="1870" t="s">
        <v>392</v>
      </c>
      <c r="N3" s="1870" t="s">
        <v>594</v>
      </c>
      <c r="O3" s="1879" t="s">
        <v>832</v>
      </c>
    </row>
    <row r="4" spans="1:15" x14ac:dyDescent="0.25">
      <c r="A4" s="679">
        <v>999</v>
      </c>
      <c r="B4" s="768" t="s">
        <v>9</v>
      </c>
      <c r="C4" s="768"/>
      <c r="D4" s="1860">
        <f t="shared" ref="D4:O4" si="0">SUM(D5:D124)</f>
        <v>8554873820.3877411</v>
      </c>
      <c r="E4" s="1861">
        <f t="shared" si="0"/>
        <v>4391055216.2293615</v>
      </c>
      <c r="F4" s="1861">
        <f t="shared" si="0"/>
        <v>4146212591.6483793</v>
      </c>
      <c r="G4" s="1862">
        <f t="shared" si="0"/>
        <v>17606012.509999998</v>
      </c>
      <c r="H4" s="1860">
        <f t="shared" si="0"/>
        <v>298995542.19866323</v>
      </c>
      <c r="I4" s="1861">
        <f t="shared" si="0"/>
        <v>263116077.13482356</v>
      </c>
      <c r="J4" s="1861">
        <f t="shared" si="0"/>
        <v>35876052.00383959</v>
      </c>
      <c r="K4" s="1862">
        <f t="shared" si="0"/>
        <v>3413.06</v>
      </c>
      <c r="L4" s="1860">
        <f t="shared" si="0"/>
        <v>8255878278.1890764</v>
      </c>
      <c r="M4" s="1861">
        <f t="shared" si="0"/>
        <v>4127939139.0945382</v>
      </c>
      <c r="N4" s="1861">
        <f t="shared" si="0"/>
        <v>4110336539.6445389</v>
      </c>
      <c r="O4" s="1880">
        <f t="shared" si="0"/>
        <v>17602599.449999996</v>
      </c>
    </row>
    <row r="5" spans="1:15" x14ac:dyDescent="0.25">
      <c r="A5" s="680" t="s">
        <v>10</v>
      </c>
      <c r="B5" s="769" t="s">
        <v>11</v>
      </c>
      <c r="C5" s="1856" t="s">
        <v>264</v>
      </c>
      <c r="D5" s="1863">
        <f t="shared" ref="D5:D36" si="1">H5+L5</f>
        <v>51043085.137277633</v>
      </c>
      <c r="E5" s="1864">
        <f t="shared" ref="E5:E36" si="2">+I5+M5</f>
        <v>26269640.414785549</v>
      </c>
      <c r="F5" s="1864">
        <f t="shared" ref="F5:F36" si="3">+J5+N5</f>
        <v>24712729.032492079</v>
      </c>
      <c r="G5" s="1865">
        <f t="shared" ref="G5:G36" si="4">K5+O5</f>
        <v>60715.69</v>
      </c>
      <c r="H5" s="1872">
        <f t="shared" ref="H5:H36" si="5">I5+J5+K5</f>
        <v>1968678.5424914029</v>
      </c>
      <c r="I5" s="1873">
        <v>1732437.1173924345</v>
      </c>
      <c r="J5" s="1873">
        <v>236241.42509896835</v>
      </c>
      <c r="K5" s="1874"/>
      <c r="L5" s="1872">
        <f t="shared" ref="L5:L36" si="6">M5+N5+O5</f>
        <v>49074406.594786227</v>
      </c>
      <c r="M5" s="1873">
        <v>24537203.297393113</v>
      </c>
      <c r="N5" s="1873">
        <v>24476487.607393112</v>
      </c>
      <c r="O5" s="1881">
        <v>60715.69</v>
      </c>
    </row>
    <row r="6" spans="1:15" x14ac:dyDescent="0.25">
      <c r="A6" s="680" t="s">
        <v>12</v>
      </c>
      <c r="B6" s="769" t="s">
        <v>13</v>
      </c>
      <c r="C6" s="1856" t="s">
        <v>265</v>
      </c>
      <c r="D6" s="1863">
        <f t="shared" si="1"/>
        <v>67951965.339683101</v>
      </c>
      <c r="E6" s="1864">
        <f t="shared" si="2"/>
        <v>35468995.814634793</v>
      </c>
      <c r="F6" s="1864">
        <f t="shared" si="3"/>
        <v>32304581.025048312</v>
      </c>
      <c r="G6" s="1865">
        <f t="shared" si="4"/>
        <v>178388.49999999994</v>
      </c>
      <c r="H6" s="1872">
        <f t="shared" si="5"/>
        <v>3928981.959982214</v>
      </c>
      <c r="I6" s="1873">
        <v>3457504.1247843485</v>
      </c>
      <c r="J6" s="1873">
        <v>471477.83519786567</v>
      </c>
      <c r="K6" s="1874"/>
      <c r="L6" s="1872">
        <f t="shared" si="6"/>
        <v>64022983.379700892</v>
      </c>
      <c r="M6" s="1873">
        <v>32011491.689850446</v>
      </c>
      <c r="N6" s="1873">
        <v>31833103.189850446</v>
      </c>
      <c r="O6" s="1881">
        <v>178388.49999999994</v>
      </c>
    </row>
    <row r="7" spans="1:15" x14ac:dyDescent="0.25">
      <c r="A7" s="680" t="s">
        <v>16</v>
      </c>
      <c r="B7" s="769" t="s">
        <v>297</v>
      </c>
      <c r="C7" s="1856" t="s">
        <v>265</v>
      </c>
      <c r="D7" s="1863">
        <f t="shared" si="1"/>
        <v>36126346.152343027</v>
      </c>
      <c r="E7" s="1864">
        <f t="shared" si="2"/>
        <v>18415911.082920093</v>
      </c>
      <c r="F7" s="1864">
        <f t="shared" si="3"/>
        <v>17669023.229422931</v>
      </c>
      <c r="G7" s="1865">
        <f t="shared" si="4"/>
        <v>41411.840000000004</v>
      </c>
      <c r="H7" s="1872">
        <f t="shared" si="5"/>
        <v>928257.91249627096</v>
      </c>
      <c r="I7" s="1873">
        <v>816866.96299671847</v>
      </c>
      <c r="J7" s="1873">
        <v>111390.9494995525</v>
      </c>
      <c r="K7" s="1874"/>
      <c r="L7" s="1872">
        <f t="shared" si="6"/>
        <v>35198088.239846759</v>
      </c>
      <c r="M7" s="1873">
        <v>17599044.119923376</v>
      </c>
      <c r="N7" s="1873">
        <v>17557632.279923379</v>
      </c>
      <c r="O7" s="1881">
        <v>41411.840000000004</v>
      </c>
    </row>
    <row r="8" spans="1:15" x14ac:dyDescent="0.25">
      <c r="A8" s="680" t="s">
        <v>18</v>
      </c>
      <c r="B8" s="769" t="s">
        <v>19</v>
      </c>
      <c r="C8" s="1856" t="s">
        <v>266</v>
      </c>
      <c r="D8" s="1863">
        <f t="shared" si="1"/>
        <v>17825455.144923139</v>
      </c>
      <c r="E8" s="1864">
        <f t="shared" si="2"/>
        <v>9137033.6152606495</v>
      </c>
      <c r="F8" s="1864">
        <f t="shared" si="3"/>
        <v>8646439.3296624906</v>
      </c>
      <c r="G8" s="1865">
        <f t="shared" si="4"/>
        <v>41982.200000000004</v>
      </c>
      <c r="H8" s="1872">
        <f t="shared" si="5"/>
        <v>590279.05999757699</v>
      </c>
      <c r="I8" s="1873">
        <v>519445.57279786776</v>
      </c>
      <c r="J8" s="1873">
        <v>70833.487199709241</v>
      </c>
      <c r="K8" s="1874"/>
      <c r="L8" s="1872">
        <f t="shared" si="6"/>
        <v>17235176.084925562</v>
      </c>
      <c r="M8" s="1873">
        <v>8617588.0424627811</v>
      </c>
      <c r="N8" s="1873">
        <v>8575605.8424627818</v>
      </c>
      <c r="O8" s="1881">
        <v>41982.200000000004</v>
      </c>
    </row>
    <row r="9" spans="1:15" x14ac:dyDescent="0.25">
      <c r="A9" s="680" t="s">
        <v>20</v>
      </c>
      <c r="B9" s="769" t="s">
        <v>21</v>
      </c>
      <c r="C9" s="1856" t="s">
        <v>265</v>
      </c>
      <c r="D9" s="1863">
        <f t="shared" si="1"/>
        <v>48211300.63976679</v>
      </c>
      <c r="E9" s="1864">
        <f t="shared" si="2"/>
        <v>24659622.662780873</v>
      </c>
      <c r="F9" s="1864">
        <f t="shared" si="3"/>
        <v>23434899.58698592</v>
      </c>
      <c r="G9" s="1865">
        <f t="shared" si="4"/>
        <v>116778.39</v>
      </c>
      <c r="H9" s="1872">
        <f t="shared" si="5"/>
        <v>1457821.9549933609</v>
      </c>
      <c r="I9" s="1873">
        <v>1282883.3203941577</v>
      </c>
      <c r="J9" s="1873">
        <v>174938.6345992033</v>
      </c>
      <c r="K9" s="1874"/>
      <c r="L9" s="1872">
        <f t="shared" si="6"/>
        <v>46753478.68477343</v>
      </c>
      <c r="M9" s="1873">
        <v>23376739.342386715</v>
      </c>
      <c r="N9" s="1873">
        <v>23259960.952386715</v>
      </c>
      <c r="O9" s="1881">
        <v>116778.39</v>
      </c>
    </row>
    <row r="10" spans="1:15" x14ac:dyDescent="0.25">
      <c r="A10" s="680" t="s">
        <v>22</v>
      </c>
      <c r="B10" s="769" t="s">
        <v>23</v>
      </c>
      <c r="C10" s="1856" t="s">
        <v>265</v>
      </c>
      <c r="D10" s="1863">
        <f t="shared" si="1"/>
        <v>25666258.757371955</v>
      </c>
      <c r="E10" s="1864">
        <f t="shared" si="2"/>
        <v>13043121.932984868</v>
      </c>
      <c r="F10" s="1864">
        <f t="shared" si="3"/>
        <v>12472195.524387086</v>
      </c>
      <c r="G10" s="1865">
        <f t="shared" si="4"/>
        <v>150941.29999999999</v>
      </c>
      <c r="H10" s="1872">
        <f t="shared" si="5"/>
        <v>552611.98499707901</v>
      </c>
      <c r="I10" s="1873">
        <v>486298.5467974295</v>
      </c>
      <c r="J10" s="1873">
        <v>66313.438199649478</v>
      </c>
      <c r="K10" s="1874"/>
      <c r="L10" s="1872">
        <f t="shared" si="6"/>
        <v>25113646.772374876</v>
      </c>
      <c r="M10" s="1873">
        <v>12556823.386187438</v>
      </c>
      <c r="N10" s="1873">
        <v>12405882.086187437</v>
      </c>
      <c r="O10" s="1881">
        <v>150941.29999999999</v>
      </c>
    </row>
    <row r="11" spans="1:15" x14ac:dyDescent="0.25">
      <c r="A11" s="680" t="s">
        <v>24</v>
      </c>
      <c r="B11" s="769" t="s">
        <v>25</v>
      </c>
      <c r="C11" s="1856" t="s">
        <v>267</v>
      </c>
      <c r="D11" s="1863">
        <f t="shared" si="1"/>
        <v>117642137.73198439</v>
      </c>
      <c r="E11" s="1864">
        <f t="shared" si="2"/>
        <v>60942089.474382058</v>
      </c>
      <c r="F11" s="1864">
        <f t="shared" si="3"/>
        <v>56477941.707602337</v>
      </c>
      <c r="G11" s="1865">
        <f t="shared" si="4"/>
        <v>222106.55</v>
      </c>
      <c r="H11" s="1872">
        <f t="shared" si="5"/>
        <v>5581633.1799733229</v>
      </c>
      <c r="I11" s="1873">
        <v>4911837.1983765243</v>
      </c>
      <c r="J11" s="1873">
        <v>669795.98159679875</v>
      </c>
      <c r="K11" s="1874"/>
      <c r="L11" s="1872">
        <f t="shared" si="6"/>
        <v>112060504.55201107</v>
      </c>
      <c r="M11" s="1873">
        <v>56030252.276005536</v>
      </c>
      <c r="N11" s="1873">
        <v>55808145.726005539</v>
      </c>
      <c r="O11" s="1881">
        <v>222106.55</v>
      </c>
    </row>
    <row r="12" spans="1:15" x14ac:dyDescent="0.25">
      <c r="A12" s="680" t="s">
        <v>26</v>
      </c>
      <c r="B12" s="769" t="s">
        <v>685</v>
      </c>
      <c r="C12" s="1856" t="s">
        <v>265</v>
      </c>
      <c r="D12" s="1863">
        <f t="shared" si="1"/>
        <v>135610972.96687305</v>
      </c>
      <c r="E12" s="1864">
        <f t="shared" si="2"/>
        <v>69794451.901977599</v>
      </c>
      <c r="F12" s="1864">
        <f t="shared" si="3"/>
        <v>65368349.624895446</v>
      </c>
      <c r="G12" s="1865">
        <f t="shared" si="4"/>
        <v>448171.43999999994</v>
      </c>
      <c r="H12" s="1872">
        <f t="shared" si="5"/>
        <v>5234119.5224765167</v>
      </c>
      <c r="I12" s="1873">
        <v>4606025.1797793349</v>
      </c>
      <c r="J12" s="1873">
        <v>628094.34269718197</v>
      </c>
      <c r="K12" s="1874"/>
      <c r="L12" s="1872">
        <f t="shared" si="6"/>
        <v>130376853.44439653</v>
      </c>
      <c r="M12" s="1873">
        <v>65188426.722198263</v>
      </c>
      <c r="N12" s="1873">
        <v>64740255.282198265</v>
      </c>
      <c r="O12" s="1881">
        <v>448171.43999999994</v>
      </c>
    </row>
    <row r="13" spans="1:15" x14ac:dyDescent="0.25">
      <c r="A13" s="680" t="s">
        <v>27</v>
      </c>
      <c r="B13" s="769" t="s">
        <v>28</v>
      </c>
      <c r="C13" s="1856" t="s">
        <v>265</v>
      </c>
      <c r="D13" s="1863">
        <f t="shared" si="1"/>
        <v>4505057.7749790931</v>
      </c>
      <c r="E13" s="1864">
        <f t="shared" si="2"/>
        <v>2356212.4033391229</v>
      </c>
      <c r="F13" s="1864">
        <f t="shared" si="3"/>
        <v>2129155.8716399702</v>
      </c>
      <c r="G13" s="1865">
        <f t="shared" si="4"/>
        <v>19689.5</v>
      </c>
      <c r="H13" s="1872">
        <f t="shared" si="5"/>
        <v>272851.35749888502</v>
      </c>
      <c r="I13" s="1873">
        <v>240109.19459901881</v>
      </c>
      <c r="J13" s="1873">
        <v>32742.162899866202</v>
      </c>
      <c r="K13" s="1874"/>
      <c r="L13" s="1872">
        <f t="shared" si="6"/>
        <v>4232206.417480208</v>
      </c>
      <c r="M13" s="1873">
        <v>2116103.208740104</v>
      </c>
      <c r="N13" s="1873">
        <v>2096413.708740104</v>
      </c>
      <c r="O13" s="1881">
        <v>19689.5</v>
      </c>
    </row>
    <row r="14" spans="1:15" x14ac:dyDescent="0.25">
      <c r="A14" s="680" t="s">
        <v>29</v>
      </c>
      <c r="B14" s="847" t="s">
        <v>901</v>
      </c>
      <c r="C14" s="1856" t="s">
        <v>265</v>
      </c>
      <c r="D14" s="1863">
        <f t="shared" si="1"/>
        <v>77188199.452167332</v>
      </c>
      <c r="E14" s="1864">
        <f t="shared" si="2"/>
        <v>39649671.581629626</v>
      </c>
      <c r="F14" s="1864">
        <f t="shared" si="3"/>
        <v>37256896.560537696</v>
      </c>
      <c r="G14" s="1865">
        <f t="shared" si="4"/>
        <v>281631.31000000006</v>
      </c>
      <c r="H14" s="1872">
        <f t="shared" si="5"/>
        <v>2777820.6724893823</v>
      </c>
      <c r="I14" s="1873">
        <v>2444482.1917906567</v>
      </c>
      <c r="J14" s="1873">
        <v>333338.48069872591</v>
      </c>
      <c r="K14" s="1874"/>
      <c r="L14" s="1872">
        <f t="shared" si="6"/>
        <v>74410378.779677942</v>
      </c>
      <c r="M14" s="1873">
        <v>37205189.389838971</v>
      </c>
      <c r="N14" s="1873">
        <v>36923558.079838969</v>
      </c>
      <c r="O14" s="1881">
        <v>281631.31000000006</v>
      </c>
    </row>
    <row r="15" spans="1:15" x14ac:dyDescent="0.25">
      <c r="A15" s="680" t="s">
        <v>30</v>
      </c>
      <c r="B15" s="769" t="s">
        <v>31</v>
      </c>
      <c r="C15" s="1856" t="s">
        <v>268</v>
      </c>
      <c r="D15" s="1863">
        <f t="shared" si="1"/>
        <v>7910581.6574645862</v>
      </c>
      <c r="E15" s="1864">
        <f t="shared" si="2"/>
        <v>4012951.6126320483</v>
      </c>
      <c r="F15" s="1864">
        <f t="shared" si="3"/>
        <v>3879826.9648325378</v>
      </c>
      <c r="G15" s="1865">
        <f t="shared" si="4"/>
        <v>17803.080000000002</v>
      </c>
      <c r="H15" s="1872">
        <f t="shared" si="5"/>
        <v>151738.90499935602</v>
      </c>
      <c r="I15" s="1873">
        <v>133530.23639943328</v>
      </c>
      <c r="J15" s="1873">
        <v>18208.668599922719</v>
      </c>
      <c r="K15" s="1874"/>
      <c r="L15" s="1872">
        <f t="shared" si="6"/>
        <v>7758842.7524652304</v>
      </c>
      <c r="M15" s="1873">
        <v>3879421.3762326152</v>
      </c>
      <c r="N15" s="1873">
        <v>3861618.2962326151</v>
      </c>
      <c r="O15" s="1881">
        <v>17803.080000000002</v>
      </c>
    </row>
    <row r="16" spans="1:15" x14ac:dyDescent="0.25">
      <c r="A16" s="680" t="s">
        <v>32</v>
      </c>
      <c r="B16" s="769" t="s">
        <v>33</v>
      </c>
      <c r="C16" s="1856" t="s">
        <v>265</v>
      </c>
      <c r="D16" s="1863">
        <f t="shared" si="1"/>
        <v>28292591.344869308</v>
      </c>
      <c r="E16" s="1864">
        <f t="shared" si="2"/>
        <v>14402967.47803361</v>
      </c>
      <c r="F16" s="1864">
        <f t="shared" si="3"/>
        <v>13804777.766835695</v>
      </c>
      <c r="G16" s="1865">
        <f t="shared" si="4"/>
        <v>84846.099999999977</v>
      </c>
      <c r="H16" s="1872">
        <f t="shared" si="5"/>
        <v>675452.11999725702</v>
      </c>
      <c r="I16" s="1873">
        <v>594397.86559758615</v>
      </c>
      <c r="J16" s="1873">
        <v>81054.254399670841</v>
      </c>
      <c r="K16" s="1874"/>
      <c r="L16" s="1872">
        <f t="shared" si="6"/>
        <v>27617139.224872053</v>
      </c>
      <c r="M16" s="1873">
        <v>13808569.612436024</v>
      </c>
      <c r="N16" s="1873">
        <v>13723723.512436025</v>
      </c>
      <c r="O16" s="1881">
        <v>84846.099999999977</v>
      </c>
    </row>
    <row r="17" spans="1:15" x14ac:dyDescent="0.25">
      <c r="A17" s="680" t="s">
        <v>36</v>
      </c>
      <c r="B17" s="769" t="s">
        <v>37</v>
      </c>
      <c r="C17" s="1856" t="s">
        <v>264</v>
      </c>
      <c r="D17" s="1863">
        <f t="shared" si="1"/>
        <v>39241233.489805259</v>
      </c>
      <c r="E17" s="1864">
        <f t="shared" si="2"/>
        <v>19958606.474751335</v>
      </c>
      <c r="F17" s="1864">
        <f t="shared" si="3"/>
        <v>19136027.465053923</v>
      </c>
      <c r="G17" s="1865">
        <f t="shared" si="4"/>
        <v>146599.55000000002</v>
      </c>
      <c r="H17" s="1872">
        <f t="shared" si="5"/>
        <v>889446.65749659203</v>
      </c>
      <c r="I17" s="1873">
        <v>782713.05859700101</v>
      </c>
      <c r="J17" s="1873">
        <v>106733.59889959104</v>
      </c>
      <c r="K17" s="1874"/>
      <c r="L17" s="1872">
        <f t="shared" si="6"/>
        <v>38351786.832308665</v>
      </c>
      <c r="M17" s="1873">
        <v>19175893.416154332</v>
      </c>
      <c r="N17" s="1873">
        <v>19029293.866154332</v>
      </c>
      <c r="O17" s="1881">
        <v>146599.55000000002</v>
      </c>
    </row>
    <row r="18" spans="1:15" x14ac:dyDescent="0.25">
      <c r="A18" s="680" t="s">
        <v>38</v>
      </c>
      <c r="B18" s="769" t="s">
        <v>39</v>
      </c>
      <c r="C18" s="1856" t="s">
        <v>268</v>
      </c>
      <c r="D18" s="1863">
        <f t="shared" si="1"/>
        <v>43157706.839816876</v>
      </c>
      <c r="E18" s="1864">
        <f t="shared" si="2"/>
        <v>21899121.355756957</v>
      </c>
      <c r="F18" s="1864">
        <f t="shared" si="3"/>
        <v>21101746.284059919</v>
      </c>
      <c r="G18" s="1865">
        <f t="shared" si="4"/>
        <v>156839.20000000001</v>
      </c>
      <c r="H18" s="1872">
        <f t="shared" si="5"/>
        <v>842810.35749610513</v>
      </c>
      <c r="I18" s="1873">
        <v>741673.11459657247</v>
      </c>
      <c r="J18" s="1873">
        <v>101137.2428995326</v>
      </c>
      <c r="K18" s="1874"/>
      <c r="L18" s="1872">
        <f t="shared" si="6"/>
        <v>42314896.482320771</v>
      </c>
      <c r="M18" s="1873">
        <v>21157448.241160385</v>
      </c>
      <c r="N18" s="1873">
        <v>21000609.041160386</v>
      </c>
      <c r="O18" s="1881">
        <v>156839.20000000001</v>
      </c>
    </row>
    <row r="19" spans="1:15" x14ac:dyDescent="0.25">
      <c r="A19" s="680" t="s">
        <v>40</v>
      </c>
      <c r="B19" s="769" t="s">
        <v>41</v>
      </c>
      <c r="C19" s="1856" t="s">
        <v>266</v>
      </c>
      <c r="D19" s="1863">
        <f t="shared" si="1"/>
        <v>25054745.734883945</v>
      </c>
      <c r="E19" s="1864">
        <f t="shared" si="2"/>
        <v>12783234.325890779</v>
      </c>
      <c r="F19" s="1864">
        <f t="shared" si="3"/>
        <v>12221301.588993168</v>
      </c>
      <c r="G19" s="1865">
        <f t="shared" si="4"/>
        <v>50209.82</v>
      </c>
      <c r="H19" s="1872">
        <f t="shared" si="5"/>
        <v>673319.62749685801</v>
      </c>
      <c r="I19" s="1873">
        <v>592521.27219723503</v>
      </c>
      <c r="J19" s="1873">
        <v>80798.355299622955</v>
      </c>
      <c r="K19" s="1874"/>
      <c r="L19" s="1872">
        <f t="shared" si="6"/>
        <v>24381426.107387088</v>
      </c>
      <c r="M19" s="1873">
        <v>12190713.053693544</v>
      </c>
      <c r="N19" s="1873">
        <v>12140503.233693544</v>
      </c>
      <c r="O19" s="1881">
        <v>50209.82</v>
      </c>
    </row>
    <row r="20" spans="1:15" x14ac:dyDescent="0.25">
      <c r="A20" s="680" t="s">
        <v>42</v>
      </c>
      <c r="B20" s="769" t="s">
        <v>43</v>
      </c>
      <c r="C20" s="1856" t="s">
        <v>265</v>
      </c>
      <c r="D20" s="1863">
        <f t="shared" si="1"/>
        <v>75326527.872121155</v>
      </c>
      <c r="E20" s="1864">
        <f t="shared" si="2"/>
        <v>38474601.50665652</v>
      </c>
      <c r="F20" s="1864">
        <f t="shared" si="3"/>
        <v>36700493.785464637</v>
      </c>
      <c r="G20" s="1865">
        <f t="shared" si="4"/>
        <v>151432.58000000002</v>
      </c>
      <c r="H20" s="1872">
        <f t="shared" si="5"/>
        <v>2135098.869989322</v>
      </c>
      <c r="I20" s="1873">
        <v>1878887.0055906035</v>
      </c>
      <c r="J20" s="1873">
        <v>256211.86439871864</v>
      </c>
      <c r="K20" s="1874"/>
      <c r="L20" s="1872">
        <f t="shared" si="6"/>
        <v>73191429.002131835</v>
      </c>
      <c r="M20" s="1873">
        <v>36595714.501065917</v>
      </c>
      <c r="N20" s="1873">
        <v>36444281.921065919</v>
      </c>
      <c r="O20" s="1881">
        <v>151432.58000000002</v>
      </c>
    </row>
    <row r="21" spans="1:15" x14ac:dyDescent="0.25">
      <c r="A21" s="680" t="s">
        <v>44</v>
      </c>
      <c r="B21" s="769" t="s">
        <v>45</v>
      </c>
      <c r="C21" s="1856" t="s">
        <v>266</v>
      </c>
      <c r="D21" s="1863">
        <f t="shared" si="1"/>
        <v>32205320.009855241</v>
      </c>
      <c r="E21" s="1864">
        <f t="shared" si="2"/>
        <v>16613612.096575469</v>
      </c>
      <c r="F21" s="1864">
        <f t="shared" si="3"/>
        <v>15538034.843279773</v>
      </c>
      <c r="G21" s="1865">
        <f t="shared" si="4"/>
        <v>53673.07</v>
      </c>
      <c r="H21" s="1872">
        <f t="shared" si="5"/>
        <v>1344610.7674943369</v>
      </c>
      <c r="I21" s="1873">
        <v>1183257.4753950166</v>
      </c>
      <c r="J21" s="1873">
        <v>161353.29209932042</v>
      </c>
      <c r="K21" s="1874"/>
      <c r="L21" s="1872">
        <f t="shared" si="6"/>
        <v>30860709.242360905</v>
      </c>
      <c r="M21" s="1873">
        <v>15430354.621180452</v>
      </c>
      <c r="N21" s="1873">
        <v>15376681.551180452</v>
      </c>
      <c r="O21" s="1881">
        <v>53673.07</v>
      </c>
    </row>
    <row r="22" spans="1:15" x14ac:dyDescent="0.25">
      <c r="A22" s="680" t="s">
        <v>46</v>
      </c>
      <c r="B22" s="769" t="s">
        <v>47</v>
      </c>
      <c r="C22" s="1856" t="s">
        <v>268</v>
      </c>
      <c r="D22" s="1863">
        <f t="shared" si="1"/>
        <v>45352395.829799801</v>
      </c>
      <c r="E22" s="1864">
        <f t="shared" si="2"/>
        <v>23325997.081747293</v>
      </c>
      <c r="F22" s="1864">
        <f t="shared" si="3"/>
        <v>21936805.628052507</v>
      </c>
      <c r="G22" s="1865">
        <f t="shared" si="4"/>
        <v>89593.12000000001</v>
      </c>
      <c r="H22" s="1872">
        <f t="shared" si="5"/>
        <v>1709997.8074931409</v>
      </c>
      <c r="I22" s="1873">
        <v>1504798.0705939641</v>
      </c>
      <c r="J22" s="1873">
        <v>205199.7368991769</v>
      </c>
      <c r="K22" s="1874"/>
      <c r="L22" s="1872">
        <f t="shared" si="6"/>
        <v>43642398.022306658</v>
      </c>
      <c r="M22" s="1873">
        <v>21821199.011153329</v>
      </c>
      <c r="N22" s="1873">
        <v>21731605.891153328</v>
      </c>
      <c r="O22" s="1881">
        <v>89593.12000000001</v>
      </c>
    </row>
    <row r="23" spans="1:15" x14ac:dyDescent="0.25">
      <c r="A23" s="680" t="s">
        <v>48</v>
      </c>
      <c r="B23" s="769" t="s">
        <v>269</v>
      </c>
      <c r="C23" s="1856" t="s">
        <v>266</v>
      </c>
      <c r="D23" s="1863">
        <f t="shared" si="1"/>
        <v>9278203.9424564932</v>
      </c>
      <c r="E23" s="1864">
        <f t="shared" si="2"/>
        <v>4759644.7741776602</v>
      </c>
      <c r="F23" s="1864">
        <f t="shared" si="3"/>
        <v>4517672.1482788334</v>
      </c>
      <c r="G23" s="1865">
        <f t="shared" si="4"/>
        <v>887.02</v>
      </c>
      <c r="H23" s="1872">
        <f t="shared" si="5"/>
        <v>317217.902498457</v>
      </c>
      <c r="I23" s="1873">
        <v>279151.75419864216</v>
      </c>
      <c r="J23" s="1873">
        <v>38066.148299814835</v>
      </c>
      <c r="K23" s="1874"/>
      <c r="L23" s="1872">
        <f t="shared" si="6"/>
        <v>8960986.0399580356</v>
      </c>
      <c r="M23" s="1873">
        <v>4480493.0199790178</v>
      </c>
      <c r="N23" s="1873">
        <v>4479605.9999790182</v>
      </c>
      <c r="O23" s="1881">
        <v>887.02</v>
      </c>
    </row>
    <row r="24" spans="1:15" x14ac:dyDescent="0.25">
      <c r="A24" s="680" t="s">
        <v>50</v>
      </c>
      <c r="B24" s="769" t="s">
        <v>51</v>
      </c>
      <c r="C24" s="1856" t="s">
        <v>265</v>
      </c>
      <c r="D24" s="1863">
        <f t="shared" si="1"/>
        <v>19122411.539910469</v>
      </c>
      <c r="E24" s="1864">
        <f t="shared" si="2"/>
        <v>9757345.2580043897</v>
      </c>
      <c r="F24" s="1864">
        <f t="shared" si="3"/>
        <v>9299891.8419060819</v>
      </c>
      <c r="G24" s="1865">
        <f t="shared" si="4"/>
        <v>65174.439999999995</v>
      </c>
      <c r="H24" s="1872">
        <f t="shared" si="5"/>
        <v>516156.54749777302</v>
      </c>
      <c r="I24" s="1873">
        <v>454217.76179804024</v>
      </c>
      <c r="J24" s="1873">
        <v>61938.785699732762</v>
      </c>
      <c r="K24" s="1874"/>
      <c r="L24" s="1872">
        <f t="shared" si="6"/>
        <v>18606254.992412698</v>
      </c>
      <c r="M24" s="1873">
        <v>9303127.4962063488</v>
      </c>
      <c r="N24" s="1873">
        <v>9237953.0562063493</v>
      </c>
      <c r="O24" s="1881">
        <v>65174.439999999995</v>
      </c>
    </row>
    <row r="25" spans="1:15" x14ac:dyDescent="0.25">
      <c r="A25" s="680" t="s">
        <v>56</v>
      </c>
      <c r="B25" s="769" t="s">
        <v>295</v>
      </c>
      <c r="C25" s="1856" t="s">
        <v>266</v>
      </c>
      <c r="D25" s="1863">
        <f t="shared" si="1"/>
        <v>334127148.228544</v>
      </c>
      <c r="E25" s="1864">
        <f t="shared" si="2"/>
        <v>172250276.26359883</v>
      </c>
      <c r="F25" s="1864">
        <f t="shared" si="3"/>
        <v>161264355.17494518</v>
      </c>
      <c r="G25" s="1865">
        <f t="shared" si="4"/>
        <v>612516.79</v>
      </c>
      <c r="H25" s="1872">
        <f t="shared" si="5"/>
        <v>13649216.182439022</v>
      </c>
      <c r="I25" s="1873">
        <v>12011310.24054634</v>
      </c>
      <c r="J25" s="1873">
        <v>1637729.8218926825</v>
      </c>
      <c r="K25" s="1874">
        <v>176.12</v>
      </c>
      <c r="L25" s="1872">
        <f t="shared" si="6"/>
        <v>320477932.04610497</v>
      </c>
      <c r="M25" s="1873">
        <v>160238966.02305248</v>
      </c>
      <c r="N25" s="1873">
        <v>159626625.3530525</v>
      </c>
      <c r="O25" s="1881">
        <v>612340.67000000004</v>
      </c>
    </row>
    <row r="26" spans="1:15" x14ac:dyDescent="0.25">
      <c r="A26" s="680" t="s">
        <v>58</v>
      </c>
      <c r="B26" s="769" t="s">
        <v>59</v>
      </c>
      <c r="C26" s="1856" t="s">
        <v>267</v>
      </c>
      <c r="D26" s="1863">
        <f t="shared" si="1"/>
        <v>10468187.957460089</v>
      </c>
      <c r="E26" s="1864">
        <f t="shared" si="2"/>
        <v>5388998.5761794224</v>
      </c>
      <c r="F26" s="1864">
        <f t="shared" si="3"/>
        <v>4982639.5612806659</v>
      </c>
      <c r="G26" s="1865">
        <f t="shared" si="4"/>
        <v>96549.820000000022</v>
      </c>
      <c r="H26" s="1872">
        <f t="shared" si="5"/>
        <v>407643.67749836302</v>
      </c>
      <c r="I26" s="1873">
        <v>358726.43619855947</v>
      </c>
      <c r="J26" s="1873">
        <v>48917.241299803558</v>
      </c>
      <c r="K26" s="1874"/>
      <c r="L26" s="1872">
        <f t="shared" si="6"/>
        <v>10060544.279961726</v>
      </c>
      <c r="M26" s="1873">
        <v>5030272.1399808628</v>
      </c>
      <c r="N26" s="1873">
        <v>4933722.3199808626</v>
      </c>
      <c r="O26" s="1881">
        <v>96549.820000000022</v>
      </c>
    </row>
    <row r="27" spans="1:15" x14ac:dyDescent="0.25">
      <c r="A27" s="680" t="s">
        <v>60</v>
      </c>
      <c r="B27" s="769" t="s">
        <v>61</v>
      </c>
      <c r="C27" s="1856" t="s">
        <v>265</v>
      </c>
      <c r="D27" s="1863">
        <f t="shared" si="1"/>
        <v>5297874.7424779115</v>
      </c>
      <c r="E27" s="1864">
        <f t="shared" si="2"/>
        <v>2726671.5040887059</v>
      </c>
      <c r="F27" s="1864">
        <f t="shared" si="3"/>
        <v>2573469.9183892058</v>
      </c>
      <c r="G27" s="1865">
        <f t="shared" si="4"/>
        <v>-2266.6800000000003</v>
      </c>
      <c r="H27" s="1872">
        <f t="shared" si="5"/>
        <v>204563.507499342</v>
      </c>
      <c r="I27" s="1873">
        <v>180015.88659942095</v>
      </c>
      <c r="J27" s="1873">
        <v>24547.620899921039</v>
      </c>
      <c r="K27" s="1874"/>
      <c r="L27" s="1872">
        <f t="shared" si="6"/>
        <v>5093311.2349785697</v>
      </c>
      <c r="M27" s="1873">
        <v>2546655.6174892848</v>
      </c>
      <c r="N27" s="1873">
        <v>2548922.297489285</v>
      </c>
      <c r="O27" s="1881">
        <v>-2266.6800000000003</v>
      </c>
    </row>
    <row r="28" spans="1:15" x14ac:dyDescent="0.25">
      <c r="A28" s="680" t="s">
        <v>62</v>
      </c>
      <c r="B28" s="769" t="s">
        <v>63</v>
      </c>
      <c r="C28" s="1856" t="s">
        <v>267</v>
      </c>
      <c r="D28" s="1863">
        <f t="shared" si="1"/>
        <v>55963148.219759203</v>
      </c>
      <c r="E28" s="1864">
        <f t="shared" si="2"/>
        <v>28789995.930026352</v>
      </c>
      <c r="F28" s="1864">
        <f t="shared" si="3"/>
        <v>26879084.679732852</v>
      </c>
      <c r="G28" s="1865">
        <f t="shared" si="4"/>
        <v>294067.61</v>
      </c>
      <c r="H28" s="1872">
        <f t="shared" si="5"/>
        <v>2127425.8424914498</v>
      </c>
      <c r="I28" s="1873">
        <v>1872134.7413924758</v>
      </c>
      <c r="J28" s="1873">
        <v>255291.10109897397</v>
      </c>
      <c r="K28" s="1874"/>
      <c r="L28" s="1872">
        <f t="shared" si="6"/>
        <v>53835722.377267756</v>
      </c>
      <c r="M28" s="1873">
        <v>26917861.188633878</v>
      </c>
      <c r="N28" s="1873">
        <v>26623793.578633878</v>
      </c>
      <c r="O28" s="1881">
        <v>294067.61</v>
      </c>
    </row>
    <row r="29" spans="1:15" x14ac:dyDescent="0.25">
      <c r="A29" s="680" t="s">
        <v>64</v>
      </c>
      <c r="B29" s="769" t="s">
        <v>65</v>
      </c>
      <c r="C29" s="1856" t="s">
        <v>266</v>
      </c>
      <c r="D29" s="1863">
        <f t="shared" si="1"/>
        <v>18018490.197417188</v>
      </c>
      <c r="E29" s="1864">
        <f t="shared" si="2"/>
        <v>9207035.6421076376</v>
      </c>
      <c r="F29" s="1864">
        <f t="shared" si="3"/>
        <v>8771338.375309553</v>
      </c>
      <c r="G29" s="1865">
        <f t="shared" si="4"/>
        <v>40116.180000000008</v>
      </c>
      <c r="H29" s="1872">
        <f t="shared" si="5"/>
        <v>520501.42999747896</v>
      </c>
      <c r="I29" s="1873">
        <v>458041.25839778152</v>
      </c>
      <c r="J29" s="1873">
        <v>62390.691599697479</v>
      </c>
      <c r="K29" s="1874">
        <v>69.48</v>
      </c>
      <c r="L29" s="1872">
        <f t="shared" si="6"/>
        <v>17497988.767419711</v>
      </c>
      <c r="M29" s="1873">
        <v>8748994.3837098554</v>
      </c>
      <c r="N29" s="1873">
        <v>8708947.6837098561</v>
      </c>
      <c r="O29" s="1881">
        <v>40046.700000000004</v>
      </c>
    </row>
    <row r="30" spans="1:15" x14ac:dyDescent="0.25">
      <c r="A30" s="680" t="s">
        <v>68</v>
      </c>
      <c r="B30" s="769" t="s">
        <v>69</v>
      </c>
      <c r="C30" s="1856" t="s">
        <v>268</v>
      </c>
      <c r="D30" s="1863">
        <f t="shared" si="1"/>
        <v>29977593.467370708</v>
      </c>
      <c r="E30" s="1864">
        <f t="shared" si="2"/>
        <v>15338019.330983795</v>
      </c>
      <c r="F30" s="1864">
        <f t="shared" si="3"/>
        <v>14544860.286386911</v>
      </c>
      <c r="G30" s="1865">
        <f t="shared" si="4"/>
        <v>94713.849999999977</v>
      </c>
      <c r="H30" s="1872">
        <f t="shared" si="5"/>
        <v>919006.83499590005</v>
      </c>
      <c r="I30" s="1873">
        <v>808726.01479639206</v>
      </c>
      <c r="J30" s="1873">
        <v>110280.820199508</v>
      </c>
      <c r="K30" s="1874"/>
      <c r="L30" s="1872">
        <f t="shared" si="6"/>
        <v>29058586.632374808</v>
      </c>
      <c r="M30" s="1873">
        <v>14529293.316187402</v>
      </c>
      <c r="N30" s="1873">
        <v>14434579.466187403</v>
      </c>
      <c r="O30" s="1881">
        <v>94713.849999999977</v>
      </c>
    </row>
    <row r="31" spans="1:15" x14ac:dyDescent="0.25">
      <c r="A31" s="680" t="s">
        <v>70</v>
      </c>
      <c r="B31" s="769" t="s">
        <v>71</v>
      </c>
      <c r="C31" s="1856" t="s">
        <v>264</v>
      </c>
      <c r="D31" s="1863">
        <f t="shared" si="1"/>
        <v>37798813.407345496</v>
      </c>
      <c r="E31" s="1864">
        <f t="shared" si="2"/>
        <v>19340246.22462086</v>
      </c>
      <c r="F31" s="1864">
        <f t="shared" si="3"/>
        <v>18382292.202724643</v>
      </c>
      <c r="G31" s="1865">
        <f t="shared" si="4"/>
        <v>76274.979999999981</v>
      </c>
      <c r="H31" s="1872">
        <f t="shared" si="5"/>
        <v>1160104.002495022</v>
      </c>
      <c r="I31" s="1873">
        <v>1020891.5221956194</v>
      </c>
      <c r="J31" s="1873">
        <v>139212.48029940264</v>
      </c>
      <c r="K31" s="1874"/>
      <c r="L31" s="1872">
        <f t="shared" si="6"/>
        <v>36638709.404850475</v>
      </c>
      <c r="M31" s="1873">
        <v>18319354.702425241</v>
      </c>
      <c r="N31" s="1873">
        <v>18243079.722425241</v>
      </c>
      <c r="O31" s="1881">
        <v>76274.979999999981</v>
      </c>
    </row>
    <row r="32" spans="1:15" x14ac:dyDescent="0.25">
      <c r="A32" s="680" t="s">
        <v>72</v>
      </c>
      <c r="B32" s="769" t="s">
        <v>73</v>
      </c>
      <c r="C32" s="1856" t="s">
        <v>266</v>
      </c>
      <c r="D32" s="1863">
        <f t="shared" si="1"/>
        <v>16916128.962421041</v>
      </c>
      <c r="E32" s="1864">
        <f t="shared" si="2"/>
        <v>8681395.6872094348</v>
      </c>
      <c r="F32" s="1864">
        <f t="shared" si="3"/>
        <v>8165506.3052116036</v>
      </c>
      <c r="G32" s="1865">
        <f t="shared" si="4"/>
        <v>69226.969999999987</v>
      </c>
      <c r="H32" s="1872">
        <f t="shared" si="5"/>
        <v>587713.69999714603</v>
      </c>
      <c r="I32" s="1873">
        <v>517188.0559974885</v>
      </c>
      <c r="J32" s="1873">
        <v>70525.643999657521</v>
      </c>
      <c r="K32" s="1874"/>
      <c r="L32" s="1872">
        <f t="shared" si="6"/>
        <v>16328415.262423893</v>
      </c>
      <c r="M32" s="1873">
        <v>8164207.6312119458</v>
      </c>
      <c r="N32" s="1873">
        <v>8094980.661211946</v>
      </c>
      <c r="O32" s="1881">
        <v>69226.969999999987</v>
      </c>
    </row>
    <row r="33" spans="1:15" x14ac:dyDescent="0.25">
      <c r="A33" s="680" t="s">
        <v>74</v>
      </c>
      <c r="B33" s="769" t="s">
        <v>302</v>
      </c>
      <c r="C33" s="1856" t="s">
        <v>267</v>
      </c>
      <c r="D33" s="1863">
        <f t="shared" si="1"/>
        <v>634711199.77726233</v>
      </c>
      <c r="E33" s="1864">
        <f t="shared" si="2"/>
        <v>330407659.47502083</v>
      </c>
      <c r="F33" s="1864">
        <f t="shared" si="3"/>
        <v>303598176.91224152</v>
      </c>
      <c r="G33" s="1865">
        <f t="shared" si="4"/>
        <v>705363.39</v>
      </c>
      <c r="H33" s="1872">
        <f t="shared" si="5"/>
        <v>34347525.227341212</v>
      </c>
      <c r="I33" s="1873">
        <v>30225822.200060267</v>
      </c>
      <c r="J33" s="1873">
        <v>4121703.0272809458</v>
      </c>
      <c r="K33" s="1874"/>
      <c r="L33" s="1872">
        <f t="shared" si="6"/>
        <v>600363674.54992115</v>
      </c>
      <c r="M33" s="1873">
        <v>300181837.27496058</v>
      </c>
      <c r="N33" s="1873">
        <v>299476473.88496059</v>
      </c>
      <c r="O33" s="1881">
        <v>705363.39</v>
      </c>
    </row>
    <row r="34" spans="1:15" x14ac:dyDescent="0.25">
      <c r="A34" s="680" t="s">
        <v>76</v>
      </c>
      <c r="B34" s="769" t="s">
        <v>77</v>
      </c>
      <c r="C34" s="1856" t="s">
        <v>267</v>
      </c>
      <c r="D34" s="1863">
        <f t="shared" si="1"/>
        <v>51439976.694772363</v>
      </c>
      <c r="E34" s="1864">
        <f t="shared" si="2"/>
        <v>26336399.336733278</v>
      </c>
      <c r="F34" s="1864">
        <f t="shared" si="3"/>
        <v>24950086.438039079</v>
      </c>
      <c r="G34" s="1865">
        <f t="shared" si="4"/>
        <v>153490.92000000001</v>
      </c>
      <c r="H34" s="1872">
        <f t="shared" si="5"/>
        <v>1622134.1824923649</v>
      </c>
      <c r="I34" s="1873">
        <v>1427478.0805932812</v>
      </c>
      <c r="J34" s="1873">
        <v>194656.10189908379</v>
      </c>
      <c r="K34" s="1874"/>
      <c r="L34" s="1872">
        <f t="shared" si="6"/>
        <v>49817842.512279995</v>
      </c>
      <c r="M34" s="1873">
        <v>24908921.256139997</v>
      </c>
      <c r="N34" s="1873">
        <v>24755430.336139996</v>
      </c>
      <c r="O34" s="1881">
        <v>153490.92000000001</v>
      </c>
    </row>
    <row r="35" spans="1:15" x14ac:dyDescent="0.25">
      <c r="A35" s="680" t="s">
        <v>78</v>
      </c>
      <c r="B35" s="769" t="s">
        <v>79</v>
      </c>
      <c r="C35" s="1856" t="s">
        <v>268</v>
      </c>
      <c r="D35" s="1863">
        <f t="shared" si="1"/>
        <v>21733931.677408494</v>
      </c>
      <c r="E35" s="1864">
        <f t="shared" si="2"/>
        <v>11190773.891603051</v>
      </c>
      <c r="F35" s="1864">
        <f t="shared" si="3"/>
        <v>10533911.505805446</v>
      </c>
      <c r="G35" s="1865">
        <f t="shared" si="4"/>
        <v>9246.2799999999988</v>
      </c>
      <c r="H35" s="1872">
        <f t="shared" si="5"/>
        <v>852126.45499684801</v>
      </c>
      <c r="I35" s="1873">
        <v>749871.28039722622</v>
      </c>
      <c r="J35" s="1873">
        <v>102255.17459962177</v>
      </c>
      <c r="K35" s="1874"/>
      <c r="L35" s="1872">
        <f t="shared" si="6"/>
        <v>20881805.222411647</v>
      </c>
      <c r="M35" s="1873">
        <v>10440902.611205824</v>
      </c>
      <c r="N35" s="1873">
        <v>10431656.331205824</v>
      </c>
      <c r="O35" s="1881">
        <v>9246.2799999999988</v>
      </c>
    </row>
    <row r="36" spans="1:15" x14ac:dyDescent="0.25">
      <c r="A36" s="680" t="s">
        <v>80</v>
      </c>
      <c r="B36" s="769" t="s">
        <v>81</v>
      </c>
      <c r="C36" s="1856" t="s">
        <v>266</v>
      </c>
      <c r="D36" s="1863">
        <f t="shared" si="1"/>
        <v>20043678.864906192</v>
      </c>
      <c r="E36" s="1864">
        <f t="shared" si="2"/>
        <v>10459307.174451131</v>
      </c>
      <c r="F36" s="1864">
        <f t="shared" si="3"/>
        <v>9522286.46045506</v>
      </c>
      <c r="G36" s="1865">
        <f t="shared" si="4"/>
        <v>62085.229999999996</v>
      </c>
      <c r="H36" s="1872">
        <f t="shared" si="5"/>
        <v>1151230.8999948299</v>
      </c>
      <c r="I36" s="1873">
        <v>1013083.1919954503</v>
      </c>
      <c r="J36" s="1873">
        <v>138147.70799937958</v>
      </c>
      <c r="K36" s="1874"/>
      <c r="L36" s="1872">
        <f t="shared" si="6"/>
        <v>18892447.96491136</v>
      </c>
      <c r="M36" s="1873">
        <v>9446223.9824556801</v>
      </c>
      <c r="N36" s="1873">
        <v>9384138.7524556797</v>
      </c>
      <c r="O36" s="1881">
        <v>62085.229999999996</v>
      </c>
    </row>
    <row r="37" spans="1:15" x14ac:dyDescent="0.25">
      <c r="A37" s="680" t="s">
        <v>84</v>
      </c>
      <c r="B37" s="769" t="s">
        <v>308</v>
      </c>
      <c r="C37" s="1856" t="s">
        <v>265</v>
      </c>
      <c r="D37" s="1863">
        <f t="shared" ref="D37:D68" si="7">H37+L37</f>
        <v>66218185.337226175</v>
      </c>
      <c r="E37" s="1864">
        <f t="shared" ref="E37:E68" si="8">+I37+M37</f>
        <v>33916663.04651016</v>
      </c>
      <c r="F37" s="1864">
        <f t="shared" ref="F37:F68" si="9">+J37+N37</f>
        <v>31951027.600716017</v>
      </c>
      <c r="G37" s="1865">
        <f t="shared" ref="G37:G68" si="10">K37+O37</f>
        <v>350494.69</v>
      </c>
      <c r="H37" s="1872">
        <f t="shared" ref="H37:H68" si="11">I37+J37+K37</f>
        <v>2125185.2049922892</v>
      </c>
      <c r="I37" s="1873">
        <v>1870162.9803932144</v>
      </c>
      <c r="J37" s="1873">
        <v>255022.22459907469</v>
      </c>
      <c r="K37" s="1874"/>
      <c r="L37" s="1872">
        <f t="shared" ref="L37:L68" si="12">M37+N37+O37</f>
        <v>64093000.132233888</v>
      </c>
      <c r="M37" s="1873">
        <v>32046500.066116944</v>
      </c>
      <c r="N37" s="1873">
        <v>31696005.376116943</v>
      </c>
      <c r="O37" s="1881">
        <v>350494.69</v>
      </c>
    </row>
    <row r="38" spans="1:15" x14ac:dyDescent="0.25">
      <c r="A38" s="680" t="s">
        <v>86</v>
      </c>
      <c r="B38" s="769" t="s">
        <v>87</v>
      </c>
      <c r="C38" s="1856" t="s">
        <v>267</v>
      </c>
      <c r="D38" s="1863">
        <f t="shared" si="7"/>
        <v>63722169.974670812</v>
      </c>
      <c r="E38" s="1864">
        <f t="shared" si="8"/>
        <v>33172660.470729142</v>
      </c>
      <c r="F38" s="1864">
        <f t="shared" si="9"/>
        <v>30198392.203941669</v>
      </c>
      <c r="G38" s="1865">
        <f t="shared" si="10"/>
        <v>351117.30000000005</v>
      </c>
      <c r="H38" s="1872">
        <f t="shared" si="11"/>
        <v>3451514.429983512</v>
      </c>
      <c r="I38" s="1873">
        <v>3037332.6983854906</v>
      </c>
      <c r="J38" s="1873">
        <v>414181.7315980214</v>
      </c>
      <c r="K38" s="1874"/>
      <c r="L38" s="1872">
        <f t="shared" si="12"/>
        <v>60270655.544687301</v>
      </c>
      <c r="M38" s="1873">
        <v>30135327.77234365</v>
      </c>
      <c r="N38" s="1873">
        <v>29784210.47234365</v>
      </c>
      <c r="O38" s="1881">
        <v>351117.30000000005</v>
      </c>
    </row>
    <row r="39" spans="1:15" x14ac:dyDescent="0.25">
      <c r="A39" s="680" t="s">
        <v>92</v>
      </c>
      <c r="B39" s="769" t="s">
        <v>93</v>
      </c>
      <c r="C39" s="1856" t="s">
        <v>268</v>
      </c>
      <c r="D39" s="1863">
        <f t="shared" si="7"/>
        <v>24847083.622391667</v>
      </c>
      <c r="E39" s="1864">
        <f t="shared" si="8"/>
        <v>12565131.333095696</v>
      </c>
      <c r="F39" s="1864">
        <f t="shared" si="9"/>
        <v>12207488.359295972</v>
      </c>
      <c r="G39" s="1865">
        <f t="shared" si="10"/>
        <v>74463.929999999993</v>
      </c>
      <c r="H39" s="1872">
        <f t="shared" si="11"/>
        <v>372604.00499963702</v>
      </c>
      <c r="I39" s="1873">
        <v>327891.52439968061</v>
      </c>
      <c r="J39" s="1873">
        <v>44712.480599956441</v>
      </c>
      <c r="K39" s="1874"/>
      <c r="L39" s="1872">
        <f t="shared" si="12"/>
        <v>24474479.61739203</v>
      </c>
      <c r="M39" s="1873">
        <v>12237239.808696015</v>
      </c>
      <c r="N39" s="1873">
        <v>12162775.878696015</v>
      </c>
      <c r="O39" s="1881">
        <v>74463.929999999993</v>
      </c>
    </row>
    <row r="40" spans="1:15" x14ac:dyDescent="0.25">
      <c r="A40" s="680" t="s">
        <v>94</v>
      </c>
      <c r="B40" s="769" t="s">
        <v>95</v>
      </c>
      <c r="C40" s="1856" t="s">
        <v>264</v>
      </c>
      <c r="D40" s="1863">
        <f t="shared" si="7"/>
        <v>36482404.314843364</v>
      </c>
      <c r="E40" s="1864">
        <f t="shared" si="8"/>
        <v>18727911.197169602</v>
      </c>
      <c r="F40" s="1864">
        <f t="shared" si="9"/>
        <v>17715953.297673766</v>
      </c>
      <c r="G40" s="1865">
        <f t="shared" si="10"/>
        <v>38539.82</v>
      </c>
      <c r="H40" s="1872">
        <f t="shared" si="11"/>
        <v>1280813.2624945201</v>
      </c>
      <c r="I40" s="1873">
        <v>1127115.6709951777</v>
      </c>
      <c r="J40" s="1873">
        <v>153697.59149934241</v>
      </c>
      <c r="K40" s="1874"/>
      <c r="L40" s="1872">
        <f t="shared" si="12"/>
        <v>35201591.052348845</v>
      </c>
      <c r="M40" s="1873">
        <v>17600795.526174422</v>
      </c>
      <c r="N40" s="1873">
        <v>17562255.706174422</v>
      </c>
      <c r="O40" s="1881">
        <v>38539.82</v>
      </c>
    </row>
    <row r="41" spans="1:15" x14ac:dyDescent="0.25">
      <c r="A41" s="680" t="s">
        <v>96</v>
      </c>
      <c r="B41" s="769" t="s">
        <v>97</v>
      </c>
      <c r="C41" s="1856" t="s">
        <v>266</v>
      </c>
      <c r="D41" s="1863">
        <f t="shared" si="7"/>
        <v>13987227.267439503</v>
      </c>
      <c r="E41" s="1864">
        <f t="shared" si="8"/>
        <v>7188542.0779188434</v>
      </c>
      <c r="F41" s="1864">
        <f t="shared" si="9"/>
        <v>6808914.2795206588</v>
      </c>
      <c r="G41" s="1865">
        <f t="shared" si="10"/>
        <v>-10229.089999999998</v>
      </c>
      <c r="H41" s="1872">
        <f t="shared" si="11"/>
        <v>512969.58999761101</v>
      </c>
      <c r="I41" s="1873">
        <v>451413.23919789767</v>
      </c>
      <c r="J41" s="1873">
        <v>61556.35079971332</v>
      </c>
      <c r="K41" s="1874"/>
      <c r="L41" s="1872">
        <f t="shared" si="12"/>
        <v>13474257.677441891</v>
      </c>
      <c r="M41" s="1873">
        <v>6737128.8387209456</v>
      </c>
      <c r="N41" s="1873">
        <v>6747357.9287209455</v>
      </c>
      <c r="O41" s="1881">
        <v>-10229.089999999998</v>
      </c>
    </row>
    <row r="42" spans="1:15" x14ac:dyDescent="0.25">
      <c r="A42" s="680" t="s">
        <v>98</v>
      </c>
      <c r="B42" s="769" t="s">
        <v>99</v>
      </c>
      <c r="C42" s="1856" t="s">
        <v>268</v>
      </c>
      <c r="D42" s="1863">
        <f t="shared" si="7"/>
        <v>24913112.599888597</v>
      </c>
      <c r="E42" s="1864">
        <f t="shared" si="8"/>
        <v>12824599.289293062</v>
      </c>
      <c r="F42" s="1864">
        <f t="shared" si="9"/>
        <v>12056597.830595534</v>
      </c>
      <c r="G42" s="1865">
        <f t="shared" si="10"/>
        <v>31915.48</v>
      </c>
      <c r="H42" s="1872">
        <f t="shared" si="11"/>
        <v>968534.18249674595</v>
      </c>
      <c r="I42" s="1873">
        <v>852310.0805971364</v>
      </c>
      <c r="J42" s="1873">
        <v>116224.10189960951</v>
      </c>
      <c r="K42" s="1874"/>
      <c r="L42" s="1872">
        <f t="shared" si="12"/>
        <v>23944578.417391852</v>
      </c>
      <c r="M42" s="1873">
        <v>11972289.208695926</v>
      </c>
      <c r="N42" s="1873">
        <v>11940373.728695925</v>
      </c>
      <c r="O42" s="1881">
        <v>31915.48</v>
      </c>
    </row>
    <row r="43" spans="1:15" x14ac:dyDescent="0.25">
      <c r="A43" s="680" t="s">
        <v>100</v>
      </c>
      <c r="B43" s="769" t="s">
        <v>101</v>
      </c>
      <c r="C43" s="1856" t="s">
        <v>267</v>
      </c>
      <c r="D43" s="1863">
        <f t="shared" si="7"/>
        <v>19232237.642409872</v>
      </c>
      <c r="E43" s="1864">
        <f t="shared" si="8"/>
        <v>10009424.754903382</v>
      </c>
      <c r="F43" s="1864">
        <f t="shared" si="9"/>
        <v>9163556.4275064915</v>
      </c>
      <c r="G43" s="1865">
        <f t="shared" si="10"/>
        <v>59256.46</v>
      </c>
      <c r="H43" s="1872">
        <f t="shared" si="11"/>
        <v>1035015.614995906</v>
      </c>
      <c r="I43" s="1873">
        <v>910813.74119639734</v>
      </c>
      <c r="J43" s="1873">
        <v>124201.87379950871</v>
      </c>
      <c r="K43" s="1874"/>
      <c r="L43" s="1872">
        <f t="shared" si="12"/>
        <v>18197222.027413968</v>
      </c>
      <c r="M43" s="1873">
        <v>9098611.013706984</v>
      </c>
      <c r="N43" s="1873">
        <v>9039354.5537069831</v>
      </c>
      <c r="O43" s="1881">
        <v>59256.46</v>
      </c>
    </row>
    <row r="44" spans="1:15" x14ac:dyDescent="0.25">
      <c r="A44" s="680" t="s">
        <v>102</v>
      </c>
      <c r="B44" s="769" t="s">
        <v>103</v>
      </c>
      <c r="C44" s="1856" t="s">
        <v>264</v>
      </c>
      <c r="D44" s="1863">
        <f t="shared" si="7"/>
        <v>38997253.347345844</v>
      </c>
      <c r="E44" s="1864">
        <f t="shared" si="8"/>
        <v>19802460.218471646</v>
      </c>
      <c r="F44" s="1864">
        <f t="shared" si="9"/>
        <v>19189556.918874193</v>
      </c>
      <c r="G44" s="1865">
        <f t="shared" si="10"/>
        <v>5236.21</v>
      </c>
      <c r="H44" s="1872">
        <f t="shared" si="11"/>
        <v>799561.95999665197</v>
      </c>
      <c r="I44" s="1873">
        <v>703614.52479705377</v>
      </c>
      <c r="J44" s="1873">
        <v>95947.435199598229</v>
      </c>
      <c r="K44" s="1874"/>
      <c r="L44" s="1872">
        <f t="shared" si="12"/>
        <v>38197691.387349188</v>
      </c>
      <c r="M44" s="1873">
        <v>19098845.693674594</v>
      </c>
      <c r="N44" s="1873">
        <v>19093609.483674593</v>
      </c>
      <c r="O44" s="1881">
        <v>5236.21</v>
      </c>
    </row>
    <row r="45" spans="1:15" x14ac:dyDescent="0.25">
      <c r="A45" s="680" t="s">
        <v>104</v>
      </c>
      <c r="B45" s="769" t="s">
        <v>309</v>
      </c>
      <c r="C45" s="1856" t="s">
        <v>265</v>
      </c>
      <c r="D45" s="1863">
        <f t="shared" si="7"/>
        <v>65092030.607210003</v>
      </c>
      <c r="E45" s="1864">
        <f t="shared" si="8"/>
        <v>33064616.995702595</v>
      </c>
      <c r="F45" s="1864">
        <f t="shared" si="9"/>
        <v>31893583.331507411</v>
      </c>
      <c r="G45" s="1865">
        <f t="shared" si="10"/>
        <v>133830.28000000003</v>
      </c>
      <c r="H45" s="1872">
        <f t="shared" si="11"/>
        <v>1364741.2949936639</v>
      </c>
      <c r="I45" s="1873">
        <v>1200972.3395944242</v>
      </c>
      <c r="J45" s="1873">
        <v>163768.95539923967</v>
      </c>
      <c r="K45" s="1874"/>
      <c r="L45" s="1872">
        <f t="shared" si="12"/>
        <v>63727289.312216341</v>
      </c>
      <c r="M45" s="1873">
        <v>31863644.656108171</v>
      </c>
      <c r="N45" s="1873">
        <v>31729814.37610817</v>
      </c>
      <c r="O45" s="1881">
        <v>133830.28000000003</v>
      </c>
    </row>
    <row r="46" spans="1:15" x14ac:dyDescent="0.25">
      <c r="A46" s="680" t="s">
        <v>108</v>
      </c>
      <c r="B46" s="769" t="s">
        <v>109</v>
      </c>
      <c r="C46" s="1856" t="s">
        <v>266</v>
      </c>
      <c r="D46" s="1863">
        <f t="shared" si="7"/>
        <v>66443160.202214085</v>
      </c>
      <c r="E46" s="1864">
        <f t="shared" si="8"/>
        <v>34165264.757602885</v>
      </c>
      <c r="F46" s="1864">
        <f t="shared" si="9"/>
        <v>31972501.314611193</v>
      </c>
      <c r="G46" s="1865">
        <f t="shared" si="10"/>
        <v>305394.12999999995</v>
      </c>
      <c r="H46" s="1872">
        <f t="shared" si="11"/>
        <v>2483380.6749890759</v>
      </c>
      <c r="I46" s="1873">
        <v>2185374.9939903868</v>
      </c>
      <c r="J46" s="1873">
        <v>298005.68099868909</v>
      </c>
      <c r="K46" s="1874"/>
      <c r="L46" s="1872">
        <f t="shared" si="12"/>
        <v>63959779.52722501</v>
      </c>
      <c r="M46" s="1873">
        <v>31979889.763612501</v>
      </c>
      <c r="N46" s="1873">
        <v>31674495.633612502</v>
      </c>
      <c r="O46" s="1881">
        <v>305394.12999999995</v>
      </c>
    </row>
    <row r="47" spans="1:15" x14ac:dyDescent="0.25">
      <c r="A47" s="680" t="s">
        <v>110</v>
      </c>
      <c r="B47" s="769" t="s">
        <v>111</v>
      </c>
      <c r="C47" s="1856" t="s">
        <v>266</v>
      </c>
      <c r="D47" s="1863">
        <f t="shared" si="7"/>
        <v>330136507.22115278</v>
      </c>
      <c r="E47" s="1864">
        <f t="shared" si="8"/>
        <v>169912978.20175505</v>
      </c>
      <c r="F47" s="1864">
        <f t="shared" si="9"/>
        <v>159598912.75939772</v>
      </c>
      <c r="G47" s="1865">
        <f t="shared" si="10"/>
        <v>624616.26</v>
      </c>
      <c r="H47" s="1872">
        <f t="shared" si="11"/>
        <v>12749275.239943836</v>
      </c>
      <c r="I47" s="1873">
        <v>11219362.211150575</v>
      </c>
      <c r="J47" s="1873">
        <v>1529913.0287932602</v>
      </c>
      <c r="K47" s="1874"/>
      <c r="L47" s="1872">
        <f t="shared" si="12"/>
        <v>317387231.98120892</v>
      </c>
      <c r="M47" s="1873">
        <v>158693615.99060446</v>
      </c>
      <c r="N47" s="1873">
        <v>158068999.73060447</v>
      </c>
      <c r="O47" s="1881">
        <v>624616.26</v>
      </c>
    </row>
    <row r="48" spans="1:15" x14ac:dyDescent="0.25">
      <c r="A48" s="680" t="s">
        <v>112</v>
      </c>
      <c r="B48" s="769" t="s">
        <v>300</v>
      </c>
      <c r="C48" s="1856" t="s">
        <v>265</v>
      </c>
      <c r="D48" s="1863">
        <f t="shared" si="7"/>
        <v>147120891.60188439</v>
      </c>
      <c r="E48" s="1864">
        <f t="shared" si="8"/>
        <v>74827689.097337782</v>
      </c>
      <c r="F48" s="1864">
        <f t="shared" si="9"/>
        <v>72192158.734546587</v>
      </c>
      <c r="G48" s="1865">
        <f t="shared" si="10"/>
        <v>101043.76999999997</v>
      </c>
      <c r="H48" s="1872">
        <f t="shared" si="11"/>
        <v>3334850.7799884155</v>
      </c>
      <c r="I48" s="1873">
        <v>2934668.6863898057</v>
      </c>
      <c r="J48" s="1873">
        <v>400182.09359860991</v>
      </c>
      <c r="K48" s="1874"/>
      <c r="L48" s="1872">
        <f t="shared" si="12"/>
        <v>143786040.82189599</v>
      </c>
      <c r="M48" s="1873">
        <v>71893020.410947978</v>
      </c>
      <c r="N48" s="1873">
        <v>71791976.640947983</v>
      </c>
      <c r="O48" s="1881">
        <v>101043.76999999997</v>
      </c>
    </row>
    <row r="49" spans="1:15" x14ac:dyDescent="0.25">
      <c r="A49" s="680" t="s">
        <v>114</v>
      </c>
      <c r="B49" s="769" t="s">
        <v>115</v>
      </c>
      <c r="C49" s="1856" t="s">
        <v>265</v>
      </c>
      <c r="D49" s="1863">
        <f t="shared" si="7"/>
        <v>1827478.6249914409</v>
      </c>
      <c r="E49" s="1864">
        <f t="shared" si="8"/>
        <v>935002.30369563727</v>
      </c>
      <c r="F49" s="1864">
        <f t="shared" si="9"/>
        <v>891798.04129580373</v>
      </c>
      <c r="G49" s="1865">
        <f t="shared" si="10"/>
        <v>678.28</v>
      </c>
      <c r="H49" s="1872">
        <f t="shared" si="11"/>
        <v>55955.239999780999</v>
      </c>
      <c r="I49" s="1873">
        <v>49240.611199807281</v>
      </c>
      <c r="J49" s="1873">
        <v>6714.6287999737197</v>
      </c>
      <c r="K49" s="1874"/>
      <c r="L49" s="1872">
        <f t="shared" si="12"/>
        <v>1771523.38499166</v>
      </c>
      <c r="M49" s="1873">
        <v>885761.69249583001</v>
      </c>
      <c r="N49" s="1873">
        <v>885083.41249582998</v>
      </c>
      <c r="O49" s="1881">
        <v>678.28</v>
      </c>
    </row>
    <row r="50" spans="1:15" x14ac:dyDescent="0.25">
      <c r="A50" s="680" t="s">
        <v>118</v>
      </c>
      <c r="B50" s="769" t="s">
        <v>119</v>
      </c>
      <c r="C50" s="1856" t="s">
        <v>264</v>
      </c>
      <c r="D50" s="1863">
        <f t="shared" si="7"/>
        <v>35539935.827339239</v>
      </c>
      <c r="E50" s="1864">
        <f t="shared" si="8"/>
        <v>18145920.449117884</v>
      </c>
      <c r="F50" s="1864">
        <f t="shared" si="9"/>
        <v>17361739.788221359</v>
      </c>
      <c r="G50" s="1865">
        <f t="shared" si="10"/>
        <v>32275.589999999997</v>
      </c>
      <c r="H50" s="1872">
        <f t="shared" si="11"/>
        <v>989348.77749542496</v>
      </c>
      <c r="I50" s="1873">
        <v>870626.92419597402</v>
      </c>
      <c r="J50" s="1873">
        <v>118721.85329945099</v>
      </c>
      <c r="K50" s="1874"/>
      <c r="L50" s="1872">
        <f t="shared" si="12"/>
        <v>34550587.049843818</v>
      </c>
      <c r="M50" s="1873">
        <v>17275293.524921909</v>
      </c>
      <c r="N50" s="1873">
        <v>17243017.934921909</v>
      </c>
      <c r="O50" s="1881">
        <v>32275.589999999997</v>
      </c>
    </row>
    <row r="51" spans="1:15" x14ac:dyDescent="0.25">
      <c r="A51" s="680" t="s">
        <v>120</v>
      </c>
      <c r="B51" s="769" t="s">
        <v>121</v>
      </c>
      <c r="C51" s="1856" t="s">
        <v>264</v>
      </c>
      <c r="D51" s="1863">
        <f t="shared" si="7"/>
        <v>34343017.774841122</v>
      </c>
      <c r="E51" s="1864">
        <f t="shared" si="8"/>
        <v>17877497.024067234</v>
      </c>
      <c r="F51" s="1864">
        <f t="shared" si="9"/>
        <v>16343247.900773887</v>
      </c>
      <c r="G51" s="1865">
        <f t="shared" si="10"/>
        <v>122272.84999999999</v>
      </c>
      <c r="H51" s="1872">
        <f t="shared" si="11"/>
        <v>1857863.517491247</v>
      </c>
      <c r="I51" s="1873">
        <v>1634919.8953922973</v>
      </c>
      <c r="J51" s="1873">
        <v>222943.62209894965</v>
      </c>
      <c r="K51" s="1874"/>
      <c r="L51" s="1872">
        <f t="shared" si="12"/>
        <v>32485154.257349879</v>
      </c>
      <c r="M51" s="1873">
        <v>16242577.128674937</v>
      </c>
      <c r="N51" s="1873">
        <v>16120304.278674938</v>
      </c>
      <c r="O51" s="1881">
        <v>122272.84999999999</v>
      </c>
    </row>
    <row r="52" spans="1:15" x14ac:dyDescent="0.25">
      <c r="A52" s="680" t="s">
        <v>122</v>
      </c>
      <c r="B52" s="769" t="s">
        <v>271</v>
      </c>
      <c r="C52" s="1856" t="s">
        <v>266</v>
      </c>
      <c r="D52" s="1863">
        <f t="shared" si="7"/>
        <v>9516193.0749579407</v>
      </c>
      <c r="E52" s="1864">
        <f t="shared" si="8"/>
        <v>4941595.6798782023</v>
      </c>
      <c r="F52" s="1864">
        <f t="shared" si="9"/>
        <v>4574503.9350797385</v>
      </c>
      <c r="G52" s="1865">
        <f t="shared" si="10"/>
        <v>93.460000000000008</v>
      </c>
      <c r="H52" s="1872">
        <f t="shared" si="11"/>
        <v>482892.47999797802</v>
      </c>
      <c r="I52" s="1873">
        <v>424945.38239822065</v>
      </c>
      <c r="J52" s="1873">
        <v>57947.097599757362</v>
      </c>
      <c r="K52" s="1874"/>
      <c r="L52" s="1872">
        <f t="shared" si="12"/>
        <v>9033300.5949599631</v>
      </c>
      <c r="M52" s="1873">
        <v>4516650.2974799816</v>
      </c>
      <c r="N52" s="1873">
        <v>4516556.8374799816</v>
      </c>
      <c r="O52" s="1881">
        <v>93.460000000000008</v>
      </c>
    </row>
    <row r="53" spans="1:15" x14ac:dyDescent="0.25">
      <c r="A53" s="680" t="s">
        <v>124</v>
      </c>
      <c r="B53" s="769" t="s">
        <v>125</v>
      </c>
      <c r="C53" s="1856" t="s">
        <v>267</v>
      </c>
      <c r="D53" s="1863">
        <f t="shared" si="7"/>
        <v>18018211.739912793</v>
      </c>
      <c r="E53" s="1864">
        <f t="shared" si="8"/>
        <v>9385454.6646544244</v>
      </c>
      <c r="F53" s="1864">
        <f t="shared" si="9"/>
        <v>8588262.4752583671</v>
      </c>
      <c r="G53" s="1865">
        <f t="shared" si="10"/>
        <v>44494.600000000006</v>
      </c>
      <c r="H53" s="1872">
        <f t="shared" si="11"/>
        <v>990391.56499481294</v>
      </c>
      <c r="I53" s="1873">
        <v>871544.57719543541</v>
      </c>
      <c r="J53" s="1873">
        <v>118846.98779937754</v>
      </c>
      <c r="K53" s="1874"/>
      <c r="L53" s="1872">
        <f t="shared" si="12"/>
        <v>17027820.174917981</v>
      </c>
      <c r="M53" s="1873">
        <v>8513910.0874589887</v>
      </c>
      <c r="N53" s="1873">
        <v>8469415.487458989</v>
      </c>
      <c r="O53" s="1881">
        <v>44494.600000000006</v>
      </c>
    </row>
    <row r="54" spans="1:15" x14ac:dyDescent="0.25">
      <c r="A54" s="680" t="s">
        <v>126</v>
      </c>
      <c r="B54" s="769" t="s">
        <v>127</v>
      </c>
      <c r="C54" s="1856" t="s">
        <v>266</v>
      </c>
      <c r="D54" s="1863">
        <f t="shared" si="7"/>
        <v>15884737.297430089</v>
      </c>
      <c r="E54" s="1864">
        <f t="shared" si="8"/>
        <v>8138753.1113641262</v>
      </c>
      <c r="F54" s="1864">
        <f t="shared" si="9"/>
        <v>7742545.1760659618</v>
      </c>
      <c r="G54" s="1865">
        <f t="shared" si="10"/>
        <v>3439.01</v>
      </c>
      <c r="H54" s="1872">
        <f t="shared" si="11"/>
        <v>516801.21749758499</v>
      </c>
      <c r="I54" s="1873">
        <v>454785.0713978748</v>
      </c>
      <c r="J54" s="1873">
        <v>62016.146099710197</v>
      </c>
      <c r="K54" s="1874"/>
      <c r="L54" s="1872">
        <f t="shared" si="12"/>
        <v>15367936.079932503</v>
      </c>
      <c r="M54" s="1873">
        <v>7683968.0399662517</v>
      </c>
      <c r="N54" s="1873">
        <v>7680529.0299662519</v>
      </c>
      <c r="O54" s="1881">
        <v>3439.01</v>
      </c>
    </row>
    <row r="55" spans="1:15" x14ac:dyDescent="0.25">
      <c r="A55" s="680" t="s">
        <v>128</v>
      </c>
      <c r="B55" s="769" t="s">
        <v>129</v>
      </c>
      <c r="C55" s="1856" t="s">
        <v>266</v>
      </c>
      <c r="D55" s="1863">
        <f t="shared" si="7"/>
        <v>13303668.582445251</v>
      </c>
      <c r="E55" s="1864">
        <f t="shared" si="8"/>
        <v>6797145.7924719565</v>
      </c>
      <c r="F55" s="1864">
        <f t="shared" si="9"/>
        <v>6341403.6199732944</v>
      </c>
      <c r="G55" s="1865">
        <f t="shared" si="10"/>
        <v>165119.16999999995</v>
      </c>
      <c r="H55" s="1872">
        <f t="shared" si="11"/>
        <v>382398.68749823997</v>
      </c>
      <c r="I55" s="1873">
        <v>336510.84499845118</v>
      </c>
      <c r="J55" s="1873">
        <v>45887.842499788792</v>
      </c>
      <c r="K55" s="1874"/>
      <c r="L55" s="1872">
        <f t="shared" si="12"/>
        <v>12921269.894947011</v>
      </c>
      <c r="M55" s="1873">
        <v>6460634.9474735055</v>
      </c>
      <c r="N55" s="1873">
        <v>6295515.7774735056</v>
      </c>
      <c r="O55" s="1881">
        <v>165119.16999999995</v>
      </c>
    </row>
    <row r="56" spans="1:15" x14ac:dyDescent="0.25">
      <c r="A56" s="680" t="s">
        <v>130</v>
      </c>
      <c r="B56" s="769" t="s">
        <v>131</v>
      </c>
      <c r="C56" s="1856" t="s">
        <v>268</v>
      </c>
      <c r="D56" s="1863">
        <f t="shared" si="7"/>
        <v>53292728.417265035</v>
      </c>
      <c r="E56" s="1864">
        <f t="shared" si="8"/>
        <v>27083308.819830623</v>
      </c>
      <c r="F56" s="1864">
        <f t="shared" si="9"/>
        <v>26186445.797434412</v>
      </c>
      <c r="G56" s="1865">
        <f t="shared" si="10"/>
        <v>22973.800000000003</v>
      </c>
      <c r="H56" s="1872">
        <f t="shared" si="11"/>
        <v>1149854.2399950121</v>
      </c>
      <c r="I56" s="1873">
        <v>1011871.7311956106</v>
      </c>
      <c r="J56" s="1873">
        <v>137982.50879940143</v>
      </c>
      <c r="K56" s="1874"/>
      <c r="L56" s="1872">
        <f t="shared" si="12"/>
        <v>52142874.177270025</v>
      </c>
      <c r="M56" s="1873">
        <v>26071437.088635013</v>
      </c>
      <c r="N56" s="1873">
        <v>26048463.288635012</v>
      </c>
      <c r="O56" s="1881">
        <v>22973.800000000003</v>
      </c>
    </row>
    <row r="57" spans="1:15" x14ac:dyDescent="0.25">
      <c r="A57" s="680" t="s">
        <v>132</v>
      </c>
      <c r="B57" s="769" t="s">
        <v>133</v>
      </c>
      <c r="C57" s="1856" t="s">
        <v>267</v>
      </c>
      <c r="D57" s="1863">
        <f t="shared" si="7"/>
        <v>147782282.4818576</v>
      </c>
      <c r="E57" s="1864">
        <f t="shared" si="8"/>
        <v>77045341.154164225</v>
      </c>
      <c r="F57" s="1864">
        <f t="shared" si="9"/>
        <v>70417678.287693411</v>
      </c>
      <c r="G57" s="1865">
        <f t="shared" si="10"/>
        <v>319263.04000000004</v>
      </c>
      <c r="H57" s="1872">
        <f t="shared" si="11"/>
        <v>8300526.0874615731</v>
      </c>
      <c r="I57" s="1873">
        <v>7304462.9569661841</v>
      </c>
      <c r="J57" s="1873">
        <v>996063.13049538876</v>
      </c>
      <c r="K57" s="1874"/>
      <c r="L57" s="1872">
        <f t="shared" si="12"/>
        <v>139481756.39439604</v>
      </c>
      <c r="M57" s="1873">
        <v>69740878.197198033</v>
      </c>
      <c r="N57" s="1873">
        <v>69421615.157198027</v>
      </c>
      <c r="O57" s="1881">
        <v>319263.04000000004</v>
      </c>
    </row>
    <row r="58" spans="1:15" x14ac:dyDescent="0.25">
      <c r="A58" s="680" t="s">
        <v>134</v>
      </c>
      <c r="B58" s="769" t="s">
        <v>135</v>
      </c>
      <c r="C58" s="1856" t="s">
        <v>267</v>
      </c>
      <c r="D58" s="1863">
        <f t="shared" si="7"/>
        <v>38800313.722321212</v>
      </c>
      <c r="E58" s="1864">
        <f t="shared" si="8"/>
        <v>19976526.609258104</v>
      </c>
      <c r="F58" s="1864">
        <f t="shared" si="9"/>
        <v>18530955.673063114</v>
      </c>
      <c r="G58" s="1865">
        <f t="shared" si="10"/>
        <v>292831.44</v>
      </c>
      <c r="H58" s="1872">
        <f t="shared" si="11"/>
        <v>1516762.4949934031</v>
      </c>
      <c r="I58" s="1873">
        <v>1334750.9955941946</v>
      </c>
      <c r="J58" s="1873">
        <v>182011.49939920838</v>
      </c>
      <c r="K58" s="1874"/>
      <c r="L58" s="1872">
        <f t="shared" si="12"/>
        <v>37283551.227327809</v>
      </c>
      <c r="M58" s="1873">
        <v>18641775.613663908</v>
      </c>
      <c r="N58" s="1873">
        <v>18348944.173663907</v>
      </c>
      <c r="O58" s="1881">
        <v>292831.44</v>
      </c>
    </row>
    <row r="59" spans="1:15" x14ac:dyDescent="0.25">
      <c r="A59" s="680" t="s">
        <v>136</v>
      </c>
      <c r="B59" s="769" t="s">
        <v>137</v>
      </c>
      <c r="C59" s="1856" t="s">
        <v>266</v>
      </c>
      <c r="D59" s="1863">
        <f t="shared" si="7"/>
        <v>19121043.602410231</v>
      </c>
      <c r="E59" s="1864">
        <f t="shared" si="8"/>
        <v>9774908.0713040009</v>
      </c>
      <c r="F59" s="1864">
        <f t="shared" si="9"/>
        <v>9320662.321106229</v>
      </c>
      <c r="G59" s="1865">
        <f t="shared" si="10"/>
        <v>25473.210000000003</v>
      </c>
      <c r="H59" s="1872">
        <f t="shared" si="11"/>
        <v>564174.39499706798</v>
      </c>
      <c r="I59" s="1873">
        <v>496473.4675974198</v>
      </c>
      <c r="J59" s="1873">
        <v>67700.92739964815</v>
      </c>
      <c r="K59" s="1874"/>
      <c r="L59" s="1872">
        <f t="shared" si="12"/>
        <v>18556869.207413163</v>
      </c>
      <c r="M59" s="1873">
        <v>9278434.6037065815</v>
      </c>
      <c r="N59" s="1873">
        <v>9252961.3937065806</v>
      </c>
      <c r="O59" s="1881">
        <v>25473.210000000003</v>
      </c>
    </row>
    <row r="60" spans="1:15" x14ac:dyDescent="0.25">
      <c r="A60" s="680" t="s">
        <v>140</v>
      </c>
      <c r="B60" s="769" t="s">
        <v>141</v>
      </c>
      <c r="C60" s="1856" t="s">
        <v>267</v>
      </c>
      <c r="D60" s="1863">
        <f t="shared" si="7"/>
        <v>14189911.957437327</v>
      </c>
      <c r="E60" s="1864">
        <f t="shared" si="8"/>
        <v>7351650.1568176895</v>
      </c>
      <c r="F60" s="1864">
        <f t="shared" si="9"/>
        <v>6733644.1406196365</v>
      </c>
      <c r="G60" s="1865">
        <f t="shared" si="10"/>
        <v>104617.66</v>
      </c>
      <c r="H60" s="1872">
        <f t="shared" si="11"/>
        <v>675510.99499743804</v>
      </c>
      <c r="I60" s="1873">
        <v>594449.67559774546</v>
      </c>
      <c r="J60" s="1873">
        <v>81061.319399692569</v>
      </c>
      <c r="K60" s="1874"/>
      <c r="L60" s="1872">
        <f t="shared" si="12"/>
        <v>13514400.962439889</v>
      </c>
      <c r="M60" s="1873">
        <v>6757200.4812199445</v>
      </c>
      <c r="N60" s="1873">
        <v>6652582.8212199444</v>
      </c>
      <c r="O60" s="1881">
        <v>104617.66</v>
      </c>
    </row>
    <row r="61" spans="1:15" x14ac:dyDescent="0.25">
      <c r="A61" s="680" t="s">
        <v>146</v>
      </c>
      <c r="B61" s="769" t="s">
        <v>147</v>
      </c>
      <c r="C61" s="1856" t="s">
        <v>264</v>
      </c>
      <c r="D61" s="1863">
        <f t="shared" si="7"/>
        <v>11831115.604949156</v>
      </c>
      <c r="E61" s="1864">
        <f t="shared" si="8"/>
        <v>5988532.4172742907</v>
      </c>
      <c r="F61" s="1864">
        <f t="shared" si="9"/>
        <v>5841816.3676748658</v>
      </c>
      <c r="G61" s="1865">
        <f t="shared" si="10"/>
        <v>766.82000000000016</v>
      </c>
      <c r="H61" s="1872">
        <f t="shared" si="11"/>
        <v>192038.459999243</v>
      </c>
      <c r="I61" s="1873">
        <v>168993.84479933383</v>
      </c>
      <c r="J61" s="1873">
        <v>23044.61519990916</v>
      </c>
      <c r="K61" s="1874"/>
      <c r="L61" s="1872">
        <f t="shared" si="12"/>
        <v>11639077.144949913</v>
      </c>
      <c r="M61" s="1873">
        <v>5819538.5724749565</v>
      </c>
      <c r="N61" s="1873">
        <v>5818771.7524749562</v>
      </c>
      <c r="O61" s="1881">
        <v>766.82000000000016</v>
      </c>
    </row>
    <row r="62" spans="1:15" x14ac:dyDescent="0.25">
      <c r="A62" s="680" t="s">
        <v>148</v>
      </c>
      <c r="B62" s="769" t="s">
        <v>149</v>
      </c>
      <c r="C62" s="1856" t="s">
        <v>265</v>
      </c>
      <c r="D62" s="1863">
        <f t="shared" si="7"/>
        <v>48056746.579776414</v>
      </c>
      <c r="E62" s="1864">
        <f t="shared" si="8"/>
        <v>24537958.704885695</v>
      </c>
      <c r="F62" s="1864">
        <f t="shared" si="9"/>
        <v>23353829.58489072</v>
      </c>
      <c r="G62" s="1865">
        <f t="shared" si="10"/>
        <v>164958.29000000004</v>
      </c>
      <c r="H62" s="1872">
        <f t="shared" si="11"/>
        <v>1341014.249993392</v>
      </c>
      <c r="I62" s="1873">
        <v>1180092.5399941851</v>
      </c>
      <c r="J62" s="1873">
        <v>160921.70999920703</v>
      </c>
      <c r="K62" s="1874"/>
      <c r="L62" s="1872">
        <f t="shared" si="12"/>
        <v>46715732.329783022</v>
      </c>
      <c r="M62" s="1873">
        <v>23357866.164891511</v>
      </c>
      <c r="N62" s="1873">
        <v>23192907.874891512</v>
      </c>
      <c r="O62" s="1881">
        <v>164958.29000000004</v>
      </c>
    </row>
    <row r="63" spans="1:15" x14ac:dyDescent="0.25">
      <c r="A63" s="680" t="s">
        <v>150</v>
      </c>
      <c r="B63" s="769" t="s">
        <v>151</v>
      </c>
      <c r="C63" s="1856" t="s">
        <v>266</v>
      </c>
      <c r="D63" s="1863">
        <f t="shared" si="7"/>
        <v>14734350.747437209</v>
      </c>
      <c r="E63" s="1864">
        <f t="shared" si="8"/>
        <v>7478649.5023180842</v>
      </c>
      <c r="F63" s="1864">
        <f t="shared" si="9"/>
        <v>7255489.025119123</v>
      </c>
      <c r="G63" s="1865">
        <f t="shared" si="10"/>
        <v>212.21999999999997</v>
      </c>
      <c r="H63" s="1872">
        <f t="shared" si="11"/>
        <v>293352.96999863401</v>
      </c>
      <c r="I63" s="1873">
        <v>258150.61359879794</v>
      </c>
      <c r="J63" s="1873">
        <v>35202.356399836077</v>
      </c>
      <c r="K63" s="1874"/>
      <c r="L63" s="1872">
        <f t="shared" si="12"/>
        <v>14440997.777438575</v>
      </c>
      <c r="M63" s="1873">
        <v>7220498.8887192868</v>
      </c>
      <c r="N63" s="1873">
        <v>7220286.668719287</v>
      </c>
      <c r="O63" s="1881">
        <v>212.21999999999997</v>
      </c>
    </row>
    <row r="64" spans="1:15" x14ac:dyDescent="0.25">
      <c r="A64" s="680" t="s">
        <v>152</v>
      </c>
      <c r="B64" s="769" t="s">
        <v>153</v>
      </c>
      <c r="C64" s="1856" t="s">
        <v>268</v>
      </c>
      <c r="D64" s="1863">
        <f t="shared" si="7"/>
        <v>67261652.307231888</v>
      </c>
      <c r="E64" s="1864">
        <f t="shared" si="8"/>
        <v>34562386.192863181</v>
      </c>
      <c r="F64" s="1864">
        <f t="shared" si="9"/>
        <v>32695306.014368694</v>
      </c>
      <c r="G64" s="1865">
        <f t="shared" si="10"/>
        <v>3960.0999999999995</v>
      </c>
      <c r="H64" s="1872">
        <f t="shared" si="11"/>
        <v>2451473.7874927451</v>
      </c>
      <c r="I64" s="1873">
        <v>2157296.9329936155</v>
      </c>
      <c r="J64" s="1873">
        <v>294176.8544991294</v>
      </c>
      <c r="K64" s="1874"/>
      <c r="L64" s="1872">
        <f t="shared" si="12"/>
        <v>64810178.519739136</v>
      </c>
      <c r="M64" s="1873">
        <v>32405089.259869568</v>
      </c>
      <c r="N64" s="1873">
        <v>32401129.159869567</v>
      </c>
      <c r="O64" s="1881">
        <v>3960.0999999999995</v>
      </c>
    </row>
    <row r="65" spans="1:15" x14ac:dyDescent="0.25">
      <c r="A65" s="680" t="s">
        <v>154</v>
      </c>
      <c r="B65" s="769" t="s">
        <v>155</v>
      </c>
      <c r="C65" s="1856" t="s">
        <v>265</v>
      </c>
      <c r="D65" s="1863">
        <f t="shared" si="7"/>
        <v>20079279.409904674</v>
      </c>
      <c r="E65" s="1864">
        <f t="shared" si="8"/>
        <v>10344606.611151125</v>
      </c>
      <c r="F65" s="1864">
        <f t="shared" si="9"/>
        <v>9698101.3287535515</v>
      </c>
      <c r="G65" s="1865">
        <f t="shared" si="10"/>
        <v>36571.469999999994</v>
      </c>
      <c r="H65" s="1872">
        <f t="shared" si="11"/>
        <v>802544.48999680602</v>
      </c>
      <c r="I65" s="1873">
        <v>706239.15119718935</v>
      </c>
      <c r="J65" s="1873">
        <v>96305.338799616715</v>
      </c>
      <c r="K65" s="1874"/>
      <c r="L65" s="1872">
        <f t="shared" si="12"/>
        <v>19276734.919907868</v>
      </c>
      <c r="M65" s="1873">
        <v>9638367.4599539358</v>
      </c>
      <c r="N65" s="1873">
        <v>9601795.9899539351</v>
      </c>
      <c r="O65" s="1881">
        <v>36571.469999999994</v>
      </c>
    </row>
    <row r="66" spans="1:15" x14ac:dyDescent="0.25">
      <c r="A66" s="680" t="s">
        <v>156</v>
      </c>
      <c r="B66" s="769" t="s">
        <v>157</v>
      </c>
      <c r="C66" s="1856" t="s">
        <v>266</v>
      </c>
      <c r="D66" s="1863">
        <f t="shared" si="7"/>
        <v>13074313.914944593</v>
      </c>
      <c r="E66" s="1864">
        <f t="shared" si="8"/>
        <v>6836865.5785210887</v>
      </c>
      <c r="F66" s="1864">
        <f t="shared" si="9"/>
        <v>6185271.9464235026</v>
      </c>
      <c r="G66" s="1865">
        <f t="shared" si="10"/>
        <v>52176.39</v>
      </c>
      <c r="H66" s="1872">
        <f t="shared" si="11"/>
        <v>788706.89749682404</v>
      </c>
      <c r="I66" s="1873">
        <v>694062.06979720516</v>
      </c>
      <c r="J66" s="1873">
        <v>94644.82769961888</v>
      </c>
      <c r="K66" s="1874"/>
      <c r="L66" s="1872">
        <f t="shared" si="12"/>
        <v>12285607.01744777</v>
      </c>
      <c r="M66" s="1873">
        <v>6142803.5087238839</v>
      </c>
      <c r="N66" s="1873">
        <v>6090627.1187238842</v>
      </c>
      <c r="O66" s="1881">
        <v>52176.39</v>
      </c>
    </row>
    <row r="67" spans="1:15" x14ac:dyDescent="0.25">
      <c r="A67" s="680" t="s">
        <v>162</v>
      </c>
      <c r="B67" s="769" t="s">
        <v>163</v>
      </c>
      <c r="C67" s="1856" t="s">
        <v>264</v>
      </c>
      <c r="D67" s="1863">
        <f t="shared" si="7"/>
        <v>29455037.982374415</v>
      </c>
      <c r="E67" s="1864">
        <f t="shared" si="8"/>
        <v>15121113.698285732</v>
      </c>
      <c r="F67" s="1864">
        <f t="shared" si="9"/>
        <v>14316980.304088684</v>
      </c>
      <c r="G67" s="1865">
        <f t="shared" si="10"/>
        <v>16943.98</v>
      </c>
      <c r="H67" s="1872">
        <f t="shared" si="11"/>
        <v>1035775.5449961181</v>
      </c>
      <c r="I67" s="1873">
        <v>911482.47959658387</v>
      </c>
      <c r="J67" s="1873">
        <v>124293.06539953416</v>
      </c>
      <c r="K67" s="1874"/>
      <c r="L67" s="1872">
        <f t="shared" si="12"/>
        <v>28419262.437378298</v>
      </c>
      <c r="M67" s="1873">
        <v>14209631.218689149</v>
      </c>
      <c r="N67" s="1873">
        <v>14192687.238689149</v>
      </c>
      <c r="O67" s="1881">
        <v>16943.98</v>
      </c>
    </row>
    <row r="68" spans="1:15" x14ac:dyDescent="0.25">
      <c r="A68" s="680" t="s">
        <v>164</v>
      </c>
      <c r="B68" s="769" t="s">
        <v>165</v>
      </c>
      <c r="C68" s="1856" t="s">
        <v>266</v>
      </c>
      <c r="D68" s="1863">
        <f t="shared" si="7"/>
        <v>13135886.917442538</v>
      </c>
      <c r="E68" s="1864">
        <f t="shared" si="8"/>
        <v>6732936.4415204888</v>
      </c>
      <c r="F68" s="1864">
        <f t="shared" si="9"/>
        <v>6354243.435922049</v>
      </c>
      <c r="G68" s="1865">
        <f t="shared" si="10"/>
        <v>48707.040000000001</v>
      </c>
      <c r="H68" s="1872">
        <f t="shared" si="11"/>
        <v>434192.05999794602</v>
      </c>
      <c r="I68" s="1873">
        <v>382089.0127981925</v>
      </c>
      <c r="J68" s="1873">
        <v>52103.047199753521</v>
      </c>
      <c r="K68" s="1874"/>
      <c r="L68" s="1872">
        <f t="shared" si="12"/>
        <v>12701694.857444592</v>
      </c>
      <c r="M68" s="1873">
        <v>6350847.4287222959</v>
      </c>
      <c r="N68" s="1873">
        <v>6302140.3887222959</v>
      </c>
      <c r="O68" s="1881">
        <v>48707.040000000001</v>
      </c>
    </row>
    <row r="69" spans="1:15" x14ac:dyDescent="0.25">
      <c r="A69" s="680" t="s">
        <v>168</v>
      </c>
      <c r="B69" s="769" t="s">
        <v>169</v>
      </c>
      <c r="C69" s="1856" t="s">
        <v>266</v>
      </c>
      <c r="D69" s="1863">
        <f t="shared" ref="D69:D100" si="13">H69+L69</f>
        <v>24784920.537379827</v>
      </c>
      <c r="E69" s="1864">
        <f t="shared" ref="E69:E100" si="14">+I69+M69</f>
        <v>12742901.828088181</v>
      </c>
      <c r="F69" s="1864">
        <f t="shared" ref="F69:F100" si="15">+J69+N69</f>
        <v>11981669.109291647</v>
      </c>
      <c r="G69" s="1865">
        <f t="shared" ref="G69:G100" si="16">K69+O69</f>
        <v>60349.600000000006</v>
      </c>
      <c r="H69" s="1872">
        <f t="shared" ref="H69:H100" si="17">I69+J69+K69</f>
        <v>922214.62999544002</v>
      </c>
      <c r="I69" s="1873">
        <v>811548.87439598725</v>
      </c>
      <c r="J69" s="1873">
        <v>110665.75559945279</v>
      </c>
      <c r="K69" s="1874"/>
      <c r="L69" s="1872">
        <f t="shared" ref="L69:L100" si="18">M69+N69+O69</f>
        <v>23862705.907384388</v>
      </c>
      <c r="M69" s="1873">
        <v>11931352.953692194</v>
      </c>
      <c r="N69" s="1873">
        <v>11871003.353692194</v>
      </c>
      <c r="O69" s="1881">
        <v>60349.600000000006</v>
      </c>
    </row>
    <row r="70" spans="1:15" x14ac:dyDescent="0.25">
      <c r="A70" s="680" t="s">
        <v>170</v>
      </c>
      <c r="B70" s="769" t="s">
        <v>171</v>
      </c>
      <c r="C70" s="1856" t="s">
        <v>267</v>
      </c>
      <c r="D70" s="1863">
        <f t="shared" si="13"/>
        <v>36367464.994840518</v>
      </c>
      <c r="E70" s="1864">
        <f t="shared" si="14"/>
        <v>18756157.608968031</v>
      </c>
      <c r="F70" s="1864">
        <f t="shared" si="15"/>
        <v>17399242.705872491</v>
      </c>
      <c r="G70" s="1865">
        <f t="shared" si="16"/>
        <v>212064.68000000002</v>
      </c>
      <c r="H70" s="1872">
        <f t="shared" si="17"/>
        <v>1506381.8724941339</v>
      </c>
      <c r="I70" s="1873">
        <v>1325616.0477948377</v>
      </c>
      <c r="J70" s="1873">
        <v>180765.82469929606</v>
      </c>
      <c r="K70" s="1874"/>
      <c r="L70" s="1872">
        <f t="shared" si="18"/>
        <v>34861083.122346386</v>
      </c>
      <c r="M70" s="1873">
        <v>17430541.561173193</v>
      </c>
      <c r="N70" s="1873">
        <v>17218476.881173193</v>
      </c>
      <c r="O70" s="1881">
        <v>212064.68000000002</v>
      </c>
    </row>
    <row r="71" spans="1:15" x14ac:dyDescent="0.25">
      <c r="A71" s="680" t="s">
        <v>172</v>
      </c>
      <c r="B71" s="769" t="s">
        <v>173</v>
      </c>
      <c r="C71" s="1856" t="s">
        <v>267</v>
      </c>
      <c r="D71" s="1863">
        <f t="shared" si="13"/>
        <v>28551093.834868103</v>
      </c>
      <c r="E71" s="1864">
        <f t="shared" si="14"/>
        <v>14679919.652882062</v>
      </c>
      <c r="F71" s="1864">
        <f t="shared" si="15"/>
        <v>13721298.301986041</v>
      </c>
      <c r="G71" s="1865">
        <f t="shared" si="16"/>
        <v>149875.87999999998</v>
      </c>
      <c r="H71" s="1872">
        <f t="shared" si="17"/>
        <v>1064138.777494764</v>
      </c>
      <c r="I71" s="1873">
        <v>936442.12419539224</v>
      </c>
      <c r="J71" s="1873">
        <v>127696.65329937167</v>
      </c>
      <c r="K71" s="1874"/>
      <c r="L71" s="1872">
        <f t="shared" si="18"/>
        <v>27486955.057373341</v>
      </c>
      <c r="M71" s="1873">
        <v>13743477.528686671</v>
      </c>
      <c r="N71" s="1873">
        <v>13593601.64868667</v>
      </c>
      <c r="O71" s="1881">
        <v>149875.87999999998</v>
      </c>
    </row>
    <row r="72" spans="1:15" x14ac:dyDescent="0.25">
      <c r="A72" s="680" t="s">
        <v>174</v>
      </c>
      <c r="B72" s="769" t="s">
        <v>175</v>
      </c>
      <c r="C72" s="1856" t="s">
        <v>268</v>
      </c>
      <c r="D72" s="1863">
        <f t="shared" si="13"/>
        <v>29805583.799868312</v>
      </c>
      <c r="E72" s="1864">
        <f t="shared" si="14"/>
        <v>15287097.731232829</v>
      </c>
      <c r="F72" s="1864">
        <f t="shared" si="15"/>
        <v>14480924.668635484</v>
      </c>
      <c r="G72" s="1865">
        <f t="shared" si="16"/>
        <v>37561.4</v>
      </c>
      <c r="H72" s="1872">
        <f t="shared" si="17"/>
        <v>1011331.1349965089</v>
      </c>
      <c r="I72" s="1873">
        <v>889971.39879692788</v>
      </c>
      <c r="J72" s="1873">
        <v>121359.73619958106</v>
      </c>
      <c r="K72" s="1874"/>
      <c r="L72" s="1872">
        <f t="shared" si="18"/>
        <v>28794252.664871804</v>
      </c>
      <c r="M72" s="1873">
        <v>14397126.332435902</v>
      </c>
      <c r="N72" s="1873">
        <v>14359564.932435902</v>
      </c>
      <c r="O72" s="1881">
        <v>37561.4</v>
      </c>
    </row>
    <row r="73" spans="1:15" x14ac:dyDescent="0.25">
      <c r="A73" s="680" t="s">
        <v>178</v>
      </c>
      <c r="B73" s="769" t="s">
        <v>179</v>
      </c>
      <c r="C73" s="1856" t="s">
        <v>265</v>
      </c>
      <c r="D73" s="1863">
        <f t="shared" si="13"/>
        <v>96498758.762018576</v>
      </c>
      <c r="E73" s="1864">
        <f t="shared" si="14"/>
        <v>49312147.08185406</v>
      </c>
      <c r="F73" s="1864">
        <f t="shared" si="15"/>
        <v>47033493.060164504</v>
      </c>
      <c r="G73" s="1865">
        <f t="shared" si="16"/>
        <v>153118.62</v>
      </c>
      <c r="H73" s="1872">
        <f t="shared" si="17"/>
        <v>2796757.1074862648</v>
      </c>
      <c r="I73" s="1873">
        <v>2461146.2545879129</v>
      </c>
      <c r="J73" s="1873">
        <v>335610.85289835179</v>
      </c>
      <c r="K73" s="1874"/>
      <c r="L73" s="1872">
        <f t="shared" si="18"/>
        <v>93702001.654532313</v>
      </c>
      <c r="M73" s="1873">
        <v>46851000.827266149</v>
      </c>
      <c r="N73" s="1873">
        <v>46697882.207266152</v>
      </c>
      <c r="O73" s="1881">
        <v>153118.62</v>
      </c>
    </row>
    <row r="74" spans="1:15" x14ac:dyDescent="0.25">
      <c r="A74" s="680" t="s">
        <v>182</v>
      </c>
      <c r="B74" s="769" t="s">
        <v>183</v>
      </c>
      <c r="C74" s="1856" t="s">
        <v>266</v>
      </c>
      <c r="D74" s="1863">
        <f t="shared" si="13"/>
        <v>15245095.422434619</v>
      </c>
      <c r="E74" s="1864">
        <f t="shared" si="14"/>
        <v>7872965.0645161215</v>
      </c>
      <c r="F74" s="1864">
        <f t="shared" si="15"/>
        <v>7279133.5079184985</v>
      </c>
      <c r="G74" s="1865">
        <f t="shared" si="16"/>
        <v>92996.85</v>
      </c>
      <c r="H74" s="1872">
        <f t="shared" si="17"/>
        <v>658993.034996873</v>
      </c>
      <c r="I74" s="1873">
        <v>579913.87079724821</v>
      </c>
      <c r="J74" s="1873">
        <v>79079.164199624764</v>
      </c>
      <c r="K74" s="1874"/>
      <c r="L74" s="1872">
        <f t="shared" si="18"/>
        <v>14586102.387437746</v>
      </c>
      <c r="M74" s="1873">
        <v>7293051.193718873</v>
      </c>
      <c r="N74" s="1873">
        <v>7200054.3437188733</v>
      </c>
      <c r="O74" s="1881">
        <v>92996.85</v>
      </c>
    </row>
    <row r="75" spans="1:15" x14ac:dyDescent="0.25">
      <c r="A75" s="680" t="s">
        <v>184</v>
      </c>
      <c r="B75" s="769" t="s">
        <v>185</v>
      </c>
      <c r="C75" s="1856" t="s">
        <v>266</v>
      </c>
      <c r="D75" s="1863">
        <f t="shared" si="13"/>
        <v>34248095.922339253</v>
      </c>
      <c r="E75" s="1864">
        <f t="shared" si="14"/>
        <v>17554891.774017341</v>
      </c>
      <c r="F75" s="1864">
        <f t="shared" si="15"/>
        <v>16659148.13832191</v>
      </c>
      <c r="G75" s="1865">
        <f t="shared" si="16"/>
        <v>34056.01</v>
      </c>
      <c r="H75" s="1872">
        <f t="shared" si="17"/>
        <v>1133799.5074939879</v>
      </c>
      <c r="I75" s="1873">
        <v>997743.56659470941</v>
      </c>
      <c r="J75" s="1873">
        <v>136055.94089927853</v>
      </c>
      <c r="K75" s="1874"/>
      <c r="L75" s="1872">
        <f t="shared" si="18"/>
        <v>33114296.414845262</v>
      </c>
      <c r="M75" s="1873">
        <v>16557148.207422631</v>
      </c>
      <c r="N75" s="1873">
        <v>16523092.197422631</v>
      </c>
      <c r="O75" s="1881">
        <v>34056.01</v>
      </c>
    </row>
    <row r="76" spans="1:15" x14ac:dyDescent="0.25">
      <c r="A76" s="680" t="s">
        <v>186</v>
      </c>
      <c r="B76" s="769" t="s">
        <v>187</v>
      </c>
      <c r="C76" s="1856" t="s">
        <v>264</v>
      </c>
      <c r="D76" s="1863">
        <f t="shared" si="13"/>
        <v>26811866.524887472</v>
      </c>
      <c r="E76" s="1864">
        <f t="shared" si="14"/>
        <v>13750208.989342352</v>
      </c>
      <c r="F76" s="1864">
        <f t="shared" si="15"/>
        <v>13032056.545545122</v>
      </c>
      <c r="G76" s="1865">
        <f t="shared" si="16"/>
        <v>29600.989999999998</v>
      </c>
      <c r="H76" s="1872">
        <f t="shared" si="17"/>
        <v>905988.75499635399</v>
      </c>
      <c r="I76" s="1873">
        <v>797270.10439679155</v>
      </c>
      <c r="J76" s="1873">
        <v>108718.65059956248</v>
      </c>
      <c r="K76" s="1874"/>
      <c r="L76" s="1872">
        <f t="shared" si="18"/>
        <v>25905877.769891117</v>
      </c>
      <c r="M76" s="1873">
        <v>12952938.88494556</v>
      </c>
      <c r="N76" s="1873">
        <v>12923337.89494556</v>
      </c>
      <c r="O76" s="1881">
        <v>29600.989999999998</v>
      </c>
    </row>
    <row r="77" spans="1:15" x14ac:dyDescent="0.25">
      <c r="A77" s="680" t="s">
        <v>188</v>
      </c>
      <c r="B77" s="769" t="s">
        <v>189</v>
      </c>
      <c r="C77" s="1856" t="s">
        <v>267</v>
      </c>
      <c r="D77" s="1863">
        <f t="shared" si="13"/>
        <v>327415768.63864356</v>
      </c>
      <c r="E77" s="1864">
        <f t="shared" si="14"/>
        <v>171562773.32638612</v>
      </c>
      <c r="F77" s="1864">
        <f t="shared" si="15"/>
        <v>155238314.09225741</v>
      </c>
      <c r="G77" s="1865">
        <f t="shared" si="16"/>
        <v>614681.22</v>
      </c>
      <c r="H77" s="1872">
        <f t="shared" si="17"/>
        <v>20670760.544906225</v>
      </c>
      <c r="I77" s="1873">
        <v>18190269.279517479</v>
      </c>
      <c r="J77" s="1873">
        <v>2480491.2653887467</v>
      </c>
      <c r="K77" s="1874"/>
      <c r="L77" s="1872">
        <f t="shared" si="18"/>
        <v>306745008.09373736</v>
      </c>
      <c r="M77" s="1873">
        <v>153372504.04686865</v>
      </c>
      <c r="N77" s="1873">
        <v>152757822.82686865</v>
      </c>
      <c r="O77" s="1881">
        <v>614681.22</v>
      </c>
    </row>
    <row r="78" spans="1:15" x14ac:dyDescent="0.25">
      <c r="A78" s="680" t="s">
        <v>190</v>
      </c>
      <c r="B78" s="769" t="s">
        <v>191</v>
      </c>
      <c r="C78" s="1856" t="s">
        <v>268</v>
      </c>
      <c r="D78" s="1863">
        <f t="shared" si="13"/>
        <v>51896066.239790052</v>
      </c>
      <c r="E78" s="1864">
        <f t="shared" si="14"/>
        <v>26479488.844943408</v>
      </c>
      <c r="F78" s="1864">
        <f t="shared" si="15"/>
        <v>25268682.844846651</v>
      </c>
      <c r="G78" s="1865">
        <f t="shared" si="16"/>
        <v>147894.54999999999</v>
      </c>
      <c r="H78" s="1872">
        <f t="shared" si="17"/>
        <v>1398567.697495729</v>
      </c>
      <c r="I78" s="1873">
        <v>1230739.5737962415</v>
      </c>
      <c r="J78" s="1873">
        <v>167828.12369948748</v>
      </c>
      <c r="K78" s="1874"/>
      <c r="L78" s="1872">
        <f t="shared" si="18"/>
        <v>50497498.542294323</v>
      </c>
      <c r="M78" s="1873">
        <v>25248749.271147165</v>
      </c>
      <c r="N78" s="1873">
        <v>25100854.721147165</v>
      </c>
      <c r="O78" s="1881">
        <v>147894.54999999999</v>
      </c>
    </row>
    <row r="79" spans="1:15" x14ac:dyDescent="0.25">
      <c r="A79" s="680" t="s">
        <v>194</v>
      </c>
      <c r="B79" s="769" t="s">
        <v>195</v>
      </c>
      <c r="C79" s="1856" t="s">
        <v>267</v>
      </c>
      <c r="D79" s="1863">
        <f t="shared" si="13"/>
        <v>5156945.6324800318</v>
      </c>
      <c r="E79" s="1864">
        <f t="shared" si="14"/>
        <v>2676485.1294396771</v>
      </c>
      <c r="F79" s="1864">
        <f t="shared" si="15"/>
        <v>2371174.7230403535</v>
      </c>
      <c r="G79" s="1865">
        <f t="shared" si="16"/>
        <v>109285.77999999996</v>
      </c>
      <c r="H79" s="1872">
        <f t="shared" si="17"/>
        <v>257927.13999910999</v>
      </c>
      <c r="I79" s="1873">
        <v>226975.8831992168</v>
      </c>
      <c r="J79" s="1873">
        <v>30951.256799893199</v>
      </c>
      <c r="K79" s="1874"/>
      <c r="L79" s="1872">
        <f t="shared" si="18"/>
        <v>4899018.4924809216</v>
      </c>
      <c r="M79" s="1873">
        <v>2449509.2462404603</v>
      </c>
      <c r="N79" s="1873">
        <v>2340223.4662404605</v>
      </c>
      <c r="O79" s="1881">
        <v>109285.77999999996</v>
      </c>
    </row>
    <row r="80" spans="1:15" x14ac:dyDescent="0.25">
      <c r="A80" s="680" t="s">
        <v>198</v>
      </c>
      <c r="B80" s="769" t="s">
        <v>199</v>
      </c>
      <c r="C80" s="1856" t="s">
        <v>266</v>
      </c>
      <c r="D80" s="1863">
        <f t="shared" si="13"/>
        <v>11741213.552445991</v>
      </c>
      <c r="E80" s="1864">
        <f t="shared" si="14"/>
        <v>6035114.0876721153</v>
      </c>
      <c r="F80" s="1864">
        <f t="shared" si="15"/>
        <v>5692777.7947738757</v>
      </c>
      <c r="G80" s="1865">
        <f t="shared" si="16"/>
        <v>13321.67</v>
      </c>
      <c r="H80" s="1872">
        <f t="shared" si="17"/>
        <v>432913.97749768401</v>
      </c>
      <c r="I80" s="1873">
        <v>380964.30019796191</v>
      </c>
      <c r="J80" s="1873">
        <v>51949.677299722076</v>
      </c>
      <c r="K80" s="1874"/>
      <c r="L80" s="1872">
        <f t="shared" si="18"/>
        <v>11308299.574948307</v>
      </c>
      <c r="M80" s="1873">
        <v>5654149.7874741536</v>
      </c>
      <c r="N80" s="1873">
        <v>5640828.1174741536</v>
      </c>
      <c r="O80" s="1881">
        <v>13321.67</v>
      </c>
    </row>
    <row r="81" spans="1:15" x14ac:dyDescent="0.25">
      <c r="A81" s="680" t="s">
        <v>202</v>
      </c>
      <c r="B81" s="769" t="s">
        <v>203</v>
      </c>
      <c r="C81" s="1856" t="s">
        <v>265</v>
      </c>
      <c r="D81" s="1863">
        <f t="shared" si="13"/>
        <v>102161509.57458012</v>
      </c>
      <c r="E81" s="1864">
        <f t="shared" si="14"/>
        <v>52363686.699085362</v>
      </c>
      <c r="F81" s="1864">
        <f t="shared" si="15"/>
        <v>49447207.715494752</v>
      </c>
      <c r="G81" s="1865">
        <f t="shared" si="16"/>
        <v>350615.16</v>
      </c>
      <c r="H81" s="1872">
        <f t="shared" si="17"/>
        <v>3376136.6099876477</v>
      </c>
      <c r="I81" s="1873">
        <v>2971000.2167891297</v>
      </c>
      <c r="J81" s="1873">
        <v>405049.40319851768</v>
      </c>
      <c r="K81" s="1874">
        <v>86.990000000000009</v>
      </c>
      <c r="L81" s="1872">
        <f t="shared" si="18"/>
        <v>98785372.964592472</v>
      </c>
      <c r="M81" s="1873">
        <v>49392686.482296236</v>
      </c>
      <c r="N81" s="1873">
        <v>49042158.312296234</v>
      </c>
      <c r="O81" s="1881">
        <v>350528.17</v>
      </c>
    </row>
    <row r="82" spans="1:15" x14ac:dyDescent="0.25">
      <c r="A82" s="680" t="s">
        <v>204</v>
      </c>
      <c r="B82" s="769" t="s">
        <v>205</v>
      </c>
      <c r="C82" s="1856" t="s">
        <v>265</v>
      </c>
      <c r="D82" s="1863">
        <f t="shared" si="13"/>
        <v>40332703.60482876</v>
      </c>
      <c r="E82" s="1864">
        <f t="shared" si="14"/>
        <v>20660862.3058125</v>
      </c>
      <c r="F82" s="1864">
        <f t="shared" si="15"/>
        <v>19516796.839016255</v>
      </c>
      <c r="G82" s="1865">
        <f t="shared" si="16"/>
        <v>155044.46</v>
      </c>
      <c r="H82" s="1872">
        <f t="shared" si="17"/>
        <v>1301343.4299950569</v>
      </c>
      <c r="I82" s="1873">
        <v>1145182.2183956502</v>
      </c>
      <c r="J82" s="1873">
        <v>156107.89159940684</v>
      </c>
      <c r="K82" s="1874">
        <v>53.32</v>
      </c>
      <c r="L82" s="1872">
        <f t="shared" si="18"/>
        <v>39031360.1748337</v>
      </c>
      <c r="M82" s="1873">
        <v>19515680.08741685</v>
      </c>
      <c r="N82" s="1873">
        <v>19360688.947416849</v>
      </c>
      <c r="O82" s="1881">
        <v>154991.13999999998</v>
      </c>
    </row>
    <row r="83" spans="1:15" x14ac:dyDescent="0.25">
      <c r="A83" s="680" t="s">
        <v>206</v>
      </c>
      <c r="B83" s="769" t="s">
        <v>207</v>
      </c>
      <c r="C83" s="1856" t="s">
        <v>267</v>
      </c>
      <c r="D83" s="1863">
        <f t="shared" si="13"/>
        <v>109829772.04192489</v>
      </c>
      <c r="E83" s="1864">
        <f t="shared" si="14"/>
        <v>57523051.43979843</v>
      </c>
      <c r="F83" s="1864">
        <f t="shared" si="15"/>
        <v>51514663.772126466</v>
      </c>
      <c r="G83" s="1865">
        <f t="shared" si="16"/>
        <v>792056.83000000007</v>
      </c>
      <c r="H83" s="1872">
        <f t="shared" si="17"/>
        <v>6863593.2074631136</v>
      </c>
      <c r="I83" s="1873">
        <v>6039962.0225675404</v>
      </c>
      <c r="J83" s="1873">
        <v>823631.18489557365</v>
      </c>
      <c r="K83" s="1874"/>
      <c r="L83" s="1872">
        <f t="shared" si="18"/>
        <v>102966178.83446178</v>
      </c>
      <c r="M83" s="1873">
        <v>51483089.417230889</v>
      </c>
      <c r="N83" s="1873">
        <v>50691032.587230891</v>
      </c>
      <c r="O83" s="1881">
        <v>792056.83000000007</v>
      </c>
    </row>
    <row r="84" spans="1:15" x14ac:dyDescent="0.25">
      <c r="A84" s="680" t="s">
        <v>208</v>
      </c>
      <c r="B84" s="769" t="s">
        <v>209</v>
      </c>
      <c r="C84" s="1856" t="s">
        <v>268</v>
      </c>
      <c r="D84" s="1863">
        <f t="shared" si="13"/>
        <v>44657535.257303752</v>
      </c>
      <c r="E84" s="1864">
        <f t="shared" si="14"/>
        <v>22834259.786249638</v>
      </c>
      <c r="F84" s="1864">
        <f t="shared" si="15"/>
        <v>21702164.051054109</v>
      </c>
      <c r="G84" s="1865">
        <f t="shared" si="16"/>
        <v>121111.41999999998</v>
      </c>
      <c r="H84" s="1872">
        <f t="shared" si="17"/>
        <v>1330242.5199941159</v>
      </c>
      <c r="I84" s="1873">
        <v>1170613.4175948221</v>
      </c>
      <c r="J84" s="1873">
        <v>159629.10239929392</v>
      </c>
      <c r="K84" s="1874"/>
      <c r="L84" s="1872">
        <f t="shared" si="18"/>
        <v>43327292.737309635</v>
      </c>
      <c r="M84" s="1873">
        <v>21663646.368654817</v>
      </c>
      <c r="N84" s="1873">
        <v>21542534.948654816</v>
      </c>
      <c r="O84" s="1881">
        <v>121111.41999999998</v>
      </c>
    </row>
    <row r="85" spans="1:15" x14ac:dyDescent="0.25">
      <c r="A85" s="680" t="s">
        <v>210</v>
      </c>
      <c r="B85" s="769" t="s">
        <v>211</v>
      </c>
      <c r="C85" s="1856" t="s">
        <v>268</v>
      </c>
      <c r="D85" s="1863">
        <f t="shared" si="13"/>
        <v>35972916.187338337</v>
      </c>
      <c r="E85" s="1864">
        <f t="shared" si="14"/>
        <v>18338231.109417569</v>
      </c>
      <c r="F85" s="1864">
        <f t="shared" si="15"/>
        <v>17560716.177920766</v>
      </c>
      <c r="G85" s="1865">
        <f t="shared" si="16"/>
        <v>73968.89999999998</v>
      </c>
      <c r="H85" s="1872">
        <f t="shared" si="17"/>
        <v>925718.46249579405</v>
      </c>
      <c r="I85" s="1873">
        <v>814632.24699629878</v>
      </c>
      <c r="J85" s="1873">
        <v>111086.21549949529</v>
      </c>
      <c r="K85" s="1874"/>
      <c r="L85" s="1872">
        <f t="shared" si="18"/>
        <v>35047197.724842541</v>
      </c>
      <c r="M85" s="1873">
        <v>17523598.86242127</v>
      </c>
      <c r="N85" s="1873">
        <v>17449629.962421272</v>
      </c>
      <c r="O85" s="1881">
        <v>73968.89999999998</v>
      </c>
    </row>
    <row r="86" spans="1:15" x14ac:dyDescent="0.25">
      <c r="A86" s="680" t="s">
        <v>212</v>
      </c>
      <c r="B86" s="769" t="s">
        <v>213</v>
      </c>
      <c r="C86" s="1856" t="s">
        <v>267</v>
      </c>
      <c r="D86" s="1863">
        <f t="shared" si="13"/>
        <v>50329481.814768091</v>
      </c>
      <c r="E86" s="1864">
        <f t="shared" si="14"/>
        <v>25944107.082030151</v>
      </c>
      <c r="F86" s="1864">
        <f t="shared" si="15"/>
        <v>24221294.42273793</v>
      </c>
      <c r="G86" s="1865">
        <f t="shared" si="16"/>
        <v>164080.30999999997</v>
      </c>
      <c r="H86" s="1872">
        <f t="shared" si="17"/>
        <v>2050963.617489767</v>
      </c>
      <c r="I86" s="1873">
        <v>1804847.9833909951</v>
      </c>
      <c r="J86" s="1873">
        <v>246115.63409877205</v>
      </c>
      <c r="K86" s="1874"/>
      <c r="L86" s="1872">
        <f t="shared" si="18"/>
        <v>48278518.197278321</v>
      </c>
      <c r="M86" s="1873">
        <v>24139259.098639157</v>
      </c>
      <c r="N86" s="1873">
        <v>23975178.788639158</v>
      </c>
      <c r="O86" s="1881">
        <v>164080.30999999997</v>
      </c>
    </row>
    <row r="87" spans="1:15" x14ac:dyDescent="0.25">
      <c r="A87" s="680" t="s">
        <v>214</v>
      </c>
      <c r="B87" s="769" t="s">
        <v>215</v>
      </c>
      <c r="C87" s="1856" t="s">
        <v>268</v>
      </c>
      <c r="D87" s="1863">
        <f t="shared" si="13"/>
        <v>53463545.832268015</v>
      </c>
      <c r="E87" s="1864">
        <f t="shared" si="14"/>
        <v>27304841.377181623</v>
      </c>
      <c r="F87" s="1864">
        <f t="shared" si="15"/>
        <v>26086471.67508639</v>
      </c>
      <c r="G87" s="1865">
        <f t="shared" si="16"/>
        <v>72232.78</v>
      </c>
      <c r="H87" s="1872">
        <f t="shared" si="17"/>
        <v>1508074.8974937249</v>
      </c>
      <c r="I87" s="1873">
        <v>1327105.909794478</v>
      </c>
      <c r="J87" s="1873">
        <v>180968.98769924699</v>
      </c>
      <c r="K87" s="1874"/>
      <c r="L87" s="1872">
        <f t="shared" si="18"/>
        <v>51955470.934774287</v>
      </c>
      <c r="M87" s="1873">
        <v>25977735.467387144</v>
      </c>
      <c r="N87" s="1873">
        <v>25905502.687387142</v>
      </c>
      <c r="O87" s="1881">
        <v>72232.78</v>
      </c>
    </row>
    <row r="88" spans="1:15" x14ac:dyDescent="0.25">
      <c r="A88" s="680" t="s">
        <v>216</v>
      </c>
      <c r="B88" s="769" t="s">
        <v>217</v>
      </c>
      <c r="C88" s="1856" t="s">
        <v>264</v>
      </c>
      <c r="D88" s="1863">
        <f t="shared" si="13"/>
        <v>26781418.114882596</v>
      </c>
      <c r="E88" s="1864">
        <f t="shared" si="14"/>
        <v>13718444.329589814</v>
      </c>
      <c r="F88" s="1864">
        <f t="shared" si="15"/>
        <v>13038402.965292783</v>
      </c>
      <c r="G88" s="1865">
        <f t="shared" si="16"/>
        <v>24570.82</v>
      </c>
      <c r="H88" s="1872">
        <f t="shared" si="17"/>
        <v>862461.24249609001</v>
      </c>
      <c r="I88" s="1873">
        <v>758965.89339655917</v>
      </c>
      <c r="J88" s="1873">
        <v>103495.34909953079</v>
      </c>
      <c r="K88" s="1874"/>
      <c r="L88" s="1872">
        <f t="shared" si="18"/>
        <v>25918956.872386508</v>
      </c>
      <c r="M88" s="1873">
        <v>12959478.436193254</v>
      </c>
      <c r="N88" s="1873">
        <v>12934907.616193254</v>
      </c>
      <c r="O88" s="1881">
        <v>24570.82</v>
      </c>
    </row>
    <row r="89" spans="1:15" x14ac:dyDescent="0.25">
      <c r="A89" s="680" t="s">
        <v>218</v>
      </c>
      <c r="B89" s="769" t="s">
        <v>219</v>
      </c>
      <c r="C89" s="1856" t="s">
        <v>267</v>
      </c>
      <c r="D89" s="1863">
        <f t="shared" si="13"/>
        <v>117549307.64197731</v>
      </c>
      <c r="E89" s="1864">
        <f t="shared" si="14"/>
        <v>60466197.937281854</v>
      </c>
      <c r="F89" s="1864">
        <f t="shared" si="15"/>
        <v>56540276.374695458</v>
      </c>
      <c r="G89" s="1865">
        <f t="shared" si="16"/>
        <v>542833.33000000007</v>
      </c>
      <c r="H89" s="1872">
        <f t="shared" si="17"/>
        <v>4451431.88498211</v>
      </c>
      <c r="I89" s="1873">
        <v>3917260.0587842567</v>
      </c>
      <c r="J89" s="1873">
        <v>534171.8261978532</v>
      </c>
      <c r="K89" s="1874"/>
      <c r="L89" s="1872">
        <f t="shared" si="18"/>
        <v>113097875.7569952</v>
      </c>
      <c r="M89" s="1873">
        <v>56548937.878497601</v>
      </c>
      <c r="N89" s="1873">
        <v>56006104.548497602</v>
      </c>
      <c r="O89" s="1881">
        <v>542833.33000000007</v>
      </c>
    </row>
    <row r="90" spans="1:15" x14ac:dyDescent="0.25">
      <c r="A90" s="680" t="s">
        <v>220</v>
      </c>
      <c r="B90" s="769" t="s">
        <v>221</v>
      </c>
      <c r="C90" s="1856" t="s">
        <v>267</v>
      </c>
      <c r="D90" s="1863">
        <f t="shared" si="13"/>
        <v>95267137.27959013</v>
      </c>
      <c r="E90" s="1864">
        <f t="shared" si="14"/>
        <v>49040759.690889232</v>
      </c>
      <c r="F90" s="1864">
        <f t="shared" si="15"/>
        <v>45955012.278700903</v>
      </c>
      <c r="G90" s="1865">
        <f t="shared" si="16"/>
        <v>271365.31</v>
      </c>
      <c r="H90" s="1872">
        <f t="shared" si="17"/>
        <v>3703134.344984639</v>
      </c>
      <c r="I90" s="1873">
        <v>3258758.2235864825</v>
      </c>
      <c r="J90" s="1873">
        <v>442643.87139815668</v>
      </c>
      <c r="K90" s="1874">
        <v>1732.25</v>
      </c>
      <c r="L90" s="1872">
        <f t="shared" si="18"/>
        <v>91564002.934605494</v>
      </c>
      <c r="M90" s="1873">
        <v>45782001.467302747</v>
      </c>
      <c r="N90" s="1873">
        <v>45512368.407302745</v>
      </c>
      <c r="O90" s="1881">
        <v>269633.06</v>
      </c>
    </row>
    <row r="91" spans="1:15" x14ac:dyDescent="0.25">
      <c r="A91" s="680" t="s">
        <v>224</v>
      </c>
      <c r="B91" s="769" t="s">
        <v>225</v>
      </c>
      <c r="C91" s="1856" t="s">
        <v>264</v>
      </c>
      <c r="D91" s="1863">
        <f t="shared" si="13"/>
        <v>9046054.5474582817</v>
      </c>
      <c r="E91" s="1864">
        <f t="shared" si="14"/>
        <v>4601615.4936287571</v>
      </c>
      <c r="F91" s="1864">
        <f t="shared" si="15"/>
        <v>4444439.0538295247</v>
      </c>
      <c r="G91" s="1865">
        <f t="shared" si="16"/>
        <v>0</v>
      </c>
      <c r="H91" s="1872">
        <f t="shared" si="17"/>
        <v>206811.104998989</v>
      </c>
      <c r="I91" s="1873">
        <v>181993.77239911031</v>
      </c>
      <c r="J91" s="1873">
        <v>24817.332599878679</v>
      </c>
      <c r="K91" s="1874"/>
      <c r="L91" s="1872">
        <f t="shared" si="18"/>
        <v>8839243.4424592927</v>
      </c>
      <c r="M91" s="1873">
        <v>4419621.7212296464</v>
      </c>
      <c r="N91" s="1873">
        <v>4419621.7212296464</v>
      </c>
      <c r="O91" s="1881">
        <v>0</v>
      </c>
    </row>
    <row r="92" spans="1:15" x14ac:dyDescent="0.25">
      <c r="A92" s="680" t="s">
        <v>226</v>
      </c>
      <c r="B92" s="769" t="s">
        <v>227</v>
      </c>
      <c r="C92" s="1856" t="s">
        <v>264</v>
      </c>
      <c r="D92" s="1863">
        <f t="shared" si="13"/>
        <v>18337447.60742132</v>
      </c>
      <c r="E92" s="1864">
        <f t="shared" si="14"/>
        <v>9302848.1249100696</v>
      </c>
      <c r="F92" s="1864">
        <f t="shared" si="15"/>
        <v>9032834.0625112485</v>
      </c>
      <c r="G92" s="1865">
        <f t="shared" si="16"/>
        <v>1765.42</v>
      </c>
      <c r="H92" s="1872">
        <f t="shared" si="17"/>
        <v>352958.73999844701</v>
      </c>
      <c r="I92" s="1873">
        <v>310603.69119863334</v>
      </c>
      <c r="J92" s="1873">
        <v>42355.048799813638</v>
      </c>
      <c r="K92" s="1874"/>
      <c r="L92" s="1872">
        <f t="shared" si="18"/>
        <v>17984488.867422871</v>
      </c>
      <c r="M92" s="1873">
        <v>8992244.4337114356</v>
      </c>
      <c r="N92" s="1873">
        <v>8990479.0137114357</v>
      </c>
      <c r="O92" s="1881">
        <v>1765.42</v>
      </c>
    </row>
    <row r="93" spans="1:15" x14ac:dyDescent="0.25">
      <c r="A93" s="680" t="s">
        <v>228</v>
      </c>
      <c r="B93" s="769" t="s">
        <v>229</v>
      </c>
      <c r="C93" s="1856" t="s">
        <v>268</v>
      </c>
      <c r="D93" s="1863">
        <f t="shared" si="13"/>
        <v>64216654.03971272</v>
      </c>
      <c r="E93" s="1864">
        <f t="shared" si="14"/>
        <v>32691011.260253809</v>
      </c>
      <c r="F93" s="1864">
        <f t="shared" si="15"/>
        <v>31496572.18945891</v>
      </c>
      <c r="G93" s="1865">
        <f t="shared" si="16"/>
        <v>29070.590000000004</v>
      </c>
      <c r="H93" s="1872">
        <f t="shared" si="17"/>
        <v>1533379.579993285</v>
      </c>
      <c r="I93" s="1873">
        <v>1349374.0303940908</v>
      </c>
      <c r="J93" s="1873">
        <v>184005.5495991942</v>
      </c>
      <c r="K93" s="1874"/>
      <c r="L93" s="1872">
        <f t="shared" si="18"/>
        <v>62683274.459719434</v>
      </c>
      <c r="M93" s="1873">
        <v>31341637.229859717</v>
      </c>
      <c r="N93" s="1873">
        <v>31312566.639859717</v>
      </c>
      <c r="O93" s="1881">
        <v>29070.590000000004</v>
      </c>
    </row>
    <row r="94" spans="1:15" x14ac:dyDescent="0.25">
      <c r="A94" s="680" t="s">
        <v>232</v>
      </c>
      <c r="B94" s="769" t="s">
        <v>233</v>
      </c>
      <c r="C94" s="1856" t="s">
        <v>267</v>
      </c>
      <c r="D94" s="1863">
        <f t="shared" si="13"/>
        <v>43303764.354804948</v>
      </c>
      <c r="E94" s="1864">
        <f t="shared" si="14"/>
        <v>22220651.889399983</v>
      </c>
      <c r="F94" s="1864">
        <f t="shared" si="15"/>
        <v>21004029.865404963</v>
      </c>
      <c r="G94" s="1865">
        <f t="shared" si="16"/>
        <v>79082.599999999991</v>
      </c>
      <c r="H94" s="1872">
        <f t="shared" si="17"/>
        <v>1496762.399993446</v>
      </c>
      <c r="I94" s="1873">
        <v>1317150.9119942326</v>
      </c>
      <c r="J94" s="1873">
        <v>178862.9779992135</v>
      </c>
      <c r="K94" s="1874">
        <v>748.51</v>
      </c>
      <c r="L94" s="1872">
        <f t="shared" si="18"/>
        <v>41807001.954811499</v>
      </c>
      <c r="M94" s="1873">
        <v>20903500.977405749</v>
      </c>
      <c r="N94" s="1873">
        <v>20825166.887405749</v>
      </c>
      <c r="O94" s="1881">
        <v>78334.09</v>
      </c>
    </row>
    <row r="95" spans="1:15" x14ac:dyDescent="0.25">
      <c r="A95" s="680" t="s">
        <v>234</v>
      </c>
      <c r="B95" s="769" t="s">
        <v>235</v>
      </c>
      <c r="C95" s="1856" t="s">
        <v>268</v>
      </c>
      <c r="D95" s="1863">
        <f t="shared" si="13"/>
        <v>63922220.512223892</v>
      </c>
      <c r="E95" s="1864">
        <f t="shared" si="14"/>
        <v>32706469.663609013</v>
      </c>
      <c r="F95" s="1864">
        <f t="shared" si="15"/>
        <v>31088760.558614876</v>
      </c>
      <c r="G95" s="1865">
        <f t="shared" si="16"/>
        <v>126990.29000000001</v>
      </c>
      <c r="H95" s="1872">
        <f t="shared" si="17"/>
        <v>1961472.1249922861</v>
      </c>
      <c r="I95" s="1873">
        <v>1726095.4699932118</v>
      </c>
      <c r="J95" s="1873">
        <v>235376.65499907432</v>
      </c>
      <c r="K95" s="1874"/>
      <c r="L95" s="1872">
        <f t="shared" si="18"/>
        <v>61960748.387231603</v>
      </c>
      <c r="M95" s="1873">
        <v>30980374.193615802</v>
      </c>
      <c r="N95" s="1873">
        <v>30853383.903615803</v>
      </c>
      <c r="O95" s="1881">
        <v>126990.29000000001</v>
      </c>
    </row>
    <row r="96" spans="1:15" x14ac:dyDescent="0.25">
      <c r="A96" s="680" t="s">
        <v>236</v>
      </c>
      <c r="B96" s="769" t="s">
        <v>237</v>
      </c>
      <c r="C96" s="1856" t="s">
        <v>266</v>
      </c>
      <c r="D96" s="1863">
        <f t="shared" si="13"/>
        <v>23273759.574891809</v>
      </c>
      <c r="E96" s="1864">
        <f t="shared" si="14"/>
        <v>11962088.00829426</v>
      </c>
      <c r="F96" s="1864">
        <f t="shared" si="15"/>
        <v>11294238.536597546</v>
      </c>
      <c r="G96" s="1865">
        <f t="shared" si="16"/>
        <v>17433.030000000002</v>
      </c>
      <c r="H96" s="1872">
        <f t="shared" si="17"/>
        <v>855811.10749567603</v>
      </c>
      <c r="I96" s="1873">
        <v>753113.77459619485</v>
      </c>
      <c r="J96" s="1873">
        <v>102697.33289948112</v>
      </c>
      <c r="K96" s="1874"/>
      <c r="L96" s="1872">
        <f t="shared" si="18"/>
        <v>22417948.467396133</v>
      </c>
      <c r="M96" s="1873">
        <v>11208974.233698064</v>
      </c>
      <c r="N96" s="1873">
        <v>11191541.203698065</v>
      </c>
      <c r="O96" s="1881">
        <v>17433.030000000002</v>
      </c>
    </row>
    <row r="97" spans="1:15" x14ac:dyDescent="0.25">
      <c r="A97" s="680" t="s">
        <v>242</v>
      </c>
      <c r="B97" s="769" t="s">
        <v>243</v>
      </c>
      <c r="C97" s="1856" t="s">
        <v>268</v>
      </c>
      <c r="D97" s="1863">
        <f t="shared" si="13"/>
        <v>71107090.702186167</v>
      </c>
      <c r="E97" s="1864">
        <f t="shared" si="14"/>
        <v>36221726.242740169</v>
      </c>
      <c r="F97" s="1864">
        <f t="shared" si="15"/>
        <v>34865547.489445999</v>
      </c>
      <c r="G97" s="1865">
        <f t="shared" si="16"/>
        <v>19816.969999999998</v>
      </c>
      <c r="H97" s="1872">
        <f t="shared" si="17"/>
        <v>1758370.7674923281</v>
      </c>
      <c r="I97" s="1873">
        <v>1547366.2753932488</v>
      </c>
      <c r="J97" s="1873">
        <v>211004.49209907936</v>
      </c>
      <c r="K97" s="1874"/>
      <c r="L97" s="1872">
        <f t="shared" si="18"/>
        <v>69348719.934693843</v>
      </c>
      <c r="M97" s="1873">
        <v>34674359.967346922</v>
      </c>
      <c r="N97" s="1873">
        <v>34654542.997346923</v>
      </c>
      <c r="O97" s="1881">
        <v>19816.969999999998</v>
      </c>
    </row>
    <row r="98" spans="1:15" x14ac:dyDescent="0.25">
      <c r="A98" s="680" t="s">
        <v>244</v>
      </c>
      <c r="B98" s="769" t="s">
        <v>245</v>
      </c>
      <c r="C98" s="1856" t="s">
        <v>268</v>
      </c>
      <c r="D98" s="1863">
        <f t="shared" si="13"/>
        <v>40012384.914832965</v>
      </c>
      <c r="E98" s="1864">
        <f t="shared" si="14"/>
        <v>20469555.796264995</v>
      </c>
      <c r="F98" s="1864">
        <f t="shared" si="15"/>
        <v>19473025.058567975</v>
      </c>
      <c r="G98" s="1865">
        <f t="shared" si="16"/>
        <v>69804.06</v>
      </c>
      <c r="H98" s="1872">
        <f t="shared" si="17"/>
        <v>1219377.2074960789</v>
      </c>
      <c r="I98" s="1873">
        <v>1073051.9425965494</v>
      </c>
      <c r="J98" s="1873">
        <v>146325.26489952946</v>
      </c>
      <c r="K98" s="1874"/>
      <c r="L98" s="1872">
        <f t="shared" si="18"/>
        <v>38793007.707336888</v>
      </c>
      <c r="M98" s="1873">
        <v>19396503.853668444</v>
      </c>
      <c r="N98" s="1873">
        <v>19326699.793668445</v>
      </c>
      <c r="O98" s="1881">
        <v>69804.06</v>
      </c>
    </row>
    <row r="99" spans="1:15" x14ac:dyDescent="0.25">
      <c r="A99" s="680" t="s">
        <v>246</v>
      </c>
      <c r="B99" s="769" t="s">
        <v>310</v>
      </c>
      <c r="C99" s="1856" t="s">
        <v>264</v>
      </c>
      <c r="D99" s="1863">
        <f t="shared" si="13"/>
        <v>32408812.437356111</v>
      </c>
      <c r="E99" s="1864">
        <f t="shared" si="14"/>
        <v>16646763.943176024</v>
      </c>
      <c r="F99" s="1864">
        <f t="shared" si="15"/>
        <v>15654425.484180089</v>
      </c>
      <c r="G99" s="1865">
        <f t="shared" si="16"/>
        <v>107623.00999999998</v>
      </c>
      <c r="H99" s="1872">
        <f t="shared" si="17"/>
        <v>1164099.2749946499</v>
      </c>
      <c r="I99" s="1873">
        <v>1024407.361995292</v>
      </c>
      <c r="J99" s="1873">
        <v>139691.912999358</v>
      </c>
      <c r="K99" s="1874"/>
      <c r="L99" s="1872">
        <f t="shared" si="18"/>
        <v>31244713.162361462</v>
      </c>
      <c r="M99" s="1873">
        <v>15622356.581180731</v>
      </c>
      <c r="N99" s="1873">
        <v>15514733.571180731</v>
      </c>
      <c r="O99" s="1881">
        <v>107623.00999999998</v>
      </c>
    </row>
    <row r="100" spans="1:15" x14ac:dyDescent="0.25">
      <c r="A100" s="680" t="s">
        <v>14</v>
      </c>
      <c r="B100" s="769" t="s">
        <v>15</v>
      </c>
      <c r="C100" s="1856" t="s">
        <v>267</v>
      </c>
      <c r="D100" s="1863">
        <f t="shared" si="13"/>
        <v>112145775.33702332</v>
      </c>
      <c r="E100" s="1864">
        <f t="shared" si="14"/>
        <v>58354101.541451529</v>
      </c>
      <c r="F100" s="1864">
        <f t="shared" si="15"/>
        <v>53535028.805571802</v>
      </c>
      <c r="G100" s="1865">
        <f t="shared" si="16"/>
        <v>256644.99</v>
      </c>
      <c r="H100" s="1872">
        <f t="shared" si="17"/>
        <v>6003194.4024733175</v>
      </c>
      <c r="I100" s="1873">
        <v>5282811.0741765192</v>
      </c>
      <c r="J100" s="1873">
        <v>720383.32829679805</v>
      </c>
      <c r="K100" s="1874"/>
      <c r="L100" s="1872">
        <f t="shared" si="18"/>
        <v>106142580.93455</v>
      </c>
      <c r="M100" s="1873">
        <v>53071290.467275009</v>
      </c>
      <c r="N100" s="1873">
        <v>52814645.477275006</v>
      </c>
      <c r="O100" s="1881">
        <v>256644.99</v>
      </c>
    </row>
    <row r="101" spans="1:15" x14ac:dyDescent="0.25">
      <c r="A101" s="680" t="s">
        <v>34</v>
      </c>
      <c r="B101" s="769" t="s">
        <v>35</v>
      </c>
      <c r="C101" s="1856" t="s">
        <v>268</v>
      </c>
      <c r="D101" s="1863">
        <f t="shared" ref="D101:D124" si="19">H101+L101</f>
        <v>30551516.147371825</v>
      </c>
      <c r="E101" s="1864">
        <f t="shared" ref="E101:E124" si="20">+I101+M101</f>
        <v>15529456.722234922</v>
      </c>
      <c r="F101" s="1864">
        <f t="shared" ref="F101:F124" si="21">+J101+N101</f>
        <v>14966585.485136902</v>
      </c>
      <c r="G101" s="1865">
        <f t="shared" ref="G101:G124" si="22">K101+O101</f>
        <v>55473.939999999995</v>
      </c>
      <c r="H101" s="1872">
        <f t="shared" ref="H101:H124" si="23">I101+J101+K101</f>
        <v>667628.02249739401</v>
      </c>
      <c r="I101" s="1873">
        <v>587512.65979770676</v>
      </c>
      <c r="J101" s="1873">
        <v>80115.362699687277</v>
      </c>
      <c r="K101" s="1874"/>
      <c r="L101" s="1872">
        <f t="shared" ref="L101:L124" si="24">M101+N101+O101</f>
        <v>29883888.124874432</v>
      </c>
      <c r="M101" s="1873">
        <v>14941944.062437214</v>
      </c>
      <c r="N101" s="1873">
        <v>14886470.122437214</v>
      </c>
      <c r="O101" s="1881">
        <v>55473.939999999995</v>
      </c>
    </row>
    <row r="102" spans="1:15" x14ac:dyDescent="0.25">
      <c r="A102" s="680" t="s">
        <v>52</v>
      </c>
      <c r="B102" s="769" t="s">
        <v>53</v>
      </c>
      <c r="C102" s="1856" t="s">
        <v>265</v>
      </c>
      <c r="D102" s="1863">
        <f t="shared" si="19"/>
        <v>56108339.212258995</v>
      </c>
      <c r="E102" s="1864">
        <f t="shared" si="20"/>
        <v>28755868.21347627</v>
      </c>
      <c r="F102" s="1864">
        <f t="shared" si="21"/>
        <v>27267234.858782724</v>
      </c>
      <c r="G102" s="1865">
        <f t="shared" si="22"/>
        <v>85236.140000000014</v>
      </c>
      <c r="H102" s="1872">
        <f t="shared" si="23"/>
        <v>1846575.2824915119</v>
      </c>
      <c r="I102" s="1873">
        <v>1624986.2485925304</v>
      </c>
      <c r="J102" s="1873">
        <v>221589.03389898143</v>
      </c>
      <c r="K102" s="1874"/>
      <c r="L102" s="1872">
        <f t="shared" si="24"/>
        <v>54261763.929767482</v>
      </c>
      <c r="M102" s="1873">
        <v>27130881.964883741</v>
      </c>
      <c r="N102" s="1873">
        <v>27045645.82488374</v>
      </c>
      <c r="O102" s="1881">
        <v>85236.140000000014</v>
      </c>
    </row>
    <row r="103" spans="1:15" x14ac:dyDescent="0.25">
      <c r="A103" s="680" t="s">
        <v>54</v>
      </c>
      <c r="B103" s="769" t="s">
        <v>55</v>
      </c>
      <c r="C103" s="1856" t="s">
        <v>264</v>
      </c>
      <c r="D103" s="1863">
        <f t="shared" si="19"/>
        <v>212478743.71900877</v>
      </c>
      <c r="E103" s="1864">
        <f t="shared" si="20"/>
        <v>108809455.51659174</v>
      </c>
      <c r="F103" s="1864">
        <f t="shared" si="21"/>
        <v>103467423.57241704</v>
      </c>
      <c r="G103" s="1865">
        <f t="shared" si="22"/>
        <v>201864.63000000003</v>
      </c>
      <c r="H103" s="1872">
        <f t="shared" si="23"/>
        <v>6763378.0449667312</v>
      </c>
      <c r="I103" s="1873">
        <v>5951772.6795707233</v>
      </c>
      <c r="J103" s="1873">
        <v>811605.36539600766</v>
      </c>
      <c r="K103" s="1874"/>
      <c r="L103" s="1872">
        <f t="shared" si="24"/>
        <v>205715365.67404205</v>
      </c>
      <c r="M103" s="1873">
        <v>102857682.83702102</v>
      </c>
      <c r="N103" s="1873">
        <v>102655818.20702103</v>
      </c>
      <c r="O103" s="1881">
        <v>201864.63000000003</v>
      </c>
    </row>
    <row r="104" spans="1:15" x14ac:dyDescent="0.25">
      <c r="A104" s="680" t="s">
        <v>66</v>
      </c>
      <c r="B104" s="769" t="s">
        <v>67</v>
      </c>
      <c r="C104" s="1856" t="s">
        <v>265</v>
      </c>
      <c r="D104" s="1863">
        <f t="shared" si="19"/>
        <v>131675960.60940363</v>
      </c>
      <c r="E104" s="1864">
        <f t="shared" si="20"/>
        <v>66539808.519598283</v>
      </c>
      <c r="F104" s="1864">
        <f t="shared" si="21"/>
        <v>65024341.819805354</v>
      </c>
      <c r="G104" s="1865">
        <f t="shared" si="22"/>
        <v>111810.27</v>
      </c>
      <c r="H104" s="1872">
        <f t="shared" si="23"/>
        <v>1846916.3549906949</v>
      </c>
      <c r="I104" s="1873">
        <v>1625286.3923918116</v>
      </c>
      <c r="J104" s="1873">
        <v>221629.96259888337</v>
      </c>
      <c r="K104" s="1874"/>
      <c r="L104" s="1872">
        <f t="shared" si="24"/>
        <v>129829044.25441293</v>
      </c>
      <c r="M104" s="1873">
        <v>64914522.127206475</v>
      </c>
      <c r="N104" s="1873">
        <v>64802711.857206471</v>
      </c>
      <c r="O104" s="1881">
        <v>111810.27</v>
      </c>
    </row>
    <row r="105" spans="1:15" x14ac:dyDescent="0.25">
      <c r="A105" s="680" t="s">
        <v>82</v>
      </c>
      <c r="B105" s="769" t="s">
        <v>311</v>
      </c>
      <c r="C105" s="1856" t="s">
        <v>264</v>
      </c>
      <c r="D105" s="1863">
        <f t="shared" si="19"/>
        <v>25825570.022390548</v>
      </c>
      <c r="E105" s="1864">
        <f t="shared" si="20"/>
        <v>13058118.707294581</v>
      </c>
      <c r="F105" s="1864">
        <f t="shared" si="21"/>
        <v>12759221.115095966</v>
      </c>
      <c r="G105" s="1865">
        <f t="shared" si="22"/>
        <v>8230.1999999999989</v>
      </c>
      <c r="H105" s="1872">
        <f t="shared" si="23"/>
        <v>382457.09499817999</v>
      </c>
      <c r="I105" s="1873">
        <v>336562.2435983984</v>
      </c>
      <c r="J105" s="1873">
        <v>45894.851399781597</v>
      </c>
      <c r="K105" s="1874"/>
      <c r="L105" s="1872">
        <f t="shared" si="24"/>
        <v>25443112.927392367</v>
      </c>
      <c r="M105" s="1873">
        <v>12721556.463696184</v>
      </c>
      <c r="N105" s="1873">
        <v>12713326.263696184</v>
      </c>
      <c r="O105" s="1881">
        <v>8230.1999999999989</v>
      </c>
    </row>
    <row r="106" spans="1:15" x14ac:dyDescent="0.25">
      <c r="A106" s="680" t="s">
        <v>88</v>
      </c>
      <c r="B106" s="769" t="s">
        <v>89</v>
      </c>
      <c r="C106" s="1856" t="s">
        <v>267</v>
      </c>
      <c r="D106" s="1863">
        <f t="shared" si="19"/>
        <v>36607707.464834295</v>
      </c>
      <c r="E106" s="1864">
        <f t="shared" si="20"/>
        <v>18709245.905265413</v>
      </c>
      <c r="F106" s="1864">
        <f t="shared" si="21"/>
        <v>17852322.699568883</v>
      </c>
      <c r="G106" s="1865">
        <f t="shared" si="22"/>
        <v>46138.859999999993</v>
      </c>
      <c r="H106" s="1872">
        <f t="shared" si="23"/>
        <v>1066821.507495434</v>
      </c>
      <c r="I106" s="1873">
        <v>938802.92659598193</v>
      </c>
      <c r="J106" s="1873">
        <v>128018.58089945208</v>
      </c>
      <c r="K106" s="1874"/>
      <c r="L106" s="1872">
        <f t="shared" si="24"/>
        <v>35540885.957338862</v>
      </c>
      <c r="M106" s="1873">
        <v>17770442.978669431</v>
      </c>
      <c r="N106" s="1873">
        <v>17724304.118669432</v>
      </c>
      <c r="O106" s="1881">
        <v>46138.859999999993</v>
      </c>
    </row>
    <row r="107" spans="1:15" x14ac:dyDescent="0.25">
      <c r="A107" s="680" t="s">
        <v>90</v>
      </c>
      <c r="B107" s="769" t="s">
        <v>91</v>
      </c>
      <c r="C107" s="1856" t="s">
        <v>268</v>
      </c>
      <c r="D107" s="1863">
        <f t="shared" si="19"/>
        <v>18402560.324922409</v>
      </c>
      <c r="E107" s="1864">
        <f t="shared" si="20"/>
        <v>9365971.4613605924</v>
      </c>
      <c r="F107" s="1864">
        <f t="shared" si="21"/>
        <v>9009185.4435618129</v>
      </c>
      <c r="G107" s="1865">
        <f t="shared" si="22"/>
        <v>27403.42</v>
      </c>
      <c r="H107" s="1872">
        <f t="shared" si="23"/>
        <v>433398.154998396</v>
      </c>
      <c r="I107" s="1873">
        <v>381390.37639858847</v>
      </c>
      <c r="J107" s="1873">
        <v>52007.77859980752</v>
      </c>
      <c r="K107" s="1874"/>
      <c r="L107" s="1872">
        <f t="shared" si="24"/>
        <v>17969162.169924013</v>
      </c>
      <c r="M107" s="1873">
        <v>8984581.0849620048</v>
      </c>
      <c r="N107" s="1873">
        <v>8957177.6649620049</v>
      </c>
      <c r="O107" s="1881">
        <v>27403.42</v>
      </c>
    </row>
    <row r="108" spans="1:15" x14ac:dyDescent="0.25">
      <c r="A108" s="680" t="s">
        <v>106</v>
      </c>
      <c r="B108" s="769" t="s">
        <v>107</v>
      </c>
      <c r="C108" s="1856" t="s">
        <v>264</v>
      </c>
      <c r="D108" s="1863">
        <f t="shared" si="19"/>
        <v>183703222.92672619</v>
      </c>
      <c r="E108" s="1864">
        <f t="shared" si="20"/>
        <v>93803734.35240373</v>
      </c>
      <c r="F108" s="1864">
        <f t="shared" si="21"/>
        <v>89896778.744322434</v>
      </c>
      <c r="G108" s="1865">
        <f t="shared" si="22"/>
        <v>2709.83</v>
      </c>
      <c r="H108" s="1872">
        <f t="shared" si="23"/>
        <v>5137165.497475394</v>
      </c>
      <c r="I108" s="1873">
        <v>4520705.6377783464</v>
      </c>
      <c r="J108" s="1873">
        <v>616459.85969704727</v>
      </c>
      <c r="K108" s="1874"/>
      <c r="L108" s="1872">
        <f t="shared" si="24"/>
        <v>178566057.42925081</v>
      </c>
      <c r="M108" s="1873">
        <v>89283028.714625388</v>
      </c>
      <c r="N108" s="1873">
        <v>89280318.88462539</v>
      </c>
      <c r="O108" s="1881">
        <v>2709.83</v>
      </c>
    </row>
    <row r="109" spans="1:15" x14ac:dyDescent="0.25">
      <c r="A109" s="680" t="s">
        <v>116</v>
      </c>
      <c r="B109" s="769" t="s">
        <v>117</v>
      </c>
      <c r="C109" s="1856" t="s">
        <v>266</v>
      </c>
      <c r="D109" s="1863">
        <f t="shared" si="19"/>
        <v>48842533.959801421</v>
      </c>
      <c r="E109" s="1864">
        <f t="shared" si="20"/>
        <v>25074970.848147921</v>
      </c>
      <c r="F109" s="1864">
        <f t="shared" si="21"/>
        <v>23722157.021653499</v>
      </c>
      <c r="G109" s="1865">
        <f t="shared" si="22"/>
        <v>45406.09</v>
      </c>
      <c r="H109" s="1872">
        <f t="shared" si="23"/>
        <v>1720273.337492659</v>
      </c>
      <c r="I109" s="1873">
        <v>1513840.5369935399</v>
      </c>
      <c r="J109" s="1873">
        <v>206432.80049911907</v>
      </c>
      <c r="K109" s="1874"/>
      <c r="L109" s="1872">
        <f t="shared" si="24"/>
        <v>47122260.622308761</v>
      </c>
      <c r="M109" s="1873">
        <v>23561130.31115438</v>
      </c>
      <c r="N109" s="1873">
        <v>23515724.221154381</v>
      </c>
      <c r="O109" s="1881">
        <v>45406.09</v>
      </c>
    </row>
    <row r="110" spans="1:15" x14ac:dyDescent="0.25">
      <c r="A110" s="680" t="s">
        <v>138</v>
      </c>
      <c r="B110" s="769" t="s">
        <v>139</v>
      </c>
      <c r="C110" s="1856" t="s">
        <v>265</v>
      </c>
      <c r="D110" s="1863">
        <f t="shared" si="19"/>
        <v>119077001.74691863</v>
      </c>
      <c r="E110" s="1864">
        <f t="shared" si="20"/>
        <v>60617766.043454446</v>
      </c>
      <c r="F110" s="1864">
        <f t="shared" si="21"/>
        <v>58200687.343464188</v>
      </c>
      <c r="G110" s="1865">
        <f t="shared" si="22"/>
        <v>258548.36000000004</v>
      </c>
      <c r="H110" s="1872">
        <f t="shared" si="23"/>
        <v>2840171.4999871869</v>
      </c>
      <c r="I110" s="1873">
        <v>2499350.9199887244</v>
      </c>
      <c r="J110" s="1873">
        <v>340820.5799984624</v>
      </c>
      <c r="K110" s="1874"/>
      <c r="L110" s="1872">
        <f t="shared" si="24"/>
        <v>116236830.24693145</v>
      </c>
      <c r="M110" s="1873">
        <v>58118415.123465724</v>
      </c>
      <c r="N110" s="1873">
        <v>57859866.763465725</v>
      </c>
      <c r="O110" s="1881">
        <v>258548.36000000004</v>
      </c>
    </row>
    <row r="111" spans="1:15" x14ac:dyDescent="0.25">
      <c r="A111" s="680" t="s">
        <v>142</v>
      </c>
      <c r="B111" s="769" t="s">
        <v>143</v>
      </c>
      <c r="C111" s="1856" t="s">
        <v>267</v>
      </c>
      <c r="D111" s="1863">
        <f t="shared" si="19"/>
        <v>38488210.089836232</v>
      </c>
      <c r="E111" s="1864">
        <f t="shared" si="20"/>
        <v>20512412.678562842</v>
      </c>
      <c r="F111" s="1864">
        <f t="shared" si="21"/>
        <v>17916239.701273393</v>
      </c>
      <c r="G111" s="1865">
        <f t="shared" si="22"/>
        <v>59557.710000000006</v>
      </c>
      <c r="H111" s="1872">
        <f t="shared" si="23"/>
        <v>3337651.6674861182</v>
      </c>
      <c r="I111" s="1873">
        <v>2937133.4673877838</v>
      </c>
      <c r="J111" s="1873">
        <v>400518.20009833417</v>
      </c>
      <c r="K111" s="1874"/>
      <c r="L111" s="1872">
        <f t="shared" si="24"/>
        <v>35150558.422350116</v>
      </c>
      <c r="M111" s="1873">
        <v>17575279.211175058</v>
      </c>
      <c r="N111" s="1873">
        <v>17515721.501175057</v>
      </c>
      <c r="O111" s="1881">
        <v>59557.710000000006</v>
      </c>
    </row>
    <row r="112" spans="1:15" x14ac:dyDescent="0.25">
      <c r="A112" s="680" t="s">
        <v>144</v>
      </c>
      <c r="B112" s="769" t="s">
        <v>145</v>
      </c>
      <c r="C112" s="1856" t="s">
        <v>267</v>
      </c>
      <c r="D112" s="1863">
        <f t="shared" si="19"/>
        <v>13374075.729941538</v>
      </c>
      <c r="E112" s="1864">
        <f t="shared" si="20"/>
        <v>7226161.8845684147</v>
      </c>
      <c r="F112" s="1864">
        <f t="shared" si="21"/>
        <v>6106960.4953731233</v>
      </c>
      <c r="G112" s="1865">
        <f t="shared" si="22"/>
        <v>40953.350000000013</v>
      </c>
      <c r="H112" s="1872">
        <f t="shared" si="23"/>
        <v>1418747.419993805</v>
      </c>
      <c r="I112" s="1873">
        <v>1248497.7295945485</v>
      </c>
      <c r="J112" s="1873">
        <v>170249.69039925659</v>
      </c>
      <c r="K112" s="1874"/>
      <c r="L112" s="1872">
        <f t="shared" si="24"/>
        <v>11955328.309947733</v>
      </c>
      <c r="M112" s="1873">
        <v>5977664.1549738664</v>
      </c>
      <c r="N112" s="1873">
        <v>5936710.8049738668</v>
      </c>
      <c r="O112" s="1881">
        <v>40953.350000000013</v>
      </c>
    </row>
    <row r="113" spans="1:15" x14ac:dyDescent="0.25">
      <c r="A113" s="680" t="s">
        <v>158</v>
      </c>
      <c r="B113" s="769" t="s">
        <v>159</v>
      </c>
      <c r="C113" s="1856" t="s">
        <v>264</v>
      </c>
      <c r="D113" s="1863">
        <f t="shared" si="19"/>
        <v>246582693.9314523</v>
      </c>
      <c r="E113" s="1864">
        <f t="shared" si="20"/>
        <v>126108739.88961376</v>
      </c>
      <c r="F113" s="1864">
        <f t="shared" si="21"/>
        <v>120347555.84183858</v>
      </c>
      <c r="G113" s="1865">
        <f t="shared" si="22"/>
        <v>126398.20000000001</v>
      </c>
      <c r="H113" s="1872">
        <f t="shared" si="23"/>
        <v>7414191.9049673453</v>
      </c>
      <c r="I113" s="1873">
        <v>6524488.8763712635</v>
      </c>
      <c r="J113" s="1873">
        <v>889703.02859608131</v>
      </c>
      <c r="K113" s="1874"/>
      <c r="L113" s="1872">
        <f t="shared" si="24"/>
        <v>239168502.02648497</v>
      </c>
      <c r="M113" s="1873">
        <v>119584251.0132425</v>
      </c>
      <c r="N113" s="1873">
        <v>119457852.8132425</v>
      </c>
      <c r="O113" s="1881">
        <v>126398.20000000001</v>
      </c>
    </row>
    <row r="114" spans="1:15" x14ac:dyDescent="0.25">
      <c r="A114" s="680" t="s">
        <v>160</v>
      </c>
      <c r="B114" s="769" t="s">
        <v>161</v>
      </c>
      <c r="C114" s="1856" t="s">
        <v>264</v>
      </c>
      <c r="D114" s="1863">
        <f t="shared" si="19"/>
        <v>373860682.26580375</v>
      </c>
      <c r="E114" s="1864">
        <f t="shared" si="20"/>
        <v>189897372.21903694</v>
      </c>
      <c r="F114" s="1864">
        <f t="shared" si="21"/>
        <v>183576018.97676677</v>
      </c>
      <c r="G114" s="1865">
        <f t="shared" si="22"/>
        <v>387291.07</v>
      </c>
      <c r="H114" s="1872">
        <f t="shared" si="23"/>
        <v>7807976.542460788</v>
      </c>
      <c r="I114" s="1873">
        <v>6871019.3573654937</v>
      </c>
      <c r="J114" s="1873">
        <v>936533.15509529447</v>
      </c>
      <c r="K114" s="1874">
        <v>424.03</v>
      </c>
      <c r="L114" s="1872">
        <f t="shared" si="24"/>
        <v>366052705.72334296</v>
      </c>
      <c r="M114" s="1873">
        <v>183026352.86167145</v>
      </c>
      <c r="N114" s="1873">
        <v>182639485.82167146</v>
      </c>
      <c r="O114" s="1881">
        <v>386867.04</v>
      </c>
    </row>
    <row r="115" spans="1:15" x14ac:dyDescent="0.25">
      <c r="A115" s="680" t="s">
        <v>166</v>
      </c>
      <c r="B115" s="769" t="s">
        <v>167</v>
      </c>
      <c r="C115" s="1856" t="s">
        <v>268</v>
      </c>
      <c r="D115" s="1863">
        <f t="shared" si="19"/>
        <v>6736208.007468557</v>
      </c>
      <c r="E115" s="1864">
        <f t="shared" si="20"/>
        <v>3428409.835583996</v>
      </c>
      <c r="F115" s="1864">
        <f t="shared" si="21"/>
        <v>3304471.7018845608</v>
      </c>
      <c r="G115" s="1865">
        <f t="shared" si="22"/>
        <v>3326.47</v>
      </c>
      <c r="H115" s="1872">
        <f t="shared" si="23"/>
        <v>158699.557499257</v>
      </c>
      <c r="I115" s="1873">
        <v>139655.61059934617</v>
      </c>
      <c r="J115" s="1873">
        <v>19043.946899910839</v>
      </c>
      <c r="K115" s="1874"/>
      <c r="L115" s="1872">
        <f t="shared" si="24"/>
        <v>6577508.4499693001</v>
      </c>
      <c r="M115" s="1873">
        <v>3288754.22498465</v>
      </c>
      <c r="N115" s="1873">
        <v>3285427.7549846498</v>
      </c>
      <c r="O115" s="1881">
        <v>3326.47</v>
      </c>
    </row>
    <row r="116" spans="1:15" x14ac:dyDescent="0.25">
      <c r="A116" s="680" t="s">
        <v>176</v>
      </c>
      <c r="B116" s="769" t="s">
        <v>177</v>
      </c>
      <c r="C116" s="1856" t="s">
        <v>266</v>
      </c>
      <c r="D116" s="1863">
        <f t="shared" si="19"/>
        <v>102792815.4021129</v>
      </c>
      <c r="E116" s="1864">
        <f t="shared" si="20"/>
        <v>51950930.11770431</v>
      </c>
      <c r="F116" s="1864">
        <f t="shared" si="21"/>
        <v>50604903.754408598</v>
      </c>
      <c r="G116" s="1865">
        <f t="shared" si="22"/>
        <v>236981.53000000003</v>
      </c>
      <c r="H116" s="1872">
        <f t="shared" si="23"/>
        <v>1459269.5174943551</v>
      </c>
      <c r="I116" s="1873">
        <v>1284157.1753950324</v>
      </c>
      <c r="J116" s="1873">
        <v>175112.34209932262</v>
      </c>
      <c r="K116" s="1874"/>
      <c r="L116" s="1872">
        <f t="shared" si="24"/>
        <v>101333545.88461855</v>
      </c>
      <c r="M116" s="1873">
        <v>50666772.942309275</v>
      </c>
      <c r="N116" s="1873">
        <v>50429791.412309274</v>
      </c>
      <c r="O116" s="1881">
        <v>236981.53000000003</v>
      </c>
    </row>
    <row r="117" spans="1:15" x14ac:dyDescent="0.25">
      <c r="A117" s="680" t="s">
        <v>180</v>
      </c>
      <c r="B117" s="769" t="s">
        <v>181</v>
      </c>
      <c r="C117" s="1856" t="s">
        <v>264</v>
      </c>
      <c r="D117" s="1863">
        <f t="shared" si="19"/>
        <v>191070852.51415697</v>
      </c>
      <c r="E117" s="1864">
        <f t="shared" si="20"/>
        <v>97235528.859720334</v>
      </c>
      <c r="F117" s="1864">
        <f t="shared" si="21"/>
        <v>93803365.364436656</v>
      </c>
      <c r="G117" s="1865">
        <f t="shared" si="22"/>
        <v>31958.29</v>
      </c>
      <c r="H117" s="1872">
        <f t="shared" si="23"/>
        <v>4473954.2174785081</v>
      </c>
      <c r="I117" s="1873">
        <v>3937079.7113810871</v>
      </c>
      <c r="J117" s="1873">
        <v>536874.50609742093</v>
      </c>
      <c r="K117" s="1874"/>
      <c r="L117" s="1872">
        <f t="shared" si="24"/>
        <v>186596898.29667845</v>
      </c>
      <c r="M117" s="1873">
        <v>93298449.148339242</v>
      </c>
      <c r="N117" s="1873">
        <v>93266490.858339235</v>
      </c>
      <c r="O117" s="1881">
        <v>31958.29</v>
      </c>
    </row>
    <row r="118" spans="1:15" x14ac:dyDescent="0.25">
      <c r="A118" s="680" t="s">
        <v>192</v>
      </c>
      <c r="B118" s="769" t="s">
        <v>193</v>
      </c>
      <c r="C118" s="1856" t="s">
        <v>268</v>
      </c>
      <c r="D118" s="1863">
        <f t="shared" si="19"/>
        <v>14482485.832449947</v>
      </c>
      <c r="E118" s="1864">
        <f t="shared" si="20"/>
        <v>7381821.8946244549</v>
      </c>
      <c r="F118" s="1864">
        <f t="shared" si="21"/>
        <v>7091036.1878254926</v>
      </c>
      <c r="G118" s="1865">
        <f t="shared" si="22"/>
        <v>9627.75</v>
      </c>
      <c r="H118" s="1872">
        <f t="shared" si="23"/>
        <v>369944.67999863502</v>
      </c>
      <c r="I118" s="1873">
        <v>325551.31839879882</v>
      </c>
      <c r="J118" s="1873">
        <v>44393.3615998362</v>
      </c>
      <c r="K118" s="1874"/>
      <c r="L118" s="1872">
        <f t="shared" si="24"/>
        <v>14112541.152451312</v>
      </c>
      <c r="M118" s="1873">
        <v>7056270.5762256561</v>
      </c>
      <c r="N118" s="1873">
        <v>7046642.8262256561</v>
      </c>
      <c r="O118" s="1881">
        <v>9627.75</v>
      </c>
    </row>
    <row r="119" spans="1:15" x14ac:dyDescent="0.25">
      <c r="A119" s="680" t="s">
        <v>196</v>
      </c>
      <c r="B119" s="769" t="s">
        <v>312</v>
      </c>
      <c r="C119" s="1856" t="s">
        <v>266</v>
      </c>
      <c r="D119" s="1863">
        <f t="shared" si="19"/>
        <v>473163750.3807742</v>
      </c>
      <c r="E119" s="1864">
        <f t="shared" si="20"/>
        <v>239236076.84637591</v>
      </c>
      <c r="F119" s="1864">
        <f t="shared" si="21"/>
        <v>232575095.54439828</v>
      </c>
      <c r="G119" s="1865">
        <f t="shared" si="22"/>
        <v>1352577.99</v>
      </c>
      <c r="H119" s="1872">
        <f t="shared" si="23"/>
        <v>6984741.1999705508</v>
      </c>
      <c r="I119" s="1873">
        <v>6146572.2559740851</v>
      </c>
      <c r="J119" s="1873">
        <v>838168.94399646611</v>
      </c>
      <c r="K119" s="1874"/>
      <c r="L119" s="1872">
        <f t="shared" si="24"/>
        <v>466179009.18080366</v>
      </c>
      <c r="M119" s="1873">
        <v>233089504.59040183</v>
      </c>
      <c r="N119" s="1873">
        <v>231736926.60040182</v>
      </c>
      <c r="O119" s="1881">
        <v>1352577.99</v>
      </c>
    </row>
    <row r="120" spans="1:15" x14ac:dyDescent="0.25">
      <c r="A120" s="680" t="s">
        <v>200</v>
      </c>
      <c r="B120" s="769" t="s">
        <v>313</v>
      </c>
      <c r="C120" s="1856" t="s">
        <v>265</v>
      </c>
      <c r="D120" s="1863">
        <f t="shared" si="19"/>
        <v>201512481.96667492</v>
      </c>
      <c r="E120" s="1864">
        <f t="shared" si="20"/>
        <v>102616486.26683111</v>
      </c>
      <c r="F120" s="1864">
        <f t="shared" si="21"/>
        <v>98384908.419843808</v>
      </c>
      <c r="G120" s="1865">
        <f t="shared" si="22"/>
        <v>511087.28</v>
      </c>
      <c r="H120" s="1872">
        <f t="shared" si="23"/>
        <v>4895382.3249832978</v>
      </c>
      <c r="I120" s="1873">
        <v>4307936.4459853023</v>
      </c>
      <c r="J120" s="1873">
        <v>587445.87899799575</v>
      </c>
      <c r="K120" s="1874"/>
      <c r="L120" s="1872">
        <f t="shared" si="24"/>
        <v>196617099.64169163</v>
      </c>
      <c r="M120" s="1873">
        <v>98308549.820845813</v>
      </c>
      <c r="N120" s="1873">
        <v>97797462.540845811</v>
      </c>
      <c r="O120" s="1881">
        <v>511087.28</v>
      </c>
    </row>
    <row r="121" spans="1:15" x14ac:dyDescent="0.25">
      <c r="A121" s="680" t="s">
        <v>222</v>
      </c>
      <c r="B121" s="769" t="s">
        <v>223</v>
      </c>
      <c r="C121" s="1856" t="s">
        <v>264</v>
      </c>
      <c r="D121" s="1863">
        <f t="shared" si="19"/>
        <v>127036794.38691354</v>
      </c>
      <c r="E121" s="1864">
        <f t="shared" si="20"/>
        <v>64619718.71675168</v>
      </c>
      <c r="F121" s="1864">
        <f t="shared" si="21"/>
        <v>62356635.750161856</v>
      </c>
      <c r="G121" s="1865">
        <f t="shared" si="22"/>
        <v>60439.920000000013</v>
      </c>
      <c r="H121" s="1872">
        <f t="shared" si="23"/>
        <v>2898214.5349866012</v>
      </c>
      <c r="I121" s="1873">
        <v>2550428.7907882091</v>
      </c>
      <c r="J121" s="1873">
        <v>347785.74419839215</v>
      </c>
      <c r="K121" s="1874"/>
      <c r="L121" s="1872">
        <f t="shared" si="24"/>
        <v>124138579.85192694</v>
      </c>
      <c r="M121" s="1873">
        <v>62069289.925963469</v>
      </c>
      <c r="N121" s="1873">
        <v>62008850.005963467</v>
      </c>
      <c r="O121" s="1881">
        <v>60439.920000000013</v>
      </c>
    </row>
    <row r="122" spans="1:15" x14ac:dyDescent="0.25">
      <c r="A122" s="680" t="s">
        <v>230</v>
      </c>
      <c r="B122" s="769" t="s">
        <v>231</v>
      </c>
      <c r="C122" s="1856" t="s">
        <v>264</v>
      </c>
      <c r="D122" s="1863">
        <f t="shared" si="19"/>
        <v>347079827.43846041</v>
      </c>
      <c r="E122" s="1864">
        <f t="shared" si="20"/>
        <v>178081769.74045706</v>
      </c>
      <c r="F122" s="1864">
        <f t="shared" si="21"/>
        <v>168280945.35800332</v>
      </c>
      <c r="G122" s="1865">
        <f t="shared" si="22"/>
        <v>717112.34000000008</v>
      </c>
      <c r="H122" s="1872">
        <f t="shared" si="23"/>
        <v>11952252.68743917</v>
      </c>
      <c r="I122" s="1873">
        <v>10517982.36494647</v>
      </c>
      <c r="J122" s="1873">
        <v>1434147.9624927002</v>
      </c>
      <c r="K122" s="1874">
        <v>122.35999999999999</v>
      </c>
      <c r="L122" s="1872">
        <f t="shared" si="24"/>
        <v>335127574.75102127</v>
      </c>
      <c r="M122" s="1873">
        <v>167563787.3755106</v>
      </c>
      <c r="N122" s="1873">
        <v>166846797.39551061</v>
      </c>
      <c r="O122" s="1881">
        <v>716989.9800000001</v>
      </c>
    </row>
    <row r="123" spans="1:15" x14ac:dyDescent="0.25">
      <c r="A123" s="680" t="s">
        <v>238</v>
      </c>
      <c r="B123" s="769" t="s">
        <v>239</v>
      </c>
      <c r="C123" s="1856" t="s">
        <v>264</v>
      </c>
      <c r="D123" s="1863">
        <f t="shared" si="19"/>
        <v>8307885.9624636723</v>
      </c>
      <c r="E123" s="1864">
        <f t="shared" si="20"/>
        <v>4251453.3220313732</v>
      </c>
      <c r="F123" s="1864">
        <f t="shared" si="21"/>
        <v>4043702.1804322992</v>
      </c>
      <c r="G123" s="1865">
        <f t="shared" si="22"/>
        <v>12730.46</v>
      </c>
      <c r="H123" s="1872">
        <f t="shared" si="23"/>
        <v>256606.15999878201</v>
      </c>
      <c r="I123" s="1873">
        <v>225813.42079892816</v>
      </c>
      <c r="J123" s="1873">
        <v>30792.739199853841</v>
      </c>
      <c r="K123" s="1874"/>
      <c r="L123" s="1872">
        <f t="shared" si="24"/>
        <v>8051279.8024648903</v>
      </c>
      <c r="M123" s="1873">
        <v>4025639.9012324451</v>
      </c>
      <c r="N123" s="1873">
        <v>4012909.4412324452</v>
      </c>
      <c r="O123" s="1881">
        <v>12730.46</v>
      </c>
    </row>
    <row r="124" spans="1:15" x14ac:dyDescent="0.25">
      <c r="A124" s="680" t="s">
        <v>240</v>
      </c>
      <c r="B124" s="769" t="s">
        <v>241</v>
      </c>
      <c r="C124" s="1856" t="s">
        <v>267</v>
      </c>
      <c r="D124" s="1863">
        <f t="shared" si="19"/>
        <v>44820895.244779699</v>
      </c>
      <c r="E124" s="1864">
        <f t="shared" si="20"/>
        <v>23086806.517786618</v>
      </c>
      <c r="F124" s="1864">
        <f t="shared" si="21"/>
        <v>21565625.546993081</v>
      </c>
      <c r="G124" s="1865">
        <f t="shared" si="22"/>
        <v>168463.18000000002</v>
      </c>
      <c r="H124" s="1872">
        <f t="shared" si="23"/>
        <v>1779891.829991498</v>
      </c>
      <c r="I124" s="1873">
        <v>1566304.8103925183</v>
      </c>
      <c r="J124" s="1873">
        <v>213587.01959897976</v>
      </c>
      <c r="K124" s="1874"/>
      <c r="L124" s="1872">
        <f t="shared" si="24"/>
        <v>43041003.414788201</v>
      </c>
      <c r="M124" s="1873">
        <v>21520501.707394101</v>
      </c>
      <c r="N124" s="1873">
        <v>21352038.527394101</v>
      </c>
      <c r="O124" s="1881">
        <v>168463.18000000002</v>
      </c>
    </row>
    <row r="125" spans="1:15" x14ac:dyDescent="0.25">
      <c r="D125" s="1866"/>
      <c r="E125" s="1867"/>
      <c r="F125" s="1867"/>
      <c r="G125" s="1868"/>
      <c r="H125" s="770"/>
      <c r="I125" s="770"/>
      <c r="J125" s="770"/>
      <c r="K125" s="770"/>
      <c r="L125" s="770"/>
      <c r="M125" s="770"/>
      <c r="N125" s="770"/>
      <c r="O125" s="926"/>
    </row>
    <row r="126" spans="1:15" x14ac:dyDescent="0.25">
      <c r="A126" s="265" t="s">
        <v>266</v>
      </c>
      <c r="D126" s="1863">
        <f t="shared" ref="D126" si="25">H126+L126</f>
        <v>1716898444.6654613</v>
      </c>
      <c r="E126" s="1864">
        <f t="shared" ref="E126" si="26">+I126+M126</f>
        <v>878289117.36874235</v>
      </c>
      <c r="F126" s="1864">
        <f t="shared" ref="F126" si="27">+J126+N126</f>
        <v>834610505.44671893</v>
      </c>
      <c r="G126" s="1865">
        <f>K126+O126</f>
        <v>3998821.8499999992</v>
      </c>
      <c r="H126" s="1872">
        <f>I126+J126+K126</f>
        <v>52210250.094767734</v>
      </c>
      <c r="I126" s="1877">
        <v>45945020.083395608</v>
      </c>
      <c r="J126" s="1877">
        <v>6264984.4113721279</v>
      </c>
      <c r="K126" s="1878">
        <v>245.60000000000002</v>
      </c>
      <c r="L126" s="1872">
        <f t="shared" ref="L126:L131" si="28">M126+N126+O126</f>
        <v>1664688194.5706935</v>
      </c>
      <c r="M126" s="1877">
        <v>832344097.28534675</v>
      </c>
      <c r="N126" s="1877">
        <v>828345521.03534675</v>
      </c>
      <c r="O126" s="1878">
        <v>3998576.2499999991</v>
      </c>
    </row>
    <row r="127" spans="1:15" x14ac:dyDescent="0.25">
      <c r="A127" s="265" t="s">
        <v>264</v>
      </c>
      <c r="D127" s="1863">
        <f t="shared" ref="D127:D131" si="29">H127+L127</f>
        <v>2144063769.2855036</v>
      </c>
      <c r="E127" s="1864">
        <f t="shared" ref="E127:E131" si="30">+I127+M127</f>
        <v>1095117700.3230925</v>
      </c>
      <c r="F127" s="1864">
        <f t="shared" ref="F127:F131" si="31">+J127+N127</f>
        <v>1046734148.2924111</v>
      </c>
      <c r="G127" s="1865">
        <f t="shared" ref="G127:G131" si="32">K127+O127</f>
        <v>2211920.67</v>
      </c>
      <c r="H127" s="1872">
        <f t="shared" ref="H127:H131" si="33">I127+J127+K127</f>
        <v>60752146.527212255</v>
      </c>
      <c r="I127" s="1877">
        <v>53461888.943946786</v>
      </c>
      <c r="J127" s="1877">
        <v>7289711.1932654688</v>
      </c>
      <c r="K127" s="1878">
        <v>546.39</v>
      </c>
      <c r="L127" s="1872">
        <f t="shared" si="28"/>
        <v>2083311622.7582915</v>
      </c>
      <c r="M127" s="1877">
        <v>1041655811.3791457</v>
      </c>
      <c r="N127" s="1877">
        <v>1039444437.0991457</v>
      </c>
      <c r="O127" s="1878">
        <v>2211374.2799999998</v>
      </c>
    </row>
    <row r="128" spans="1:15" x14ac:dyDescent="0.25">
      <c r="A128" s="265" t="s">
        <v>267</v>
      </c>
      <c r="D128" s="1863">
        <f t="shared" si="29"/>
        <v>2231177178.0001602</v>
      </c>
      <c r="E128" s="1864">
        <f t="shared" si="30"/>
        <v>1159565032.8875792</v>
      </c>
      <c r="F128" s="1864">
        <f t="shared" si="31"/>
        <v>1065461902.2925811</v>
      </c>
      <c r="G128" s="1865">
        <f t="shared" si="32"/>
        <v>6150242.8199999984</v>
      </c>
      <c r="H128" s="1872">
        <f t="shared" si="33"/>
        <v>115727483.91447085</v>
      </c>
      <c r="I128" s="1877">
        <v>101840185.84473434</v>
      </c>
      <c r="J128" s="1877">
        <v>13884817.3097365</v>
      </c>
      <c r="K128" s="1878">
        <v>2480.7600000000002</v>
      </c>
      <c r="L128" s="1872">
        <f t="shared" si="28"/>
        <v>2115449694.0856893</v>
      </c>
      <c r="M128" s="1877">
        <v>1057724847.0428448</v>
      </c>
      <c r="N128" s="1877">
        <v>1051577084.9828446</v>
      </c>
      <c r="O128" s="1878">
        <v>6147762.0599999987</v>
      </c>
    </row>
    <row r="129" spans="1:15" x14ac:dyDescent="0.25">
      <c r="A129" s="265" t="s">
        <v>265</v>
      </c>
      <c r="D129" s="1863">
        <f t="shared" si="29"/>
        <v>1619060874.2202404</v>
      </c>
      <c r="E129" s="1864">
        <f t="shared" si="30"/>
        <v>827242735.0164454</v>
      </c>
      <c r="F129" s="1864">
        <f t="shared" si="31"/>
        <v>787868903.41379464</v>
      </c>
      <c r="G129" s="1865">
        <f t="shared" si="32"/>
        <v>3949235.79</v>
      </c>
      <c r="H129" s="1872">
        <f t="shared" si="33"/>
        <v>46611310.279803403</v>
      </c>
      <c r="I129" s="1877">
        <v>41017953.046226993</v>
      </c>
      <c r="J129" s="1877">
        <v>5593216.923576409</v>
      </c>
      <c r="K129" s="1878">
        <v>140.31</v>
      </c>
      <c r="L129" s="1872">
        <f t="shared" si="28"/>
        <v>1572449563.9404368</v>
      </c>
      <c r="M129" s="1877">
        <v>786224781.97021842</v>
      </c>
      <c r="N129" s="1877">
        <v>782275686.49021828</v>
      </c>
      <c r="O129" s="1878">
        <v>3949095.48</v>
      </c>
    </row>
    <row r="130" spans="1:15" x14ac:dyDescent="0.25">
      <c r="A130" s="265" t="s">
        <v>268</v>
      </c>
      <c r="D130" s="1863">
        <f t="shared" si="29"/>
        <v>843673554.21637464</v>
      </c>
      <c r="E130" s="1864">
        <f t="shared" si="30"/>
        <v>430840630.63350272</v>
      </c>
      <c r="F130" s="1864">
        <f t="shared" si="31"/>
        <v>411537132.20287198</v>
      </c>
      <c r="G130" s="1865">
        <f t="shared" si="32"/>
        <v>1295791.3799999999</v>
      </c>
      <c r="H130" s="1872">
        <f t="shared" si="33"/>
        <v>23694351.382409025</v>
      </c>
      <c r="I130" s="1877">
        <v>20851029.216519941</v>
      </c>
      <c r="J130" s="1877">
        <v>2843322.1658890829</v>
      </c>
      <c r="K130" s="1878"/>
      <c r="L130" s="1872">
        <f t="shared" si="28"/>
        <v>819979202.83396566</v>
      </c>
      <c r="M130" s="1877">
        <v>409989601.41698277</v>
      </c>
      <c r="N130" s="1877">
        <v>408693810.03698289</v>
      </c>
      <c r="O130" s="1878">
        <v>1295791.3799999999</v>
      </c>
    </row>
    <row r="131" spans="1:15" x14ac:dyDescent="0.25">
      <c r="A131" s="265" t="s">
        <v>9</v>
      </c>
      <c r="D131" s="1863">
        <f t="shared" si="29"/>
        <v>8554873820.3877401</v>
      </c>
      <c r="E131" s="1864">
        <f t="shared" si="30"/>
        <v>4391055216.2293625</v>
      </c>
      <c r="F131" s="1864">
        <f t="shared" si="31"/>
        <v>4146212591.6483779</v>
      </c>
      <c r="G131" s="1865">
        <f t="shared" si="32"/>
        <v>17606012.509999998</v>
      </c>
      <c r="H131" s="1872">
        <f t="shared" si="33"/>
        <v>298995542.19866329</v>
      </c>
      <c r="I131" s="1875">
        <f t="shared" ref="I131:J131" si="34">SUM(I126:I130)</f>
        <v>263116077.13482368</v>
      </c>
      <c r="J131" s="1875">
        <f t="shared" si="34"/>
        <v>35876052.00383959</v>
      </c>
      <c r="K131" s="1876">
        <f t="shared" ref="K131" si="35">SUM(K126:K130)</f>
        <v>3413.06</v>
      </c>
      <c r="L131" s="1872">
        <f t="shared" si="28"/>
        <v>8255878278.1890764</v>
      </c>
      <c r="M131" s="1875">
        <f t="shared" ref="M131:O131" si="36">SUM(M126:M130)</f>
        <v>4127939139.0945387</v>
      </c>
      <c r="N131" s="1875">
        <f t="shared" si="36"/>
        <v>4110336539.6445384</v>
      </c>
      <c r="O131" s="1876">
        <f t="shared" si="36"/>
        <v>17602599.449999999</v>
      </c>
    </row>
    <row r="132" spans="1:15" x14ac:dyDescent="0.25">
      <c r="H132" s="770"/>
      <c r="I132" s="770"/>
      <c r="J132" s="770"/>
      <c r="K132" s="770"/>
      <c r="L132" s="770"/>
      <c r="M132" s="770"/>
      <c r="N132" s="770"/>
      <c r="O132" s="926"/>
    </row>
    <row r="133" spans="1:15" s="369" customFormat="1" x14ac:dyDescent="0.25">
      <c r="A133" s="917" t="s">
        <v>1263</v>
      </c>
      <c r="B133" s="676"/>
      <c r="C133" s="676"/>
      <c r="D133" s="629"/>
      <c r="O133" s="927"/>
    </row>
    <row r="134" spans="1:15" s="369" customFormat="1" x14ac:dyDescent="0.25">
      <c r="O134" s="927"/>
    </row>
    <row r="135" spans="1:15" s="389" customFormat="1" x14ac:dyDescent="0.25">
      <c r="A135" s="389" t="s">
        <v>248</v>
      </c>
      <c r="O135" s="928"/>
    </row>
    <row r="136" spans="1:15" x14ac:dyDescent="0.25">
      <c r="A136" s="390" t="s">
        <v>249</v>
      </c>
      <c r="B136" s="391" t="s">
        <v>250</v>
      </c>
      <c r="C136" s="391"/>
      <c r="O136" s="926"/>
    </row>
    <row r="137" spans="1:15" x14ac:dyDescent="0.25">
      <c r="O137" s="926"/>
    </row>
    <row r="138" spans="1:15" x14ac:dyDescent="0.25">
      <c r="O138" s="926"/>
    </row>
    <row r="139" spans="1:15" x14ac:dyDescent="0.25">
      <c r="O139" s="926"/>
    </row>
    <row r="140" spans="1:15" x14ac:dyDescent="0.25">
      <c r="O140" s="926"/>
    </row>
    <row r="141" spans="1:15" x14ac:dyDescent="0.25">
      <c r="O141" s="926"/>
    </row>
    <row r="142" spans="1:15" x14ac:dyDescent="0.25">
      <c r="O142" s="926"/>
    </row>
    <row r="143" spans="1:15" x14ac:dyDescent="0.25">
      <c r="O143" s="926"/>
    </row>
    <row r="144" spans="1:15" x14ac:dyDescent="0.25">
      <c r="O144" s="926"/>
    </row>
    <row r="145" spans="15:15" x14ac:dyDescent="0.25">
      <c r="O145" s="926"/>
    </row>
    <row r="146" spans="15:15" x14ac:dyDescent="0.25">
      <c r="O146" s="926"/>
    </row>
  </sheetData>
  <autoFilter ref="A3:C124"/>
  <sortState ref="A5:O124">
    <sortCondition ref="A5:A124"/>
  </sortState>
  <hyperlinks>
    <hyperlink ref="B136" r:id="rId1"/>
  </hyperlinks>
  <pageMargins left="0.7" right="0.7" top="0.75" bottom="0.75" header="0.3" footer="0.3"/>
  <pageSetup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136"/>
  <sheetViews>
    <sheetView workbookViewId="0">
      <pane ySplit="4" topLeftCell="A5" activePane="bottomLeft" state="frozen"/>
      <selection pane="bottomLeft" activeCell="B4" sqref="B4"/>
    </sheetView>
  </sheetViews>
  <sheetFormatPr defaultRowHeight="15.75" x14ac:dyDescent="0.25"/>
  <cols>
    <col min="1" max="1" width="9.125" style="265" customWidth="1"/>
    <col min="2" max="2" width="34.125" style="265" customWidth="1"/>
    <col min="3" max="3" width="16.5" style="265" customWidth="1"/>
    <col min="4" max="4" width="14.125" style="265" bestFit="1" customWidth="1"/>
    <col min="5" max="5" width="14.125" style="265" customWidth="1"/>
    <col min="6" max="16384" width="9" style="265"/>
  </cols>
  <sheetData>
    <row r="1" spans="1:5" x14ac:dyDescent="0.25">
      <c r="A1" s="64" t="s">
        <v>1261</v>
      </c>
    </row>
    <row r="3" spans="1:5" s="1370" customFormat="1" ht="12.75" customHeight="1" x14ac:dyDescent="0.25">
      <c r="A3" s="1387" t="s">
        <v>4</v>
      </c>
      <c r="B3" s="1388" t="s">
        <v>5</v>
      </c>
      <c r="C3" s="1388" t="s">
        <v>251</v>
      </c>
      <c r="D3" s="1389" t="s">
        <v>393</v>
      </c>
      <c r="E3" s="1389" t="s">
        <v>394</v>
      </c>
    </row>
    <row r="4" spans="1:5" s="1370" customFormat="1" ht="12.75" customHeight="1" x14ac:dyDescent="0.25">
      <c r="A4" s="1390">
        <v>999</v>
      </c>
      <c r="B4" s="1391" t="s">
        <v>9</v>
      </c>
      <c r="C4" s="1391"/>
      <c r="D4" s="1392">
        <f>SUM(D5:D124)</f>
        <v>1135246976.3700001</v>
      </c>
      <c r="E4" s="1392">
        <f>SUM(E5:E124)</f>
        <v>1135246976.3700001</v>
      </c>
    </row>
    <row r="5" spans="1:5" s="1370" customFormat="1" ht="12.75" customHeight="1" x14ac:dyDescent="0.25">
      <c r="A5" s="1393" t="s">
        <v>10</v>
      </c>
      <c r="B5" s="1394" t="s">
        <v>11</v>
      </c>
      <c r="C5" s="1373" t="s">
        <v>264</v>
      </c>
      <c r="D5" s="1395">
        <v>7122307</v>
      </c>
      <c r="E5" s="1395">
        <v>7122307</v>
      </c>
    </row>
    <row r="6" spans="1:5" s="1370" customFormat="1" ht="12.75" customHeight="1" x14ac:dyDescent="0.25">
      <c r="A6" s="1393" t="s">
        <v>12</v>
      </c>
      <c r="B6" s="1394" t="s">
        <v>13</v>
      </c>
      <c r="C6" s="1373" t="s">
        <v>265</v>
      </c>
      <c r="D6" s="1395">
        <v>6934959</v>
      </c>
      <c r="E6" s="1395">
        <v>6934959</v>
      </c>
    </row>
    <row r="7" spans="1:5" s="1370" customFormat="1" ht="12.75" customHeight="1" x14ac:dyDescent="0.25">
      <c r="A7" s="1393" t="s">
        <v>16</v>
      </c>
      <c r="B7" s="1394" t="s">
        <v>297</v>
      </c>
      <c r="C7" s="1373" t="s">
        <v>265</v>
      </c>
      <c r="D7" s="1395">
        <v>4098882</v>
      </c>
      <c r="E7" s="1395">
        <v>4098882</v>
      </c>
    </row>
    <row r="8" spans="1:5" s="1370" customFormat="1" ht="12.75" customHeight="1" x14ac:dyDescent="0.25">
      <c r="A8" s="1393" t="s">
        <v>18</v>
      </c>
      <c r="B8" s="1394" t="s">
        <v>19</v>
      </c>
      <c r="C8" s="1373" t="s">
        <v>266</v>
      </c>
      <c r="D8" s="1395">
        <v>2046092</v>
      </c>
      <c r="E8" s="1395">
        <v>2046092</v>
      </c>
    </row>
    <row r="9" spans="1:5" s="1370" customFormat="1" ht="12.75" customHeight="1" x14ac:dyDescent="0.25">
      <c r="A9" s="1393" t="s">
        <v>20</v>
      </c>
      <c r="B9" s="1394" t="s">
        <v>21</v>
      </c>
      <c r="C9" s="1373" t="s">
        <v>265</v>
      </c>
      <c r="D9" s="1395">
        <v>4543713</v>
      </c>
      <c r="E9" s="1395">
        <v>4543713</v>
      </c>
    </row>
    <row r="10" spans="1:5" s="1370" customFormat="1" ht="12.75" customHeight="1" x14ac:dyDescent="0.25">
      <c r="A10" s="1393" t="s">
        <v>22</v>
      </c>
      <c r="B10" s="1394" t="s">
        <v>23</v>
      </c>
      <c r="C10" s="1373" t="s">
        <v>265</v>
      </c>
      <c r="D10" s="1395">
        <v>3333147</v>
      </c>
      <c r="E10" s="1395">
        <v>3333147</v>
      </c>
    </row>
    <row r="11" spans="1:5" s="1370" customFormat="1" ht="12.75" customHeight="1" x14ac:dyDescent="0.25">
      <c r="A11" s="1393" t="s">
        <v>24</v>
      </c>
      <c r="B11" s="1394" t="s">
        <v>25</v>
      </c>
      <c r="C11" s="1373" t="s">
        <v>267</v>
      </c>
      <c r="D11" s="1395">
        <v>9601108</v>
      </c>
      <c r="E11" s="1395">
        <v>9601108</v>
      </c>
    </row>
    <row r="12" spans="1:5" s="1370" customFormat="1" ht="12.75" customHeight="1" x14ac:dyDescent="0.25">
      <c r="A12" s="1393" t="s">
        <v>26</v>
      </c>
      <c r="B12" s="1394" t="s">
        <v>685</v>
      </c>
      <c r="C12" s="1373" t="s">
        <v>265</v>
      </c>
      <c r="D12" s="1395">
        <v>15204868</v>
      </c>
      <c r="E12" s="1395">
        <v>15204868</v>
      </c>
    </row>
    <row r="13" spans="1:5" s="1370" customFormat="1" ht="12.75" customHeight="1" x14ac:dyDescent="0.25">
      <c r="A13" s="1393" t="s">
        <v>27</v>
      </c>
      <c r="B13" s="1394" t="s">
        <v>28</v>
      </c>
      <c r="C13" s="1373" t="s">
        <v>265</v>
      </c>
      <c r="D13" s="1395">
        <v>337763</v>
      </c>
      <c r="E13" s="1395">
        <v>337763</v>
      </c>
    </row>
    <row r="14" spans="1:5" s="1370" customFormat="1" ht="12.75" customHeight="1" x14ac:dyDescent="0.25">
      <c r="A14" s="1393" t="s">
        <v>29</v>
      </c>
      <c r="B14" s="1394" t="s">
        <v>901</v>
      </c>
      <c r="C14" s="1373" t="s">
        <v>265</v>
      </c>
      <c r="D14" s="1395">
        <v>7458807.0099999998</v>
      </c>
      <c r="E14" s="1395">
        <v>7458807.0099999998</v>
      </c>
    </row>
    <row r="15" spans="1:5" s="1370" customFormat="1" ht="12.75" customHeight="1" x14ac:dyDescent="0.25">
      <c r="A15" s="1393" t="s">
        <v>30</v>
      </c>
      <c r="B15" s="1394" t="s">
        <v>31</v>
      </c>
      <c r="C15" s="1373" t="s">
        <v>268</v>
      </c>
      <c r="D15" s="1395">
        <v>604334</v>
      </c>
      <c r="E15" s="1395">
        <v>604334</v>
      </c>
    </row>
    <row r="16" spans="1:5" s="1370" customFormat="1" ht="12.75" customHeight="1" x14ac:dyDescent="0.25">
      <c r="A16" s="1393" t="s">
        <v>32</v>
      </c>
      <c r="B16" s="1394" t="s">
        <v>33</v>
      </c>
      <c r="C16" s="1373" t="s">
        <v>265</v>
      </c>
      <c r="D16" s="1395">
        <v>2275422</v>
      </c>
      <c r="E16" s="1395">
        <v>2275422</v>
      </c>
    </row>
    <row r="17" spans="1:5" s="1370" customFormat="1" ht="12.75" customHeight="1" x14ac:dyDescent="0.25">
      <c r="A17" s="1393" t="s">
        <v>36</v>
      </c>
      <c r="B17" s="1394" t="s">
        <v>37</v>
      </c>
      <c r="C17" s="1373" t="s">
        <v>264</v>
      </c>
      <c r="D17" s="1395">
        <v>4432911</v>
      </c>
      <c r="E17" s="1395">
        <v>4432911</v>
      </c>
    </row>
    <row r="18" spans="1:5" s="1370" customFormat="1" ht="12.75" customHeight="1" x14ac:dyDescent="0.25">
      <c r="A18" s="1393" t="s">
        <v>38</v>
      </c>
      <c r="B18" s="1394" t="s">
        <v>39</v>
      </c>
      <c r="C18" s="1373" t="s">
        <v>268</v>
      </c>
      <c r="D18" s="1395">
        <v>6304911.6300000008</v>
      </c>
      <c r="E18" s="1395">
        <v>6304911.6300000008</v>
      </c>
    </row>
    <row r="19" spans="1:5" s="1370" customFormat="1" ht="12.75" customHeight="1" x14ac:dyDescent="0.25">
      <c r="A19" s="1393" t="s">
        <v>40</v>
      </c>
      <c r="B19" s="1394" t="s">
        <v>41</v>
      </c>
      <c r="C19" s="1373" t="s">
        <v>266</v>
      </c>
      <c r="D19" s="1395">
        <v>3784890</v>
      </c>
      <c r="E19" s="1395">
        <v>3784890</v>
      </c>
    </row>
    <row r="20" spans="1:5" s="1370" customFormat="1" ht="12.75" customHeight="1" x14ac:dyDescent="0.25">
      <c r="A20" s="1393" t="s">
        <v>42</v>
      </c>
      <c r="B20" s="1394" t="s">
        <v>43</v>
      </c>
      <c r="C20" s="1373" t="s">
        <v>265</v>
      </c>
      <c r="D20" s="1395">
        <v>9085651</v>
      </c>
      <c r="E20" s="1395">
        <v>9085651</v>
      </c>
    </row>
    <row r="21" spans="1:5" s="1370" customFormat="1" ht="12.75" customHeight="1" x14ac:dyDescent="0.25">
      <c r="A21" s="1393" t="s">
        <v>44</v>
      </c>
      <c r="B21" s="1394" t="s">
        <v>45</v>
      </c>
      <c r="C21" s="1373" t="s">
        <v>266</v>
      </c>
      <c r="D21" s="1395">
        <v>5874434</v>
      </c>
      <c r="E21" s="1395">
        <v>5874434</v>
      </c>
    </row>
    <row r="22" spans="1:5" s="1370" customFormat="1" ht="12.75" customHeight="1" x14ac:dyDescent="0.25">
      <c r="A22" s="1393" t="s">
        <v>46</v>
      </c>
      <c r="B22" s="1394" t="s">
        <v>47</v>
      </c>
      <c r="C22" s="1373" t="s">
        <v>268</v>
      </c>
      <c r="D22" s="1395">
        <v>5693932</v>
      </c>
      <c r="E22" s="1395">
        <v>5693932</v>
      </c>
    </row>
    <row r="23" spans="1:5" s="1370" customFormat="1" ht="12.75" customHeight="1" x14ac:dyDescent="0.25">
      <c r="A23" s="1393" t="s">
        <v>48</v>
      </c>
      <c r="B23" s="1394" t="s">
        <v>269</v>
      </c>
      <c r="C23" s="1373" t="s">
        <v>266</v>
      </c>
      <c r="D23" s="1395">
        <v>1333994</v>
      </c>
      <c r="E23" s="1395">
        <v>1333994</v>
      </c>
    </row>
    <row r="24" spans="1:5" s="1370" customFormat="1" ht="12.75" customHeight="1" x14ac:dyDescent="0.25">
      <c r="A24" s="1393" t="s">
        <v>50</v>
      </c>
      <c r="B24" s="1394" t="s">
        <v>51</v>
      </c>
      <c r="C24" s="1373" t="s">
        <v>265</v>
      </c>
      <c r="D24" s="1395">
        <v>2584816</v>
      </c>
      <c r="E24" s="1395">
        <v>2584816</v>
      </c>
    </row>
    <row r="25" spans="1:5" s="1370" customFormat="1" ht="12.75" customHeight="1" x14ac:dyDescent="0.25">
      <c r="A25" s="1393" t="s">
        <v>56</v>
      </c>
      <c r="B25" s="1394" t="s">
        <v>295</v>
      </c>
      <c r="C25" s="1373" t="s">
        <v>266</v>
      </c>
      <c r="D25" s="1395">
        <v>42422812.100000001</v>
      </c>
      <c r="E25" s="1395">
        <v>42422812.100000001</v>
      </c>
    </row>
    <row r="26" spans="1:5" s="1370" customFormat="1" ht="12.75" customHeight="1" x14ac:dyDescent="0.25">
      <c r="A26" s="1393" t="s">
        <v>58</v>
      </c>
      <c r="B26" s="1394" t="s">
        <v>59</v>
      </c>
      <c r="C26" s="1373" t="s">
        <v>267</v>
      </c>
      <c r="D26" s="1395">
        <v>638499</v>
      </c>
      <c r="E26" s="1395">
        <v>638499</v>
      </c>
    </row>
    <row r="27" spans="1:5" s="1370" customFormat="1" ht="12.75" customHeight="1" x14ac:dyDescent="0.25">
      <c r="A27" s="1393" t="s">
        <v>60</v>
      </c>
      <c r="B27" s="1394" t="s">
        <v>61</v>
      </c>
      <c r="C27" s="1373" t="s">
        <v>265</v>
      </c>
      <c r="D27" s="1395">
        <v>739693</v>
      </c>
      <c r="E27" s="1395">
        <v>739693</v>
      </c>
    </row>
    <row r="28" spans="1:5" s="1370" customFormat="1" ht="12.75" customHeight="1" x14ac:dyDescent="0.25">
      <c r="A28" s="1393" t="s">
        <v>62</v>
      </c>
      <c r="B28" s="1394" t="s">
        <v>63</v>
      </c>
      <c r="C28" s="1373" t="s">
        <v>267</v>
      </c>
      <c r="D28" s="1395">
        <v>6965945</v>
      </c>
      <c r="E28" s="1395">
        <v>6965945</v>
      </c>
    </row>
    <row r="29" spans="1:5" s="1370" customFormat="1" ht="12.75" customHeight="1" x14ac:dyDescent="0.25">
      <c r="A29" s="1393" t="s">
        <v>64</v>
      </c>
      <c r="B29" s="1394" t="s">
        <v>65</v>
      </c>
      <c r="C29" s="1373" t="s">
        <v>266</v>
      </c>
      <c r="D29" s="1395">
        <v>2517617</v>
      </c>
      <c r="E29" s="1395">
        <v>2517617</v>
      </c>
    </row>
    <row r="30" spans="1:5" s="1370" customFormat="1" ht="12.75" customHeight="1" x14ac:dyDescent="0.25">
      <c r="A30" s="1393" t="s">
        <v>68</v>
      </c>
      <c r="B30" s="1394" t="s">
        <v>69</v>
      </c>
      <c r="C30" s="1373" t="s">
        <v>268</v>
      </c>
      <c r="D30" s="1395">
        <v>4071875</v>
      </c>
      <c r="E30" s="1395">
        <v>4071875</v>
      </c>
    </row>
    <row r="31" spans="1:5" s="1370" customFormat="1" ht="12.75" customHeight="1" x14ac:dyDescent="0.25">
      <c r="A31" s="1393" t="s">
        <v>70</v>
      </c>
      <c r="B31" s="1394" t="s">
        <v>71</v>
      </c>
      <c r="C31" s="1373" t="s">
        <v>264</v>
      </c>
      <c r="D31" s="1395">
        <v>5993703</v>
      </c>
      <c r="E31" s="1395">
        <v>5993703</v>
      </c>
    </row>
    <row r="32" spans="1:5" s="1370" customFormat="1" ht="12.75" customHeight="1" x14ac:dyDescent="0.25">
      <c r="A32" s="1393" t="s">
        <v>72</v>
      </c>
      <c r="B32" s="1394" t="s">
        <v>73</v>
      </c>
      <c r="C32" s="1373" t="s">
        <v>266</v>
      </c>
      <c r="D32" s="1395">
        <v>2870263</v>
      </c>
      <c r="E32" s="1395">
        <v>2870263</v>
      </c>
    </row>
    <row r="33" spans="1:5" s="1370" customFormat="1" ht="12.75" customHeight="1" x14ac:dyDescent="0.25">
      <c r="A33" s="1393" t="s">
        <v>74</v>
      </c>
      <c r="B33" s="1394" t="s">
        <v>302</v>
      </c>
      <c r="C33" s="1373" t="s">
        <v>267</v>
      </c>
      <c r="D33" s="1395">
        <v>67048125.279999994</v>
      </c>
      <c r="E33" s="1395">
        <v>67048125.279999994</v>
      </c>
    </row>
    <row r="34" spans="1:5" s="1370" customFormat="1" ht="12.75" customHeight="1" x14ac:dyDescent="0.25">
      <c r="A34" s="1393" t="s">
        <v>76</v>
      </c>
      <c r="B34" s="1394" t="s">
        <v>77</v>
      </c>
      <c r="C34" s="1373" t="s">
        <v>267</v>
      </c>
      <c r="D34" s="1395">
        <v>4347364</v>
      </c>
      <c r="E34" s="1395">
        <v>4347364</v>
      </c>
    </row>
    <row r="35" spans="1:5" s="1370" customFormat="1" ht="12.75" customHeight="1" x14ac:dyDescent="0.25">
      <c r="A35" s="1393" t="s">
        <v>78</v>
      </c>
      <c r="B35" s="1394" t="s">
        <v>79</v>
      </c>
      <c r="C35" s="1373" t="s">
        <v>268</v>
      </c>
      <c r="D35" s="1395">
        <v>2325371</v>
      </c>
      <c r="E35" s="1395">
        <v>2325371</v>
      </c>
    </row>
    <row r="36" spans="1:5" s="1370" customFormat="1" ht="12.75" customHeight="1" x14ac:dyDescent="0.25">
      <c r="A36" s="1393" t="s">
        <v>80</v>
      </c>
      <c r="B36" s="1394" t="s">
        <v>81</v>
      </c>
      <c r="C36" s="1373" t="s">
        <v>266</v>
      </c>
      <c r="D36" s="1395">
        <v>2135746</v>
      </c>
      <c r="E36" s="1395">
        <v>2135746</v>
      </c>
    </row>
    <row r="37" spans="1:5" s="1370" customFormat="1" ht="12.75" customHeight="1" x14ac:dyDescent="0.25">
      <c r="A37" s="1393" t="s">
        <v>84</v>
      </c>
      <c r="B37" s="1394" t="s">
        <v>308</v>
      </c>
      <c r="C37" s="1373" t="s">
        <v>265</v>
      </c>
      <c r="D37" s="1395">
        <v>9037881</v>
      </c>
      <c r="E37" s="1395">
        <v>9037881</v>
      </c>
    </row>
    <row r="38" spans="1:5" s="1370" customFormat="1" ht="12.75" customHeight="1" x14ac:dyDescent="0.25">
      <c r="A38" s="1393" t="s">
        <v>86</v>
      </c>
      <c r="B38" s="1394" t="s">
        <v>87</v>
      </c>
      <c r="C38" s="1373" t="s">
        <v>267</v>
      </c>
      <c r="D38" s="1395">
        <v>7050070</v>
      </c>
      <c r="E38" s="1395">
        <v>7050070</v>
      </c>
    </row>
    <row r="39" spans="1:5" s="1370" customFormat="1" ht="12.75" customHeight="1" x14ac:dyDescent="0.25">
      <c r="A39" s="1393" t="s">
        <v>92</v>
      </c>
      <c r="B39" s="1394" t="s">
        <v>93</v>
      </c>
      <c r="C39" s="1373" t="s">
        <v>268</v>
      </c>
      <c r="D39" s="1395">
        <v>2593336</v>
      </c>
      <c r="E39" s="1395">
        <v>2593336</v>
      </c>
    </row>
    <row r="40" spans="1:5" s="1370" customFormat="1" ht="12.75" customHeight="1" x14ac:dyDescent="0.25">
      <c r="A40" s="1393" t="s">
        <v>94</v>
      </c>
      <c r="B40" s="1394" t="s">
        <v>95</v>
      </c>
      <c r="C40" s="1373" t="s">
        <v>264</v>
      </c>
      <c r="D40" s="1395">
        <v>4775184</v>
      </c>
      <c r="E40" s="1395">
        <v>4775184</v>
      </c>
    </row>
    <row r="41" spans="1:5" s="1370" customFormat="1" ht="12.75" customHeight="1" x14ac:dyDescent="0.25">
      <c r="A41" s="1393" t="s">
        <v>96</v>
      </c>
      <c r="B41" s="1394" t="s">
        <v>97</v>
      </c>
      <c r="C41" s="1373" t="s">
        <v>266</v>
      </c>
      <c r="D41" s="1395">
        <v>1514897</v>
      </c>
      <c r="E41" s="1395">
        <v>1514897</v>
      </c>
    </row>
    <row r="42" spans="1:5" s="1370" customFormat="1" ht="12.75" customHeight="1" x14ac:dyDescent="0.25">
      <c r="A42" s="1393" t="s">
        <v>98</v>
      </c>
      <c r="B42" s="1394" t="s">
        <v>99</v>
      </c>
      <c r="C42" s="1373" t="s">
        <v>268</v>
      </c>
      <c r="D42" s="1395">
        <v>3044541</v>
      </c>
      <c r="E42" s="1395">
        <v>3044541</v>
      </c>
    </row>
    <row r="43" spans="1:5" s="1370" customFormat="1" ht="12.75" customHeight="1" x14ac:dyDescent="0.25">
      <c r="A43" s="1393" t="s">
        <v>100</v>
      </c>
      <c r="B43" s="1394" t="s">
        <v>101</v>
      </c>
      <c r="C43" s="1373" t="s">
        <v>267</v>
      </c>
      <c r="D43" s="1395">
        <v>2855496</v>
      </c>
      <c r="E43" s="1395">
        <v>2855496</v>
      </c>
    </row>
    <row r="44" spans="1:5" s="1370" customFormat="1" ht="12.75" customHeight="1" x14ac:dyDescent="0.25">
      <c r="A44" s="1393" t="s">
        <v>102</v>
      </c>
      <c r="B44" s="1394" t="s">
        <v>103</v>
      </c>
      <c r="C44" s="1373" t="s">
        <v>264</v>
      </c>
      <c r="D44" s="1395">
        <v>5310333</v>
      </c>
      <c r="E44" s="1395">
        <v>5310333</v>
      </c>
    </row>
    <row r="45" spans="1:5" s="1370" customFormat="1" ht="12.75" customHeight="1" x14ac:dyDescent="0.25">
      <c r="A45" s="1393" t="s">
        <v>104</v>
      </c>
      <c r="B45" s="1394" t="s">
        <v>309</v>
      </c>
      <c r="C45" s="1373" t="s">
        <v>265</v>
      </c>
      <c r="D45" s="1395">
        <v>8549075</v>
      </c>
      <c r="E45" s="1395">
        <v>8549075</v>
      </c>
    </row>
    <row r="46" spans="1:5" s="1370" customFormat="1" ht="12.75" customHeight="1" x14ac:dyDescent="0.25">
      <c r="A46" s="1393" t="s">
        <v>108</v>
      </c>
      <c r="B46" s="1394" t="s">
        <v>109</v>
      </c>
      <c r="C46" s="1373" t="s">
        <v>266</v>
      </c>
      <c r="D46" s="1395">
        <v>7039423</v>
      </c>
      <c r="E46" s="1395">
        <v>7039423</v>
      </c>
    </row>
    <row r="47" spans="1:5" s="1370" customFormat="1" ht="12.75" customHeight="1" x14ac:dyDescent="0.25">
      <c r="A47" s="1393" t="s">
        <v>110</v>
      </c>
      <c r="B47" s="1394" t="s">
        <v>111</v>
      </c>
      <c r="C47" s="1373" t="s">
        <v>266</v>
      </c>
      <c r="D47" s="1395">
        <v>46529794.400000006</v>
      </c>
      <c r="E47" s="1395">
        <v>46529794.400000006</v>
      </c>
    </row>
    <row r="48" spans="1:5" s="1370" customFormat="1" ht="12.75" customHeight="1" x14ac:dyDescent="0.25">
      <c r="A48" s="1393" t="s">
        <v>112</v>
      </c>
      <c r="B48" s="1394" t="s">
        <v>300</v>
      </c>
      <c r="C48" s="1373" t="s">
        <v>265</v>
      </c>
      <c r="D48" s="1395">
        <v>19746289.600000001</v>
      </c>
      <c r="E48" s="1395">
        <v>19746289.600000001</v>
      </c>
    </row>
    <row r="49" spans="1:5" s="1370" customFormat="1" ht="12.75" customHeight="1" x14ac:dyDescent="0.25">
      <c r="A49" s="1393" t="s">
        <v>114</v>
      </c>
      <c r="B49" s="1394" t="s">
        <v>115</v>
      </c>
      <c r="C49" s="1373" t="s">
        <v>265</v>
      </c>
      <c r="D49" s="1395">
        <v>120665</v>
      </c>
      <c r="E49" s="1395">
        <v>120665</v>
      </c>
    </row>
    <row r="50" spans="1:5" s="1370" customFormat="1" ht="12.75" customHeight="1" x14ac:dyDescent="0.25">
      <c r="A50" s="1393" t="s">
        <v>118</v>
      </c>
      <c r="B50" s="1394" t="s">
        <v>119</v>
      </c>
      <c r="C50" s="1373" t="s">
        <v>264</v>
      </c>
      <c r="D50" s="1395">
        <v>4679261</v>
      </c>
      <c r="E50" s="1395">
        <v>4679261</v>
      </c>
    </row>
    <row r="51" spans="1:5" s="1370" customFormat="1" ht="12.75" customHeight="1" x14ac:dyDescent="0.25">
      <c r="A51" s="1393" t="s">
        <v>120</v>
      </c>
      <c r="B51" s="1394" t="s">
        <v>121</v>
      </c>
      <c r="C51" s="1373" t="s">
        <v>264</v>
      </c>
      <c r="D51" s="1395">
        <v>5836536</v>
      </c>
      <c r="E51" s="1395">
        <v>5836536</v>
      </c>
    </row>
    <row r="52" spans="1:5" s="1370" customFormat="1" ht="12.75" customHeight="1" x14ac:dyDescent="0.25">
      <c r="A52" s="1393" t="s">
        <v>122</v>
      </c>
      <c r="B52" s="1394" t="s">
        <v>271</v>
      </c>
      <c r="C52" s="1373" t="s">
        <v>266</v>
      </c>
      <c r="D52" s="1395">
        <v>1445057</v>
      </c>
      <c r="E52" s="1395">
        <v>1445057</v>
      </c>
    </row>
    <row r="53" spans="1:5" s="1370" customFormat="1" ht="12.75" customHeight="1" x14ac:dyDescent="0.25">
      <c r="A53" s="1393" t="s">
        <v>124</v>
      </c>
      <c r="B53" s="1394" t="s">
        <v>125</v>
      </c>
      <c r="C53" s="1373" t="s">
        <v>267</v>
      </c>
      <c r="D53" s="1395">
        <v>3287788</v>
      </c>
      <c r="E53" s="1395">
        <v>3287788</v>
      </c>
    </row>
    <row r="54" spans="1:5" s="1370" customFormat="1" ht="12.75" customHeight="1" x14ac:dyDescent="0.25">
      <c r="A54" s="1393" t="s">
        <v>126</v>
      </c>
      <c r="B54" s="1394" t="s">
        <v>127</v>
      </c>
      <c r="C54" s="1373" t="s">
        <v>266</v>
      </c>
      <c r="D54" s="1395">
        <v>2067240</v>
      </c>
      <c r="E54" s="1395">
        <v>2067240</v>
      </c>
    </row>
    <row r="55" spans="1:5" s="1370" customFormat="1" ht="12.75" customHeight="1" x14ac:dyDescent="0.25">
      <c r="A55" s="1393" t="s">
        <v>128</v>
      </c>
      <c r="B55" s="1394" t="s">
        <v>129</v>
      </c>
      <c r="C55" s="1373" t="s">
        <v>266</v>
      </c>
      <c r="D55" s="1395">
        <v>1857034</v>
      </c>
      <c r="E55" s="1395">
        <v>1857034</v>
      </c>
    </row>
    <row r="56" spans="1:5" s="1370" customFormat="1" ht="12.75" customHeight="1" x14ac:dyDescent="0.25">
      <c r="A56" s="1393" t="s">
        <v>130</v>
      </c>
      <c r="B56" s="1394" t="s">
        <v>131</v>
      </c>
      <c r="C56" s="1373" t="s">
        <v>268</v>
      </c>
      <c r="D56" s="1395">
        <v>7810677.2199999997</v>
      </c>
      <c r="E56" s="1395">
        <v>7810677.2199999997</v>
      </c>
    </row>
    <row r="57" spans="1:5" s="1370" customFormat="1" ht="12.75" customHeight="1" x14ac:dyDescent="0.25">
      <c r="A57" s="1393" t="s">
        <v>132</v>
      </c>
      <c r="B57" s="1394" t="s">
        <v>133</v>
      </c>
      <c r="C57" s="1373" t="s">
        <v>267</v>
      </c>
      <c r="D57" s="1395">
        <v>13757756.76</v>
      </c>
      <c r="E57" s="1395">
        <v>13757756.76</v>
      </c>
    </row>
    <row r="58" spans="1:5" s="1370" customFormat="1" ht="12.75" customHeight="1" x14ac:dyDescent="0.25">
      <c r="A58" s="1393" t="s">
        <v>134</v>
      </c>
      <c r="B58" s="1394" t="s">
        <v>135</v>
      </c>
      <c r="C58" s="1373" t="s">
        <v>267</v>
      </c>
      <c r="D58" s="1395">
        <v>5009595</v>
      </c>
      <c r="E58" s="1395">
        <v>5009595</v>
      </c>
    </row>
    <row r="59" spans="1:5" s="1370" customFormat="1" ht="12.75" customHeight="1" x14ac:dyDescent="0.25">
      <c r="A59" s="1393" t="s">
        <v>136</v>
      </c>
      <c r="B59" s="1394" t="s">
        <v>137</v>
      </c>
      <c r="C59" s="1373" t="s">
        <v>266</v>
      </c>
      <c r="D59" s="1395">
        <v>2757823</v>
      </c>
      <c r="E59" s="1395">
        <v>2757823</v>
      </c>
    </row>
    <row r="60" spans="1:5" s="1370" customFormat="1" ht="12.75" customHeight="1" x14ac:dyDescent="0.25">
      <c r="A60" s="1393" t="s">
        <v>140</v>
      </c>
      <c r="B60" s="1394" t="s">
        <v>141</v>
      </c>
      <c r="C60" s="1373" t="s">
        <v>267</v>
      </c>
      <c r="D60" s="1395">
        <v>1555526</v>
      </c>
      <c r="E60" s="1395">
        <v>1555526</v>
      </c>
    </row>
    <row r="61" spans="1:5" s="1370" customFormat="1" ht="12.75" customHeight="1" x14ac:dyDescent="0.25">
      <c r="A61" s="1393" t="s">
        <v>146</v>
      </c>
      <c r="B61" s="1394" t="s">
        <v>147</v>
      </c>
      <c r="C61" s="1373" t="s">
        <v>264</v>
      </c>
      <c r="D61" s="1395">
        <v>1018179</v>
      </c>
      <c r="E61" s="1395">
        <v>1018179</v>
      </c>
    </row>
    <row r="62" spans="1:5" s="1370" customFormat="1" ht="12.75" customHeight="1" x14ac:dyDescent="0.25">
      <c r="A62" s="1393" t="s">
        <v>148</v>
      </c>
      <c r="B62" s="1394" t="s">
        <v>149</v>
      </c>
      <c r="C62" s="1373" t="s">
        <v>265</v>
      </c>
      <c r="D62" s="1395">
        <v>5916537</v>
      </c>
      <c r="E62" s="1395">
        <v>5916537</v>
      </c>
    </row>
    <row r="63" spans="1:5" s="1370" customFormat="1" ht="12.75" customHeight="1" x14ac:dyDescent="0.25">
      <c r="A63" s="1393" t="s">
        <v>150</v>
      </c>
      <c r="B63" s="1394" t="s">
        <v>151</v>
      </c>
      <c r="C63" s="1373" t="s">
        <v>266</v>
      </c>
      <c r="D63" s="1395">
        <v>2122587</v>
      </c>
      <c r="E63" s="1395">
        <v>2122587</v>
      </c>
    </row>
    <row r="64" spans="1:5" s="1370" customFormat="1" ht="12.75" customHeight="1" x14ac:dyDescent="0.25">
      <c r="A64" s="1393" t="s">
        <v>152</v>
      </c>
      <c r="B64" s="1394" t="s">
        <v>153</v>
      </c>
      <c r="C64" s="1373" t="s">
        <v>268</v>
      </c>
      <c r="D64" s="1395">
        <v>8609184.9400000013</v>
      </c>
      <c r="E64" s="1395">
        <v>8609184.9400000013</v>
      </c>
    </row>
    <row r="65" spans="1:5" s="1370" customFormat="1" ht="12.75" customHeight="1" x14ac:dyDescent="0.25">
      <c r="A65" s="1393" t="s">
        <v>154</v>
      </c>
      <c r="B65" s="1394" t="s">
        <v>155</v>
      </c>
      <c r="C65" s="1373" t="s">
        <v>265</v>
      </c>
      <c r="D65" s="1395">
        <v>2364386</v>
      </c>
      <c r="E65" s="1395">
        <v>2364386</v>
      </c>
    </row>
    <row r="66" spans="1:5" s="1370" customFormat="1" ht="12.75" customHeight="1" x14ac:dyDescent="0.25">
      <c r="A66" s="1393" t="s">
        <v>156</v>
      </c>
      <c r="B66" s="1394" t="s">
        <v>157</v>
      </c>
      <c r="C66" s="1373" t="s">
        <v>266</v>
      </c>
      <c r="D66" s="1395">
        <v>1513470</v>
      </c>
      <c r="E66" s="1395">
        <v>1513470</v>
      </c>
    </row>
    <row r="67" spans="1:5" s="1370" customFormat="1" ht="12.75" customHeight="1" x14ac:dyDescent="0.25">
      <c r="A67" s="1393" t="s">
        <v>162</v>
      </c>
      <c r="B67" s="1394" t="s">
        <v>163</v>
      </c>
      <c r="C67" s="1373" t="s">
        <v>264</v>
      </c>
      <c r="D67" s="1395">
        <v>2918483</v>
      </c>
      <c r="E67" s="1395">
        <v>2918483</v>
      </c>
    </row>
    <row r="68" spans="1:5" s="1370" customFormat="1" ht="12.75" customHeight="1" x14ac:dyDescent="0.25">
      <c r="A68" s="1393" t="s">
        <v>164</v>
      </c>
      <c r="B68" s="1394" t="s">
        <v>165</v>
      </c>
      <c r="C68" s="1373" t="s">
        <v>266</v>
      </c>
      <c r="D68" s="1395">
        <v>2144458</v>
      </c>
      <c r="E68" s="1395">
        <v>2144458</v>
      </c>
    </row>
    <row r="69" spans="1:5" s="1370" customFormat="1" ht="12.75" customHeight="1" x14ac:dyDescent="0.25">
      <c r="A69" s="1393" t="s">
        <v>168</v>
      </c>
      <c r="B69" s="1394" t="s">
        <v>169</v>
      </c>
      <c r="C69" s="1373" t="s">
        <v>266</v>
      </c>
      <c r="D69" s="1395">
        <v>4078547</v>
      </c>
      <c r="E69" s="1395">
        <v>4078547</v>
      </c>
    </row>
    <row r="70" spans="1:5" s="1370" customFormat="1" ht="12.75" customHeight="1" x14ac:dyDescent="0.25">
      <c r="A70" s="1393" t="s">
        <v>170</v>
      </c>
      <c r="B70" s="1394" t="s">
        <v>171</v>
      </c>
      <c r="C70" s="1373" t="s">
        <v>267</v>
      </c>
      <c r="D70" s="1395">
        <v>3670755</v>
      </c>
      <c r="E70" s="1395">
        <v>3670755</v>
      </c>
    </row>
    <row r="71" spans="1:5" s="1370" customFormat="1" ht="12.75" customHeight="1" x14ac:dyDescent="0.25">
      <c r="A71" s="1393" t="s">
        <v>172</v>
      </c>
      <c r="B71" s="1394" t="s">
        <v>173</v>
      </c>
      <c r="C71" s="1373" t="s">
        <v>267</v>
      </c>
      <c r="D71" s="1395">
        <v>4050475</v>
      </c>
      <c r="E71" s="1395">
        <v>4050475</v>
      </c>
    </row>
    <row r="72" spans="1:5" s="1370" customFormat="1" ht="12.75" customHeight="1" x14ac:dyDescent="0.25">
      <c r="A72" s="1393" t="s">
        <v>174</v>
      </c>
      <c r="B72" s="1394" t="s">
        <v>175</v>
      </c>
      <c r="C72" s="1373" t="s">
        <v>268</v>
      </c>
      <c r="D72" s="1395">
        <v>3568057</v>
      </c>
      <c r="E72" s="1395">
        <v>3568057</v>
      </c>
    </row>
    <row r="73" spans="1:5" s="1370" customFormat="1" ht="12.75" customHeight="1" x14ac:dyDescent="0.25">
      <c r="A73" s="1393" t="s">
        <v>178</v>
      </c>
      <c r="B73" s="1394" t="s">
        <v>179</v>
      </c>
      <c r="C73" s="1373" t="s">
        <v>265</v>
      </c>
      <c r="D73" s="1395">
        <v>11551557</v>
      </c>
      <c r="E73" s="1395">
        <v>11551557</v>
      </c>
    </row>
    <row r="74" spans="1:5" s="1370" customFormat="1" ht="12.75" customHeight="1" x14ac:dyDescent="0.25">
      <c r="A74" s="1393" t="s">
        <v>182</v>
      </c>
      <c r="B74" s="1394" t="s">
        <v>183</v>
      </c>
      <c r="C74" s="1373" t="s">
        <v>266</v>
      </c>
      <c r="D74" s="1395">
        <v>1522287</v>
      </c>
      <c r="E74" s="1395">
        <v>1522287</v>
      </c>
    </row>
    <row r="75" spans="1:5" s="1370" customFormat="1" ht="12.75" customHeight="1" x14ac:dyDescent="0.25">
      <c r="A75" s="1393" t="s">
        <v>184</v>
      </c>
      <c r="B75" s="1394" t="s">
        <v>185</v>
      </c>
      <c r="C75" s="1373" t="s">
        <v>266</v>
      </c>
      <c r="D75" s="1395">
        <v>4296753</v>
      </c>
      <c r="E75" s="1395">
        <v>4296753</v>
      </c>
    </row>
    <row r="76" spans="1:5" s="1370" customFormat="1" ht="12.75" customHeight="1" x14ac:dyDescent="0.25">
      <c r="A76" s="1393" t="s">
        <v>186</v>
      </c>
      <c r="B76" s="1394" t="s">
        <v>187</v>
      </c>
      <c r="C76" s="1373" t="s">
        <v>264</v>
      </c>
      <c r="D76" s="1395">
        <v>4488116</v>
      </c>
      <c r="E76" s="1395">
        <v>4488116</v>
      </c>
    </row>
    <row r="77" spans="1:5" s="1370" customFormat="1" ht="12.75" customHeight="1" x14ac:dyDescent="0.25">
      <c r="A77" s="1393" t="s">
        <v>188</v>
      </c>
      <c r="B77" s="1394" t="s">
        <v>189</v>
      </c>
      <c r="C77" s="1373" t="s">
        <v>267</v>
      </c>
      <c r="D77" s="1395">
        <v>38934232</v>
      </c>
      <c r="E77" s="1395">
        <v>38934232</v>
      </c>
    </row>
    <row r="78" spans="1:5" s="1370" customFormat="1" ht="12.75" customHeight="1" x14ac:dyDescent="0.25">
      <c r="A78" s="1393" t="s">
        <v>190</v>
      </c>
      <c r="B78" s="1394" t="s">
        <v>191</v>
      </c>
      <c r="C78" s="1373" t="s">
        <v>268</v>
      </c>
      <c r="D78" s="1395">
        <v>7465809</v>
      </c>
      <c r="E78" s="1395">
        <v>7465809</v>
      </c>
    </row>
    <row r="79" spans="1:5" s="1370" customFormat="1" ht="12.75" customHeight="1" x14ac:dyDescent="0.25">
      <c r="A79" s="1393" t="s">
        <v>194</v>
      </c>
      <c r="B79" s="1394" t="s">
        <v>195</v>
      </c>
      <c r="C79" s="1373" t="s">
        <v>267</v>
      </c>
      <c r="D79" s="1395">
        <v>451351</v>
      </c>
      <c r="E79" s="1395">
        <v>451351</v>
      </c>
    </row>
    <row r="80" spans="1:5" s="1370" customFormat="1" ht="12.75" customHeight="1" x14ac:dyDescent="0.25">
      <c r="A80" s="1393" t="s">
        <v>198</v>
      </c>
      <c r="B80" s="1394" t="s">
        <v>199</v>
      </c>
      <c r="C80" s="1373" t="s">
        <v>266</v>
      </c>
      <c r="D80" s="1395">
        <v>1980043</v>
      </c>
      <c r="E80" s="1395">
        <v>1980043</v>
      </c>
    </row>
    <row r="81" spans="1:5" s="1370" customFormat="1" ht="12.75" customHeight="1" x14ac:dyDescent="0.25">
      <c r="A81" s="1393" t="s">
        <v>202</v>
      </c>
      <c r="B81" s="1394" t="s">
        <v>203</v>
      </c>
      <c r="C81" s="1373" t="s">
        <v>265</v>
      </c>
      <c r="D81" s="1395">
        <v>9213396</v>
      </c>
      <c r="E81" s="1395">
        <v>9213396</v>
      </c>
    </row>
    <row r="82" spans="1:5" s="1370" customFormat="1" ht="12.75" customHeight="1" x14ac:dyDescent="0.25">
      <c r="A82" s="1393" t="s">
        <v>204</v>
      </c>
      <c r="B82" s="1394" t="s">
        <v>205</v>
      </c>
      <c r="C82" s="1373" t="s">
        <v>265</v>
      </c>
      <c r="D82" s="1395">
        <v>4666878</v>
      </c>
      <c r="E82" s="1395">
        <v>4666878</v>
      </c>
    </row>
    <row r="83" spans="1:5" s="1370" customFormat="1" ht="12.75" customHeight="1" x14ac:dyDescent="0.25">
      <c r="A83" s="1393" t="s">
        <v>206</v>
      </c>
      <c r="B83" s="1394" t="s">
        <v>207</v>
      </c>
      <c r="C83" s="1373" t="s">
        <v>267</v>
      </c>
      <c r="D83" s="1395">
        <v>11731226</v>
      </c>
      <c r="E83" s="1395">
        <v>11731226</v>
      </c>
    </row>
    <row r="84" spans="1:5" s="1370" customFormat="1" ht="12.75" customHeight="1" x14ac:dyDescent="0.25">
      <c r="A84" s="1393" t="s">
        <v>208</v>
      </c>
      <c r="B84" s="1394" t="s">
        <v>209</v>
      </c>
      <c r="C84" s="1373" t="s">
        <v>268</v>
      </c>
      <c r="D84" s="1395">
        <v>7167998</v>
      </c>
      <c r="E84" s="1395">
        <v>7167998</v>
      </c>
    </row>
    <row r="85" spans="1:5" s="1370" customFormat="1" ht="12.75" customHeight="1" x14ac:dyDescent="0.25">
      <c r="A85" s="1393" t="s">
        <v>210</v>
      </c>
      <c r="B85" s="1394" t="s">
        <v>211</v>
      </c>
      <c r="C85" s="1373" t="s">
        <v>268</v>
      </c>
      <c r="D85" s="1395">
        <v>4429529</v>
      </c>
      <c r="E85" s="1395">
        <v>4429529</v>
      </c>
    </row>
    <row r="86" spans="1:5" s="1370" customFormat="1" ht="12.75" customHeight="1" x14ac:dyDescent="0.25">
      <c r="A86" s="1393" t="s">
        <v>212</v>
      </c>
      <c r="B86" s="1394" t="s">
        <v>213</v>
      </c>
      <c r="C86" s="1373" t="s">
        <v>267</v>
      </c>
      <c r="D86" s="1395">
        <v>6113646</v>
      </c>
      <c r="E86" s="1395">
        <v>6113646</v>
      </c>
    </row>
    <row r="87" spans="1:5" s="1370" customFormat="1" ht="12.75" customHeight="1" x14ac:dyDescent="0.25">
      <c r="A87" s="1393" t="s">
        <v>214</v>
      </c>
      <c r="B87" s="1394" t="s">
        <v>215</v>
      </c>
      <c r="C87" s="1373" t="s">
        <v>268</v>
      </c>
      <c r="D87" s="1395">
        <v>7837490</v>
      </c>
      <c r="E87" s="1395">
        <v>7837490</v>
      </c>
    </row>
    <row r="88" spans="1:5" s="1370" customFormat="1" ht="12.75" customHeight="1" x14ac:dyDescent="0.25">
      <c r="A88" s="1393" t="s">
        <v>216</v>
      </c>
      <c r="B88" s="1394" t="s">
        <v>217</v>
      </c>
      <c r="C88" s="1373" t="s">
        <v>264</v>
      </c>
      <c r="D88" s="1395">
        <v>3716979</v>
      </c>
      <c r="E88" s="1395">
        <v>3716979</v>
      </c>
    </row>
    <row r="89" spans="1:5" s="1370" customFormat="1" ht="12.75" customHeight="1" x14ac:dyDescent="0.25">
      <c r="A89" s="1393" t="s">
        <v>218</v>
      </c>
      <c r="B89" s="1394" t="s">
        <v>219</v>
      </c>
      <c r="C89" s="1373" t="s">
        <v>267</v>
      </c>
      <c r="D89" s="1395">
        <v>15239758</v>
      </c>
      <c r="E89" s="1395">
        <v>15239758</v>
      </c>
    </row>
    <row r="90" spans="1:5" s="1370" customFormat="1" ht="12.75" customHeight="1" x14ac:dyDescent="0.25">
      <c r="A90" s="1393" t="s">
        <v>220</v>
      </c>
      <c r="B90" s="1394" t="s">
        <v>221</v>
      </c>
      <c r="C90" s="1373" t="s">
        <v>267</v>
      </c>
      <c r="D90" s="1395">
        <v>12424340</v>
      </c>
      <c r="E90" s="1395">
        <v>12424340</v>
      </c>
    </row>
    <row r="91" spans="1:5" s="1370" customFormat="1" ht="12.75" customHeight="1" x14ac:dyDescent="0.25">
      <c r="A91" s="1393" t="s">
        <v>224</v>
      </c>
      <c r="B91" s="1394" t="s">
        <v>225</v>
      </c>
      <c r="C91" s="1373" t="s">
        <v>264</v>
      </c>
      <c r="D91" s="1395">
        <v>1321782</v>
      </c>
      <c r="E91" s="1395">
        <v>1321782</v>
      </c>
    </row>
    <row r="92" spans="1:5" s="1370" customFormat="1" ht="12.75" customHeight="1" x14ac:dyDescent="0.25">
      <c r="A92" s="1393" t="s">
        <v>226</v>
      </c>
      <c r="B92" s="1394" t="s">
        <v>227</v>
      </c>
      <c r="C92" s="1373" t="s">
        <v>264</v>
      </c>
      <c r="D92" s="1395">
        <v>2416539</v>
      </c>
      <c r="E92" s="1395">
        <v>2416539</v>
      </c>
    </row>
    <row r="93" spans="1:5" s="1370" customFormat="1" ht="12.75" customHeight="1" x14ac:dyDescent="0.25">
      <c r="A93" s="1393" t="s">
        <v>228</v>
      </c>
      <c r="B93" s="1394" t="s">
        <v>229</v>
      </c>
      <c r="C93" s="1373" t="s">
        <v>268</v>
      </c>
      <c r="D93" s="1395">
        <v>11102748.85</v>
      </c>
      <c r="E93" s="1395">
        <v>11102748.85</v>
      </c>
    </row>
    <row r="94" spans="1:5" s="1370" customFormat="1" ht="12.75" customHeight="1" x14ac:dyDescent="0.25">
      <c r="A94" s="1393" t="s">
        <v>232</v>
      </c>
      <c r="B94" s="1394" t="s">
        <v>233</v>
      </c>
      <c r="C94" s="1373" t="s">
        <v>267</v>
      </c>
      <c r="D94" s="1395">
        <v>5954019</v>
      </c>
      <c r="E94" s="1395">
        <v>5954019</v>
      </c>
    </row>
    <row r="95" spans="1:5" s="1370" customFormat="1" ht="12.75" customHeight="1" x14ac:dyDescent="0.25">
      <c r="A95" s="1393" t="s">
        <v>234</v>
      </c>
      <c r="B95" s="1394" t="s">
        <v>235</v>
      </c>
      <c r="C95" s="1373" t="s">
        <v>268</v>
      </c>
      <c r="D95" s="1395">
        <v>9703366.7300000004</v>
      </c>
      <c r="E95" s="1395">
        <v>9703366.7300000004</v>
      </c>
    </row>
    <row r="96" spans="1:5" s="1370" customFormat="1" ht="12.75" customHeight="1" x14ac:dyDescent="0.25">
      <c r="A96" s="1393" t="s">
        <v>236</v>
      </c>
      <c r="B96" s="1394" t="s">
        <v>237</v>
      </c>
      <c r="C96" s="1373" t="s">
        <v>266</v>
      </c>
      <c r="D96" s="1395">
        <v>4374647.38</v>
      </c>
      <c r="E96" s="1395">
        <v>4374647.38</v>
      </c>
    </row>
    <row r="97" spans="1:5" s="1370" customFormat="1" ht="12.75" customHeight="1" x14ac:dyDescent="0.25">
      <c r="A97" s="1393" t="s">
        <v>242</v>
      </c>
      <c r="B97" s="1394" t="s">
        <v>243</v>
      </c>
      <c r="C97" s="1373" t="s">
        <v>268</v>
      </c>
      <c r="D97" s="1395">
        <v>11133439.720000001</v>
      </c>
      <c r="E97" s="1395">
        <v>11133439.720000001</v>
      </c>
    </row>
    <row r="98" spans="1:5" s="1370" customFormat="1" ht="12.75" customHeight="1" x14ac:dyDescent="0.25">
      <c r="A98" s="1393" t="s">
        <v>244</v>
      </c>
      <c r="B98" s="1394" t="s">
        <v>245</v>
      </c>
      <c r="C98" s="1373" t="s">
        <v>268</v>
      </c>
      <c r="D98" s="1395">
        <v>5066600</v>
      </c>
      <c r="E98" s="1395">
        <v>5066600</v>
      </c>
    </row>
    <row r="99" spans="1:5" s="1370" customFormat="1" ht="12.75" customHeight="1" x14ac:dyDescent="0.25">
      <c r="A99" s="1393" t="s">
        <v>246</v>
      </c>
      <c r="B99" s="1394" t="s">
        <v>310</v>
      </c>
      <c r="C99" s="1373" t="s">
        <v>264</v>
      </c>
      <c r="D99" s="1395">
        <v>4059939</v>
      </c>
      <c r="E99" s="1395">
        <v>4059939</v>
      </c>
    </row>
    <row r="100" spans="1:5" s="1370" customFormat="1" ht="12.75" customHeight="1" x14ac:dyDescent="0.25">
      <c r="A100" s="1393" t="s">
        <v>14</v>
      </c>
      <c r="B100" s="1394" t="s">
        <v>15</v>
      </c>
      <c r="C100" s="1373" t="s">
        <v>267</v>
      </c>
      <c r="D100" s="1395">
        <v>13290676.739999998</v>
      </c>
      <c r="E100" s="1395">
        <v>13290676.739999998</v>
      </c>
    </row>
    <row r="101" spans="1:5" s="1370" customFormat="1" ht="12.75" customHeight="1" x14ac:dyDescent="0.25">
      <c r="A101" s="1393" t="s">
        <v>34</v>
      </c>
      <c r="B101" s="1394" t="s">
        <v>35</v>
      </c>
      <c r="C101" s="1373" t="s">
        <v>268</v>
      </c>
      <c r="D101" s="1395">
        <v>5845982</v>
      </c>
      <c r="E101" s="1395">
        <v>5845982</v>
      </c>
    </row>
    <row r="102" spans="1:5" s="1370" customFormat="1" ht="12.75" customHeight="1" x14ac:dyDescent="0.25">
      <c r="A102" s="1393" t="s">
        <v>52</v>
      </c>
      <c r="B102" s="1394" t="s">
        <v>53</v>
      </c>
      <c r="C102" s="1373" t="s">
        <v>265</v>
      </c>
      <c r="D102" s="1395">
        <v>5770878</v>
      </c>
      <c r="E102" s="1395">
        <v>5770878</v>
      </c>
    </row>
    <row r="103" spans="1:5" s="1370" customFormat="1" ht="12.75" customHeight="1" x14ac:dyDescent="0.25">
      <c r="A103" s="1393" t="s">
        <v>54</v>
      </c>
      <c r="B103" s="1394" t="s">
        <v>55</v>
      </c>
      <c r="C103" s="1373" t="s">
        <v>264</v>
      </c>
      <c r="D103" s="1395">
        <v>30437183</v>
      </c>
      <c r="E103" s="1395">
        <v>30437183</v>
      </c>
    </row>
    <row r="104" spans="1:5" s="1370" customFormat="1" ht="12.75" customHeight="1" x14ac:dyDescent="0.25">
      <c r="A104" s="1393" t="s">
        <v>66</v>
      </c>
      <c r="B104" s="1394" t="s">
        <v>67</v>
      </c>
      <c r="C104" s="1373" t="s">
        <v>265</v>
      </c>
      <c r="D104" s="1395">
        <v>17177395</v>
      </c>
      <c r="E104" s="1395">
        <v>17177395</v>
      </c>
    </row>
    <row r="105" spans="1:5" s="1370" customFormat="1" ht="12.75" customHeight="1" x14ac:dyDescent="0.25">
      <c r="A105" s="1393" t="s">
        <v>82</v>
      </c>
      <c r="B105" s="1394" t="s">
        <v>311</v>
      </c>
      <c r="C105" s="1373" t="s">
        <v>264</v>
      </c>
      <c r="D105" s="1395">
        <v>3755572</v>
      </c>
      <c r="E105" s="1395">
        <v>3755572</v>
      </c>
    </row>
    <row r="106" spans="1:5" s="1370" customFormat="1" ht="12.75" customHeight="1" x14ac:dyDescent="0.25">
      <c r="A106" s="1393" t="s">
        <v>88</v>
      </c>
      <c r="B106" s="1394" t="s">
        <v>89</v>
      </c>
      <c r="C106" s="1373" t="s">
        <v>267</v>
      </c>
      <c r="D106" s="1395">
        <v>5261523</v>
      </c>
      <c r="E106" s="1395">
        <v>5261523</v>
      </c>
    </row>
    <row r="107" spans="1:5" s="1370" customFormat="1" ht="12.75" customHeight="1" x14ac:dyDescent="0.25">
      <c r="A107" s="1393" t="s">
        <v>90</v>
      </c>
      <c r="B107" s="1394" t="s">
        <v>91</v>
      </c>
      <c r="C107" s="1373" t="s">
        <v>268</v>
      </c>
      <c r="D107" s="1395">
        <v>2359040</v>
      </c>
      <c r="E107" s="1395">
        <v>2359040</v>
      </c>
    </row>
    <row r="108" spans="1:5" s="1370" customFormat="1" ht="12.75" customHeight="1" x14ac:dyDescent="0.25">
      <c r="A108" s="1393" t="s">
        <v>106</v>
      </c>
      <c r="B108" s="1394" t="s">
        <v>107</v>
      </c>
      <c r="C108" s="1373" t="s">
        <v>264</v>
      </c>
      <c r="D108" s="1395">
        <v>29261059.82</v>
      </c>
      <c r="E108" s="1395">
        <v>29261059.82</v>
      </c>
    </row>
    <row r="109" spans="1:5" s="1370" customFormat="1" ht="12.75" customHeight="1" x14ac:dyDescent="0.25">
      <c r="A109" s="1393" t="s">
        <v>116</v>
      </c>
      <c r="B109" s="1394" t="s">
        <v>117</v>
      </c>
      <c r="C109" s="1373" t="s">
        <v>266</v>
      </c>
      <c r="D109" s="1395">
        <v>10128931</v>
      </c>
      <c r="E109" s="1395">
        <v>10128931</v>
      </c>
    </row>
    <row r="110" spans="1:5" s="1370" customFormat="1" ht="12.75" customHeight="1" x14ac:dyDescent="0.25">
      <c r="A110" s="1393" t="s">
        <v>138</v>
      </c>
      <c r="B110" s="1394" t="s">
        <v>139</v>
      </c>
      <c r="C110" s="1373" t="s">
        <v>265</v>
      </c>
      <c r="D110" s="1395">
        <v>16531381</v>
      </c>
      <c r="E110" s="1395">
        <v>16531381</v>
      </c>
    </row>
    <row r="111" spans="1:5" s="1370" customFormat="1" ht="12.75" customHeight="1" x14ac:dyDescent="0.25">
      <c r="A111" s="1393" t="s">
        <v>142</v>
      </c>
      <c r="B111" s="1394" t="s">
        <v>143</v>
      </c>
      <c r="C111" s="1373" t="s">
        <v>267</v>
      </c>
      <c r="D111" s="1395">
        <v>5477108</v>
      </c>
      <c r="E111" s="1395">
        <v>5477108</v>
      </c>
    </row>
    <row r="112" spans="1:5" s="1370" customFormat="1" ht="12.75" customHeight="1" x14ac:dyDescent="0.25">
      <c r="A112" s="1393" t="s">
        <v>144</v>
      </c>
      <c r="B112" s="1394" t="s">
        <v>145</v>
      </c>
      <c r="C112" s="1373" t="s">
        <v>267</v>
      </c>
      <c r="D112" s="1395">
        <v>1632136</v>
      </c>
      <c r="E112" s="1395">
        <v>1632136</v>
      </c>
    </row>
    <row r="113" spans="1:5" s="1370" customFormat="1" ht="12.75" customHeight="1" x14ac:dyDescent="0.25">
      <c r="A113" s="1393" t="s">
        <v>158</v>
      </c>
      <c r="B113" s="1394" t="s">
        <v>159</v>
      </c>
      <c r="C113" s="1373" t="s">
        <v>264</v>
      </c>
      <c r="D113" s="1395">
        <v>47355864.859999999</v>
      </c>
      <c r="E113" s="1395">
        <v>47355864.859999999</v>
      </c>
    </row>
    <row r="114" spans="1:5" s="1370" customFormat="1" ht="12.75" customHeight="1" x14ac:dyDescent="0.25">
      <c r="A114" s="1393" t="s">
        <v>160</v>
      </c>
      <c r="B114" s="1394" t="s">
        <v>161</v>
      </c>
      <c r="C114" s="1373" t="s">
        <v>264</v>
      </c>
      <c r="D114" s="1395">
        <v>61843718</v>
      </c>
      <c r="E114" s="1395">
        <v>61843718</v>
      </c>
    </row>
    <row r="115" spans="1:5" s="1370" customFormat="1" ht="12.75" customHeight="1" x14ac:dyDescent="0.25">
      <c r="A115" s="1393" t="s">
        <v>166</v>
      </c>
      <c r="B115" s="1394" t="s">
        <v>167</v>
      </c>
      <c r="C115" s="1373" t="s">
        <v>268</v>
      </c>
      <c r="D115" s="1395">
        <v>1227661</v>
      </c>
      <c r="E115" s="1395">
        <v>1227661</v>
      </c>
    </row>
    <row r="116" spans="1:5" s="1370" customFormat="1" ht="12.75" customHeight="1" x14ac:dyDescent="0.25">
      <c r="A116" s="1393" t="s">
        <v>176</v>
      </c>
      <c r="B116" s="1394" t="s">
        <v>177</v>
      </c>
      <c r="C116" s="1373" t="s">
        <v>266</v>
      </c>
      <c r="D116" s="1395">
        <v>14849877</v>
      </c>
      <c r="E116" s="1395">
        <v>14849877</v>
      </c>
    </row>
    <row r="117" spans="1:5" s="1370" customFormat="1" ht="12.75" customHeight="1" x14ac:dyDescent="0.25">
      <c r="A117" s="1393" t="s">
        <v>180</v>
      </c>
      <c r="B117" s="1394" t="s">
        <v>181</v>
      </c>
      <c r="C117" s="1373" t="s">
        <v>264</v>
      </c>
      <c r="D117" s="1395">
        <v>33466136</v>
      </c>
      <c r="E117" s="1395">
        <v>33466136</v>
      </c>
    </row>
    <row r="118" spans="1:5" s="1370" customFormat="1" ht="12.75" customHeight="1" x14ac:dyDescent="0.25">
      <c r="A118" s="1393" t="s">
        <v>192</v>
      </c>
      <c r="B118" s="1394" t="s">
        <v>193</v>
      </c>
      <c r="C118" s="1373" t="s">
        <v>268</v>
      </c>
      <c r="D118" s="1395">
        <v>2042528</v>
      </c>
      <c r="E118" s="1395">
        <v>2042528</v>
      </c>
    </row>
    <row r="119" spans="1:5" s="1370" customFormat="1" ht="12.75" customHeight="1" x14ac:dyDescent="0.25">
      <c r="A119" s="1393" t="s">
        <v>196</v>
      </c>
      <c r="B119" s="1394" t="s">
        <v>312</v>
      </c>
      <c r="C119" s="1373" t="s">
        <v>266</v>
      </c>
      <c r="D119" s="1395">
        <v>65889582</v>
      </c>
      <c r="E119" s="1395">
        <v>65889582</v>
      </c>
    </row>
    <row r="120" spans="1:5" s="1370" customFormat="1" ht="12.75" customHeight="1" x14ac:dyDescent="0.25">
      <c r="A120" s="1393" t="s">
        <v>200</v>
      </c>
      <c r="B120" s="1394" t="s">
        <v>313</v>
      </c>
      <c r="C120" s="1373" t="s">
        <v>265</v>
      </c>
      <c r="D120" s="1395">
        <v>30066938.629999999</v>
      </c>
      <c r="E120" s="1395">
        <v>30066938.629999999</v>
      </c>
    </row>
    <row r="121" spans="1:5" s="1370" customFormat="1" ht="12.75" customHeight="1" x14ac:dyDescent="0.25">
      <c r="A121" s="1393" t="s">
        <v>222</v>
      </c>
      <c r="B121" s="1394" t="s">
        <v>223</v>
      </c>
      <c r="C121" s="1373" t="s">
        <v>264</v>
      </c>
      <c r="D121" s="1395">
        <v>16142866</v>
      </c>
      <c r="E121" s="1395">
        <v>16142866</v>
      </c>
    </row>
    <row r="122" spans="1:5" s="1370" customFormat="1" ht="12.75" customHeight="1" x14ac:dyDescent="0.25">
      <c r="A122" s="1393" t="s">
        <v>230</v>
      </c>
      <c r="B122" s="1394" t="s">
        <v>231</v>
      </c>
      <c r="C122" s="1373" t="s">
        <v>264</v>
      </c>
      <c r="D122" s="1395">
        <v>44009044</v>
      </c>
      <c r="E122" s="1395">
        <v>44009044</v>
      </c>
    </row>
    <row r="123" spans="1:5" s="1370" customFormat="1" ht="12.75" customHeight="1" x14ac:dyDescent="0.25">
      <c r="A123" s="1393" t="s">
        <v>238</v>
      </c>
      <c r="B123" s="1394" t="s">
        <v>239</v>
      </c>
      <c r="C123" s="1373" t="s">
        <v>264</v>
      </c>
      <c r="D123" s="1395">
        <v>2742652.7</v>
      </c>
      <c r="E123" s="1395">
        <v>2742652.7</v>
      </c>
    </row>
    <row r="124" spans="1:5" s="1370" customFormat="1" ht="12.75" customHeight="1" x14ac:dyDescent="0.25">
      <c r="A124" s="1393" t="s">
        <v>240</v>
      </c>
      <c r="B124" s="1394" t="s">
        <v>241</v>
      </c>
      <c r="C124" s="1383" t="s">
        <v>267</v>
      </c>
      <c r="D124" s="1395">
        <v>5376420</v>
      </c>
      <c r="E124" s="1395">
        <v>5376420</v>
      </c>
    </row>
    <row r="125" spans="1:5" s="1370" customFormat="1" ht="12.75" customHeight="1" x14ac:dyDescent="0.25"/>
    <row r="126" spans="1:5" s="1370" customFormat="1" ht="12.75" customHeight="1" x14ac:dyDescent="0.25">
      <c r="A126" s="1370" t="s">
        <v>266</v>
      </c>
      <c r="D126" s="1882">
        <v>239098298.88</v>
      </c>
      <c r="E126" s="1882">
        <v>239098298.88</v>
      </c>
    </row>
    <row r="127" spans="1:5" s="1370" customFormat="1" ht="12.75" customHeight="1" x14ac:dyDescent="0.25">
      <c r="A127" s="1370" t="s">
        <v>264</v>
      </c>
      <c r="D127" s="1882">
        <v>327104348.38</v>
      </c>
      <c r="E127" s="1882">
        <v>327104348.38</v>
      </c>
    </row>
    <row r="128" spans="1:5" s="1370" customFormat="1" ht="12.75" customHeight="1" x14ac:dyDescent="0.25">
      <c r="A128" s="1370" t="s">
        <v>267</v>
      </c>
      <c r="D128" s="1882">
        <v>251724938.78000003</v>
      </c>
      <c r="E128" s="1882">
        <v>251724938.78000003</v>
      </c>
    </row>
    <row r="129" spans="1:5" s="1370" customFormat="1" ht="12.75" customHeight="1" x14ac:dyDescent="0.25">
      <c r="A129" s="1370" t="s">
        <v>265</v>
      </c>
      <c r="D129" s="1882">
        <v>197310978.23999998</v>
      </c>
      <c r="E129" s="1882">
        <v>197310978.23999998</v>
      </c>
    </row>
    <row r="130" spans="1:5" s="1370" customFormat="1" ht="12.75" customHeight="1" x14ac:dyDescent="0.25">
      <c r="A130" s="1370" t="s">
        <v>268</v>
      </c>
      <c r="D130" s="1882">
        <v>120008412.09</v>
      </c>
      <c r="E130" s="1882">
        <v>120008412.09</v>
      </c>
    </row>
    <row r="131" spans="1:5" s="1370" customFormat="1" ht="12.75" customHeight="1" x14ac:dyDescent="0.25">
      <c r="A131" s="1370" t="s">
        <v>9</v>
      </c>
      <c r="D131" s="1883">
        <f>E131</f>
        <v>1135246976.3699999</v>
      </c>
      <c r="E131" s="1883">
        <f t="shared" ref="E131" si="0">SUM(E126:E130)</f>
        <v>1135246976.3699999</v>
      </c>
    </row>
    <row r="133" spans="1:5" s="369" customFormat="1" x14ac:dyDescent="0.25">
      <c r="A133" s="917" t="s">
        <v>1263</v>
      </c>
      <c r="B133" s="676"/>
      <c r="C133" s="676"/>
      <c r="D133" s="629"/>
    </row>
    <row r="134" spans="1:5" s="369" customFormat="1" x14ac:dyDescent="0.25"/>
    <row r="135" spans="1:5" s="389" customFormat="1" x14ac:dyDescent="0.25">
      <c r="A135" s="389" t="s">
        <v>248</v>
      </c>
    </row>
    <row r="136" spans="1:5" x14ac:dyDescent="0.25">
      <c r="A136" s="390" t="s">
        <v>249</v>
      </c>
      <c r="B136" s="391" t="s">
        <v>250</v>
      </c>
      <c r="C136" s="391"/>
    </row>
  </sheetData>
  <autoFilter ref="A3:C124"/>
  <sortState ref="A5:E124">
    <sortCondition ref="A5:A124"/>
  </sortState>
  <hyperlinks>
    <hyperlink ref="B136" r:id="rId1"/>
  </hyperlinks>
  <pageMargins left="0.7" right="0.7" top="0.75" bottom="0.75" header="0.3" footer="0.3"/>
  <pageSetup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6"/>
  <sheetViews>
    <sheetView topLeftCell="C1" workbookViewId="0">
      <pane ySplit="4" topLeftCell="A5" activePane="bottomLeft" state="frozen"/>
      <selection pane="bottomLeft" activeCell="A5" sqref="A5"/>
    </sheetView>
  </sheetViews>
  <sheetFormatPr defaultRowHeight="15.75" x14ac:dyDescent="0.25"/>
  <cols>
    <col min="1" max="1" width="10" style="265" customWidth="1"/>
    <col min="2" max="2" width="28.625" style="265" customWidth="1"/>
    <col min="3" max="3" width="16.5" style="265" customWidth="1"/>
    <col min="4" max="9" width="17.125" style="265" customWidth="1"/>
    <col min="10" max="16384" width="9" style="265"/>
  </cols>
  <sheetData>
    <row r="1" spans="1:9" x14ac:dyDescent="0.25">
      <c r="A1" s="64" t="s">
        <v>1265</v>
      </c>
      <c r="D1" s="682"/>
    </row>
    <row r="2" spans="1:9" x14ac:dyDescent="0.25">
      <c r="D2" s="682"/>
    </row>
    <row r="3" spans="1:9" s="1370" customFormat="1" ht="12.75" customHeight="1" x14ac:dyDescent="0.25">
      <c r="A3" s="1396" t="s">
        <v>4</v>
      </c>
      <c r="B3" s="1397" t="s">
        <v>5</v>
      </c>
      <c r="C3" s="1397" t="s">
        <v>251</v>
      </c>
      <c r="D3" s="1890" t="s">
        <v>395</v>
      </c>
      <c r="E3" s="1891" t="s">
        <v>951</v>
      </c>
      <c r="F3" s="1891" t="s">
        <v>949</v>
      </c>
      <c r="G3" s="1891" t="s">
        <v>950</v>
      </c>
      <c r="H3" s="1891" t="s">
        <v>952</v>
      </c>
      <c r="I3" s="1892" t="s">
        <v>953</v>
      </c>
    </row>
    <row r="4" spans="1:9" s="1370" customFormat="1" ht="12.75" customHeight="1" x14ac:dyDescent="0.25">
      <c r="A4" s="1398">
        <v>999</v>
      </c>
      <c r="B4" s="1399" t="s">
        <v>9</v>
      </c>
      <c r="C4" s="1399"/>
      <c r="D4" s="1893">
        <f>SUM(D5:D124)</f>
        <v>63987641.599999972</v>
      </c>
      <c r="E4" s="1894">
        <f>SUM(E5:E124)</f>
        <v>63987641.599999972</v>
      </c>
      <c r="F4" s="1894">
        <f t="shared" ref="F4:I4" si="0">SUM(F5:F124)</f>
        <v>0</v>
      </c>
      <c r="G4" s="1894">
        <f t="shared" si="0"/>
        <v>0</v>
      </c>
      <c r="H4" s="1894">
        <f t="shared" si="0"/>
        <v>0</v>
      </c>
      <c r="I4" s="1895">
        <f t="shared" si="0"/>
        <v>0</v>
      </c>
    </row>
    <row r="5" spans="1:9" s="1370" customFormat="1" ht="12.75" customHeight="1" x14ac:dyDescent="0.25">
      <c r="A5" s="1400" t="s">
        <v>10</v>
      </c>
      <c r="B5" s="1401" t="s">
        <v>11</v>
      </c>
      <c r="C5" s="1373" t="s">
        <v>264</v>
      </c>
      <c r="D5" s="1896">
        <f t="shared" ref="D5:D36" si="1">SUM(E5:H5)</f>
        <v>884689.08</v>
      </c>
      <c r="E5" s="1897">
        <v>884689.08</v>
      </c>
      <c r="F5" s="1897">
        <v>0</v>
      </c>
      <c r="G5" s="1897">
        <v>0</v>
      </c>
      <c r="H5" s="1897">
        <v>0</v>
      </c>
      <c r="I5" s="1898">
        <f t="shared" ref="I5:I36" si="2">G5+H5</f>
        <v>0</v>
      </c>
    </row>
    <row r="6" spans="1:9" s="1370" customFormat="1" ht="12.75" customHeight="1" x14ac:dyDescent="0.25">
      <c r="A6" s="1400" t="s">
        <v>12</v>
      </c>
      <c r="B6" s="1401" t="s">
        <v>13</v>
      </c>
      <c r="C6" s="1373" t="s">
        <v>265</v>
      </c>
      <c r="D6" s="1896">
        <f t="shared" si="1"/>
        <v>431502.54</v>
      </c>
      <c r="E6" s="1897">
        <v>431502.54</v>
      </c>
      <c r="F6" s="1897">
        <v>0</v>
      </c>
      <c r="G6" s="1897">
        <v>0</v>
      </c>
      <c r="H6" s="1897">
        <v>0</v>
      </c>
      <c r="I6" s="1898">
        <f t="shared" si="2"/>
        <v>0</v>
      </c>
    </row>
    <row r="7" spans="1:9" s="1370" customFormat="1" ht="12.75" customHeight="1" x14ac:dyDescent="0.25">
      <c r="A7" s="1400" t="s">
        <v>16</v>
      </c>
      <c r="B7" s="1401" t="s">
        <v>297</v>
      </c>
      <c r="C7" s="1373" t="s">
        <v>265</v>
      </c>
      <c r="D7" s="1896">
        <f t="shared" si="1"/>
        <v>542880.62999999989</v>
      </c>
      <c r="E7" s="1897">
        <v>542880.62999999989</v>
      </c>
      <c r="F7" s="1897">
        <v>0</v>
      </c>
      <c r="G7" s="1897">
        <v>0</v>
      </c>
      <c r="H7" s="1897">
        <v>0</v>
      </c>
      <c r="I7" s="1898">
        <f t="shared" si="2"/>
        <v>0</v>
      </c>
    </row>
    <row r="8" spans="1:9" s="1370" customFormat="1" ht="12.75" customHeight="1" x14ac:dyDescent="0.25">
      <c r="A8" s="1400" t="s">
        <v>18</v>
      </c>
      <c r="B8" s="1401" t="s">
        <v>19</v>
      </c>
      <c r="C8" s="1373" t="s">
        <v>266</v>
      </c>
      <c r="D8" s="1896">
        <f t="shared" si="1"/>
        <v>151117.63999999998</v>
      </c>
      <c r="E8" s="1897">
        <v>151117.63999999998</v>
      </c>
      <c r="F8" s="1897">
        <v>0</v>
      </c>
      <c r="G8" s="1897">
        <v>0</v>
      </c>
      <c r="H8" s="1897">
        <v>0</v>
      </c>
      <c r="I8" s="1898">
        <f t="shared" si="2"/>
        <v>0</v>
      </c>
    </row>
    <row r="9" spans="1:9" s="1370" customFormat="1" ht="12.75" customHeight="1" x14ac:dyDescent="0.25">
      <c r="A9" s="1400" t="s">
        <v>20</v>
      </c>
      <c r="B9" s="1401" t="s">
        <v>21</v>
      </c>
      <c r="C9" s="1373" t="s">
        <v>265</v>
      </c>
      <c r="D9" s="1896">
        <f t="shared" si="1"/>
        <v>475656.27999999997</v>
      </c>
      <c r="E9" s="1897">
        <v>475656.27999999997</v>
      </c>
      <c r="F9" s="1897">
        <v>0</v>
      </c>
      <c r="G9" s="1897">
        <v>0</v>
      </c>
      <c r="H9" s="1897">
        <v>0</v>
      </c>
      <c r="I9" s="1898">
        <f t="shared" si="2"/>
        <v>0</v>
      </c>
    </row>
    <row r="10" spans="1:9" s="1370" customFormat="1" ht="12.75" customHeight="1" x14ac:dyDescent="0.25">
      <c r="A10" s="1400" t="s">
        <v>22</v>
      </c>
      <c r="B10" s="1401" t="s">
        <v>23</v>
      </c>
      <c r="C10" s="1373" t="s">
        <v>265</v>
      </c>
      <c r="D10" s="1896">
        <f t="shared" si="1"/>
        <v>304026.71000000002</v>
      </c>
      <c r="E10" s="1897">
        <v>304026.71000000002</v>
      </c>
      <c r="F10" s="1897">
        <v>0</v>
      </c>
      <c r="G10" s="1897">
        <v>0</v>
      </c>
      <c r="H10" s="1897">
        <v>0</v>
      </c>
      <c r="I10" s="1898">
        <f t="shared" si="2"/>
        <v>0</v>
      </c>
    </row>
    <row r="11" spans="1:9" s="1370" customFormat="1" ht="12.75" customHeight="1" x14ac:dyDescent="0.25">
      <c r="A11" s="1400" t="s">
        <v>24</v>
      </c>
      <c r="B11" s="1401" t="s">
        <v>25</v>
      </c>
      <c r="C11" s="1373" t="s">
        <v>267</v>
      </c>
      <c r="D11" s="1896">
        <f t="shared" si="1"/>
        <v>365597.25</v>
      </c>
      <c r="E11" s="1897">
        <v>365597.25</v>
      </c>
      <c r="F11" s="1897">
        <v>0</v>
      </c>
      <c r="G11" s="1897">
        <v>0</v>
      </c>
      <c r="H11" s="1897">
        <v>0</v>
      </c>
      <c r="I11" s="1898">
        <f t="shared" si="2"/>
        <v>0</v>
      </c>
    </row>
    <row r="12" spans="1:9" s="1370" customFormat="1" ht="12.75" customHeight="1" x14ac:dyDescent="0.25">
      <c r="A12" s="1400" t="s">
        <v>26</v>
      </c>
      <c r="B12" s="1401" t="s">
        <v>685</v>
      </c>
      <c r="C12" s="1373" t="s">
        <v>265</v>
      </c>
      <c r="D12" s="1896">
        <f t="shared" si="1"/>
        <v>1216588.43</v>
      </c>
      <c r="E12" s="1897">
        <v>1216588.43</v>
      </c>
      <c r="F12" s="1897">
        <v>0</v>
      </c>
      <c r="G12" s="1897">
        <v>0</v>
      </c>
      <c r="H12" s="1897">
        <v>0</v>
      </c>
      <c r="I12" s="1898">
        <f t="shared" si="2"/>
        <v>0</v>
      </c>
    </row>
    <row r="13" spans="1:9" s="1370" customFormat="1" ht="12.75" customHeight="1" x14ac:dyDescent="0.25">
      <c r="A13" s="1400" t="s">
        <v>27</v>
      </c>
      <c r="B13" s="1401" t="s">
        <v>28</v>
      </c>
      <c r="C13" s="1373" t="s">
        <v>265</v>
      </c>
      <c r="D13" s="1896">
        <f t="shared" si="1"/>
        <v>52871.47</v>
      </c>
      <c r="E13" s="1897">
        <v>52871.47</v>
      </c>
      <c r="F13" s="1897">
        <v>0</v>
      </c>
      <c r="G13" s="1897">
        <v>0</v>
      </c>
      <c r="H13" s="1897">
        <v>0</v>
      </c>
      <c r="I13" s="1898">
        <f t="shared" si="2"/>
        <v>0</v>
      </c>
    </row>
    <row r="14" spans="1:9" s="1370" customFormat="1" ht="12.75" customHeight="1" x14ac:dyDescent="0.25">
      <c r="A14" s="1400" t="s">
        <v>29</v>
      </c>
      <c r="B14" s="1401" t="s">
        <v>901</v>
      </c>
      <c r="C14" s="1373" t="s">
        <v>265</v>
      </c>
      <c r="D14" s="1896">
        <f t="shared" si="1"/>
        <v>604174.15</v>
      </c>
      <c r="E14" s="1897">
        <v>604174.15</v>
      </c>
      <c r="F14" s="1897">
        <v>0</v>
      </c>
      <c r="G14" s="1897">
        <v>0</v>
      </c>
      <c r="H14" s="1897">
        <v>0</v>
      </c>
      <c r="I14" s="1898">
        <f t="shared" si="2"/>
        <v>0</v>
      </c>
    </row>
    <row r="15" spans="1:9" s="1370" customFormat="1" ht="12.75" customHeight="1" x14ac:dyDescent="0.25">
      <c r="A15" s="1400" t="s">
        <v>30</v>
      </c>
      <c r="B15" s="1401" t="s">
        <v>31</v>
      </c>
      <c r="C15" s="1373" t="s">
        <v>268</v>
      </c>
      <c r="D15" s="1896">
        <f t="shared" si="1"/>
        <v>86677.75</v>
      </c>
      <c r="E15" s="1897">
        <v>86677.75</v>
      </c>
      <c r="F15" s="1897">
        <v>0</v>
      </c>
      <c r="G15" s="1897">
        <v>0</v>
      </c>
      <c r="H15" s="1897">
        <v>0</v>
      </c>
      <c r="I15" s="1898">
        <f t="shared" si="2"/>
        <v>0</v>
      </c>
    </row>
    <row r="16" spans="1:9" s="1370" customFormat="1" ht="12.75" customHeight="1" x14ac:dyDescent="0.25">
      <c r="A16" s="1400" t="s">
        <v>32</v>
      </c>
      <c r="B16" s="1401" t="s">
        <v>33</v>
      </c>
      <c r="C16" s="1373" t="s">
        <v>265</v>
      </c>
      <c r="D16" s="1896">
        <f t="shared" si="1"/>
        <v>144402.85</v>
      </c>
      <c r="E16" s="1897">
        <v>144402.85</v>
      </c>
      <c r="F16" s="1897">
        <v>0</v>
      </c>
      <c r="G16" s="1897">
        <v>0</v>
      </c>
      <c r="H16" s="1897">
        <v>0</v>
      </c>
      <c r="I16" s="1898">
        <f t="shared" si="2"/>
        <v>0</v>
      </c>
    </row>
    <row r="17" spans="1:9" s="1370" customFormat="1" ht="12.75" customHeight="1" x14ac:dyDescent="0.25">
      <c r="A17" s="1400" t="s">
        <v>36</v>
      </c>
      <c r="B17" s="1401" t="s">
        <v>37</v>
      </c>
      <c r="C17" s="1373" t="s">
        <v>264</v>
      </c>
      <c r="D17" s="1896">
        <f t="shared" si="1"/>
        <v>610043.89</v>
      </c>
      <c r="E17" s="1897">
        <v>610043.89</v>
      </c>
      <c r="F17" s="1897">
        <v>0</v>
      </c>
      <c r="G17" s="1897">
        <v>0</v>
      </c>
      <c r="H17" s="1897">
        <v>0</v>
      </c>
      <c r="I17" s="1898">
        <f t="shared" si="2"/>
        <v>0</v>
      </c>
    </row>
    <row r="18" spans="1:9" s="1370" customFormat="1" ht="12.75" customHeight="1" x14ac:dyDescent="0.25">
      <c r="A18" s="1400" t="s">
        <v>38</v>
      </c>
      <c r="B18" s="1401" t="s">
        <v>39</v>
      </c>
      <c r="C18" s="1373" t="s">
        <v>268</v>
      </c>
      <c r="D18" s="1896">
        <f t="shared" si="1"/>
        <v>1519460.39</v>
      </c>
      <c r="E18" s="1897">
        <v>1519460.39</v>
      </c>
      <c r="F18" s="1897">
        <v>0</v>
      </c>
      <c r="G18" s="1897">
        <v>0</v>
      </c>
      <c r="H18" s="1897">
        <v>0</v>
      </c>
      <c r="I18" s="1898">
        <f t="shared" si="2"/>
        <v>0</v>
      </c>
    </row>
    <row r="19" spans="1:9" s="1370" customFormat="1" ht="12.75" customHeight="1" x14ac:dyDescent="0.25">
      <c r="A19" s="1400" t="s">
        <v>40</v>
      </c>
      <c r="B19" s="1401" t="s">
        <v>41</v>
      </c>
      <c r="C19" s="1373" t="s">
        <v>266</v>
      </c>
      <c r="D19" s="1896">
        <f t="shared" si="1"/>
        <v>381349.7</v>
      </c>
      <c r="E19" s="1897">
        <v>381349.7</v>
      </c>
      <c r="F19" s="1897">
        <v>0</v>
      </c>
      <c r="G19" s="1897">
        <v>0</v>
      </c>
      <c r="H19" s="1897">
        <v>0</v>
      </c>
      <c r="I19" s="1898">
        <f t="shared" si="2"/>
        <v>0</v>
      </c>
    </row>
    <row r="20" spans="1:9" s="1370" customFormat="1" ht="12.75" customHeight="1" x14ac:dyDescent="0.25">
      <c r="A20" s="1400" t="s">
        <v>42</v>
      </c>
      <c r="B20" s="1401" t="s">
        <v>43</v>
      </c>
      <c r="C20" s="1373" t="s">
        <v>265</v>
      </c>
      <c r="D20" s="1896">
        <f t="shared" si="1"/>
        <v>957891.2699999999</v>
      </c>
      <c r="E20" s="1897">
        <v>957891.2699999999</v>
      </c>
      <c r="F20" s="1897">
        <v>0</v>
      </c>
      <c r="G20" s="1897">
        <v>0</v>
      </c>
      <c r="H20" s="1897">
        <v>0</v>
      </c>
      <c r="I20" s="1898">
        <f t="shared" si="2"/>
        <v>0</v>
      </c>
    </row>
    <row r="21" spans="1:9" s="1370" customFormat="1" ht="12.75" customHeight="1" x14ac:dyDescent="0.25">
      <c r="A21" s="1400" t="s">
        <v>44</v>
      </c>
      <c r="B21" s="1401" t="s">
        <v>45</v>
      </c>
      <c r="C21" s="1373" t="s">
        <v>266</v>
      </c>
      <c r="D21" s="1896">
        <f t="shared" si="1"/>
        <v>236577.53</v>
      </c>
      <c r="E21" s="1897">
        <v>236577.53</v>
      </c>
      <c r="F21" s="1897">
        <v>0</v>
      </c>
      <c r="G21" s="1897">
        <v>0</v>
      </c>
      <c r="H21" s="1897">
        <v>0</v>
      </c>
      <c r="I21" s="1898">
        <f t="shared" si="2"/>
        <v>0</v>
      </c>
    </row>
    <row r="22" spans="1:9" s="1370" customFormat="1" ht="12.75" customHeight="1" x14ac:dyDescent="0.25">
      <c r="A22" s="1400" t="s">
        <v>46</v>
      </c>
      <c r="B22" s="1401" t="s">
        <v>47</v>
      </c>
      <c r="C22" s="1373" t="s">
        <v>268</v>
      </c>
      <c r="D22" s="1896">
        <f t="shared" si="1"/>
        <v>769902.46</v>
      </c>
      <c r="E22" s="1897">
        <v>769902.46</v>
      </c>
      <c r="F22" s="1897">
        <v>0</v>
      </c>
      <c r="G22" s="1897">
        <v>0</v>
      </c>
      <c r="H22" s="1897">
        <v>0</v>
      </c>
      <c r="I22" s="1898">
        <f t="shared" si="2"/>
        <v>0</v>
      </c>
    </row>
    <row r="23" spans="1:9" s="1370" customFormat="1" ht="12.75" customHeight="1" x14ac:dyDescent="0.25">
      <c r="A23" s="1400" t="s">
        <v>48</v>
      </c>
      <c r="B23" s="1401" t="s">
        <v>269</v>
      </c>
      <c r="C23" s="1373" t="s">
        <v>266</v>
      </c>
      <c r="D23" s="1896">
        <f t="shared" si="1"/>
        <v>96793.58</v>
      </c>
      <c r="E23" s="1897">
        <v>96793.58</v>
      </c>
      <c r="F23" s="1897">
        <v>0</v>
      </c>
      <c r="G23" s="1897">
        <v>0</v>
      </c>
      <c r="H23" s="1897">
        <v>0</v>
      </c>
      <c r="I23" s="1898">
        <f t="shared" si="2"/>
        <v>0</v>
      </c>
    </row>
    <row r="24" spans="1:9" s="1370" customFormat="1" ht="12.75" customHeight="1" x14ac:dyDescent="0.25">
      <c r="A24" s="1400" t="s">
        <v>50</v>
      </c>
      <c r="B24" s="1401" t="s">
        <v>51</v>
      </c>
      <c r="C24" s="1373" t="s">
        <v>265</v>
      </c>
      <c r="D24" s="1896">
        <f t="shared" si="1"/>
        <v>362519.94</v>
      </c>
      <c r="E24" s="1897">
        <v>362519.94</v>
      </c>
      <c r="F24" s="1897">
        <v>0</v>
      </c>
      <c r="G24" s="1897">
        <v>0</v>
      </c>
      <c r="H24" s="1897">
        <v>0</v>
      </c>
      <c r="I24" s="1898">
        <f t="shared" si="2"/>
        <v>0</v>
      </c>
    </row>
    <row r="25" spans="1:9" s="1370" customFormat="1" ht="12.75" customHeight="1" x14ac:dyDescent="0.25">
      <c r="A25" s="1400" t="s">
        <v>56</v>
      </c>
      <c r="B25" s="1401" t="s">
        <v>295</v>
      </c>
      <c r="C25" s="1373" t="s">
        <v>266</v>
      </c>
      <c r="D25" s="1896">
        <f t="shared" si="1"/>
        <v>1009914.7499999999</v>
      </c>
      <c r="E25" s="1897">
        <v>1009914.7499999999</v>
      </c>
      <c r="F25" s="1897">
        <v>0</v>
      </c>
      <c r="G25" s="1897">
        <v>0</v>
      </c>
      <c r="H25" s="1897">
        <v>0</v>
      </c>
      <c r="I25" s="1898">
        <f t="shared" si="2"/>
        <v>0</v>
      </c>
    </row>
    <row r="26" spans="1:9" s="1370" customFormat="1" ht="12.75" customHeight="1" x14ac:dyDescent="0.25">
      <c r="A26" s="1400" t="s">
        <v>58</v>
      </c>
      <c r="B26" s="1401" t="s">
        <v>59</v>
      </c>
      <c r="C26" s="1373" t="s">
        <v>267</v>
      </c>
      <c r="D26" s="1896">
        <f t="shared" si="1"/>
        <v>41069.08</v>
      </c>
      <c r="E26" s="1897">
        <v>41069.08</v>
      </c>
      <c r="F26" s="1897">
        <v>0</v>
      </c>
      <c r="G26" s="1897">
        <v>0</v>
      </c>
      <c r="H26" s="1897">
        <v>0</v>
      </c>
      <c r="I26" s="1898">
        <f t="shared" si="2"/>
        <v>0</v>
      </c>
    </row>
    <row r="27" spans="1:9" s="1370" customFormat="1" ht="12.75" customHeight="1" x14ac:dyDescent="0.25">
      <c r="A27" s="1400" t="s">
        <v>60</v>
      </c>
      <c r="B27" s="1401" t="s">
        <v>61</v>
      </c>
      <c r="C27" s="1373" t="s">
        <v>265</v>
      </c>
      <c r="D27" s="1896">
        <f t="shared" si="1"/>
        <v>97139.37999999999</v>
      </c>
      <c r="E27" s="1897">
        <v>97139.37999999999</v>
      </c>
      <c r="F27" s="1897">
        <v>0</v>
      </c>
      <c r="G27" s="1897">
        <v>0</v>
      </c>
      <c r="H27" s="1897">
        <v>0</v>
      </c>
      <c r="I27" s="1898">
        <f t="shared" si="2"/>
        <v>0</v>
      </c>
    </row>
    <row r="28" spans="1:9" s="1370" customFormat="1" ht="12.75" customHeight="1" x14ac:dyDescent="0.25">
      <c r="A28" s="1400" t="s">
        <v>62</v>
      </c>
      <c r="B28" s="1401" t="s">
        <v>63</v>
      </c>
      <c r="C28" s="1373" t="s">
        <v>267</v>
      </c>
      <c r="D28" s="1896">
        <f t="shared" si="1"/>
        <v>296288.18000000005</v>
      </c>
      <c r="E28" s="1897">
        <v>296288.18000000005</v>
      </c>
      <c r="F28" s="1897">
        <v>0</v>
      </c>
      <c r="G28" s="1897">
        <v>0</v>
      </c>
      <c r="H28" s="1897">
        <v>0</v>
      </c>
      <c r="I28" s="1898">
        <f t="shared" si="2"/>
        <v>0</v>
      </c>
    </row>
    <row r="29" spans="1:9" s="1370" customFormat="1" ht="12.75" customHeight="1" x14ac:dyDescent="0.25">
      <c r="A29" s="1400" t="s">
        <v>64</v>
      </c>
      <c r="B29" s="1401" t="s">
        <v>65</v>
      </c>
      <c r="C29" s="1373" t="s">
        <v>266</v>
      </c>
      <c r="D29" s="1896">
        <f t="shared" si="1"/>
        <v>195797.9</v>
      </c>
      <c r="E29" s="1897">
        <v>195797.9</v>
      </c>
      <c r="F29" s="1897">
        <v>0</v>
      </c>
      <c r="G29" s="1897">
        <v>0</v>
      </c>
      <c r="H29" s="1897">
        <v>0</v>
      </c>
      <c r="I29" s="1898">
        <f t="shared" si="2"/>
        <v>0</v>
      </c>
    </row>
    <row r="30" spans="1:9" s="1370" customFormat="1" ht="12.75" customHeight="1" x14ac:dyDescent="0.25">
      <c r="A30" s="1400" t="s">
        <v>68</v>
      </c>
      <c r="B30" s="1401" t="s">
        <v>69</v>
      </c>
      <c r="C30" s="1373" t="s">
        <v>268</v>
      </c>
      <c r="D30" s="1896">
        <f t="shared" si="1"/>
        <v>745496.23</v>
      </c>
      <c r="E30" s="1897">
        <v>745496.23</v>
      </c>
      <c r="F30" s="1897">
        <v>0</v>
      </c>
      <c r="G30" s="1897">
        <v>0</v>
      </c>
      <c r="H30" s="1897">
        <v>0</v>
      </c>
      <c r="I30" s="1898">
        <f t="shared" si="2"/>
        <v>0</v>
      </c>
    </row>
    <row r="31" spans="1:9" s="1370" customFormat="1" ht="12.75" customHeight="1" x14ac:dyDescent="0.25">
      <c r="A31" s="1400" t="s">
        <v>70</v>
      </c>
      <c r="B31" s="1401" t="s">
        <v>71</v>
      </c>
      <c r="C31" s="1373" t="s">
        <v>264</v>
      </c>
      <c r="D31" s="1896">
        <f t="shared" si="1"/>
        <v>364290.60000000003</v>
      </c>
      <c r="E31" s="1897">
        <v>364290.60000000003</v>
      </c>
      <c r="F31" s="1897">
        <v>0</v>
      </c>
      <c r="G31" s="1897">
        <v>0</v>
      </c>
      <c r="H31" s="1897">
        <v>0</v>
      </c>
      <c r="I31" s="1898">
        <f t="shared" si="2"/>
        <v>0</v>
      </c>
    </row>
    <row r="32" spans="1:9" s="1370" customFormat="1" ht="12.75" customHeight="1" x14ac:dyDescent="0.25">
      <c r="A32" s="1400" t="s">
        <v>72</v>
      </c>
      <c r="B32" s="1401" t="s">
        <v>73</v>
      </c>
      <c r="C32" s="1373" t="s">
        <v>266</v>
      </c>
      <c r="D32" s="1896">
        <f t="shared" si="1"/>
        <v>243113.82</v>
      </c>
      <c r="E32" s="1897">
        <v>243113.82</v>
      </c>
      <c r="F32" s="1897">
        <v>0</v>
      </c>
      <c r="G32" s="1897">
        <v>0</v>
      </c>
      <c r="H32" s="1897">
        <v>0</v>
      </c>
      <c r="I32" s="1898">
        <f t="shared" si="2"/>
        <v>0</v>
      </c>
    </row>
    <row r="33" spans="1:9" s="1370" customFormat="1" ht="12.75" customHeight="1" x14ac:dyDescent="0.25">
      <c r="A33" s="1400" t="s">
        <v>74</v>
      </c>
      <c r="B33" s="1401" t="s">
        <v>302</v>
      </c>
      <c r="C33" s="1373" t="s">
        <v>267</v>
      </c>
      <c r="D33" s="1896">
        <f t="shared" si="1"/>
        <v>712809.61</v>
      </c>
      <c r="E33" s="1897">
        <v>712809.61</v>
      </c>
      <c r="F33" s="1897">
        <v>0</v>
      </c>
      <c r="G33" s="1897">
        <v>0</v>
      </c>
      <c r="H33" s="1897">
        <v>0</v>
      </c>
      <c r="I33" s="1898">
        <f t="shared" si="2"/>
        <v>0</v>
      </c>
    </row>
    <row r="34" spans="1:9" s="1370" customFormat="1" ht="12.75" customHeight="1" x14ac:dyDescent="0.25">
      <c r="A34" s="1400" t="s">
        <v>76</v>
      </c>
      <c r="B34" s="1401" t="s">
        <v>77</v>
      </c>
      <c r="C34" s="1373" t="s">
        <v>267</v>
      </c>
      <c r="D34" s="1896">
        <f t="shared" si="1"/>
        <v>138439.15</v>
      </c>
      <c r="E34" s="1897">
        <v>138439.15</v>
      </c>
      <c r="F34" s="1897">
        <v>0</v>
      </c>
      <c r="G34" s="1897">
        <v>0</v>
      </c>
      <c r="H34" s="1897">
        <v>0</v>
      </c>
      <c r="I34" s="1898">
        <f t="shared" si="2"/>
        <v>0</v>
      </c>
    </row>
    <row r="35" spans="1:9" s="1370" customFormat="1" ht="12.75" customHeight="1" x14ac:dyDescent="0.25">
      <c r="A35" s="1400" t="s">
        <v>78</v>
      </c>
      <c r="B35" s="1401" t="s">
        <v>79</v>
      </c>
      <c r="C35" s="1373" t="s">
        <v>268</v>
      </c>
      <c r="D35" s="1896">
        <f t="shared" si="1"/>
        <v>255784.26</v>
      </c>
      <c r="E35" s="1897">
        <v>255784.26</v>
      </c>
      <c r="F35" s="1897">
        <v>0</v>
      </c>
      <c r="G35" s="1897">
        <v>0</v>
      </c>
      <c r="H35" s="1897">
        <v>0</v>
      </c>
      <c r="I35" s="1898">
        <f t="shared" si="2"/>
        <v>0</v>
      </c>
    </row>
    <row r="36" spans="1:9" s="1370" customFormat="1" ht="12.75" customHeight="1" x14ac:dyDescent="0.25">
      <c r="A36" s="1400" t="s">
        <v>80</v>
      </c>
      <c r="B36" s="1401" t="s">
        <v>81</v>
      </c>
      <c r="C36" s="1373" t="s">
        <v>266</v>
      </c>
      <c r="D36" s="1896">
        <f t="shared" si="1"/>
        <v>145279.44</v>
      </c>
      <c r="E36" s="1897">
        <v>145279.44</v>
      </c>
      <c r="F36" s="1897">
        <v>0</v>
      </c>
      <c r="G36" s="1897">
        <v>0</v>
      </c>
      <c r="H36" s="1897">
        <v>0</v>
      </c>
      <c r="I36" s="1898">
        <f t="shared" si="2"/>
        <v>0</v>
      </c>
    </row>
    <row r="37" spans="1:9" s="1370" customFormat="1" ht="12.75" customHeight="1" x14ac:dyDescent="0.25">
      <c r="A37" s="1400" t="s">
        <v>84</v>
      </c>
      <c r="B37" s="1401" t="s">
        <v>308</v>
      </c>
      <c r="C37" s="1373" t="s">
        <v>265</v>
      </c>
      <c r="D37" s="1896">
        <f t="shared" ref="D37:D68" si="3">SUM(E37:H37)</f>
        <v>390436.64</v>
      </c>
      <c r="E37" s="1897">
        <v>390436.64</v>
      </c>
      <c r="F37" s="1897">
        <v>0</v>
      </c>
      <c r="G37" s="1897">
        <v>0</v>
      </c>
      <c r="H37" s="1897">
        <v>0</v>
      </c>
      <c r="I37" s="1898">
        <f t="shared" ref="I37:I68" si="4">G37+H37</f>
        <v>0</v>
      </c>
    </row>
    <row r="38" spans="1:9" s="1370" customFormat="1" ht="12.75" customHeight="1" x14ac:dyDescent="0.25">
      <c r="A38" s="1400" t="s">
        <v>86</v>
      </c>
      <c r="B38" s="1401" t="s">
        <v>87</v>
      </c>
      <c r="C38" s="1373" t="s">
        <v>267</v>
      </c>
      <c r="D38" s="1896">
        <f t="shared" si="3"/>
        <v>230945.09999999998</v>
      </c>
      <c r="E38" s="1897">
        <v>230945.09999999998</v>
      </c>
      <c r="F38" s="1897">
        <v>0</v>
      </c>
      <c r="G38" s="1897">
        <v>0</v>
      </c>
      <c r="H38" s="1897">
        <v>0</v>
      </c>
      <c r="I38" s="1898">
        <f t="shared" si="4"/>
        <v>0</v>
      </c>
    </row>
    <row r="39" spans="1:9" s="1370" customFormat="1" ht="12.75" customHeight="1" x14ac:dyDescent="0.25">
      <c r="A39" s="1400" t="s">
        <v>92</v>
      </c>
      <c r="B39" s="1401" t="s">
        <v>93</v>
      </c>
      <c r="C39" s="1373" t="s">
        <v>268</v>
      </c>
      <c r="D39" s="1896">
        <f t="shared" si="3"/>
        <v>375682.58999999997</v>
      </c>
      <c r="E39" s="1897">
        <v>375682.58999999997</v>
      </c>
      <c r="F39" s="1897">
        <v>0</v>
      </c>
      <c r="G39" s="1897">
        <v>0</v>
      </c>
      <c r="H39" s="1897">
        <v>0</v>
      </c>
      <c r="I39" s="1898">
        <f t="shared" si="4"/>
        <v>0</v>
      </c>
    </row>
    <row r="40" spans="1:9" s="1370" customFormat="1" ht="12.75" customHeight="1" x14ac:dyDescent="0.25">
      <c r="A40" s="1400" t="s">
        <v>94</v>
      </c>
      <c r="B40" s="1401" t="s">
        <v>95</v>
      </c>
      <c r="C40" s="1373" t="s">
        <v>264</v>
      </c>
      <c r="D40" s="1896">
        <f t="shared" si="3"/>
        <v>310259.99</v>
      </c>
      <c r="E40" s="1897">
        <v>310259.99</v>
      </c>
      <c r="F40" s="1897">
        <v>0</v>
      </c>
      <c r="G40" s="1897">
        <v>0</v>
      </c>
      <c r="H40" s="1897">
        <v>0</v>
      </c>
      <c r="I40" s="1898">
        <f t="shared" si="4"/>
        <v>0</v>
      </c>
    </row>
    <row r="41" spans="1:9" s="1370" customFormat="1" ht="12.75" customHeight="1" x14ac:dyDescent="0.25">
      <c r="A41" s="1400" t="s">
        <v>96</v>
      </c>
      <c r="B41" s="1401" t="s">
        <v>97</v>
      </c>
      <c r="C41" s="1373" t="s">
        <v>266</v>
      </c>
      <c r="D41" s="1896">
        <f t="shared" si="3"/>
        <v>111379.98</v>
      </c>
      <c r="E41" s="1897">
        <v>111379.98</v>
      </c>
      <c r="F41" s="1897">
        <v>0</v>
      </c>
      <c r="G41" s="1897">
        <v>0</v>
      </c>
      <c r="H41" s="1897">
        <v>0</v>
      </c>
      <c r="I41" s="1898">
        <f t="shared" si="4"/>
        <v>0</v>
      </c>
    </row>
    <row r="42" spans="1:9" s="1370" customFormat="1" ht="12.75" customHeight="1" x14ac:dyDescent="0.25">
      <c r="A42" s="1400" t="s">
        <v>98</v>
      </c>
      <c r="B42" s="1401" t="s">
        <v>99</v>
      </c>
      <c r="C42" s="1373" t="s">
        <v>268</v>
      </c>
      <c r="D42" s="1896">
        <f t="shared" si="3"/>
        <v>494094.55000000005</v>
      </c>
      <c r="E42" s="1897">
        <v>494094.55000000005</v>
      </c>
      <c r="F42" s="1897">
        <v>0</v>
      </c>
      <c r="G42" s="1897">
        <v>0</v>
      </c>
      <c r="H42" s="1897">
        <v>0</v>
      </c>
      <c r="I42" s="1898">
        <f t="shared" si="4"/>
        <v>0</v>
      </c>
    </row>
    <row r="43" spans="1:9" s="1370" customFormat="1" ht="12.75" customHeight="1" x14ac:dyDescent="0.25">
      <c r="A43" s="1400" t="s">
        <v>100</v>
      </c>
      <c r="B43" s="1401" t="s">
        <v>101</v>
      </c>
      <c r="C43" s="1373" t="s">
        <v>267</v>
      </c>
      <c r="D43" s="1896">
        <f t="shared" si="3"/>
        <v>146121.41</v>
      </c>
      <c r="E43" s="1897">
        <v>146121.41</v>
      </c>
      <c r="F43" s="1897">
        <v>0</v>
      </c>
      <c r="G43" s="1897">
        <v>0</v>
      </c>
      <c r="H43" s="1897">
        <v>0</v>
      </c>
      <c r="I43" s="1898">
        <f t="shared" si="4"/>
        <v>0</v>
      </c>
    </row>
    <row r="44" spans="1:9" s="1370" customFormat="1" ht="12.75" customHeight="1" x14ac:dyDescent="0.25">
      <c r="A44" s="1400" t="s">
        <v>102</v>
      </c>
      <c r="B44" s="1401" t="s">
        <v>103</v>
      </c>
      <c r="C44" s="1373" t="s">
        <v>264</v>
      </c>
      <c r="D44" s="1896">
        <f t="shared" si="3"/>
        <v>448972</v>
      </c>
      <c r="E44" s="1897">
        <v>448972</v>
      </c>
      <c r="F44" s="1897">
        <v>0</v>
      </c>
      <c r="G44" s="1897">
        <v>0</v>
      </c>
      <c r="H44" s="1897">
        <v>0</v>
      </c>
      <c r="I44" s="1898">
        <f t="shared" si="4"/>
        <v>0</v>
      </c>
    </row>
    <row r="45" spans="1:9" s="1370" customFormat="1" ht="12.75" customHeight="1" x14ac:dyDescent="0.25">
      <c r="A45" s="1400" t="s">
        <v>104</v>
      </c>
      <c r="B45" s="1401" t="s">
        <v>309</v>
      </c>
      <c r="C45" s="1373" t="s">
        <v>265</v>
      </c>
      <c r="D45" s="1896">
        <f t="shared" si="3"/>
        <v>1094842.49</v>
      </c>
      <c r="E45" s="1897">
        <v>1094842.49</v>
      </c>
      <c r="F45" s="1897">
        <v>0</v>
      </c>
      <c r="G45" s="1897">
        <v>0</v>
      </c>
      <c r="H45" s="1897">
        <v>0</v>
      </c>
      <c r="I45" s="1898">
        <f t="shared" si="4"/>
        <v>0</v>
      </c>
    </row>
    <row r="46" spans="1:9" s="1370" customFormat="1" ht="12.75" customHeight="1" x14ac:dyDescent="0.25">
      <c r="A46" s="1400" t="s">
        <v>108</v>
      </c>
      <c r="B46" s="1401" t="s">
        <v>109</v>
      </c>
      <c r="C46" s="1373" t="s">
        <v>266</v>
      </c>
      <c r="D46" s="1896">
        <f t="shared" si="3"/>
        <v>290908.73</v>
      </c>
      <c r="E46" s="1897">
        <v>290908.73</v>
      </c>
      <c r="F46" s="1897">
        <v>0</v>
      </c>
      <c r="G46" s="1897">
        <v>0</v>
      </c>
      <c r="H46" s="1897">
        <v>0</v>
      </c>
      <c r="I46" s="1898">
        <f t="shared" si="4"/>
        <v>0</v>
      </c>
    </row>
    <row r="47" spans="1:9" s="1370" customFormat="1" ht="12.75" customHeight="1" x14ac:dyDescent="0.25">
      <c r="A47" s="1400" t="s">
        <v>110</v>
      </c>
      <c r="B47" s="1401" t="s">
        <v>111</v>
      </c>
      <c r="C47" s="1373" t="s">
        <v>266</v>
      </c>
      <c r="D47" s="1896">
        <f t="shared" si="3"/>
        <v>1686494.13</v>
      </c>
      <c r="E47" s="1897">
        <v>1686494.13</v>
      </c>
      <c r="F47" s="1897">
        <v>0</v>
      </c>
      <c r="G47" s="1897">
        <v>0</v>
      </c>
      <c r="H47" s="1897">
        <v>0</v>
      </c>
      <c r="I47" s="1898">
        <f t="shared" si="4"/>
        <v>0</v>
      </c>
    </row>
    <row r="48" spans="1:9" s="1370" customFormat="1" ht="12.75" customHeight="1" x14ac:dyDescent="0.25">
      <c r="A48" s="1400" t="s">
        <v>112</v>
      </c>
      <c r="B48" s="1401" t="s">
        <v>300</v>
      </c>
      <c r="C48" s="1373" t="s">
        <v>265</v>
      </c>
      <c r="D48" s="1896">
        <f t="shared" si="3"/>
        <v>1799581.84</v>
      </c>
      <c r="E48" s="1897">
        <v>1799581.84</v>
      </c>
      <c r="F48" s="1897">
        <v>0</v>
      </c>
      <c r="G48" s="1897">
        <v>0</v>
      </c>
      <c r="H48" s="1897">
        <v>0</v>
      </c>
      <c r="I48" s="1898">
        <f t="shared" si="4"/>
        <v>0</v>
      </c>
    </row>
    <row r="49" spans="1:9" s="1370" customFormat="1" ht="12.75" customHeight="1" x14ac:dyDescent="0.25">
      <c r="A49" s="1400" t="s">
        <v>114</v>
      </c>
      <c r="B49" s="1401" t="s">
        <v>115</v>
      </c>
      <c r="C49" s="1373" t="s">
        <v>265</v>
      </c>
      <c r="D49" s="1896">
        <f t="shared" si="3"/>
        <v>19589.68</v>
      </c>
      <c r="E49" s="1897">
        <v>19589.68</v>
      </c>
      <c r="F49" s="1897">
        <v>0</v>
      </c>
      <c r="G49" s="1897">
        <v>0</v>
      </c>
      <c r="H49" s="1897">
        <v>0</v>
      </c>
      <c r="I49" s="1898">
        <f t="shared" si="4"/>
        <v>0</v>
      </c>
    </row>
    <row r="50" spans="1:9" s="1370" customFormat="1" ht="12.75" customHeight="1" x14ac:dyDescent="0.25">
      <c r="A50" s="1400" t="s">
        <v>118</v>
      </c>
      <c r="B50" s="1401" t="s">
        <v>119</v>
      </c>
      <c r="C50" s="1373" t="s">
        <v>264</v>
      </c>
      <c r="D50" s="1896">
        <f t="shared" si="3"/>
        <v>285009.86</v>
      </c>
      <c r="E50" s="1897">
        <v>285009.86</v>
      </c>
      <c r="F50" s="1897">
        <v>0</v>
      </c>
      <c r="G50" s="1897">
        <v>0</v>
      </c>
      <c r="H50" s="1897">
        <v>0</v>
      </c>
      <c r="I50" s="1898">
        <f t="shared" si="4"/>
        <v>0</v>
      </c>
    </row>
    <row r="51" spans="1:9" s="1370" customFormat="1" ht="12.75" customHeight="1" x14ac:dyDescent="0.25">
      <c r="A51" s="1400" t="s">
        <v>120</v>
      </c>
      <c r="B51" s="1401" t="s">
        <v>121</v>
      </c>
      <c r="C51" s="1373" t="s">
        <v>264</v>
      </c>
      <c r="D51" s="1896">
        <f t="shared" si="3"/>
        <v>222837.84</v>
      </c>
      <c r="E51" s="1897">
        <v>222837.84</v>
      </c>
      <c r="F51" s="1897">
        <v>0</v>
      </c>
      <c r="G51" s="1897">
        <v>0</v>
      </c>
      <c r="H51" s="1897">
        <v>0</v>
      </c>
      <c r="I51" s="1898">
        <f t="shared" si="4"/>
        <v>0</v>
      </c>
    </row>
    <row r="52" spans="1:9" s="1370" customFormat="1" ht="12.75" customHeight="1" x14ac:dyDescent="0.25">
      <c r="A52" s="1400" t="s">
        <v>122</v>
      </c>
      <c r="B52" s="1401" t="s">
        <v>271</v>
      </c>
      <c r="C52" s="1373" t="s">
        <v>266</v>
      </c>
      <c r="D52" s="1896">
        <f t="shared" si="3"/>
        <v>156434.02999999997</v>
      </c>
      <c r="E52" s="1897">
        <v>156434.02999999997</v>
      </c>
      <c r="F52" s="1897">
        <v>0</v>
      </c>
      <c r="G52" s="1897">
        <v>0</v>
      </c>
      <c r="H52" s="1897">
        <v>0</v>
      </c>
      <c r="I52" s="1898">
        <f t="shared" si="4"/>
        <v>0</v>
      </c>
    </row>
    <row r="53" spans="1:9" s="1370" customFormat="1" ht="12.75" customHeight="1" x14ac:dyDescent="0.25">
      <c r="A53" s="1400" t="s">
        <v>124</v>
      </c>
      <c r="B53" s="1401" t="s">
        <v>125</v>
      </c>
      <c r="C53" s="1373" t="s">
        <v>267</v>
      </c>
      <c r="D53" s="1896">
        <f t="shared" si="3"/>
        <v>129725.20000000001</v>
      </c>
      <c r="E53" s="1897">
        <v>129725.20000000001</v>
      </c>
      <c r="F53" s="1897">
        <v>0</v>
      </c>
      <c r="G53" s="1897">
        <v>0</v>
      </c>
      <c r="H53" s="1897">
        <v>0</v>
      </c>
      <c r="I53" s="1898">
        <f t="shared" si="4"/>
        <v>0</v>
      </c>
    </row>
    <row r="54" spans="1:9" s="1370" customFormat="1" ht="12.75" customHeight="1" x14ac:dyDescent="0.25">
      <c r="A54" s="1400" t="s">
        <v>126</v>
      </c>
      <c r="B54" s="1401" t="s">
        <v>127</v>
      </c>
      <c r="C54" s="1373" t="s">
        <v>266</v>
      </c>
      <c r="D54" s="1896">
        <f t="shared" si="3"/>
        <v>117040.97</v>
      </c>
      <c r="E54" s="1897">
        <v>117040.97</v>
      </c>
      <c r="F54" s="1897">
        <v>0</v>
      </c>
      <c r="G54" s="1897">
        <v>0</v>
      </c>
      <c r="H54" s="1897">
        <v>0</v>
      </c>
      <c r="I54" s="1898">
        <f t="shared" si="4"/>
        <v>0</v>
      </c>
    </row>
    <row r="55" spans="1:9" s="1370" customFormat="1" ht="12.75" customHeight="1" x14ac:dyDescent="0.25">
      <c r="A55" s="1400" t="s">
        <v>128</v>
      </c>
      <c r="B55" s="1401" t="s">
        <v>129</v>
      </c>
      <c r="C55" s="1373" t="s">
        <v>266</v>
      </c>
      <c r="D55" s="1896">
        <f t="shared" si="3"/>
        <v>225257.26</v>
      </c>
      <c r="E55" s="1897">
        <v>225257.26</v>
      </c>
      <c r="F55" s="1897">
        <v>0</v>
      </c>
      <c r="G55" s="1897">
        <v>0</v>
      </c>
      <c r="H55" s="1897">
        <v>0</v>
      </c>
      <c r="I55" s="1898">
        <f t="shared" si="4"/>
        <v>0</v>
      </c>
    </row>
    <row r="56" spans="1:9" s="1370" customFormat="1" ht="12.75" customHeight="1" x14ac:dyDescent="0.25">
      <c r="A56" s="1400" t="s">
        <v>130</v>
      </c>
      <c r="B56" s="1401" t="s">
        <v>131</v>
      </c>
      <c r="C56" s="1373" t="s">
        <v>268</v>
      </c>
      <c r="D56" s="1896">
        <f t="shared" si="3"/>
        <v>1534644.72</v>
      </c>
      <c r="E56" s="1897">
        <v>1534644.72</v>
      </c>
      <c r="F56" s="1897">
        <v>0</v>
      </c>
      <c r="G56" s="1897">
        <v>0</v>
      </c>
      <c r="H56" s="1897">
        <v>0</v>
      </c>
      <c r="I56" s="1898">
        <f t="shared" si="4"/>
        <v>0</v>
      </c>
    </row>
    <row r="57" spans="1:9" s="1370" customFormat="1" ht="12.75" customHeight="1" x14ac:dyDescent="0.25">
      <c r="A57" s="1400" t="s">
        <v>132</v>
      </c>
      <c r="B57" s="1401" t="s">
        <v>133</v>
      </c>
      <c r="C57" s="1373" t="s">
        <v>267</v>
      </c>
      <c r="D57" s="1896">
        <f t="shared" si="3"/>
        <v>116082.74999999999</v>
      </c>
      <c r="E57" s="1897">
        <v>116082.74999999999</v>
      </c>
      <c r="F57" s="1897">
        <v>0</v>
      </c>
      <c r="G57" s="1897">
        <v>0</v>
      </c>
      <c r="H57" s="1897">
        <v>0</v>
      </c>
      <c r="I57" s="1898">
        <f t="shared" si="4"/>
        <v>0</v>
      </c>
    </row>
    <row r="58" spans="1:9" s="1370" customFormat="1" ht="12.75" customHeight="1" x14ac:dyDescent="0.25">
      <c r="A58" s="1400" t="s">
        <v>134</v>
      </c>
      <c r="B58" s="1401" t="s">
        <v>135</v>
      </c>
      <c r="C58" s="1373" t="s">
        <v>267</v>
      </c>
      <c r="D58" s="1896">
        <f t="shared" si="3"/>
        <v>409704.86</v>
      </c>
      <c r="E58" s="1897">
        <v>409704.86</v>
      </c>
      <c r="F58" s="1897">
        <v>0</v>
      </c>
      <c r="G58" s="1897">
        <v>0</v>
      </c>
      <c r="H58" s="1897">
        <v>0</v>
      </c>
      <c r="I58" s="1898">
        <f t="shared" si="4"/>
        <v>0</v>
      </c>
    </row>
    <row r="59" spans="1:9" s="1370" customFormat="1" ht="12.75" customHeight="1" x14ac:dyDescent="0.25">
      <c r="A59" s="1400" t="s">
        <v>136</v>
      </c>
      <c r="B59" s="1401" t="s">
        <v>137</v>
      </c>
      <c r="C59" s="1373" t="s">
        <v>266</v>
      </c>
      <c r="D59" s="1896">
        <f t="shared" si="3"/>
        <v>395362.85</v>
      </c>
      <c r="E59" s="1897">
        <v>395362.85</v>
      </c>
      <c r="F59" s="1897">
        <v>0</v>
      </c>
      <c r="G59" s="1897">
        <v>0</v>
      </c>
      <c r="H59" s="1897">
        <v>0</v>
      </c>
      <c r="I59" s="1898">
        <f t="shared" si="4"/>
        <v>0</v>
      </c>
    </row>
    <row r="60" spans="1:9" s="1370" customFormat="1" ht="12.75" customHeight="1" x14ac:dyDescent="0.25">
      <c r="A60" s="1400" t="s">
        <v>140</v>
      </c>
      <c r="B60" s="1401" t="s">
        <v>141</v>
      </c>
      <c r="C60" s="1373" t="s">
        <v>267</v>
      </c>
      <c r="D60" s="1896">
        <f t="shared" si="3"/>
        <v>116214.14</v>
      </c>
      <c r="E60" s="1897">
        <v>116214.14</v>
      </c>
      <c r="F60" s="1897">
        <v>0</v>
      </c>
      <c r="G60" s="1897">
        <v>0</v>
      </c>
      <c r="H60" s="1897">
        <v>0</v>
      </c>
      <c r="I60" s="1898">
        <f t="shared" si="4"/>
        <v>0</v>
      </c>
    </row>
    <row r="61" spans="1:9" s="1370" customFormat="1" ht="12.75" customHeight="1" x14ac:dyDescent="0.25">
      <c r="A61" s="1400" t="s">
        <v>146</v>
      </c>
      <c r="B61" s="1401" t="s">
        <v>147</v>
      </c>
      <c r="C61" s="1373" t="s">
        <v>264</v>
      </c>
      <c r="D61" s="1896">
        <f t="shared" si="3"/>
        <v>93584.050000000017</v>
      </c>
      <c r="E61" s="1897">
        <v>93584.050000000017</v>
      </c>
      <c r="F61" s="1897">
        <v>0</v>
      </c>
      <c r="G61" s="1897">
        <v>0</v>
      </c>
      <c r="H61" s="1897">
        <v>0</v>
      </c>
      <c r="I61" s="1898">
        <f t="shared" si="4"/>
        <v>0</v>
      </c>
    </row>
    <row r="62" spans="1:9" s="1370" customFormat="1" ht="12.75" customHeight="1" x14ac:dyDescent="0.25">
      <c r="A62" s="1400" t="s">
        <v>148</v>
      </c>
      <c r="B62" s="1401" t="s">
        <v>149</v>
      </c>
      <c r="C62" s="1373" t="s">
        <v>265</v>
      </c>
      <c r="D62" s="1896">
        <f t="shared" si="3"/>
        <v>798941.31</v>
      </c>
      <c r="E62" s="1897">
        <v>798941.31</v>
      </c>
      <c r="F62" s="1897">
        <v>0</v>
      </c>
      <c r="G62" s="1897">
        <v>0</v>
      </c>
      <c r="H62" s="1897">
        <v>0</v>
      </c>
      <c r="I62" s="1898">
        <f t="shared" si="4"/>
        <v>0</v>
      </c>
    </row>
    <row r="63" spans="1:9" s="1370" customFormat="1" ht="12.75" customHeight="1" x14ac:dyDescent="0.25">
      <c r="A63" s="1400" t="s">
        <v>150</v>
      </c>
      <c r="B63" s="1401" t="s">
        <v>151</v>
      </c>
      <c r="C63" s="1373" t="s">
        <v>266</v>
      </c>
      <c r="D63" s="1896">
        <f t="shared" si="3"/>
        <v>162384.29</v>
      </c>
      <c r="E63" s="1897">
        <v>162384.29</v>
      </c>
      <c r="F63" s="1897">
        <v>0</v>
      </c>
      <c r="G63" s="1897">
        <v>0</v>
      </c>
      <c r="H63" s="1897">
        <v>0</v>
      </c>
      <c r="I63" s="1898">
        <f t="shared" si="4"/>
        <v>0</v>
      </c>
    </row>
    <row r="64" spans="1:9" s="1370" customFormat="1" ht="12.75" customHeight="1" x14ac:dyDescent="0.25">
      <c r="A64" s="1400" t="s">
        <v>152</v>
      </c>
      <c r="B64" s="1401" t="s">
        <v>153</v>
      </c>
      <c r="C64" s="1373" t="s">
        <v>268</v>
      </c>
      <c r="D64" s="1896">
        <f t="shared" si="3"/>
        <v>810746.32000000007</v>
      </c>
      <c r="E64" s="1897">
        <v>810746.32000000007</v>
      </c>
      <c r="F64" s="1897">
        <v>0</v>
      </c>
      <c r="G64" s="1897">
        <v>0</v>
      </c>
      <c r="H64" s="1897">
        <v>0</v>
      </c>
      <c r="I64" s="1898">
        <f t="shared" si="4"/>
        <v>0</v>
      </c>
    </row>
    <row r="65" spans="1:9" s="1370" customFormat="1" ht="12.75" customHeight="1" x14ac:dyDescent="0.25">
      <c r="A65" s="1400" t="s">
        <v>154</v>
      </c>
      <c r="B65" s="1401" t="s">
        <v>155</v>
      </c>
      <c r="C65" s="1373" t="s">
        <v>265</v>
      </c>
      <c r="D65" s="1896">
        <f t="shared" si="3"/>
        <v>271614.2</v>
      </c>
      <c r="E65" s="1897">
        <v>271614.2</v>
      </c>
      <c r="F65" s="1897">
        <v>0</v>
      </c>
      <c r="G65" s="1897">
        <v>0</v>
      </c>
      <c r="H65" s="1897">
        <v>0</v>
      </c>
      <c r="I65" s="1898">
        <f t="shared" si="4"/>
        <v>0</v>
      </c>
    </row>
    <row r="66" spans="1:9" s="1370" customFormat="1" ht="12.75" customHeight="1" x14ac:dyDescent="0.25">
      <c r="A66" s="1400" t="s">
        <v>156</v>
      </c>
      <c r="B66" s="1401" t="s">
        <v>157</v>
      </c>
      <c r="C66" s="1373" t="s">
        <v>266</v>
      </c>
      <c r="D66" s="1896">
        <f t="shared" si="3"/>
        <v>53190.96</v>
      </c>
      <c r="E66" s="1897">
        <v>53190.96</v>
      </c>
      <c r="F66" s="1897">
        <v>0</v>
      </c>
      <c r="G66" s="1897">
        <v>0</v>
      </c>
      <c r="H66" s="1897">
        <v>0</v>
      </c>
      <c r="I66" s="1898">
        <f t="shared" si="4"/>
        <v>0</v>
      </c>
    </row>
    <row r="67" spans="1:9" s="1370" customFormat="1" ht="12.75" customHeight="1" x14ac:dyDescent="0.25">
      <c r="A67" s="1400" t="s">
        <v>162</v>
      </c>
      <c r="B67" s="1401" t="s">
        <v>163</v>
      </c>
      <c r="C67" s="1373" t="s">
        <v>264</v>
      </c>
      <c r="D67" s="1896">
        <f t="shared" si="3"/>
        <v>487257.22</v>
      </c>
      <c r="E67" s="1897">
        <v>487257.22</v>
      </c>
      <c r="F67" s="1897">
        <v>0</v>
      </c>
      <c r="G67" s="1897">
        <v>0</v>
      </c>
      <c r="H67" s="1897">
        <v>0</v>
      </c>
      <c r="I67" s="1898">
        <f t="shared" si="4"/>
        <v>0</v>
      </c>
    </row>
    <row r="68" spans="1:9" s="1370" customFormat="1" ht="12.75" customHeight="1" x14ac:dyDescent="0.25">
      <c r="A68" s="1400" t="s">
        <v>164</v>
      </c>
      <c r="B68" s="1401" t="s">
        <v>165</v>
      </c>
      <c r="C68" s="1373" t="s">
        <v>266</v>
      </c>
      <c r="D68" s="1896">
        <f t="shared" si="3"/>
        <v>237752.25</v>
      </c>
      <c r="E68" s="1897">
        <v>237752.25</v>
      </c>
      <c r="F68" s="1897">
        <v>0</v>
      </c>
      <c r="G68" s="1897">
        <v>0</v>
      </c>
      <c r="H68" s="1897">
        <v>0</v>
      </c>
      <c r="I68" s="1898">
        <f t="shared" si="4"/>
        <v>0</v>
      </c>
    </row>
    <row r="69" spans="1:9" s="1370" customFormat="1" ht="12.75" customHeight="1" x14ac:dyDescent="0.25">
      <c r="A69" s="1400" t="s">
        <v>168</v>
      </c>
      <c r="B69" s="1401" t="s">
        <v>169</v>
      </c>
      <c r="C69" s="1373" t="s">
        <v>266</v>
      </c>
      <c r="D69" s="1896">
        <f t="shared" ref="D69:D100" si="5">SUM(E69:H69)</f>
        <v>390470.2</v>
      </c>
      <c r="E69" s="1897">
        <v>390470.2</v>
      </c>
      <c r="F69" s="1897">
        <v>0</v>
      </c>
      <c r="G69" s="1897">
        <v>0</v>
      </c>
      <c r="H69" s="1897">
        <v>0</v>
      </c>
      <c r="I69" s="1898">
        <f t="shared" ref="I69:I100" si="6">G69+H69</f>
        <v>0</v>
      </c>
    </row>
    <row r="70" spans="1:9" s="1370" customFormat="1" ht="12.75" customHeight="1" x14ac:dyDescent="0.25">
      <c r="A70" s="1400" t="s">
        <v>170</v>
      </c>
      <c r="B70" s="1401" t="s">
        <v>171</v>
      </c>
      <c r="C70" s="1373" t="s">
        <v>267</v>
      </c>
      <c r="D70" s="1896">
        <f t="shared" si="5"/>
        <v>224071.41</v>
      </c>
      <c r="E70" s="1897">
        <v>224071.41</v>
      </c>
      <c r="F70" s="1897">
        <v>0</v>
      </c>
      <c r="G70" s="1897">
        <v>0</v>
      </c>
      <c r="H70" s="1897">
        <v>0</v>
      </c>
      <c r="I70" s="1898">
        <f t="shared" si="6"/>
        <v>0</v>
      </c>
    </row>
    <row r="71" spans="1:9" s="1370" customFormat="1" ht="12.75" customHeight="1" x14ac:dyDescent="0.25">
      <c r="A71" s="1400" t="s">
        <v>172</v>
      </c>
      <c r="B71" s="1401" t="s">
        <v>173</v>
      </c>
      <c r="C71" s="1373" t="s">
        <v>267</v>
      </c>
      <c r="D71" s="1896">
        <f t="shared" si="5"/>
        <v>384832.42000000004</v>
      </c>
      <c r="E71" s="1897">
        <v>384832.42000000004</v>
      </c>
      <c r="F71" s="1897">
        <v>0</v>
      </c>
      <c r="G71" s="1897">
        <v>0</v>
      </c>
      <c r="H71" s="1897">
        <v>0</v>
      </c>
      <c r="I71" s="1898">
        <f t="shared" si="6"/>
        <v>0</v>
      </c>
    </row>
    <row r="72" spans="1:9" s="1370" customFormat="1" ht="12.75" customHeight="1" x14ac:dyDescent="0.25">
      <c r="A72" s="1400" t="s">
        <v>174</v>
      </c>
      <c r="B72" s="1401" t="s">
        <v>175</v>
      </c>
      <c r="C72" s="1373" t="s">
        <v>268</v>
      </c>
      <c r="D72" s="1896">
        <f t="shared" si="5"/>
        <v>481471.97999999992</v>
      </c>
      <c r="E72" s="1897">
        <v>481471.97999999992</v>
      </c>
      <c r="F72" s="1897">
        <v>0</v>
      </c>
      <c r="G72" s="1897">
        <v>0</v>
      </c>
      <c r="H72" s="1897">
        <v>0</v>
      </c>
      <c r="I72" s="1898">
        <f t="shared" si="6"/>
        <v>0</v>
      </c>
    </row>
    <row r="73" spans="1:9" s="1370" customFormat="1" ht="12.75" customHeight="1" x14ac:dyDescent="0.25">
      <c r="A73" s="1400" t="s">
        <v>178</v>
      </c>
      <c r="B73" s="1401" t="s">
        <v>179</v>
      </c>
      <c r="C73" s="1373" t="s">
        <v>265</v>
      </c>
      <c r="D73" s="1896">
        <f t="shared" si="5"/>
        <v>1096285.22</v>
      </c>
      <c r="E73" s="1897">
        <v>1096285.22</v>
      </c>
      <c r="F73" s="1897">
        <v>0</v>
      </c>
      <c r="G73" s="1897">
        <v>0</v>
      </c>
      <c r="H73" s="1897">
        <v>0</v>
      </c>
      <c r="I73" s="1898">
        <f t="shared" si="6"/>
        <v>0</v>
      </c>
    </row>
    <row r="74" spans="1:9" s="1370" customFormat="1" ht="12.75" customHeight="1" x14ac:dyDescent="0.25">
      <c r="A74" s="1400" t="s">
        <v>182</v>
      </c>
      <c r="B74" s="1401" t="s">
        <v>183</v>
      </c>
      <c r="C74" s="1373" t="s">
        <v>266</v>
      </c>
      <c r="D74" s="1896">
        <f t="shared" si="5"/>
        <v>62220</v>
      </c>
      <c r="E74" s="1897">
        <v>62220</v>
      </c>
      <c r="F74" s="1897">
        <v>0</v>
      </c>
      <c r="G74" s="1897">
        <v>0</v>
      </c>
      <c r="H74" s="1897">
        <v>0</v>
      </c>
      <c r="I74" s="1898">
        <f t="shared" si="6"/>
        <v>0</v>
      </c>
    </row>
    <row r="75" spans="1:9" s="1370" customFormat="1" ht="12.75" customHeight="1" x14ac:dyDescent="0.25">
      <c r="A75" s="1400" t="s">
        <v>184</v>
      </c>
      <c r="B75" s="1401" t="s">
        <v>185</v>
      </c>
      <c r="C75" s="1373" t="s">
        <v>266</v>
      </c>
      <c r="D75" s="1896">
        <f t="shared" si="5"/>
        <v>388995.83000000007</v>
      </c>
      <c r="E75" s="1897">
        <v>388995.83000000007</v>
      </c>
      <c r="F75" s="1897">
        <v>0</v>
      </c>
      <c r="G75" s="1897">
        <v>0</v>
      </c>
      <c r="H75" s="1897">
        <v>0</v>
      </c>
      <c r="I75" s="1898">
        <f t="shared" si="6"/>
        <v>0</v>
      </c>
    </row>
    <row r="76" spans="1:9" s="1370" customFormat="1" ht="12.75" customHeight="1" x14ac:dyDescent="0.25">
      <c r="A76" s="1400" t="s">
        <v>186</v>
      </c>
      <c r="B76" s="1401" t="s">
        <v>187</v>
      </c>
      <c r="C76" s="1373" t="s">
        <v>264</v>
      </c>
      <c r="D76" s="1896">
        <f t="shared" si="5"/>
        <v>154096.69</v>
      </c>
      <c r="E76" s="1897">
        <v>154096.69</v>
      </c>
      <c r="F76" s="1897">
        <v>0</v>
      </c>
      <c r="G76" s="1897">
        <v>0</v>
      </c>
      <c r="H76" s="1897">
        <v>0</v>
      </c>
      <c r="I76" s="1898">
        <f t="shared" si="6"/>
        <v>0</v>
      </c>
    </row>
    <row r="77" spans="1:9" s="1370" customFormat="1" ht="12.75" customHeight="1" x14ac:dyDescent="0.25">
      <c r="A77" s="1400" t="s">
        <v>188</v>
      </c>
      <c r="B77" s="1401" t="s">
        <v>189</v>
      </c>
      <c r="C77" s="1373" t="s">
        <v>267</v>
      </c>
      <c r="D77" s="1896">
        <f t="shared" si="5"/>
        <v>384635.84</v>
      </c>
      <c r="E77" s="1897">
        <v>384635.84</v>
      </c>
      <c r="F77" s="1897">
        <v>0</v>
      </c>
      <c r="G77" s="1897">
        <v>0</v>
      </c>
      <c r="H77" s="1897">
        <v>0</v>
      </c>
      <c r="I77" s="1898">
        <f t="shared" si="6"/>
        <v>0</v>
      </c>
    </row>
    <row r="78" spans="1:9" s="1370" customFormat="1" ht="12.75" customHeight="1" x14ac:dyDescent="0.25">
      <c r="A78" s="1400" t="s">
        <v>190</v>
      </c>
      <c r="B78" s="1401" t="s">
        <v>191</v>
      </c>
      <c r="C78" s="1373" t="s">
        <v>268</v>
      </c>
      <c r="D78" s="1896">
        <f t="shared" si="5"/>
        <v>843740.5</v>
      </c>
      <c r="E78" s="1897">
        <v>843740.5</v>
      </c>
      <c r="F78" s="1897">
        <v>0</v>
      </c>
      <c r="G78" s="1897">
        <v>0</v>
      </c>
      <c r="H78" s="1897">
        <v>0</v>
      </c>
      <c r="I78" s="1898">
        <f t="shared" si="6"/>
        <v>0</v>
      </c>
    </row>
    <row r="79" spans="1:9" s="1370" customFormat="1" ht="12.75" customHeight="1" x14ac:dyDescent="0.25">
      <c r="A79" s="1400" t="s">
        <v>194</v>
      </c>
      <c r="B79" s="1401" t="s">
        <v>195</v>
      </c>
      <c r="C79" s="1373" t="s">
        <v>267</v>
      </c>
      <c r="D79" s="1896">
        <f t="shared" si="5"/>
        <v>34341.03</v>
      </c>
      <c r="E79" s="1897">
        <v>34341.03</v>
      </c>
      <c r="F79" s="1897">
        <v>0</v>
      </c>
      <c r="G79" s="1897">
        <v>0</v>
      </c>
      <c r="H79" s="1897">
        <v>0</v>
      </c>
      <c r="I79" s="1898">
        <f t="shared" si="6"/>
        <v>0</v>
      </c>
    </row>
    <row r="80" spans="1:9" s="1370" customFormat="1" ht="12.75" customHeight="1" x14ac:dyDescent="0.25">
      <c r="A80" s="1400" t="s">
        <v>198</v>
      </c>
      <c r="B80" s="1401" t="s">
        <v>199</v>
      </c>
      <c r="C80" s="1373" t="s">
        <v>266</v>
      </c>
      <c r="D80" s="1896">
        <f t="shared" si="5"/>
        <v>184056.56</v>
      </c>
      <c r="E80" s="1897">
        <v>184056.56</v>
      </c>
      <c r="F80" s="1897">
        <v>0</v>
      </c>
      <c r="G80" s="1897">
        <v>0</v>
      </c>
      <c r="H80" s="1897">
        <v>0</v>
      </c>
      <c r="I80" s="1898">
        <f t="shared" si="6"/>
        <v>0</v>
      </c>
    </row>
    <row r="81" spans="1:9" s="1370" customFormat="1" ht="12.75" customHeight="1" x14ac:dyDescent="0.25">
      <c r="A81" s="1400" t="s">
        <v>202</v>
      </c>
      <c r="B81" s="1401" t="s">
        <v>203</v>
      </c>
      <c r="C81" s="1373" t="s">
        <v>265</v>
      </c>
      <c r="D81" s="1896">
        <f t="shared" si="5"/>
        <v>541844.99</v>
      </c>
      <c r="E81" s="1897">
        <v>541844.99</v>
      </c>
      <c r="F81" s="1897">
        <v>0</v>
      </c>
      <c r="G81" s="1897">
        <v>0</v>
      </c>
      <c r="H81" s="1897">
        <v>0</v>
      </c>
      <c r="I81" s="1898">
        <f t="shared" si="6"/>
        <v>0</v>
      </c>
    </row>
    <row r="82" spans="1:9" s="1370" customFormat="1" ht="12.75" customHeight="1" x14ac:dyDescent="0.25">
      <c r="A82" s="1400" t="s">
        <v>204</v>
      </c>
      <c r="B82" s="1401" t="s">
        <v>205</v>
      </c>
      <c r="C82" s="1373" t="s">
        <v>265</v>
      </c>
      <c r="D82" s="1896">
        <f t="shared" si="5"/>
        <v>590928.41</v>
      </c>
      <c r="E82" s="1897">
        <v>590928.41</v>
      </c>
      <c r="F82" s="1897">
        <v>0</v>
      </c>
      <c r="G82" s="1897">
        <v>0</v>
      </c>
      <c r="H82" s="1897">
        <v>0</v>
      </c>
      <c r="I82" s="1898">
        <f t="shared" si="6"/>
        <v>0</v>
      </c>
    </row>
    <row r="83" spans="1:9" s="1370" customFormat="1" ht="12.75" customHeight="1" x14ac:dyDescent="0.25">
      <c r="A83" s="1400" t="s">
        <v>206</v>
      </c>
      <c r="B83" s="1401" t="s">
        <v>207</v>
      </c>
      <c r="C83" s="1373" t="s">
        <v>267</v>
      </c>
      <c r="D83" s="1896">
        <f t="shared" si="5"/>
        <v>738871.94000000006</v>
      </c>
      <c r="E83" s="1897">
        <v>738871.94000000006</v>
      </c>
      <c r="F83" s="1897">
        <v>0</v>
      </c>
      <c r="G83" s="1897">
        <v>0</v>
      </c>
      <c r="H83" s="1897">
        <v>0</v>
      </c>
      <c r="I83" s="1898">
        <f t="shared" si="6"/>
        <v>0</v>
      </c>
    </row>
    <row r="84" spans="1:9" s="1370" customFormat="1" ht="12.75" customHeight="1" x14ac:dyDescent="0.25">
      <c r="A84" s="1400" t="s">
        <v>208</v>
      </c>
      <c r="B84" s="1401" t="s">
        <v>209</v>
      </c>
      <c r="C84" s="1373" t="s">
        <v>268</v>
      </c>
      <c r="D84" s="1896">
        <f t="shared" si="5"/>
        <v>1134287.4099999999</v>
      </c>
      <c r="E84" s="1897">
        <v>1134287.4099999999</v>
      </c>
      <c r="F84" s="1897">
        <v>0</v>
      </c>
      <c r="G84" s="1897">
        <v>0</v>
      </c>
      <c r="H84" s="1897">
        <v>0</v>
      </c>
      <c r="I84" s="1898">
        <f t="shared" si="6"/>
        <v>0</v>
      </c>
    </row>
    <row r="85" spans="1:9" s="1370" customFormat="1" ht="12.75" customHeight="1" x14ac:dyDescent="0.25">
      <c r="A85" s="1400" t="s">
        <v>210</v>
      </c>
      <c r="B85" s="1401" t="s">
        <v>211</v>
      </c>
      <c r="C85" s="1373" t="s">
        <v>268</v>
      </c>
      <c r="D85" s="1896">
        <f t="shared" si="5"/>
        <v>697380.79</v>
      </c>
      <c r="E85" s="1897">
        <v>697380.79</v>
      </c>
      <c r="F85" s="1897">
        <v>0</v>
      </c>
      <c r="G85" s="1897">
        <v>0</v>
      </c>
      <c r="H85" s="1897">
        <v>0</v>
      </c>
      <c r="I85" s="1898">
        <f t="shared" si="6"/>
        <v>0</v>
      </c>
    </row>
    <row r="86" spans="1:9" s="1370" customFormat="1" ht="12.75" customHeight="1" x14ac:dyDescent="0.25">
      <c r="A86" s="1400" t="s">
        <v>212</v>
      </c>
      <c r="B86" s="1401" t="s">
        <v>213</v>
      </c>
      <c r="C86" s="1373" t="s">
        <v>267</v>
      </c>
      <c r="D86" s="1896">
        <f t="shared" si="5"/>
        <v>364621.2</v>
      </c>
      <c r="E86" s="1897">
        <v>364621.2</v>
      </c>
      <c r="F86" s="1897">
        <v>0</v>
      </c>
      <c r="G86" s="1897">
        <v>0</v>
      </c>
      <c r="H86" s="1897">
        <v>0</v>
      </c>
      <c r="I86" s="1898">
        <f t="shared" si="6"/>
        <v>0</v>
      </c>
    </row>
    <row r="87" spans="1:9" s="1370" customFormat="1" ht="12.75" customHeight="1" x14ac:dyDescent="0.25">
      <c r="A87" s="1400" t="s">
        <v>214</v>
      </c>
      <c r="B87" s="1401" t="s">
        <v>215</v>
      </c>
      <c r="C87" s="1373" t="s">
        <v>268</v>
      </c>
      <c r="D87" s="1896">
        <f t="shared" si="5"/>
        <v>1020943.79</v>
      </c>
      <c r="E87" s="1897">
        <v>1020943.79</v>
      </c>
      <c r="F87" s="1897">
        <v>0</v>
      </c>
      <c r="G87" s="1897">
        <v>0</v>
      </c>
      <c r="H87" s="1897">
        <v>0</v>
      </c>
      <c r="I87" s="1898">
        <f t="shared" si="6"/>
        <v>0</v>
      </c>
    </row>
    <row r="88" spans="1:9" s="1370" customFormat="1" ht="12.75" customHeight="1" x14ac:dyDescent="0.25">
      <c r="A88" s="1400" t="s">
        <v>216</v>
      </c>
      <c r="B88" s="1401" t="s">
        <v>217</v>
      </c>
      <c r="C88" s="1373" t="s">
        <v>264</v>
      </c>
      <c r="D88" s="1896">
        <f t="shared" si="5"/>
        <v>309915.07</v>
      </c>
      <c r="E88" s="1897">
        <v>309915.07</v>
      </c>
      <c r="F88" s="1897">
        <v>0</v>
      </c>
      <c r="G88" s="1897">
        <v>0</v>
      </c>
      <c r="H88" s="1897">
        <v>0</v>
      </c>
      <c r="I88" s="1898">
        <f t="shared" si="6"/>
        <v>0</v>
      </c>
    </row>
    <row r="89" spans="1:9" s="1370" customFormat="1" ht="12.75" customHeight="1" x14ac:dyDescent="0.25">
      <c r="A89" s="1400" t="s">
        <v>218</v>
      </c>
      <c r="B89" s="1401" t="s">
        <v>219</v>
      </c>
      <c r="C89" s="1373" t="s">
        <v>267</v>
      </c>
      <c r="D89" s="1896">
        <f t="shared" si="5"/>
        <v>358262.75</v>
      </c>
      <c r="E89" s="1897">
        <v>358262.75</v>
      </c>
      <c r="F89" s="1897">
        <v>0</v>
      </c>
      <c r="G89" s="1897">
        <v>0</v>
      </c>
      <c r="H89" s="1897">
        <v>0</v>
      </c>
      <c r="I89" s="1898">
        <f t="shared" si="6"/>
        <v>0</v>
      </c>
    </row>
    <row r="90" spans="1:9" s="1370" customFormat="1" ht="12.75" customHeight="1" x14ac:dyDescent="0.25">
      <c r="A90" s="1400" t="s">
        <v>220</v>
      </c>
      <c r="B90" s="1401" t="s">
        <v>221</v>
      </c>
      <c r="C90" s="1373" t="s">
        <v>267</v>
      </c>
      <c r="D90" s="1896">
        <f t="shared" si="5"/>
        <v>171796.33</v>
      </c>
      <c r="E90" s="1897">
        <v>171796.33</v>
      </c>
      <c r="F90" s="1897">
        <v>0</v>
      </c>
      <c r="G90" s="1897">
        <v>0</v>
      </c>
      <c r="H90" s="1897">
        <v>0</v>
      </c>
      <c r="I90" s="1898">
        <f t="shared" si="6"/>
        <v>0</v>
      </c>
    </row>
    <row r="91" spans="1:9" s="1370" customFormat="1" ht="12.75" customHeight="1" x14ac:dyDescent="0.25">
      <c r="A91" s="1400" t="s">
        <v>224</v>
      </c>
      <c r="B91" s="1401" t="s">
        <v>225</v>
      </c>
      <c r="C91" s="1373" t="s">
        <v>264</v>
      </c>
      <c r="D91" s="1896">
        <f t="shared" si="5"/>
        <v>93639.5</v>
      </c>
      <c r="E91" s="1897">
        <v>93639.5</v>
      </c>
      <c r="F91" s="1897">
        <v>0</v>
      </c>
      <c r="G91" s="1897">
        <v>0</v>
      </c>
      <c r="H91" s="1897">
        <v>0</v>
      </c>
      <c r="I91" s="1898">
        <f t="shared" si="6"/>
        <v>0</v>
      </c>
    </row>
    <row r="92" spans="1:9" s="1370" customFormat="1" ht="12.75" customHeight="1" x14ac:dyDescent="0.25">
      <c r="A92" s="1400" t="s">
        <v>226</v>
      </c>
      <c r="B92" s="1401" t="s">
        <v>227</v>
      </c>
      <c r="C92" s="1373" t="s">
        <v>264</v>
      </c>
      <c r="D92" s="1896">
        <f t="shared" si="5"/>
        <v>217501.33</v>
      </c>
      <c r="E92" s="1897">
        <v>217501.33</v>
      </c>
      <c r="F92" s="1897">
        <v>0</v>
      </c>
      <c r="G92" s="1897">
        <v>0</v>
      </c>
      <c r="H92" s="1897">
        <v>0</v>
      </c>
      <c r="I92" s="1898">
        <f t="shared" si="6"/>
        <v>0</v>
      </c>
    </row>
    <row r="93" spans="1:9" s="1370" customFormat="1" ht="12.75" customHeight="1" x14ac:dyDescent="0.25">
      <c r="A93" s="1400" t="s">
        <v>228</v>
      </c>
      <c r="B93" s="1401" t="s">
        <v>229</v>
      </c>
      <c r="C93" s="1373" t="s">
        <v>268</v>
      </c>
      <c r="D93" s="1896">
        <f t="shared" si="5"/>
        <v>1477384.53</v>
      </c>
      <c r="E93" s="1897">
        <v>1477384.53</v>
      </c>
      <c r="F93" s="1897">
        <v>0</v>
      </c>
      <c r="G93" s="1897">
        <v>0</v>
      </c>
      <c r="H93" s="1897">
        <v>0</v>
      </c>
      <c r="I93" s="1898">
        <f t="shared" si="6"/>
        <v>0</v>
      </c>
    </row>
    <row r="94" spans="1:9" s="1370" customFormat="1" ht="12.75" customHeight="1" x14ac:dyDescent="0.25">
      <c r="A94" s="1400" t="s">
        <v>232</v>
      </c>
      <c r="B94" s="1401" t="s">
        <v>233</v>
      </c>
      <c r="C94" s="1373" t="s">
        <v>267</v>
      </c>
      <c r="D94" s="1896">
        <f t="shared" si="5"/>
        <v>247218.5</v>
      </c>
      <c r="E94" s="1897">
        <v>247218.5</v>
      </c>
      <c r="F94" s="1897">
        <v>0</v>
      </c>
      <c r="G94" s="1897">
        <v>0</v>
      </c>
      <c r="H94" s="1897">
        <v>0</v>
      </c>
      <c r="I94" s="1898">
        <f t="shared" si="6"/>
        <v>0</v>
      </c>
    </row>
    <row r="95" spans="1:9" s="1370" customFormat="1" ht="12.75" customHeight="1" x14ac:dyDescent="0.25">
      <c r="A95" s="1400" t="s">
        <v>234</v>
      </c>
      <c r="B95" s="1401" t="s">
        <v>235</v>
      </c>
      <c r="C95" s="1373" t="s">
        <v>268</v>
      </c>
      <c r="D95" s="1896">
        <f t="shared" si="5"/>
        <v>920237.32000000007</v>
      </c>
      <c r="E95" s="1897">
        <v>920237.32000000007</v>
      </c>
      <c r="F95" s="1897">
        <v>0</v>
      </c>
      <c r="G95" s="1897">
        <v>0</v>
      </c>
      <c r="H95" s="1897">
        <v>0</v>
      </c>
      <c r="I95" s="1898">
        <f t="shared" si="6"/>
        <v>0</v>
      </c>
    </row>
    <row r="96" spans="1:9" s="1370" customFormat="1" ht="12.75" customHeight="1" x14ac:dyDescent="0.25">
      <c r="A96" s="1400" t="s">
        <v>236</v>
      </c>
      <c r="B96" s="1401" t="s">
        <v>237</v>
      </c>
      <c r="C96" s="1373" t="s">
        <v>266</v>
      </c>
      <c r="D96" s="1896">
        <f t="shared" si="5"/>
        <v>349496.88</v>
      </c>
      <c r="E96" s="1897">
        <v>349496.88</v>
      </c>
      <c r="F96" s="1897">
        <v>0</v>
      </c>
      <c r="G96" s="1897">
        <v>0</v>
      </c>
      <c r="H96" s="1897">
        <v>0</v>
      </c>
      <c r="I96" s="1898">
        <f t="shared" si="6"/>
        <v>0</v>
      </c>
    </row>
    <row r="97" spans="1:9" s="1370" customFormat="1" ht="12.75" customHeight="1" x14ac:dyDescent="0.25">
      <c r="A97" s="1400" t="s">
        <v>242</v>
      </c>
      <c r="B97" s="1401" t="s">
        <v>243</v>
      </c>
      <c r="C97" s="1373" t="s">
        <v>268</v>
      </c>
      <c r="D97" s="1896">
        <f t="shared" si="5"/>
        <v>1435411.18</v>
      </c>
      <c r="E97" s="1897">
        <v>1435411.18</v>
      </c>
      <c r="F97" s="1897">
        <v>0</v>
      </c>
      <c r="G97" s="1897">
        <v>0</v>
      </c>
      <c r="H97" s="1897">
        <v>0</v>
      </c>
      <c r="I97" s="1898">
        <f t="shared" si="6"/>
        <v>0</v>
      </c>
    </row>
    <row r="98" spans="1:9" s="1370" customFormat="1" ht="12.75" customHeight="1" x14ac:dyDescent="0.25">
      <c r="A98" s="1400" t="s">
        <v>244</v>
      </c>
      <c r="B98" s="1401" t="s">
        <v>245</v>
      </c>
      <c r="C98" s="1373" t="s">
        <v>268</v>
      </c>
      <c r="D98" s="1896">
        <f t="shared" si="5"/>
        <v>518846.94999999995</v>
      </c>
      <c r="E98" s="1897">
        <v>518846.94999999995</v>
      </c>
      <c r="F98" s="1897">
        <v>0</v>
      </c>
      <c r="G98" s="1897">
        <v>0</v>
      </c>
      <c r="H98" s="1897">
        <v>0</v>
      </c>
      <c r="I98" s="1898">
        <f t="shared" si="6"/>
        <v>0</v>
      </c>
    </row>
    <row r="99" spans="1:9" s="1370" customFormat="1" ht="12.75" customHeight="1" x14ac:dyDescent="0.25">
      <c r="A99" s="1400" t="s">
        <v>246</v>
      </c>
      <c r="B99" s="1401" t="s">
        <v>310</v>
      </c>
      <c r="C99" s="1373" t="s">
        <v>264</v>
      </c>
      <c r="D99" s="1896">
        <f t="shared" si="5"/>
        <v>137875.5</v>
      </c>
      <c r="E99" s="1897">
        <v>137875.5</v>
      </c>
      <c r="F99" s="1897">
        <v>0</v>
      </c>
      <c r="G99" s="1897">
        <v>0</v>
      </c>
      <c r="H99" s="1897">
        <v>0</v>
      </c>
      <c r="I99" s="1898">
        <f t="shared" si="6"/>
        <v>0</v>
      </c>
    </row>
    <row r="100" spans="1:9" s="1370" customFormat="1" ht="12.75" customHeight="1" x14ac:dyDescent="0.25">
      <c r="A100" s="1400" t="s">
        <v>14</v>
      </c>
      <c r="B100" s="1401" t="s">
        <v>15</v>
      </c>
      <c r="C100" s="1373" t="s">
        <v>267</v>
      </c>
      <c r="D100" s="1896">
        <f t="shared" si="5"/>
        <v>268057.90000000002</v>
      </c>
      <c r="E100" s="1897">
        <v>268057.90000000002</v>
      </c>
      <c r="F100" s="1897">
        <v>0</v>
      </c>
      <c r="G100" s="1897">
        <v>0</v>
      </c>
      <c r="H100" s="1897">
        <v>0</v>
      </c>
      <c r="I100" s="1898">
        <f t="shared" si="6"/>
        <v>0</v>
      </c>
    </row>
    <row r="101" spans="1:9" s="1370" customFormat="1" ht="12.75" customHeight="1" x14ac:dyDescent="0.25">
      <c r="A101" s="1400" t="s">
        <v>34</v>
      </c>
      <c r="B101" s="1401" t="s">
        <v>35</v>
      </c>
      <c r="C101" s="1373" t="s">
        <v>268</v>
      </c>
      <c r="D101" s="1896">
        <f t="shared" ref="D101:D124" si="7">SUM(E101:H101)</f>
        <v>372525.32999999996</v>
      </c>
      <c r="E101" s="1897">
        <v>372525.32999999996</v>
      </c>
      <c r="F101" s="1897">
        <v>0</v>
      </c>
      <c r="G101" s="1897">
        <v>0</v>
      </c>
      <c r="H101" s="1897">
        <v>0</v>
      </c>
      <c r="I101" s="1898">
        <f t="shared" ref="I101:I124" si="8">G101+H101</f>
        <v>0</v>
      </c>
    </row>
    <row r="102" spans="1:9" s="1370" customFormat="1" ht="12.75" customHeight="1" x14ac:dyDescent="0.25">
      <c r="A102" s="1400" t="s">
        <v>52</v>
      </c>
      <c r="B102" s="1401" t="s">
        <v>53</v>
      </c>
      <c r="C102" s="1373" t="s">
        <v>265</v>
      </c>
      <c r="D102" s="1896">
        <f t="shared" si="7"/>
        <v>268783.79000000004</v>
      </c>
      <c r="E102" s="1897">
        <v>268783.79000000004</v>
      </c>
      <c r="F102" s="1897">
        <v>0</v>
      </c>
      <c r="G102" s="1897">
        <v>0</v>
      </c>
      <c r="H102" s="1897">
        <v>0</v>
      </c>
      <c r="I102" s="1898">
        <f t="shared" si="8"/>
        <v>0</v>
      </c>
    </row>
    <row r="103" spans="1:9" s="1370" customFormat="1" ht="12.75" customHeight="1" x14ac:dyDescent="0.25">
      <c r="A103" s="1400" t="s">
        <v>54</v>
      </c>
      <c r="B103" s="1401" t="s">
        <v>55</v>
      </c>
      <c r="C103" s="1373" t="s">
        <v>264</v>
      </c>
      <c r="D103" s="1896">
        <f t="shared" si="7"/>
        <v>1005452.6599999999</v>
      </c>
      <c r="E103" s="1897">
        <v>1005452.6599999999</v>
      </c>
      <c r="F103" s="1897">
        <v>0</v>
      </c>
      <c r="G103" s="1897">
        <v>0</v>
      </c>
      <c r="H103" s="1897">
        <v>0</v>
      </c>
      <c r="I103" s="1898">
        <f t="shared" si="8"/>
        <v>0</v>
      </c>
    </row>
    <row r="104" spans="1:9" s="1370" customFormat="1" ht="12.75" customHeight="1" x14ac:dyDescent="0.25">
      <c r="A104" s="1400" t="s">
        <v>66</v>
      </c>
      <c r="B104" s="1401" t="s">
        <v>67</v>
      </c>
      <c r="C104" s="1373" t="s">
        <v>265</v>
      </c>
      <c r="D104" s="1896">
        <f t="shared" si="7"/>
        <v>1341540.69</v>
      </c>
      <c r="E104" s="1897">
        <v>1341540.69</v>
      </c>
      <c r="F104" s="1897">
        <v>0</v>
      </c>
      <c r="G104" s="1897">
        <v>0</v>
      </c>
      <c r="H104" s="1897">
        <v>0</v>
      </c>
      <c r="I104" s="1898">
        <f t="shared" si="8"/>
        <v>0</v>
      </c>
    </row>
    <row r="105" spans="1:9" s="1370" customFormat="1" ht="12.75" customHeight="1" x14ac:dyDescent="0.25">
      <c r="A105" s="1400" t="s">
        <v>82</v>
      </c>
      <c r="B105" s="1401" t="s">
        <v>311</v>
      </c>
      <c r="C105" s="1373" t="s">
        <v>264</v>
      </c>
      <c r="D105" s="1896">
        <f t="shared" si="7"/>
        <v>639017.32000000007</v>
      </c>
      <c r="E105" s="1897">
        <v>639017.32000000007</v>
      </c>
      <c r="F105" s="1897">
        <v>0</v>
      </c>
      <c r="G105" s="1897">
        <v>0</v>
      </c>
      <c r="H105" s="1897">
        <v>0</v>
      </c>
      <c r="I105" s="1898">
        <f t="shared" si="8"/>
        <v>0</v>
      </c>
    </row>
    <row r="106" spans="1:9" s="1370" customFormat="1" ht="12.75" customHeight="1" x14ac:dyDescent="0.25">
      <c r="A106" s="1400" t="s">
        <v>88</v>
      </c>
      <c r="B106" s="1401" t="s">
        <v>89</v>
      </c>
      <c r="C106" s="1373" t="s">
        <v>267</v>
      </c>
      <c r="D106" s="1896">
        <f t="shared" si="7"/>
        <v>247461.32</v>
      </c>
      <c r="E106" s="1897">
        <v>247461.32</v>
      </c>
      <c r="F106" s="1897">
        <v>0</v>
      </c>
      <c r="G106" s="1897">
        <v>0</v>
      </c>
      <c r="H106" s="1897">
        <v>0</v>
      </c>
      <c r="I106" s="1898">
        <f t="shared" si="8"/>
        <v>0</v>
      </c>
    </row>
    <row r="107" spans="1:9" s="1370" customFormat="1" ht="12.75" customHeight="1" x14ac:dyDescent="0.25">
      <c r="A107" s="1400" t="s">
        <v>90</v>
      </c>
      <c r="B107" s="1401" t="s">
        <v>91</v>
      </c>
      <c r="C107" s="1373" t="s">
        <v>268</v>
      </c>
      <c r="D107" s="1896">
        <f t="shared" si="7"/>
        <v>304726.48</v>
      </c>
      <c r="E107" s="1897">
        <v>304726.48</v>
      </c>
      <c r="F107" s="1897">
        <v>0</v>
      </c>
      <c r="G107" s="1897">
        <v>0</v>
      </c>
      <c r="H107" s="1897">
        <v>0</v>
      </c>
      <c r="I107" s="1898">
        <f t="shared" si="8"/>
        <v>0</v>
      </c>
    </row>
    <row r="108" spans="1:9" s="1370" customFormat="1" ht="12.75" customHeight="1" x14ac:dyDescent="0.25">
      <c r="A108" s="1400" t="s">
        <v>106</v>
      </c>
      <c r="B108" s="1401" t="s">
        <v>107</v>
      </c>
      <c r="C108" s="1373" t="s">
        <v>264</v>
      </c>
      <c r="D108" s="1896">
        <f t="shared" si="7"/>
        <v>959480.67</v>
      </c>
      <c r="E108" s="1897">
        <v>959480.67</v>
      </c>
      <c r="F108" s="1897">
        <v>0</v>
      </c>
      <c r="G108" s="1897">
        <v>0</v>
      </c>
      <c r="H108" s="1897">
        <v>0</v>
      </c>
      <c r="I108" s="1898">
        <f t="shared" si="8"/>
        <v>0</v>
      </c>
    </row>
    <row r="109" spans="1:9" s="1370" customFormat="1" ht="12.75" customHeight="1" x14ac:dyDescent="0.25">
      <c r="A109" s="1400" t="s">
        <v>116</v>
      </c>
      <c r="B109" s="1401" t="s">
        <v>117</v>
      </c>
      <c r="C109" s="1373" t="s">
        <v>266</v>
      </c>
      <c r="D109" s="1896">
        <f t="shared" si="7"/>
        <v>406644.33</v>
      </c>
      <c r="E109" s="1897">
        <v>406644.33</v>
      </c>
      <c r="F109" s="1897">
        <v>0</v>
      </c>
      <c r="G109" s="1897">
        <v>0</v>
      </c>
      <c r="H109" s="1897">
        <v>0</v>
      </c>
      <c r="I109" s="1898">
        <f t="shared" si="8"/>
        <v>0</v>
      </c>
    </row>
    <row r="110" spans="1:9" s="1370" customFormat="1" ht="12.75" customHeight="1" x14ac:dyDescent="0.25">
      <c r="A110" s="1400" t="s">
        <v>138</v>
      </c>
      <c r="B110" s="1401" t="s">
        <v>139</v>
      </c>
      <c r="C110" s="1373" t="s">
        <v>265</v>
      </c>
      <c r="D110" s="1896">
        <f t="shared" si="7"/>
        <v>1502304.29</v>
      </c>
      <c r="E110" s="1897">
        <v>1502304.29</v>
      </c>
      <c r="F110" s="1897">
        <v>0</v>
      </c>
      <c r="G110" s="1897">
        <v>0</v>
      </c>
      <c r="H110" s="1897">
        <v>0</v>
      </c>
      <c r="I110" s="1898">
        <f t="shared" si="8"/>
        <v>0</v>
      </c>
    </row>
    <row r="111" spans="1:9" s="1370" customFormat="1" ht="12.75" customHeight="1" x14ac:dyDescent="0.25">
      <c r="A111" s="1400" t="s">
        <v>142</v>
      </c>
      <c r="B111" s="1401" t="s">
        <v>143</v>
      </c>
      <c r="C111" s="1373" t="s">
        <v>267</v>
      </c>
      <c r="D111" s="1896">
        <f t="shared" si="7"/>
        <v>45547.659999999996</v>
      </c>
      <c r="E111" s="1897">
        <v>45547.659999999996</v>
      </c>
      <c r="F111" s="1897">
        <v>0</v>
      </c>
      <c r="G111" s="1897">
        <v>0</v>
      </c>
      <c r="H111" s="1897">
        <v>0</v>
      </c>
      <c r="I111" s="1898">
        <f t="shared" si="8"/>
        <v>0</v>
      </c>
    </row>
    <row r="112" spans="1:9" s="1370" customFormat="1" ht="12.75" customHeight="1" x14ac:dyDescent="0.25">
      <c r="A112" s="1400" t="s">
        <v>144</v>
      </c>
      <c r="B112" s="1401" t="s">
        <v>145</v>
      </c>
      <c r="C112" s="1373" t="s">
        <v>267</v>
      </c>
      <c r="D112" s="1896">
        <f t="shared" si="7"/>
        <v>13859.73</v>
      </c>
      <c r="E112" s="1897">
        <v>13859.73</v>
      </c>
      <c r="F112" s="1897">
        <v>0</v>
      </c>
      <c r="G112" s="1897">
        <v>0</v>
      </c>
      <c r="H112" s="1897">
        <v>0</v>
      </c>
      <c r="I112" s="1898">
        <f t="shared" si="8"/>
        <v>0</v>
      </c>
    </row>
    <row r="113" spans="1:9" s="1370" customFormat="1" ht="12.75" customHeight="1" x14ac:dyDescent="0.25">
      <c r="A113" s="1400" t="s">
        <v>158</v>
      </c>
      <c r="B113" s="1401" t="s">
        <v>159</v>
      </c>
      <c r="C113" s="1373" t="s">
        <v>264</v>
      </c>
      <c r="D113" s="1896">
        <f t="shared" si="7"/>
        <v>1745021.18</v>
      </c>
      <c r="E113" s="1897">
        <v>1745021.18</v>
      </c>
      <c r="F113" s="1897">
        <v>0</v>
      </c>
      <c r="G113" s="1897">
        <v>0</v>
      </c>
      <c r="H113" s="1897">
        <v>0</v>
      </c>
      <c r="I113" s="1898">
        <f t="shared" si="8"/>
        <v>0</v>
      </c>
    </row>
    <row r="114" spans="1:9" s="1370" customFormat="1" ht="12.75" customHeight="1" x14ac:dyDescent="0.25">
      <c r="A114" s="1400" t="s">
        <v>160</v>
      </c>
      <c r="B114" s="1401" t="s">
        <v>161</v>
      </c>
      <c r="C114" s="1373" t="s">
        <v>264</v>
      </c>
      <c r="D114" s="1896">
        <f t="shared" si="7"/>
        <v>2008294.72</v>
      </c>
      <c r="E114" s="1897">
        <v>2008294.72</v>
      </c>
      <c r="F114" s="1897">
        <v>0</v>
      </c>
      <c r="G114" s="1897">
        <v>0</v>
      </c>
      <c r="H114" s="1897">
        <v>0</v>
      </c>
      <c r="I114" s="1898">
        <f t="shared" si="8"/>
        <v>0</v>
      </c>
    </row>
    <row r="115" spans="1:9" s="1370" customFormat="1" ht="12.75" customHeight="1" x14ac:dyDescent="0.25">
      <c r="A115" s="1400" t="s">
        <v>166</v>
      </c>
      <c r="B115" s="1401" t="s">
        <v>167</v>
      </c>
      <c r="C115" s="1373" t="s">
        <v>268</v>
      </c>
      <c r="D115" s="1896">
        <f t="shared" si="7"/>
        <v>188921.28999999998</v>
      </c>
      <c r="E115" s="1897">
        <v>188921.28999999998</v>
      </c>
      <c r="F115" s="1897">
        <v>0</v>
      </c>
      <c r="G115" s="1897">
        <v>0</v>
      </c>
      <c r="H115" s="1897">
        <v>0</v>
      </c>
      <c r="I115" s="1898">
        <f t="shared" si="8"/>
        <v>0</v>
      </c>
    </row>
    <row r="116" spans="1:9" s="1370" customFormat="1" ht="12.75" customHeight="1" x14ac:dyDescent="0.25">
      <c r="A116" s="1400" t="s">
        <v>176</v>
      </c>
      <c r="B116" s="1401" t="s">
        <v>177</v>
      </c>
      <c r="C116" s="1373" t="s">
        <v>266</v>
      </c>
      <c r="D116" s="1896">
        <f t="shared" si="7"/>
        <v>795025.86</v>
      </c>
      <c r="E116" s="1897">
        <v>795025.86</v>
      </c>
      <c r="F116" s="1897">
        <v>0</v>
      </c>
      <c r="G116" s="1897">
        <v>0</v>
      </c>
      <c r="H116" s="1897">
        <v>0</v>
      </c>
      <c r="I116" s="1898">
        <f t="shared" si="8"/>
        <v>0</v>
      </c>
    </row>
    <row r="117" spans="1:9" s="1370" customFormat="1" ht="12.75" customHeight="1" x14ac:dyDescent="0.25">
      <c r="A117" s="1400" t="s">
        <v>180</v>
      </c>
      <c r="B117" s="1401" t="s">
        <v>181</v>
      </c>
      <c r="C117" s="1373" t="s">
        <v>264</v>
      </c>
      <c r="D117" s="1896">
        <f t="shared" si="7"/>
        <v>952114.02</v>
      </c>
      <c r="E117" s="1897">
        <v>952114.02</v>
      </c>
      <c r="F117" s="1897">
        <v>0</v>
      </c>
      <c r="G117" s="1897">
        <v>0</v>
      </c>
      <c r="H117" s="1897">
        <v>0</v>
      </c>
      <c r="I117" s="1898">
        <f t="shared" si="8"/>
        <v>0</v>
      </c>
    </row>
    <row r="118" spans="1:9" s="1370" customFormat="1" ht="12.75" customHeight="1" x14ac:dyDescent="0.25">
      <c r="A118" s="1400" t="s">
        <v>192</v>
      </c>
      <c r="B118" s="1401" t="s">
        <v>193</v>
      </c>
      <c r="C118" s="1373" t="s">
        <v>268</v>
      </c>
      <c r="D118" s="1896">
        <f t="shared" si="7"/>
        <v>183862.25</v>
      </c>
      <c r="E118" s="1897">
        <v>183862.25</v>
      </c>
      <c r="F118" s="1897">
        <v>0</v>
      </c>
      <c r="G118" s="1897">
        <v>0</v>
      </c>
      <c r="H118" s="1897">
        <v>0</v>
      </c>
      <c r="I118" s="1898">
        <f t="shared" si="8"/>
        <v>0</v>
      </c>
    </row>
    <row r="119" spans="1:9" s="1370" customFormat="1" ht="12.75" customHeight="1" x14ac:dyDescent="0.25">
      <c r="A119" s="1400" t="s">
        <v>196</v>
      </c>
      <c r="B119" s="1401" t="s">
        <v>312</v>
      </c>
      <c r="C119" s="1373" t="s">
        <v>266</v>
      </c>
      <c r="D119" s="1896">
        <f t="shared" si="7"/>
        <v>2540664.6599999997</v>
      </c>
      <c r="E119" s="1897">
        <v>2540664.6599999997</v>
      </c>
      <c r="F119" s="1897">
        <v>0</v>
      </c>
      <c r="G119" s="1897">
        <v>0</v>
      </c>
      <c r="H119" s="1897">
        <v>0</v>
      </c>
      <c r="I119" s="1898">
        <f t="shared" si="8"/>
        <v>0</v>
      </c>
    </row>
    <row r="120" spans="1:9" s="1370" customFormat="1" ht="12.75" customHeight="1" x14ac:dyDescent="0.25">
      <c r="A120" s="1400" t="s">
        <v>200</v>
      </c>
      <c r="B120" s="1401" t="s">
        <v>313</v>
      </c>
      <c r="C120" s="1373" t="s">
        <v>265</v>
      </c>
      <c r="D120" s="1896">
        <f t="shared" si="7"/>
        <v>1632447.7399999998</v>
      </c>
      <c r="E120" s="1897">
        <v>1632447.7399999998</v>
      </c>
      <c r="F120" s="1897">
        <v>0</v>
      </c>
      <c r="G120" s="1897">
        <v>0</v>
      </c>
      <c r="H120" s="1897">
        <v>0</v>
      </c>
      <c r="I120" s="1898">
        <f t="shared" si="8"/>
        <v>0</v>
      </c>
    </row>
    <row r="121" spans="1:9" s="1370" customFormat="1" ht="12.75" customHeight="1" x14ac:dyDescent="0.25">
      <c r="A121" s="1400" t="s">
        <v>222</v>
      </c>
      <c r="B121" s="1401" t="s">
        <v>223</v>
      </c>
      <c r="C121" s="1373" t="s">
        <v>264</v>
      </c>
      <c r="D121" s="1896">
        <f t="shared" si="7"/>
        <v>897006.57000000007</v>
      </c>
      <c r="E121" s="1897">
        <v>897006.57000000007</v>
      </c>
      <c r="F121" s="1897">
        <v>0</v>
      </c>
      <c r="G121" s="1897">
        <v>0</v>
      </c>
      <c r="H121" s="1897">
        <v>0</v>
      </c>
      <c r="I121" s="1898">
        <f t="shared" si="8"/>
        <v>0</v>
      </c>
    </row>
    <row r="122" spans="1:9" s="1370" customFormat="1" ht="12.75" customHeight="1" x14ac:dyDescent="0.25">
      <c r="A122" s="1400" t="s">
        <v>230</v>
      </c>
      <c r="B122" s="1401" t="s">
        <v>231</v>
      </c>
      <c r="C122" s="1373" t="s">
        <v>264</v>
      </c>
      <c r="D122" s="1896">
        <f t="shared" si="7"/>
        <v>1043583.26</v>
      </c>
      <c r="E122" s="1897">
        <v>1043583.26</v>
      </c>
      <c r="F122" s="1897">
        <v>0</v>
      </c>
      <c r="G122" s="1897">
        <v>0</v>
      </c>
      <c r="H122" s="1897">
        <v>0</v>
      </c>
      <c r="I122" s="1898">
        <f t="shared" si="8"/>
        <v>0</v>
      </c>
    </row>
    <row r="123" spans="1:9" s="1370" customFormat="1" ht="12.75" customHeight="1" x14ac:dyDescent="0.25">
      <c r="A123" s="1400" t="s">
        <v>238</v>
      </c>
      <c r="B123" s="1401" t="s">
        <v>239</v>
      </c>
      <c r="C123" s="1373" t="s">
        <v>264</v>
      </c>
      <c r="D123" s="1896">
        <f t="shared" si="7"/>
        <v>20770.87</v>
      </c>
      <c r="E123" s="1897">
        <v>20770.87</v>
      </c>
      <c r="F123" s="1897">
        <v>0</v>
      </c>
      <c r="G123" s="1897">
        <v>0</v>
      </c>
      <c r="H123" s="1897">
        <v>0</v>
      </c>
      <c r="I123" s="1898">
        <f t="shared" si="8"/>
        <v>0</v>
      </c>
    </row>
    <row r="124" spans="1:9" s="1370" customFormat="1" ht="12.75" customHeight="1" x14ac:dyDescent="0.25">
      <c r="A124" s="1402" t="s">
        <v>240</v>
      </c>
      <c r="B124" s="1403" t="s">
        <v>241</v>
      </c>
      <c r="C124" s="1383" t="s">
        <v>267</v>
      </c>
      <c r="D124" s="1899">
        <f t="shared" si="7"/>
        <v>185604.81</v>
      </c>
      <c r="E124" s="1900">
        <v>185604.81</v>
      </c>
      <c r="F124" s="1900">
        <v>0</v>
      </c>
      <c r="G124" s="1900">
        <v>0</v>
      </c>
      <c r="H124" s="1900">
        <v>0</v>
      </c>
      <c r="I124" s="1901">
        <f t="shared" si="8"/>
        <v>0</v>
      </c>
    </row>
    <row r="125" spans="1:9" s="1370" customFormat="1" ht="12.75" customHeight="1" x14ac:dyDescent="0.25">
      <c r="D125" s="1404"/>
      <c r="E125" s="1404"/>
      <c r="F125" s="1404"/>
      <c r="G125" s="1404"/>
      <c r="H125" s="1404"/>
      <c r="I125" s="1404"/>
    </row>
    <row r="126" spans="1:9" s="1370" customFormat="1" ht="12.75" customHeight="1" x14ac:dyDescent="0.25">
      <c r="A126" s="1370" t="s">
        <v>266</v>
      </c>
      <c r="D126" s="1902">
        <f>SUM(E126:H126)</f>
        <v>11013724.129999999</v>
      </c>
      <c r="E126" s="1903">
        <v>11013724.129999999</v>
      </c>
      <c r="F126" s="1903">
        <v>0</v>
      </c>
      <c r="G126" s="1903">
        <v>0</v>
      </c>
      <c r="H126" s="1903">
        <v>0</v>
      </c>
      <c r="I126" s="1904">
        <v>0</v>
      </c>
    </row>
    <row r="127" spans="1:9" s="1370" customFormat="1" ht="12.75" customHeight="1" x14ac:dyDescent="0.25">
      <c r="A127" s="1370" t="s">
        <v>264</v>
      </c>
      <c r="D127" s="1902">
        <f>SUM(E127:H127)</f>
        <v>13890713.890000001</v>
      </c>
      <c r="E127" s="1903">
        <v>13890713.890000001</v>
      </c>
      <c r="F127" s="1903">
        <v>0</v>
      </c>
      <c r="G127" s="1903">
        <v>0</v>
      </c>
      <c r="H127" s="1903">
        <v>0</v>
      </c>
      <c r="I127" s="1904">
        <v>0</v>
      </c>
    </row>
    <row r="128" spans="1:9" s="1370" customFormat="1" ht="12.75" customHeight="1" x14ac:dyDescent="0.25">
      <c r="A128" s="1370" t="s">
        <v>267</v>
      </c>
      <c r="D128" s="1902">
        <f>SUM(E128:H128)</f>
        <v>6372179.5700000003</v>
      </c>
      <c r="E128" s="1903">
        <v>6372179.5700000003</v>
      </c>
      <c r="F128" s="1903">
        <v>0</v>
      </c>
      <c r="G128" s="1903">
        <v>0</v>
      </c>
      <c r="H128" s="1903">
        <v>0</v>
      </c>
      <c r="I128" s="1904">
        <v>0</v>
      </c>
    </row>
    <row r="129" spans="1:9" s="1370" customFormat="1" ht="12.75" customHeight="1" x14ac:dyDescent="0.25">
      <c r="A129" s="1370" t="s">
        <v>265</v>
      </c>
      <c r="D129" s="1902">
        <f>SUM(E129:H129)</f>
        <v>16538794.940000001</v>
      </c>
      <c r="E129" s="1903">
        <v>16538794.940000001</v>
      </c>
      <c r="F129" s="1903">
        <v>0</v>
      </c>
      <c r="G129" s="1903">
        <v>0</v>
      </c>
      <c r="H129" s="1903">
        <v>0</v>
      </c>
      <c r="I129" s="1904">
        <v>0</v>
      </c>
    </row>
    <row r="130" spans="1:9" s="1370" customFormat="1" ht="12.75" customHeight="1" x14ac:dyDescent="0.25">
      <c r="A130" s="1370" t="s">
        <v>268</v>
      </c>
      <c r="D130" s="1902">
        <f>SUM(E130:H130)</f>
        <v>16172229.069999997</v>
      </c>
      <c r="E130" s="1903">
        <v>16172229.069999997</v>
      </c>
      <c r="F130" s="1903">
        <v>0</v>
      </c>
      <c r="G130" s="1903">
        <v>0</v>
      </c>
      <c r="H130" s="1903">
        <v>0</v>
      </c>
      <c r="I130" s="1904">
        <v>0</v>
      </c>
    </row>
    <row r="131" spans="1:9" s="1370" customFormat="1" ht="12.75" customHeight="1" x14ac:dyDescent="0.25">
      <c r="A131" s="1370" t="s">
        <v>9</v>
      </c>
      <c r="D131" s="1902">
        <f>SUM(D126:D130)</f>
        <v>63987641.599999994</v>
      </c>
      <c r="E131" s="1903">
        <f t="shared" ref="E131:H131" si="9">SUM(E126:E130)</f>
        <v>63987641.599999994</v>
      </c>
      <c r="F131" s="1903">
        <f t="shared" si="9"/>
        <v>0</v>
      </c>
      <c r="G131" s="1903">
        <f t="shared" si="9"/>
        <v>0</v>
      </c>
      <c r="H131" s="1903">
        <f t="shared" si="9"/>
        <v>0</v>
      </c>
      <c r="I131" s="1904">
        <f t="shared" ref="I131" si="10">G131+H131</f>
        <v>0</v>
      </c>
    </row>
    <row r="132" spans="1:9" x14ac:dyDescent="0.25">
      <c r="D132" s="773"/>
      <c r="E132" s="773"/>
      <c r="F132" s="773"/>
      <c r="G132" s="773"/>
      <c r="H132" s="773"/>
      <c r="I132" s="773"/>
    </row>
    <row r="133" spans="1:9" s="369" customFormat="1" x14ac:dyDescent="0.25">
      <c r="A133" s="917" t="s">
        <v>1263</v>
      </c>
      <c r="B133" s="676"/>
      <c r="C133" s="676"/>
      <c r="D133" s="629"/>
      <c r="E133" s="629"/>
      <c r="F133" s="629"/>
      <c r="G133" s="629"/>
      <c r="H133" s="629"/>
      <c r="I133" s="629"/>
    </row>
    <row r="134" spans="1:9" s="369" customFormat="1" x14ac:dyDescent="0.25"/>
    <row r="135" spans="1:9" s="389" customFormat="1" x14ac:dyDescent="0.25">
      <c r="A135" s="389" t="s">
        <v>248</v>
      </c>
    </row>
    <row r="136" spans="1:9" x14ac:dyDescent="0.25">
      <c r="A136" s="390" t="s">
        <v>249</v>
      </c>
      <c r="B136" s="391" t="s">
        <v>250</v>
      </c>
      <c r="C136" s="391"/>
    </row>
  </sheetData>
  <autoFilter ref="A3:C124"/>
  <sortState ref="A5:J124">
    <sortCondition ref="A5:A124"/>
  </sortState>
  <hyperlinks>
    <hyperlink ref="B136" r:id="rId1"/>
  </hyperlinks>
  <pageMargins left="0.7" right="0.7" top="0.75" bottom="0.75" header="0.3" footer="0.3"/>
  <pageSetup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8"/>
  <sheetViews>
    <sheetView zoomScale="98" zoomScaleNormal="98" workbookViewId="0">
      <pane xSplit="3" ySplit="4" topLeftCell="D102" activePane="bottomRight" state="frozen"/>
      <selection pane="topRight" activeCell="D1" sqref="D1"/>
      <selection pane="bottomLeft" activeCell="A5" sqref="A5"/>
      <selection pane="bottomRight" activeCell="A4" sqref="A4:I131"/>
    </sheetView>
  </sheetViews>
  <sheetFormatPr defaultRowHeight="15.75" x14ac:dyDescent="0.25"/>
  <cols>
    <col min="1" max="1" width="13.375" style="265" bestFit="1" customWidth="1"/>
    <col min="2" max="2" width="31.375" style="265" customWidth="1"/>
    <col min="3" max="3" width="14.875" style="265" customWidth="1"/>
    <col min="4" max="4" width="13.75" style="265" bestFit="1" customWidth="1"/>
    <col min="5" max="5" width="12.375" style="265" bestFit="1" customWidth="1"/>
    <col min="6" max="6" width="10.875" style="265" customWidth="1"/>
    <col min="7" max="7" width="10.125" style="265" bestFit="1" customWidth="1"/>
    <col min="8" max="8" width="12.375" style="265" bestFit="1" customWidth="1"/>
    <col min="9" max="9" width="12.625" style="265" customWidth="1"/>
    <col min="10" max="16384" width="9" style="265"/>
  </cols>
  <sheetData>
    <row r="1" spans="1:9" x14ac:dyDescent="0.25">
      <c r="A1" s="64" t="s">
        <v>1264</v>
      </c>
    </row>
    <row r="2" spans="1:9" x14ac:dyDescent="0.25">
      <c r="D2" s="1193"/>
      <c r="E2" s="1193"/>
      <c r="F2" s="1193"/>
      <c r="G2" s="1193"/>
      <c r="H2" s="1193"/>
    </row>
    <row r="3" spans="1:9" ht="31.5" x14ac:dyDescent="0.25">
      <c r="A3" s="775" t="s">
        <v>4</v>
      </c>
      <c r="B3" s="776" t="s">
        <v>5</v>
      </c>
      <c r="C3" s="846" t="s">
        <v>251</v>
      </c>
      <c r="D3" s="777" t="s">
        <v>937</v>
      </c>
      <c r="E3" s="778" t="s">
        <v>938</v>
      </c>
      <c r="F3" s="778" t="s">
        <v>939</v>
      </c>
      <c r="G3" s="778" t="s">
        <v>940</v>
      </c>
      <c r="H3" s="1224" t="s">
        <v>941</v>
      </c>
      <c r="I3" s="1225" t="s">
        <v>1037</v>
      </c>
    </row>
    <row r="4" spans="1:9" s="1370" customFormat="1" ht="12.75" customHeight="1" x14ac:dyDescent="0.25">
      <c r="A4" s="1365">
        <v>999</v>
      </c>
      <c r="B4" s="1366" t="s">
        <v>9</v>
      </c>
      <c r="C4" s="1367"/>
      <c r="D4" s="1368">
        <f t="shared" ref="D4:H4" si="0">SUM(D5:D124)</f>
        <v>28092194.990000002</v>
      </c>
      <c r="E4" s="1368">
        <f t="shared" si="0"/>
        <v>46281778.080000013</v>
      </c>
      <c r="F4" s="1368">
        <f t="shared" si="0"/>
        <v>0</v>
      </c>
      <c r="G4" s="1368">
        <f t="shared" si="0"/>
        <v>0</v>
      </c>
      <c r="H4" s="1527">
        <f t="shared" si="0"/>
        <v>74373973.070000023</v>
      </c>
      <c r="I4" s="1369">
        <f t="shared" ref="I4" si="1">F4+G4</f>
        <v>0</v>
      </c>
    </row>
    <row r="5" spans="1:9" s="1378" customFormat="1" ht="12.75" customHeight="1" x14ac:dyDescent="0.25">
      <c r="A5" s="1371" t="s">
        <v>10</v>
      </c>
      <c r="B5" s="1372" t="s">
        <v>11</v>
      </c>
      <c r="C5" s="1373" t="s">
        <v>264</v>
      </c>
      <c r="D5" s="1374">
        <v>117175.44696249111</v>
      </c>
      <c r="E5" s="1375">
        <v>181698.31283167496</v>
      </c>
      <c r="F5" s="1375">
        <v>0</v>
      </c>
      <c r="G5" s="1375">
        <v>0</v>
      </c>
      <c r="H5" s="1376">
        <f t="shared" ref="H5:H36" si="2">SUM(D5:G5)</f>
        <v>298873.75979416608</v>
      </c>
      <c r="I5" s="1377">
        <f t="shared" ref="I5:I36" si="3">F5+G5</f>
        <v>0</v>
      </c>
    </row>
    <row r="6" spans="1:9" s="1378" customFormat="1" ht="12.75" customHeight="1" x14ac:dyDescent="0.25">
      <c r="A6" s="1371" t="s">
        <v>12</v>
      </c>
      <c r="B6" s="1372" t="s">
        <v>13</v>
      </c>
      <c r="C6" s="1373" t="s">
        <v>265</v>
      </c>
      <c r="D6" s="1379">
        <v>125657.09318013975</v>
      </c>
      <c r="E6" s="1380">
        <v>280702.01690681593</v>
      </c>
      <c r="F6" s="1375">
        <v>0</v>
      </c>
      <c r="G6" s="1375">
        <v>0</v>
      </c>
      <c r="H6" s="1376">
        <f t="shared" si="2"/>
        <v>406359.11008695571</v>
      </c>
      <c r="I6" s="1377">
        <f t="shared" si="3"/>
        <v>0</v>
      </c>
    </row>
    <row r="7" spans="1:9" s="1378" customFormat="1" ht="12.75" customHeight="1" x14ac:dyDescent="0.25">
      <c r="A7" s="1371" t="s">
        <v>16</v>
      </c>
      <c r="B7" s="1372" t="s">
        <v>297</v>
      </c>
      <c r="C7" s="1373" t="s">
        <v>265</v>
      </c>
      <c r="D7" s="1381">
        <v>85020.368219378404</v>
      </c>
      <c r="E7" s="1382">
        <v>140699.2910229339</v>
      </c>
      <c r="F7" s="1375">
        <v>0</v>
      </c>
      <c r="G7" s="1375">
        <v>0</v>
      </c>
      <c r="H7" s="1376">
        <f t="shared" si="2"/>
        <v>225719.65924231231</v>
      </c>
      <c r="I7" s="1377">
        <f t="shared" si="3"/>
        <v>0</v>
      </c>
    </row>
    <row r="8" spans="1:9" s="1378" customFormat="1" ht="12.75" customHeight="1" x14ac:dyDescent="0.25">
      <c r="A8" s="1371" t="s">
        <v>18</v>
      </c>
      <c r="B8" s="1372" t="s">
        <v>19</v>
      </c>
      <c r="C8" s="1373" t="s">
        <v>266</v>
      </c>
      <c r="D8" s="1381">
        <v>28217.537783953314</v>
      </c>
      <c r="E8" s="1382">
        <v>41942.943550491531</v>
      </c>
      <c r="F8" s="1375">
        <v>0</v>
      </c>
      <c r="G8" s="1375">
        <v>0</v>
      </c>
      <c r="H8" s="1376">
        <f t="shared" si="2"/>
        <v>70160.481334444848</v>
      </c>
      <c r="I8" s="1377">
        <f t="shared" si="3"/>
        <v>0</v>
      </c>
    </row>
    <row r="9" spans="1:9" s="1378" customFormat="1" ht="12.75" customHeight="1" x14ac:dyDescent="0.25">
      <c r="A9" s="1371" t="s">
        <v>20</v>
      </c>
      <c r="B9" s="1372" t="s">
        <v>21</v>
      </c>
      <c r="C9" s="1373" t="s">
        <v>265</v>
      </c>
      <c r="D9" s="1379">
        <v>84336.243390023839</v>
      </c>
      <c r="E9" s="1380">
        <v>127659.6862352296</v>
      </c>
      <c r="F9" s="1375">
        <v>0</v>
      </c>
      <c r="G9" s="1375">
        <v>0</v>
      </c>
      <c r="H9" s="1376">
        <f t="shared" si="2"/>
        <v>211995.92962525343</v>
      </c>
      <c r="I9" s="1377">
        <f t="shared" si="3"/>
        <v>0</v>
      </c>
    </row>
    <row r="10" spans="1:9" s="1378" customFormat="1" ht="12.75" customHeight="1" x14ac:dyDescent="0.25">
      <c r="A10" s="1371" t="s">
        <v>22</v>
      </c>
      <c r="B10" s="1372" t="s">
        <v>23</v>
      </c>
      <c r="C10" s="1373" t="s">
        <v>265</v>
      </c>
      <c r="D10" s="1381">
        <v>67132.078457298907</v>
      </c>
      <c r="E10" s="1382">
        <v>111195.31708526758</v>
      </c>
      <c r="F10" s="1375">
        <v>0</v>
      </c>
      <c r="G10" s="1375">
        <v>0</v>
      </c>
      <c r="H10" s="1376">
        <f t="shared" si="2"/>
        <v>178327.39554256649</v>
      </c>
      <c r="I10" s="1377">
        <f t="shared" si="3"/>
        <v>0</v>
      </c>
    </row>
    <row r="11" spans="1:9" s="1378" customFormat="1" ht="12.75" customHeight="1" x14ac:dyDescent="0.25">
      <c r="A11" s="1371" t="s">
        <v>24</v>
      </c>
      <c r="B11" s="1372" t="s">
        <v>25</v>
      </c>
      <c r="C11" s="1373" t="s">
        <v>267</v>
      </c>
      <c r="D11" s="1381">
        <v>234232.65495619047</v>
      </c>
      <c r="E11" s="1382">
        <v>406259.30932340946</v>
      </c>
      <c r="F11" s="1375">
        <v>0</v>
      </c>
      <c r="G11" s="1375">
        <v>0</v>
      </c>
      <c r="H11" s="1376">
        <f t="shared" si="2"/>
        <v>640491.96427959995</v>
      </c>
      <c r="I11" s="1377">
        <f t="shared" si="3"/>
        <v>0</v>
      </c>
    </row>
    <row r="12" spans="1:9" s="1378" customFormat="1" ht="12.75" customHeight="1" x14ac:dyDescent="0.25">
      <c r="A12" s="1371" t="s">
        <v>26</v>
      </c>
      <c r="B12" s="1372" t="s">
        <v>685</v>
      </c>
      <c r="C12" s="1373" t="s">
        <v>265</v>
      </c>
      <c r="D12" s="1381">
        <v>490438.36222309415</v>
      </c>
      <c r="E12" s="1382">
        <v>769034.26632840489</v>
      </c>
      <c r="F12" s="1375">
        <v>0</v>
      </c>
      <c r="G12" s="1375">
        <v>0</v>
      </c>
      <c r="H12" s="1376">
        <f t="shared" si="2"/>
        <v>1259472.628551499</v>
      </c>
      <c r="I12" s="1377">
        <f t="shared" si="3"/>
        <v>0</v>
      </c>
    </row>
    <row r="13" spans="1:9" s="1378" customFormat="1" ht="12.75" customHeight="1" x14ac:dyDescent="0.25">
      <c r="A13" s="1371" t="s">
        <v>27</v>
      </c>
      <c r="B13" s="1372" t="s">
        <v>28</v>
      </c>
      <c r="C13" s="1373" t="s">
        <v>265</v>
      </c>
      <c r="D13" s="1379">
        <v>3249.9035496850215</v>
      </c>
      <c r="E13" s="1380">
        <v>4626.0146816560546</v>
      </c>
      <c r="F13" s="1375">
        <v>0</v>
      </c>
      <c r="G13" s="1375">
        <v>0</v>
      </c>
      <c r="H13" s="1376">
        <f t="shared" si="2"/>
        <v>7875.9182313410765</v>
      </c>
      <c r="I13" s="1377">
        <f t="shared" si="3"/>
        <v>0</v>
      </c>
    </row>
    <row r="14" spans="1:9" s="1378" customFormat="1" ht="12.75" customHeight="1" x14ac:dyDescent="0.25">
      <c r="A14" s="1371" t="s">
        <v>29</v>
      </c>
      <c r="B14" s="1372" t="s">
        <v>901</v>
      </c>
      <c r="C14" s="1373" t="s">
        <v>265</v>
      </c>
      <c r="D14" s="1381">
        <v>151321.09258845949</v>
      </c>
      <c r="E14" s="1382">
        <v>258154.65643330824</v>
      </c>
      <c r="F14" s="1375">
        <v>0</v>
      </c>
      <c r="G14" s="1375">
        <v>0</v>
      </c>
      <c r="H14" s="1376">
        <f t="shared" si="2"/>
        <v>409475.74902176776</v>
      </c>
      <c r="I14" s="1377">
        <f t="shared" si="3"/>
        <v>0</v>
      </c>
    </row>
    <row r="15" spans="1:9" s="1378" customFormat="1" ht="12.75" customHeight="1" x14ac:dyDescent="0.25">
      <c r="A15" s="1371" t="s">
        <v>30</v>
      </c>
      <c r="B15" s="1372" t="s">
        <v>31</v>
      </c>
      <c r="C15" s="1373" t="s">
        <v>268</v>
      </c>
      <c r="D15" s="1379">
        <v>13797.230645152458</v>
      </c>
      <c r="E15" s="1380">
        <v>19976.707062891532</v>
      </c>
      <c r="F15" s="1375">
        <v>0</v>
      </c>
      <c r="G15" s="1375">
        <v>0</v>
      </c>
      <c r="H15" s="1376">
        <f t="shared" si="2"/>
        <v>33773.937708043988</v>
      </c>
      <c r="I15" s="1377">
        <f t="shared" si="3"/>
        <v>0</v>
      </c>
    </row>
    <row r="16" spans="1:9" s="1378" customFormat="1" ht="12.75" customHeight="1" x14ac:dyDescent="0.25">
      <c r="A16" s="1371" t="s">
        <v>32</v>
      </c>
      <c r="B16" s="1372" t="s">
        <v>33</v>
      </c>
      <c r="C16" s="1373" t="s">
        <v>265</v>
      </c>
      <c r="D16" s="1379">
        <v>31773.246712253946</v>
      </c>
      <c r="E16" s="1380">
        <v>50082.324315762889</v>
      </c>
      <c r="F16" s="1375">
        <v>0</v>
      </c>
      <c r="G16" s="1375">
        <v>0</v>
      </c>
      <c r="H16" s="1376">
        <f t="shared" si="2"/>
        <v>81855.571028016828</v>
      </c>
      <c r="I16" s="1377">
        <f t="shared" si="3"/>
        <v>0</v>
      </c>
    </row>
    <row r="17" spans="1:9" s="1378" customFormat="1" ht="12.75" customHeight="1" x14ac:dyDescent="0.25">
      <c r="A17" s="1371" t="s">
        <v>36</v>
      </c>
      <c r="B17" s="1372" t="s">
        <v>37</v>
      </c>
      <c r="C17" s="1373" t="s">
        <v>264</v>
      </c>
      <c r="D17" s="1379">
        <v>72382.802862809374</v>
      </c>
      <c r="E17" s="1380">
        <v>108751.1920192978</v>
      </c>
      <c r="F17" s="1375">
        <v>0</v>
      </c>
      <c r="G17" s="1375">
        <v>0</v>
      </c>
      <c r="H17" s="1376">
        <f t="shared" si="2"/>
        <v>181133.99488210719</v>
      </c>
      <c r="I17" s="1377">
        <f t="shared" si="3"/>
        <v>0</v>
      </c>
    </row>
    <row r="18" spans="1:9" s="1378" customFormat="1" ht="12.75" customHeight="1" x14ac:dyDescent="0.25">
      <c r="A18" s="1371" t="s">
        <v>38</v>
      </c>
      <c r="B18" s="1372" t="s">
        <v>39</v>
      </c>
      <c r="C18" s="1373" t="s">
        <v>268</v>
      </c>
      <c r="D18" s="1381">
        <v>107933.49971016105</v>
      </c>
      <c r="E18" s="1382">
        <v>171324.02143040849</v>
      </c>
      <c r="F18" s="1375">
        <v>0</v>
      </c>
      <c r="G18" s="1375">
        <v>0</v>
      </c>
      <c r="H18" s="1376">
        <f t="shared" si="2"/>
        <v>279257.52114056953</v>
      </c>
      <c r="I18" s="1377">
        <f t="shared" si="3"/>
        <v>0</v>
      </c>
    </row>
    <row r="19" spans="1:9" s="1378" customFormat="1" ht="12.75" customHeight="1" x14ac:dyDescent="0.25">
      <c r="A19" s="1371" t="s">
        <v>40</v>
      </c>
      <c r="B19" s="1372" t="s">
        <v>41</v>
      </c>
      <c r="C19" s="1373" t="s">
        <v>266</v>
      </c>
      <c r="D19" s="1381">
        <v>55806.998632690331</v>
      </c>
      <c r="E19" s="1382">
        <v>95870.457468810171</v>
      </c>
      <c r="F19" s="1375">
        <v>0</v>
      </c>
      <c r="G19" s="1375">
        <v>0</v>
      </c>
      <c r="H19" s="1376">
        <f t="shared" si="2"/>
        <v>151677.45610150049</v>
      </c>
      <c r="I19" s="1377">
        <f t="shared" si="3"/>
        <v>0</v>
      </c>
    </row>
    <row r="20" spans="1:9" s="1378" customFormat="1" ht="12.75" customHeight="1" x14ac:dyDescent="0.25">
      <c r="A20" s="1371" t="s">
        <v>42</v>
      </c>
      <c r="B20" s="1372" t="s">
        <v>43</v>
      </c>
      <c r="C20" s="1373" t="s">
        <v>265</v>
      </c>
      <c r="D20" s="1381">
        <v>188770.96404574692</v>
      </c>
      <c r="E20" s="1382">
        <v>349068.72384983295</v>
      </c>
      <c r="F20" s="1375">
        <v>0</v>
      </c>
      <c r="G20" s="1375">
        <v>0</v>
      </c>
      <c r="H20" s="1376">
        <f t="shared" si="2"/>
        <v>537839.68789557985</v>
      </c>
      <c r="I20" s="1377">
        <f t="shared" si="3"/>
        <v>0</v>
      </c>
    </row>
    <row r="21" spans="1:9" s="1378" customFormat="1" ht="12.75" customHeight="1" x14ac:dyDescent="0.25">
      <c r="A21" s="1371" t="s">
        <v>44</v>
      </c>
      <c r="B21" s="1372" t="s">
        <v>45</v>
      </c>
      <c r="C21" s="1373" t="s">
        <v>266</v>
      </c>
      <c r="D21" s="1381">
        <v>167071.4634985975</v>
      </c>
      <c r="E21" s="1382">
        <v>287154.66759781935</v>
      </c>
      <c r="F21" s="1375">
        <v>0</v>
      </c>
      <c r="G21" s="1375">
        <v>0</v>
      </c>
      <c r="H21" s="1376">
        <f t="shared" si="2"/>
        <v>454226.13109641685</v>
      </c>
      <c r="I21" s="1377">
        <f t="shared" si="3"/>
        <v>0</v>
      </c>
    </row>
    <row r="22" spans="1:9" s="1378" customFormat="1" ht="12.75" customHeight="1" x14ac:dyDescent="0.25">
      <c r="A22" s="1371" t="s">
        <v>46</v>
      </c>
      <c r="B22" s="1372" t="s">
        <v>47</v>
      </c>
      <c r="C22" s="1373" t="s">
        <v>268</v>
      </c>
      <c r="D22" s="1381">
        <v>78291.11601205339</v>
      </c>
      <c r="E22" s="1382">
        <v>128487.31699554122</v>
      </c>
      <c r="F22" s="1375">
        <v>0</v>
      </c>
      <c r="G22" s="1375">
        <v>0</v>
      </c>
      <c r="H22" s="1376">
        <f t="shared" si="2"/>
        <v>206778.43300759461</v>
      </c>
      <c r="I22" s="1377">
        <f t="shared" si="3"/>
        <v>0</v>
      </c>
    </row>
    <row r="23" spans="1:9" s="1378" customFormat="1" ht="12.75" customHeight="1" x14ac:dyDescent="0.25">
      <c r="A23" s="1371" t="s">
        <v>48</v>
      </c>
      <c r="B23" s="1372" t="s">
        <v>269</v>
      </c>
      <c r="C23" s="1373" t="s">
        <v>266</v>
      </c>
      <c r="D23" s="1379">
        <v>13658.414705921072</v>
      </c>
      <c r="E23" s="1380">
        <v>19441.816039082634</v>
      </c>
      <c r="F23" s="1375">
        <v>0</v>
      </c>
      <c r="G23" s="1375">
        <v>0</v>
      </c>
      <c r="H23" s="1376">
        <f t="shared" si="2"/>
        <v>33100.230745003704</v>
      </c>
      <c r="I23" s="1377">
        <f t="shared" si="3"/>
        <v>0</v>
      </c>
    </row>
    <row r="24" spans="1:9" s="1378" customFormat="1" ht="12.75" customHeight="1" x14ac:dyDescent="0.25">
      <c r="A24" s="1371" t="s">
        <v>50</v>
      </c>
      <c r="B24" s="1372" t="s">
        <v>51</v>
      </c>
      <c r="C24" s="1373" t="s">
        <v>265</v>
      </c>
      <c r="D24" s="1381">
        <v>53741.708893705843</v>
      </c>
      <c r="E24" s="1382">
        <v>96027.273787373793</v>
      </c>
      <c r="F24" s="1375">
        <v>0</v>
      </c>
      <c r="G24" s="1375">
        <v>0</v>
      </c>
      <c r="H24" s="1376">
        <f t="shared" si="2"/>
        <v>149768.98268107965</v>
      </c>
      <c r="I24" s="1377">
        <f t="shared" si="3"/>
        <v>0</v>
      </c>
    </row>
    <row r="25" spans="1:9" s="1378" customFormat="1" ht="12.75" customHeight="1" x14ac:dyDescent="0.25">
      <c r="A25" s="1371" t="s">
        <v>56</v>
      </c>
      <c r="B25" s="1372" t="s">
        <v>295</v>
      </c>
      <c r="C25" s="1373" t="s">
        <v>266</v>
      </c>
      <c r="D25" s="1381">
        <v>745217.42510414461</v>
      </c>
      <c r="E25" s="1382">
        <v>1156365.2138546391</v>
      </c>
      <c r="F25" s="1375">
        <v>0</v>
      </c>
      <c r="G25" s="1375">
        <v>0</v>
      </c>
      <c r="H25" s="1376">
        <f t="shared" si="2"/>
        <v>1901582.6389587838</v>
      </c>
      <c r="I25" s="1377">
        <f t="shared" si="3"/>
        <v>0</v>
      </c>
    </row>
    <row r="26" spans="1:9" s="1378" customFormat="1" ht="12.75" customHeight="1" x14ac:dyDescent="0.25">
      <c r="A26" s="1371" t="s">
        <v>58</v>
      </c>
      <c r="B26" s="1372" t="s">
        <v>59</v>
      </c>
      <c r="C26" s="1373" t="s">
        <v>267</v>
      </c>
      <c r="D26" s="1379">
        <v>8287.1581843354579</v>
      </c>
      <c r="E26" s="1380">
        <v>13445.20393964391</v>
      </c>
      <c r="F26" s="1375">
        <v>0</v>
      </c>
      <c r="G26" s="1375">
        <v>0</v>
      </c>
      <c r="H26" s="1376">
        <f t="shared" si="2"/>
        <v>21732.362123979368</v>
      </c>
      <c r="I26" s="1377">
        <f t="shared" si="3"/>
        <v>0</v>
      </c>
    </row>
    <row r="27" spans="1:9" s="1378" customFormat="1" ht="12.75" customHeight="1" x14ac:dyDescent="0.25">
      <c r="A27" s="1371" t="s">
        <v>60</v>
      </c>
      <c r="B27" s="1372" t="s">
        <v>61</v>
      </c>
      <c r="C27" s="1373" t="s">
        <v>265</v>
      </c>
      <c r="D27" s="1379">
        <v>13757.579904499069</v>
      </c>
      <c r="E27" s="1380">
        <v>22502.258434585419</v>
      </c>
      <c r="F27" s="1375">
        <v>0</v>
      </c>
      <c r="G27" s="1375">
        <v>0</v>
      </c>
      <c r="H27" s="1376">
        <f t="shared" si="2"/>
        <v>36259.83833908449</v>
      </c>
      <c r="I27" s="1377">
        <f t="shared" si="3"/>
        <v>0</v>
      </c>
    </row>
    <row r="28" spans="1:9" s="1378" customFormat="1" ht="12.75" customHeight="1" x14ac:dyDescent="0.25">
      <c r="A28" s="1371" t="s">
        <v>62</v>
      </c>
      <c r="B28" s="1372" t="s">
        <v>63</v>
      </c>
      <c r="C28" s="1373" t="s">
        <v>267</v>
      </c>
      <c r="D28" s="1381">
        <v>118765.37647288608</v>
      </c>
      <c r="E28" s="1382">
        <v>190572.27391741364</v>
      </c>
      <c r="F28" s="1375">
        <v>0</v>
      </c>
      <c r="G28" s="1375">
        <v>0</v>
      </c>
      <c r="H28" s="1376">
        <f t="shared" si="2"/>
        <v>309337.65039029974</v>
      </c>
      <c r="I28" s="1377">
        <f t="shared" si="3"/>
        <v>0</v>
      </c>
    </row>
    <row r="29" spans="1:9" s="1378" customFormat="1" ht="12.75" customHeight="1" x14ac:dyDescent="0.25">
      <c r="A29" s="1371" t="s">
        <v>64</v>
      </c>
      <c r="B29" s="1372" t="s">
        <v>65</v>
      </c>
      <c r="C29" s="1373" t="s">
        <v>266</v>
      </c>
      <c r="D29" s="1381">
        <v>50365.176063763953</v>
      </c>
      <c r="E29" s="1382">
        <v>78621.721039032811</v>
      </c>
      <c r="F29" s="1375">
        <v>0</v>
      </c>
      <c r="G29" s="1375">
        <v>0</v>
      </c>
      <c r="H29" s="1376">
        <f t="shared" si="2"/>
        <v>128986.89710279676</v>
      </c>
      <c r="I29" s="1377">
        <f t="shared" si="3"/>
        <v>0</v>
      </c>
    </row>
    <row r="30" spans="1:9" s="1378" customFormat="1" ht="12.75" customHeight="1" x14ac:dyDescent="0.25">
      <c r="A30" s="1371" t="s">
        <v>68</v>
      </c>
      <c r="B30" s="1372" t="s">
        <v>69</v>
      </c>
      <c r="C30" s="1373" t="s">
        <v>268</v>
      </c>
      <c r="D30" s="1381">
        <v>55402.169939191524</v>
      </c>
      <c r="E30" s="1382">
        <v>90651.755418642773</v>
      </c>
      <c r="F30" s="1375">
        <v>0</v>
      </c>
      <c r="G30" s="1375">
        <v>0</v>
      </c>
      <c r="H30" s="1376">
        <f t="shared" si="2"/>
        <v>146053.92535783429</v>
      </c>
      <c r="I30" s="1377">
        <f t="shared" si="3"/>
        <v>0</v>
      </c>
    </row>
    <row r="31" spans="1:9" s="1378" customFormat="1" ht="12.75" customHeight="1" x14ac:dyDescent="0.25">
      <c r="A31" s="1371" t="s">
        <v>70</v>
      </c>
      <c r="B31" s="1372" t="s">
        <v>71</v>
      </c>
      <c r="C31" s="1373" t="s">
        <v>264</v>
      </c>
      <c r="D31" s="1381">
        <v>81525.604090033696</v>
      </c>
      <c r="E31" s="1382">
        <v>125786.26623946747</v>
      </c>
      <c r="F31" s="1375">
        <v>0</v>
      </c>
      <c r="G31" s="1375">
        <v>0</v>
      </c>
      <c r="H31" s="1376">
        <f t="shared" si="2"/>
        <v>207311.87032950117</v>
      </c>
      <c r="I31" s="1377">
        <f t="shared" si="3"/>
        <v>0</v>
      </c>
    </row>
    <row r="32" spans="1:9" s="1378" customFormat="1" ht="12.75" customHeight="1" x14ac:dyDescent="0.25">
      <c r="A32" s="1371" t="s">
        <v>72</v>
      </c>
      <c r="B32" s="1372" t="s">
        <v>73</v>
      </c>
      <c r="C32" s="1373" t="s">
        <v>266</v>
      </c>
      <c r="D32" s="1379">
        <v>57783.323460344232</v>
      </c>
      <c r="E32" s="1380">
        <v>87359.348819854742</v>
      </c>
      <c r="F32" s="1375">
        <v>0</v>
      </c>
      <c r="G32" s="1375">
        <v>0</v>
      </c>
      <c r="H32" s="1376">
        <f t="shared" si="2"/>
        <v>145142.67228019898</v>
      </c>
      <c r="I32" s="1377">
        <f t="shared" si="3"/>
        <v>0</v>
      </c>
    </row>
    <row r="33" spans="1:9" s="1378" customFormat="1" ht="12.75" customHeight="1" x14ac:dyDescent="0.25">
      <c r="A33" s="1371" t="s">
        <v>74</v>
      </c>
      <c r="B33" s="1372" t="s">
        <v>663</v>
      </c>
      <c r="C33" s="1373" t="s">
        <v>267</v>
      </c>
      <c r="D33" s="1381">
        <v>1328507.8862441347</v>
      </c>
      <c r="E33" s="1382">
        <v>2694733.9690145962</v>
      </c>
      <c r="F33" s="1375">
        <v>0</v>
      </c>
      <c r="G33" s="1375">
        <v>0</v>
      </c>
      <c r="H33" s="1376">
        <f t="shared" si="2"/>
        <v>4023241.8552587312</v>
      </c>
      <c r="I33" s="1377">
        <f t="shared" si="3"/>
        <v>0</v>
      </c>
    </row>
    <row r="34" spans="1:9" s="1378" customFormat="1" ht="12.75" customHeight="1" x14ac:dyDescent="0.25">
      <c r="A34" s="1371" t="s">
        <v>76</v>
      </c>
      <c r="B34" s="1372" t="s">
        <v>77</v>
      </c>
      <c r="C34" s="1373" t="s">
        <v>267</v>
      </c>
      <c r="D34" s="1381">
        <v>103456.79687608808</v>
      </c>
      <c r="E34" s="1382">
        <v>171203.78105898315</v>
      </c>
      <c r="F34" s="1375">
        <v>0</v>
      </c>
      <c r="G34" s="1375">
        <v>0</v>
      </c>
      <c r="H34" s="1376">
        <f t="shared" si="2"/>
        <v>274660.5779350712</v>
      </c>
      <c r="I34" s="1377">
        <f t="shared" si="3"/>
        <v>0</v>
      </c>
    </row>
    <row r="35" spans="1:9" s="1378" customFormat="1" ht="12.75" customHeight="1" x14ac:dyDescent="0.25">
      <c r="A35" s="1371" t="s">
        <v>78</v>
      </c>
      <c r="B35" s="1372" t="s">
        <v>79</v>
      </c>
      <c r="C35" s="1373" t="s">
        <v>268</v>
      </c>
      <c r="D35" s="1379">
        <v>43028.492916162446</v>
      </c>
      <c r="E35" s="1380">
        <v>68019.6704785287</v>
      </c>
      <c r="F35" s="1375">
        <v>0</v>
      </c>
      <c r="G35" s="1375">
        <v>0</v>
      </c>
      <c r="H35" s="1376">
        <f t="shared" si="2"/>
        <v>111048.16339469115</v>
      </c>
      <c r="I35" s="1377">
        <f t="shared" si="3"/>
        <v>0</v>
      </c>
    </row>
    <row r="36" spans="1:9" s="1378" customFormat="1" ht="12.75" customHeight="1" x14ac:dyDescent="0.25">
      <c r="A36" s="1371" t="s">
        <v>80</v>
      </c>
      <c r="B36" s="1372" t="s">
        <v>81</v>
      </c>
      <c r="C36" s="1373" t="s">
        <v>266</v>
      </c>
      <c r="D36" s="1381">
        <v>51712.235200920833</v>
      </c>
      <c r="E36" s="1382">
        <v>79898.10751626706</v>
      </c>
      <c r="F36" s="1375">
        <v>0</v>
      </c>
      <c r="G36" s="1375">
        <v>0</v>
      </c>
      <c r="H36" s="1376">
        <f t="shared" si="2"/>
        <v>131610.34271718789</v>
      </c>
      <c r="I36" s="1377">
        <f t="shared" si="3"/>
        <v>0</v>
      </c>
    </row>
    <row r="37" spans="1:9" s="1378" customFormat="1" ht="12.75" customHeight="1" x14ac:dyDescent="0.25">
      <c r="A37" s="1371" t="s">
        <v>84</v>
      </c>
      <c r="B37" s="1372" t="s">
        <v>308</v>
      </c>
      <c r="C37" s="1373" t="s">
        <v>265</v>
      </c>
      <c r="D37" s="1381">
        <v>167147.68188556336</v>
      </c>
      <c r="E37" s="1382">
        <v>265928.69029708405</v>
      </c>
      <c r="F37" s="1375">
        <v>0</v>
      </c>
      <c r="G37" s="1375">
        <v>0</v>
      </c>
      <c r="H37" s="1376">
        <f t="shared" ref="H37:H68" si="4">SUM(D37:G37)</f>
        <v>433076.37218264741</v>
      </c>
      <c r="I37" s="1377">
        <f t="shared" ref="I37:I68" si="5">F37+G37</f>
        <v>0</v>
      </c>
    </row>
    <row r="38" spans="1:9" s="1378" customFormat="1" ht="12.75" customHeight="1" x14ac:dyDescent="0.25">
      <c r="A38" s="1371" t="s">
        <v>86</v>
      </c>
      <c r="B38" s="1372" t="s">
        <v>87</v>
      </c>
      <c r="C38" s="1373" t="s">
        <v>267</v>
      </c>
      <c r="D38" s="1379">
        <v>70698.386481070149</v>
      </c>
      <c r="E38" s="1380">
        <v>106294.36614380909</v>
      </c>
      <c r="F38" s="1375">
        <v>0</v>
      </c>
      <c r="G38" s="1375">
        <v>0</v>
      </c>
      <c r="H38" s="1376">
        <f t="shared" si="4"/>
        <v>176992.75262487924</v>
      </c>
      <c r="I38" s="1377">
        <f t="shared" si="5"/>
        <v>0</v>
      </c>
    </row>
    <row r="39" spans="1:9" s="1378" customFormat="1" ht="12.75" customHeight="1" x14ac:dyDescent="0.25">
      <c r="A39" s="1371" t="s">
        <v>92</v>
      </c>
      <c r="B39" s="1372" t="s">
        <v>93</v>
      </c>
      <c r="C39" s="1373" t="s">
        <v>268</v>
      </c>
      <c r="D39" s="1381">
        <v>43901.115986093217</v>
      </c>
      <c r="E39" s="1382">
        <v>63808.836558989562</v>
      </c>
      <c r="F39" s="1375">
        <v>0</v>
      </c>
      <c r="G39" s="1375">
        <v>0</v>
      </c>
      <c r="H39" s="1376">
        <f t="shared" si="4"/>
        <v>107709.95254508278</v>
      </c>
      <c r="I39" s="1377">
        <f t="shared" si="5"/>
        <v>0</v>
      </c>
    </row>
    <row r="40" spans="1:9" s="1378" customFormat="1" ht="12.75" customHeight="1" x14ac:dyDescent="0.25">
      <c r="A40" s="1371" t="s">
        <v>94</v>
      </c>
      <c r="B40" s="1372" t="s">
        <v>95</v>
      </c>
      <c r="C40" s="1373" t="s">
        <v>264</v>
      </c>
      <c r="D40" s="1379">
        <v>91307.33443777886</v>
      </c>
      <c r="E40" s="1380">
        <v>150440.78476607674</v>
      </c>
      <c r="F40" s="1375">
        <v>0</v>
      </c>
      <c r="G40" s="1375">
        <v>0</v>
      </c>
      <c r="H40" s="1376">
        <f t="shared" si="4"/>
        <v>241748.1192038556</v>
      </c>
      <c r="I40" s="1377">
        <f t="shared" si="5"/>
        <v>0</v>
      </c>
    </row>
    <row r="41" spans="1:9" s="1378" customFormat="1" ht="12.75" customHeight="1" x14ac:dyDescent="0.25">
      <c r="A41" s="1371" t="s">
        <v>96</v>
      </c>
      <c r="B41" s="1372" t="s">
        <v>97</v>
      </c>
      <c r="C41" s="1373" t="s">
        <v>266</v>
      </c>
      <c r="D41" s="1379">
        <v>24243.260451925522</v>
      </c>
      <c r="E41" s="1380">
        <v>39465.488928262959</v>
      </c>
      <c r="F41" s="1375">
        <v>0</v>
      </c>
      <c r="G41" s="1375">
        <v>0</v>
      </c>
      <c r="H41" s="1376">
        <f t="shared" si="4"/>
        <v>63708.749380188485</v>
      </c>
      <c r="I41" s="1377">
        <f t="shared" si="5"/>
        <v>0</v>
      </c>
    </row>
    <row r="42" spans="1:9" s="1378" customFormat="1" ht="12.75" customHeight="1" x14ac:dyDescent="0.25">
      <c r="A42" s="1371" t="s">
        <v>98</v>
      </c>
      <c r="B42" s="1372" t="s">
        <v>99</v>
      </c>
      <c r="C42" s="1373" t="s">
        <v>268</v>
      </c>
      <c r="D42" s="1379">
        <v>30544.204131610473</v>
      </c>
      <c r="E42" s="1380">
        <v>43477.578516452915</v>
      </c>
      <c r="F42" s="1375">
        <v>0</v>
      </c>
      <c r="G42" s="1375">
        <v>0</v>
      </c>
      <c r="H42" s="1376">
        <f t="shared" si="4"/>
        <v>74021.782648063381</v>
      </c>
      <c r="I42" s="1377">
        <f t="shared" si="5"/>
        <v>0</v>
      </c>
    </row>
    <row r="43" spans="1:9" s="1378" customFormat="1" ht="12.75" customHeight="1" x14ac:dyDescent="0.25">
      <c r="A43" s="1371" t="s">
        <v>100</v>
      </c>
      <c r="B43" s="1372" t="s">
        <v>101</v>
      </c>
      <c r="C43" s="1373" t="s">
        <v>267</v>
      </c>
      <c r="D43" s="1379">
        <v>58924.543868604364</v>
      </c>
      <c r="E43" s="1380">
        <v>98482.321103587354</v>
      </c>
      <c r="F43" s="1375">
        <v>0</v>
      </c>
      <c r="G43" s="1375">
        <v>0</v>
      </c>
      <c r="H43" s="1376">
        <f t="shared" si="4"/>
        <v>157406.86497219172</v>
      </c>
      <c r="I43" s="1377">
        <f t="shared" si="5"/>
        <v>0</v>
      </c>
    </row>
    <row r="44" spans="1:9" s="1378" customFormat="1" ht="12.75" customHeight="1" x14ac:dyDescent="0.25">
      <c r="A44" s="1371" t="s">
        <v>102</v>
      </c>
      <c r="B44" s="1372" t="s">
        <v>103</v>
      </c>
      <c r="C44" s="1373" t="s">
        <v>264</v>
      </c>
      <c r="D44" s="1379">
        <v>110289.30206627898</v>
      </c>
      <c r="E44" s="1380">
        <v>173357.97438839616</v>
      </c>
      <c r="F44" s="1375">
        <v>0</v>
      </c>
      <c r="G44" s="1375">
        <v>0</v>
      </c>
      <c r="H44" s="1376">
        <f t="shared" si="4"/>
        <v>283647.27645467513</v>
      </c>
      <c r="I44" s="1377">
        <f t="shared" si="5"/>
        <v>0</v>
      </c>
    </row>
    <row r="45" spans="1:9" s="1378" customFormat="1" ht="12.75" customHeight="1" x14ac:dyDescent="0.25">
      <c r="A45" s="1371" t="s">
        <v>104</v>
      </c>
      <c r="B45" s="1372" t="s">
        <v>309</v>
      </c>
      <c r="C45" s="1373" t="s">
        <v>265</v>
      </c>
      <c r="D45" s="1381">
        <v>159527.68767701284</v>
      </c>
      <c r="E45" s="1382">
        <v>243936.15382683501</v>
      </c>
      <c r="F45" s="1375">
        <v>0</v>
      </c>
      <c r="G45" s="1375">
        <v>0</v>
      </c>
      <c r="H45" s="1376">
        <f t="shared" si="4"/>
        <v>403463.84150384786</v>
      </c>
      <c r="I45" s="1377">
        <f t="shared" si="5"/>
        <v>0</v>
      </c>
    </row>
    <row r="46" spans="1:9" s="1378" customFormat="1" ht="12.75" customHeight="1" x14ac:dyDescent="0.25">
      <c r="A46" s="1371" t="s">
        <v>108</v>
      </c>
      <c r="B46" s="1372" t="s">
        <v>109</v>
      </c>
      <c r="C46" s="1373" t="s">
        <v>266</v>
      </c>
      <c r="D46" s="1381">
        <v>93318.439944129685</v>
      </c>
      <c r="E46" s="1382">
        <v>180717.58725288167</v>
      </c>
      <c r="F46" s="1375">
        <v>0</v>
      </c>
      <c r="G46" s="1375">
        <v>0</v>
      </c>
      <c r="H46" s="1376">
        <f t="shared" si="4"/>
        <v>274036.02719701134</v>
      </c>
      <c r="I46" s="1377">
        <f t="shared" si="5"/>
        <v>0</v>
      </c>
    </row>
    <row r="47" spans="1:9" s="1378" customFormat="1" ht="12.75" customHeight="1" x14ac:dyDescent="0.25">
      <c r="A47" s="1371" t="s">
        <v>110</v>
      </c>
      <c r="B47" s="1372" t="s">
        <v>111</v>
      </c>
      <c r="C47" s="1373" t="s">
        <v>266</v>
      </c>
      <c r="D47" s="1381">
        <v>1011498.7421976577</v>
      </c>
      <c r="E47" s="1382">
        <v>1809905.3740282864</v>
      </c>
      <c r="F47" s="1375">
        <v>0</v>
      </c>
      <c r="G47" s="1375">
        <v>0</v>
      </c>
      <c r="H47" s="1376">
        <f t="shared" si="4"/>
        <v>2821404.1162259439</v>
      </c>
      <c r="I47" s="1377">
        <f t="shared" si="5"/>
        <v>0</v>
      </c>
    </row>
    <row r="48" spans="1:9" s="1378" customFormat="1" ht="12.75" customHeight="1" x14ac:dyDescent="0.25">
      <c r="A48" s="1371" t="s">
        <v>112</v>
      </c>
      <c r="B48" s="1372" t="s">
        <v>300</v>
      </c>
      <c r="C48" s="1373" t="s">
        <v>265</v>
      </c>
      <c r="D48" s="1381">
        <v>418506.52709745307</v>
      </c>
      <c r="E48" s="1382">
        <v>647902.76431484101</v>
      </c>
      <c r="F48" s="1375">
        <v>0</v>
      </c>
      <c r="G48" s="1375">
        <v>0</v>
      </c>
      <c r="H48" s="1376">
        <f t="shared" si="4"/>
        <v>1066409.2914122941</v>
      </c>
      <c r="I48" s="1377">
        <f t="shared" si="5"/>
        <v>0</v>
      </c>
    </row>
    <row r="49" spans="1:9" s="1378" customFormat="1" ht="12.75" customHeight="1" x14ac:dyDescent="0.25">
      <c r="A49" s="1371" t="s">
        <v>114</v>
      </c>
      <c r="B49" s="1372" t="s">
        <v>115</v>
      </c>
      <c r="C49" s="1373" t="s">
        <v>265</v>
      </c>
      <c r="D49" s="1379">
        <v>3290.9347803418123</v>
      </c>
      <c r="E49" s="1380">
        <v>4684.4198227695888</v>
      </c>
      <c r="F49" s="1375">
        <v>0</v>
      </c>
      <c r="G49" s="1375">
        <v>0</v>
      </c>
      <c r="H49" s="1376">
        <f t="shared" si="4"/>
        <v>7975.354603111401</v>
      </c>
      <c r="I49" s="1377">
        <f t="shared" si="5"/>
        <v>0</v>
      </c>
    </row>
    <row r="50" spans="1:9" s="1378" customFormat="1" ht="12.75" customHeight="1" x14ac:dyDescent="0.25">
      <c r="A50" s="1371" t="s">
        <v>118</v>
      </c>
      <c r="B50" s="1372" t="s">
        <v>119</v>
      </c>
      <c r="C50" s="1373" t="s">
        <v>264</v>
      </c>
      <c r="D50" s="1381">
        <v>92922.193296818703</v>
      </c>
      <c r="E50" s="1382">
        <v>137649.32250115793</v>
      </c>
      <c r="F50" s="1375">
        <v>0</v>
      </c>
      <c r="G50" s="1375">
        <v>0</v>
      </c>
      <c r="H50" s="1376">
        <f t="shared" si="4"/>
        <v>230571.51579797664</v>
      </c>
      <c r="I50" s="1377">
        <f t="shared" si="5"/>
        <v>0</v>
      </c>
    </row>
    <row r="51" spans="1:9" s="1378" customFormat="1" ht="12.75" customHeight="1" x14ac:dyDescent="0.25">
      <c r="A51" s="1371" t="s">
        <v>120</v>
      </c>
      <c r="B51" s="1372" t="s">
        <v>121</v>
      </c>
      <c r="C51" s="1373" t="s">
        <v>264</v>
      </c>
      <c r="D51" s="1381">
        <v>203151.59360103321</v>
      </c>
      <c r="E51" s="1382">
        <v>311276.09308080986</v>
      </c>
      <c r="F51" s="1375">
        <v>0</v>
      </c>
      <c r="G51" s="1375">
        <v>0</v>
      </c>
      <c r="H51" s="1376">
        <f t="shared" si="4"/>
        <v>514427.68668184307</v>
      </c>
      <c r="I51" s="1377">
        <f t="shared" si="5"/>
        <v>0</v>
      </c>
    </row>
    <row r="52" spans="1:9" s="1378" customFormat="1" ht="12.75" customHeight="1" x14ac:dyDescent="0.25">
      <c r="A52" s="1371" t="s">
        <v>122</v>
      </c>
      <c r="B52" s="1372" t="s">
        <v>271</v>
      </c>
      <c r="C52" s="1373" t="s">
        <v>266</v>
      </c>
      <c r="D52" s="1379">
        <v>29241.462558257386</v>
      </c>
      <c r="E52" s="1380">
        <v>45146.085250437282</v>
      </c>
      <c r="F52" s="1375">
        <v>0</v>
      </c>
      <c r="G52" s="1375">
        <v>0</v>
      </c>
      <c r="H52" s="1376">
        <f t="shared" si="4"/>
        <v>74387.547808694668</v>
      </c>
      <c r="I52" s="1377">
        <f t="shared" si="5"/>
        <v>0</v>
      </c>
    </row>
    <row r="53" spans="1:9" s="1378" customFormat="1" ht="12.75" customHeight="1" x14ac:dyDescent="0.25">
      <c r="A53" s="1371" t="s">
        <v>124</v>
      </c>
      <c r="B53" s="1372" t="s">
        <v>125</v>
      </c>
      <c r="C53" s="1373" t="s">
        <v>267</v>
      </c>
      <c r="D53" s="1381">
        <v>80304.253906464743</v>
      </c>
      <c r="E53" s="1382">
        <v>116402.57794681074</v>
      </c>
      <c r="F53" s="1375">
        <v>0</v>
      </c>
      <c r="G53" s="1375">
        <v>0</v>
      </c>
      <c r="H53" s="1376">
        <f t="shared" si="4"/>
        <v>196706.83185327548</v>
      </c>
      <c r="I53" s="1377">
        <f t="shared" si="5"/>
        <v>0</v>
      </c>
    </row>
    <row r="54" spans="1:9" s="1378" customFormat="1" ht="12.75" customHeight="1" x14ac:dyDescent="0.25">
      <c r="A54" s="1371" t="s">
        <v>126</v>
      </c>
      <c r="B54" s="1372" t="s">
        <v>127</v>
      </c>
      <c r="C54" s="1373" t="s">
        <v>266</v>
      </c>
      <c r="D54" s="1379">
        <v>27626.181882827615</v>
      </c>
      <c r="E54" s="1380">
        <v>46622.429641699011</v>
      </c>
      <c r="F54" s="1375">
        <v>0</v>
      </c>
      <c r="G54" s="1375">
        <v>0</v>
      </c>
      <c r="H54" s="1376">
        <f t="shared" si="4"/>
        <v>74248.611524526626</v>
      </c>
      <c r="I54" s="1377">
        <f t="shared" si="5"/>
        <v>0</v>
      </c>
    </row>
    <row r="55" spans="1:9" s="1378" customFormat="1" ht="12.75" customHeight="1" x14ac:dyDescent="0.25">
      <c r="A55" s="1371" t="s">
        <v>128</v>
      </c>
      <c r="B55" s="1372" t="s">
        <v>129</v>
      </c>
      <c r="C55" s="1373" t="s">
        <v>266</v>
      </c>
      <c r="D55" s="1381">
        <v>38138.183772985678</v>
      </c>
      <c r="E55" s="1382">
        <v>55426.20129507839</v>
      </c>
      <c r="F55" s="1375">
        <v>0</v>
      </c>
      <c r="G55" s="1375">
        <v>0</v>
      </c>
      <c r="H55" s="1376">
        <f t="shared" si="4"/>
        <v>93564.385068064061</v>
      </c>
      <c r="I55" s="1377">
        <f t="shared" si="5"/>
        <v>0</v>
      </c>
    </row>
    <row r="56" spans="1:9" s="1378" customFormat="1" ht="12.75" customHeight="1" x14ac:dyDescent="0.25">
      <c r="A56" s="1371" t="s">
        <v>130</v>
      </c>
      <c r="B56" s="1372" t="s">
        <v>131</v>
      </c>
      <c r="C56" s="1373" t="s">
        <v>268</v>
      </c>
      <c r="D56" s="1381">
        <v>209920.42752451147</v>
      </c>
      <c r="E56" s="1382">
        <v>417549.34371294442</v>
      </c>
      <c r="F56" s="1375">
        <v>0</v>
      </c>
      <c r="G56" s="1375">
        <v>0</v>
      </c>
      <c r="H56" s="1376">
        <f t="shared" si="4"/>
        <v>627469.77123745589</v>
      </c>
      <c r="I56" s="1377">
        <f t="shared" si="5"/>
        <v>0</v>
      </c>
    </row>
    <row r="57" spans="1:9" s="1378" customFormat="1" ht="12.75" customHeight="1" x14ac:dyDescent="0.25">
      <c r="A57" s="1371" t="s">
        <v>132</v>
      </c>
      <c r="B57" s="1372" t="s">
        <v>133</v>
      </c>
      <c r="C57" s="1373" t="s">
        <v>267</v>
      </c>
      <c r="D57" s="1381">
        <v>206273.5487355692</v>
      </c>
      <c r="E57" s="1382">
        <v>479379.45276029699</v>
      </c>
      <c r="F57" s="1375">
        <v>0</v>
      </c>
      <c r="G57" s="1375">
        <v>0</v>
      </c>
      <c r="H57" s="1376">
        <f t="shared" si="4"/>
        <v>685653.00149586622</v>
      </c>
      <c r="I57" s="1377">
        <f t="shared" si="5"/>
        <v>0</v>
      </c>
    </row>
    <row r="58" spans="1:9" s="1378" customFormat="1" ht="12.75" customHeight="1" x14ac:dyDescent="0.25">
      <c r="A58" s="1371" t="s">
        <v>134</v>
      </c>
      <c r="B58" s="1372" t="s">
        <v>135</v>
      </c>
      <c r="C58" s="1373" t="s">
        <v>267</v>
      </c>
      <c r="D58" s="1381">
        <v>87165.262380531523</v>
      </c>
      <c r="E58" s="1382">
        <v>136857.48731025029</v>
      </c>
      <c r="F58" s="1375">
        <v>0</v>
      </c>
      <c r="G58" s="1375">
        <v>0</v>
      </c>
      <c r="H58" s="1376">
        <f t="shared" si="4"/>
        <v>224022.74969078181</v>
      </c>
      <c r="I58" s="1377">
        <f t="shared" si="5"/>
        <v>0</v>
      </c>
    </row>
    <row r="59" spans="1:9" s="1378" customFormat="1" ht="12.75" customHeight="1" x14ac:dyDescent="0.25">
      <c r="A59" s="1371" t="s">
        <v>136</v>
      </c>
      <c r="B59" s="1372" t="s">
        <v>137</v>
      </c>
      <c r="C59" s="1373" t="s">
        <v>266</v>
      </c>
      <c r="D59" s="1379">
        <v>31379.68818575516</v>
      </c>
      <c r="E59" s="1380">
        <v>49271.614330009987</v>
      </c>
      <c r="F59" s="1375">
        <v>0</v>
      </c>
      <c r="G59" s="1375">
        <v>0</v>
      </c>
      <c r="H59" s="1376">
        <f t="shared" si="4"/>
        <v>80651.302515765143</v>
      </c>
      <c r="I59" s="1377">
        <f t="shared" si="5"/>
        <v>0</v>
      </c>
    </row>
    <row r="60" spans="1:9" s="1378" customFormat="1" ht="12.75" customHeight="1" x14ac:dyDescent="0.25">
      <c r="A60" s="1371" t="s">
        <v>140</v>
      </c>
      <c r="B60" s="1372" t="s">
        <v>141</v>
      </c>
      <c r="C60" s="1373" t="s">
        <v>267</v>
      </c>
      <c r="D60" s="1381">
        <v>18364.05263358666</v>
      </c>
      <c r="E60" s="1382">
        <v>29031.641367803692</v>
      </c>
      <c r="F60" s="1375">
        <v>0</v>
      </c>
      <c r="G60" s="1375">
        <v>0</v>
      </c>
      <c r="H60" s="1376">
        <f t="shared" si="4"/>
        <v>47395.694001390351</v>
      </c>
      <c r="I60" s="1377">
        <f t="shared" si="5"/>
        <v>0</v>
      </c>
    </row>
    <row r="61" spans="1:9" s="1378" customFormat="1" ht="12.75" customHeight="1" x14ac:dyDescent="0.25">
      <c r="A61" s="1371" t="s">
        <v>146</v>
      </c>
      <c r="B61" s="1372" t="s">
        <v>147</v>
      </c>
      <c r="C61" s="1373" t="s">
        <v>264</v>
      </c>
      <c r="D61" s="1379">
        <v>19397.034956190852</v>
      </c>
      <c r="E61" s="1380">
        <v>33974.592245685068</v>
      </c>
      <c r="F61" s="1375">
        <v>0</v>
      </c>
      <c r="G61" s="1375">
        <v>0</v>
      </c>
      <c r="H61" s="1376">
        <f t="shared" si="4"/>
        <v>53371.627201875919</v>
      </c>
      <c r="I61" s="1377">
        <f t="shared" si="5"/>
        <v>0</v>
      </c>
    </row>
    <row r="62" spans="1:9" s="1378" customFormat="1" ht="12.75" customHeight="1" x14ac:dyDescent="0.25">
      <c r="A62" s="1371" t="s">
        <v>148</v>
      </c>
      <c r="B62" s="1372" t="s">
        <v>149</v>
      </c>
      <c r="C62" s="1373" t="s">
        <v>265</v>
      </c>
      <c r="D62" s="1381">
        <v>118313.60344988256</v>
      </c>
      <c r="E62" s="1382">
        <v>176702.66372270914</v>
      </c>
      <c r="F62" s="1375">
        <v>0</v>
      </c>
      <c r="G62" s="1375">
        <v>0</v>
      </c>
      <c r="H62" s="1376">
        <f t="shared" si="4"/>
        <v>295016.2671725917</v>
      </c>
      <c r="I62" s="1377">
        <f t="shared" si="5"/>
        <v>0</v>
      </c>
    </row>
    <row r="63" spans="1:9" s="1378" customFormat="1" ht="12.75" customHeight="1" x14ac:dyDescent="0.25">
      <c r="A63" s="1371" t="s">
        <v>150</v>
      </c>
      <c r="B63" s="1372" t="s">
        <v>151</v>
      </c>
      <c r="C63" s="1373" t="s">
        <v>266</v>
      </c>
      <c r="D63" s="1381">
        <v>43618.652392618533</v>
      </c>
      <c r="E63" s="1382">
        <v>78800.093318519677</v>
      </c>
      <c r="F63" s="1375">
        <v>0</v>
      </c>
      <c r="G63" s="1375">
        <v>0</v>
      </c>
      <c r="H63" s="1376">
        <f t="shared" si="4"/>
        <v>122418.74571113821</v>
      </c>
      <c r="I63" s="1377">
        <f t="shared" si="5"/>
        <v>0</v>
      </c>
    </row>
    <row r="64" spans="1:9" s="1378" customFormat="1" ht="12.75" customHeight="1" x14ac:dyDescent="0.25">
      <c r="A64" s="1371" t="s">
        <v>152</v>
      </c>
      <c r="B64" s="1372" t="s">
        <v>153</v>
      </c>
      <c r="C64" s="1373" t="s">
        <v>268</v>
      </c>
      <c r="D64" s="1381">
        <v>310667.85938113712</v>
      </c>
      <c r="E64" s="1382">
        <v>520150.82486725965</v>
      </c>
      <c r="F64" s="1375">
        <v>0</v>
      </c>
      <c r="G64" s="1375">
        <v>0</v>
      </c>
      <c r="H64" s="1376">
        <f t="shared" si="4"/>
        <v>830818.68424839678</v>
      </c>
      <c r="I64" s="1377">
        <f t="shared" si="5"/>
        <v>0</v>
      </c>
    </row>
    <row r="65" spans="1:9" s="1378" customFormat="1" ht="12.75" customHeight="1" x14ac:dyDescent="0.25">
      <c r="A65" s="1371" t="s">
        <v>154</v>
      </c>
      <c r="B65" s="1372" t="s">
        <v>155</v>
      </c>
      <c r="C65" s="1373" t="s">
        <v>265</v>
      </c>
      <c r="D65" s="1379">
        <v>43613.011557076832</v>
      </c>
      <c r="E65" s="1380">
        <v>72689.066536405706</v>
      </c>
      <c r="F65" s="1375">
        <v>0</v>
      </c>
      <c r="G65" s="1375">
        <v>0</v>
      </c>
      <c r="H65" s="1376">
        <f t="shared" si="4"/>
        <v>116302.07809348253</v>
      </c>
      <c r="I65" s="1377">
        <f t="shared" si="5"/>
        <v>0</v>
      </c>
    </row>
    <row r="66" spans="1:9" s="1378" customFormat="1" ht="12.75" customHeight="1" x14ac:dyDescent="0.25">
      <c r="A66" s="1371" t="s">
        <v>156</v>
      </c>
      <c r="B66" s="1372" t="s">
        <v>157</v>
      </c>
      <c r="C66" s="1373" t="s">
        <v>266</v>
      </c>
      <c r="D66" s="1379">
        <v>37581.060189250005</v>
      </c>
      <c r="E66" s="1380">
        <v>62443.767369941888</v>
      </c>
      <c r="F66" s="1375">
        <v>0</v>
      </c>
      <c r="G66" s="1375">
        <v>0</v>
      </c>
      <c r="H66" s="1376">
        <f t="shared" si="4"/>
        <v>100024.82755919189</v>
      </c>
      <c r="I66" s="1377">
        <f t="shared" si="5"/>
        <v>0</v>
      </c>
    </row>
    <row r="67" spans="1:9" s="1378" customFormat="1" ht="12.75" customHeight="1" x14ac:dyDescent="0.25">
      <c r="A67" s="1371" t="s">
        <v>162</v>
      </c>
      <c r="B67" s="1372" t="s">
        <v>163</v>
      </c>
      <c r="C67" s="1373" t="s">
        <v>264</v>
      </c>
      <c r="D67" s="1379">
        <v>59243.345026724266</v>
      </c>
      <c r="E67" s="1380">
        <v>88517.422004391672</v>
      </c>
      <c r="F67" s="1375">
        <v>0</v>
      </c>
      <c r="G67" s="1375">
        <v>0</v>
      </c>
      <c r="H67" s="1376">
        <f t="shared" si="4"/>
        <v>147760.76703111595</v>
      </c>
      <c r="I67" s="1377">
        <f t="shared" si="5"/>
        <v>0</v>
      </c>
    </row>
    <row r="68" spans="1:9" s="1378" customFormat="1" ht="12.75" customHeight="1" x14ac:dyDescent="0.25">
      <c r="A68" s="1371" t="s">
        <v>164</v>
      </c>
      <c r="B68" s="1372" t="s">
        <v>165</v>
      </c>
      <c r="C68" s="1373" t="s">
        <v>266</v>
      </c>
      <c r="D68" s="1381">
        <v>26721.991608152304</v>
      </c>
      <c r="E68" s="1382">
        <v>40607.077815285164</v>
      </c>
      <c r="F68" s="1375">
        <v>0</v>
      </c>
      <c r="G68" s="1375">
        <v>0</v>
      </c>
      <c r="H68" s="1376">
        <f t="shared" si="4"/>
        <v>67329.069423437468</v>
      </c>
      <c r="I68" s="1377">
        <f t="shared" si="5"/>
        <v>0</v>
      </c>
    </row>
    <row r="69" spans="1:9" s="1378" customFormat="1" ht="12.75" customHeight="1" x14ac:dyDescent="0.25">
      <c r="A69" s="1371" t="s">
        <v>168</v>
      </c>
      <c r="B69" s="1372" t="s">
        <v>169</v>
      </c>
      <c r="C69" s="1373" t="s">
        <v>266</v>
      </c>
      <c r="D69" s="1379">
        <v>85623.742052922651</v>
      </c>
      <c r="E69" s="1380">
        <v>137120.96341955682</v>
      </c>
      <c r="F69" s="1375">
        <v>0</v>
      </c>
      <c r="G69" s="1375">
        <v>0</v>
      </c>
      <c r="H69" s="1376">
        <f t="shared" ref="H69:H100" si="6">SUM(D69:G69)</f>
        <v>222744.70547247946</v>
      </c>
      <c r="I69" s="1377">
        <f t="shared" ref="I69:I100" si="7">F69+G69</f>
        <v>0</v>
      </c>
    </row>
    <row r="70" spans="1:9" s="1378" customFormat="1" ht="12.75" customHeight="1" x14ac:dyDescent="0.25">
      <c r="A70" s="1371" t="s">
        <v>170</v>
      </c>
      <c r="B70" s="1372" t="s">
        <v>171</v>
      </c>
      <c r="C70" s="1373" t="s">
        <v>267</v>
      </c>
      <c r="D70" s="1381">
        <v>103870.02355044095</v>
      </c>
      <c r="E70" s="1382">
        <v>173804.90853145998</v>
      </c>
      <c r="F70" s="1375">
        <v>0</v>
      </c>
      <c r="G70" s="1375">
        <v>0</v>
      </c>
      <c r="H70" s="1376">
        <f t="shared" si="6"/>
        <v>277674.93208190094</v>
      </c>
      <c r="I70" s="1377">
        <f t="shared" si="7"/>
        <v>0</v>
      </c>
    </row>
    <row r="71" spans="1:9" s="1378" customFormat="1" ht="12.75" customHeight="1" x14ac:dyDescent="0.25">
      <c r="A71" s="1371" t="s">
        <v>172</v>
      </c>
      <c r="B71" s="1372" t="s">
        <v>173</v>
      </c>
      <c r="C71" s="1373" t="s">
        <v>267</v>
      </c>
      <c r="D71" s="1379">
        <v>27727.218412299124</v>
      </c>
      <c r="E71" s="1380">
        <v>43409.81708317031</v>
      </c>
      <c r="F71" s="1375">
        <v>0</v>
      </c>
      <c r="G71" s="1375">
        <v>0</v>
      </c>
      <c r="H71" s="1376">
        <f t="shared" si="6"/>
        <v>71137.035495469434</v>
      </c>
      <c r="I71" s="1377">
        <f t="shared" si="7"/>
        <v>0</v>
      </c>
    </row>
    <row r="72" spans="1:9" s="1378" customFormat="1" ht="12.75" customHeight="1" x14ac:dyDescent="0.25">
      <c r="A72" s="1371" t="s">
        <v>174</v>
      </c>
      <c r="B72" s="1372" t="s">
        <v>175</v>
      </c>
      <c r="C72" s="1373" t="s">
        <v>268</v>
      </c>
      <c r="D72" s="1381">
        <v>70274.491686746507</v>
      </c>
      <c r="E72" s="1382">
        <v>134789.51212547801</v>
      </c>
      <c r="F72" s="1375">
        <v>0</v>
      </c>
      <c r="G72" s="1375">
        <v>0</v>
      </c>
      <c r="H72" s="1376">
        <f t="shared" si="6"/>
        <v>205064.00381222452</v>
      </c>
      <c r="I72" s="1377">
        <f t="shared" si="7"/>
        <v>0</v>
      </c>
    </row>
    <row r="73" spans="1:9" s="1378" customFormat="1" ht="12.75" customHeight="1" x14ac:dyDescent="0.25">
      <c r="A73" s="1371" t="s">
        <v>178</v>
      </c>
      <c r="B73" s="1372" t="s">
        <v>179</v>
      </c>
      <c r="C73" s="1373" t="s">
        <v>265</v>
      </c>
      <c r="D73" s="1381">
        <v>165968.65905937663</v>
      </c>
      <c r="E73" s="1382">
        <v>252717.27393693718</v>
      </c>
      <c r="F73" s="1375">
        <v>0</v>
      </c>
      <c r="G73" s="1375">
        <v>0</v>
      </c>
      <c r="H73" s="1376">
        <f t="shared" si="6"/>
        <v>418685.93299631379</v>
      </c>
      <c r="I73" s="1377">
        <f t="shared" si="7"/>
        <v>0</v>
      </c>
    </row>
    <row r="74" spans="1:9" s="1378" customFormat="1" ht="12.75" customHeight="1" x14ac:dyDescent="0.25">
      <c r="A74" s="1371" t="s">
        <v>182</v>
      </c>
      <c r="B74" s="1372" t="s">
        <v>183</v>
      </c>
      <c r="C74" s="1373" t="s">
        <v>266</v>
      </c>
      <c r="D74" s="1379">
        <v>29529.064642300302</v>
      </c>
      <c r="E74" s="1380">
        <v>47993.466675254116</v>
      </c>
      <c r="F74" s="1375">
        <v>0</v>
      </c>
      <c r="G74" s="1375">
        <v>0</v>
      </c>
      <c r="H74" s="1376">
        <f t="shared" si="6"/>
        <v>77522.531317554414</v>
      </c>
      <c r="I74" s="1377">
        <f t="shared" si="7"/>
        <v>0</v>
      </c>
    </row>
    <row r="75" spans="1:9" s="1378" customFormat="1" ht="12.75" customHeight="1" x14ac:dyDescent="0.25">
      <c r="A75" s="1371" t="s">
        <v>184</v>
      </c>
      <c r="B75" s="1372" t="s">
        <v>185</v>
      </c>
      <c r="C75" s="1373" t="s">
        <v>266</v>
      </c>
      <c r="D75" s="1381">
        <v>90559.377284544593</v>
      </c>
      <c r="E75" s="1382">
        <v>151570.46665823768</v>
      </c>
      <c r="F75" s="1375">
        <v>0</v>
      </c>
      <c r="G75" s="1375">
        <v>0</v>
      </c>
      <c r="H75" s="1376">
        <f t="shared" si="6"/>
        <v>242129.84394278226</v>
      </c>
      <c r="I75" s="1377">
        <f t="shared" si="7"/>
        <v>0</v>
      </c>
    </row>
    <row r="76" spans="1:9" s="1378" customFormat="1" ht="12.75" customHeight="1" x14ac:dyDescent="0.25">
      <c r="A76" s="1371" t="s">
        <v>186</v>
      </c>
      <c r="B76" s="1372" t="s">
        <v>187</v>
      </c>
      <c r="C76" s="1373" t="s">
        <v>264</v>
      </c>
      <c r="D76" s="1381">
        <v>80091.880858218559</v>
      </c>
      <c r="E76" s="1382">
        <v>125813.61702984857</v>
      </c>
      <c r="F76" s="1375">
        <v>0</v>
      </c>
      <c r="G76" s="1375">
        <v>0</v>
      </c>
      <c r="H76" s="1376">
        <f t="shared" si="6"/>
        <v>205905.49788806713</v>
      </c>
      <c r="I76" s="1377">
        <f t="shared" si="7"/>
        <v>0</v>
      </c>
    </row>
    <row r="77" spans="1:9" s="1378" customFormat="1" ht="12.75" customHeight="1" x14ac:dyDescent="0.25">
      <c r="A77" s="1371" t="s">
        <v>188</v>
      </c>
      <c r="B77" s="1372" t="s">
        <v>189</v>
      </c>
      <c r="C77" s="1373" t="s">
        <v>267</v>
      </c>
      <c r="D77" s="1381">
        <v>1076413.3242237077</v>
      </c>
      <c r="E77" s="1382">
        <v>2067786.9961235004</v>
      </c>
      <c r="F77" s="1375">
        <v>0</v>
      </c>
      <c r="G77" s="1375">
        <v>0</v>
      </c>
      <c r="H77" s="1376">
        <f t="shared" si="6"/>
        <v>3144200.3203472081</v>
      </c>
      <c r="I77" s="1377">
        <f t="shared" si="7"/>
        <v>0</v>
      </c>
    </row>
    <row r="78" spans="1:9" s="1378" customFormat="1" ht="12.75" customHeight="1" x14ac:dyDescent="0.25">
      <c r="A78" s="1371" t="s">
        <v>190</v>
      </c>
      <c r="B78" s="1372" t="s">
        <v>191</v>
      </c>
      <c r="C78" s="1373" t="s">
        <v>268</v>
      </c>
      <c r="D78" s="1381">
        <v>108277.08449853654</v>
      </c>
      <c r="E78" s="1382">
        <v>165261.12468739282</v>
      </c>
      <c r="F78" s="1375">
        <v>0</v>
      </c>
      <c r="G78" s="1375">
        <v>0</v>
      </c>
      <c r="H78" s="1376">
        <f t="shared" si="6"/>
        <v>273538.20918592939</v>
      </c>
      <c r="I78" s="1377">
        <f t="shared" si="7"/>
        <v>0</v>
      </c>
    </row>
    <row r="79" spans="1:9" s="1378" customFormat="1" ht="12.75" customHeight="1" x14ac:dyDescent="0.25">
      <c r="A79" s="1371" t="s">
        <v>194</v>
      </c>
      <c r="B79" s="1372" t="s">
        <v>195</v>
      </c>
      <c r="C79" s="1373" t="s">
        <v>267</v>
      </c>
      <c r="D79" s="1379">
        <v>5990.1762064459845</v>
      </c>
      <c r="E79" s="1380">
        <v>8526.6047601356004</v>
      </c>
      <c r="F79" s="1375">
        <v>0</v>
      </c>
      <c r="G79" s="1375">
        <v>0</v>
      </c>
      <c r="H79" s="1376">
        <f t="shared" si="6"/>
        <v>14516.780966581584</v>
      </c>
      <c r="I79" s="1377">
        <f t="shared" si="7"/>
        <v>0</v>
      </c>
    </row>
    <row r="80" spans="1:9" s="1378" customFormat="1" ht="12.75" customHeight="1" x14ac:dyDescent="0.25">
      <c r="A80" s="1371" t="s">
        <v>198</v>
      </c>
      <c r="B80" s="1372" t="s">
        <v>199</v>
      </c>
      <c r="C80" s="1373" t="s">
        <v>266</v>
      </c>
      <c r="D80" s="1379">
        <v>30347.388438763766</v>
      </c>
      <c r="E80" s="1380">
        <v>44192.546886766686</v>
      </c>
      <c r="F80" s="1375">
        <v>0</v>
      </c>
      <c r="G80" s="1375">
        <v>0</v>
      </c>
      <c r="H80" s="1376">
        <f t="shared" si="6"/>
        <v>74539.935325530445</v>
      </c>
      <c r="I80" s="1377">
        <f t="shared" si="7"/>
        <v>0</v>
      </c>
    </row>
    <row r="81" spans="1:9" s="1378" customFormat="1" ht="12.75" customHeight="1" x14ac:dyDescent="0.25">
      <c r="A81" s="1371" t="s">
        <v>202</v>
      </c>
      <c r="B81" s="1372" t="s">
        <v>203</v>
      </c>
      <c r="C81" s="1373" t="s">
        <v>265</v>
      </c>
      <c r="D81" s="1381">
        <v>263033.65300538886</v>
      </c>
      <c r="E81" s="1382">
        <v>407792.80215989542</v>
      </c>
      <c r="F81" s="1375">
        <v>0</v>
      </c>
      <c r="G81" s="1375">
        <v>0</v>
      </c>
      <c r="H81" s="1376">
        <f t="shared" si="6"/>
        <v>670826.45516528422</v>
      </c>
      <c r="I81" s="1377">
        <f t="shared" si="7"/>
        <v>0</v>
      </c>
    </row>
    <row r="82" spans="1:9" s="1378" customFormat="1" ht="12.75" customHeight="1" x14ac:dyDescent="0.25">
      <c r="A82" s="1371" t="s">
        <v>204</v>
      </c>
      <c r="B82" s="1372" t="s">
        <v>205</v>
      </c>
      <c r="C82" s="1373" t="s">
        <v>265</v>
      </c>
      <c r="D82" s="1379">
        <v>58437.637375014157</v>
      </c>
      <c r="E82" s="1380">
        <v>95205.289014278038</v>
      </c>
      <c r="F82" s="1375">
        <v>0</v>
      </c>
      <c r="G82" s="1375">
        <v>0</v>
      </c>
      <c r="H82" s="1376">
        <f t="shared" si="6"/>
        <v>153642.9263892922</v>
      </c>
      <c r="I82" s="1377">
        <f t="shared" si="7"/>
        <v>0</v>
      </c>
    </row>
    <row r="83" spans="1:9" s="1378" customFormat="1" ht="12.75" customHeight="1" x14ac:dyDescent="0.25">
      <c r="A83" s="1371" t="s">
        <v>206</v>
      </c>
      <c r="B83" s="1372" t="s">
        <v>207</v>
      </c>
      <c r="C83" s="1373" t="s">
        <v>267</v>
      </c>
      <c r="D83" s="1381">
        <v>229412.73546440958</v>
      </c>
      <c r="E83" s="1382">
        <v>388265.64357905462</v>
      </c>
      <c r="F83" s="1375">
        <v>0</v>
      </c>
      <c r="G83" s="1375">
        <v>0</v>
      </c>
      <c r="H83" s="1376">
        <f t="shared" si="6"/>
        <v>617678.3790434642</v>
      </c>
      <c r="I83" s="1377">
        <f t="shared" si="7"/>
        <v>0</v>
      </c>
    </row>
    <row r="84" spans="1:9" s="1378" customFormat="1" ht="12.75" customHeight="1" x14ac:dyDescent="0.25">
      <c r="A84" s="1371" t="s">
        <v>208</v>
      </c>
      <c r="B84" s="1372" t="s">
        <v>209</v>
      </c>
      <c r="C84" s="1373" t="s">
        <v>268</v>
      </c>
      <c r="D84" s="1381">
        <v>154019.65910833975</v>
      </c>
      <c r="E84" s="1382">
        <v>231000.35508983943</v>
      </c>
      <c r="F84" s="1375">
        <v>0</v>
      </c>
      <c r="G84" s="1375">
        <v>0</v>
      </c>
      <c r="H84" s="1376">
        <f t="shared" si="6"/>
        <v>385020.01419817918</v>
      </c>
      <c r="I84" s="1377">
        <f t="shared" si="7"/>
        <v>0</v>
      </c>
    </row>
    <row r="85" spans="1:9" s="1378" customFormat="1" ht="12.75" customHeight="1" x14ac:dyDescent="0.25">
      <c r="A85" s="1371" t="s">
        <v>210</v>
      </c>
      <c r="B85" s="1372" t="s">
        <v>211</v>
      </c>
      <c r="C85" s="1373" t="s">
        <v>268</v>
      </c>
      <c r="D85" s="1381">
        <v>126625.86737880774</v>
      </c>
      <c r="E85" s="1382">
        <v>208382.79754249391</v>
      </c>
      <c r="F85" s="1375">
        <v>0</v>
      </c>
      <c r="G85" s="1375">
        <v>0</v>
      </c>
      <c r="H85" s="1376">
        <f t="shared" si="6"/>
        <v>335008.66492130165</v>
      </c>
      <c r="I85" s="1377">
        <f t="shared" si="7"/>
        <v>0</v>
      </c>
    </row>
    <row r="86" spans="1:9" s="1378" customFormat="1" ht="12.75" customHeight="1" x14ac:dyDescent="0.25">
      <c r="A86" s="1371" t="s">
        <v>212</v>
      </c>
      <c r="B86" s="1372" t="s">
        <v>213</v>
      </c>
      <c r="C86" s="1373" t="s">
        <v>267</v>
      </c>
      <c r="D86" s="1379">
        <v>69089.762835212357</v>
      </c>
      <c r="E86" s="1380">
        <v>127113.12864655197</v>
      </c>
      <c r="F86" s="1375">
        <v>0</v>
      </c>
      <c r="G86" s="1375">
        <v>0</v>
      </c>
      <c r="H86" s="1376">
        <f t="shared" si="6"/>
        <v>196202.89148176432</v>
      </c>
      <c r="I86" s="1377">
        <f t="shared" si="7"/>
        <v>0</v>
      </c>
    </row>
    <row r="87" spans="1:9" s="1378" customFormat="1" ht="12.75" customHeight="1" x14ac:dyDescent="0.25">
      <c r="A87" s="1371" t="s">
        <v>214</v>
      </c>
      <c r="B87" s="1372" t="s">
        <v>215</v>
      </c>
      <c r="C87" s="1373" t="s">
        <v>268</v>
      </c>
      <c r="D87" s="1381">
        <v>154125.79194674053</v>
      </c>
      <c r="E87" s="1382">
        <v>257379.31313604419</v>
      </c>
      <c r="F87" s="1375">
        <v>0</v>
      </c>
      <c r="G87" s="1375">
        <v>0</v>
      </c>
      <c r="H87" s="1376">
        <f t="shared" si="6"/>
        <v>411505.10508278472</v>
      </c>
      <c r="I87" s="1377">
        <f t="shared" si="7"/>
        <v>0</v>
      </c>
    </row>
    <row r="88" spans="1:9" s="1378" customFormat="1" ht="12.75" customHeight="1" x14ac:dyDescent="0.25">
      <c r="A88" s="1371" t="s">
        <v>216</v>
      </c>
      <c r="B88" s="1372" t="s">
        <v>217</v>
      </c>
      <c r="C88" s="1373" t="s">
        <v>264</v>
      </c>
      <c r="D88" s="1381">
        <v>74471.798682907887</v>
      </c>
      <c r="E88" s="1382">
        <v>117939.06894112563</v>
      </c>
      <c r="F88" s="1375">
        <v>0</v>
      </c>
      <c r="G88" s="1375">
        <v>0</v>
      </c>
      <c r="H88" s="1376">
        <f t="shared" si="6"/>
        <v>192410.86762403353</v>
      </c>
      <c r="I88" s="1377">
        <f t="shared" si="7"/>
        <v>0</v>
      </c>
    </row>
    <row r="89" spans="1:9" s="1378" customFormat="1" ht="12.75" customHeight="1" x14ac:dyDescent="0.25">
      <c r="A89" s="1371" t="s">
        <v>218</v>
      </c>
      <c r="B89" s="1372" t="s">
        <v>219</v>
      </c>
      <c r="C89" s="1373" t="s">
        <v>267</v>
      </c>
      <c r="D89" s="1381">
        <v>482500.72876884328</v>
      </c>
      <c r="E89" s="1382">
        <v>819733.21927399223</v>
      </c>
      <c r="F89" s="1375">
        <v>0</v>
      </c>
      <c r="G89" s="1375">
        <v>0</v>
      </c>
      <c r="H89" s="1376">
        <f t="shared" si="6"/>
        <v>1302233.9480428356</v>
      </c>
      <c r="I89" s="1377">
        <f t="shared" si="7"/>
        <v>0</v>
      </c>
    </row>
    <row r="90" spans="1:9" s="1378" customFormat="1" ht="12.75" customHeight="1" x14ac:dyDescent="0.25">
      <c r="A90" s="1371" t="s">
        <v>220</v>
      </c>
      <c r="B90" s="1372" t="s">
        <v>221</v>
      </c>
      <c r="C90" s="1373" t="s">
        <v>267</v>
      </c>
      <c r="D90" s="1381">
        <v>376838.97491237061</v>
      </c>
      <c r="E90" s="1382">
        <v>634124.61227575573</v>
      </c>
      <c r="F90" s="1375">
        <v>0</v>
      </c>
      <c r="G90" s="1375">
        <v>0</v>
      </c>
      <c r="H90" s="1376">
        <f t="shared" si="6"/>
        <v>1010963.5871881263</v>
      </c>
      <c r="I90" s="1377">
        <f t="shared" si="7"/>
        <v>0</v>
      </c>
    </row>
    <row r="91" spans="1:9" s="1378" customFormat="1" ht="12.75" customHeight="1" x14ac:dyDescent="0.25">
      <c r="A91" s="1371" t="s">
        <v>224</v>
      </c>
      <c r="B91" s="1372" t="s">
        <v>225</v>
      </c>
      <c r="C91" s="1373" t="s">
        <v>264</v>
      </c>
      <c r="D91" s="1379">
        <v>32267.343257945235</v>
      </c>
      <c r="E91" s="1380">
        <v>53398.20194121595</v>
      </c>
      <c r="F91" s="1375">
        <v>0</v>
      </c>
      <c r="G91" s="1375">
        <v>0</v>
      </c>
      <c r="H91" s="1376">
        <f t="shared" si="6"/>
        <v>85665.545199161192</v>
      </c>
      <c r="I91" s="1377">
        <f t="shared" si="7"/>
        <v>0</v>
      </c>
    </row>
    <row r="92" spans="1:9" s="1378" customFormat="1" ht="12.75" customHeight="1" x14ac:dyDescent="0.25">
      <c r="A92" s="1371" t="s">
        <v>226</v>
      </c>
      <c r="B92" s="1372" t="s">
        <v>227</v>
      </c>
      <c r="C92" s="1373" t="s">
        <v>264</v>
      </c>
      <c r="D92" s="1381">
        <v>62922.860900163687</v>
      </c>
      <c r="E92" s="1382">
        <v>98818.346236598401</v>
      </c>
      <c r="F92" s="1375">
        <v>0</v>
      </c>
      <c r="G92" s="1375">
        <v>0</v>
      </c>
      <c r="H92" s="1376">
        <f t="shared" si="6"/>
        <v>161741.2071367621</v>
      </c>
      <c r="I92" s="1377">
        <f t="shared" si="7"/>
        <v>0</v>
      </c>
    </row>
    <row r="93" spans="1:9" s="1378" customFormat="1" ht="12.75" customHeight="1" x14ac:dyDescent="0.25">
      <c r="A93" s="1371" t="s">
        <v>228</v>
      </c>
      <c r="B93" s="1372" t="s">
        <v>229</v>
      </c>
      <c r="C93" s="1373" t="s">
        <v>268</v>
      </c>
      <c r="D93" s="1381">
        <v>189644.29653415165</v>
      </c>
      <c r="E93" s="1382">
        <v>312015.92866309313</v>
      </c>
      <c r="F93" s="1375">
        <v>0</v>
      </c>
      <c r="G93" s="1375">
        <v>0</v>
      </c>
      <c r="H93" s="1376">
        <f t="shared" si="6"/>
        <v>501660.22519724478</v>
      </c>
      <c r="I93" s="1377">
        <f t="shared" si="7"/>
        <v>0</v>
      </c>
    </row>
    <row r="94" spans="1:9" s="1378" customFormat="1" ht="12.75" customHeight="1" x14ac:dyDescent="0.25">
      <c r="A94" s="1371" t="s">
        <v>232</v>
      </c>
      <c r="B94" s="1372" t="s">
        <v>233</v>
      </c>
      <c r="C94" s="1373" t="s">
        <v>267</v>
      </c>
      <c r="D94" s="1381">
        <v>119209.49161106518</v>
      </c>
      <c r="E94" s="1382">
        <v>204670.02003087429</v>
      </c>
      <c r="F94" s="1375">
        <v>0</v>
      </c>
      <c r="G94" s="1375">
        <v>0</v>
      </c>
      <c r="H94" s="1376">
        <f t="shared" si="6"/>
        <v>323879.51164193946</v>
      </c>
      <c r="I94" s="1377">
        <f t="shared" si="7"/>
        <v>0</v>
      </c>
    </row>
    <row r="95" spans="1:9" s="1378" customFormat="1" ht="12.75" customHeight="1" x14ac:dyDescent="0.25">
      <c r="A95" s="1371" t="s">
        <v>234</v>
      </c>
      <c r="B95" s="1372" t="s">
        <v>235</v>
      </c>
      <c r="C95" s="1373" t="s">
        <v>268</v>
      </c>
      <c r="D95" s="1381">
        <v>176125.40718593597</v>
      </c>
      <c r="E95" s="1382">
        <v>275423.66769191844</v>
      </c>
      <c r="F95" s="1375">
        <v>0</v>
      </c>
      <c r="G95" s="1375">
        <v>0</v>
      </c>
      <c r="H95" s="1376">
        <f t="shared" si="6"/>
        <v>451549.07487785444</v>
      </c>
      <c r="I95" s="1377">
        <f t="shared" si="7"/>
        <v>0</v>
      </c>
    </row>
    <row r="96" spans="1:9" s="1378" customFormat="1" ht="12.75" customHeight="1" x14ac:dyDescent="0.25">
      <c r="A96" s="1371" t="s">
        <v>236</v>
      </c>
      <c r="B96" s="1372" t="s">
        <v>237</v>
      </c>
      <c r="C96" s="1373" t="s">
        <v>266</v>
      </c>
      <c r="D96" s="1381">
        <v>79885.743023154399</v>
      </c>
      <c r="E96" s="1382">
        <v>126397.95272134639</v>
      </c>
      <c r="F96" s="1375">
        <v>0</v>
      </c>
      <c r="G96" s="1375">
        <v>0</v>
      </c>
      <c r="H96" s="1376">
        <f t="shared" si="6"/>
        <v>206283.69574450079</v>
      </c>
      <c r="I96" s="1377">
        <f t="shared" si="7"/>
        <v>0</v>
      </c>
    </row>
    <row r="97" spans="1:9" s="1378" customFormat="1" ht="12.75" customHeight="1" x14ac:dyDescent="0.25">
      <c r="A97" s="1371" t="s">
        <v>242</v>
      </c>
      <c r="B97" s="1372" t="s">
        <v>243</v>
      </c>
      <c r="C97" s="1373" t="s">
        <v>268</v>
      </c>
      <c r="D97" s="1381">
        <v>296637.96631938271</v>
      </c>
      <c r="E97" s="1382">
        <v>486609.14761507249</v>
      </c>
      <c r="F97" s="1375">
        <v>0</v>
      </c>
      <c r="G97" s="1375">
        <v>0</v>
      </c>
      <c r="H97" s="1376">
        <f t="shared" si="6"/>
        <v>783247.11393445521</v>
      </c>
      <c r="I97" s="1377">
        <f t="shared" si="7"/>
        <v>0</v>
      </c>
    </row>
    <row r="98" spans="1:9" s="1378" customFormat="1" ht="12.75" customHeight="1" x14ac:dyDescent="0.25">
      <c r="A98" s="1371" t="s">
        <v>244</v>
      </c>
      <c r="B98" s="1372" t="s">
        <v>245</v>
      </c>
      <c r="C98" s="1373" t="s">
        <v>268</v>
      </c>
      <c r="D98" s="1381">
        <v>82076.595997337587</v>
      </c>
      <c r="E98" s="1382">
        <v>133577.84175109744</v>
      </c>
      <c r="F98" s="1375">
        <v>0</v>
      </c>
      <c r="G98" s="1375">
        <v>0</v>
      </c>
      <c r="H98" s="1376">
        <f t="shared" si="6"/>
        <v>215654.43774843501</v>
      </c>
      <c r="I98" s="1377">
        <f t="shared" si="7"/>
        <v>0</v>
      </c>
    </row>
    <row r="99" spans="1:9" s="1378" customFormat="1" ht="12.75" customHeight="1" x14ac:dyDescent="0.25">
      <c r="A99" s="1371" t="s">
        <v>246</v>
      </c>
      <c r="B99" s="1372" t="s">
        <v>310</v>
      </c>
      <c r="C99" s="1373" t="s">
        <v>264</v>
      </c>
      <c r="D99" s="1381">
        <v>170399.05028852978</v>
      </c>
      <c r="E99" s="1382">
        <v>264432.20373668696</v>
      </c>
      <c r="F99" s="1375">
        <v>0</v>
      </c>
      <c r="G99" s="1375">
        <v>0</v>
      </c>
      <c r="H99" s="1376">
        <f t="shared" si="6"/>
        <v>434831.25402521674</v>
      </c>
      <c r="I99" s="1377">
        <f t="shared" si="7"/>
        <v>0</v>
      </c>
    </row>
    <row r="100" spans="1:9" s="1378" customFormat="1" ht="12.75" customHeight="1" x14ac:dyDescent="0.25">
      <c r="A100" s="1371" t="s">
        <v>14</v>
      </c>
      <c r="B100" s="1372" t="s">
        <v>15</v>
      </c>
      <c r="C100" s="1373" t="s">
        <v>267</v>
      </c>
      <c r="D100" s="1381">
        <v>456515.41647753638</v>
      </c>
      <c r="E100" s="1382">
        <v>1087505.9648932298</v>
      </c>
      <c r="F100" s="1375">
        <v>0</v>
      </c>
      <c r="G100" s="1375">
        <v>0</v>
      </c>
      <c r="H100" s="1376">
        <f t="shared" si="6"/>
        <v>1544021.3813707661</v>
      </c>
      <c r="I100" s="1377">
        <f t="shared" si="7"/>
        <v>0</v>
      </c>
    </row>
    <row r="101" spans="1:9" s="1378" customFormat="1" ht="12.75" customHeight="1" x14ac:dyDescent="0.25">
      <c r="A101" s="1371" t="s">
        <v>34</v>
      </c>
      <c r="B101" s="1372" t="s">
        <v>35</v>
      </c>
      <c r="C101" s="1373" t="s">
        <v>268</v>
      </c>
      <c r="D101" s="1379">
        <v>162972.25949065038</v>
      </c>
      <c r="E101" s="1380">
        <v>292340.21998560079</v>
      </c>
      <c r="F101" s="1375">
        <v>0</v>
      </c>
      <c r="G101" s="1375">
        <v>0</v>
      </c>
      <c r="H101" s="1376">
        <f t="shared" ref="H101:H124" si="8">SUM(D101:G101)</f>
        <v>455312.47947625117</v>
      </c>
      <c r="I101" s="1377">
        <f t="shared" ref="I101:I124" si="9">F101+G101</f>
        <v>0</v>
      </c>
    </row>
    <row r="102" spans="1:9" s="1378" customFormat="1" ht="12.75" customHeight="1" x14ac:dyDescent="0.25">
      <c r="A102" s="1371" t="s">
        <v>52</v>
      </c>
      <c r="B102" s="1372" t="s">
        <v>53</v>
      </c>
      <c r="C102" s="1373" t="s">
        <v>265</v>
      </c>
      <c r="D102" s="1381">
        <v>305497.31843665784</v>
      </c>
      <c r="E102" s="1382">
        <v>598208.14376890555</v>
      </c>
      <c r="F102" s="1375">
        <v>0</v>
      </c>
      <c r="G102" s="1375">
        <v>0</v>
      </c>
      <c r="H102" s="1376">
        <f t="shared" si="8"/>
        <v>903705.46220556344</v>
      </c>
      <c r="I102" s="1377">
        <f t="shared" si="9"/>
        <v>0</v>
      </c>
    </row>
    <row r="103" spans="1:9" s="1378" customFormat="1" ht="12.75" customHeight="1" x14ac:dyDescent="0.25">
      <c r="A103" s="1371" t="s">
        <v>54</v>
      </c>
      <c r="B103" s="1372" t="s">
        <v>55</v>
      </c>
      <c r="C103" s="1373" t="s">
        <v>264</v>
      </c>
      <c r="D103" s="1381">
        <v>816690.27798120899</v>
      </c>
      <c r="E103" s="1382">
        <v>1228405.6401925569</v>
      </c>
      <c r="F103" s="1375">
        <v>0</v>
      </c>
      <c r="G103" s="1375">
        <v>0</v>
      </c>
      <c r="H103" s="1376">
        <f t="shared" si="8"/>
        <v>2045095.9181737658</v>
      </c>
      <c r="I103" s="1377">
        <f t="shared" si="9"/>
        <v>0</v>
      </c>
    </row>
    <row r="104" spans="1:9" s="1378" customFormat="1" ht="12.75" customHeight="1" x14ac:dyDescent="0.25">
      <c r="A104" s="1371" t="s">
        <v>66</v>
      </c>
      <c r="B104" s="1372" t="s">
        <v>67</v>
      </c>
      <c r="C104" s="1373" t="s">
        <v>265</v>
      </c>
      <c r="D104" s="1381">
        <v>351175.07520610659</v>
      </c>
      <c r="E104" s="1382">
        <v>524300.95626785315</v>
      </c>
      <c r="F104" s="1375">
        <v>0</v>
      </c>
      <c r="G104" s="1375">
        <v>0</v>
      </c>
      <c r="H104" s="1376">
        <f t="shared" si="8"/>
        <v>875476.0314739598</v>
      </c>
      <c r="I104" s="1377">
        <f t="shared" si="9"/>
        <v>0</v>
      </c>
    </row>
    <row r="105" spans="1:9" s="1378" customFormat="1" ht="12.75" customHeight="1" x14ac:dyDescent="0.25">
      <c r="A105" s="1371" t="s">
        <v>82</v>
      </c>
      <c r="B105" s="1372" t="s">
        <v>311</v>
      </c>
      <c r="C105" s="1373" t="s">
        <v>264</v>
      </c>
      <c r="D105" s="1379">
        <v>59718.632396119152</v>
      </c>
      <c r="E105" s="1380">
        <v>95665.705837111178</v>
      </c>
      <c r="F105" s="1375">
        <v>0</v>
      </c>
      <c r="G105" s="1375">
        <v>0</v>
      </c>
      <c r="H105" s="1376">
        <f t="shared" si="8"/>
        <v>155384.33823323034</v>
      </c>
      <c r="I105" s="1377">
        <f t="shared" si="9"/>
        <v>0</v>
      </c>
    </row>
    <row r="106" spans="1:9" s="1378" customFormat="1" ht="12.75" customHeight="1" x14ac:dyDescent="0.25">
      <c r="A106" s="1371" t="s">
        <v>88</v>
      </c>
      <c r="B106" s="1372" t="s">
        <v>89</v>
      </c>
      <c r="C106" s="1373" t="s">
        <v>267</v>
      </c>
      <c r="D106" s="1381">
        <v>208968.55282430182</v>
      </c>
      <c r="E106" s="1382">
        <v>376638.34537451761</v>
      </c>
      <c r="F106" s="1375">
        <v>0</v>
      </c>
      <c r="G106" s="1375">
        <v>0</v>
      </c>
      <c r="H106" s="1376">
        <f t="shared" si="8"/>
        <v>585606.89819881949</v>
      </c>
      <c r="I106" s="1377">
        <f t="shared" si="9"/>
        <v>0</v>
      </c>
    </row>
    <row r="107" spans="1:9" s="1378" customFormat="1" ht="12.75" customHeight="1" x14ac:dyDescent="0.25">
      <c r="A107" s="1371" t="s">
        <v>90</v>
      </c>
      <c r="B107" s="1372" t="s">
        <v>91</v>
      </c>
      <c r="C107" s="1373" t="s">
        <v>268</v>
      </c>
      <c r="D107" s="1381">
        <v>40347.562156075677</v>
      </c>
      <c r="E107" s="1382">
        <v>64349.513894709547</v>
      </c>
      <c r="F107" s="1375">
        <v>0</v>
      </c>
      <c r="G107" s="1375">
        <v>0</v>
      </c>
      <c r="H107" s="1376">
        <f t="shared" si="8"/>
        <v>104697.07605078522</v>
      </c>
      <c r="I107" s="1377">
        <f t="shared" si="9"/>
        <v>0</v>
      </c>
    </row>
    <row r="108" spans="1:9" s="1378" customFormat="1" ht="12.75" customHeight="1" x14ac:dyDescent="0.25">
      <c r="A108" s="1371" t="s">
        <v>106</v>
      </c>
      <c r="B108" s="1372" t="s">
        <v>107</v>
      </c>
      <c r="C108" s="1373" t="s">
        <v>264</v>
      </c>
      <c r="D108" s="1381">
        <v>1339145.6469389084</v>
      </c>
      <c r="E108" s="1382">
        <v>2078833.5470069966</v>
      </c>
      <c r="F108" s="1375">
        <v>0</v>
      </c>
      <c r="G108" s="1375">
        <v>0</v>
      </c>
      <c r="H108" s="1376">
        <f t="shared" si="8"/>
        <v>3417979.1939459052</v>
      </c>
      <c r="I108" s="1377">
        <f t="shared" si="9"/>
        <v>0</v>
      </c>
    </row>
    <row r="109" spans="1:9" s="1378" customFormat="1" ht="12.75" customHeight="1" x14ac:dyDescent="0.25">
      <c r="A109" s="1371" t="s">
        <v>116</v>
      </c>
      <c r="B109" s="1372" t="s">
        <v>117</v>
      </c>
      <c r="C109" s="1373" t="s">
        <v>266</v>
      </c>
      <c r="D109" s="1379">
        <v>295167.26896364312</v>
      </c>
      <c r="E109" s="1380">
        <v>477656.37138004706</v>
      </c>
      <c r="F109" s="1375">
        <v>0</v>
      </c>
      <c r="G109" s="1375">
        <v>0</v>
      </c>
      <c r="H109" s="1376">
        <f t="shared" si="8"/>
        <v>772823.64034369017</v>
      </c>
      <c r="I109" s="1377">
        <f t="shared" si="9"/>
        <v>0</v>
      </c>
    </row>
    <row r="110" spans="1:9" s="1378" customFormat="1" ht="12.75" customHeight="1" x14ac:dyDescent="0.25">
      <c r="A110" s="1371" t="s">
        <v>138</v>
      </c>
      <c r="B110" s="1372" t="s">
        <v>139</v>
      </c>
      <c r="C110" s="1373" t="s">
        <v>265</v>
      </c>
      <c r="D110" s="1381">
        <v>450405.38306123915</v>
      </c>
      <c r="E110" s="1382">
        <v>694255.4518866021</v>
      </c>
      <c r="F110" s="1375">
        <v>0</v>
      </c>
      <c r="G110" s="1375">
        <v>0</v>
      </c>
      <c r="H110" s="1376">
        <f t="shared" si="8"/>
        <v>1144660.8349478412</v>
      </c>
      <c r="I110" s="1377">
        <f t="shared" si="9"/>
        <v>0</v>
      </c>
    </row>
    <row r="111" spans="1:9" s="1378" customFormat="1" ht="12.75" customHeight="1" x14ac:dyDescent="0.25">
      <c r="A111" s="1371" t="s">
        <v>142</v>
      </c>
      <c r="B111" s="1372" t="s">
        <v>143</v>
      </c>
      <c r="C111" s="1373" t="s">
        <v>267</v>
      </c>
      <c r="D111" s="1379">
        <v>129292.91654497138</v>
      </c>
      <c r="E111" s="1380">
        <v>233533.35286698144</v>
      </c>
      <c r="F111" s="1375">
        <v>0</v>
      </c>
      <c r="G111" s="1375">
        <v>0</v>
      </c>
      <c r="H111" s="1376">
        <f t="shared" si="8"/>
        <v>362826.26941195282</v>
      </c>
      <c r="I111" s="1377">
        <f t="shared" si="9"/>
        <v>0</v>
      </c>
    </row>
    <row r="112" spans="1:9" s="1378" customFormat="1" ht="12.75" customHeight="1" x14ac:dyDescent="0.25">
      <c r="A112" s="1371" t="s">
        <v>144</v>
      </c>
      <c r="B112" s="1372" t="s">
        <v>145</v>
      </c>
      <c r="C112" s="1373" t="s">
        <v>267</v>
      </c>
      <c r="D112" s="1381">
        <v>41270.515590713956</v>
      </c>
      <c r="E112" s="1382">
        <v>69574.72557804815</v>
      </c>
      <c r="F112" s="1375">
        <v>0</v>
      </c>
      <c r="G112" s="1375">
        <v>0</v>
      </c>
      <c r="H112" s="1376">
        <f t="shared" si="8"/>
        <v>110845.24116876211</v>
      </c>
      <c r="I112" s="1377">
        <f t="shared" si="9"/>
        <v>0</v>
      </c>
    </row>
    <row r="113" spans="1:9" s="1378" customFormat="1" ht="12.75" customHeight="1" x14ac:dyDescent="0.25">
      <c r="A113" s="1371" t="s">
        <v>158</v>
      </c>
      <c r="B113" s="1372" t="s">
        <v>159</v>
      </c>
      <c r="C113" s="1373" t="s">
        <v>264</v>
      </c>
      <c r="D113" s="1381">
        <v>2000709.3735882686</v>
      </c>
      <c r="E113" s="1382">
        <v>3263655.7230287264</v>
      </c>
      <c r="F113" s="1375">
        <v>0</v>
      </c>
      <c r="G113" s="1375">
        <v>0</v>
      </c>
      <c r="H113" s="1376">
        <f t="shared" si="8"/>
        <v>5264365.0966169946</v>
      </c>
      <c r="I113" s="1377">
        <f t="shared" si="9"/>
        <v>0</v>
      </c>
    </row>
    <row r="114" spans="1:9" s="1378" customFormat="1" ht="12.75" customHeight="1" x14ac:dyDescent="0.25">
      <c r="A114" s="1371" t="s">
        <v>160</v>
      </c>
      <c r="B114" s="1372" t="s">
        <v>161</v>
      </c>
      <c r="C114" s="1373" t="s">
        <v>264</v>
      </c>
      <c r="D114" s="1381">
        <v>1750303.9292849815</v>
      </c>
      <c r="E114" s="1382">
        <v>2634987.3115528943</v>
      </c>
      <c r="F114" s="1375">
        <v>0</v>
      </c>
      <c r="G114" s="1375">
        <v>0</v>
      </c>
      <c r="H114" s="1376">
        <f t="shared" si="8"/>
        <v>4385291.2408378758</v>
      </c>
      <c r="I114" s="1377">
        <f t="shared" si="9"/>
        <v>0</v>
      </c>
    </row>
    <row r="115" spans="1:9" s="1378" customFormat="1" ht="12.75" customHeight="1" x14ac:dyDescent="0.25">
      <c r="A115" s="1371" t="s">
        <v>166</v>
      </c>
      <c r="B115" s="1372" t="s">
        <v>167</v>
      </c>
      <c r="C115" s="1373" t="s">
        <v>268</v>
      </c>
      <c r="D115" s="1381">
        <v>47521.451020025524</v>
      </c>
      <c r="E115" s="1382">
        <v>81287.248684221631</v>
      </c>
      <c r="F115" s="1375">
        <v>0</v>
      </c>
      <c r="G115" s="1375">
        <v>0</v>
      </c>
      <c r="H115" s="1376">
        <f t="shared" si="8"/>
        <v>128808.69970424715</v>
      </c>
      <c r="I115" s="1377">
        <f t="shared" si="9"/>
        <v>0</v>
      </c>
    </row>
    <row r="116" spans="1:9" s="1378" customFormat="1" ht="12.75" customHeight="1" x14ac:dyDescent="0.25">
      <c r="A116" s="1371" t="s">
        <v>176</v>
      </c>
      <c r="B116" s="1372" t="s">
        <v>177</v>
      </c>
      <c r="C116" s="1373" t="s">
        <v>266</v>
      </c>
      <c r="D116" s="1381">
        <v>457681.8921834699</v>
      </c>
      <c r="E116" s="1382">
        <v>684482.59333371371</v>
      </c>
      <c r="F116" s="1375">
        <v>0</v>
      </c>
      <c r="G116" s="1375">
        <v>0</v>
      </c>
      <c r="H116" s="1376">
        <f t="shared" si="8"/>
        <v>1142164.4855171836</v>
      </c>
      <c r="I116" s="1377">
        <f t="shared" si="9"/>
        <v>0</v>
      </c>
    </row>
    <row r="117" spans="1:9" s="1378" customFormat="1" ht="12.75" customHeight="1" x14ac:dyDescent="0.25">
      <c r="A117" s="1371" t="s">
        <v>180</v>
      </c>
      <c r="B117" s="1372" t="s">
        <v>181</v>
      </c>
      <c r="C117" s="1373" t="s">
        <v>264</v>
      </c>
      <c r="D117" s="1379">
        <v>959376.88876986504</v>
      </c>
      <c r="E117" s="1380">
        <v>1422587.7620206545</v>
      </c>
      <c r="F117" s="1375">
        <v>0</v>
      </c>
      <c r="G117" s="1375">
        <v>0</v>
      </c>
      <c r="H117" s="1376">
        <f t="shared" si="8"/>
        <v>2381964.6507905195</v>
      </c>
      <c r="I117" s="1377">
        <f t="shared" si="9"/>
        <v>0</v>
      </c>
    </row>
    <row r="118" spans="1:9" s="1378" customFormat="1" ht="12.75" customHeight="1" x14ac:dyDescent="0.25">
      <c r="A118" s="1371" t="s">
        <v>192</v>
      </c>
      <c r="B118" s="1372" t="s">
        <v>193</v>
      </c>
      <c r="C118" s="1373" t="s">
        <v>268</v>
      </c>
      <c r="D118" s="1379">
        <v>61812.820392508249</v>
      </c>
      <c r="E118" s="1380">
        <v>96105.083335848976</v>
      </c>
      <c r="F118" s="1375">
        <v>0</v>
      </c>
      <c r="G118" s="1375">
        <v>0</v>
      </c>
      <c r="H118" s="1376">
        <f t="shared" si="8"/>
        <v>157917.90372835723</v>
      </c>
      <c r="I118" s="1377">
        <f t="shared" si="9"/>
        <v>0</v>
      </c>
    </row>
    <row r="119" spans="1:9" s="1378" customFormat="1" ht="12.75" customHeight="1" x14ac:dyDescent="0.25">
      <c r="A119" s="1371" t="s">
        <v>196</v>
      </c>
      <c r="B119" s="1372" t="s">
        <v>312</v>
      </c>
      <c r="C119" s="1373" t="s">
        <v>266</v>
      </c>
      <c r="D119" s="1381">
        <v>2179565.1982662193</v>
      </c>
      <c r="E119" s="1382">
        <v>3248408.1138881068</v>
      </c>
      <c r="F119" s="1375">
        <v>0</v>
      </c>
      <c r="G119" s="1375">
        <v>0</v>
      </c>
      <c r="H119" s="1376">
        <f t="shared" si="8"/>
        <v>5427973.3121543266</v>
      </c>
      <c r="I119" s="1377">
        <f t="shared" si="9"/>
        <v>0</v>
      </c>
    </row>
    <row r="120" spans="1:9" s="1378" customFormat="1" ht="12.75" customHeight="1" x14ac:dyDescent="0.25">
      <c r="A120" s="1371" t="s">
        <v>200</v>
      </c>
      <c r="B120" s="1372" t="s">
        <v>313</v>
      </c>
      <c r="C120" s="1373" t="s">
        <v>265</v>
      </c>
      <c r="D120" s="1381">
        <v>908461.75233160495</v>
      </c>
      <c r="E120" s="1382">
        <v>1462360.2046798272</v>
      </c>
      <c r="F120" s="1375">
        <v>0</v>
      </c>
      <c r="G120" s="1375">
        <v>0</v>
      </c>
      <c r="H120" s="1376">
        <f t="shared" si="8"/>
        <v>2370821.9570114324</v>
      </c>
      <c r="I120" s="1377">
        <f t="shared" si="9"/>
        <v>0</v>
      </c>
    </row>
    <row r="121" spans="1:9" s="1378" customFormat="1" ht="12.75" customHeight="1" x14ac:dyDescent="0.25">
      <c r="A121" s="1371" t="s">
        <v>222</v>
      </c>
      <c r="B121" s="1372" t="s">
        <v>223</v>
      </c>
      <c r="C121" s="1373" t="s">
        <v>264</v>
      </c>
      <c r="D121" s="1381">
        <v>330330.90709159541</v>
      </c>
      <c r="E121" s="1382">
        <v>481293.7115391707</v>
      </c>
      <c r="F121" s="1375">
        <v>0</v>
      </c>
      <c r="G121" s="1375">
        <v>0</v>
      </c>
      <c r="H121" s="1376">
        <f t="shared" si="8"/>
        <v>811624.61863076617</v>
      </c>
      <c r="I121" s="1377">
        <f t="shared" si="9"/>
        <v>0</v>
      </c>
    </row>
    <row r="122" spans="1:9" s="1378" customFormat="1" ht="12.75" customHeight="1" x14ac:dyDescent="0.25">
      <c r="A122" s="1371" t="s">
        <v>230</v>
      </c>
      <c r="B122" s="1372" t="s">
        <v>231</v>
      </c>
      <c r="C122" s="1373" t="s">
        <v>264</v>
      </c>
      <c r="D122" s="1381">
        <v>754464.83679607161</v>
      </c>
      <c r="E122" s="1382">
        <v>1141840.4547883924</v>
      </c>
      <c r="F122" s="1375">
        <v>0</v>
      </c>
      <c r="G122" s="1375">
        <v>0</v>
      </c>
      <c r="H122" s="1376">
        <f t="shared" si="8"/>
        <v>1896305.291584464</v>
      </c>
      <c r="I122" s="1377">
        <f t="shared" si="9"/>
        <v>0</v>
      </c>
    </row>
    <row r="123" spans="1:9" s="1378" customFormat="1" ht="12.75" customHeight="1" x14ac:dyDescent="0.25">
      <c r="A123" s="1371" t="s">
        <v>238</v>
      </c>
      <c r="B123" s="1372" t="s">
        <v>239</v>
      </c>
      <c r="C123" s="1373" t="s">
        <v>264</v>
      </c>
      <c r="D123" s="1379">
        <v>22779.657280925545</v>
      </c>
      <c r="E123" s="1380">
        <v>37810.180925779976</v>
      </c>
      <c r="F123" s="1375">
        <v>0</v>
      </c>
      <c r="G123" s="1375">
        <v>0</v>
      </c>
      <c r="H123" s="1376">
        <f t="shared" si="8"/>
        <v>60589.838206705521</v>
      </c>
      <c r="I123" s="1377">
        <f t="shared" si="9"/>
        <v>0</v>
      </c>
    </row>
    <row r="124" spans="1:9" s="1378" customFormat="1" ht="12.75" customHeight="1" x14ac:dyDescent="0.25">
      <c r="A124" s="1371" t="s">
        <v>240</v>
      </c>
      <c r="B124" s="1372" t="s">
        <v>241</v>
      </c>
      <c r="C124" s="1383" t="s">
        <v>267</v>
      </c>
      <c r="D124" s="1384">
        <v>94962.641885130797</v>
      </c>
      <c r="E124" s="1385">
        <v>156208.9336014071</v>
      </c>
      <c r="F124" s="1375">
        <v>0</v>
      </c>
      <c r="G124" s="1375">
        <v>0</v>
      </c>
      <c r="H124" s="1376">
        <f t="shared" si="8"/>
        <v>251171.57548653788</v>
      </c>
      <c r="I124" s="1377">
        <f t="shared" si="9"/>
        <v>0</v>
      </c>
    </row>
    <row r="125" spans="1:9" s="1370" customFormat="1" ht="12.75" customHeight="1" x14ac:dyDescent="0.25">
      <c r="D125" s="1386"/>
      <c r="E125" s="1386"/>
      <c r="F125" s="1386"/>
      <c r="G125" s="1386"/>
      <c r="H125" s="1386"/>
    </row>
    <row r="126" spans="1:9" s="1370" customFormat="1" ht="12.75" customHeight="1" x14ac:dyDescent="0.25">
      <c r="A126" s="1370" t="s">
        <v>266</v>
      </c>
      <c r="D126" s="1884">
        <v>5781559.9124889132</v>
      </c>
      <c r="E126" s="1885">
        <v>9172882.4700794276</v>
      </c>
      <c r="F126" s="1885">
        <v>0</v>
      </c>
      <c r="G126" s="1885">
        <v>0</v>
      </c>
      <c r="H126" s="1886">
        <f t="shared" ref="H126:H131" si="10">SUM(D126:G126)</f>
        <v>14954442.382568341</v>
      </c>
      <c r="I126" s="1887">
        <f t="shared" ref="I126:I130" si="11">F126+G126</f>
        <v>0</v>
      </c>
    </row>
    <row r="127" spans="1:9" s="1370" customFormat="1" ht="12.75" customHeight="1" x14ac:dyDescent="0.25">
      <c r="A127" s="1370" t="s">
        <v>264</v>
      </c>
      <c r="D127" s="1884">
        <v>9301067.7414158694</v>
      </c>
      <c r="E127" s="1885">
        <v>14356933.43485472</v>
      </c>
      <c r="F127" s="1885">
        <v>0</v>
      </c>
      <c r="G127" s="1885">
        <v>0</v>
      </c>
      <c r="H127" s="1886">
        <f t="shared" si="10"/>
        <v>23658001.176270589</v>
      </c>
      <c r="I127" s="1887">
        <f t="shared" si="11"/>
        <v>0</v>
      </c>
    </row>
    <row r="128" spans="1:9" s="1370" customFormat="1" ht="12.75" customHeight="1" x14ac:dyDescent="0.25">
      <c r="A128" s="1370" t="s">
        <v>267</v>
      </c>
      <c r="D128" s="1884">
        <v>5737042.4000469111</v>
      </c>
      <c r="E128" s="1885">
        <v>10833558.656505279</v>
      </c>
      <c r="F128" s="1885">
        <v>0</v>
      </c>
      <c r="G128" s="1885">
        <v>0</v>
      </c>
      <c r="H128" s="1886">
        <f t="shared" si="10"/>
        <v>16570601.05655219</v>
      </c>
      <c r="I128" s="1887">
        <f t="shared" si="11"/>
        <v>0</v>
      </c>
    </row>
    <row r="129" spans="1:9" s="1370" customFormat="1" ht="12.75" customHeight="1" x14ac:dyDescent="0.25">
      <c r="A129" s="1370" t="s">
        <v>265</v>
      </c>
      <c r="D129" s="1884">
        <v>4708577.5660870038</v>
      </c>
      <c r="E129" s="1885">
        <v>7656435.709316114</v>
      </c>
      <c r="F129" s="1885">
        <v>0</v>
      </c>
      <c r="G129" s="1885">
        <v>0</v>
      </c>
      <c r="H129" s="1886">
        <f t="shared" si="10"/>
        <v>12365013.275403118</v>
      </c>
      <c r="I129" s="1887">
        <f t="shared" si="11"/>
        <v>0</v>
      </c>
    </row>
    <row r="130" spans="1:9" s="1370" customFormat="1" ht="12.75" customHeight="1" x14ac:dyDescent="0.25">
      <c r="A130" s="1370" t="s">
        <v>268</v>
      </c>
      <c r="D130" s="1884">
        <v>2563947.369961312</v>
      </c>
      <c r="E130" s="1885">
        <v>4261967.8092444697</v>
      </c>
      <c r="F130" s="1885">
        <v>0</v>
      </c>
      <c r="G130" s="1885">
        <v>0</v>
      </c>
      <c r="H130" s="1886">
        <f t="shared" si="10"/>
        <v>6825915.1792057818</v>
      </c>
      <c r="I130" s="1887">
        <f t="shared" si="11"/>
        <v>0</v>
      </c>
    </row>
    <row r="131" spans="1:9" s="1370" customFormat="1" ht="12.75" customHeight="1" x14ac:dyDescent="0.25">
      <c r="A131" s="1370" t="s">
        <v>9</v>
      </c>
      <c r="D131" s="1888">
        <f t="shared" ref="D131:G131" si="12">SUM(D126:D130)</f>
        <v>28092194.99000001</v>
      </c>
      <c r="E131" s="1889">
        <f t="shared" si="12"/>
        <v>46281778.080000006</v>
      </c>
      <c r="F131" s="1889">
        <f t="shared" si="12"/>
        <v>0</v>
      </c>
      <c r="G131" s="1889">
        <f t="shared" si="12"/>
        <v>0</v>
      </c>
      <c r="H131" s="1886">
        <f t="shared" si="10"/>
        <v>74373973.070000023</v>
      </c>
      <c r="I131" s="1887">
        <f t="shared" ref="I131" si="13">F131+G131</f>
        <v>0</v>
      </c>
    </row>
    <row r="132" spans="1:9" x14ac:dyDescent="0.25">
      <c r="D132" s="774"/>
      <c r="E132" s="774"/>
      <c r="F132" s="774"/>
      <c r="G132" s="774"/>
      <c r="H132" s="774"/>
    </row>
    <row r="133" spans="1:9" x14ac:dyDescent="0.25">
      <c r="D133" s="774"/>
      <c r="E133" s="774"/>
      <c r="F133" s="774"/>
      <c r="G133" s="774"/>
      <c r="H133" s="774"/>
    </row>
    <row r="135" spans="1:9" s="369" customFormat="1" x14ac:dyDescent="0.25">
      <c r="A135" s="917" t="s">
        <v>1263</v>
      </c>
      <c r="B135" s="676"/>
      <c r="C135" s="676"/>
    </row>
    <row r="136" spans="1:9" s="369" customFormat="1" x14ac:dyDescent="0.25"/>
    <row r="137" spans="1:9" s="389" customFormat="1" x14ac:dyDescent="0.25">
      <c r="A137" s="389" t="s">
        <v>248</v>
      </c>
    </row>
    <row r="138" spans="1:9" x14ac:dyDescent="0.25">
      <c r="A138" s="390" t="s">
        <v>249</v>
      </c>
      <c r="B138" s="391" t="s">
        <v>250</v>
      </c>
      <c r="C138" s="391"/>
    </row>
  </sheetData>
  <autoFilter ref="A3:C124"/>
  <sortState ref="A5:J124">
    <sortCondition ref="A5:A124"/>
  </sortState>
  <hyperlinks>
    <hyperlink ref="B138"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7"/>
  <sheetViews>
    <sheetView workbookViewId="0">
      <pane xSplit="3" ySplit="4" topLeftCell="G5" activePane="bottomRight" state="frozen"/>
      <selection pane="topRight" activeCell="D1" sqref="D1"/>
      <selection pane="bottomLeft" activeCell="A5" sqref="A5"/>
      <selection pane="bottomRight" activeCell="A5" sqref="A5:K24"/>
    </sheetView>
  </sheetViews>
  <sheetFormatPr defaultRowHeight="15.75" x14ac:dyDescent="0.25"/>
  <cols>
    <col min="1" max="1" width="9.25" style="974" bestFit="1" customWidth="1"/>
    <col min="2" max="2" width="28.125" style="975" customWidth="1"/>
    <col min="3" max="3" width="16.5" style="975" customWidth="1"/>
    <col min="4" max="4" width="12.625" style="976" bestFit="1" customWidth="1"/>
    <col min="5" max="5" width="13.5" style="976" bestFit="1" customWidth="1"/>
    <col min="6" max="6" width="12.625" style="976" bestFit="1" customWidth="1"/>
    <col min="7" max="7" width="13.5" style="976" bestFit="1" customWidth="1"/>
    <col min="8" max="8" width="11.25" style="976" customWidth="1"/>
    <col min="9" max="11" width="13.75" style="977" customWidth="1"/>
    <col min="12" max="16384" width="9" style="975"/>
  </cols>
  <sheetData>
    <row r="1" spans="1:11" x14ac:dyDescent="0.25">
      <c r="A1" s="979" t="s">
        <v>1267</v>
      </c>
    </row>
    <row r="3" spans="1:11" s="973" customFormat="1" ht="15" x14ac:dyDescent="0.25">
      <c r="A3" s="972" t="s">
        <v>4</v>
      </c>
      <c r="B3" s="973" t="s">
        <v>5</v>
      </c>
      <c r="C3" s="973" t="s">
        <v>251</v>
      </c>
      <c r="D3" s="1999" t="s">
        <v>841</v>
      </c>
      <c r="E3" s="2000" t="s">
        <v>842</v>
      </c>
      <c r="F3" s="2000" t="s">
        <v>843</v>
      </c>
      <c r="G3" s="2000" t="s">
        <v>844</v>
      </c>
      <c r="H3" s="2000" t="s">
        <v>845</v>
      </c>
      <c r="I3" s="2001" t="s">
        <v>314</v>
      </c>
      <c r="J3" s="2001" t="s">
        <v>315</v>
      </c>
      <c r="K3" s="2002" t="s">
        <v>846</v>
      </c>
    </row>
    <row r="4" spans="1:11" s="973" customFormat="1" ht="15" x14ac:dyDescent="0.25">
      <c r="A4" s="980" t="s">
        <v>8</v>
      </c>
      <c r="B4" s="981" t="s">
        <v>847</v>
      </c>
      <c r="C4" s="981"/>
      <c r="D4" s="2003">
        <f t="shared" ref="D4:K4" si="0">SUM(D5:D124)</f>
        <v>48142109.829999998</v>
      </c>
      <c r="E4" s="2004">
        <f t="shared" si="0"/>
        <v>7374467</v>
      </c>
      <c r="F4" s="2004">
        <f t="shared" si="0"/>
        <v>0</v>
      </c>
      <c r="G4" s="2004">
        <f t="shared" si="0"/>
        <v>51872269</v>
      </c>
      <c r="H4" s="2004">
        <f t="shared" si="0"/>
        <v>107388845.83</v>
      </c>
      <c r="I4" s="2004">
        <f t="shared" si="0"/>
        <v>80632743.872355744</v>
      </c>
      <c r="J4" s="2004">
        <f t="shared" si="0"/>
        <v>26756101.957644235</v>
      </c>
      <c r="K4" s="2005">
        <f t="shared" si="0"/>
        <v>107388845.83</v>
      </c>
    </row>
    <row r="5" spans="1:11" ht="15" x14ac:dyDescent="0.25">
      <c r="A5" s="974" t="s">
        <v>10</v>
      </c>
      <c r="B5" s="975" t="s">
        <v>11</v>
      </c>
      <c r="C5" s="975" t="s">
        <v>264</v>
      </c>
      <c r="D5" s="2006">
        <v>11588</v>
      </c>
      <c r="E5" s="1994">
        <v>7305</v>
      </c>
      <c r="F5" s="1994">
        <v>0</v>
      </c>
      <c r="G5" s="1994">
        <v>51004</v>
      </c>
      <c r="H5" s="1994">
        <f t="shared" ref="H5:H36" si="1">SUM(D5:G5)</f>
        <v>69897</v>
      </c>
      <c r="I5" s="1995">
        <v>52482.051137489638</v>
      </c>
      <c r="J5" s="1995">
        <v>17414.948862510359</v>
      </c>
      <c r="K5" s="1996">
        <f t="shared" ref="K5:K36" si="2">I5+J5</f>
        <v>69897</v>
      </c>
    </row>
    <row r="6" spans="1:11" ht="15" x14ac:dyDescent="0.25">
      <c r="A6" s="974" t="s">
        <v>12</v>
      </c>
      <c r="B6" s="975" t="s">
        <v>13</v>
      </c>
      <c r="C6" s="975" t="s">
        <v>265</v>
      </c>
      <c r="D6" s="2006">
        <v>382279</v>
      </c>
      <c r="E6" s="1994">
        <v>4481</v>
      </c>
      <c r="F6" s="1994">
        <v>0</v>
      </c>
      <c r="G6" s="1994">
        <v>607944</v>
      </c>
      <c r="H6" s="1994">
        <f t="shared" si="1"/>
        <v>994704</v>
      </c>
      <c r="I6" s="1995">
        <v>746871.91431199468</v>
      </c>
      <c r="J6" s="1995">
        <v>247832.08568800526</v>
      </c>
      <c r="K6" s="1996">
        <f t="shared" si="2"/>
        <v>994704</v>
      </c>
    </row>
    <row r="7" spans="1:11" ht="15" x14ac:dyDescent="0.25">
      <c r="A7" s="974" t="s">
        <v>16</v>
      </c>
      <c r="B7" s="978" t="s">
        <v>297</v>
      </c>
      <c r="C7" s="978" t="s">
        <v>265</v>
      </c>
      <c r="D7" s="2006">
        <v>47607</v>
      </c>
      <c r="E7" s="1994">
        <v>6956</v>
      </c>
      <c r="F7" s="1994">
        <v>0</v>
      </c>
      <c r="G7" s="1994">
        <v>40917</v>
      </c>
      <c r="H7" s="1994">
        <f t="shared" si="1"/>
        <v>95480</v>
      </c>
      <c r="I7" s="1995">
        <v>71691.005945999263</v>
      </c>
      <c r="J7" s="1995">
        <v>23788.99405400073</v>
      </c>
      <c r="K7" s="1996">
        <f t="shared" si="2"/>
        <v>95480</v>
      </c>
    </row>
    <row r="8" spans="1:11" ht="15" x14ac:dyDescent="0.25">
      <c r="A8" s="974" t="s">
        <v>18</v>
      </c>
      <c r="B8" s="975" t="s">
        <v>19</v>
      </c>
      <c r="C8" s="975" t="s">
        <v>266</v>
      </c>
      <c r="D8" s="2006">
        <v>7432</v>
      </c>
      <c r="E8" s="1994">
        <v>6186</v>
      </c>
      <c r="F8" s="1994">
        <v>0</v>
      </c>
      <c r="G8" s="1994">
        <v>32883</v>
      </c>
      <c r="H8" s="1994">
        <f t="shared" si="1"/>
        <v>46501</v>
      </c>
      <c r="I8" s="1995">
        <v>34915.201796134395</v>
      </c>
      <c r="J8" s="1995">
        <v>11585.798203865605</v>
      </c>
      <c r="K8" s="1996">
        <f t="shared" si="2"/>
        <v>46501</v>
      </c>
    </row>
    <row r="9" spans="1:11" ht="15" x14ac:dyDescent="0.25">
      <c r="A9" s="974" t="s">
        <v>20</v>
      </c>
      <c r="B9" s="975" t="s">
        <v>21</v>
      </c>
      <c r="C9" s="975" t="s">
        <v>265</v>
      </c>
      <c r="D9" s="2006">
        <v>79463</v>
      </c>
      <c r="E9" s="1994">
        <v>8605</v>
      </c>
      <c r="F9" s="1994">
        <v>0</v>
      </c>
      <c r="G9" s="1994">
        <v>141467</v>
      </c>
      <c r="H9" s="1994">
        <f t="shared" si="1"/>
        <v>229535</v>
      </c>
      <c r="I9" s="1995">
        <v>172345.98921046231</v>
      </c>
      <c r="J9" s="1995">
        <v>57189.010789537679</v>
      </c>
      <c r="K9" s="1996">
        <f t="shared" si="2"/>
        <v>229535</v>
      </c>
    </row>
    <row r="10" spans="1:11" ht="15" x14ac:dyDescent="0.25">
      <c r="A10" s="974" t="s">
        <v>22</v>
      </c>
      <c r="B10" s="975" t="s">
        <v>23</v>
      </c>
      <c r="C10" s="975" t="s">
        <v>265</v>
      </c>
      <c r="D10" s="2006">
        <v>23338</v>
      </c>
      <c r="E10" s="1994">
        <v>0</v>
      </c>
      <c r="F10" s="1994">
        <v>0</v>
      </c>
      <c r="G10" s="1994">
        <v>31174</v>
      </c>
      <c r="H10" s="1994">
        <f t="shared" si="1"/>
        <v>54512</v>
      </c>
      <c r="I10" s="1995">
        <v>40930.248388440639</v>
      </c>
      <c r="J10" s="1995">
        <v>13581.751611559361</v>
      </c>
      <c r="K10" s="1996">
        <f t="shared" si="2"/>
        <v>54512</v>
      </c>
    </row>
    <row r="11" spans="1:11" ht="15" x14ac:dyDescent="0.25">
      <c r="A11" s="974" t="s">
        <v>24</v>
      </c>
      <c r="B11" s="975" t="s">
        <v>25</v>
      </c>
      <c r="C11" s="975" t="s">
        <v>267</v>
      </c>
      <c r="D11" s="2006">
        <v>539231</v>
      </c>
      <c r="E11" s="1994">
        <v>437027</v>
      </c>
      <c r="F11" s="1994">
        <v>0</v>
      </c>
      <c r="G11" s="1994">
        <v>1152723</v>
      </c>
      <c r="H11" s="1994">
        <f t="shared" si="1"/>
        <v>2128981</v>
      </c>
      <c r="I11" s="1995">
        <v>1598541.993400916</v>
      </c>
      <c r="J11" s="1995">
        <v>530439.00659908389</v>
      </c>
      <c r="K11" s="1996">
        <f t="shared" si="2"/>
        <v>2128981</v>
      </c>
    </row>
    <row r="12" spans="1:11" ht="15" x14ac:dyDescent="0.25">
      <c r="A12" s="974" t="s">
        <v>26</v>
      </c>
      <c r="B12" s="978" t="s">
        <v>685</v>
      </c>
      <c r="C12" s="978" t="s">
        <v>265</v>
      </c>
      <c r="D12" s="2006">
        <v>365119</v>
      </c>
      <c r="E12" s="1994">
        <v>65236</v>
      </c>
      <c r="F12" s="1994">
        <v>0</v>
      </c>
      <c r="G12" s="1994">
        <v>386200</v>
      </c>
      <c r="H12" s="1994">
        <f t="shared" si="1"/>
        <v>816555</v>
      </c>
      <c r="I12" s="1995">
        <v>613109.02136819682</v>
      </c>
      <c r="J12" s="1995">
        <v>203445.97863180318</v>
      </c>
      <c r="K12" s="1996">
        <f t="shared" si="2"/>
        <v>816555</v>
      </c>
    </row>
    <row r="13" spans="1:11" ht="15" x14ac:dyDescent="0.25">
      <c r="A13" s="974" t="s">
        <v>27</v>
      </c>
      <c r="B13" s="975" t="s">
        <v>28</v>
      </c>
      <c r="C13" s="975" t="s">
        <v>265</v>
      </c>
      <c r="D13" s="2006">
        <v>0</v>
      </c>
      <c r="E13" s="1994">
        <v>0</v>
      </c>
      <c r="F13" s="1994">
        <v>0</v>
      </c>
      <c r="G13" s="1994">
        <v>0</v>
      </c>
      <c r="H13" s="1994">
        <f t="shared" si="1"/>
        <v>0</v>
      </c>
      <c r="I13" s="1995">
        <v>0</v>
      </c>
      <c r="J13" s="1995">
        <v>0</v>
      </c>
      <c r="K13" s="1996">
        <f t="shared" si="2"/>
        <v>0</v>
      </c>
    </row>
    <row r="14" spans="1:11" ht="15" x14ac:dyDescent="0.25">
      <c r="A14" s="974" t="s">
        <v>29</v>
      </c>
      <c r="B14" s="975" t="s">
        <v>901</v>
      </c>
      <c r="C14" s="975" t="s">
        <v>265</v>
      </c>
      <c r="D14" s="2006">
        <v>193486</v>
      </c>
      <c r="E14" s="1994">
        <v>2718</v>
      </c>
      <c r="F14" s="1994">
        <v>0</v>
      </c>
      <c r="G14" s="1994">
        <v>263561</v>
      </c>
      <c r="H14" s="1994">
        <f t="shared" si="1"/>
        <v>459765</v>
      </c>
      <c r="I14" s="1995">
        <v>345213.81806412182</v>
      </c>
      <c r="J14" s="1995">
        <v>114551.18193587815</v>
      </c>
      <c r="K14" s="1996">
        <f t="shared" si="2"/>
        <v>459765</v>
      </c>
    </row>
    <row r="15" spans="1:11" ht="15" x14ac:dyDescent="0.25">
      <c r="A15" s="974" t="s">
        <v>30</v>
      </c>
      <c r="B15" s="975" t="s">
        <v>31</v>
      </c>
      <c r="C15" s="975" t="s">
        <v>268</v>
      </c>
      <c r="D15" s="2006">
        <v>10650</v>
      </c>
      <c r="E15" s="1994">
        <v>0</v>
      </c>
      <c r="F15" s="1994">
        <v>0</v>
      </c>
      <c r="G15" s="1994">
        <v>4441</v>
      </c>
      <c r="H15" s="1994">
        <f t="shared" si="1"/>
        <v>15091</v>
      </c>
      <c r="I15" s="1995">
        <v>11331.053317250471</v>
      </c>
      <c r="J15" s="1995">
        <v>3759.9466827495289</v>
      </c>
      <c r="K15" s="1996">
        <f t="shared" si="2"/>
        <v>15091</v>
      </c>
    </row>
    <row r="16" spans="1:11" ht="15" x14ac:dyDescent="0.25">
      <c r="A16" s="974" t="s">
        <v>32</v>
      </c>
      <c r="B16" s="975" t="s">
        <v>33</v>
      </c>
      <c r="C16" s="975" t="s">
        <v>265</v>
      </c>
      <c r="D16" s="2006">
        <v>77658</v>
      </c>
      <c r="E16" s="1994">
        <v>34322</v>
      </c>
      <c r="F16" s="1994">
        <v>0</v>
      </c>
      <c r="G16" s="1994">
        <v>170601</v>
      </c>
      <c r="H16" s="1994">
        <f t="shared" si="1"/>
        <v>282581</v>
      </c>
      <c r="I16" s="1995">
        <v>212175.49383354021</v>
      </c>
      <c r="J16" s="1995">
        <v>70405.506166459789</v>
      </c>
      <c r="K16" s="1996">
        <f t="shared" si="2"/>
        <v>282581</v>
      </c>
    </row>
    <row r="17" spans="1:11" ht="15" x14ac:dyDescent="0.25">
      <c r="A17" s="974" t="s">
        <v>36</v>
      </c>
      <c r="B17" s="975" t="s">
        <v>37</v>
      </c>
      <c r="C17" s="975" t="s">
        <v>264</v>
      </c>
      <c r="D17" s="2006">
        <v>19696</v>
      </c>
      <c r="E17" s="1994">
        <v>0</v>
      </c>
      <c r="F17" s="1994">
        <v>0</v>
      </c>
      <c r="G17" s="1994">
        <v>43094</v>
      </c>
      <c r="H17" s="1994">
        <f t="shared" si="1"/>
        <v>62790</v>
      </c>
      <c r="I17" s="1995">
        <v>47145.771505543504</v>
      </c>
      <c r="J17" s="1995">
        <v>15644.228494456493</v>
      </c>
      <c r="K17" s="1996">
        <f t="shared" si="2"/>
        <v>62790</v>
      </c>
    </row>
    <row r="18" spans="1:11" ht="15" x14ac:dyDescent="0.25">
      <c r="A18" s="974" t="s">
        <v>38</v>
      </c>
      <c r="B18" s="975" t="s">
        <v>39</v>
      </c>
      <c r="C18" s="975" t="s">
        <v>268</v>
      </c>
      <c r="D18" s="2006">
        <v>0</v>
      </c>
      <c r="E18" s="1994">
        <v>0</v>
      </c>
      <c r="F18" s="1994">
        <v>0</v>
      </c>
      <c r="G18" s="1994">
        <v>0</v>
      </c>
      <c r="H18" s="1994">
        <f t="shared" si="1"/>
        <v>0</v>
      </c>
      <c r="I18" s="1995">
        <v>0</v>
      </c>
      <c r="J18" s="1995">
        <v>0</v>
      </c>
      <c r="K18" s="1996">
        <f t="shared" si="2"/>
        <v>0</v>
      </c>
    </row>
    <row r="19" spans="1:11" ht="15" x14ac:dyDescent="0.25">
      <c r="A19" s="974" t="s">
        <v>40</v>
      </c>
      <c r="B19" s="975" t="s">
        <v>41</v>
      </c>
      <c r="C19" s="975" t="s">
        <v>266</v>
      </c>
      <c r="D19" s="2006">
        <v>16826</v>
      </c>
      <c r="E19" s="1994">
        <v>0</v>
      </c>
      <c r="F19" s="1994">
        <v>0</v>
      </c>
      <c r="G19" s="1994">
        <v>11622</v>
      </c>
      <c r="H19" s="1994">
        <f t="shared" si="1"/>
        <v>28448</v>
      </c>
      <c r="I19" s="1995">
        <v>21360.135495934093</v>
      </c>
      <c r="J19" s="1995">
        <v>7087.8645040659067</v>
      </c>
      <c r="K19" s="1996">
        <f t="shared" si="2"/>
        <v>28448</v>
      </c>
    </row>
    <row r="20" spans="1:11" ht="15" x14ac:dyDescent="0.25">
      <c r="A20" s="974" t="s">
        <v>42</v>
      </c>
      <c r="B20" s="975" t="s">
        <v>43</v>
      </c>
      <c r="C20" s="975" t="s">
        <v>265</v>
      </c>
      <c r="D20" s="2006">
        <v>131904</v>
      </c>
      <c r="E20" s="1994">
        <v>997</v>
      </c>
      <c r="F20" s="1994">
        <v>0</v>
      </c>
      <c r="G20" s="1994">
        <v>248824</v>
      </c>
      <c r="H20" s="1994">
        <f t="shared" si="1"/>
        <v>381725</v>
      </c>
      <c r="I20" s="1995">
        <v>286617.60834453884</v>
      </c>
      <c r="J20" s="1995">
        <v>95107.391655461135</v>
      </c>
      <c r="K20" s="1996">
        <f t="shared" si="2"/>
        <v>381725</v>
      </c>
    </row>
    <row r="21" spans="1:11" ht="15" x14ac:dyDescent="0.25">
      <c r="A21" s="974" t="s">
        <v>44</v>
      </c>
      <c r="B21" s="975" t="s">
        <v>45</v>
      </c>
      <c r="C21" s="975" t="s">
        <v>266</v>
      </c>
      <c r="D21" s="2006">
        <v>325248</v>
      </c>
      <c r="E21" s="1994">
        <v>31098</v>
      </c>
      <c r="F21" s="1994">
        <v>0</v>
      </c>
      <c r="G21" s="1994">
        <v>188918</v>
      </c>
      <c r="H21" s="1994">
        <f t="shared" si="1"/>
        <v>545264</v>
      </c>
      <c r="I21" s="1995">
        <v>409410.60605508322</v>
      </c>
      <c r="J21" s="1995">
        <v>135853.39394491678</v>
      </c>
      <c r="K21" s="1996">
        <f t="shared" si="2"/>
        <v>545264</v>
      </c>
    </row>
    <row r="22" spans="1:11" ht="15" x14ac:dyDescent="0.25">
      <c r="A22" s="974" t="s">
        <v>46</v>
      </c>
      <c r="B22" s="975" t="s">
        <v>47</v>
      </c>
      <c r="C22" s="975" t="s">
        <v>268</v>
      </c>
      <c r="D22" s="2006">
        <v>149200</v>
      </c>
      <c r="E22" s="1994">
        <v>172</v>
      </c>
      <c r="F22" s="1994">
        <v>0</v>
      </c>
      <c r="G22" s="1994">
        <v>183779</v>
      </c>
      <c r="H22" s="1994">
        <f t="shared" si="1"/>
        <v>333151</v>
      </c>
      <c r="I22" s="1995">
        <v>250145.89779970256</v>
      </c>
      <c r="J22" s="1995">
        <v>83005.10220029742</v>
      </c>
      <c r="K22" s="1996">
        <f t="shared" si="2"/>
        <v>333151</v>
      </c>
    </row>
    <row r="23" spans="1:11" ht="15" x14ac:dyDescent="0.25">
      <c r="A23" s="974" t="s">
        <v>48</v>
      </c>
      <c r="B23" s="975" t="s">
        <v>269</v>
      </c>
      <c r="C23" s="975" t="s">
        <v>266</v>
      </c>
      <c r="D23" s="2006">
        <v>5221</v>
      </c>
      <c r="E23" s="1994">
        <v>48311</v>
      </c>
      <c r="F23" s="1994">
        <v>0</v>
      </c>
      <c r="G23" s="1994">
        <v>76216</v>
      </c>
      <c r="H23" s="1994">
        <f t="shared" si="1"/>
        <v>129748</v>
      </c>
      <c r="I23" s="1995">
        <v>97421.079173455306</v>
      </c>
      <c r="J23" s="1995">
        <v>32326.920826544687</v>
      </c>
      <c r="K23" s="1996">
        <f t="shared" si="2"/>
        <v>129748</v>
      </c>
    </row>
    <row r="24" spans="1:11" ht="15" x14ac:dyDescent="0.25">
      <c r="A24" s="974" t="s">
        <v>50</v>
      </c>
      <c r="B24" s="975" t="s">
        <v>51</v>
      </c>
      <c r="C24" s="975" t="s">
        <v>265</v>
      </c>
      <c r="D24" s="2006">
        <v>12765</v>
      </c>
      <c r="E24" s="1994">
        <v>0</v>
      </c>
      <c r="F24" s="1994">
        <v>0</v>
      </c>
      <c r="G24" s="1994">
        <v>17751</v>
      </c>
      <c r="H24" s="1994">
        <f t="shared" si="1"/>
        <v>30516</v>
      </c>
      <c r="I24" s="1995">
        <v>22912.890002598593</v>
      </c>
      <c r="J24" s="1995">
        <v>7603.109997401406</v>
      </c>
      <c r="K24" s="1996">
        <f t="shared" si="2"/>
        <v>30516</v>
      </c>
    </row>
    <row r="25" spans="1:11" ht="15" x14ac:dyDescent="0.25">
      <c r="A25" s="974" t="s">
        <v>56</v>
      </c>
      <c r="B25" s="978" t="s">
        <v>295</v>
      </c>
      <c r="C25" s="978" t="s">
        <v>266</v>
      </c>
      <c r="D25" s="2006">
        <v>1851608</v>
      </c>
      <c r="E25" s="1994">
        <v>86999</v>
      </c>
      <c r="F25" s="1994">
        <v>0</v>
      </c>
      <c r="G25" s="1994">
        <v>1103334</v>
      </c>
      <c r="H25" s="1994">
        <f t="shared" si="1"/>
        <v>3041941</v>
      </c>
      <c r="I25" s="1995">
        <v>2284036.5554920295</v>
      </c>
      <c r="J25" s="1995">
        <v>757904.44450797059</v>
      </c>
      <c r="K25" s="1996">
        <f t="shared" si="2"/>
        <v>3041941</v>
      </c>
    </row>
    <row r="26" spans="1:11" ht="15" x14ac:dyDescent="0.25">
      <c r="A26" s="974" t="s">
        <v>58</v>
      </c>
      <c r="B26" s="975" t="s">
        <v>59</v>
      </c>
      <c r="C26" s="975" t="s">
        <v>267</v>
      </c>
      <c r="D26" s="2006">
        <v>31665</v>
      </c>
      <c r="E26" s="1994">
        <v>1333</v>
      </c>
      <c r="F26" s="1994">
        <v>0</v>
      </c>
      <c r="G26" s="1994">
        <v>54224</v>
      </c>
      <c r="H26" s="1994">
        <f t="shared" si="1"/>
        <v>87222</v>
      </c>
      <c r="I26" s="1995">
        <v>65490.499797045959</v>
      </c>
      <c r="J26" s="1995">
        <v>21731.500202954041</v>
      </c>
      <c r="K26" s="1996">
        <f t="shared" si="2"/>
        <v>87222</v>
      </c>
    </row>
    <row r="27" spans="1:11" ht="15" x14ac:dyDescent="0.25">
      <c r="A27" s="974" t="s">
        <v>60</v>
      </c>
      <c r="B27" s="975" t="s">
        <v>61</v>
      </c>
      <c r="C27" s="975" t="s">
        <v>265</v>
      </c>
      <c r="D27" s="2006">
        <v>11725</v>
      </c>
      <c r="E27" s="1994">
        <v>93264</v>
      </c>
      <c r="F27" s="1994">
        <v>0</v>
      </c>
      <c r="G27" s="1994">
        <v>20056</v>
      </c>
      <c r="H27" s="1994">
        <f t="shared" si="1"/>
        <v>125045</v>
      </c>
      <c r="I27" s="1995">
        <v>93889.839113086287</v>
      </c>
      <c r="J27" s="1995">
        <v>31155.160886913713</v>
      </c>
      <c r="K27" s="1996">
        <f t="shared" si="2"/>
        <v>125045</v>
      </c>
    </row>
    <row r="28" spans="1:11" ht="15" x14ac:dyDescent="0.25">
      <c r="A28" s="974" t="s">
        <v>62</v>
      </c>
      <c r="B28" s="975" t="s">
        <v>63</v>
      </c>
      <c r="C28" s="975" t="s">
        <v>267</v>
      </c>
      <c r="D28" s="2006">
        <v>360365</v>
      </c>
      <c r="E28" s="1994">
        <v>748611</v>
      </c>
      <c r="F28" s="1994">
        <v>0</v>
      </c>
      <c r="G28" s="1994">
        <v>589466</v>
      </c>
      <c r="H28" s="1994">
        <f t="shared" si="1"/>
        <v>1698442</v>
      </c>
      <c r="I28" s="1995">
        <v>1275272.4708937462</v>
      </c>
      <c r="J28" s="1995">
        <v>423169.52910625376</v>
      </c>
      <c r="K28" s="1996">
        <f t="shared" si="2"/>
        <v>1698442</v>
      </c>
    </row>
    <row r="29" spans="1:11" ht="15" x14ac:dyDescent="0.25">
      <c r="A29" s="974" t="s">
        <v>64</v>
      </c>
      <c r="B29" s="975" t="s">
        <v>65</v>
      </c>
      <c r="C29" s="975" t="s">
        <v>266</v>
      </c>
      <c r="D29" s="2006">
        <v>31665</v>
      </c>
      <c r="E29" s="1994">
        <v>0</v>
      </c>
      <c r="F29" s="1994">
        <v>0</v>
      </c>
      <c r="G29" s="1994">
        <v>22304</v>
      </c>
      <c r="H29" s="1994">
        <f t="shared" si="1"/>
        <v>53969</v>
      </c>
      <c r="I29" s="1995">
        <v>40522.537703180082</v>
      </c>
      <c r="J29" s="1995">
        <v>13446.462296819915</v>
      </c>
      <c r="K29" s="1996">
        <f t="shared" si="2"/>
        <v>53969</v>
      </c>
    </row>
    <row r="30" spans="1:11" ht="15" x14ac:dyDescent="0.25">
      <c r="A30" s="974" t="s">
        <v>68</v>
      </c>
      <c r="B30" s="975" t="s">
        <v>69</v>
      </c>
      <c r="C30" s="975" t="s">
        <v>268</v>
      </c>
      <c r="D30" s="2006">
        <v>4035</v>
      </c>
      <c r="E30" s="1994">
        <v>10673</v>
      </c>
      <c r="F30" s="1994">
        <v>0</v>
      </c>
      <c r="G30" s="1994">
        <v>10244</v>
      </c>
      <c r="H30" s="1994">
        <f t="shared" si="1"/>
        <v>24952</v>
      </c>
      <c r="I30" s="1995">
        <v>18735.169463391012</v>
      </c>
      <c r="J30" s="1995">
        <v>6216.830536608988</v>
      </c>
      <c r="K30" s="1996">
        <f t="shared" si="2"/>
        <v>24952</v>
      </c>
    </row>
    <row r="31" spans="1:11" ht="15" x14ac:dyDescent="0.25">
      <c r="A31" s="974" t="s">
        <v>70</v>
      </c>
      <c r="B31" s="975" t="s">
        <v>71</v>
      </c>
      <c r="C31" s="975" t="s">
        <v>264</v>
      </c>
      <c r="D31" s="2006">
        <v>42884</v>
      </c>
      <c r="E31" s="1994">
        <v>359</v>
      </c>
      <c r="F31" s="1994">
        <v>0</v>
      </c>
      <c r="G31" s="1994">
        <v>74873</v>
      </c>
      <c r="H31" s="1994">
        <f t="shared" si="1"/>
        <v>118116</v>
      </c>
      <c r="I31" s="1995">
        <v>88687.210497671229</v>
      </c>
      <c r="J31" s="1995">
        <v>29428.789502328764</v>
      </c>
      <c r="K31" s="1996">
        <f t="shared" si="2"/>
        <v>118116</v>
      </c>
    </row>
    <row r="32" spans="1:11" ht="15" x14ac:dyDescent="0.25">
      <c r="A32" s="974" t="s">
        <v>72</v>
      </c>
      <c r="B32" s="975" t="s">
        <v>73</v>
      </c>
      <c r="C32" s="975" t="s">
        <v>266</v>
      </c>
      <c r="D32" s="2006">
        <v>158664</v>
      </c>
      <c r="E32" s="1994">
        <v>23175</v>
      </c>
      <c r="F32" s="1994">
        <v>0</v>
      </c>
      <c r="G32" s="1994">
        <v>147220</v>
      </c>
      <c r="H32" s="1994">
        <f t="shared" si="1"/>
        <v>329059</v>
      </c>
      <c r="I32" s="1995">
        <v>247073.42611630261</v>
      </c>
      <c r="J32" s="1995">
        <v>81985.573883697391</v>
      </c>
      <c r="K32" s="1996">
        <f t="shared" si="2"/>
        <v>329059</v>
      </c>
    </row>
    <row r="33" spans="1:11" ht="15" x14ac:dyDescent="0.25">
      <c r="A33" s="974" t="s">
        <v>74</v>
      </c>
      <c r="B33" s="975" t="s">
        <v>663</v>
      </c>
      <c r="C33" s="975" t="s">
        <v>267</v>
      </c>
      <c r="D33" s="2006">
        <v>5309773</v>
      </c>
      <c r="E33" s="1994">
        <v>1372144</v>
      </c>
      <c r="F33" s="1994">
        <v>0</v>
      </c>
      <c r="G33" s="1994">
        <v>12480651</v>
      </c>
      <c r="H33" s="1994">
        <f t="shared" si="1"/>
        <v>19162568</v>
      </c>
      <c r="I33" s="1995">
        <v>14388183.665988849</v>
      </c>
      <c r="J33" s="1995">
        <v>4774384.3340111505</v>
      </c>
      <c r="K33" s="1996">
        <f t="shared" si="2"/>
        <v>19162568</v>
      </c>
    </row>
    <row r="34" spans="1:11" ht="15" x14ac:dyDescent="0.25">
      <c r="A34" s="974" t="s">
        <v>76</v>
      </c>
      <c r="B34" s="975" t="s">
        <v>77</v>
      </c>
      <c r="C34" s="975" t="s">
        <v>267</v>
      </c>
      <c r="D34" s="2006">
        <v>205983</v>
      </c>
      <c r="E34" s="1994">
        <v>24403</v>
      </c>
      <c r="F34" s="1994">
        <v>0</v>
      </c>
      <c r="G34" s="1994">
        <v>367156</v>
      </c>
      <c r="H34" s="1994">
        <f t="shared" si="1"/>
        <v>597542</v>
      </c>
      <c r="I34" s="1995">
        <v>448663.45910121797</v>
      </c>
      <c r="J34" s="1995">
        <v>148878.540898782</v>
      </c>
      <c r="K34" s="1996">
        <f t="shared" si="2"/>
        <v>597542</v>
      </c>
    </row>
    <row r="35" spans="1:11" ht="15" x14ac:dyDescent="0.25">
      <c r="A35" s="974" t="s">
        <v>78</v>
      </c>
      <c r="B35" s="975" t="s">
        <v>79</v>
      </c>
      <c r="C35" s="975" t="s">
        <v>268</v>
      </c>
      <c r="D35" s="2006">
        <v>9681</v>
      </c>
      <c r="E35" s="1994">
        <v>0</v>
      </c>
      <c r="F35" s="1994">
        <v>0</v>
      </c>
      <c r="G35" s="1994">
        <v>11111</v>
      </c>
      <c r="H35" s="1994">
        <f t="shared" si="1"/>
        <v>20792</v>
      </c>
      <c r="I35" s="1995">
        <v>15611.640088282538</v>
      </c>
      <c r="J35" s="1995">
        <v>5180.3599117174608</v>
      </c>
      <c r="K35" s="1996">
        <f t="shared" si="2"/>
        <v>20792</v>
      </c>
    </row>
    <row r="36" spans="1:11" ht="15" x14ac:dyDescent="0.25">
      <c r="A36" s="974" t="s">
        <v>80</v>
      </c>
      <c r="B36" s="975" t="s">
        <v>81</v>
      </c>
      <c r="C36" s="975" t="s">
        <v>266</v>
      </c>
      <c r="D36" s="2006">
        <v>59066</v>
      </c>
      <c r="E36" s="1994">
        <v>9624</v>
      </c>
      <c r="F36" s="1994">
        <v>0</v>
      </c>
      <c r="G36" s="1994">
        <v>92818</v>
      </c>
      <c r="H36" s="1994">
        <f t="shared" si="1"/>
        <v>161508</v>
      </c>
      <c r="I36" s="1995">
        <v>121268.02459495653</v>
      </c>
      <c r="J36" s="1995">
        <v>40239.975405043464</v>
      </c>
      <c r="K36" s="1996">
        <f t="shared" si="2"/>
        <v>161508</v>
      </c>
    </row>
    <row r="37" spans="1:11" ht="15" x14ac:dyDescent="0.25">
      <c r="A37" s="974" t="s">
        <v>84</v>
      </c>
      <c r="B37" s="975" t="s">
        <v>308</v>
      </c>
      <c r="C37" s="975" t="s">
        <v>265</v>
      </c>
      <c r="D37" s="2006">
        <v>162228</v>
      </c>
      <c r="E37" s="1994">
        <v>11404</v>
      </c>
      <c r="F37" s="1994">
        <v>0</v>
      </c>
      <c r="G37" s="1994">
        <v>181817</v>
      </c>
      <c r="H37" s="1994">
        <f t="shared" ref="H37:H68" si="3">SUM(D37:G37)</f>
        <v>355449</v>
      </c>
      <c r="I37" s="1995">
        <v>266888.31558964698</v>
      </c>
      <c r="J37" s="1995">
        <v>88560.684410353017</v>
      </c>
      <c r="K37" s="1996">
        <f t="shared" ref="K37:K68" si="4">I37+J37</f>
        <v>355449</v>
      </c>
    </row>
    <row r="38" spans="1:11" ht="15" x14ac:dyDescent="0.25">
      <c r="A38" s="974" t="s">
        <v>86</v>
      </c>
      <c r="B38" s="975" t="s">
        <v>87</v>
      </c>
      <c r="C38" s="975" t="s">
        <v>267</v>
      </c>
      <c r="D38" s="2006">
        <v>129649</v>
      </c>
      <c r="E38" s="1994">
        <v>16838</v>
      </c>
      <c r="F38" s="1994">
        <v>0</v>
      </c>
      <c r="G38" s="1994">
        <v>419255</v>
      </c>
      <c r="H38" s="1994">
        <f t="shared" si="3"/>
        <v>565742</v>
      </c>
      <c r="I38" s="1995">
        <v>424786.47974341764</v>
      </c>
      <c r="J38" s="1995">
        <v>140955.52025658233</v>
      </c>
      <c r="K38" s="1996">
        <f t="shared" si="4"/>
        <v>565742</v>
      </c>
    </row>
    <row r="39" spans="1:11" ht="15" x14ac:dyDescent="0.25">
      <c r="A39" s="974" t="s">
        <v>92</v>
      </c>
      <c r="B39" s="975" t="s">
        <v>93</v>
      </c>
      <c r="C39" s="975" t="s">
        <v>268</v>
      </c>
      <c r="D39" s="2006">
        <v>60398</v>
      </c>
      <c r="E39" s="1994">
        <v>10427</v>
      </c>
      <c r="F39" s="1994">
        <v>0</v>
      </c>
      <c r="G39" s="1994">
        <v>43639</v>
      </c>
      <c r="H39" s="1994">
        <f t="shared" si="3"/>
        <v>114464</v>
      </c>
      <c r="I39" s="1995">
        <v>85945.112113561583</v>
      </c>
      <c r="J39" s="1995">
        <v>28518.887886438413</v>
      </c>
      <c r="K39" s="1996">
        <f t="shared" si="4"/>
        <v>114464</v>
      </c>
    </row>
    <row r="40" spans="1:11" ht="15" x14ac:dyDescent="0.25">
      <c r="A40" s="974" t="s">
        <v>94</v>
      </c>
      <c r="B40" s="975" t="s">
        <v>95</v>
      </c>
      <c r="C40" s="975" t="s">
        <v>264</v>
      </c>
      <c r="D40" s="2006">
        <v>200867</v>
      </c>
      <c r="E40" s="1994">
        <v>22534</v>
      </c>
      <c r="F40" s="1994">
        <v>0</v>
      </c>
      <c r="G40" s="1994">
        <v>171777</v>
      </c>
      <c r="H40" s="1994">
        <f t="shared" si="3"/>
        <v>395178</v>
      </c>
      <c r="I40" s="1995">
        <v>296718.77197034034</v>
      </c>
      <c r="J40" s="1995">
        <v>98459.228029659615</v>
      </c>
      <c r="K40" s="1996">
        <f t="shared" si="4"/>
        <v>395177.99999999994</v>
      </c>
    </row>
    <row r="41" spans="1:11" ht="15" x14ac:dyDescent="0.25">
      <c r="A41" s="974" t="s">
        <v>96</v>
      </c>
      <c r="B41" s="975" t="s">
        <v>97</v>
      </c>
      <c r="C41" s="975" t="s">
        <v>266</v>
      </c>
      <c r="D41" s="2006">
        <v>37640</v>
      </c>
      <c r="E41" s="1994">
        <v>0</v>
      </c>
      <c r="F41" s="1994">
        <v>0</v>
      </c>
      <c r="G41" s="1994">
        <v>115582</v>
      </c>
      <c r="H41" s="1994">
        <f t="shared" si="3"/>
        <v>153222</v>
      </c>
      <c r="I41" s="1995">
        <v>115046.49469059384</v>
      </c>
      <c r="J41" s="1995">
        <v>38175.505309406159</v>
      </c>
      <c r="K41" s="1996">
        <f t="shared" si="4"/>
        <v>153222</v>
      </c>
    </row>
    <row r="42" spans="1:11" ht="15" x14ac:dyDescent="0.25">
      <c r="A42" s="974" t="s">
        <v>98</v>
      </c>
      <c r="B42" s="975" t="s">
        <v>99</v>
      </c>
      <c r="C42" s="975" t="s">
        <v>268</v>
      </c>
      <c r="D42" s="2006">
        <v>20005</v>
      </c>
      <c r="E42" s="1994">
        <v>0</v>
      </c>
      <c r="F42" s="1994">
        <v>0</v>
      </c>
      <c r="G42" s="1994">
        <v>16849</v>
      </c>
      <c r="H42" s="1994">
        <f t="shared" si="3"/>
        <v>36854</v>
      </c>
      <c r="I42" s="1995">
        <v>27671.767209194146</v>
      </c>
      <c r="J42" s="1995">
        <v>9182.2327908058542</v>
      </c>
      <c r="K42" s="1996">
        <f t="shared" si="4"/>
        <v>36854</v>
      </c>
    </row>
    <row r="43" spans="1:11" ht="15" x14ac:dyDescent="0.25">
      <c r="A43" s="974" t="s">
        <v>100</v>
      </c>
      <c r="B43" s="975" t="s">
        <v>101</v>
      </c>
      <c r="C43" s="975" t="s">
        <v>267</v>
      </c>
      <c r="D43" s="2006">
        <v>69835</v>
      </c>
      <c r="E43" s="1994">
        <v>434</v>
      </c>
      <c r="F43" s="1994">
        <v>0</v>
      </c>
      <c r="G43" s="1994">
        <v>22358</v>
      </c>
      <c r="H43" s="1994">
        <f t="shared" si="3"/>
        <v>92627</v>
      </c>
      <c r="I43" s="1995">
        <v>69548.835439464543</v>
      </c>
      <c r="J43" s="1995">
        <v>23078.164560535461</v>
      </c>
      <c r="K43" s="1996">
        <f t="shared" si="4"/>
        <v>92627</v>
      </c>
    </row>
    <row r="44" spans="1:11" ht="15" x14ac:dyDescent="0.25">
      <c r="A44" s="974" t="s">
        <v>102</v>
      </c>
      <c r="B44" s="975" t="s">
        <v>103</v>
      </c>
      <c r="C44" s="975" t="s">
        <v>264</v>
      </c>
      <c r="D44" s="2006">
        <v>90077</v>
      </c>
      <c r="E44" s="1994">
        <v>0</v>
      </c>
      <c r="F44" s="1994">
        <v>0</v>
      </c>
      <c r="G44" s="1994">
        <v>103716</v>
      </c>
      <c r="H44" s="1994">
        <f t="shared" si="3"/>
        <v>193793</v>
      </c>
      <c r="I44" s="1995">
        <v>145509.1654303837</v>
      </c>
      <c r="J44" s="1995">
        <v>48283.834569616294</v>
      </c>
      <c r="K44" s="1996">
        <f t="shared" si="4"/>
        <v>193793</v>
      </c>
    </row>
    <row r="45" spans="1:11" ht="15" x14ac:dyDescent="0.25">
      <c r="A45" s="974" t="s">
        <v>104</v>
      </c>
      <c r="B45" s="975" t="s">
        <v>309</v>
      </c>
      <c r="C45" s="975" t="s">
        <v>265</v>
      </c>
      <c r="D45" s="2006">
        <v>83077</v>
      </c>
      <c r="E45" s="1994">
        <v>12174</v>
      </c>
      <c r="F45" s="1994">
        <v>0</v>
      </c>
      <c r="G45" s="1994">
        <v>68531</v>
      </c>
      <c r="H45" s="1994">
        <f t="shared" si="3"/>
        <v>163782</v>
      </c>
      <c r="I45" s="1995">
        <v>122975.45387356151</v>
      </c>
      <c r="J45" s="1995">
        <v>40806.546126438494</v>
      </c>
      <c r="K45" s="1996">
        <f t="shared" si="4"/>
        <v>163782</v>
      </c>
    </row>
    <row r="46" spans="1:11" ht="15" x14ac:dyDescent="0.25">
      <c r="A46" s="974" t="s">
        <v>108</v>
      </c>
      <c r="B46" s="975" t="s">
        <v>109</v>
      </c>
      <c r="C46" s="975" t="s">
        <v>266</v>
      </c>
      <c r="D46" s="2006">
        <v>306396</v>
      </c>
      <c r="E46" s="1994">
        <v>30232</v>
      </c>
      <c r="F46" s="1994">
        <v>0</v>
      </c>
      <c r="G46" s="1994">
        <v>530782</v>
      </c>
      <c r="H46" s="1994">
        <f t="shared" si="3"/>
        <v>867410</v>
      </c>
      <c r="I46" s="1995">
        <v>651293.41713049042</v>
      </c>
      <c r="J46" s="1995">
        <v>216116.58286950956</v>
      </c>
      <c r="K46" s="1996">
        <f t="shared" si="4"/>
        <v>867410</v>
      </c>
    </row>
    <row r="47" spans="1:11" ht="15" x14ac:dyDescent="0.25">
      <c r="A47" s="974" t="s">
        <v>110</v>
      </c>
      <c r="B47" s="978" t="s">
        <v>111</v>
      </c>
      <c r="C47" s="978" t="s">
        <v>266</v>
      </c>
      <c r="D47" s="2006">
        <v>3300846</v>
      </c>
      <c r="E47" s="1994">
        <v>128103</v>
      </c>
      <c r="F47" s="1994">
        <v>0</v>
      </c>
      <c r="G47" s="1994">
        <v>2342972</v>
      </c>
      <c r="H47" s="1994">
        <f t="shared" si="3"/>
        <v>5771921</v>
      </c>
      <c r="I47" s="1995">
        <v>4333837.6909388145</v>
      </c>
      <c r="J47" s="1995">
        <v>1438083.309061185</v>
      </c>
      <c r="K47" s="1996">
        <f t="shared" si="4"/>
        <v>5771921</v>
      </c>
    </row>
    <row r="48" spans="1:11" ht="15" x14ac:dyDescent="0.25">
      <c r="A48" s="974" t="s">
        <v>112</v>
      </c>
      <c r="B48" s="978" t="s">
        <v>300</v>
      </c>
      <c r="C48" s="978" t="s">
        <v>265</v>
      </c>
      <c r="D48" s="2006">
        <v>207409</v>
      </c>
      <c r="E48" s="1994">
        <v>0</v>
      </c>
      <c r="F48" s="1994">
        <v>0</v>
      </c>
      <c r="G48" s="1994">
        <v>172354</v>
      </c>
      <c r="H48" s="1994">
        <f t="shared" si="3"/>
        <v>379763</v>
      </c>
      <c r="I48" s="1995">
        <v>285144.44376906706</v>
      </c>
      <c r="J48" s="1995">
        <v>94618.556230932969</v>
      </c>
      <c r="K48" s="1996">
        <f t="shared" si="4"/>
        <v>379763</v>
      </c>
    </row>
    <row r="49" spans="1:11" ht="15" x14ac:dyDescent="0.25">
      <c r="A49" s="974" t="s">
        <v>114</v>
      </c>
      <c r="B49" s="978" t="s">
        <v>115</v>
      </c>
      <c r="C49" s="978" t="s">
        <v>265</v>
      </c>
      <c r="D49" s="2006"/>
      <c r="E49" s="1994"/>
      <c r="F49" s="1994"/>
      <c r="G49" s="1994"/>
      <c r="H49" s="1994">
        <f t="shared" si="3"/>
        <v>0</v>
      </c>
      <c r="I49" s="1995"/>
      <c r="J49" s="1995"/>
      <c r="K49" s="1996">
        <f t="shared" si="4"/>
        <v>0</v>
      </c>
    </row>
    <row r="50" spans="1:11" ht="15" x14ac:dyDescent="0.25">
      <c r="A50" s="974" t="s">
        <v>118</v>
      </c>
      <c r="B50" s="975" t="s">
        <v>119</v>
      </c>
      <c r="C50" s="975" t="s">
        <v>264</v>
      </c>
      <c r="D50" s="2006">
        <v>34718</v>
      </c>
      <c r="E50" s="1994">
        <v>0</v>
      </c>
      <c r="F50" s="1994">
        <v>0</v>
      </c>
      <c r="G50" s="1994">
        <v>55557</v>
      </c>
      <c r="H50" s="1994">
        <f t="shared" si="3"/>
        <v>90275</v>
      </c>
      <c r="I50" s="1995">
        <v>67782.83998507628</v>
      </c>
      <c r="J50" s="1995">
        <v>22492.160014923709</v>
      </c>
      <c r="K50" s="1996">
        <f t="shared" si="4"/>
        <v>90274.999999999985</v>
      </c>
    </row>
    <row r="51" spans="1:11" ht="15" x14ac:dyDescent="0.25">
      <c r="A51" s="974" t="s">
        <v>120</v>
      </c>
      <c r="B51" s="975" t="s">
        <v>121</v>
      </c>
      <c r="C51" s="975" t="s">
        <v>264</v>
      </c>
      <c r="D51" s="2006">
        <v>194747</v>
      </c>
      <c r="E51" s="1994">
        <v>85284</v>
      </c>
      <c r="F51" s="1994">
        <v>0</v>
      </c>
      <c r="G51" s="1994">
        <v>253769</v>
      </c>
      <c r="H51" s="1994">
        <f t="shared" si="3"/>
        <v>533800</v>
      </c>
      <c r="I51" s="1995">
        <v>400802.87991175544</v>
      </c>
      <c r="J51" s="1995">
        <v>132997.12008824456</v>
      </c>
      <c r="K51" s="1996">
        <f t="shared" si="4"/>
        <v>533800</v>
      </c>
    </row>
    <row r="52" spans="1:11" ht="15" x14ac:dyDescent="0.25">
      <c r="A52" s="974" t="s">
        <v>122</v>
      </c>
      <c r="B52" s="975" t="s">
        <v>271</v>
      </c>
      <c r="C52" s="975" t="s">
        <v>266</v>
      </c>
      <c r="D52" s="2006">
        <v>12535</v>
      </c>
      <c r="E52" s="1994">
        <v>3856</v>
      </c>
      <c r="F52" s="1994">
        <v>0</v>
      </c>
      <c r="G52" s="1994">
        <v>22868</v>
      </c>
      <c r="H52" s="1994">
        <f t="shared" si="3"/>
        <v>39259</v>
      </c>
      <c r="I52" s="1995">
        <v>29477.557629178729</v>
      </c>
      <c r="J52" s="1995">
        <v>9781.4423708212671</v>
      </c>
      <c r="K52" s="1996">
        <f t="shared" si="4"/>
        <v>39259</v>
      </c>
    </row>
    <row r="53" spans="1:11" ht="15" x14ac:dyDescent="0.25">
      <c r="A53" s="974" t="s">
        <v>124</v>
      </c>
      <c r="B53" s="975" t="s">
        <v>125</v>
      </c>
      <c r="C53" s="975" t="s">
        <v>267</v>
      </c>
      <c r="D53" s="2006">
        <v>236268</v>
      </c>
      <c r="E53" s="1994">
        <v>21102</v>
      </c>
      <c r="F53" s="1994">
        <v>0</v>
      </c>
      <c r="G53" s="1994">
        <v>262596</v>
      </c>
      <c r="H53" s="1994">
        <f t="shared" si="3"/>
        <v>519966</v>
      </c>
      <c r="I53" s="1995">
        <v>390415.64304270479</v>
      </c>
      <c r="J53" s="1995">
        <v>129550.35695729518</v>
      </c>
      <c r="K53" s="1996">
        <f t="shared" si="4"/>
        <v>519966</v>
      </c>
    </row>
    <row r="54" spans="1:11" ht="15" x14ac:dyDescent="0.25">
      <c r="A54" s="974" t="s">
        <v>126</v>
      </c>
      <c r="B54" s="975" t="s">
        <v>127</v>
      </c>
      <c r="C54" s="975" t="s">
        <v>266</v>
      </c>
      <c r="D54" s="2006">
        <v>41438</v>
      </c>
      <c r="E54" s="1994">
        <v>23302</v>
      </c>
      <c r="F54" s="1994">
        <v>0</v>
      </c>
      <c r="G54" s="1994">
        <v>77034</v>
      </c>
      <c r="H54" s="1994">
        <f t="shared" si="3"/>
        <v>141774</v>
      </c>
      <c r="I54" s="1995">
        <v>106450.78212178571</v>
      </c>
      <c r="J54" s="1995">
        <v>35323.21787821428</v>
      </c>
      <c r="K54" s="1996">
        <f t="shared" si="4"/>
        <v>141774</v>
      </c>
    </row>
    <row r="55" spans="1:11" ht="15" x14ac:dyDescent="0.25">
      <c r="A55" s="974" t="s">
        <v>128</v>
      </c>
      <c r="B55" s="975" t="s">
        <v>129</v>
      </c>
      <c r="C55" s="975" t="s">
        <v>266</v>
      </c>
      <c r="D55" s="2006">
        <v>25269</v>
      </c>
      <c r="E55" s="1994">
        <v>3384</v>
      </c>
      <c r="F55" s="1994">
        <v>0</v>
      </c>
      <c r="G55" s="1994">
        <v>22027</v>
      </c>
      <c r="H55" s="1994">
        <f t="shared" si="3"/>
        <v>50680</v>
      </c>
      <c r="I55" s="1995">
        <v>38052.997290984946</v>
      </c>
      <c r="J55" s="1995">
        <v>12627.002709015051</v>
      </c>
      <c r="K55" s="1996">
        <f t="shared" si="4"/>
        <v>50680</v>
      </c>
    </row>
    <row r="56" spans="1:11" ht="15" x14ac:dyDescent="0.25">
      <c r="A56" s="974" t="s">
        <v>130</v>
      </c>
      <c r="B56" s="975" t="s">
        <v>131</v>
      </c>
      <c r="C56" s="975" t="s">
        <v>268</v>
      </c>
      <c r="D56" s="2006">
        <v>25266</v>
      </c>
      <c r="E56" s="1994">
        <v>0</v>
      </c>
      <c r="F56" s="1994">
        <v>0</v>
      </c>
      <c r="G56" s="1994">
        <v>13108</v>
      </c>
      <c r="H56" s="1994">
        <f t="shared" si="3"/>
        <v>38374</v>
      </c>
      <c r="I56" s="1995">
        <v>28813.056788560702</v>
      </c>
      <c r="J56" s="1995">
        <v>9560.9432114392966</v>
      </c>
      <c r="K56" s="1996">
        <f t="shared" si="4"/>
        <v>38374</v>
      </c>
    </row>
    <row r="57" spans="1:11" ht="15" x14ac:dyDescent="0.25">
      <c r="A57" s="974" t="s">
        <v>132</v>
      </c>
      <c r="B57" s="975" t="s">
        <v>133</v>
      </c>
      <c r="C57" s="975" t="s">
        <v>267</v>
      </c>
      <c r="D57" s="2006">
        <v>1109859</v>
      </c>
      <c r="E57" s="1994">
        <v>680568</v>
      </c>
      <c r="F57" s="1994">
        <v>0</v>
      </c>
      <c r="G57" s="1994">
        <v>1152589</v>
      </c>
      <c r="H57" s="1994">
        <f t="shared" si="3"/>
        <v>2943016</v>
      </c>
      <c r="I57" s="1995">
        <v>2209758.8767822683</v>
      </c>
      <c r="J57" s="1995">
        <v>733257.1232177316</v>
      </c>
      <c r="K57" s="1996">
        <f t="shared" si="4"/>
        <v>2943016</v>
      </c>
    </row>
    <row r="58" spans="1:11" ht="15" x14ac:dyDescent="0.25">
      <c r="A58" s="974" t="s">
        <v>134</v>
      </c>
      <c r="B58" s="975" t="s">
        <v>135</v>
      </c>
      <c r="C58" s="975" t="s">
        <v>267</v>
      </c>
      <c r="D58" s="2006">
        <v>114571</v>
      </c>
      <c r="E58" s="1994">
        <v>0</v>
      </c>
      <c r="F58" s="1994">
        <v>0</v>
      </c>
      <c r="G58" s="1994">
        <v>10172</v>
      </c>
      <c r="H58" s="1994">
        <f t="shared" si="3"/>
        <v>124743</v>
      </c>
      <c r="I58" s="1995">
        <v>93663.082894027932</v>
      </c>
      <c r="J58" s="1995">
        <v>31079.917105972068</v>
      </c>
      <c r="K58" s="1996">
        <f t="shared" si="4"/>
        <v>124743</v>
      </c>
    </row>
    <row r="59" spans="1:11" ht="15" x14ac:dyDescent="0.25">
      <c r="A59" s="974" t="s">
        <v>136</v>
      </c>
      <c r="B59" s="975" t="s">
        <v>137</v>
      </c>
      <c r="C59" s="975" t="s">
        <v>266</v>
      </c>
      <c r="D59" s="2006">
        <v>0</v>
      </c>
      <c r="E59" s="1994">
        <v>0</v>
      </c>
      <c r="F59" s="1994">
        <v>0</v>
      </c>
      <c r="G59" s="1994">
        <v>8109</v>
      </c>
      <c r="H59" s="1994">
        <f t="shared" si="3"/>
        <v>8109</v>
      </c>
      <c r="I59" s="1995">
        <v>6088.6297362390869</v>
      </c>
      <c r="J59" s="1995">
        <v>2020.3702637609124</v>
      </c>
      <c r="K59" s="1996">
        <f t="shared" si="4"/>
        <v>8108.9999999999991</v>
      </c>
    </row>
    <row r="60" spans="1:11" ht="15" x14ac:dyDescent="0.25">
      <c r="A60" s="974" t="s">
        <v>140</v>
      </c>
      <c r="B60" s="975" t="s">
        <v>141</v>
      </c>
      <c r="C60" s="975" t="s">
        <v>267</v>
      </c>
      <c r="D60" s="2006">
        <v>23252</v>
      </c>
      <c r="E60" s="1994">
        <v>8348</v>
      </c>
      <c r="F60" s="1994">
        <v>0</v>
      </c>
      <c r="G60" s="1994">
        <v>11750</v>
      </c>
      <c r="H60" s="1994">
        <f t="shared" si="3"/>
        <v>43350</v>
      </c>
      <c r="I60" s="1995">
        <v>32549.278464171221</v>
      </c>
      <c r="J60" s="1995">
        <v>10800.721535828778</v>
      </c>
      <c r="K60" s="1996">
        <f t="shared" si="4"/>
        <v>43350</v>
      </c>
    </row>
    <row r="61" spans="1:11" ht="15" x14ac:dyDescent="0.25">
      <c r="A61" s="974" t="s">
        <v>146</v>
      </c>
      <c r="B61" s="975" t="s">
        <v>147</v>
      </c>
      <c r="C61" s="975" t="s">
        <v>264</v>
      </c>
      <c r="D61" s="2006">
        <v>15548</v>
      </c>
      <c r="E61" s="1994">
        <v>0</v>
      </c>
      <c r="F61" s="1994">
        <v>0</v>
      </c>
      <c r="G61" s="1994">
        <v>17109</v>
      </c>
      <c r="H61" s="1994">
        <f t="shared" si="3"/>
        <v>32657</v>
      </c>
      <c r="I61" s="1995">
        <v>24520.456443008989</v>
      </c>
      <c r="J61" s="1995">
        <v>8136.5435569910123</v>
      </c>
      <c r="K61" s="1996">
        <f t="shared" si="4"/>
        <v>32657</v>
      </c>
    </row>
    <row r="62" spans="1:11" ht="15" x14ac:dyDescent="0.25">
      <c r="A62" s="974" t="s">
        <v>148</v>
      </c>
      <c r="B62" s="975" t="s">
        <v>149</v>
      </c>
      <c r="C62" s="975" t="s">
        <v>265</v>
      </c>
      <c r="D62" s="2006">
        <v>24824</v>
      </c>
      <c r="E62" s="1994">
        <v>0</v>
      </c>
      <c r="F62" s="1994">
        <v>0</v>
      </c>
      <c r="G62" s="1994">
        <v>58092</v>
      </c>
      <c r="H62" s="1994">
        <f t="shared" si="3"/>
        <v>82916</v>
      </c>
      <c r="I62" s="1995">
        <v>62257.346554445699</v>
      </c>
      <c r="J62" s="1995">
        <v>20658.653445554301</v>
      </c>
      <c r="K62" s="1996">
        <f t="shared" si="4"/>
        <v>82916</v>
      </c>
    </row>
    <row r="63" spans="1:11" ht="15" x14ac:dyDescent="0.25">
      <c r="A63" s="974" t="s">
        <v>150</v>
      </c>
      <c r="B63" s="975" t="s">
        <v>151</v>
      </c>
      <c r="C63" s="975" t="s">
        <v>266</v>
      </c>
      <c r="D63" s="2006">
        <v>100146</v>
      </c>
      <c r="E63" s="1994">
        <v>37049</v>
      </c>
      <c r="F63" s="1994">
        <v>0</v>
      </c>
      <c r="G63" s="1994">
        <v>47877</v>
      </c>
      <c r="H63" s="1994">
        <f t="shared" si="3"/>
        <v>185072</v>
      </c>
      <c r="I63" s="1995">
        <v>138961.0164687681</v>
      </c>
      <c r="J63" s="1995">
        <v>46110.983531231912</v>
      </c>
      <c r="K63" s="1996">
        <f t="shared" si="4"/>
        <v>185072</v>
      </c>
    </row>
    <row r="64" spans="1:11" ht="15" x14ac:dyDescent="0.25">
      <c r="A64" s="974" t="s">
        <v>152</v>
      </c>
      <c r="B64" s="975" t="s">
        <v>153</v>
      </c>
      <c r="C64" s="975" t="s">
        <v>268</v>
      </c>
      <c r="D64" s="2006">
        <v>300522</v>
      </c>
      <c r="E64" s="1994">
        <v>42670</v>
      </c>
      <c r="F64" s="1994">
        <v>0</v>
      </c>
      <c r="G64" s="1994">
        <v>421614</v>
      </c>
      <c r="H64" s="1994">
        <f t="shared" si="3"/>
        <v>764806</v>
      </c>
      <c r="I64" s="1995">
        <v>574253.36712961784</v>
      </c>
      <c r="J64" s="1995">
        <v>190552.63287038211</v>
      </c>
      <c r="K64" s="1996">
        <f t="shared" si="4"/>
        <v>764806</v>
      </c>
    </row>
    <row r="65" spans="1:11" ht="15" x14ac:dyDescent="0.25">
      <c r="A65" s="974" t="s">
        <v>154</v>
      </c>
      <c r="B65" s="975" t="s">
        <v>155</v>
      </c>
      <c r="C65" s="975" t="s">
        <v>265</v>
      </c>
      <c r="D65" s="2006">
        <v>26208</v>
      </c>
      <c r="E65" s="1994">
        <v>380</v>
      </c>
      <c r="F65" s="1994">
        <v>0</v>
      </c>
      <c r="G65" s="1994">
        <v>35181</v>
      </c>
      <c r="H65" s="1994">
        <f t="shared" si="3"/>
        <v>61769</v>
      </c>
      <c r="I65" s="1995">
        <v>46379.155281508472</v>
      </c>
      <c r="J65" s="1995">
        <v>15389.844718491528</v>
      </c>
      <c r="K65" s="1996">
        <f t="shared" si="4"/>
        <v>61769</v>
      </c>
    </row>
    <row r="66" spans="1:11" ht="15" x14ac:dyDescent="0.25">
      <c r="A66" s="974" t="s">
        <v>156</v>
      </c>
      <c r="B66" s="975" t="s">
        <v>157</v>
      </c>
      <c r="C66" s="975" t="s">
        <v>266</v>
      </c>
      <c r="D66" s="2006">
        <v>171858</v>
      </c>
      <c r="E66" s="1994">
        <v>23736</v>
      </c>
      <c r="F66" s="1994">
        <v>0</v>
      </c>
      <c r="G66" s="1994">
        <v>36939</v>
      </c>
      <c r="H66" s="1994">
        <f t="shared" si="3"/>
        <v>232533</v>
      </c>
      <c r="I66" s="1995">
        <v>174597.03273608137</v>
      </c>
      <c r="J66" s="1995">
        <v>57935.967263918639</v>
      </c>
      <c r="K66" s="1996">
        <f t="shared" si="4"/>
        <v>232533</v>
      </c>
    </row>
    <row r="67" spans="1:11" ht="15" x14ac:dyDescent="0.25">
      <c r="A67" s="974" t="s">
        <v>162</v>
      </c>
      <c r="B67" s="975" t="s">
        <v>163</v>
      </c>
      <c r="C67" s="975" t="s">
        <v>264</v>
      </c>
      <c r="D67" s="2006">
        <v>57229.5</v>
      </c>
      <c r="E67" s="1994">
        <v>0</v>
      </c>
      <c r="F67" s="1994">
        <v>0</v>
      </c>
      <c r="G67" s="1994">
        <v>156163</v>
      </c>
      <c r="H67" s="1994">
        <f t="shared" si="3"/>
        <v>213392.5</v>
      </c>
      <c r="I67" s="1995">
        <v>160225.41879274874</v>
      </c>
      <c r="J67" s="1995">
        <v>53167.081207251264</v>
      </c>
      <c r="K67" s="1996">
        <f t="shared" si="4"/>
        <v>213392.5</v>
      </c>
    </row>
    <row r="68" spans="1:11" ht="15" x14ac:dyDescent="0.25">
      <c r="A68" s="974" t="s">
        <v>164</v>
      </c>
      <c r="B68" s="975" t="s">
        <v>165</v>
      </c>
      <c r="C68" s="975" t="s">
        <v>266</v>
      </c>
      <c r="D68" s="2006">
        <v>8050</v>
      </c>
      <c r="E68" s="1994">
        <v>0</v>
      </c>
      <c r="F68" s="1994">
        <v>0</v>
      </c>
      <c r="G68" s="1994">
        <v>3634</v>
      </c>
      <c r="H68" s="1994">
        <f t="shared" si="3"/>
        <v>11684</v>
      </c>
      <c r="I68" s="1995">
        <v>8772.9127929729311</v>
      </c>
      <c r="J68" s="1995">
        <v>2911.0872070270689</v>
      </c>
      <c r="K68" s="1996">
        <f t="shared" si="4"/>
        <v>11684</v>
      </c>
    </row>
    <row r="69" spans="1:11" ht="15" x14ac:dyDescent="0.25">
      <c r="A69" s="974" t="s">
        <v>168</v>
      </c>
      <c r="B69" s="975" t="s">
        <v>169</v>
      </c>
      <c r="C69" s="975" t="s">
        <v>266</v>
      </c>
      <c r="D69" s="2006">
        <v>37284</v>
      </c>
      <c r="E69" s="1994">
        <v>0</v>
      </c>
      <c r="F69" s="1994">
        <v>0</v>
      </c>
      <c r="G69" s="1994">
        <v>61246</v>
      </c>
      <c r="H69" s="1994">
        <f t="shared" ref="H69:H100" si="5">SUM(D69:G69)</f>
        <v>98530</v>
      </c>
      <c r="I69" s="1995">
        <v>73981.093588807169</v>
      </c>
      <c r="J69" s="1995">
        <v>24548.906411192835</v>
      </c>
      <c r="K69" s="1996">
        <f t="shared" ref="K69:K100" si="6">I69+J69</f>
        <v>98530</v>
      </c>
    </row>
    <row r="70" spans="1:11" ht="15" x14ac:dyDescent="0.25">
      <c r="A70" s="974" t="s">
        <v>170</v>
      </c>
      <c r="B70" s="975" t="s">
        <v>171</v>
      </c>
      <c r="C70" s="975" t="s">
        <v>267</v>
      </c>
      <c r="D70" s="2006">
        <v>145189</v>
      </c>
      <c r="E70" s="1994">
        <v>40118</v>
      </c>
      <c r="F70" s="1994">
        <v>0</v>
      </c>
      <c r="G70" s="1994">
        <v>167840</v>
      </c>
      <c r="H70" s="1994">
        <f t="shared" si="5"/>
        <v>353147</v>
      </c>
      <c r="I70" s="1995">
        <v>265159.8625556326</v>
      </c>
      <c r="J70" s="1995">
        <v>87987.137444367356</v>
      </c>
      <c r="K70" s="1996">
        <f t="shared" si="6"/>
        <v>353146.99999999994</v>
      </c>
    </row>
    <row r="71" spans="1:11" ht="15" x14ac:dyDescent="0.25">
      <c r="A71" s="974" t="s">
        <v>172</v>
      </c>
      <c r="B71" s="975" t="s">
        <v>173</v>
      </c>
      <c r="C71" s="975" t="s">
        <v>267</v>
      </c>
      <c r="D71" s="2006">
        <v>3158</v>
      </c>
      <c r="E71" s="1994">
        <v>0</v>
      </c>
      <c r="F71" s="1994">
        <v>0</v>
      </c>
      <c r="G71" s="1994">
        <v>63162</v>
      </c>
      <c r="H71" s="1994">
        <f t="shared" si="5"/>
        <v>66320</v>
      </c>
      <c r="I71" s="1995">
        <v>49796.266383940841</v>
      </c>
      <c r="J71" s="1995">
        <v>16523.733616059159</v>
      </c>
      <c r="K71" s="1996">
        <f t="shared" si="6"/>
        <v>66320</v>
      </c>
    </row>
    <row r="72" spans="1:11" ht="15" x14ac:dyDescent="0.25">
      <c r="A72" s="974" t="s">
        <v>174</v>
      </c>
      <c r="B72" s="975" t="s">
        <v>175</v>
      </c>
      <c r="C72" s="975" t="s">
        <v>268</v>
      </c>
      <c r="D72" s="2006">
        <v>20559</v>
      </c>
      <c r="E72" s="1994">
        <v>0</v>
      </c>
      <c r="F72" s="1994">
        <v>0</v>
      </c>
      <c r="G72" s="1994">
        <v>8926</v>
      </c>
      <c r="H72" s="1994">
        <f t="shared" si="5"/>
        <v>29485</v>
      </c>
      <c r="I72" s="1995">
        <v>22138.765294488778</v>
      </c>
      <c r="J72" s="1995">
        <v>7346.2347055112223</v>
      </c>
      <c r="K72" s="1996">
        <f t="shared" si="6"/>
        <v>29485</v>
      </c>
    </row>
    <row r="73" spans="1:11" ht="15" x14ac:dyDescent="0.25">
      <c r="A73" s="974" t="s">
        <v>178</v>
      </c>
      <c r="B73" s="975" t="s">
        <v>179</v>
      </c>
      <c r="C73" s="975" t="s">
        <v>265</v>
      </c>
      <c r="D73" s="2006">
        <v>100762</v>
      </c>
      <c r="E73" s="1994">
        <v>10634</v>
      </c>
      <c r="F73" s="1994">
        <v>0</v>
      </c>
      <c r="G73" s="1994">
        <v>139505</v>
      </c>
      <c r="H73" s="1994">
        <f t="shared" si="5"/>
        <v>250901</v>
      </c>
      <c r="I73" s="1995">
        <v>188388.61628463722</v>
      </c>
      <c r="J73" s="1995">
        <v>62512.383715362768</v>
      </c>
      <c r="K73" s="1996">
        <f t="shared" si="6"/>
        <v>250901</v>
      </c>
    </row>
    <row r="74" spans="1:11" ht="15" x14ac:dyDescent="0.25">
      <c r="A74" s="974" t="s">
        <v>182</v>
      </c>
      <c r="B74" s="975" t="s">
        <v>183</v>
      </c>
      <c r="C74" s="975" t="s">
        <v>266</v>
      </c>
      <c r="D74" s="2006">
        <v>44768</v>
      </c>
      <c r="E74" s="1994">
        <v>17999</v>
      </c>
      <c r="F74" s="1994">
        <v>0</v>
      </c>
      <c r="G74" s="1994">
        <v>82559</v>
      </c>
      <c r="H74" s="1994">
        <f t="shared" si="5"/>
        <v>145326</v>
      </c>
      <c r="I74" s="1995">
        <v>109117.79566514757</v>
      </c>
      <c r="J74" s="1995">
        <v>36208.204334852431</v>
      </c>
      <c r="K74" s="1996">
        <f t="shared" si="6"/>
        <v>145326</v>
      </c>
    </row>
    <row r="75" spans="1:11" ht="15" x14ac:dyDescent="0.25">
      <c r="A75" s="974" t="s">
        <v>184</v>
      </c>
      <c r="B75" s="975" t="s">
        <v>185</v>
      </c>
      <c r="C75" s="975" t="s">
        <v>266</v>
      </c>
      <c r="D75" s="2006">
        <v>31558</v>
      </c>
      <c r="E75" s="1994">
        <v>0</v>
      </c>
      <c r="F75" s="1994">
        <v>0</v>
      </c>
      <c r="G75" s="1994">
        <v>30552</v>
      </c>
      <c r="H75" s="1994">
        <f t="shared" si="5"/>
        <v>62110</v>
      </c>
      <c r="I75" s="1995">
        <v>46635.194588458471</v>
      </c>
      <c r="J75" s="1995">
        <v>15474.805411541531</v>
      </c>
      <c r="K75" s="1996">
        <f t="shared" si="6"/>
        <v>62110</v>
      </c>
    </row>
    <row r="76" spans="1:11" ht="15" x14ac:dyDescent="0.25">
      <c r="A76" s="974" t="s">
        <v>186</v>
      </c>
      <c r="B76" s="975" t="s">
        <v>187</v>
      </c>
      <c r="C76" s="975" t="s">
        <v>264</v>
      </c>
      <c r="D76" s="2006">
        <v>61795</v>
      </c>
      <c r="E76" s="1994">
        <v>0</v>
      </c>
      <c r="F76" s="1994">
        <v>0</v>
      </c>
      <c r="G76" s="1994">
        <v>51930</v>
      </c>
      <c r="H76" s="1994">
        <f t="shared" si="5"/>
        <v>113725</v>
      </c>
      <c r="I76" s="1995">
        <v>85390.235140435339</v>
      </c>
      <c r="J76" s="1995">
        <v>28334.764859564653</v>
      </c>
      <c r="K76" s="1996">
        <f t="shared" si="6"/>
        <v>113725</v>
      </c>
    </row>
    <row r="77" spans="1:11" ht="15" x14ac:dyDescent="0.25">
      <c r="A77" s="974" t="s">
        <v>188</v>
      </c>
      <c r="B77" s="975" t="s">
        <v>189</v>
      </c>
      <c r="C77" s="975" t="s">
        <v>267</v>
      </c>
      <c r="D77" s="2006">
        <v>2565614</v>
      </c>
      <c r="E77" s="1994">
        <v>822554</v>
      </c>
      <c r="F77" s="1994">
        <v>0</v>
      </c>
      <c r="G77" s="1994">
        <v>1449613</v>
      </c>
      <c r="H77" s="1994">
        <f t="shared" si="5"/>
        <v>4837781</v>
      </c>
      <c r="I77" s="1995">
        <v>3632440.1595773175</v>
      </c>
      <c r="J77" s="1995">
        <v>1205340.8404226822</v>
      </c>
      <c r="K77" s="1996">
        <f t="shared" si="6"/>
        <v>4837781</v>
      </c>
    </row>
    <row r="78" spans="1:11" ht="15" x14ac:dyDescent="0.25">
      <c r="A78" s="974" t="s">
        <v>190</v>
      </c>
      <c r="B78" s="975" t="s">
        <v>191</v>
      </c>
      <c r="C78" s="975" t="s">
        <v>268</v>
      </c>
      <c r="D78" s="2006">
        <v>90077</v>
      </c>
      <c r="E78" s="1994">
        <v>9353</v>
      </c>
      <c r="F78" s="1994">
        <v>0</v>
      </c>
      <c r="G78" s="1994">
        <v>103189</v>
      </c>
      <c r="H78" s="1994">
        <f t="shared" si="5"/>
        <v>202619</v>
      </c>
      <c r="I78" s="1995">
        <v>152136.15347478451</v>
      </c>
      <c r="J78" s="1995">
        <v>50482.846525215478</v>
      </c>
      <c r="K78" s="1996">
        <f t="shared" si="6"/>
        <v>202619</v>
      </c>
    </row>
    <row r="79" spans="1:11" ht="15" x14ac:dyDescent="0.25">
      <c r="A79" s="974" t="s">
        <v>194</v>
      </c>
      <c r="B79" s="975" t="s">
        <v>195</v>
      </c>
      <c r="C79" s="975" t="s">
        <v>267</v>
      </c>
      <c r="D79" s="2006">
        <v>6362</v>
      </c>
      <c r="E79" s="1994">
        <v>0</v>
      </c>
      <c r="F79" s="1994">
        <v>0</v>
      </c>
      <c r="G79" s="1994">
        <v>71198</v>
      </c>
      <c r="H79" s="1994">
        <f t="shared" si="5"/>
        <v>77560</v>
      </c>
      <c r="I79" s="1995">
        <v>58235.802483993539</v>
      </c>
      <c r="J79" s="1995">
        <v>19324.197516006458</v>
      </c>
      <c r="K79" s="1996">
        <f t="shared" si="6"/>
        <v>77560</v>
      </c>
    </row>
    <row r="80" spans="1:11" ht="15" x14ac:dyDescent="0.25">
      <c r="A80" s="974" t="s">
        <v>198</v>
      </c>
      <c r="B80" s="975" t="s">
        <v>199</v>
      </c>
      <c r="C80" s="975" t="s">
        <v>266</v>
      </c>
      <c r="D80" s="2006">
        <v>760</v>
      </c>
      <c r="E80" s="1994">
        <v>0</v>
      </c>
      <c r="F80" s="1994">
        <v>0</v>
      </c>
      <c r="G80" s="1994">
        <v>25541</v>
      </c>
      <c r="H80" s="1994">
        <f t="shared" si="5"/>
        <v>26301</v>
      </c>
      <c r="I80" s="1995">
        <v>19748.063965078829</v>
      </c>
      <c r="J80" s="1995">
        <v>6552.9360349211693</v>
      </c>
      <c r="K80" s="1996">
        <f t="shared" si="6"/>
        <v>26301</v>
      </c>
    </row>
    <row r="81" spans="1:11" ht="15" x14ac:dyDescent="0.25">
      <c r="A81" s="974" t="s">
        <v>202</v>
      </c>
      <c r="B81" s="975" t="s">
        <v>203</v>
      </c>
      <c r="C81" s="975" t="s">
        <v>265</v>
      </c>
      <c r="D81" s="2006">
        <v>723106</v>
      </c>
      <c r="E81" s="1994">
        <v>83950</v>
      </c>
      <c r="F81" s="1994">
        <v>0</v>
      </c>
      <c r="G81" s="1994">
        <v>917391</v>
      </c>
      <c r="H81" s="1994">
        <f t="shared" si="5"/>
        <v>1724447</v>
      </c>
      <c r="I81" s="1995">
        <v>1294798.2837302114</v>
      </c>
      <c r="J81" s="1995">
        <v>429648.71626978839</v>
      </c>
      <c r="K81" s="1996">
        <f t="shared" si="6"/>
        <v>1724446.9999999998</v>
      </c>
    </row>
    <row r="82" spans="1:11" ht="15" x14ac:dyDescent="0.25">
      <c r="A82" s="974" t="s">
        <v>204</v>
      </c>
      <c r="B82" s="978" t="s">
        <v>205</v>
      </c>
      <c r="C82" s="978" t="s">
        <v>265</v>
      </c>
      <c r="D82" s="2006">
        <v>29247</v>
      </c>
      <c r="E82" s="1994">
        <v>17964</v>
      </c>
      <c r="F82" s="1994">
        <v>0</v>
      </c>
      <c r="G82" s="1994">
        <v>21335</v>
      </c>
      <c r="H82" s="1994">
        <f t="shared" si="5"/>
        <v>68546</v>
      </c>
      <c r="I82" s="1995">
        <v>51467.65493898686</v>
      </c>
      <c r="J82" s="1995">
        <v>17078.345061013133</v>
      </c>
      <c r="K82" s="1996">
        <f t="shared" si="6"/>
        <v>68546</v>
      </c>
    </row>
    <row r="83" spans="1:11" ht="15" x14ac:dyDescent="0.25">
      <c r="A83" s="974" t="s">
        <v>206</v>
      </c>
      <c r="B83" s="978" t="s">
        <v>207</v>
      </c>
      <c r="C83" s="978" t="s">
        <v>267</v>
      </c>
      <c r="D83" s="2006">
        <v>440313</v>
      </c>
      <c r="E83" s="1994">
        <v>35449</v>
      </c>
      <c r="F83" s="1994">
        <v>0</v>
      </c>
      <c r="G83" s="1994">
        <v>314665</v>
      </c>
      <c r="H83" s="1994">
        <f t="shared" si="5"/>
        <v>790427</v>
      </c>
      <c r="I83" s="1995">
        <v>593490.85417761165</v>
      </c>
      <c r="J83" s="1995">
        <v>196936.14582238829</v>
      </c>
      <c r="K83" s="1996">
        <f t="shared" si="6"/>
        <v>790427</v>
      </c>
    </row>
    <row r="84" spans="1:11" ht="15" x14ac:dyDescent="0.25">
      <c r="A84" s="974" t="s">
        <v>208</v>
      </c>
      <c r="B84" s="975" t="s">
        <v>209</v>
      </c>
      <c r="C84" s="975" t="s">
        <v>268</v>
      </c>
      <c r="D84" s="2006">
        <v>19743</v>
      </c>
      <c r="E84" s="1994">
        <v>0</v>
      </c>
      <c r="F84" s="1994">
        <v>0</v>
      </c>
      <c r="G84" s="1994">
        <v>38829</v>
      </c>
      <c r="H84" s="1994">
        <f t="shared" si="5"/>
        <v>58572</v>
      </c>
      <c r="I84" s="1995">
        <v>43978.69292280131</v>
      </c>
      <c r="J84" s="1995">
        <v>14593.307077198688</v>
      </c>
      <c r="K84" s="1996">
        <f t="shared" si="6"/>
        <v>58572</v>
      </c>
    </row>
    <row r="85" spans="1:11" ht="15" x14ac:dyDescent="0.25">
      <c r="A85" s="974" t="s">
        <v>210</v>
      </c>
      <c r="B85" s="975" t="s">
        <v>211</v>
      </c>
      <c r="C85" s="975" t="s">
        <v>268</v>
      </c>
      <c r="D85" s="2006">
        <v>4571</v>
      </c>
      <c r="E85" s="1994">
        <v>0</v>
      </c>
      <c r="F85" s="1994">
        <v>0</v>
      </c>
      <c r="G85" s="1994">
        <v>3458</v>
      </c>
      <c r="H85" s="1994">
        <f t="shared" si="5"/>
        <v>8029</v>
      </c>
      <c r="I85" s="1995">
        <v>6028.5618636408472</v>
      </c>
      <c r="J85" s="1995">
        <v>2000.4381363591524</v>
      </c>
      <c r="K85" s="1996">
        <f t="shared" si="6"/>
        <v>8029</v>
      </c>
    </row>
    <row r="86" spans="1:11" ht="15" x14ac:dyDescent="0.25">
      <c r="A86" s="974" t="s">
        <v>212</v>
      </c>
      <c r="B86" s="975" t="s">
        <v>213</v>
      </c>
      <c r="C86" s="975" t="s">
        <v>267</v>
      </c>
      <c r="D86" s="2006">
        <v>46790</v>
      </c>
      <c r="E86" s="1994">
        <v>427</v>
      </c>
      <c r="F86" s="1994">
        <v>0</v>
      </c>
      <c r="G86" s="1994">
        <v>139038</v>
      </c>
      <c r="H86" s="1994">
        <f t="shared" si="5"/>
        <v>186255</v>
      </c>
      <c r="I86" s="1995">
        <v>139849.27013481455</v>
      </c>
      <c r="J86" s="1995">
        <v>46405.729865185443</v>
      </c>
      <c r="K86" s="1996">
        <f t="shared" si="6"/>
        <v>186255</v>
      </c>
    </row>
    <row r="87" spans="1:11" ht="15" x14ac:dyDescent="0.25">
      <c r="A87" s="974" t="s">
        <v>214</v>
      </c>
      <c r="B87" s="975" t="s">
        <v>215</v>
      </c>
      <c r="C87" s="975" t="s">
        <v>268</v>
      </c>
      <c r="D87" s="2006">
        <v>52285</v>
      </c>
      <c r="E87" s="1994">
        <v>0</v>
      </c>
      <c r="F87" s="1994">
        <v>0</v>
      </c>
      <c r="G87" s="1994">
        <v>38689</v>
      </c>
      <c r="H87" s="1994">
        <f t="shared" si="5"/>
        <v>90974</v>
      </c>
      <c r="I87" s="1995">
        <v>68307.683021903402</v>
      </c>
      <c r="J87" s="1995">
        <v>22666.316978096591</v>
      </c>
      <c r="K87" s="1996">
        <f t="shared" si="6"/>
        <v>90974</v>
      </c>
    </row>
    <row r="88" spans="1:11" ht="15" x14ac:dyDescent="0.25">
      <c r="A88" s="974" t="s">
        <v>216</v>
      </c>
      <c r="B88" s="975" t="s">
        <v>217</v>
      </c>
      <c r="C88" s="975" t="s">
        <v>264</v>
      </c>
      <c r="D88" s="2006">
        <v>35436</v>
      </c>
      <c r="E88" s="1994">
        <v>878</v>
      </c>
      <c r="F88" s="1994">
        <v>0</v>
      </c>
      <c r="G88" s="1994">
        <v>11467</v>
      </c>
      <c r="H88" s="1994">
        <f t="shared" si="5"/>
        <v>47781</v>
      </c>
      <c r="I88" s="1995">
        <v>35876.287757706232</v>
      </c>
      <c r="J88" s="1995">
        <v>11904.712242293766</v>
      </c>
      <c r="K88" s="1996">
        <f t="shared" si="6"/>
        <v>47781</v>
      </c>
    </row>
    <row r="89" spans="1:11" ht="15" x14ac:dyDescent="0.25">
      <c r="A89" s="974" t="s">
        <v>218</v>
      </c>
      <c r="B89" s="975" t="s">
        <v>219</v>
      </c>
      <c r="C89" s="975" t="s">
        <v>267</v>
      </c>
      <c r="D89" s="2006">
        <v>808164</v>
      </c>
      <c r="E89" s="1994">
        <v>45632</v>
      </c>
      <c r="F89" s="1994">
        <v>0</v>
      </c>
      <c r="G89" s="1994">
        <v>150587</v>
      </c>
      <c r="H89" s="1994">
        <f t="shared" si="5"/>
        <v>1004383</v>
      </c>
      <c r="I89" s="1995">
        <v>754139.37604797422</v>
      </c>
      <c r="J89" s="1995">
        <v>250243.62395202572</v>
      </c>
      <c r="K89" s="1996">
        <f t="shared" si="6"/>
        <v>1004383</v>
      </c>
    </row>
    <row r="90" spans="1:11" ht="15" x14ac:dyDescent="0.25">
      <c r="A90" s="974" t="s">
        <v>220</v>
      </c>
      <c r="B90" s="975" t="s">
        <v>221</v>
      </c>
      <c r="C90" s="975" t="s">
        <v>267</v>
      </c>
      <c r="D90" s="2006">
        <v>933158</v>
      </c>
      <c r="E90" s="1994">
        <v>199736</v>
      </c>
      <c r="F90" s="1994">
        <v>0</v>
      </c>
      <c r="G90" s="1994">
        <v>413365</v>
      </c>
      <c r="H90" s="1994">
        <f t="shared" si="5"/>
        <v>1546259</v>
      </c>
      <c r="I90" s="1995">
        <v>1161006.107698522</v>
      </c>
      <c r="J90" s="1995">
        <v>385252.89230147796</v>
      </c>
      <c r="K90" s="1996">
        <f t="shared" si="6"/>
        <v>1546259</v>
      </c>
    </row>
    <row r="91" spans="1:11" ht="15" x14ac:dyDescent="0.25">
      <c r="A91" s="974" t="s">
        <v>224</v>
      </c>
      <c r="B91" s="975" t="s">
        <v>225</v>
      </c>
      <c r="C91" s="975" t="s">
        <v>264</v>
      </c>
      <c r="D91" s="2006">
        <v>22265</v>
      </c>
      <c r="E91" s="1994">
        <v>712</v>
      </c>
      <c r="F91" s="1994">
        <v>0</v>
      </c>
      <c r="G91" s="1994">
        <v>48544</v>
      </c>
      <c r="H91" s="1994">
        <f t="shared" si="5"/>
        <v>71521</v>
      </c>
      <c r="I91" s="1995">
        <v>53701.428951233909</v>
      </c>
      <c r="J91" s="1995">
        <v>17819.571048766091</v>
      </c>
      <c r="K91" s="1996">
        <f t="shared" si="6"/>
        <v>71521</v>
      </c>
    </row>
    <row r="92" spans="1:11" ht="15" x14ac:dyDescent="0.25">
      <c r="A92" s="974" t="s">
        <v>226</v>
      </c>
      <c r="B92" s="975" t="s">
        <v>227</v>
      </c>
      <c r="C92" s="975" t="s">
        <v>264</v>
      </c>
      <c r="D92" s="2006">
        <v>5985</v>
      </c>
      <c r="E92" s="1994">
        <v>0</v>
      </c>
      <c r="F92" s="1994">
        <v>0</v>
      </c>
      <c r="G92" s="1994">
        <v>61641</v>
      </c>
      <c r="H92" s="1994">
        <f t="shared" si="5"/>
        <v>67626</v>
      </c>
      <c r="I92" s="1995">
        <v>50776.874404107104</v>
      </c>
      <c r="J92" s="1995">
        <v>16849.125595892892</v>
      </c>
      <c r="K92" s="1996">
        <f t="shared" si="6"/>
        <v>67626</v>
      </c>
    </row>
    <row r="93" spans="1:11" ht="15" x14ac:dyDescent="0.25">
      <c r="A93" s="974" t="s">
        <v>228</v>
      </c>
      <c r="B93" s="975" t="s">
        <v>229</v>
      </c>
      <c r="C93" s="975" t="s">
        <v>268</v>
      </c>
      <c r="D93" s="2006">
        <v>157977</v>
      </c>
      <c r="E93" s="1994">
        <v>0</v>
      </c>
      <c r="F93" s="1994">
        <v>0</v>
      </c>
      <c r="G93" s="1994">
        <v>78238</v>
      </c>
      <c r="H93" s="1994">
        <f t="shared" si="5"/>
        <v>236215</v>
      </c>
      <c r="I93" s="1995">
        <v>177361.65657241535</v>
      </c>
      <c r="J93" s="1995">
        <v>58853.343427584652</v>
      </c>
      <c r="K93" s="1996">
        <f t="shared" si="6"/>
        <v>236215</v>
      </c>
    </row>
    <row r="94" spans="1:11" ht="15" x14ac:dyDescent="0.25">
      <c r="A94" s="974" t="s">
        <v>232</v>
      </c>
      <c r="B94" s="975" t="s">
        <v>233</v>
      </c>
      <c r="C94" s="975" t="s">
        <v>267</v>
      </c>
      <c r="D94" s="2006">
        <v>259102</v>
      </c>
      <c r="E94" s="1994">
        <v>0</v>
      </c>
      <c r="F94" s="1994">
        <v>0</v>
      </c>
      <c r="G94" s="1994">
        <v>439896</v>
      </c>
      <c r="H94" s="1994">
        <f t="shared" si="5"/>
        <v>698998</v>
      </c>
      <c r="I94" s="1995">
        <v>524841.5351303058</v>
      </c>
      <c r="J94" s="1995">
        <v>174156.4648696942</v>
      </c>
      <c r="K94" s="1996">
        <f t="shared" si="6"/>
        <v>698998</v>
      </c>
    </row>
    <row r="95" spans="1:11" ht="15" x14ac:dyDescent="0.25">
      <c r="A95" s="974" t="s">
        <v>234</v>
      </c>
      <c r="B95" s="975" t="s">
        <v>235</v>
      </c>
      <c r="C95" s="975" t="s">
        <v>268</v>
      </c>
      <c r="D95" s="2006">
        <v>65162</v>
      </c>
      <c r="E95" s="1994">
        <v>210</v>
      </c>
      <c r="F95" s="1994">
        <v>0</v>
      </c>
      <c r="G95" s="1994">
        <v>83474</v>
      </c>
      <c r="H95" s="1994">
        <f t="shared" si="5"/>
        <v>148846</v>
      </c>
      <c r="I95" s="1995">
        <v>111760.78205947012</v>
      </c>
      <c r="J95" s="1995">
        <v>37085.217940529874</v>
      </c>
      <c r="K95" s="1996">
        <f t="shared" si="6"/>
        <v>148846</v>
      </c>
    </row>
    <row r="96" spans="1:11" ht="15" x14ac:dyDescent="0.25">
      <c r="A96" s="974" t="s">
        <v>236</v>
      </c>
      <c r="B96" s="975" t="s">
        <v>237</v>
      </c>
      <c r="C96" s="975" t="s">
        <v>266</v>
      </c>
      <c r="D96" s="2006">
        <v>45834</v>
      </c>
      <c r="E96" s="1994">
        <v>912</v>
      </c>
      <c r="F96" s="1994">
        <v>0</v>
      </c>
      <c r="G96" s="1994">
        <v>90476</v>
      </c>
      <c r="H96" s="1994">
        <f t="shared" si="5"/>
        <v>137222</v>
      </c>
      <c r="I96" s="1995">
        <v>103032.92017094587</v>
      </c>
      <c r="J96" s="1995">
        <v>34189.079829054128</v>
      </c>
      <c r="K96" s="1996">
        <f t="shared" si="6"/>
        <v>137222</v>
      </c>
    </row>
    <row r="97" spans="1:11" ht="15" x14ac:dyDescent="0.25">
      <c r="A97" s="974" t="s">
        <v>242</v>
      </c>
      <c r="B97" s="975" t="s">
        <v>243</v>
      </c>
      <c r="C97" s="975" t="s">
        <v>268</v>
      </c>
      <c r="D97" s="2006">
        <v>98002</v>
      </c>
      <c r="E97" s="1994">
        <v>2185</v>
      </c>
      <c r="F97" s="1994">
        <v>0</v>
      </c>
      <c r="G97" s="1994">
        <v>47889</v>
      </c>
      <c r="H97" s="1994">
        <f t="shared" si="5"/>
        <v>148076</v>
      </c>
      <c r="I97" s="1995">
        <v>111182.62878571206</v>
      </c>
      <c r="J97" s="1995">
        <v>36893.371214287938</v>
      </c>
      <c r="K97" s="1996">
        <f t="shared" si="6"/>
        <v>148076</v>
      </c>
    </row>
    <row r="98" spans="1:11" ht="15" x14ac:dyDescent="0.25">
      <c r="A98" s="974" t="s">
        <v>244</v>
      </c>
      <c r="B98" s="975" t="s">
        <v>245</v>
      </c>
      <c r="C98" s="975" t="s">
        <v>268</v>
      </c>
      <c r="D98" s="2006">
        <v>64158</v>
      </c>
      <c r="E98" s="1994">
        <v>6047</v>
      </c>
      <c r="F98" s="1994">
        <v>0</v>
      </c>
      <c r="G98" s="1994">
        <v>110144</v>
      </c>
      <c r="H98" s="1994">
        <f t="shared" si="5"/>
        <v>180349</v>
      </c>
      <c r="I98" s="1995">
        <v>135414.7594402495</v>
      </c>
      <c r="J98" s="1995">
        <v>44934.240559750499</v>
      </c>
      <c r="K98" s="1996">
        <f t="shared" si="6"/>
        <v>180349</v>
      </c>
    </row>
    <row r="99" spans="1:11" ht="15" x14ac:dyDescent="0.25">
      <c r="A99" s="974" t="s">
        <v>246</v>
      </c>
      <c r="B99" s="975" t="s">
        <v>310</v>
      </c>
      <c r="C99" s="975" t="s">
        <v>264</v>
      </c>
      <c r="D99" s="2006">
        <v>188087</v>
      </c>
      <c r="E99" s="1994">
        <v>82020</v>
      </c>
      <c r="F99" s="1994">
        <v>0</v>
      </c>
      <c r="G99" s="1994">
        <v>281206</v>
      </c>
      <c r="H99" s="1994">
        <f t="shared" si="5"/>
        <v>551313</v>
      </c>
      <c r="I99" s="1995">
        <v>413952.48807191761</v>
      </c>
      <c r="J99" s="1995">
        <v>137360.51192808236</v>
      </c>
      <c r="K99" s="1996">
        <f t="shared" si="6"/>
        <v>551313</v>
      </c>
    </row>
    <row r="100" spans="1:11" ht="15" x14ac:dyDescent="0.25">
      <c r="A100" s="974" t="s">
        <v>14</v>
      </c>
      <c r="B100" s="975" t="s">
        <v>15</v>
      </c>
      <c r="C100" s="975" t="s">
        <v>267</v>
      </c>
      <c r="D100" s="2006">
        <v>1262614</v>
      </c>
      <c r="E100" s="1994">
        <v>247179</v>
      </c>
      <c r="F100" s="1994">
        <v>0</v>
      </c>
      <c r="G100" s="1994">
        <v>1601782</v>
      </c>
      <c r="H100" s="1994">
        <f t="shared" si="5"/>
        <v>3111575</v>
      </c>
      <c r="I100" s="1995">
        <v>2336321.133498352</v>
      </c>
      <c r="J100" s="1995">
        <v>775253.86650164775</v>
      </c>
      <c r="K100" s="1996">
        <f t="shared" si="6"/>
        <v>3111575</v>
      </c>
    </row>
    <row r="101" spans="1:11" ht="15" x14ac:dyDescent="0.25">
      <c r="A101" s="974" t="s">
        <v>34</v>
      </c>
      <c r="B101" s="975" t="s">
        <v>35</v>
      </c>
      <c r="C101" s="975" t="s">
        <v>268</v>
      </c>
      <c r="D101" s="2006">
        <v>280978.83</v>
      </c>
      <c r="E101" s="1994">
        <v>37376</v>
      </c>
      <c r="F101" s="1994">
        <v>0</v>
      </c>
      <c r="G101" s="1994">
        <v>256484</v>
      </c>
      <c r="H101" s="1994">
        <f t="shared" ref="H101:H124" si="7">SUM(D101:G101)</f>
        <v>574838.83000000007</v>
      </c>
      <c r="I101" s="1995">
        <v>431616.82006201579</v>
      </c>
      <c r="J101" s="1995">
        <v>143222.00993798426</v>
      </c>
      <c r="K101" s="1996">
        <f t="shared" ref="K101:K124" si="8">I101+J101</f>
        <v>574838.83000000007</v>
      </c>
    </row>
    <row r="102" spans="1:11" ht="15" x14ac:dyDescent="0.25">
      <c r="A102" s="974" t="s">
        <v>52</v>
      </c>
      <c r="B102" s="975" t="s">
        <v>53</v>
      </c>
      <c r="C102" s="975" t="s">
        <v>265</v>
      </c>
      <c r="D102" s="2006">
        <v>415917</v>
      </c>
      <c r="E102" s="1994">
        <v>11304</v>
      </c>
      <c r="F102" s="1994">
        <v>0</v>
      </c>
      <c r="G102" s="1994">
        <v>459589</v>
      </c>
      <c r="H102" s="1994">
        <f t="shared" si="7"/>
        <v>886810</v>
      </c>
      <c r="I102" s="1995">
        <v>665859.87623556354</v>
      </c>
      <c r="J102" s="1995">
        <v>220950.1237644364</v>
      </c>
      <c r="K102" s="1996">
        <f t="shared" si="8"/>
        <v>886810</v>
      </c>
    </row>
    <row r="103" spans="1:11" ht="15" x14ac:dyDescent="0.25">
      <c r="A103" s="974" t="s">
        <v>54</v>
      </c>
      <c r="B103" s="975" t="s">
        <v>55</v>
      </c>
      <c r="C103" s="975" t="s">
        <v>264</v>
      </c>
      <c r="D103" s="2006">
        <v>1592609</v>
      </c>
      <c r="E103" s="1994">
        <v>30497</v>
      </c>
      <c r="F103" s="1994">
        <v>0</v>
      </c>
      <c r="G103" s="1994">
        <v>1864180</v>
      </c>
      <c r="H103" s="1994">
        <f t="shared" si="7"/>
        <v>3487286</v>
      </c>
      <c r="I103" s="1995">
        <v>2618423.1395203182</v>
      </c>
      <c r="J103" s="1995">
        <v>868862.86047968152</v>
      </c>
      <c r="K103" s="1996">
        <f t="shared" si="8"/>
        <v>3487286</v>
      </c>
    </row>
    <row r="104" spans="1:11" ht="15" x14ac:dyDescent="0.25">
      <c r="A104" s="974" t="s">
        <v>66</v>
      </c>
      <c r="B104" s="975" t="s">
        <v>67</v>
      </c>
      <c r="C104" s="975" t="s">
        <v>265</v>
      </c>
      <c r="D104" s="2006">
        <v>280435</v>
      </c>
      <c r="E104" s="1994">
        <v>39607</v>
      </c>
      <c r="F104" s="1994">
        <v>0</v>
      </c>
      <c r="G104" s="1994">
        <v>412431</v>
      </c>
      <c r="H104" s="1994">
        <f t="shared" si="7"/>
        <v>732473</v>
      </c>
      <c r="I104" s="1995">
        <v>549976.18557063176</v>
      </c>
      <c r="J104" s="1995">
        <v>182496.81442936821</v>
      </c>
      <c r="K104" s="1996">
        <f t="shared" si="8"/>
        <v>732473</v>
      </c>
    </row>
    <row r="105" spans="1:11" ht="15" x14ac:dyDescent="0.25">
      <c r="A105" s="974" t="s">
        <v>82</v>
      </c>
      <c r="B105" s="975" t="s">
        <v>311</v>
      </c>
      <c r="C105" s="975" t="s">
        <v>264</v>
      </c>
      <c r="D105" s="2006">
        <v>66566</v>
      </c>
      <c r="E105" s="1994">
        <v>0</v>
      </c>
      <c r="F105" s="1994">
        <v>0</v>
      </c>
      <c r="G105" s="1994">
        <v>51793</v>
      </c>
      <c r="H105" s="1994">
        <f t="shared" si="7"/>
        <v>118359</v>
      </c>
      <c r="I105" s="1995">
        <v>88869.666660688381</v>
      </c>
      <c r="J105" s="1995">
        <v>29489.333339311608</v>
      </c>
      <c r="K105" s="1996">
        <f t="shared" si="8"/>
        <v>118358.99999999999</v>
      </c>
    </row>
    <row r="106" spans="1:11" ht="15" x14ac:dyDescent="0.25">
      <c r="A106" s="974" t="s">
        <v>88</v>
      </c>
      <c r="B106" s="975" t="s">
        <v>89</v>
      </c>
      <c r="C106" s="975" t="s">
        <v>267</v>
      </c>
      <c r="D106" s="2006">
        <v>466732</v>
      </c>
      <c r="E106" s="1994">
        <v>320858</v>
      </c>
      <c r="F106" s="1994">
        <v>0</v>
      </c>
      <c r="G106" s="1994">
        <v>146706</v>
      </c>
      <c r="H106" s="1994">
        <f t="shared" si="7"/>
        <v>934296</v>
      </c>
      <c r="I106" s="1995">
        <v>701514.66371306381</v>
      </c>
      <c r="J106" s="1995">
        <v>232781.33628693619</v>
      </c>
      <c r="K106" s="1996">
        <f t="shared" si="8"/>
        <v>934296</v>
      </c>
    </row>
    <row r="107" spans="1:11" ht="15" x14ac:dyDescent="0.25">
      <c r="A107" s="974" t="s">
        <v>90</v>
      </c>
      <c r="B107" s="975" t="s">
        <v>91</v>
      </c>
      <c r="C107" s="975" t="s">
        <v>268</v>
      </c>
      <c r="D107" s="2006">
        <v>36089</v>
      </c>
      <c r="E107" s="1994">
        <v>1199</v>
      </c>
      <c r="F107" s="1994">
        <v>0</v>
      </c>
      <c r="G107" s="1994">
        <v>54304</v>
      </c>
      <c r="H107" s="1994">
        <f t="shared" si="7"/>
        <v>91592</v>
      </c>
      <c r="I107" s="1995">
        <v>68771.707337724816</v>
      </c>
      <c r="J107" s="1995">
        <v>22820.292662275187</v>
      </c>
      <c r="K107" s="1996">
        <f t="shared" si="8"/>
        <v>91592</v>
      </c>
    </row>
    <row r="108" spans="1:11" ht="15" x14ac:dyDescent="0.25">
      <c r="A108" s="974" t="s">
        <v>106</v>
      </c>
      <c r="B108" s="975" t="s">
        <v>107</v>
      </c>
      <c r="C108" s="975" t="s">
        <v>264</v>
      </c>
      <c r="D108" s="2006">
        <v>2069566</v>
      </c>
      <c r="E108" s="1994">
        <v>0</v>
      </c>
      <c r="F108" s="1994">
        <v>0</v>
      </c>
      <c r="G108" s="1994">
        <v>372407</v>
      </c>
      <c r="H108" s="1994">
        <f t="shared" si="7"/>
        <v>2441973</v>
      </c>
      <c r="I108" s="1995">
        <v>1833551.5381542696</v>
      </c>
      <c r="J108" s="1995">
        <v>608421.4618457302</v>
      </c>
      <c r="K108" s="1996">
        <f t="shared" si="8"/>
        <v>2441973</v>
      </c>
    </row>
    <row r="109" spans="1:11" ht="15" x14ac:dyDescent="0.25">
      <c r="A109" s="974" t="s">
        <v>116</v>
      </c>
      <c r="B109" s="975" t="s">
        <v>117</v>
      </c>
      <c r="C109" s="975" t="s">
        <v>266</v>
      </c>
      <c r="D109" s="2006">
        <v>341081</v>
      </c>
      <c r="E109" s="1994">
        <v>79758</v>
      </c>
      <c r="F109" s="1994">
        <v>0</v>
      </c>
      <c r="G109" s="1994">
        <v>176102</v>
      </c>
      <c r="H109" s="1994">
        <f t="shared" si="7"/>
        <v>596941</v>
      </c>
      <c r="I109" s="1995">
        <v>448212.19920832373</v>
      </c>
      <c r="J109" s="1995">
        <v>148728.80079167627</v>
      </c>
      <c r="K109" s="1996">
        <f t="shared" si="8"/>
        <v>596941</v>
      </c>
    </row>
    <row r="110" spans="1:11" ht="15" x14ac:dyDescent="0.25">
      <c r="A110" s="974" t="s">
        <v>138</v>
      </c>
      <c r="B110" s="975" t="s">
        <v>139</v>
      </c>
      <c r="C110" s="975" t="s">
        <v>265</v>
      </c>
      <c r="D110" s="2006">
        <v>495121</v>
      </c>
      <c r="E110" s="1994">
        <v>26292</v>
      </c>
      <c r="F110" s="1994">
        <v>0</v>
      </c>
      <c r="G110" s="1994">
        <v>604135</v>
      </c>
      <c r="H110" s="1994">
        <f t="shared" si="7"/>
        <v>1125548</v>
      </c>
      <c r="I110" s="1995">
        <v>845115.92334004596</v>
      </c>
      <c r="J110" s="1995">
        <v>280432.07665995404</v>
      </c>
      <c r="K110" s="1996">
        <f t="shared" si="8"/>
        <v>1125548</v>
      </c>
    </row>
    <row r="111" spans="1:11" ht="15" x14ac:dyDescent="0.25">
      <c r="A111" s="974" t="s">
        <v>142</v>
      </c>
      <c r="B111" s="975" t="s">
        <v>143</v>
      </c>
      <c r="C111" s="975" t="s">
        <v>267</v>
      </c>
      <c r="D111" s="2006">
        <v>323082</v>
      </c>
      <c r="E111" s="1994">
        <v>44787</v>
      </c>
      <c r="F111" s="1994">
        <v>0</v>
      </c>
      <c r="G111" s="1994">
        <v>942722</v>
      </c>
      <c r="H111" s="1994">
        <f t="shared" si="7"/>
        <v>1310591</v>
      </c>
      <c r="I111" s="1995">
        <v>984055.16520499717</v>
      </c>
      <c r="J111" s="1995">
        <v>326535.83479500283</v>
      </c>
      <c r="K111" s="1996">
        <f t="shared" si="8"/>
        <v>1310591</v>
      </c>
    </row>
    <row r="112" spans="1:11" ht="15" x14ac:dyDescent="0.25">
      <c r="A112" s="974" t="s">
        <v>144</v>
      </c>
      <c r="B112" s="975" t="s">
        <v>145</v>
      </c>
      <c r="C112" s="975" t="s">
        <v>267</v>
      </c>
      <c r="D112" s="2006">
        <v>55699</v>
      </c>
      <c r="E112" s="1994">
        <v>29663</v>
      </c>
      <c r="F112" s="1994">
        <v>0</v>
      </c>
      <c r="G112" s="1994">
        <v>111979</v>
      </c>
      <c r="H112" s="1994">
        <f t="shared" si="7"/>
        <v>197341</v>
      </c>
      <c r="I112" s="1995">
        <v>148173.17558011564</v>
      </c>
      <c r="J112" s="1995">
        <v>49167.824419884353</v>
      </c>
      <c r="K112" s="1996">
        <f t="shared" si="8"/>
        <v>197341</v>
      </c>
    </row>
    <row r="113" spans="1:11" ht="15" x14ac:dyDescent="0.25">
      <c r="A113" s="974" t="s">
        <v>158</v>
      </c>
      <c r="B113" s="975" t="s">
        <v>159</v>
      </c>
      <c r="C113" s="975" t="s">
        <v>264</v>
      </c>
      <c r="D113" s="2006">
        <v>2892928</v>
      </c>
      <c r="E113" s="1994">
        <v>188371</v>
      </c>
      <c r="F113" s="1994">
        <v>0</v>
      </c>
      <c r="G113" s="1994">
        <v>1899290</v>
      </c>
      <c r="H113" s="1994">
        <f t="shared" si="7"/>
        <v>4980589</v>
      </c>
      <c r="I113" s="1995">
        <v>3739667.3189524356</v>
      </c>
      <c r="J113" s="1995">
        <v>1240921.6810475644</v>
      </c>
      <c r="K113" s="1996">
        <f t="shared" si="8"/>
        <v>4980589</v>
      </c>
    </row>
    <row r="114" spans="1:11" ht="15" x14ac:dyDescent="0.25">
      <c r="A114" s="974" t="s">
        <v>160</v>
      </c>
      <c r="B114" s="975" t="s">
        <v>161</v>
      </c>
      <c r="C114" s="975" t="s">
        <v>264</v>
      </c>
      <c r="D114" s="2006">
        <v>3128690</v>
      </c>
      <c r="E114" s="1994">
        <v>24042</v>
      </c>
      <c r="F114" s="1994">
        <v>0</v>
      </c>
      <c r="G114" s="1994">
        <v>2552378</v>
      </c>
      <c r="H114" s="1994">
        <f t="shared" si="7"/>
        <v>5705110</v>
      </c>
      <c r="I114" s="1995">
        <v>4283672.7579868026</v>
      </c>
      <c r="J114" s="1995">
        <v>1421437.2420131976</v>
      </c>
      <c r="K114" s="1996">
        <f t="shared" si="8"/>
        <v>5705110</v>
      </c>
    </row>
    <row r="115" spans="1:11" ht="15" x14ac:dyDescent="0.25">
      <c r="A115" s="974" t="s">
        <v>166</v>
      </c>
      <c r="B115" s="975" t="s">
        <v>167</v>
      </c>
      <c r="C115" s="975" t="s">
        <v>268</v>
      </c>
      <c r="D115" s="2006">
        <v>9736</v>
      </c>
      <c r="E115" s="1994">
        <v>0</v>
      </c>
      <c r="F115" s="1994">
        <v>0</v>
      </c>
      <c r="G115" s="1994">
        <v>4549</v>
      </c>
      <c r="H115" s="1994">
        <f t="shared" si="7"/>
        <v>14285</v>
      </c>
      <c r="I115" s="1995">
        <v>10725.869500823204</v>
      </c>
      <c r="J115" s="1995">
        <v>3559.1304991767956</v>
      </c>
      <c r="K115" s="1996">
        <f t="shared" si="8"/>
        <v>14285</v>
      </c>
    </row>
    <row r="116" spans="1:11" ht="15" x14ac:dyDescent="0.25">
      <c r="A116" s="974" t="s">
        <v>176</v>
      </c>
      <c r="B116" s="975" t="s">
        <v>177</v>
      </c>
      <c r="C116" s="975" t="s">
        <v>266</v>
      </c>
      <c r="D116" s="2006">
        <v>463283</v>
      </c>
      <c r="E116" s="1994">
        <v>29397</v>
      </c>
      <c r="F116" s="1994">
        <v>0</v>
      </c>
      <c r="G116" s="1994">
        <v>324465</v>
      </c>
      <c r="H116" s="1994">
        <f t="shared" si="7"/>
        <v>817145</v>
      </c>
      <c r="I116" s="1995">
        <v>613552.02192860888</v>
      </c>
      <c r="J116" s="1995">
        <v>203592.97807139115</v>
      </c>
      <c r="K116" s="1996">
        <f t="shared" si="8"/>
        <v>817145</v>
      </c>
    </row>
    <row r="117" spans="1:11" ht="15" x14ac:dyDescent="0.25">
      <c r="A117" s="974" t="s">
        <v>180</v>
      </c>
      <c r="B117" s="975" t="s">
        <v>181</v>
      </c>
      <c r="C117" s="975" t="s">
        <v>264</v>
      </c>
      <c r="D117" s="2006">
        <v>1467599.5</v>
      </c>
      <c r="E117" s="1994">
        <v>186948</v>
      </c>
      <c r="F117" s="1994">
        <v>0</v>
      </c>
      <c r="G117" s="1994">
        <v>535386</v>
      </c>
      <c r="H117" s="1994">
        <f t="shared" si="7"/>
        <v>2189933.5</v>
      </c>
      <c r="I117" s="1995">
        <v>1644308.0809577187</v>
      </c>
      <c r="J117" s="1995">
        <v>545625.41904228122</v>
      </c>
      <c r="K117" s="1996">
        <f t="shared" si="8"/>
        <v>2189933.5</v>
      </c>
    </row>
    <row r="118" spans="1:11" ht="15" x14ac:dyDescent="0.25">
      <c r="A118" s="974" t="s">
        <v>192</v>
      </c>
      <c r="B118" s="975" t="s">
        <v>193</v>
      </c>
      <c r="C118" s="975" t="s">
        <v>268</v>
      </c>
      <c r="D118" s="2006">
        <v>61621</v>
      </c>
      <c r="E118" s="1994">
        <v>1617</v>
      </c>
      <c r="F118" s="1994">
        <v>0</v>
      </c>
      <c r="G118" s="1994">
        <v>34176</v>
      </c>
      <c r="H118" s="1994">
        <f t="shared" si="7"/>
        <v>97414</v>
      </c>
      <c r="I118" s="1995">
        <v>73143.14676606172</v>
      </c>
      <c r="J118" s="1995">
        <v>24270.85323393828</v>
      </c>
      <c r="K118" s="1996">
        <f t="shared" si="8"/>
        <v>97414</v>
      </c>
    </row>
    <row r="119" spans="1:11" ht="15" x14ac:dyDescent="0.25">
      <c r="A119" s="974" t="s">
        <v>196</v>
      </c>
      <c r="B119" s="975" t="s">
        <v>312</v>
      </c>
      <c r="C119" s="975" t="s">
        <v>266</v>
      </c>
      <c r="D119" s="2006">
        <v>3650400</v>
      </c>
      <c r="E119" s="1994">
        <v>60187</v>
      </c>
      <c r="F119" s="1994">
        <v>0</v>
      </c>
      <c r="G119" s="1994">
        <v>1839979</v>
      </c>
      <c r="H119" s="1994">
        <f t="shared" si="7"/>
        <v>5550566</v>
      </c>
      <c r="I119" s="1995">
        <v>4167633.6417015223</v>
      </c>
      <c r="J119" s="1995">
        <v>1382932.3582984773</v>
      </c>
      <c r="K119" s="1996">
        <f t="shared" si="8"/>
        <v>5550566</v>
      </c>
    </row>
    <row r="120" spans="1:11" ht="15" x14ac:dyDescent="0.25">
      <c r="A120" s="974" t="s">
        <v>200</v>
      </c>
      <c r="B120" s="975" t="s">
        <v>313</v>
      </c>
      <c r="C120" s="975" t="s">
        <v>265</v>
      </c>
      <c r="D120" s="2006">
        <v>2047687</v>
      </c>
      <c r="E120" s="1994">
        <v>299267</v>
      </c>
      <c r="F120" s="1994">
        <v>0</v>
      </c>
      <c r="G120" s="1994">
        <v>1294719</v>
      </c>
      <c r="H120" s="1994">
        <f t="shared" si="7"/>
        <v>3641673</v>
      </c>
      <c r="I120" s="1995">
        <v>2734344.3726056241</v>
      </c>
      <c r="J120" s="1995">
        <v>907328.62739437574</v>
      </c>
      <c r="K120" s="1996">
        <f t="shared" si="8"/>
        <v>3641673</v>
      </c>
    </row>
    <row r="121" spans="1:11" ht="15" x14ac:dyDescent="0.25">
      <c r="A121" s="974" t="s">
        <v>222</v>
      </c>
      <c r="B121" s="975" t="s">
        <v>223</v>
      </c>
      <c r="C121" s="975" t="s">
        <v>264</v>
      </c>
      <c r="D121" s="2006">
        <v>271229</v>
      </c>
      <c r="E121" s="1994">
        <v>42850</v>
      </c>
      <c r="F121" s="1994">
        <v>0</v>
      </c>
      <c r="G121" s="1994">
        <v>351805</v>
      </c>
      <c r="H121" s="1994">
        <f t="shared" si="7"/>
        <v>665884</v>
      </c>
      <c r="I121" s="1995">
        <v>499977.94096507935</v>
      </c>
      <c r="J121" s="1995">
        <v>165906.05903492065</v>
      </c>
      <c r="K121" s="1996">
        <f t="shared" si="8"/>
        <v>665884</v>
      </c>
    </row>
    <row r="122" spans="1:11" ht="15" x14ac:dyDescent="0.25">
      <c r="A122" s="974" t="s">
        <v>230</v>
      </c>
      <c r="B122" s="975" t="s">
        <v>231</v>
      </c>
      <c r="C122" s="975" t="s">
        <v>264</v>
      </c>
      <c r="D122" s="2006">
        <v>1471474</v>
      </c>
      <c r="E122" s="1994">
        <v>41849</v>
      </c>
      <c r="F122" s="1994">
        <v>0</v>
      </c>
      <c r="G122" s="1994">
        <v>4659763</v>
      </c>
      <c r="H122" s="1994">
        <f t="shared" si="7"/>
        <v>6173086</v>
      </c>
      <c r="I122" s="1995">
        <v>4635051.7923247255</v>
      </c>
      <c r="J122" s="1995">
        <v>1538034.207675274</v>
      </c>
      <c r="K122" s="1996">
        <f t="shared" si="8"/>
        <v>6173086</v>
      </c>
    </row>
    <row r="123" spans="1:11" ht="15" x14ac:dyDescent="0.25">
      <c r="A123" s="974" t="s">
        <v>238</v>
      </c>
      <c r="B123" s="975" t="s">
        <v>239</v>
      </c>
      <c r="C123" s="975" t="s">
        <v>264</v>
      </c>
      <c r="D123" s="2006">
        <v>102358</v>
      </c>
      <c r="E123" s="1994">
        <v>27164</v>
      </c>
      <c r="F123" s="1994">
        <v>0</v>
      </c>
      <c r="G123" s="1994">
        <v>146945</v>
      </c>
      <c r="H123" s="1994">
        <f t="shared" si="7"/>
        <v>276467</v>
      </c>
      <c r="I123" s="1995">
        <v>207584.80667021972</v>
      </c>
      <c r="J123" s="1995">
        <v>68882.193329780261</v>
      </c>
      <c r="K123" s="1996">
        <f t="shared" si="8"/>
        <v>276467</v>
      </c>
    </row>
    <row r="124" spans="1:11" ht="15" x14ac:dyDescent="0.25">
      <c r="A124" s="974" t="s">
        <v>240</v>
      </c>
      <c r="B124" s="975" t="s">
        <v>241</v>
      </c>
      <c r="C124" s="975" t="s">
        <v>267</v>
      </c>
      <c r="D124" s="2006">
        <v>114783</v>
      </c>
      <c r="E124" s="1994">
        <v>41651</v>
      </c>
      <c r="F124" s="1994">
        <v>0</v>
      </c>
      <c r="G124" s="1994">
        <v>146211</v>
      </c>
      <c r="H124" s="1994">
        <f t="shared" si="7"/>
        <v>302645</v>
      </c>
      <c r="I124" s="1995">
        <v>227240.51628117877</v>
      </c>
      <c r="J124" s="1995">
        <v>75404.483718821226</v>
      </c>
      <c r="K124" s="1996">
        <f t="shared" si="8"/>
        <v>302645</v>
      </c>
    </row>
    <row r="126" spans="1:11" ht="15" x14ac:dyDescent="0.25">
      <c r="A126" s="1285" t="s">
        <v>266</v>
      </c>
      <c r="D126" s="1991">
        <v>11074876</v>
      </c>
      <c r="E126" s="1992">
        <v>643308</v>
      </c>
      <c r="F126" s="1992">
        <v>0</v>
      </c>
      <c r="G126" s="1993">
        <v>7514059</v>
      </c>
      <c r="H126" s="1994">
        <f t="shared" ref="H126:H130" si="9">SUM(D126:G126)</f>
        <v>19232243</v>
      </c>
      <c r="I126" s="1995">
        <v>14440499.028779875</v>
      </c>
      <c r="J126" s="1995">
        <v>4791743.9712201208</v>
      </c>
      <c r="K126" s="1996">
        <f t="shared" ref="K126:K130" si="10">I126+J126</f>
        <v>19232242.999999996</v>
      </c>
    </row>
    <row r="127" spans="1:11" ht="15" x14ac:dyDescent="0.25">
      <c r="A127" s="1285" t="s">
        <v>264</v>
      </c>
      <c r="D127" s="1991">
        <v>14043942</v>
      </c>
      <c r="E127" s="1992">
        <v>740813</v>
      </c>
      <c r="F127" s="1992">
        <v>0</v>
      </c>
      <c r="G127" s="1993">
        <v>13815797</v>
      </c>
      <c r="H127" s="1994">
        <f t="shared" si="9"/>
        <v>28600552</v>
      </c>
      <c r="I127" s="1995">
        <v>21474678.922191672</v>
      </c>
      <c r="J127" s="1995">
        <v>7125873.0778083233</v>
      </c>
      <c r="K127" s="1996">
        <f t="shared" si="10"/>
        <v>28600551.999999996</v>
      </c>
    </row>
    <row r="128" spans="1:11" ht="15" x14ac:dyDescent="0.25">
      <c r="A128" s="1285" t="s">
        <v>267</v>
      </c>
      <c r="D128" s="1991">
        <v>15561211</v>
      </c>
      <c r="E128" s="1992">
        <v>5138862</v>
      </c>
      <c r="F128" s="1992">
        <v>0</v>
      </c>
      <c r="G128" s="1993">
        <v>22681704</v>
      </c>
      <c r="H128" s="1994">
        <f t="shared" si="9"/>
        <v>43381777</v>
      </c>
      <c r="I128" s="1995">
        <v>32573138.17401566</v>
      </c>
      <c r="J128" s="1995">
        <v>10808638.825984348</v>
      </c>
      <c r="K128" s="1996">
        <f t="shared" si="10"/>
        <v>43381777.000000007</v>
      </c>
    </row>
    <row r="129" spans="1:11" ht="15" x14ac:dyDescent="0.25">
      <c r="A129" s="1285" t="s">
        <v>265</v>
      </c>
      <c r="D129" s="1991">
        <v>5921365</v>
      </c>
      <c r="E129" s="1992">
        <v>729555</v>
      </c>
      <c r="F129" s="1992">
        <v>0</v>
      </c>
      <c r="G129" s="1993">
        <v>6293575</v>
      </c>
      <c r="H129" s="1994">
        <f t="shared" si="9"/>
        <v>12944495</v>
      </c>
      <c r="I129" s="1995">
        <v>9719353.456356911</v>
      </c>
      <c r="J129" s="1995">
        <v>3225141.543643089</v>
      </c>
      <c r="K129" s="1996">
        <f t="shared" si="10"/>
        <v>12944495</v>
      </c>
    </row>
    <row r="130" spans="1:11" ht="15" x14ac:dyDescent="0.25">
      <c r="A130" s="1285" t="s">
        <v>268</v>
      </c>
      <c r="D130" s="1991">
        <v>1540715.83</v>
      </c>
      <c r="E130" s="1992">
        <v>121929</v>
      </c>
      <c r="F130" s="1992">
        <v>0</v>
      </c>
      <c r="G130" s="1993">
        <v>1567134</v>
      </c>
      <c r="H130" s="1994">
        <f t="shared" si="9"/>
        <v>3229778.83</v>
      </c>
      <c r="I130" s="1995">
        <v>2425074.2910116529</v>
      </c>
      <c r="J130" s="1995">
        <v>804704.53898834786</v>
      </c>
      <c r="K130" s="1996">
        <f t="shared" si="10"/>
        <v>3229778.830000001</v>
      </c>
    </row>
    <row r="131" spans="1:11" ht="15" x14ac:dyDescent="0.25">
      <c r="A131" s="1285" t="s">
        <v>9</v>
      </c>
      <c r="D131" s="1997">
        <f>SUM(D126:D130)</f>
        <v>48142109.829999998</v>
      </c>
      <c r="E131" s="1998">
        <f t="shared" ref="E131:G131" si="11">SUM(E126:E130)</f>
        <v>7374467</v>
      </c>
      <c r="F131" s="1998">
        <f t="shared" si="11"/>
        <v>0</v>
      </c>
      <c r="G131" s="1998">
        <f t="shared" si="11"/>
        <v>51872269</v>
      </c>
      <c r="H131" s="1994">
        <f t="shared" ref="H131" si="12">SUM(D131:G131)</f>
        <v>107388845.83</v>
      </c>
      <c r="I131" s="1995">
        <f>SUM(I126:I130)</f>
        <v>80632743.872355759</v>
      </c>
      <c r="J131" s="1995">
        <f>SUM(J126:J130)</f>
        <v>26756101.957644228</v>
      </c>
      <c r="K131" s="1996">
        <f t="shared" ref="K131" si="13">I131+J131</f>
        <v>107388845.82999998</v>
      </c>
    </row>
    <row r="134" spans="1:11" x14ac:dyDescent="0.25">
      <c r="A134" s="917" t="s">
        <v>1263</v>
      </c>
      <c r="B134" s="676"/>
    </row>
    <row r="135" spans="1:11" x14ac:dyDescent="0.25">
      <c r="A135" s="369"/>
      <c r="B135" s="369"/>
    </row>
    <row r="136" spans="1:11" x14ac:dyDescent="0.25">
      <c r="A136" s="389" t="s">
        <v>248</v>
      </c>
      <c r="B136" s="389"/>
    </row>
    <row r="137" spans="1:11" x14ac:dyDescent="0.25">
      <c r="A137" s="390" t="s">
        <v>249</v>
      </c>
      <c r="B137" s="391" t="s">
        <v>250</v>
      </c>
    </row>
  </sheetData>
  <autoFilter ref="A3:C124"/>
  <sortState ref="A5:K124">
    <sortCondition ref="A5:A124"/>
  </sortState>
  <hyperlinks>
    <hyperlink ref="B137"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E136"/>
  <sheetViews>
    <sheetView zoomScaleNormal="100" workbookViewId="0">
      <pane xSplit="3" ySplit="4" topLeftCell="BB104" activePane="bottomRight" state="frozen"/>
      <selection pane="topRight" activeCell="D1" sqref="D1"/>
      <selection pane="bottomLeft" activeCell="A5" sqref="A5"/>
      <selection pane="bottomRight" activeCell="P1" sqref="P1:Q1048576"/>
    </sheetView>
  </sheetViews>
  <sheetFormatPr defaultRowHeight="12.75" x14ac:dyDescent="0.2"/>
  <cols>
    <col min="1" max="1" width="9" style="219"/>
    <col min="2" max="2" width="27.75" style="219" customWidth="1"/>
    <col min="3" max="3" width="14.25" style="219" customWidth="1"/>
    <col min="4" max="4" width="11.375" style="219" customWidth="1"/>
    <col min="5" max="5" width="12.25" style="219" customWidth="1"/>
    <col min="6" max="9" width="11.375" style="219" customWidth="1"/>
    <col min="10" max="11" width="11.5" style="219" customWidth="1"/>
    <col min="12" max="15" width="9.875" style="219" customWidth="1"/>
    <col min="16" max="17" width="12" style="219" customWidth="1"/>
    <col min="18" max="45" width="9.875" style="219" customWidth="1"/>
    <col min="46" max="16384" width="9" style="219"/>
  </cols>
  <sheetData>
    <row r="1" spans="1:57" x14ac:dyDescent="0.2">
      <c r="A1" s="65" t="s">
        <v>1268</v>
      </c>
      <c r="G1" s="954"/>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c r="AM1" s="955"/>
      <c r="AN1" s="955"/>
      <c r="AO1" s="955"/>
      <c r="AP1" s="955"/>
      <c r="AQ1" s="955"/>
      <c r="AR1" s="955"/>
      <c r="AS1" s="955"/>
    </row>
    <row r="2" spans="1:57" x14ac:dyDescent="0.2">
      <c r="D2" s="954"/>
      <c r="E2" s="954"/>
      <c r="F2" s="954"/>
      <c r="G2" s="954"/>
      <c r="H2" s="954"/>
      <c r="I2" s="954"/>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row>
    <row r="3" spans="1:57" ht="30" x14ac:dyDescent="0.25">
      <c r="A3" s="1396" t="s">
        <v>4</v>
      </c>
      <c r="B3" s="1905" t="s">
        <v>5</v>
      </c>
      <c r="C3" s="1905" t="s">
        <v>251</v>
      </c>
      <c r="D3" s="1906" t="s">
        <v>314</v>
      </c>
      <c r="E3" s="1907" t="s">
        <v>315</v>
      </c>
      <c r="F3" s="1907" t="s">
        <v>316</v>
      </c>
      <c r="G3" s="1907" t="s">
        <v>304</v>
      </c>
      <c r="H3" s="1908" t="s">
        <v>963</v>
      </c>
      <c r="I3" s="1909" t="s">
        <v>281</v>
      </c>
      <c r="J3" s="1906" t="s">
        <v>396</v>
      </c>
      <c r="K3" s="1907" t="s">
        <v>397</v>
      </c>
      <c r="L3" s="1907" t="s">
        <v>398</v>
      </c>
      <c r="M3" s="1907" t="s">
        <v>961</v>
      </c>
      <c r="N3" s="1907" t="s">
        <v>962</v>
      </c>
      <c r="O3" s="1910" t="s">
        <v>399</v>
      </c>
      <c r="P3" s="1906" t="s">
        <v>400</v>
      </c>
      <c r="Q3" s="1907" t="s">
        <v>401</v>
      </c>
      <c r="R3" s="1907" t="s">
        <v>402</v>
      </c>
      <c r="S3" s="1907" t="s">
        <v>964</v>
      </c>
      <c r="T3" s="1907" t="s">
        <v>965</v>
      </c>
      <c r="U3" s="1910" t="s">
        <v>403</v>
      </c>
      <c r="V3" s="1906" t="s">
        <v>1283</v>
      </c>
      <c r="W3" s="1907" t="s">
        <v>1284</v>
      </c>
      <c r="X3" s="1907" t="s">
        <v>1285</v>
      </c>
      <c r="Y3" s="1907" t="s">
        <v>1286</v>
      </c>
      <c r="Z3" s="1907" t="s">
        <v>1287</v>
      </c>
      <c r="AA3" s="1910" t="s">
        <v>1288</v>
      </c>
      <c r="AB3" s="1906" t="s">
        <v>1289</v>
      </c>
      <c r="AC3" s="1907" t="s">
        <v>1290</v>
      </c>
      <c r="AD3" s="1907" t="s">
        <v>1291</v>
      </c>
      <c r="AE3" s="1907" t="s">
        <v>1292</v>
      </c>
      <c r="AF3" s="1907" t="s">
        <v>1293</v>
      </c>
      <c r="AG3" s="1910" t="s">
        <v>1294</v>
      </c>
      <c r="AH3" s="1906" t="s">
        <v>837</v>
      </c>
      <c r="AI3" s="1907" t="s">
        <v>838</v>
      </c>
      <c r="AJ3" s="1907" t="s">
        <v>839</v>
      </c>
      <c r="AK3" s="1907" t="s">
        <v>968</v>
      </c>
      <c r="AL3" s="1907" t="s">
        <v>969</v>
      </c>
      <c r="AM3" s="1910" t="s">
        <v>840</v>
      </c>
      <c r="AN3" s="1906" t="s">
        <v>404</v>
      </c>
      <c r="AO3" s="1907" t="s">
        <v>405</v>
      </c>
      <c r="AP3" s="1907" t="s">
        <v>406</v>
      </c>
      <c r="AQ3" s="1907" t="s">
        <v>966</v>
      </c>
      <c r="AR3" s="1907" t="s">
        <v>967</v>
      </c>
      <c r="AS3" s="1910" t="s">
        <v>407</v>
      </c>
      <c r="AT3" s="1906" t="s">
        <v>1295</v>
      </c>
      <c r="AU3" s="1907" t="s">
        <v>1296</v>
      </c>
      <c r="AV3" s="1907" t="s">
        <v>1297</v>
      </c>
      <c r="AW3" s="1907" t="s">
        <v>1298</v>
      </c>
      <c r="AX3" s="1907" t="s">
        <v>1299</v>
      </c>
      <c r="AY3" s="1910" t="s">
        <v>1300</v>
      </c>
      <c r="AZ3" s="1906" t="s">
        <v>1084</v>
      </c>
      <c r="BA3" s="1907" t="s">
        <v>1085</v>
      </c>
      <c r="BB3" s="1907" t="s">
        <v>1082</v>
      </c>
      <c r="BC3" s="1907" t="s">
        <v>1083</v>
      </c>
      <c r="BD3" s="1907" t="s">
        <v>1081</v>
      </c>
      <c r="BE3" s="1910" t="s">
        <v>1080</v>
      </c>
    </row>
    <row r="4" spans="1:57" ht="12.75" customHeight="1" x14ac:dyDescent="0.25">
      <c r="A4" s="1911">
        <v>999</v>
      </c>
      <c r="B4" s="1912" t="s">
        <v>9</v>
      </c>
      <c r="C4" s="1913"/>
      <c r="D4" s="1914">
        <f t="shared" ref="D4:AY4" si="0">SUM(D5:D124)</f>
        <v>81060584.189999983</v>
      </c>
      <c r="E4" s="1915">
        <f t="shared" si="0"/>
        <v>104594969.66999996</v>
      </c>
      <c r="F4" s="1915">
        <f t="shared" si="0"/>
        <v>0</v>
      </c>
      <c r="G4" s="1915">
        <f t="shared" si="0"/>
        <v>162718.42000000007</v>
      </c>
      <c r="H4" s="1916">
        <f t="shared" si="0"/>
        <v>162718.42000000007</v>
      </c>
      <c r="I4" s="1916">
        <f t="shared" si="0"/>
        <v>185818272.28000006</v>
      </c>
      <c r="J4" s="1914">
        <f t="shared" si="0"/>
        <v>30757084.610000003</v>
      </c>
      <c r="K4" s="1915">
        <f t="shared" si="0"/>
        <v>30757084.610000003</v>
      </c>
      <c r="L4" s="1915">
        <f t="shared" si="0"/>
        <v>0</v>
      </c>
      <c r="M4" s="1915">
        <f t="shared" si="0"/>
        <v>53158.719999999994</v>
      </c>
      <c r="N4" s="1915">
        <f t="shared" si="0"/>
        <v>30663.890000000007</v>
      </c>
      <c r="O4" s="1917">
        <f t="shared" si="0"/>
        <v>61597991.830000006</v>
      </c>
      <c r="P4" s="1914">
        <f t="shared" si="0"/>
        <v>46673512.209999993</v>
      </c>
      <c r="Q4" s="1915">
        <f t="shared" si="0"/>
        <v>46673512.209999993</v>
      </c>
      <c r="R4" s="1915">
        <f t="shared" si="0"/>
        <v>0</v>
      </c>
      <c r="S4" s="1915">
        <f t="shared" si="0"/>
        <v>90456.020000000048</v>
      </c>
      <c r="T4" s="1915">
        <f t="shared" si="0"/>
        <v>-11777.480000000001</v>
      </c>
      <c r="U4" s="1917">
        <f t="shared" si="0"/>
        <v>93425702.959999993</v>
      </c>
      <c r="V4" s="1914">
        <f t="shared" si="0"/>
        <v>512335.94000000012</v>
      </c>
      <c r="W4" s="1915">
        <f t="shared" si="0"/>
        <v>512335.94000000012</v>
      </c>
      <c r="X4" s="1915">
        <f t="shared" si="0"/>
        <v>0</v>
      </c>
      <c r="Y4" s="1915">
        <f t="shared" si="0"/>
        <v>139.68</v>
      </c>
      <c r="Z4" s="1915">
        <f t="shared" si="0"/>
        <v>98</v>
      </c>
      <c r="AA4" s="1917">
        <f t="shared" si="0"/>
        <v>1024909.5599999999</v>
      </c>
      <c r="AB4" s="1914">
        <f t="shared" ref="AB4:AG4" si="1">SUM(AB5:AB124)</f>
        <v>8482.0300000000007</v>
      </c>
      <c r="AC4" s="1915">
        <f t="shared" si="1"/>
        <v>8482.0300000000007</v>
      </c>
      <c r="AD4" s="1915">
        <f t="shared" si="1"/>
        <v>0</v>
      </c>
      <c r="AE4" s="1915">
        <f t="shared" si="1"/>
        <v>0</v>
      </c>
      <c r="AF4" s="1915">
        <f t="shared" si="1"/>
        <v>0</v>
      </c>
      <c r="AG4" s="1917">
        <f t="shared" si="1"/>
        <v>16964.060000000001</v>
      </c>
      <c r="AH4" s="1914">
        <f t="shared" si="0"/>
        <v>4500</v>
      </c>
      <c r="AI4" s="1915">
        <f t="shared" si="0"/>
        <v>4500</v>
      </c>
      <c r="AJ4" s="1915">
        <f t="shared" si="0"/>
        <v>0</v>
      </c>
      <c r="AK4" s="1915">
        <f t="shared" si="0"/>
        <v>0</v>
      </c>
      <c r="AL4" s="1915">
        <f t="shared" si="0"/>
        <v>0</v>
      </c>
      <c r="AM4" s="1917">
        <f t="shared" si="0"/>
        <v>9000</v>
      </c>
      <c r="AN4" s="1914">
        <f t="shared" si="0"/>
        <v>3004106.0200000009</v>
      </c>
      <c r="AO4" s="1915">
        <f t="shared" si="0"/>
        <v>26632402.139999993</v>
      </c>
      <c r="AP4" s="1915">
        <f t="shared" si="0"/>
        <v>0</v>
      </c>
      <c r="AQ4" s="1915">
        <f t="shared" si="0"/>
        <v>8510.4799999999977</v>
      </c>
      <c r="AR4" s="1915">
        <f t="shared" si="0"/>
        <v>2</v>
      </c>
      <c r="AS4" s="1917">
        <f t="shared" si="0"/>
        <v>29645020.639999989</v>
      </c>
      <c r="AT4" s="1918">
        <f t="shared" si="0"/>
        <v>0</v>
      </c>
      <c r="AU4" s="1919">
        <f t="shared" si="0"/>
        <v>6652.74</v>
      </c>
      <c r="AV4" s="1919">
        <f t="shared" si="0"/>
        <v>0</v>
      </c>
      <c r="AW4" s="1919">
        <f t="shared" si="0"/>
        <v>0</v>
      </c>
      <c r="AX4" s="1919">
        <f t="shared" si="0"/>
        <v>0</v>
      </c>
      <c r="AY4" s="1920">
        <f t="shared" si="0"/>
        <v>6652.74</v>
      </c>
      <c r="AZ4" s="1918">
        <f t="shared" ref="AZ4:BE4" si="2">SUM(AZ5:AZ124)</f>
        <v>100563.38</v>
      </c>
      <c r="BA4" s="1919">
        <f t="shared" si="2"/>
        <v>0</v>
      </c>
      <c r="BB4" s="1919">
        <f t="shared" si="2"/>
        <v>0</v>
      </c>
      <c r="BC4" s="1919">
        <f t="shared" si="2"/>
        <v>-8725.6200000000008</v>
      </c>
      <c r="BD4" s="1919">
        <f t="shared" si="2"/>
        <v>192.73</v>
      </c>
      <c r="BE4" s="1920">
        <f t="shared" si="2"/>
        <v>92030.49</v>
      </c>
    </row>
    <row r="5" spans="1:57" s="234" customFormat="1" ht="12.75" customHeight="1" x14ac:dyDescent="0.25">
      <c r="A5" s="1921" t="s">
        <v>10</v>
      </c>
      <c r="B5" s="1922" t="s">
        <v>11</v>
      </c>
      <c r="C5" s="1923" t="s">
        <v>264</v>
      </c>
      <c r="D5" s="1924">
        <f t="shared" ref="D5:D36" si="3">J5+P5+V5+AB5+AH5+AN5+AT5+AZ5</f>
        <v>125846.36</v>
      </c>
      <c r="E5" s="1925">
        <f t="shared" ref="E5:E36" si="4">K5+Q5+W5+AC5+AI5+AO5+AU5+BA5</f>
        <v>194294.26</v>
      </c>
      <c r="F5" s="1925">
        <f t="shared" ref="F5:F36" si="5">L5+R5+X5+AD5+AJ5+AP5+AV5+BB5</f>
        <v>0</v>
      </c>
      <c r="G5" s="1925">
        <f t="shared" ref="G5:G36" si="6">M5+N5+S5+T5+Y5+Z5+AE5+AF5+AK5+AL5+AQ5+AR5+AW5+AX5+BC5+BD5</f>
        <v>-0.03</v>
      </c>
      <c r="H5" s="1925">
        <f t="shared" ref="H5:H36" si="7">F5+G5</f>
        <v>-0.03</v>
      </c>
      <c r="I5" s="1926">
        <f t="shared" ref="I5:I36" si="8">SUM(D5:G5)</f>
        <v>320140.58999999997</v>
      </c>
      <c r="J5" s="1927">
        <v>54548.31</v>
      </c>
      <c r="K5" s="1928">
        <v>54548.31</v>
      </c>
      <c r="L5" s="1928">
        <v>0</v>
      </c>
      <c r="M5" s="1928">
        <v>-0.03</v>
      </c>
      <c r="N5" s="1928">
        <v>0</v>
      </c>
      <c r="O5" s="1929">
        <f t="shared" ref="O5:O36" si="9">SUM(J5:N5)</f>
        <v>109096.59</v>
      </c>
      <c r="P5" s="1927">
        <v>69933.5</v>
      </c>
      <c r="Q5" s="1928">
        <v>69933.5</v>
      </c>
      <c r="R5" s="1928">
        <v>0</v>
      </c>
      <c r="S5" s="1928">
        <v>0</v>
      </c>
      <c r="T5" s="1928">
        <v>0</v>
      </c>
      <c r="U5" s="1929">
        <f t="shared" ref="U5:U36" si="10">SUM(P5:T5)</f>
        <v>139867</v>
      </c>
      <c r="V5" s="1927"/>
      <c r="W5" s="1928"/>
      <c r="X5" s="1928"/>
      <c r="Y5" s="1928"/>
      <c r="Z5" s="1928"/>
      <c r="AA5" s="1929">
        <f t="shared" ref="AA5:AA36" si="11">SUM(V5:Z5)</f>
        <v>0</v>
      </c>
      <c r="AB5" s="1927"/>
      <c r="AC5" s="1928"/>
      <c r="AD5" s="1928"/>
      <c r="AE5" s="1928"/>
      <c r="AF5" s="1928"/>
      <c r="AG5" s="1929">
        <f t="shared" ref="AG5:AG36" si="12">SUM(AB5:AF5)</f>
        <v>0</v>
      </c>
      <c r="AH5" s="1927"/>
      <c r="AI5" s="1928"/>
      <c r="AJ5" s="1928"/>
      <c r="AK5" s="1928"/>
      <c r="AL5" s="1928"/>
      <c r="AM5" s="1929">
        <f t="shared" ref="AM5:AM36" si="13">SUM(AH5:AL5)</f>
        <v>0</v>
      </c>
      <c r="AN5" s="1930">
        <v>1364.55</v>
      </c>
      <c r="AO5" s="1931">
        <v>69812.45</v>
      </c>
      <c r="AP5" s="1931">
        <v>0</v>
      </c>
      <c r="AQ5" s="1931">
        <v>0</v>
      </c>
      <c r="AR5" s="1931">
        <v>0</v>
      </c>
      <c r="AS5" s="1932">
        <f t="shared" ref="AS5:AS36" si="14">SUM(AN5:AR5)</f>
        <v>71177</v>
      </c>
      <c r="AT5" s="1933"/>
      <c r="AU5" s="1934"/>
      <c r="AV5" s="1934"/>
      <c r="AW5" s="1934"/>
      <c r="AX5" s="1934"/>
      <c r="AY5" s="1935">
        <f t="shared" ref="AY5:AY36" si="15">SUM(AT5:AX5)</f>
        <v>0</v>
      </c>
      <c r="AZ5" s="1933"/>
      <c r="BA5" s="1934"/>
      <c r="BB5" s="1934"/>
      <c r="BC5" s="1934"/>
      <c r="BD5" s="1934"/>
      <c r="BE5" s="1935">
        <f t="shared" ref="BE5:BE36" si="16">SUM(AZ5:BD5)</f>
        <v>0</v>
      </c>
    </row>
    <row r="6" spans="1:57" s="234" customFormat="1" ht="12.75" customHeight="1" x14ac:dyDescent="0.25">
      <c r="A6" s="1393" t="s">
        <v>12</v>
      </c>
      <c r="B6" s="1936" t="s">
        <v>13</v>
      </c>
      <c r="C6" s="1937" t="s">
        <v>265</v>
      </c>
      <c r="D6" s="1938">
        <f t="shared" si="3"/>
        <v>1245155.5999999999</v>
      </c>
      <c r="E6" s="1939">
        <f t="shared" si="4"/>
        <v>1509567.6199999999</v>
      </c>
      <c r="F6" s="1939">
        <f t="shared" si="5"/>
        <v>0</v>
      </c>
      <c r="G6" s="1939">
        <f t="shared" si="6"/>
        <v>-0.33</v>
      </c>
      <c r="H6" s="1939">
        <f t="shared" si="7"/>
        <v>-0.33</v>
      </c>
      <c r="I6" s="1940">
        <f t="shared" si="8"/>
        <v>2754722.8899999997</v>
      </c>
      <c r="J6" s="1941">
        <v>447244.19</v>
      </c>
      <c r="K6" s="1942">
        <v>447244.19</v>
      </c>
      <c r="L6" s="1942">
        <v>0</v>
      </c>
      <c r="M6" s="1942">
        <v>-0.15</v>
      </c>
      <c r="N6" s="1942">
        <v>0</v>
      </c>
      <c r="O6" s="1943">
        <f t="shared" si="9"/>
        <v>894488.23</v>
      </c>
      <c r="P6" s="1941">
        <v>754701.74</v>
      </c>
      <c r="Q6" s="1942">
        <v>754701.74</v>
      </c>
      <c r="R6" s="1942">
        <v>0</v>
      </c>
      <c r="S6" s="1942">
        <v>-0.11</v>
      </c>
      <c r="T6" s="1942">
        <v>0</v>
      </c>
      <c r="U6" s="1943">
        <f t="shared" si="10"/>
        <v>1509403.3699999999</v>
      </c>
      <c r="V6" s="1941">
        <v>22498.13</v>
      </c>
      <c r="W6" s="1942">
        <v>22498.13</v>
      </c>
      <c r="X6" s="1942">
        <v>0</v>
      </c>
      <c r="Y6" s="1942">
        <v>-0.03</v>
      </c>
      <c r="Z6" s="1942">
        <v>0</v>
      </c>
      <c r="AA6" s="1943">
        <f t="shared" si="11"/>
        <v>44996.23</v>
      </c>
      <c r="AB6" s="1941"/>
      <c r="AC6" s="1942"/>
      <c r="AD6" s="1942"/>
      <c r="AE6" s="1942"/>
      <c r="AF6" s="1942"/>
      <c r="AG6" s="1943">
        <f t="shared" si="12"/>
        <v>0</v>
      </c>
      <c r="AH6" s="1941"/>
      <c r="AI6" s="1942"/>
      <c r="AJ6" s="1942"/>
      <c r="AK6" s="1942"/>
      <c r="AL6" s="1942"/>
      <c r="AM6" s="1943">
        <f t="shared" si="13"/>
        <v>0</v>
      </c>
      <c r="AN6" s="1944">
        <v>20711.54</v>
      </c>
      <c r="AO6" s="1945">
        <v>285123.56</v>
      </c>
      <c r="AP6" s="1945">
        <v>0</v>
      </c>
      <c r="AQ6" s="1945">
        <v>-0.04</v>
      </c>
      <c r="AR6" s="1945">
        <v>0</v>
      </c>
      <c r="AS6" s="1946">
        <f t="shared" si="14"/>
        <v>305835.06</v>
      </c>
      <c r="AT6" s="1947"/>
      <c r="AU6" s="1948"/>
      <c r="AV6" s="1948"/>
      <c r="AW6" s="1948"/>
      <c r="AX6" s="1948"/>
      <c r="AY6" s="1949">
        <f t="shared" si="15"/>
        <v>0</v>
      </c>
      <c r="AZ6" s="1947"/>
      <c r="BA6" s="1948"/>
      <c r="BB6" s="1948"/>
      <c r="BC6" s="1948"/>
      <c r="BD6" s="1948"/>
      <c r="BE6" s="1949">
        <f t="shared" si="16"/>
        <v>0</v>
      </c>
    </row>
    <row r="7" spans="1:57" s="234" customFormat="1" ht="12.75" customHeight="1" x14ac:dyDescent="0.25">
      <c r="A7" s="1393" t="s">
        <v>16</v>
      </c>
      <c r="B7" s="1936" t="s">
        <v>297</v>
      </c>
      <c r="C7" s="1937" t="s">
        <v>265</v>
      </c>
      <c r="D7" s="1938">
        <f t="shared" si="3"/>
        <v>76035.08</v>
      </c>
      <c r="E7" s="1939">
        <f t="shared" si="4"/>
        <v>101122.26</v>
      </c>
      <c r="F7" s="1939">
        <f t="shared" si="5"/>
        <v>0</v>
      </c>
      <c r="G7" s="1939">
        <f t="shared" si="6"/>
        <v>-6.9999999999999993E-2</v>
      </c>
      <c r="H7" s="1939">
        <f t="shared" si="7"/>
        <v>-6.9999999999999993E-2</v>
      </c>
      <c r="I7" s="1940">
        <f t="shared" si="8"/>
        <v>177157.27</v>
      </c>
      <c r="J7" s="1941">
        <v>52369.659999999996</v>
      </c>
      <c r="K7" s="1942">
        <v>52369.659999999996</v>
      </c>
      <c r="L7" s="1942">
        <v>0</v>
      </c>
      <c r="M7" s="1942">
        <v>-0.06</v>
      </c>
      <c r="N7" s="1942">
        <v>0</v>
      </c>
      <c r="O7" s="1943">
        <f t="shared" si="9"/>
        <v>104739.26</v>
      </c>
      <c r="P7" s="1941">
        <v>19799.23</v>
      </c>
      <c r="Q7" s="1942">
        <v>19799.23</v>
      </c>
      <c r="R7" s="1942">
        <v>0</v>
      </c>
      <c r="S7" s="1942">
        <v>0</v>
      </c>
      <c r="T7" s="1942">
        <v>0</v>
      </c>
      <c r="U7" s="1943">
        <f t="shared" si="10"/>
        <v>39598.46</v>
      </c>
      <c r="V7" s="1941">
        <v>3164.28</v>
      </c>
      <c r="W7" s="1942">
        <v>3164.28</v>
      </c>
      <c r="X7" s="1942">
        <v>0</v>
      </c>
      <c r="Y7" s="1942">
        <v>-0.01</v>
      </c>
      <c r="Z7" s="1942">
        <v>0</v>
      </c>
      <c r="AA7" s="1943">
        <f t="shared" si="11"/>
        <v>6328.55</v>
      </c>
      <c r="AB7" s="1941"/>
      <c r="AC7" s="1942"/>
      <c r="AD7" s="1942"/>
      <c r="AE7" s="1942"/>
      <c r="AF7" s="1942"/>
      <c r="AG7" s="1943">
        <f t="shared" si="12"/>
        <v>0</v>
      </c>
      <c r="AH7" s="1941"/>
      <c r="AI7" s="1942"/>
      <c r="AJ7" s="1942"/>
      <c r="AK7" s="1942"/>
      <c r="AL7" s="1942"/>
      <c r="AM7" s="1943">
        <f t="shared" si="13"/>
        <v>0</v>
      </c>
      <c r="AN7" s="1944">
        <v>701.91</v>
      </c>
      <c r="AO7" s="1945">
        <v>25789.09</v>
      </c>
      <c r="AP7" s="1945">
        <v>0</v>
      </c>
      <c r="AQ7" s="1945">
        <v>0</v>
      </c>
      <c r="AR7" s="1945">
        <v>0</v>
      </c>
      <c r="AS7" s="1946">
        <f t="shared" si="14"/>
        <v>26491</v>
      </c>
      <c r="AT7" s="1947"/>
      <c r="AU7" s="1948"/>
      <c r="AV7" s="1948"/>
      <c r="AW7" s="1948"/>
      <c r="AX7" s="1948"/>
      <c r="AY7" s="1949">
        <f t="shared" si="15"/>
        <v>0</v>
      </c>
      <c r="AZ7" s="1947"/>
      <c r="BA7" s="1948"/>
      <c r="BB7" s="1948"/>
      <c r="BC7" s="1948"/>
      <c r="BD7" s="1948"/>
      <c r="BE7" s="1949">
        <f t="shared" si="16"/>
        <v>0</v>
      </c>
    </row>
    <row r="8" spans="1:57" s="234" customFormat="1" ht="12.75" customHeight="1" x14ac:dyDescent="0.25">
      <c r="A8" s="1393" t="s">
        <v>18</v>
      </c>
      <c r="B8" s="1936" t="s">
        <v>19</v>
      </c>
      <c r="C8" s="1937" t="s">
        <v>266</v>
      </c>
      <c r="D8" s="1938">
        <f t="shared" si="3"/>
        <v>30635.18</v>
      </c>
      <c r="E8" s="1939">
        <f t="shared" si="4"/>
        <v>62945.18</v>
      </c>
      <c r="F8" s="1939">
        <f t="shared" si="5"/>
        <v>0</v>
      </c>
      <c r="G8" s="1939">
        <f t="shared" si="6"/>
        <v>-0.01</v>
      </c>
      <c r="H8" s="1939">
        <f t="shared" si="7"/>
        <v>-0.01</v>
      </c>
      <c r="I8" s="1940">
        <f t="shared" si="8"/>
        <v>93580.35</v>
      </c>
      <c r="J8" s="1941">
        <v>14936.18</v>
      </c>
      <c r="K8" s="1942">
        <v>14936.18</v>
      </c>
      <c r="L8" s="1942">
        <v>0</v>
      </c>
      <c r="M8" s="1942">
        <v>-0.01</v>
      </c>
      <c r="N8" s="1942">
        <v>0</v>
      </c>
      <c r="O8" s="1943">
        <f t="shared" si="9"/>
        <v>29872.350000000002</v>
      </c>
      <c r="P8" s="1941">
        <v>15699</v>
      </c>
      <c r="Q8" s="1942">
        <v>15699</v>
      </c>
      <c r="R8" s="1942">
        <v>0</v>
      </c>
      <c r="S8" s="1942">
        <v>0</v>
      </c>
      <c r="T8" s="1942">
        <v>0</v>
      </c>
      <c r="U8" s="1943">
        <f t="shared" si="10"/>
        <v>31398</v>
      </c>
      <c r="V8" s="1941"/>
      <c r="W8" s="1942"/>
      <c r="X8" s="1942"/>
      <c r="Y8" s="1942"/>
      <c r="Z8" s="1942"/>
      <c r="AA8" s="1943">
        <f t="shared" si="11"/>
        <v>0</v>
      </c>
      <c r="AB8" s="1941"/>
      <c r="AC8" s="1942"/>
      <c r="AD8" s="1942"/>
      <c r="AE8" s="1942"/>
      <c r="AF8" s="1942"/>
      <c r="AG8" s="1943">
        <f t="shared" si="12"/>
        <v>0</v>
      </c>
      <c r="AH8" s="1941"/>
      <c r="AI8" s="1942"/>
      <c r="AJ8" s="1942"/>
      <c r="AK8" s="1942"/>
      <c r="AL8" s="1942"/>
      <c r="AM8" s="1943">
        <f t="shared" si="13"/>
        <v>0</v>
      </c>
      <c r="AN8" s="1944">
        <v>0</v>
      </c>
      <c r="AO8" s="1945">
        <v>32310</v>
      </c>
      <c r="AP8" s="1945">
        <v>0</v>
      </c>
      <c r="AQ8" s="1945">
        <v>0</v>
      </c>
      <c r="AR8" s="1945">
        <v>0</v>
      </c>
      <c r="AS8" s="1946">
        <f t="shared" si="14"/>
        <v>32310</v>
      </c>
      <c r="AT8" s="1947"/>
      <c r="AU8" s="1948"/>
      <c r="AV8" s="1948"/>
      <c r="AW8" s="1948"/>
      <c r="AX8" s="1948"/>
      <c r="AY8" s="1949">
        <f t="shared" si="15"/>
        <v>0</v>
      </c>
      <c r="AZ8" s="1947"/>
      <c r="BA8" s="1948"/>
      <c r="BB8" s="1948"/>
      <c r="BC8" s="1948"/>
      <c r="BD8" s="1948"/>
      <c r="BE8" s="1949">
        <f t="shared" si="16"/>
        <v>0</v>
      </c>
    </row>
    <row r="9" spans="1:57" s="234" customFormat="1" ht="12.75" customHeight="1" x14ac:dyDescent="0.25">
      <c r="A9" s="1393" t="s">
        <v>20</v>
      </c>
      <c r="B9" s="1936" t="s">
        <v>21</v>
      </c>
      <c r="C9" s="1937" t="s">
        <v>265</v>
      </c>
      <c r="D9" s="1938">
        <f t="shared" si="3"/>
        <v>115789.38</v>
      </c>
      <c r="E9" s="1939">
        <f t="shared" si="4"/>
        <v>162208.38</v>
      </c>
      <c r="F9" s="1939">
        <f t="shared" si="5"/>
        <v>0</v>
      </c>
      <c r="G9" s="1939">
        <f t="shared" si="6"/>
        <v>7827.24</v>
      </c>
      <c r="H9" s="1939">
        <f t="shared" si="7"/>
        <v>7827.24</v>
      </c>
      <c r="I9" s="1940">
        <f t="shared" si="8"/>
        <v>285825</v>
      </c>
      <c r="J9" s="1941">
        <v>89186.38</v>
      </c>
      <c r="K9" s="1942">
        <v>89186.38</v>
      </c>
      <c r="L9" s="1942">
        <v>0</v>
      </c>
      <c r="M9" s="1942">
        <v>7827.24</v>
      </c>
      <c r="N9" s="1942">
        <v>0</v>
      </c>
      <c r="O9" s="1943">
        <f t="shared" si="9"/>
        <v>186200</v>
      </c>
      <c r="P9" s="1941">
        <v>18881</v>
      </c>
      <c r="Q9" s="1942">
        <v>18881</v>
      </c>
      <c r="R9" s="1942">
        <v>0</v>
      </c>
      <c r="S9" s="1942">
        <v>0</v>
      </c>
      <c r="T9" s="1942">
        <v>0</v>
      </c>
      <c r="U9" s="1943">
        <f t="shared" si="10"/>
        <v>37762</v>
      </c>
      <c r="V9" s="1941"/>
      <c r="W9" s="1942"/>
      <c r="X9" s="1942"/>
      <c r="Y9" s="1942"/>
      <c r="Z9" s="1942"/>
      <c r="AA9" s="1943">
        <f t="shared" si="11"/>
        <v>0</v>
      </c>
      <c r="AB9" s="1941"/>
      <c r="AC9" s="1942"/>
      <c r="AD9" s="1942"/>
      <c r="AE9" s="1942"/>
      <c r="AF9" s="1942"/>
      <c r="AG9" s="1943">
        <f t="shared" si="12"/>
        <v>0</v>
      </c>
      <c r="AH9" s="1941"/>
      <c r="AI9" s="1942"/>
      <c r="AJ9" s="1942"/>
      <c r="AK9" s="1942"/>
      <c r="AL9" s="1942"/>
      <c r="AM9" s="1943">
        <f t="shared" si="13"/>
        <v>0</v>
      </c>
      <c r="AN9" s="1944">
        <v>7722</v>
      </c>
      <c r="AO9" s="1945">
        <v>54141</v>
      </c>
      <c r="AP9" s="1945">
        <v>0</v>
      </c>
      <c r="AQ9" s="1945">
        <v>0</v>
      </c>
      <c r="AR9" s="1945">
        <v>0</v>
      </c>
      <c r="AS9" s="1946">
        <f t="shared" si="14"/>
        <v>61863</v>
      </c>
      <c r="AT9" s="1947"/>
      <c r="AU9" s="1948"/>
      <c r="AV9" s="1948"/>
      <c r="AW9" s="1948"/>
      <c r="AX9" s="1948"/>
      <c r="AY9" s="1949">
        <f t="shared" si="15"/>
        <v>0</v>
      </c>
      <c r="AZ9" s="1947"/>
      <c r="BA9" s="1948"/>
      <c r="BB9" s="1948"/>
      <c r="BC9" s="1948"/>
      <c r="BD9" s="1948"/>
      <c r="BE9" s="1949">
        <f t="shared" si="16"/>
        <v>0</v>
      </c>
    </row>
    <row r="10" spans="1:57" s="234" customFormat="1" ht="12.75" customHeight="1" x14ac:dyDescent="0.25">
      <c r="A10" s="1393" t="s">
        <v>22</v>
      </c>
      <c r="B10" s="1936" t="s">
        <v>23</v>
      </c>
      <c r="C10" s="1937" t="s">
        <v>265</v>
      </c>
      <c r="D10" s="1938">
        <f t="shared" si="3"/>
        <v>229327.68</v>
      </c>
      <c r="E10" s="1939">
        <f t="shared" si="4"/>
        <v>263526.68</v>
      </c>
      <c r="F10" s="1939">
        <f t="shared" si="5"/>
        <v>0</v>
      </c>
      <c r="G10" s="1939">
        <f t="shared" si="6"/>
        <v>-0.15000000000000002</v>
      </c>
      <c r="H10" s="1939">
        <f t="shared" si="7"/>
        <v>-0.15000000000000002</v>
      </c>
      <c r="I10" s="1940">
        <f t="shared" si="8"/>
        <v>492854.20999999996</v>
      </c>
      <c r="J10" s="1941">
        <v>154873.01999999999</v>
      </c>
      <c r="K10" s="1942">
        <v>154873.01999999999</v>
      </c>
      <c r="L10" s="1942">
        <v>0</v>
      </c>
      <c r="M10" s="1942">
        <v>-0.14000000000000001</v>
      </c>
      <c r="N10" s="1942">
        <v>0</v>
      </c>
      <c r="O10" s="1943">
        <f t="shared" si="9"/>
        <v>309745.89999999997</v>
      </c>
      <c r="P10" s="1944">
        <v>74319.5</v>
      </c>
      <c r="Q10" s="1945">
        <v>74319.5</v>
      </c>
      <c r="R10" s="1945">
        <v>0</v>
      </c>
      <c r="S10" s="1945">
        <v>0</v>
      </c>
      <c r="T10" s="1945">
        <v>0</v>
      </c>
      <c r="U10" s="1943">
        <f t="shared" si="10"/>
        <v>148639</v>
      </c>
      <c r="V10" s="1941">
        <v>135.16</v>
      </c>
      <c r="W10" s="1942">
        <v>135.16</v>
      </c>
      <c r="X10" s="1942">
        <v>0</v>
      </c>
      <c r="Y10" s="1942">
        <v>-0.01</v>
      </c>
      <c r="Z10" s="1942">
        <v>0</v>
      </c>
      <c r="AA10" s="1943">
        <f t="shared" si="11"/>
        <v>270.31</v>
      </c>
      <c r="AB10" s="1941"/>
      <c r="AC10" s="1942"/>
      <c r="AD10" s="1942"/>
      <c r="AE10" s="1942"/>
      <c r="AF10" s="1942"/>
      <c r="AG10" s="1943">
        <f t="shared" si="12"/>
        <v>0</v>
      </c>
      <c r="AH10" s="1941"/>
      <c r="AI10" s="1942"/>
      <c r="AJ10" s="1942"/>
      <c r="AK10" s="1942"/>
      <c r="AL10" s="1942"/>
      <c r="AM10" s="1943">
        <f t="shared" si="13"/>
        <v>0</v>
      </c>
      <c r="AN10" s="1944">
        <v>0</v>
      </c>
      <c r="AO10" s="1945">
        <v>34199</v>
      </c>
      <c r="AP10" s="1945">
        <v>0</v>
      </c>
      <c r="AQ10" s="1945">
        <v>0</v>
      </c>
      <c r="AR10" s="1945">
        <v>0</v>
      </c>
      <c r="AS10" s="1946">
        <f t="shared" si="14"/>
        <v>34199</v>
      </c>
      <c r="AT10" s="1947"/>
      <c r="AU10" s="1948"/>
      <c r="AV10" s="1948"/>
      <c r="AW10" s="1948"/>
      <c r="AX10" s="1948"/>
      <c r="AY10" s="1949">
        <f t="shared" si="15"/>
        <v>0</v>
      </c>
      <c r="AZ10" s="1947"/>
      <c r="BA10" s="1948"/>
      <c r="BB10" s="1948"/>
      <c r="BC10" s="1948"/>
      <c r="BD10" s="1948"/>
      <c r="BE10" s="1949">
        <f t="shared" si="16"/>
        <v>0</v>
      </c>
    </row>
    <row r="11" spans="1:57" s="234" customFormat="1" ht="12.75" customHeight="1" x14ac:dyDescent="0.25">
      <c r="A11" s="1393" t="s">
        <v>24</v>
      </c>
      <c r="B11" s="1936" t="s">
        <v>25</v>
      </c>
      <c r="C11" s="1937" t="s">
        <v>267</v>
      </c>
      <c r="D11" s="1938">
        <f t="shared" si="3"/>
        <v>1097996.0799999998</v>
      </c>
      <c r="E11" s="1939">
        <f t="shared" si="4"/>
        <v>1333391.47</v>
      </c>
      <c r="F11" s="1939">
        <f t="shared" si="5"/>
        <v>0</v>
      </c>
      <c r="G11" s="1939">
        <f t="shared" si="6"/>
        <v>-0.43</v>
      </c>
      <c r="H11" s="1939">
        <f t="shared" si="7"/>
        <v>-0.43</v>
      </c>
      <c r="I11" s="1940">
        <f t="shared" si="8"/>
        <v>2431387.1199999996</v>
      </c>
      <c r="J11" s="1941">
        <v>398008.18</v>
      </c>
      <c r="K11" s="1942">
        <v>398008.18</v>
      </c>
      <c r="L11" s="1942">
        <v>0</v>
      </c>
      <c r="M11" s="1942">
        <v>-0.3</v>
      </c>
      <c r="N11" s="1942">
        <v>0</v>
      </c>
      <c r="O11" s="1943">
        <f t="shared" si="9"/>
        <v>796016.05999999994</v>
      </c>
      <c r="P11" s="1941">
        <v>626694.78</v>
      </c>
      <c r="Q11" s="1942">
        <v>626694.78</v>
      </c>
      <c r="R11" s="1942">
        <v>0</v>
      </c>
      <c r="S11" s="1942">
        <v>-0.12</v>
      </c>
      <c r="T11" s="1942">
        <v>0</v>
      </c>
      <c r="U11" s="1943">
        <f t="shared" si="10"/>
        <v>1253389.44</v>
      </c>
      <c r="V11" s="1941">
        <v>3923.62</v>
      </c>
      <c r="W11" s="1942">
        <v>3923.62</v>
      </c>
      <c r="X11" s="1942">
        <v>0</v>
      </c>
      <c r="Y11" s="1942">
        <v>-0.01</v>
      </c>
      <c r="Z11" s="1942">
        <v>0</v>
      </c>
      <c r="AA11" s="1943">
        <f t="shared" si="11"/>
        <v>7847.23</v>
      </c>
      <c r="AB11" s="1941"/>
      <c r="AC11" s="1942"/>
      <c r="AD11" s="1942"/>
      <c r="AE11" s="1942"/>
      <c r="AF11" s="1942"/>
      <c r="AG11" s="1943">
        <f t="shared" si="12"/>
        <v>0</v>
      </c>
      <c r="AH11" s="1941"/>
      <c r="AI11" s="1942"/>
      <c r="AJ11" s="1942"/>
      <c r="AK11" s="1942"/>
      <c r="AL11" s="1942"/>
      <c r="AM11" s="1943">
        <f t="shared" si="13"/>
        <v>0</v>
      </c>
      <c r="AN11" s="1944">
        <v>65329.06</v>
      </c>
      <c r="AO11" s="1945">
        <v>304764.89</v>
      </c>
      <c r="AP11" s="1945">
        <v>0</v>
      </c>
      <c r="AQ11" s="1945">
        <v>0</v>
      </c>
      <c r="AR11" s="1945">
        <v>0</v>
      </c>
      <c r="AS11" s="1946">
        <f t="shared" si="14"/>
        <v>370093.95</v>
      </c>
      <c r="AT11" s="1947"/>
      <c r="AU11" s="1948"/>
      <c r="AV11" s="1948"/>
      <c r="AW11" s="1948"/>
      <c r="AX11" s="1948"/>
      <c r="AY11" s="1949">
        <f t="shared" si="15"/>
        <v>0</v>
      </c>
      <c r="AZ11" s="1947">
        <v>4040.44</v>
      </c>
      <c r="BA11" s="1948">
        <v>0</v>
      </c>
      <c r="BB11" s="1948">
        <v>0</v>
      </c>
      <c r="BC11" s="1948">
        <v>0</v>
      </c>
      <c r="BD11" s="1948">
        <v>0</v>
      </c>
      <c r="BE11" s="1949">
        <f t="shared" si="16"/>
        <v>4040.44</v>
      </c>
    </row>
    <row r="12" spans="1:57" s="234" customFormat="1" ht="12.75" customHeight="1" x14ac:dyDescent="0.25">
      <c r="A12" s="1393" t="s">
        <v>26</v>
      </c>
      <c r="B12" s="1936" t="s">
        <v>685</v>
      </c>
      <c r="C12" s="1937" t="s">
        <v>265</v>
      </c>
      <c r="D12" s="1938">
        <f t="shared" si="3"/>
        <v>2501554.2400000002</v>
      </c>
      <c r="E12" s="1939">
        <f t="shared" si="4"/>
        <v>3052765.44</v>
      </c>
      <c r="F12" s="1939">
        <f t="shared" si="5"/>
        <v>0</v>
      </c>
      <c r="G12" s="1939">
        <f t="shared" si="6"/>
        <v>-0.75000000000000011</v>
      </c>
      <c r="H12" s="1939">
        <f t="shared" si="7"/>
        <v>-0.75000000000000011</v>
      </c>
      <c r="I12" s="1940">
        <f t="shared" si="8"/>
        <v>5554318.9299999997</v>
      </c>
      <c r="J12" s="1941">
        <v>939052.63</v>
      </c>
      <c r="K12" s="1942">
        <v>939052.63</v>
      </c>
      <c r="L12" s="1942">
        <v>0</v>
      </c>
      <c r="M12" s="1942">
        <v>-0.64000000000000012</v>
      </c>
      <c r="N12" s="1942">
        <v>0</v>
      </c>
      <c r="O12" s="1943">
        <f t="shared" si="9"/>
        <v>1878104.62</v>
      </c>
      <c r="P12" s="1941">
        <v>1411820.62</v>
      </c>
      <c r="Q12" s="1942">
        <v>1411820.62</v>
      </c>
      <c r="R12" s="1942">
        <v>0</v>
      </c>
      <c r="S12" s="1942">
        <v>-0.02</v>
      </c>
      <c r="T12" s="1942">
        <v>0</v>
      </c>
      <c r="U12" s="1943">
        <f t="shared" si="10"/>
        <v>2823641.22</v>
      </c>
      <c r="V12" s="1941">
        <v>6392.73</v>
      </c>
      <c r="W12" s="1942">
        <v>6392.73</v>
      </c>
      <c r="X12" s="1942">
        <v>0</v>
      </c>
      <c r="Y12" s="1942">
        <v>-0.01</v>
      </c>
      <c r="Z12" s="1942">
        <v>0</v>
      </c>
      <c r="AA12" s="1943">
        <f t="shared" si="11"/>
        <v>12785.449999999999</v>
      </c>
      <c r="AB12" s="1941"/>
      <c r="AC12" s="1942"/>
      <c r="AD12" s="1942"/>
      <c r="AE12" s="1942"/>
      <c r="AF12" s="1942"/>
      <c r="AG12" s="1943">
        <f t="shared" si="12"/>
        <v>0</v>
      </c>
      <c r="AH12" s="1941"/>
      <c r="AI12" s="1942"/>
      <c r="AJ12" s="1942"/>
      <c r="AK12" s="1942"/>
      <c r="AL12" s="1942"/>
      <c r="AM12" s="1943">
        <f t="shared" si="13"/>
        <v>0</v>
      </c>
      <c r="AN12" s="1944">
        <v>139289.27000000002</v>
      </c>
      <c r="AO12" s="1945">
        <v>695499.46</v>
      </c>
      <c r="AP12" s="1945">
        <v>0</v>
      </c>
      <c r="AQ12" s="1945">
        <v>-0.08</v>
      </c>
      <c r="AR12" s="1945">
        <v>0</v>
      </c>
      <c r="AS12" s="1946">
        <f t="shared" si="14"/>
        <v>834788.65</v>
      </c>
      <c r="AT12" s="1947"/>
      <c r="AU12" s="1948"/>
      <c r="AV12" s="1948"/>
      <c r="AW12" s="1948"/>
      <c r="AX12" s="1948"/>
      <c r="AY12" s="1949">
        <f t="shared" si="15"/>
        <v>0</v>
      </c>
      <c r="AZ12" s="1947">
        <v>4998.99</v>
      </c>
      <c r="BA12" s="1948">
        <v>0</v>
      </c>
      <c r="BB12" s="1948">
        <v>0</v>
      </c>
      <c r="BC12" s="1948">
        <v>0</v>
      </c>
      <c r="BD12" s="1948">
        <v>0</v>
      </c>
      <c r="BE12" s="1949">
        <f t="shared" si="16"/>
        <v>4998.99</v>
      </c>
    </row>
    <row r="13" spans="1:57" s="234" customFormat="1" ht="12.75" customHeight="1" x14ac:dyDescent="0.25">
      <c r="A13" s="1393" t="s">
        <v>27</v>
      </c>
      <c r="B13" s="1936" t="s">
        <v>28</v>
      </c>
      <c r="C13" s="1937" t="s">
        <v>265</v>
      </c>
      <c r="D13" s="1938">
        <f t="shared" si="3"/>
        <v>50207.14</v>
      </c>
      <c r="E13" s="1939">
        <f t="shared" si="4"/>
        <v>51974.34</v>
      </c>
      <c r="F13" s="1939">
        <f t="shared" si="5"/>
        <v>0</v>
      </c>
      <c r="G13" s="1939">
        <f t="shared" si="6"/>
        <v>0</v>
      </c>
      <c r="H13" s="1939">
        <f t="shared" si="7"/>
        <v>0</v>
      </c>
      <c r="I13" s="1940">
        <f t="shared" si="8"/>
        <v>102181.48</v>
      </c>
      <c r="J13" s="1941">
        <v>8638.99</v>
      </c>
      <c r="K13" s="1942">
        <v>8638.99</v>
      </c>
      <c r="L13" s="1942">
        <v>0</v>
      </c>
      <c r="M13" s="1942">
        <v>0</v>
      </c>
      <c r="N13" s="1942">
        <v>0</v>
      </c>
      <c r="O13" s="1943">
        <f t="shared" si="9"/>
        <v>17277.98</v>
      </c>
      <c r="P13" s="1941">
        <v>40518.75</v>
      </c>
      <c r="Q13" s="1942">
        <v>40518.75</v>
      </c>
      <c r="R13" s="1942">
        <v>0</v>
      </c>
      <c r="S13" s="1942">
        <v>0</v>
      </c>
      <c r="T13" s="1942">
        <v>0</v>
      </c>
      <c r="U13" s="1943">
        <f t="shared" si="10"/>
        <v>81037.5</v>
      </c>
      <c r="V13" s="1941"/>
      <c r="W13" s="1942"/>
      <c r="X13" s="1942"/>
      <c r="Y13" s="1942"/>
      <c r="Z13" s="1942"/>
      <c r="AA13" s="1943">
        <f t="shared" si="11"/>
        <v>0</v>
      </c>
      <c r="AB13" s="1941"/>
      <c r="AC13" s="1942"/>
      <c r="AD13" s="1942"/>
      <c r="AE13" s="1942"/>
      <c r="AF13" s="1942"/>
      <c r="AG13" s="1943">
        <f t="shared" si="12"/>
        <v>0</v>
      </c>
      <c r="AH13" s="1941"/>
      <c r="AI13" s="1942"/>
      <c r="AJ13" s="1942"/>
      <c r="AK13" s="1942"/>
      <c r="AL13" s="1942"/>
      <c r="AM13" s="1943">
        <f t="shared" si="13"/>
        <v>0</v>
      </c>
      <c r="AN13" s="1944">
        <v>1049.4000000000001</v>
      </c>
      <c r="AO13" s="1945">
        <v>2816.6</v>
      </c>
      <c r="AP13" s="1945">
        <v>0</v>
      </c>
      <c r="AQ13" s="1945">
        <v>0</v>
      </c>
      <c r="AR13" s="1945">
        <v>0</v>
      </c>
      <c r="AS13" s="1946">
        <f t="shared" si="14"/>
        <v>3866</v>
      </c>
      <c r="AT13" s="1947"/>
      <c r="AU13" s="1948"/>
      <c r="AV13" s="1948"/>
      <c r="AW13" s="1948"/>
      <c r="AX13" s="1948"/>
      <c r="AY13" s="1949">
        <f t="shared" si="15"/>
        <v>0</v>
      </c>
      <c r="AZ13" s="1947"/>
      <c r="BA13" s="1948"/>
      <c r="BB13" s="1948"/>
      <c r="BC13" s="1948"/>
      <c r="BD13" s="1948"/>
      <c r="BE13" s="1949">
        <f t="shared" si="16"/>
        <v>0</v>
      </c>
    </row>
    <row r="14" spans="1:57" s="234" customFormat="1" ht="12.75" customHeight="1" x14ac:dyDescent="0.25">
      <c r="A14" s="1393" t="s">
        <v>29</v>
      </c>
      <c r="B14" s="1936" t="s">
        <v>901</v>
      </c>
      <c r="C14" s="1937" t="s">
        <v>265</v>
      </c>
      <c r="D14" s="1938">
        <f t="shared" si="3"/>
        <v>867830.16</v>
      </c>
      <c r="E14" s="1939">
        <f t="shared" si="4"/>
        <v>1284855.56</v>
      </c>
      <c r="F14" s="1939">
        <f t="shared" si="5"/>
        <v>0</v>
      </c>
      <c r="G14" s="1939">
        <f t="shared" si="6"/>
        <v>-0.24</v>
      </c>
      <c r="H14" s="1939">
        <f t="shared" si="7"/>
        <v>-0.24</v>
      </c>
      <c r="I14" s="1940">
        <f t="shared" si="8"/>
        <v>2152685.48</v>
      </c>
      <c r="J14" s="1941">
        <v>363291.85</v>
      </c>
      <c r="K14" s="1942">
        <v>363291.85</v>
      </c>
      <c r="L14" s="1942">
        <v>0</v>
      </c>
      <c r="M14" s="1942">
        <v>-0.21</v>
      </c>
      <c r="N14" s="1942">
        <v>0</v>
      </c>
      <c r="O14" s="1943">
        <f t="shared" si="9"/>
        <v>726583.49</v>
      </c>
      <c r="P14" s="1941">
        <v>497397.4</v>
      </c>
      <c r="Q14" s="1942">
        <v>497397.4</v>
      </c>
      <c r="R14" s="1942">
        <v>0</v>
      </c>
      <c r="S14" s="1942">
        <v>0</v>
      </c>
      <c r="T14" s="1942">
        <v>0</v>
      </c>
      <c r="U14" s="1943">
        <f t="shared" si="10"/>
        <v>994794.8</v>
      </c>
      <c r="V14" s="1941">
        <v>5396.73</v>
      </c>
      <c r="W14" s="1942">
        <v>5396.73</v>
      </c>
      <c r="X14" s="1942">
        <v>0</v>
      </c>
      <c r="Y14" s="1942">
        <v>-0.03</v>
      </c>
      <c r="Z14" s="1942">
        <v>0</v>
      </c>
      <c r="AA14" s="1943">
        <f t="shared" si="11"/>
        <v>10793.429999999998</v>
      </c>
      <c r="AB14" s="1941"/>
      <c r="AC14" s="1942"/>
      <c r="AD14" s="1942"/>
      <c r="AE14" s="1942"/>
      <c r="AF14" s="1942"/>
      <c r="AG14" s="1943">
        <f t="shared" si="12"/>
        <v>0</v>
      </c>
      <c r="AH14" s="1941"/>
      <c r="AI14" s="1942"/>
      <c r="AJ14" s="1942"/>
      <c r="AK14" s="1942"/>
      <c r="AL14" s="1942"/>
      <c r="AM14" s="1943">
        <f t="shared" si="13"/>
        <v>0</v>
      </c>
      <c r="AN14" s="1944">
        <v>312.18</v>
      </c>
      <c r="AO14" s="1945">
        <v>418769.58</v>
      </c>
      <c r="AP14" s="1945">
        <v>0</v>
      </c>
      <c r="AQ14" s="1945">
        <v>0</v>
      </c>
      <c r="AR14" s="1945">
        <v>0</v>
      </c>
      <c r="AS14" s="1946">
        <f t="shared" si="14"/>
        <v>419081.76</v>
      </c>
      <c r="AT14" s="1947"/>
      <c r="AU14" s="1948"/>
      <c r="AV14" s="1948"/>
      <c r="AW14" s="1948"/>
      <c r="AX14" s="1948"/>
      <c r="AY14" s="1949">
        <f t="shared" si="15"/>
        <v>0</v>
      </c>
      <c r="AZ14" s="1947">
        <v>1432</v>
      </c>
      <c r="BA14" s="1948">
        <v>0</v>
      </c>
      <c r="BB14" s="1948">
        <v>0</v>
      </c>
      <c r="BC14" s="1948">
        <v>0</v>
      </c>
      <c r="BD14" s="1948">
        <v>0</v>
      </c>
      <c r="BE14" s="1949">
        <f t="shared" si="16"/>
        <v>1432</v>
      </c>
    </row>
    <row r="15" spans="1:57" s="234" customFormat="1" ht="12.75" customHeight="1" x14ac:dyDescent="0.25">
      <c r="A15" s="1393" t="s">
        <v>30</v>
      </c>
      <c r="B15" s="1936" t="s">
        <v>31</v>
      </c>
      <c r="C15" s="1937" t="s">
        <v>268</v>
      </c>
      <c r="D15" s="1938">
        <f t="shared" si="3"/>
        <v>82521.62</v>
      </c>
      <c r="E15" s="1939">
        <f t="shared" si="4"/>
        <v>103506.71999999999</v>
      </c>
      <c r="F15" s="1939">
        <f t="shared" si="5"/>
        <v>0</v>
      </c>
      <c r="G15" s="1939">
        <f t="shared" si="6"/>
        <v>-0.02</v>
      </c>
      <c r="H15" s="1939">
        <f t="shared" si="7"/>
        <v>-0.02</v>
      </c>
      <c r="I15" s="1940">
        <f t="shared" si="8"/>
        <v>186028.31999999998</v>
      </c>
      <c r="J15" s="1941">
        <v>30919.58</v>
      </c>
      <c r="K15" s="1942">
        <v>30919.58</v>
      </c>
      <c r="L15" s="1942">
        <v>0</v>
      </c>
      <c r="M15" s="1942">
        <v>-0.01</v>
      </c>
      <c r="N15" s="1942">
        <v>0</v>
      </c>
      <c r="O15" s="1943">
        <f t="shared" si="9"/>
        <v>61839.15</v>
      </c>
      <c r="P15" s="1941">
        <v>50489.63</v>
      </c>
      <c r="Q15" s="1942">
        <v>50489.63</v>
      </c>
      <c r="R15" s="1942">
        <v>0</v>
      </c>
      <c r="S15" s="1942">
        <v>-0.01</v>
      </c>
      <c r="T15" s="1942">
        <v>0</v>
      </c>
      <c r="U15" s="1943">
        <f t="shared" si="10"/>
        <v>100979.25</v>
      </c>
      <c r="V15" s="1941"/>
      <c r="W15" s="1942"/>
      <c r="X15" s="1942"/>
      <c r="Y15" s="1942"/>
      <c r="Z15" s="1942"/>
      <c r="AA15" s="1943">
        <f t="shared" si="11"/>
        <v>0</v>
      </c>
      <c r="AB15" s="1941"/>
      <c r="AC15" s="1942"/>
      <c r="AD15" s="1942"/>
      <c r="AE15" s="1942"/>
      <c r="AF15" s="1942"/>
      <c r="AG15" s="1943">
        <f t="shared" si="12"/>
        <v>0</v>
      </c>
      <c r="AH15" s="1941"/>
      <c r="AI15" s="1942"/>
      <c r="AJ15" s="1942"/>
      <c r="AK15" s="1942"/>
      <c r="AL15" s="1942"/>
      <c r="AM15" s="1943">
        <f t="shared" si="13"/>
        <v>0</v>
      </c>
      <c r="AN15" s="1944">
        <v>1112.4100000000001</v>
      </c>
      <c r="AO15" s="1945">
        <v>22097.51</v>
      </c>
      <c r="AP15" s="1945">
        <v>0</v>
      </c>
      <c r="AQ15" s="1945">
        <v>0</v>
      </c>
      <c r="AR15" s="1945">
        <v>0</v>
      </c>
      <c r="AS15" s="1946">
        <f t="shared" si="14"/>
        <v>23209.919999999998</v>
      </c>
      <c r="AT15" s="1947"/>
      <c r="AU15" s="1948"/>
      <c r="AV15" s="1948"/>
      <c r="AW15" s="1948"/>
      <c r="AX15" s="1948"/>
      <c r="AY15" s="1949">
        <f t="shared" si="15"/>
        <v>0</v>
      </c>
      <c r="AZ15" s="1947"/>
      <c r="BA15" s="1948"/>
      <c r="BB15" s="1948"/>
      <c r="BC15" s="1948"/>
      <c r="BD15" s="1948"/>
      <c r="BE15" s="1949">
        <f t="shared" si="16"/>
        <v>0</v>
      </c>
    </row>
    <row r="16" spans="1:57" s="234" customFormat="1" ht="12.75" customHeight="1" x14ac:dyDescent="0.25">
      <c r="A16" s="1393" t="s">
        <v>32</v>
      </c>
      <c r="B16" s="1936" t="s">
        <v>33</v>
      </c>
      <c r="C16" s="1937" t="s">
        <v>265</v>
      </c>
      <c r="D16" s="1938">
        <f t="shared" si="3"/>
        <v>67246.66</v>
      </c>
      <c r="E16" s="1939">
        <f t="shared" si="4"/>
        <v>80268.87</v>
      </c>
      <c r="F16" s="1939">
        <f t="shared" si="5"/>
        <v>0</v>
      </c>
      <c r="G16" s="1939">
        <f t="shared" si="6"/>
        <v>-0.01</v>
      </c>
      <c r="H16" s="1939">
        <f t="shared" si="7"/>
        <v>-0.01</v>
      </c>
      <c r="I16" s="1940">
        <f t="shared" si="8"/>
        <v>147515.51999999999</v>
      </c>
      <c r="J16" s="1941"/>
      <c r="K16" s="1942"/>
      <c r="L16" s="1942"/>
      <c r="M16" s="1942"/>
      <c r="N16" s="1942"/>
      <c r="O16" s="1943">
        <f t="shared" si="9"/>
        <v>0</v>
      </c>
      <c r="P16" s="1941">
        <v>57740</v>
      </c>
      <c r="Q16" s="1942">
        <v>57740</v>
      </c>
      <c r="R16" s="1942">
        <v>0</v>
      </c>
      <c r="S16" s="1942">
        <v>0</v>
      </c>
      <c r="T16" s="1942">
        <v>0</v>
      </c>
      <c r="U16" s="1943">
        <f t="shared" si="10"/>
        <v>115480</v>
      </c>
      <c r="V16" s="1941">
        <v>988.62</v>
      </c>
      <c r="W16" s="1942">
        <v>988.62</v>
      </c>
      <c r="X16" s="1942">
        <v>0</v>
      </c>
      <c r="Y16" s="1942">
        <v>-0.01</v>
      </c>
      <c r="Z16" s="1942">
        <v>0</v>
      </c>
      <c r="AA16" s="1943">
        <f t="shared" si="11"/>
        <v>1977.23</v>
      </c>
      <c r="AB16" s="1941"/>
      <c r="AC16" s="1942"/>
      <c r="AD16" s="1942"/>
      <c r="AE16" s="1942"/>
      <c r="AF16" s="1942"/>
      <c r="AG16" s="1943">
        <f t="shared" si="12"/>
        <v>0</v>
      </c>
      <c r="AH16" s="1941"/>
      <c r="AI16" s="1942"/>
      <c r="AJ16" s="1942"/>
      <c r="AK16" s="1942"/>
      <c r="AL16" s="1942"/>
      <c r="AM16" s="1943">
        <f t="shared" si="13"/>
        <v>0</v>
      </c>
      <c r="AN16" s="1944">
        <v>3522.75</v>
      </c>
      <c r="AO16" s="1945">
        <v>21540.25</v>
      </c>
      <c r="AP16" s="1945">
        <v>0</v>
      </c>
      <c r="AQ16" s="1945">
        <v>0</v>
      </c>
      <c r="AR16" s="1945">
        <v>0</v>
      </c>
      <c r="AS16" s="1946">
        <f t="shared" si="14"/>
        <v>25063</v>
      </c>
      <c r="AT16" s="1947"/>
      <c r="AU16" s="1948"/>
      <c r="AV16" s="1948"/>
      <c r="AW16" s="1948"/>
      <c r="AX16" s="1948"/>
      <c r="AY16" s="1949">
        <f t="shared" si="15"/>
        <v>0</v>
      </c>
      <c r="AZ16" s="1947">
        <v>4995.29</v>
      </c>
      <c r="BA16" s="1948">
        <v>0</v>
      </c>
      <c r="BB16" s="1948">
        <v>0</v>
      </c>
      <c r="BC16" s="1948">
        <v>0</v>
      </c>
      <c r="BD16" s="1948">
        <v>0</v>
      </c>
      <c r="BE16" s="1949">
        <f t="shared" si="16"/>
        <v>4995.29</v>
      </c>
    </row>
    <row r="17" spans="1:57" s="234" customFormat="1" ht="12.75" customHeight="1" x14ac:dyDescent="0.25">
      <c r="A17" s="1393" t="s">
        <v>36</v>
      </c>
      <c r="B17" s="1936" t="s">
        <v>37</v>
      </c>
      <c r="C17" s="1937" t="s">
        <v>264</v>
      </c>
      <c r="D17" s="1938">
        <f t="shared" si="3"/>
        <v>50493.29</v>
      </c>
      <c r="E17" s="1939">
        <f t="shared" si="4"/>
        <v>50697.29</v>
      </c>
      <c r="F17" s="1939">
        <f t="shared" si="5"/>
        <v>0</v>
      </c>
      <c r="G17" s="1939">
        <f t="shared" si="6"/>
        <v>-0.01</v>
      </c>
      <c r="H17" s="1939">
        <f t="shared" si="7"/>
        <v>-0.01</v>
      </c>
      <c r="I17" s="1940">
        <f t="shared" si="8"/>
        <v>101190.57</v>
      </c>
      <c r="J17" s="1941">
        <v>3116.29</v>
      </c>
      <c r="K17" s="1942">
        <v>3116.29</v>
      </c>
      <c r="L17" s="1942">
        <v>0</v>
      </c>
      <c r="M17" s="1942">
        <v>-0.01</v>
      </c>
      <c r="N17" s="1942">
        <v>0</v>
      </c>
      <c r="O17" s="1943">
        <f t="shared" si="9"/>
        <v>6232.57</v>
      </c>
      <c r="P17" s="1941">
        <v>47179</v>
      </c>
      <c r="Q17" s="1942">
        <v>47179</v>
      </c>
      <c r="R17" s="1942">
        <v>0</v>
      </c>
      <c r="S17" s="1942">
        <v>0</v>
      </c>
      <c r="T17" s="1942">
        <v>0</v>
      </c>
      <c r="U17" s="1943">
        <f t="shared" si="10"/>
        <v>94358</v>
      </c>
      <c r="V17" s="1941"/>
      <c r="W17" s="1942"/>
      <c r="X17" s="1942"/>
      <c r="Y17" s="1942"/>
      <c r="Z17" s="1942"/>
      <c r="AA17" s="1943">
        <f t="shared" si="11"/>
        <v>0</v>
      </c>
      <c r="AB17" s="1941"/>
      <c r="AC17" s="1942"/>
      <c r="AD17" s="1942"/>
      <c r="AE17" s="1942"/>
      <c r="AF17" s="1942"/>
      <c r="AG17" s="1943">
        <f t="shared" si="12"/>
        <v>0</v>
      </c>
      <c r="AH17" s="1941"/>
      <c r="AI17" s="1942"/>
      <c r="AJ17" s="1942"/>
      <c r="AK17" s="1942"/>
      <c r="AL17" s="1942"/>
      <c r="AM17" s="1943">
        <f t="shared" si="13"/>
        <v>0</v>
      </c>
      <c r="AN17" s="1944">
        <v>198</v>
      </c>
      <c r="AO17" s="1945">
        <v>402</v>
      </c>
      <c r="AP17" s="1945">
        <v>0</v>
      </c>
      <c r="AQ17" s="1945">
        <v>0</v>
      </c>
      <c r="AR17" s="1945">
        <v>0</v>
      </c>
      <c r="AS17" s="1946">
        <f t="shared" si="14"/>
        <v>600</v>
      </c>
      <c r="AT17" s="1947"/>
      <c r="AU17" s="1948"/>
      <c r="AV17" s="1948"/>
      <c r="AW17" s="1948"/>
      <c r="AX17" s="1948"/>
      <c r="AY17" s="1949">
        <f t="shared" si="15"/>
        <v>0</v>
      </c>
      <c r="AZ17" s="1947"/>
      <c r="BA17" s="1948"/>
      <c r="BB17" s="1948"/>
      <c r="BC17" s="1948"/>
      <c r="BD17" s="1948"/>
      <c r="BE17" s="1949">
        <f t="shared" si="16"/>
        <v>0</v>
      </c>
    </row>
    <row r="18" spans="1:57" s="234" customFormat="1" ht="12.75" customHeight="1" x14ac:dyDescent="0.25">
      <c r="A18" s="1393" t="s">
        <v>38</v>
      </c>
      <c r="B18" s="1936" t="s">
        <v>39</v>
      </c>
      <c r="C18" s="1937" t="s">
        <v>268</v>
      </c>
      <c r="D18" s="1938">
        <f t="shared" si="3"/>
        <v>971342.40999999992</v>
      </c>
      <c r="E18" s="1939">
        <f t="shared" si="4"/>
        <v>1176208.7999999998</v>
      </c>
      <c r="F18" s="1939">
        <f t="shared" si="5"/>
        <v>0</v>
      </c>
      <c r="G18" s="1939">
        <f t="shared" si="6"/>
        <v>-0.18000000000000002</v>
      </c>
      <c r="H18" s="1939">
        <f t="shared" si="7"/>
        <v>-0.18000000000000002</v>
      </c>
      <c r="I18" s="1940">
        <f t="shared" si="8"/>
        <v>2147551.0299999998</v>
      </c>
      <c r="J18" s="1941">
        <v>491115.52000000002</v>
      </c>
      <c r="K18" s="1942">
        <v>491115.52000000002</v>
      </c>
      <c r="L18" s="1942">
        <v>0</v>
      </c>
      <c r="M18" s="1942">
        <v>-0.17</v>
      </c>
      <c r="N18" s="1942">
        <v>0</v>
      </c>
      <c r="O18" s="1943">
        <f t="shared" si="9"/>
        <v>982230.87</v>
      </c>
      <c r="P18" s="1941">
        <v>459720.91</v>
      </c>
      <c r="Q18" s="1942">
        <v>459720.91</v>
      </c>
      <c r="R18" s="1942">
        <v>0</v>
      </c>
      <c r="S18" s="1942">
        <v>-0.01</v>
      </c>
      <c r="T18" s="1942">
        <v>0</v>
      </c>
      <c r="U18" s="1943">
        <f t="shared" si="10"/>
        <v>919441.80999999994</v>
      </c>
      <c r="V18" s="1941"/>
      <c r="W18" s="1942"/>
      <c r="X18" s="1942"/>
      <c r="Y18" s="1942"/>
      <c r="Z18" s="1942"/>
      <c r="AA18" s="1943">
        <f t="shared" si="11"/>
        <v>0</v>
      </c>
      <c r="AB18" s="1941"/>
      <c r="AC18" s="1942"/>
      <c r="AD18" s="1942"/>
      <c r="AE18" s="1942"/>
      <c r="AF18" s="1942"/>
      <c r="AG18" s="1943">
        <f t="shared" si="12"/>
        <v>0</v>
      </c>
      <c r="AH18" s="1941"/>
      <c r="AI18" s="1942"/>
      <c r="AJ18" s="1942"/>
      <c r="AK18" s="1942"/>
      <c r="AL18" s="1942"/>
      <c r="AM18" s="1943">
        <f t="shared" si="13"/>
        <v>0</v>
      </c>
      <c r="AN18" s="1944">
        <v>20505.98</v>
      </c>
      <c r="AO18" s="1945">
        <v>225372.37</v>
      </c>
      <c r="AP18" s="1945">
        <v>0</v>
      </c>
      <c r="AQ18" s="1945">
        <v>0</v>
      </c>
      <c r="AR18" s="1945">
        <v>0</v>
      </c>
      <c r="AS18" s="1946">
        <f t="shared" si="14"/>
        <v>245878.35</v>
      </c>
      <c r="AT18" s="1947"/>
      <c r="AU18" s="1948"/>
      <c r="AV18" s="1948"/>
      <c r="AW18" s="1948"/>
      <c r="AX18" s="1948"/>
      <c r="AY18" s="1949">
        <f t="shared" si="15"/>
        <v>0</v>
      </c>
      <c r="AZ18" s="1947"/>
      <c r="BA18" s="1948"/>
      <c r="BB18" s="1948"/>
      <c r="BC18" s="1948"/>
      <c r="BD18" s="1948"/>
      <c r="BE18" s="1949">
        <f t="shared" si="16"/>
        <v>0</v>
      </c>
    </row>
    <row r="19" spans="1:57" s="234" customFormat="1" ht="12.75" customHeight="1" x14ac:dyDescent="0.25">
      <c r="A19" s="1393" t="s">
        <v>40</v>
      </c>
      <c r="B19" s="1936" t="s">
        <v>41</v>
      </c>
      <c r="C19" s="1937" t="s">
        <v>266</v>
      </c>
      <c r="D19" s="1938">
        <f t="shared" si="3"/>
        <v>91380.440000000017</v>
      </c>
      <c r="E19" s="1939">
        <f t="shared" si="4"/>
        <v>123694.62000000001</v>
      </c>
      <c r="F19" s="1939">
        <f t="shared" si="5"/>
        <v>0</v>
      </c>
      <c r="G19" s="1939">
        <f t="shared" si="6"/>
        <v>55.99</v>
      </c>
      <c r="H19" s="1939">
        <f t="shared" si="7"/>
        <v>55.99</v>
      </c>
      <c r="I19" s="1940">
        <f t="shared" si="8"/>
        <v>215131.05000000002</v>
      </c>
      <c r="J19" s="1941">
        <v>15824.57</v>
      </c>
      <c r="K19" s="1942">
        <v>15824.57</v>
      </c>
      <c r="L19" s="1942">
        <v>0</v>
      </c>
      <c r="M19" s="1942">
        <v>56</v>
      </c>
      <c r="N19" s="1942">
        <v>0</v>
      </c>
      <c r="O19" s="1943">
        <f t="shared" si="9"/>
        <v>31705.14</v>
      </c>
      <c r="P19" s="1941">
        <v>63120.25</v>
      </c>
      <c r="Q19" s="1942">
        <v>63120.25</v>
      </c>
      <c r="R19" s="1942">
        <v>0</v>
      </c>
      <c r="S19" s="1942">
        <v>0</v>
      </c>
      <c r="T19" s="1942">
        <v>0</v>
      </c>
      <c r="U19" s="1943">
        <f t="shared" si="10"/>
        <v>126240.5</v>
      </c>
      <c r="V19" s="1941">
        <v>10999.8</v>
      </c>
      <c r="W19" s="1942">
        <v>10999.8</v>
      </c>
      <c r="X19" s="1942">
        <v>0</v>
      </c>
      <c r="Y19" s="1942">
        <v>-0.01</v>
      </c>
      <c r="Z19" s="1942">
        <v>0</v>
      </c>
      <c r="AA19" s="1943">
        <f t="shared" si="11"/>
        <v>21999.59</v>
      </c>
      <c r="AB19" s="1941"/>
      <c r="AC19" s="1942"/>
      <c r="AD19" s="1942"/>
      <c r="AE19" s="1942"/>
      <c r="AF19" s="1942"/>
      <c r="AG19" s="1943">
        <f t="shared" si="12"/>
        <v>0</v>
      </c>
      <c r="AH19" s="1941"/>
      <c r="AI19" s="1942"/>
      <c r="AJ19" s="1942"/>
      <c r="AK19" s="1942"/>
      <c r="AL19" s="1942"/>
      <c r="AM19" s="1943">
        <f t="shared" si="13"/>
        <v>0</v>
      </c>
      <c r="AN19" s="1944">
        <v>0</v>
      </c>
      <c r="AO19" s="1945">
        <v>33750</v>
      </c>
      <c r="AP19" s="1945">
        <v>0</v>
      </c>
      <c r="AQ19" s="1945">
        <v>0</v>
      </c>
      <c r="AR19" s="1945">
        <v>0</v>
      </c>
      <c r="AS19" s="1946">
        <f t="shared" si="14"/>
        <v>33750</v>
      </c>
      <c r="AT19" s="1947"/>
      <c r="AU19" s="1948"/>
      <c r="AV19" s="1948"/>
      <c r="AW19" s="1948"/>
      <c r="AX19" s="1948"/>
      <c r="AY19" s="1949">
        <f t="shared" si="15"/>
        <v>0</v>
      </c>
      <c r="AZ19" s="1947">
        <v>1435.82</v>
      </c>
      <c r="BA19" s="1948">
        <v>0</v>
      </c>
      <c r="BB19" s="1948">
        <v>0</v>
      </c>
      <c r="BC19" s="1948">
        <v>0</v>
      </c>
      <c r="BD19" s="1948">
        <v>0</v>
      </c>
      <c r="BE19" s="1949">
        <f t="shared" si="16"/>
        <v>1435.82</v>
      </c>
    </row>
    <row r="20" spans="1:57" s="234" customFormat="1" ht="12.75" customHeight="1" x14ac:dyDescent="0.25">
      <c r="A20" s="1393" t="s">
        <v>42</v>
      </c>
      <c r="B20" s="1936" t="s">
        <v>43</v>
      </c>
      <c r="C20" s="1937" t="s">
        <v>265</v>
      </c>
      <c r="D20" s="1938">
        <f t="shared" si="3"/>
        <v>908928.18</v>
      </c>
      <c r="E20" s="1939">
        <f t="shared" si="4"/>
        <v>1375251.1099999999</v>
      </c>
      <c r="F20" s="1939">
        <f t="shared" si="5"/>
        <v>0</v>
      </c>
      <c r="G20" s="1939">
        <f t="shared" si="6"/>
        <v>121.72000000000001</v>
      </c>
      <c r="H20" s="1939">
        <f t="shared" si="7"/>
        <v>121.72000000000001</v>
      </c>
      <c r="I20" s="1940">
        <f t="shared" si="8"/>
        <v>2284301.0100000002</v>
      </c>
      <c r="J20" s="1941">
        <v>269141.76000000001</v>
      </c>
      <c r="K20" s="1942">
        <v>269141.76000000001</v>
      </c>
      <c r="L20" s="1942">
        <v>0</v>
      </c>
      <c r="M20" s="1942">
        <v>-0.24</v>
      </c>
      <c r="N20" s="1942">
        <v>0</v>
      </c>
      <c r="O20" s="1943">
        <f t="shared" si="9"/>
        <v>538283.28</v>
      </c>
      <c r="P20" s="1941">
        <v>614398</v>
      </c>
      <c r="Q20" s="1942">
        <v>614398</v>
      </c>
      <c r="R20" s="1942">
        <v>0</v>
      </c>
      <c r="S20" s="1942">
        <v>122.06</v>
      </c>
      <c r="T20" s="1942">
        <v>0</v>
      </c>
      <c r="U20" s="1943">
        <f t="shared" si="10"/>
        <v>1228918.06</v>
      </c>
      <c r="V20" s="1941"/>
      <c r="W20" s="1942"/>
      <c r="X20" s="1942"/>
      <c r="Y20" s="1942"/>
      <c r="Z20" s="1942"/>
      <c r="AA20" s="1943">
        <f t="shared" si="11"/>
        <v>0</v>
      </c>
      <c r="AB20" s="1941"/>
      <c r="AC20" s="1942"/>
      <c r="AD20" s="1942"/>
      <c r="AE20" s="1942"/>
      <c r="AF20" s="1942"/>
      <c r="AG20" s="1943">
        <f t="shared" si="12"/>
        <v>0</v>
      </c>
      <c r="AH20" s="1941"/>
      <c r="AI20" s="1942"/>
      <c r="AJ20" s="1942"/>
      <c r="AK20" s="1942"/>
      <c r="AL20" s="1942"/>
      <c r="AM20" s="1943">
        <f t="shared" si="13"/>
        <v>0</v>
      </c>
      <c r="AN20" s="1944">
        <v>22098.5</v>
      </c>
      <c r="AO20" s="1945">
        <v>491711.35</v>
      </c>
      <c r="AP20" s="1945">
        <v>0</v>
      </c>
      <c r="AQ20" s="1945">
        <v>-0.1</v>
      </c>
      <c r="AR20" s="1945">
        <v>0</v>
      </c>
      <c r="AS20" s="1946">
        <f t="shared" si="14"/>
        <v>513809.75</v>
      </c>
      <c r="AT20" s="1947"/>
      <c r="AU20" s="1948"/>
      <c r="AV20" s="1948"/>
      <c r="AW20" s="1948"/>
      <c r="AX20" s="1948"/>
      <c r="AY20" s="1949">
        <f t="shared" si="15"/>
        <v>0</v>
      </c>
      <c r="AZ20" s="1947">
        <v>3289.92</v>
      </c>
      <c r="BA20" s="1948">
        <v>0</v>
      </c>
      <c r="BB20" s="1948">
        <v>0</v>
      </c>
      <c r="BC20" s="1948">
        <v>0</v>
      </c>
      <c r="BD20" s="1948">
        <v>0</v>
      </c>
      <c r="BE20" s="1949">
        <f t="shared" si="16"/>
        <v>3289.92</v>
      </c>
    </row>
    <row r="21" spans="1:57" s="234" customFormat="1" ht="12.75" customHeight="1" x14ac:dyDescent="0.25">
      <c r="A21" s="1393" t="s">
        <v>44</v>
      </c>
      <c r="B21" s="1936" t="s">
        <v>45</v>
      </c>
      <c r="C21" s="1937" t="s">
        <v>266</v>
      </c>
      <c r="D21" s="1938">
        <f t="shared" si="3"/>
        <v>311290.03999999998</v>
      </c>
      <c r="E21" s="1939">
        <f t="shared" si="4"/>
        <v>321749.28999999998</v>
      </c>
      <c r="F21" s="1939">
        <f t="shared" si="5"/>
        <v>0</v>
      </c>
      <c r="G21" s="1939">
        <f t="shared" si="6"/>
        <v>-1440.9099999999999</v>
      </c>
      <c r="H21" s="1939">
        <f t="shared" si="7"/>
        <v>-1440.9099999999999</v>
      </c>
      <c r="I21" s="1940">
        <f t="shared" si="8"/>
        <v>631598.41999999993</v>
      </c>
      <c r="J21" s="1941">
        <v>254750.67</v>
      </c>
      <c r="K21" s="1942">
        <v>254750.67</v>
      </c>
      <c r="L21" s="1942">
        <v>0</v>
      </c>
      <c r="M21" s="1942">
        <v>-1440.87</v>
      </c>
      <c r="N21" s="1942">
        <v>0</v>
      </c>
      <c r="O21" s="1943">
        <f t="shared" si="9"/>
        <v>508060.47000000003</v>
      </c>
      <c r="P21" s="1941">
        <v>46364.89</v>
      </c>
      <c r="Q21" s="1942">
        <v>46364.89</v>
      </c>
      <c r="R21" s="1942">
        <v>0</v>
      </c>
      <c r="S21" s="1942">
        <v>-0.02</v>
      </c>
      <c r="T21" s="1942">
        <v>0</v>
      </c>
      <c r="U21" s="1943">
        <f t="shared" si="10"/>
        <v>92729.76</v>
      </c>
      <c r="V21" s="1941">
        <v>9614.73</v>
      </c>
      <c r="W21" s="1942">
        <v>9614.73</v>
      </c>
      <c r="X21" s="1942">
        <v>0</v>
      </c>
      <c r="Y21" s="1942">
        <v>-0.02</v>
      </c>
      <c r="Z21" s="1942">
        <v>0</v>
      </c>
      <c r="AA21" s="1943">
        <f t="shared" si="11"/>
        <v>19229.439999999999</v>
      </c>
      <c r="AB21" s="1941"/>
      <c r="AC21" s="1942"/>
      <c r="AD21" s="1942"/>
      <c r="AE21" s="1942"/>
      <c r="AF21" s="1942"/>
      <c r="AG21" s="1943">
        <f t="shared" si="12"/>
        <v>0</v>
      </c>
      <c r="AH21" s="1941"/>
      <c r="AI21" s="1942"/>
      <c r="AJ21" s="1942"/>
      <c r="AK21" s="1942"/>
      <c r="AL21" s="1942"/>
      <c r="AM21" s="1943">
        <f t="shared" si="13"/>
        <v>0</v>
      </c>
      <c r="AN21" s="1944">
        <v>0</v>
      </c>
      <c r="AO21" s="1945">
        <v>11019</v>
      </c>
      <c r="AP21" s="1945">
        <v>0</v>
      </c>
      <c r="AQ21" s="1945">
        <v>0</v>
      </c>
      <c r="AR21" s="1945">
        <v>0</v>
      </c>
      <c r="AS21" s="1946">
        <f t="shared" si="14"/>
        <v>11019</v>
      </c>
      <c r="AT21" s="1947"/>
      <c r="AU21" s="1948"/>
      <c r="AV21" s="1948"/>
      <c r="AW21" s="1948"/>
      <c r="AX21" s="1948"/>
      <c r="AY21" s="1949">
        <f t="shared" si="15"/>
        <v>0</v>
      </c>
      <c r="AZ21" s="1947">
        <v>559.75</v>
      </c>
      <c r="BA21" s="1948">
        <v>0</v>
      </c>
      <c r="BB21" s="1948">
        <v>0</v>
      </c>
      <c r="BC21" s="1948">
        <v>0</v>
      </c>
      <c r="BD21" s="1948">
        <v>0</v>
      </c>
      <c r="BE21" s="1949">
        <f t="shared" si="16"/>
        <v>559.75</v>
      </c>
    </row>
    <row r="22" spans="1:57" s="234" customFormat="1" ht="12.75" customHeight="1" x14ac:dyDescent="0.25">
      <c r="A22" s="1393" t="s">
        <v>46</v>
      </c>
      <c r="B22" s="1936" t="s">
        <v>47</v>
      </c>
      <c r="C22" s="1937" t="s">
        <v>268</v>
      </c>
      <c r="D22" s="1938">
        <f t="shared" si="3"/>
        <v>501999.55</v>
      </c>
      <c r="E22" s="1939">
        <f t="shared" si="4"/>
        <v>599213.06999999995</v>
      </c>
      <c r="F22" s="1939">
        <f t="shared" si="5"/>
        <v>0</v>
      </c>
      <c r="G22" s="1939">
        <f t="shared" si="6"/>
        <v>-0.16</v>
      </c>
      <c r="H22" s="1939">
        <f t="shared" si="7"/>
        <v>-0.16</v>
      </c>
      <c r="I22" s="1940">
        <f t="shared" si="8"/>
        <v>1101212.46</v>
      </c>
      <c r="J22" s="1941">
        <v>296302.95</v>
      </c>
      <c r="K22" s="1942">
        <v>296302.95</v>
      </c>
      <c r="L22" s="1942">
        <v>0</v>
      </c>
      <c r="M22" s="1942">
        <v>-0.15</v>
      </c>
      <c r="N22" s="1942">
        <v>0</v>
      </c>
      <c r="O22" s="1943">
        <f t="shared" si="9"/>
        <v>592605.75</v>
      </c>
      <c r="P22" s="1941">
        <v>201267.43</v>
      </c>
      <c r="Q22" s="1942">
        <v>201267.43</v>
      </c>
      <c r="R22" s="1942">
        <v>0</v>
      </c>
      <c r="S22" s="1942">
        <v>0.01</v>
      </c>
      <c r="T22" s="1942">
        <v>0</v>
      </c>
      <c r="U22" s="1943">
        <f t="shared" si="10"/>
        <v>402534.87</v>
      </c>
      <c r="V22" s="1941">
        <v>1693.55</v>
      </c>
      <c r="W22" s="1942">
        <v>1693.55</v>
      </c>
      <c r="X22" s="1942">
        <v>0</v>
      </c>
      <c r="Y22" s="1942">
        <v>-0.01</v>
      </c>
      <c r="Z22" s="1942">
        <v>0</v>
      </c>
      <c r="AA22" s="1943">
        <f t="shared" si="11"/>
        <v>3387.0899999999997</v>
      </c>
      <c r="AB22" s="1941"/>
      <c r="AC22" s="1942"/>
      <c r="AD22" s="1942"/>
      <c r="AE22" s="1942"/>
      <c r="AF22" s="1942"/>
      <c r="AG22" s="1943">
        <f t="shared" si="12"/>
        <v>0</v>
      </c>
      <c r="AH22" s="1941"/>
      <c r="AI22" s="1942"/>
      <c r="AJ22" s="1942"/>
      <c r="AK22" s="1942"/>
      <c r="AL22" s="1942"/>
      <c r="AM22" s="1943">
        <f t="shared" si="13"/>
        <v>0</v>
      </c>
      <c r="AN22" s="1944">
        <v>2735.62</v>
      </c>
      <c r="AO22" s="1945">
        <v>99949.14</v>
      </c>
      <c r="AP22" s="1945">
        <v>0</v>
      </c>
      <c r="AQ22" s="1945">
        <v>-0.01</v>
      </c>
      <c r="AR22" s="1945">
        <v>0</v>
      </c>
      <c r="AS22" s="1946">
        <f t="shared" si="14"/>
        <v>102684.75</v>
      </c>
      <c r="AT22" s="1947"/>
      <c r="AU22" s="1948"/>
      <c r="AV22" s="1948"/>
      <c r="AW22" s="1948"/>
      <c r="AX22" s="1948"/>
      <c r="AY22" s="1949">
        <f t="shared" si="15"/>
        <v>0</v>
      </c>
      <c r="AZ22" s="1947"/>
      <c r="BA22" s="1948"/>
      <c r="BB22" s="1948"/>
      <c r="BC22" s="1948"/>
      <c r="BD22" s="1948"/>
      <c r="BE22" s="1949">
        <f t="shared" si="16"/>
        <v>0</v>
      </c>
    </row>
    <row r="23" spans="1:57" s="234" customFormat="1" ht="12.75" customHeight="1" x14ac:dyDescent="0.25">
      <c r="A23" s="1393" t="s">
        <v>48</v>
      </c>
      <c r="B23" s="1936" t="s">
        <v>269</v>
      </c>
      <c r="C23" s="1937" t="s">
        <v>266</v>
      </c>
      <c r="D23" s="1938">
        <f t="shared" si="3"/>
        <v>3857.6</v>
      </c>
      <c r="E23" s="1939">
        <f t="shared" si="4"/>
        <v>11036.4</v>
      </c>
      <c r="F23" s="1939">
        <f t="shared" si="5"/>
        <v>0</v>
      </c>
      <c r="G23" s="1939">
        <f t="shared" si="6"/>
        <v>2</v>
      </c>
      <c r="H23" s="1939">
        <f t="shared" si="7"/>
        <v>2</v>
      </c>
      <c r="I23" s="1940">
        <f t="shared" si="8"/>
        <v>14896</v>
      </c>
      <c r="J23" s="1944"/>
      <c r="K23" s="1945"/>
      <c r="L23" s="1945"/>
      <c r="M23" s="1945"/>
      <c r="N23" s="1945"/>
      <c r="O23" s="1943">
        <f t="shared" si="9"/>
        <v>0</v>
      </c>
      <c r="P23" s="1941">
        <v>3306.5</v>
      </c>
      <c r="Q23" s="1942">
        <v>3306.5</v>
      </c>
      <c r="R23" s="1942">
        <v>0</v>
      </c>
      <c r="S23" s="1942">
        <v>0</v>
      </c>
      <c r="T23" s="1942">
        <v>0</v>
      </c>
      <c r="U23" s="1943">
        <f t="shared" si="10"/>
        <v>6613</v>
      </c>
      <c r="V23" s="1941"/>
      <c r="W23" s="1942"/>
      <c r="X23" s="1942"/>
      <c r="Y23" s="1942"/>
      <c r="Z23" s="1942"/>
      <c r="AA23" s="1943">
        <f t="shared" si="11"/>
        <v>0</v>
      </c>
      <c r="AB23" s="1941"/>
      <c r="AC23" s="1942"/>
      <c r="AD23" s="1942"/>
      <c r="AE23" s="1942"/>
      <c r="AF23" s="1942"/>
      <c r="AG23" s="1943">
        <f t="shared" si="12"/>
        <v>0</v>
      </c>
      <c r="AH23" s="1941"/>
      <c r="AI23" s="1942"/>
      <c r="AJ23" s="1942"/>
      <c r="AK23" s="1942"/>
      <c r="AL23" s="1942"/>
      <c r="AM23" s="1943">
        <f t="shared" si="13"/>
        <v>0</v>
      </c>
      <c r="AN23" s="1944">
        <v>551.1</v>
      </c>
      <c r="AO23" s="1945">
        <v>7729.9</v>
      </c>
      <c r="AP23" s="1945">
        <v>0</v>
      </c>
      <c r="AQ23" s="1945">
        <v>0</v>
      </c>
      <c r="AR23" s="1945">
        <v>2</v>
      </c>
      <c r="AS23" s="1946">
        <f t="shared" si="14"/>
        <v>8283</v>
      </c>
      <c r="AT23" s="1947"/>
      <c r="AU23" s="1948"/>
      <c r="AV23" s="1948"/>
      <c r="AW23" s="1948"/>
      <c r="AX23" s="1948"/>
      <c r="AY23" s="1949">
        <f t="shared" si="15"/>
        <v>0</v>
      </c>
      <c r="AZ23" s="1947"/>
      <c r="BA23" s="1948"/>
      <c r="BB23" s="1948"/>
      <c r="BC23" s="1948"/>
      <c r="BD23" s="1948"/>
      <c r="BE23" s="1949">
        <f t="shared" si="16"/>
        <v>0</v>
      </c>
    </row>
    <row r="24" spans="1:57" s="234" customFormat="1" ht="12.75" customHeight="1" x14ac:dyDescent="0.25">
      <c r="A24" s="1393" t="s">
        <v>50</v>
      </c>
      <c r="B24" s="1936" t="s">
        <v>51</v>
      </c>
      <c r="C24" s="1937" t="s">
        <v>265</v>
      </c>
      <c r="D24" s="1938">
        <f t="shared" si="3"/>
        <v>258327.85</v>
      </c>
      <c r="E24" s="1939">
        <f t="shared" si="4"/>
        <v>258327.85</v>
      </c>
      <c r="F24" s="1939">
        <f t="shared" si="5"/>
        <v>0</v>
      </c>
      <c r="G24" s="1939">
        <f t="shared" si="6"/>
        <v>-0.16</v>
      </c>
      <c r="H24" s="1939">
        <f t="shared" si="7"/>
        <v>-0.16</v>
      </c>
      <c r="I24" s="1940">
        <f t="shared" si="8"/>
        <v>516655.54000000004</v>
      </c>
      <c r="J24" s="1941">
        <v>120657.84</v>
      </c>
      <c r="K24" s="1942">
        <v>120657.84</v>
      </c>
      <c r="L24" s="1942">
        <v>0</v>
      </c>
      <c r="M24" s="1942">
        <v>-0.15</v>
      </c>
      <c r="N24" s="1942">
        <v>0</v>
      </c>
      <c r="O24" s="1943">
        <f t="shared" si="9"/>
        <v>241315.53</v>
      </c>
      <c r="P24" s="1941">
        <v>137670.01</v>
      </c>
      <c r="Q24" s="1942">
        <v>137670.01</v>
      </c>
      <c r="R24" s="1942">
        <v>0</v>
      </c>
      <c r="S24" s="1942">
        <v>-0.01</v>
      </c>
      <c r="T24" s="1942">
        <v>0</v>
      </c>
      <c r="U24" s="1943">
        <f t="shared" si="10"/>
        <v>275340.01</v>
      </c>
      <c r="V24" s="1944"/>
      <c r="W24" s="1945"/>
      <c r="X24" s="1945"/>
      <c r="Y24" s="1945"/>
      <c r="Z24" s="1945"/>
      <c r="AA24" s="1943">
        <f t="shared" si="11"/>
        <v>0</v>
      </c>
      <c r="AB24" s="1944"/>
      <c r="AC24" s="1945"/>
      <c r="AD24" s="1945"/>
      <c r="AE24" s="1945"/>
      <c r="AF24" s="1945"/>
      <c r="AG24" s="1943">
        <f t="shared" si="12"/>
        <v>0</v>
      </c>
      <c r="AH24" s="1944"/>
      <c r="AI24" s="1945"/>
      <c r="AJ24" s="1945"/>
      <c r="AK24" s="1945"/>
      <c r="AL24" s="1945"/>
      <c r="AM24" s="1943">
        <f t="shared" si="13"/>
        <v>0</v>
      </c>
      <c r="AN24" s="1944"/>
      <c r="AO24" s="1945"/>
      <c r="AP24" s="1945"/>
      <c r="AQ24" s="1945"/>
      <c r="AR24" s="1945"/>
      <c r="AS24" s="1946">
        <f t="shared" si="14"/>
        <v>0</v>
      </c>
      <c r="AT24" s="1947"/>
      <c r="AU24" s="1948"/>
      <c r="AV24" s="1948"/>
      <c r="AW24" s="1948"/>
      <c r="AX24" s="1948"/>
      <c r="AY24" s="1949">
        <f t="shared" si="15"/>
        <v>0</v>
      </c>
      <c r="AZ24" s="1947"/>
      <c r="BA24" s="1948"/>
      <c r="BB24" s="1948"/>
      <c r="BC24" s="1948"/>
      <c r="BD24" s="1948"/>
      <c r="BE24" s="1949">
        <f t="shared" si="16"/>
        <v>0</v>
      </c>
    </row>
    <row r="25" spans="1:57" s="234" customFormat="1" ht="12.75" customHeight="1" x14ac:dyDescent="0.25">
      <c r="A25" s="1393" t="s">
        <v>56</v>
      </c>
      <c r="B25" s="1936" t="s">
        <v>295</v>
      </c>
      <c r="C25" s="1937" t="s">
        <v>266</v>
      </c>
      <c r="D25" s="1938">
        <f t="shared" si="3"/>
        <v>1529722.76</v>
      </c>
      <c r="E25" s="1939">
        <f t="shared" si="4"/>
        <v>1959123.01</v>
      </c>
      <c r="F25" s="1939">
        <f t="shared" si="5"/>
        <v>0</v>
      </c>
      <c r="G25" s="1939">
        <f t="shared" si="6"/>
        <v>97.72</v>
      </c>
      <c r="H25" s="1939">
        <f t="shared" si="7"/>
        <v>97.72</v>
      </c>
      <c r="I25" s="1940">
        <f t="shared" si="8"/>
        <v>3488943.49</v>
      </c>
      <c r="J25" s="1941">
        <v>512985.31</v>
      </c>
      <c r="K25" s="1942">
        <v>512985.31</v>
      </c>
      <c r="L25" s="1942">
        <v>0</v>
      </c>
      <c r="M25" s="1942">
        <v>-0.22</v>
      </c>
      <c r="N25" s="1942">
        <v>0</v>
      </c>
      <c r="O25" s="1943">
        <f t="shared" si="9"/>
        <v>1025970.4</v>
      </c>
      <c r="P25" s="1941">
        <v>933504.94</v>
      </c>
      <c r="Q25" s="1942">
        <v>933504.94</v>
      </c>
      <c r="R25" s="1942">
        <v>0</v>
      </c>
      <c r="S25" s="1942">
        <v>-0.04</v>
      </c>
      <c r="T25" s="1942">
        <v>0</v>
      </c>
      <c r="U25" s="1943">
        <f t="shared" si="10"/>
        <v>1867009.8399999999</v>
      </c>
      <c r="V25" s="1941">
        <v>9419.18</v>
      </c>
      <c r="W25" s="1942">
        <v>9419.18</v>
      </c>
      <c r="X25" s="1942">
        <v>0</v>
      </c>
      <c r="Y25" s="1942">
        <v>-0.02</v>
      </c>
      <c r="Z25" s="1942">
        <v>98</v>
      </c>
      <c r="AA25" s="1943">
        <f t="shared" si="11"/>
        <v>18936.34</v>
      </c>
      <c r="AB25" s="1941"/>
      <c r="AC25" s="1942"/>
      <c r="AD25" s="1942"/>
      <c r="AE25" s="1942"/>
      <c r="AF25" s="1942"/>
      <c r="AG25" s="1943">
        <f t="shared" si="12"/>
        <v>0</v>
      </c>
      <c r="AH25" s="1941"/>
      <c r="AI25" s="1942"/>
      <c r="AJ25" s="1942"/>
      <c r="AK25" s="1942"/>
      <c r="AL25" s="1942"/>
      <c r="AM25" s="1943">
        <f t="shared" si="13"/>
        <v>0</v>
      </c>
      <c r="AN25" s="1944">
        <v>73016.460000000006</v>
      </c>
      <c r="AO25" s="1945">
        <v>503213.58</v>
      </c>
      <c r="AP25" s="1945">
        <v>0</v>
      </c>
      <c r="AQ25" s="1945">
        <v>0</v>
      </c>
      <c r="AR25" s="1945">
        <v>0</v>
      </c>
      <c r="AS25" s="1946">
        <f t="shared" si="14"/>
        <v>576230.04</v>
      </c>
      <c r="AT25" s="1947"/>
      <c r="AU25" s="1948"/>
      <c r="AV25" s="1948"/>
      <c r="AW25" s="1948"/>
      <c r="AX25" s="1948"/>
      <c r="AY25" s="1949">
        <f t="shared" si="15"/>
        <v>0</v>
      </c>
      <c r="AZ25" s="1947">
        <v>796.87</v>
      </c>
      <c r="BA25" s="1948">
        <v>0</v>
      </c>
      <c r="BB25" s="1948">
        <v>0</v>
      </c>
      <c r="BC25" s="1948">
        <v>0</v>
      </c>
      <c r="BD25" s="1948">
        <v>0</v>
      </c>
      <c r="BE25" s="1949">
        <f t="shared" si="16"/>
        <v>796.87</v>
      </c>
    </row>
    <row r="26" spans="1:57" s="234" customFormat="1" ht="12.75" customHeight="1" x14ac:dyDescent="0.25">
      <c r="A26" s="1393" t="s">
        <v>58</v>
      </c>
      <c r="B26" s="1936" t="s">
        <v>59</v>
      </c>
      <c r="C26" s="1937" t="s">
        <v>267</v>
      </c>
      <c r="D26" s="1938">
        <f t="shared" si="3"/>
        <v>63553.56</v>
      </c>
      <c r="E26" s="1939">
        <f t="shared" si="4"/>
        <v>132159.18</v>
      </c>
      <c r="F26" s="1939">
        <f t="shared" si="5"/>
        <v>0</v>
      </c>
      <c r="G26" s="1939">
        <f t="shared" si="6"/>
        <v>0</v>
      </c>
      <c r="H26" s="1939">
        <f t="shared" si="7"/>
        <v>0</v>
      </c>
      <c r="I26" s="1940">
        <f t="shared" si="8"/>
        <v>195712.74</v>
      </c>
      <c r="J26" s="1941">
        <v>31566.87</v>
      </c>
      <c r="K26" s="1942">
        <v>31566.87</v>
      </c>
      <c r="L26" s="1942">
        <v>0</v>
      </c>
      <c r="M26" s="1942">
        <v>0</v>
      </c>
      <c r="N26" s="1942">
        <v>0</v>
      </c>
      <c r="O26" s="1943">
        <f t="shared" si="9"/>
        <v>63133.74</v>
      </c>
      <c r="P26" s="1941">
        <v>23788.5</v>
      </c>
      <c r="Q26" s="1942">
        <v>23788.5</v>
      </c>
      <c r="R26" s="1942">
        <v>0</v>
      </c>
      <c r="S26" s="1942">
        <v>0</v>
      </c>
      <c r="T26" s="1942">
        <v>0</v>
      </c>
      <c r="U26" s="1943">
        <f t="shared" si="10"/>
        <v>47577</v>
      </c>
      <c r="V26" s="1941"/>
      <c r="W26" s="1942"/>
      <c r="X26" s="1942"/>
      <c r="Y26" s="1942"/>
      <c r="Z26" s="1942"/>
      <c r="AA26" s="1943">
        <f t="shared" si="11"/>
        <v>0</v>
      </c>
      <c r="AB26" s="1941"/>
      <c r="AC26" s="1942"/>
      <c r="AD26" s="1942"/>
      <c r="AE26" s="1942"/>
      <c r="AF26" s="1942"/>
      <c r="AG26" s="1943">
        <f t="shared" si="12"/>
        <v>0</v>
      </c>
      <c r="AH26" s="1941"/>
      <c r="AI26" s="1942"/>
      <c r="AJ26" s="1942"/>
      <c r="AK26" s="1942"/>
      <c r="AL26" s="1942"/>
      <c r="AM26" s="1943">
        <f t="shared" si="13"/>
        <v>0</v>
      </c>
      <c r="AN26" s="1944">
        <v>8198.19</v>
      </c>
      <c r="AO26" s="1945">
        <v>76803.81</v>
      </c>
      <c r="AP26" s="1945">
        <v>0</v>
      </c>
      <c r="AQ26" s="1945">
        <v>0</v>
      </c>
      <c r="AR26" s="1945">
        <v>0</v>
      </c>
      <c r="AS26" s="1946">
        <f t="shared" si="14"/>
        <v>85002</v>
      </c>
      <c r="AT26" s="1947"/>
      <c r="AU26" s="1948"/>
      <c r="AV26" s="1948"/>
      <c r="AW26" s="1948"/>
      <c r="AX26" s="1948"/>
      <c r="AY26" s="1949">
        <f t="shared" si="15"/>
        <v>0</v>
      </c>
      <c r="AZ26" s="1947"/>
      <c r="BA26" s="1948"/>
      <c r="BB26" s="1948"/>
      <c r="BC26" s="1948"/>
      <c r="BD26" s="1948"/>
      <c r="BE26" s="1949">
        <f t="shared" si="16"/>
        <v>0</v>
      </c>
    </row>
    <row r="27" spans="1:57" s="234" customFormat="1" ht="12.75" customHeight="1" x14ac:dyDescent="0.25">
      <c r="A27" s="1393" t="s">
        <v>60</v>
      </c>
      <c r="B27" s="1936" t="s">
        <v>61</v>
      </c>
      <c r="C27" s="1937" t="s">
        <v>265</v>
      </c>
      <c r="D27" s="1938">
        <f t="shared" si="3"/>
        <v>66184.509999999995</v>
      </c>
      <c r="E27" s="1939">
        <f t="shared" si="4"/>
        <v>82919.509999999995</v>
      </c>
      <c r="F27" s="1939">
        <f t="shared" si="5"/>
        <v>0</v>
      </c>
      <c r="G27" s="1939">
        <f t="shared" si="6"/>
        <v>0</v>
      </c>
      <c r="H27" s="1939">
        <f t="shared" si="7"/>
        <v>0</v>
      </c>
      <c r="I27" s="1940">
        <f t="shared" si="8"/>
        <v>149104.01999999999</v>
      </c>
      <c r="J27" s="1941">
        <v>18815.259999999998</v>
      </c>
      <c r="K27" s="1942">
        <v>18815.259999999998</v>
      </c>
      <c r="L27" s="1942">
        <v>0</v>
      </c>
      <c r="M27" s="1942">
        <v>0</v>
      </c>
      <c r="N27" s="1942">
        <v>0</v>
      </c>
      <c r="O27" s="1943">
        <f t="shared" si="9"/>
        <v>37630.519999999997</v>
      </c>
      <c r="P27" s="1941">
        <v>47369.25</v>
      </c>
      <c r="Q27" s="1942">
        <v>47369.25</v>
      </c>
      <c r="R27" s="1942">
        <v>0</v>
      </c>
      <c r="S27" s="1942">
        <v>0</v>
      </c>
      <c r="T27" s="1942">
        <v>0</v>
      </c>
      <c r="U27" s="1943">
        <f t="shared" si="10"/>
        <v>94738.5</v>
      </c>
      <c r="V27" s="1941"/>
      <c r="W27" s="1942"/>
      <c r="X27" s="1942"/>
      <c r="Y27" s="1942"/>
      <c r="Z27" s="1942"/>
      <c r="AA27" s="1943">
        <f t="shared" si="11"/>
        <v>0</v>
      </c>
      <c r="AB27" s="1941"/>
      <c r="AC27" s="1942"/>
      <c r="AD27" s="1942"/>
      <c r="AE27" s="1942"/>
      <c r="AF27" s="1942"/>
      <c r="AG27" s="1943">
        <f t="shared" si="12"/>
        <v>0</v>
      </c>
      <c r="AH27" s="1941"/>
      <c r="AI27" s="1942"/>
      <c r="AJ27" s="1942"/>
      <c r="AK27" s="1942"/>
      <c r="AL27" s="1942"/>
      <c r="AM27" s="1943">
        <f t="shared" si="13"/>
        <v>0</v>
      </c>
      <c r="AN27" s="1944">
        <v>0</v>
      </c>
      <c r="AO27" s="1945">
        <v>16735</v>
      </c>
      <c r="AP27" s="1945">
        <v>0</v>
      </c>
      <c r="AQ27" s="1945">
        <v>0</v>
      </c>
      <c r="AR27" s="1945">
        <v>0</v>
      </c>
      <c r="AS27" s="1946">
        <f t="shared" si="14"/>
        <v>16735</v>
      </c>
      <c r="AT27" s="1947"/>
      <c r="AU27" s="1948"/>
      <c r="AV27" s="1948"/>
      <c r="AW27" s="1948"/>
      <c r="AX27" s="1948"/>
      <c r="AY27" s="1949">
        <f t="shared" si="15"/>
        <v>0</v>
      </c>
      <c r="AZ27" s="1947"/>
      <c r="BA27" s="1948"/>
      <c r="BB27" s="1948"/>
      <c r="BC27" s="1948"/>
      <c r="BD27" s="1948"/>
      <c r="BE27" s="1949">
        <f t="shared" si="16"/>
        <v>0</v>
      </c>
    </row>
    <row r="28" spans="1:57" s="234" customFormat="1" ht="12.75" customHeight="1" x14ac:dyDescent="0.25">
      <c r="A28" s="1393" t="s">
        <v>62</v>
      </c>
      <c r="B28" s="1936" t="s">
        <v>63</v>
      </c>
      <c r="C28" s="1937" t="s">
        <v>267</v>
      </c>
      <c r="D28" s="1938">
        <f t="shared" si="3"/>
        <v>1078694.98</v>
      </c>
      <c r="E28" s="1939">
        <f t="shared" si="4"/>
        <v>1286506.23</v>
      </c>
      <c r="F28" s="1939">
        <f t="shared" si="5"/>
        <v>0</v>
      </c>
      <c r="G28" s="1939">
        <f t="shared" si="6"/>
        <v>-0.16</v>
      </c>
      <c r="H28" s="1939">
        <f t="shared" si="7"/>
        <v>-0.16</v>
      </c>
      <c r="I28" s="1940">
        <f t="shared" si="8"/>
        <v>2365201.0499999998</v>
      </c>
      <c r="J28" s="1941">
        <v>439848.18</v>
      </c>
      <c r="K28" s="1942">
        <v>439848.18</v>
      </c>
      <c r="L28" s="1942">
        <v>0</v>
      </c>
      <c r="M28" s="1942">
        <v>-0.11</v>
      </c>
      <c r="N28" s="1942">
        <v>0</v>
      </c>
      <c r="O28" s="1943">
        <f t="shared" si="9"/>
        <v>879696.25</v>
      </c>
      <c r="P28" s="1941">
        <v>613528.34</v>
      </c>
      <c r="Q28" s="1942">
        <v>613528.34</v>
      </c>
      <c r="R28" s="1942">
        <v>0</v>
      </c>
      <c r="S28" s="1942">
        <v>-0.01</v>
      </c>
      <c r="T28" s="1942">
        <v>0</v>
      </c>
      <c r="U28" s="1943">
        <f t="shared" si="10"/>
        <v>1227056.67</v>
      </c>
      <c r="V28" s="1941">
        <v>3522.65</v>
      </c>
      <c r="W28" s="1942">
        <v>3522.65</v>
      </c>
      <c r="X28" s="1942">
        <v>0</v>
      </c>
      <c r="Y28" s="1942">
        <v>-0.01</v>
      </c>
      <c r="Z28" s="1942">
        <v>0</v>
      </c>
      <c r="AA28" s="1943">
        <f t="shared" si="11"/>
        <v>7045.29</v>
      </c>
      <c r="AB28" s="1941"/>
      <c r="AC28" s="1942"/>
      <c r="AD28" s="1942"/>
      <c r="AE28" s="1942"/>
      <c r="AF28" s="1942"/>
      <c r="AG28" s="1943">
        <f t="shared" si="12"/>
        <v>0</v>
      </c>
      <c r="AH28" s="1941"/>
      <c r="AI28" s="1942"/>
      <c r="AJ28" s="1942"/>
      <c r="AK28" s="1942"/>
      <c r="AL28" s="1942"/>
      <c r="AM28" s="1943">
        <f t="shared" si="13"/>
        <v>0</v>
      </c>
      <c r="AN28" s="1944">
        <v>21795.81</v>
      </c>
      <c r="AO28" s="1945">
        <v>229607.06</v>
      </c>
      <c r="AP28" s="1945">
        <v>0</v>
      </c>
      <c r="AQ28" s="1945">
        <v>-0.03</v>
      </c>
      <c r="AR28" s="1945">
        <v>0</v>
      </c>
      <c r="AS28" s="1946">
        <f t="shared" si="14"/>
        <v>251402.84</v>
      </c>
      <c r="AT28" s="1947"/>
      <c r="AU28" s="1948"/>
      <c r="AV28" s="1948"/>
      <c r="AW28" s="1948"/>
      <c r="AX28" s="1948"/>
      <c r="AY28" s="1949">
        <f t="shared" si="15"/>
        <v>0</v>
      </c>
      <c r="AZ28" s="1947"/>
      <c r="BA28" s="1948"/>
      <c r="BB28" s="1948"/>
      <c r="BC28" s="1948"/>
      <c r="BD28" s="1948"/>
      <c r="BE28" s="1949">
        <f t="shared" si="16"/>
        <v>0</v>
      </c>
    </row>
    <row r="29" spans="1:57" s="234" customFormat="1" ht="12.75" customHeight="1" x14ac:dyDescent="0.25">
      <c r="A29" s="1393" t="s">
        <v>64</v>
      </c>
      <c r="B29" s="1936" t="s">
        <v>65</v>
      </c>
      <c r="C29" s="1937" t="s">
        <v>266</v>
      </c>
      <c r="D29" s="1938">
        <f t="shared" si="3"/>
        <v>89665.25</v>
      </c>
      <c r="E29" s="1939">
        <f t="shared" si="4"/>
        <v>96051.25</v>
      </c>
      <c r="F29" s="1939">
        <f t="shared" si="5"/>
        <v>0</v>
      </c>
      <c r="G29" s="1939">
        <f t="shared" si="6"/>
        <v>-0.05</v>
      </c>
      <c r="H29" s="1939">
        <f t="shared" si="7"/>
        <v>-0.05</v>
      </c>
      <c r="I29" s="1940">
        <f t="shared" si="8"/>
        <v>185716.45</v>
      </c>
      <c r="J29" s="1941">
        <v>29598.36</v>
      </c>
      <c r="K29" s="1942">
        <v>29598.36</v>
      </c>
      <c r="L29" s="1942">
        <v>0</v>
      </c>
      <c r="M29" s="1942">
        <v>-0.05</v>
      </c>
      <c r="N29" s="1942">
        <v>0</v>
      </c>
      <c r="O29" s="1943">
        <f t="shared" si="9"/>
        <v>59196.67</v>
      </c>
      <c r="P29" s="1941">
        <v>52011</v>
      </c>
      <c r="Q29" s="1942">
        <v>52011</v>
      </c>
      <c r="R29" s="1942">
        <v>0</v>
      </c>
      <c r="S29" s="1942">
        <v>0</v>
      </c>
      <c r="T29" s="1942">
        <v>0</v>
      </c>
      <c r="U29" s="1943">
        <f t="shared" si="10"/>
        <v>104022</v>
      </c>
      <c r="V29" s="1944">
        <v>6055.89</v>
      </c>
      <c r="W29" s="1945">
        <v>6055.89</v>
      </c>
      <c r="X29" s="1945">
        <v>0</v>
      </c>
      <c r="Y29" s="1945">
        <v>0</v>
      </c>
      <c r="Z29" s="1945">
        <v>0</v>
      </c>
      <c r="AA29" s="1943">
        <f t="shared" si="11"/>
        <v>12111.78</v>
      </c>
      <c r="AB29" s="1944"/>
      <c r="AC29" s="1945"/>
      <c r="AD29" s="1945"/>
      <c r="AE29" s="1945"/>
      <c r="AF29" s="1945"/>
      <c r="AG29" s="1943">
        <f t="shared" si="12"/>
        <v>0</v>
      </c>
      <c r="AH29" s="1944"/>
      <c r="AI29" s="1945"/>
      <c r="AJ29" s="1945"/>
      <c r="AK29" s="1945"/>
      <c r="AL29" s="1945"/>
      <c r="AM29" s="1943">
        <f t="shared" si="13"/>
        <v>0</v>
      </c>
      <c r="AN29" s="1944">
        <v>0</v>
      </c>
      <c r="AO29" s="1945">
        <v>8386</v>
      </c>
      <c r="AP29" s="1945">
        <v>0</v>
      </c>
      <c r="AQ29" s="1945">
        <v>0</v>
      </c>
      <c r="AR29" s="1945">
        <v>0</v>
      </c>
      <c r="AS29" s="1946">
        <f t="shared" si="14"/>
        <v>8386</v>
      </c>
      <c r="AT29" s="1947"/>
      <c r="AU29" s="1948"/>
      <c r="AV29" s="1948"/>
      <c r="AW29" s="1948"/>
      <c r="AX29" s="1948"/>
      <c r="AY29" s="1949">
        <f t="shared" si="15"/>
        <v>0</v>
      </c>
      <c r="AZ29" s="1947">
        <v>2000</v>
      </c>
      <c r="BA29" s="1948">
        <v>0</v>
      </c>
      <c r="BB29" s="1948">
        <v>0</v>
      </c>
      <c r="BC29" s="1948">
        <v>0</v>
      </c>
      <c r="BD29" s="1948">
        <v>0</v>
      </c>
      <c r="BE29" s="1949">
        <f t="shared" si="16"/>
        <v>2000</v>
      </c>
    </row>
    <row r="30" spans="1:57" s="234" customFormat="1" ht="12.75" customHeight="1" x14ac:dyDescent="0.25">
      <c r="A30" s="1393" t="s">
        <v>68</v>
      </c>
      <c r="B30" s="1936" t="s">
        <v>69</v>
      </c>
      <c r="C30" s="1937" t="s">
        <v>268</v>
      </c>
      <c r="D30" s="1938">
        <f t="shared" si="3"/>
        <v>742902.54999999993</v>
      </c>
      <c r="E30" s="1939">
        <f t="shared" si="4"/>
        <v>1125629.8999999999</v>
      </c>
      <c r="F30" s="1939">
        <f t="shared" si="5"/>
        <v>0</v>
      </c>
      <c r="G30" s="1939">
        <f t="shared" si="6"/>
        <v>15038.96</v>
      </c>
      <c r="H30" s="1939">
        <f t="shared" si="7"/>
        <v>15038.96</v>
      </c>
      <c r="I30" s="1940">
        <f t="shared" si="8"/>
        <v>1883571.4099999997</v>
      </c>
      <c r="J30" s="1941">
        <v>185648.51</v>
      </c>
      <c r="K30" s="1942">
        <v>185648.51</v>
      </c>
      <c r="L30" s="1942">
        <v>0</v>
      </c>
      <c r="M30" s="1942">
        <v>1732.92</v>
      </c>
      <c r="N30" s="1942">
        <v>0</v>
      </c>
      <c r="O30" s="1943">
        <f t="shared" si="9"/>
        <v>373029.94</v>
      </c>
      <c r="P30" s="1941">
        <v>482586.19</v>
      </c>
      <c r="Q30" s="1942">
        <v>482586.19</v>
      </c>
      <c r="R30" s="1942">
        <v>0</v>
      </c>
      <c r="S30" s="1942">
        <v>13306.08</v>
      </c>
      <c r="T30" s="1942">
        <v>0</v>
      </c>
      <c r="U30" s="1943">
        <f t="shared" si="10"/>
        <v>978478.46</v>
      </c>
      <c r="V30" s="1941">
        <v>15845.89</v>
      </c>
      <c r="W30" s="1942">
        <v>15845.89</v>
      </c>
      <c r="X30" s="1942">
        <v>0</v>
      </c>
      <c r="Y30" s="1942">
        <v>-0.03</v>
      </c>
      <c r="Z30" s="1942">
        <v>0</v>
      </c>
      <c r="AA30" s="1943">
        <f t="shared" si="11"/>
        <v>31691.75</v>
      </c>
      <c r="AB30" s="1941"/>
      <c r="AC30" s="1942"/>
      <c r="AD30" s="1942"/>
      <c r="AE30" s="1942"/>
      <c r="AF30" s="1942"/>
      <c r="AG30" s="1943">
        <f t="shared" si="12"/>
        <v>0</v>
      </c>
      <c r="AH30" s="1941"/>
      <c r="AI30" s="1942"/>
      <c r="AJ30" s="1942"/>
      <c r="AK30" s="1942"/>
      <c r="AL30" s="1942"/>
      <c r="AM30" s="1943">
        <f t="shared" si="13"/>
        <v>0</v>
      </c>
      <c r="AN30" s="1944">
        <v>55322.45</v>
      </c>
      <c r="AO30" s="1945">
        <v>441549.31</v>
      </c>
      <c r="AP30" s="1945">
        <v>0</v>
      </c>
      <c r="AQ30" s="1945">
        <v>-0.01</v>
      </c>
      <c r="AR30" s="1945">
        <v>0</v>
      </c>
      <c r="AS30" s="1946">
        <f t="shared" si="14"/>
        <v>496871.75</v>
      </c>
      <c r="AT30" s="1947"/>
      <c r="AU30" s="1948"/>
      <c r="AV30" s="1948"/>
      <c r="AW30" s="1948"/>
      <c r="AX30" s="1948"/>
      <c r="AY30" s="1949">
        <f t="shared" si="15"/>
        <v>0</v>
      </c>
      <c r="AZ30" s="1947">
        <v>3499.51</v>
      </c>
      <c r="BA30" s="1948">
        <v>0</v>
      </c>
      <c r="BB30" s="1948">
        <v>0</v>
      </c>
      <c r="BC30" s="1948">
        <v>0</v>
      </c>
      <c r="BD30" s="1948">
        <v>0</v>
      </c>
      <c r="BE30" s="1949">
        <f t="shared" si="16"/>
        <v>3499.51</v>
      </c>
    </row>
    <row r="31" spans="1:57" s="234" customFormat="1" ht="12.75" customHeight="1" x14ac:dyDescent="0.25">
      <c r="A31" s="1393" t="s">
        <v>70</v>
      </c>
      <c r="B31" s="1936" t="s">
        <v>71</v>
      </c>
      <c r="C31" s="1937" t="s">
        <v>264</v>
      </c>
      <c r="D31" s="1938">
        <f t="shared" si="3"/>
        <v>198764.1</v>
      </c>
      <c r="E31" s="1939">
        <f t="shared" si="4"/>
        <v>200987.46</v>
      </c>
      <c r="F31" s="1939">
        <f t="shared" si="5"/>
        <v>0</v>
      </c>
      <c r="G31" s="1939">
        <f t="shared" si="6"/>
        <v>470.98</v>
      </c>
      <c r="H31" s="1939">
        <f t="shared" si="7"/>
        <v>470.98</v>
      </c>
      <c r="I31" s="1940">
        <f t="shared" si="8"/>
        <v>400222.54</v>
      </c>
      <c r="J31" s="1941">
        <v>84354.28</v>
      </c>
      <c r="K31" s="1942">
        <v>84354.28</v>
      </c>
      <c r="L31" s="1942">
        <v>0</v>
      </c>
      <c r="M31" s="1942">
        <v>470.98</v>
      </c>
      <c r="N31" s="1942">
        <v>0</v>
      </c>
      <c r="O31" s="1943">
        <f t="shared" si="9"/>
        <v>169179.54</v>
      </c>
      <c r="P31" s="1941">
        <v>113583.5</v>
      </c>
      <c r="Q31" s="1942">
        <v>113583.5</v>
      </c>
      <c r="R31" s="1942">
        <v>0</v>
      </c>
      <c r="S31" s="1942">
        <v>0</v>
      </c>
      <c r="T31" s="1942">
        <v>0</v>
      </c>
      <c r="U31" s="1943">
        <f t="shared" si="10"/>
        <v>227167</v>
      </c>
      <c r="V31" s="1941"/>
      <c r="W31" s="1942"/>
      <c r="X31" s="1942"/>
      <c r="Y31" s="1942"/>
      <c r="Z31" s="1942"/>
      <c r="AA31" s="1943">
        <f t="shared" si="11"/>
        <v>0</v>
      </c>
      <c r="AB31" s="1941"/>
      <c r="AC31" s="1942"/>
      <c r="AD31" s="1942"/>
      <c r="AE31" s="1942"/>
      <c r="AF31" s="1942"/>
      <c r="AG31" s="1943">
        <f t="shared" si="12"/>
        <v>0</v>
      </c>
      <c r="AH31" s="1941"/>
      <c r="AI31" s="1942"/>
      <c r="AJ31" s="1942"/>
      <c r="AK31" s="1942"/>
      <c r="AL31" s="1942"/>
      <c r="AM31" s="1943">
        <f t="shared" si="13"/>
        <v>0</v>
      </c>
      <c r="AN31" s="1944">
        <v>826.32</v>
      </c>
      <c r="AO31" s="1945">
        <v>3049.68</v>
      </c>
      <c r="AP31" s="1945">
        <v>0</v>
      </c>
      <c r="AQ31" s="1945">
        <v>0</v>
      </c>
      <c r="AR31" s="1945">
        <v>0</v>
      </c>
      <c r="AS31" s="1946">
        <f t="shared" si="14"/>
        <v>3876</v>
      </c>
      <c r="AT31" s="1947"/>
      <c r="AU31" s="1948"/>
      <c r="AV31" s="1948"/>
      <c r="AW31" s="1948"/>
      <c r="AX31" s="1948"/>
      <c r="AY31" s="1949">
        <f t="shared" si="15"/>
        <v>0</v>
      </c>
      <c r="AZ31" s="1947"/>
      <c r="BA31" s="1948"/>
      <c r="BB31" s="1948"/>
      <c r="BC31" s="1948"/>
      <c r="BD31" s="1948"/>
      <c r="BE31" s="1949">
        <f t="shared" si="16"/>
        <v>0</v>
      </c>
    </row>
    <row r="32" spans="1:57" s="234" customFormat="1" ht="12.75" customHeight="1" x14ac:dyDescent="0.25">
      <c r="A32" s="1393" t="s">
        <v>72</v>
      </c>
      <c r="B32" s="1936" t="s">
        <v>73</v>
      </c>
      <c r="C32" s="1937" t="s">
        <v>266</v>
      </c>
      <c r="D32" s="1938">
        <f t="shared" si="3"/>
        <v>254708.14</v>
      </c>
      <c r="E32" s="1939">
        <f t="shared" si="4"/>
        <v>271636.14</v>
      </c>
      <c r="F32" s="1939">
        <f t="shared" si="5"/>
        <v>0</v>
      </c>
      <c r="G32" s="1939">
        <f t="shared" si="6"/>
        <v>294.52999999999997</v>
      </c>
      <c r="H32" s="1939">
        <f t="shared" si="7"/>
        <v>294.52999999999997</v>
      </c>
      <c r="I32" s="1940">
        <f t="shared" si="8"/>
        <v>526638.81000000006</v>
      </c>
      <c r="J32" s="1941">
        <v>194416.97</v>
      </c>
      <c r="K32" s="1942">
        <v>194416.97</v>
      </c>
      <c r="L32" s="1942">
        <v>0</v>
      </c>
      <c r="M32" s="1942">
        <v>-0.09</v>
      </c>
      <c r="N32" s="1942">
        <v>0</v>
      </c>
      <c r="O32" s="1943">
        <f t="shared" si="9"/>
        <v>388833.85</v>
      </c>
      <c r="P32" s="1941">
        <v>55361.5</v>
      </c>
      <c r="Q32" s="1942">
        <v>55361.5</v>
      </c>
      <c r="R32" s="1942">
        <v>0</v>
      </c>
      <c r="S32" s="1942">
        <v>0</v>
      </c>
      <c r="T32" s="1942">
        <v>0</v>
      </c>
      <c r="U32" s="1943">
        <f t="shared" si="10"/>
        <v>110723</v>
      </c>
      <c r="V32" s="1941">
        <v>-70.33</v>
      </c>
      <c r="W32" s="1942">
        <v>-70.33</v>
      </c>
      <c r="X32" s="1942">
        <v>0</v>
      </c>
      <c r="Y32" s="1942">
        <v>140.66</v>
      </c>
      <c r="Z32" s="1942">
        <v>0</v>
      </c>
      <c r="AA32" s="1943">
        <f t="shared" si="11"/>
        <v>0</v>
      </c>
      <c r="AB32" s="1941"/>
      <c r="AC32" s="1942"/>
      <c r="AD32" s="1942"/>
      <c r="AE32" s="1942"/>
      <c r="AF32" s="1942"/>
      <c r="AG32" s="1943">
        <f t="shared" si="12"/>
        <v>0</v>
      </c>
      <c r="AH32" s="1941"/>
      <c r="AI32" s="1942"/>
      <c r="AJ32" s="1942"/>
      <c r="AK32" s="1942"/>
      <c r="AL32" s="1942"/>
      <c r="AM32" s="1943">
        <f t="shared" si="13"/>
        <v>0</v>
      </c>
      <c r="AN32" s="1944">
        <v>0</v>
      </c>
      <c r="AO32" s="1945">
        <v>21928</v>
      </c>
      <c r="AP32" s="1945">
        <v>0</v>
      </c>
      <c r="AQ32" s="1945">
        <v>153.96</v>
      </c>
      <c r="AR32" s="1945">
        <v>0</v>
      </c>
      <c r="AS32" s="1946">
        <f t="shared" si="14"/>
        <v>22081.96</v>
      </c>
      <c r="AT32" s="1947"/>
      <c r="AU32" s="1948"/>
      <c r="AV32" s="1948"/>
      <c r="AW32" s="1948"/>
      <c r="AX32" s="1948"/>
      <c r="AY32" s="1949">
        <f t="shared" si="15"/>
        <v>0</v>
      </c>
      <c r="AZ32" s="1947">
        <v>5000</v>
      </c>
      <c r="BA32" s="1948">
        <v>0</v>
      </c>
      <c r="BB32" s="1948">
        <v>0</v>
      </c>
      <c r="BC32" s="1948">
        <v>0</v>
      </c>
      <c r="BD32" s="1948">
        <v>0</v>
      </c>
      <c r="BE32" s="1949">
        <f t="shared" si="16"/>
        <v>5000</v>
      </c>
    </row>
    <row r="33" spans="1:57" s="234" customFormat="1" ht="12.75" customHeight="1" x14ac:dyDescent="0.25">
      <c r="A33" s="1393" t="s">
        <v>74</v>
      </c>
      <c r="B33" s="1936" t="s">
        <v>302</v>
      </c>
      <c r="C33" s="1937" t="s">
        <v>267</v>
      </c>
      <c r="D33" s="1938">
        <f t="shared" si="3"/>
        <v>4087990.2000000007</v>
      </c>
      <c r="E33" s="1939">
        <f t="shared" si="4"/>
        <v>5869515.8000000007</v>
      </c>
      <c r="F33" s="1939">
        <f t="shared" si="5"/>
        <v>0</v>
      </c>
      <c r="G33" s="1939">
        <f t="shared" si="6"/>
        <v>-0.47000000000000003</v>
      </c>
      <c r="H33" s="1939">
        <f t="shared" si="7"/>
        <v>-0.47000000000000003</v>
      </c>
      <c r="I33" s="1940">
        <f t="shared" si="8"/>
        <v>9957505.5300000012</v>
      </c>
      <c r="J33" s="1941">
        <v>998336.72</v>
      </c>
      <c r="K33" s="1942">
        <v>998336.72</v>
      </c>
      <c r="L33" s="1942">
        <v>0</v>
      </c>
      <c r="M33" s="1942">
        <v>-0.32</v>
      </c>
      <c r="N33" s="1942">
        <v>0</v>
      </c>
      <c r="O33" s="1943">
        <f t="shared" si="9"/>
        <v>1996673.1199999999</v>
      </c>
      <c r="P33" s="1941">
        <v>2809571.1</v>
      </c>
      <c r="Q33" s="1942">
        <v>2809571.1</v>
      </c>
      <c r="R33" s="1942">
        <v>0</v>
      </c>
      <c r="S33" s="1942">
        <v>-0.1</v>
      </c>
      <c r="T33" s="1942">
        <v>0</v>
      </c>
      <c r="U33" s="1943">
        <f t="shared" si="10"/>
        <v>5619142.1000000006</v>
      </c>
      <c r="V33" s="1941">
        <v>22202.74</v>
      </c>
      <c r="W33" s="1942">
        <v>22202.74</v>
      </c>
      <c r="X33" s="1942">
        <v>0</v>
      </c>
      <c r="Y33" s="1942">
        <v>-0.05</v>
      </c>
      <c r="Z33" s="1942">
        <v>0</v>
      </c>
      <c r="AA33" s="1943">
        <f t="shared" si="11"/>
        <v>44405.43</v>
      </c>
      <c r="AB33" s="1941"/>
      <c r="AC33" s="1942"/>
      <c r="AD33" s="1942"/>
      <c r="AE33" s="1942"/>
      <c r="AF33" s="1942"/>
      <c r="AG33" s="1943">
        <f t="shared" si="12"/>
        <v>0</v>
      </c>
      <c r="AH33" s="1941"/>
      <c r="AI33" s="1942"/>
      <c r="AJ33" s="1942"/>
      <c r="AK33" s="1942"/>
      <c r="AL33" s="1942"/>
      <c r="AM33" s="1943">
        <f t="shared" si="13"/>
        <v>0</v>
      </c>
      <c r="AN33" s="1944">
        <v>257879.64</v>
      </c>
      <c r="AO33" s="1945">
        <v>2039405.24</v>
      </c>
      <c r="AP33" s="1945">
        <v>0</v>
      </c>
      <c r="AQ33" s="1945">
        <v>0</v>
      </c>
      <c r="AR33" s="1945">
        <v>0</v>
      </c>
      <c r="AS33" s="1946">
        <f t="shared" si="14"/>
        <v>2297284.88</v>
      </c>
      <c r="AT33" s="1947"/>
      <c r="AU33" s="1948"/>
      <c r="AV33" s="1948"/>
      <c r="AW33" s="1948"/>
      <c r="AX33" s="1948"/>
      <c r="AY33" s="1949">
        <f t="shared" si="15"/>
        <v>0</v>
      </c>
      <c r="AZ33" s="1947"/>
      <c r="BA33" s="1948"/>
      <c r="BB33" s="1948"/>
      <c r="BC33" s="1948"/>
      <c r="BD33" s="1948"/>
      <c r="BE33" s="1949">
        <f t="shared" si="16"/>
        <v>0</v>
      </c>
    </row>
    <row r="34" spans="1:57" s="234" customFormat="1" ht="12.75" customHeight="1" x14ac:dyDescent="0.25">
      <c r="A34" s="1393" t="s">
        <v>76</v>
      </c>
      <c r="B34" s="1936" t="s">
        <v>77</v>
      </c>
      <c r="C34" s="1937" t="s">
        <v>267</v>
      </c>
      <c r="D34" s="1938">
        <f t="shared" si="3"/>
        <v>875534.91999999993</v>
      </c>
      <c r="E34" s="1939">
        <f t="shared" si="4"/>
        <v>991155.27999999991</v>
      </c>
      <c r="F34" s="1939">
        <f t="shared" si="5"/>
        <v>0</v>
      </c>
      <c r="G34" s="1939">
        <f t="shared" si="6"/>
        <v>-0.24</v>
      </c>
      <c r="H34" s="1939">
        <f t="shared" si="7"/>
        <v>-0.24</v>
      </c>
      <c r="I34" s="1940">
        <f t="shared" si="8"/>
        <v>1866689.9599999997</v>
      </c>
      <c r="J34" s="1941">
        <v>413411.78</v>
      </c>
      <c r="K34" s="1942">
        <v>413411.78</v>
      </c>
      <c r="L34" s="1942">
        <v>0</v>
      </c>
      <c r="M34" s="1942">
        <v>-0.24</v>
      </c>
      <c r="N34" s="1942">
        <v>0</v>
      </c>
      <c r="O34" s="1943">
        <f t="shared" si="9"/>
        <v>826823.32000000007</v>
      </c>
      <c r="P34" s="1941">
        <v>435950.66</v>
      </c>
      <c r="Q34" s="1942">
        <v>435950.66</v>
      </c>
      <c r="R34" s="1942">
        <v>0</v>
      </c>
      <c r="S34" s="1942">
        <v>0</v>
      </c>
      <c r="T34" s="1942">
        <v>0</v>
      </c>
      <c r="U34" s="1943">
        <f t="shared" si="10"/>
        <v>871901.32</v>
      </c>
      <c r="V34" s="1941">
        <v>700</v>
      </c>
      <c r="W34" s="1942">
        <v>700</v>
      </c>
      <c r="X34" s="1942">
        <v>0</v>
      </c>
      <c r="Y34" s="1942">
        <v>0</v>
      </c>
      <c r="Z34" s="1942">
        <v>0</v>
      </c>
      <c r="AA34" s="1943">
        <f t="shared" si="11"/>
        <v>1400</v>
      </c>
      <c r="AB34" s="1941"/>
      <c r="AC34" s="1942"/>
      <c r="AD34" s="1942"/>
      <c r="AE34" s="1942"/>
      <c r="AF34" s="1942"/>
      <c r="AG34" s="1943">
        <f t="shared" si="12"/>
        <v>0</v>
      </c>
      <c r="AH34" s="1941"/>
      <c r="AI34" s="1942"/>
      <c r="AJ34" s="1942"/>
      <c r="AK34" s="1942"/>
      <c r="AL34" s="1942"/>
      <c r="AM34" s="1943">
        <f t="shared" si="13"/>
        <v>0</v>
      </c>
      <c r="AN34" s="1944">
        <v>25472.48</v>
      </c>
      <c r="AO34" s="1945">
        <v>141092.84</v>
      </c>
      <c r="AP34" s="1945">
        <v>0</v>
      </c>
      <c r="AQ34" s="1945">
        <v>0</v>
      </c>
      <c r="AR34" s="1945">
        <v>0</v>
      </c>
      <c r="AS34" s="1946">
        <f t="shared" si="14"/>
        <v>166565.32</v>
      </c>
      <c r="AT34" s="1947"/>
      <c r="AU34" s="1948"/>
      <c r="AV34" s="1948"/>
      <c r="AW34" s="1948"/>
      <c r="AX34" s="1948"/>
      <c r="AY34" s="1949">
        <f t="shared" si="15"/>
        <v>0</v>
      </c>
      <c r="AZ34" s="1947"/>
      <c r="BA34" s="1948"/>
      <c r="BB34" s="1948"/>
      <c r="BC34" s="1948"/>
      <c r="BD34" s="1948"/>
      <c r="BE34" s="1949">
        <f t="shared" si="16"/>
        <v>0</v>
      </c>
    </row>
    <row r="35" spans="1:57" s="234" customFormat="1" ht="12.75" customHeight="1" x14ac:dyDescent="0.25">
      <c r="A35" s="1393" t="s">
        <v>78</v>
      </c>
      <c r="B35" s="1936" t="s">
        <v>79</v>
      </c>
      <c r="C35" s="1937" t="s">
        <v>268</v>
      </c>
      <c r="D35" s="1938">
        <f t="shared" si="3"/>
        <v>69499.25</v>
      </c>
      <c r="E35" s="1939">
        <f t="shared" si="4"/>
        <v>69499.25</v>
      </c>
      <c r="F35" s="1939">
        <f t="shared" si="5"/>
        <v>0</v>
      </c>
      <c r="G35" s="1939">
        <f t="shared" si="6"/>
        <v>-0.01</v>
      </c>
      <c r="H35" s="1939">
        <f t="shared" si="7"/>
        <v>-0.01</v>
      </c>
      <c r="I35" s="1940">
        <f t="shared" si="8"/>
        <v>138998.49</v>
      </c>
      <c r="J35" s="1941">
        <v>26725.25</v>
      </c>
      <c r="K35" s="1942">
        <v>26725.25</v>
      </c>
      <c r="L35" s="1942">
        <v>0</v>
      </c>
      <c r="M35" s="1942">
        <v>-0.01</v>
      </c>
      <c r="N35" s="1942">
        <v>0</v>
      </c>
      <c r="O35" s="1943">
        <f t="shared" si="9"/>
        <v>53450.49</v>
      </c>
      <c r="P35" s="1941">
        <v>41074</v>
      </c>
      <c r="Q35" s="1942">
        <v>41074</v>
      </c>
      <c r="R35" s="1942">
        <v>0</v>
      </c>
      <c r="S35" s="1942">
        <v>0</v>
      </c>
      <c r="T35" s="1942">
        <v>0</v>
      </c>
      <c r="U35" s="1943">
        <f t="shared" si="10"/>
        <v>82148</v>
      </c>
      <c r="V35" s="1944">
        <v>1700</v>
      </c>
      <c r="W35" s="1945">
        <v>1700</v>
      </c>
      <c r="X35" s="1945">
        <v>0</v>
      </c>
      <c r="Y35" s="1945">
        <v>0</v>
      </c>
      <c r="Z35" s="1945">
        <v>0</v>
      </c>
      <c r="AA35" s="1943">
        <f t="shared" si="11"/>
        <v>3400</v>
      </c>
      <c r="AB35" s="1944"/>
      <c r="AC35" s="1945"/>
      <c r="AD35" s="1945"/>
      <c r="AE35" s="1945"/>
      <c r="AF35" s="1945"/>
      <c r="AG35" s="1943">
        <f t="shared" si="12"/>
        <v>0</v>
      </c>
      <c r="AH35" s="1944"/>
      <c r="AI35" s="1945"/>
      <c r="AJ35" s="1945"/>
      <c r="AK35" s="1945"/>
      <c r="AL35" s="1945"/>
      <c r="AM35" s="1943">
        <f t="shared" si="13"/>
        <v>0</v>
      </c>
      <c r="AN35" s="1944"/>
      <c r="AO35" s="1945"/>
      <c r="AP35" s="1945"/>
      <c r="AQ35" s="1945"/>
      <c r="AR35" s="1945"/>
      <c r="AS35" s="1946">
        <f t="shared" si="14"/>
        <v>0</v>
      </c>
      <c r="AT35" s="1947"/>
      <c r="AU35" s="1948"/>
      <c r="AV35" s="1948"/>
      <c r="AW35" s="1948"/>
      <c r="AX35" s="1948"/>
      <c r="AY35" s="1949">
        <f t="shared" si="15"/>
        <v>0</v>
      </c>
      <c r="AZ35" s="1947"/>
      <c r="BA35" s="1948"/>
      <c r="BB35" s="1948"/>
      <c r="BC35" s="1948"/>
      <c r="BD35" s="1948"/>
      <c r="BE35" s="1949">
        <f t="shared" si="16"/>
        <v>0</v>
      </c>
    </row>
    <row r="36" spans="1:57" s="234" customFormat="1" ht="12.75" customHeight="1" x14ac:dyDescent="0.25">
      <c r="A36" s="1393" t="s">
        <v>80</v>
      </c>
      <c r="B36" s="1936" t="s">
        <v>81</v>
      </c>
      <c r="C36" s="1937" t="s">
        <v>266</v>
      </c>
      <c r="D36" s="1938">
        <f t="shared" si="3"/>
        <v>154868.46</v>
      </c>
      <c r="E36" s="1939">
        <f t="shared" si="4"/>
        <v>221387.03999999998</v>
      </c>
      <c r="F36" s="1939">
        <f t="shared" si="5"/>
        <v>0</v>
      </c>
      <c r="G36" s="1939">
        <f t="shared" si="6"/>
        <v>-0.01</v>
      </c>
      <c r="H36" s="1939">
        <f t="shared" si="7"/>
        <v>-0.01</v>
      </c>
      <c r="I36" s="1940">
        <f t="shared" si="8"/>
        <v>376255.49</v>
      </c>
      <c r="J36" s="1941">
        <v>18278.830000000002</v>
      </c>
      <c r="K36" s="1942">
        <v>18278.830000000002</v>
      </c>
      <c r="L36" s="1942">
        <v>0</v>
      </c>
      <c r="M36" s="1942">
        <v>0</v>
      </c>
      <c r="N36" s="1942">
        <v>0</v>
      </c>
      <c r="O36" s="1943">
        <f t="shared" si="9"/>
        <v>36557.660000000003</v>
      </c>
      <c r="P36" s="1941">
        <v>120245.42</v>
      </c>
      <c r="Q36" s="1942">
        <v>120245.42</v>
      </c>
      <c r="R36" s="1942">
        <v>0</v>
      </c>
      <c r="S36" s="1942">
        <v>-0.01</v>
      </c>
      <c r="T36" s="1942">
        <v>0</v>
      </c>
      <c r="U36" s="1943">
        <f t="shared" si="10"/>
        <v>240490.83</v>
      </c>
      <c r="V36" s="1941">
        <v>3990</v>
      </c>
      <c r="W36" s="1942">
        <v>3990</v>
      </c>
      <c r="X36" s="1942">
        <v>0</v>
      </c>
      <c r="Y36" s="1942">
        <v>0</v>
      </c>
      <c r="Z36" s="1942">
        <v>0</v>
      </c>
      <c r="AA36" s="1943">
        <f t="shared" si="11"/>
        <v>7980</v>
      </c>
      <c r="AB36" s="1941"/>
      <c r="AC36" s="1942"/>
      <c r="AD36" s="1942"/>
      <c r="AE36" s="1942"/>
      <c r="AF36" s="1942"/>
      <c r="AG36" s="1943">
        <f t="shared" si="12"/>
        <v>0</v>
      </c>
      <c r="AH36" s="1941"/>
      <c r="AI36" s="1942"/>
      <c r="AJ36" s="1942"/>
      <c r="AK36" s="1942"/>
      <c r="AL36" s="1942"/>
      <c r="AM36" s="1943">
        <f t="shared" si="13"/>
        <v>0</v>
      </c>
      <c r="AN36" s="1944">
        <v>12354.21</v>
      </c>
      <c r="AO36" s="1945">
        <v>78872.789999999994</v>
      </c>
      <c r="AP36" s="1945">
        <v>0</v>
      </c>
      <c r="AQ36" s="1945">
        <v>0</v>
      </c>
      <c r="AR36" s="1945">
        <v>0</v>
      </c>
      <c r="AS36" s="1946">
        <f t="shared" si="14"/>
        <v>91227</v>
      </c>
      <c r="AT36" s="1947"/>
      <c r="AU36" s="1948"/>
      <c r="AV36" s="1948"/>
      <c r="AW36" s="1948"/>
      <c r="AX36" s="1948"/>
      <c r="AY36" s="1949">
        <f t="shared" si="15"/>
        <v>0</v>
      </c>
      <c r="AZ36" s="1947"/>
      <c r="BA36" s="1948"/>
      <c r="BB36" s="1948"/>
      <c r="BC36" s="1948"/>
      <c r="BD36" s="1948"/>
      <c r="BE36" s="1949">
        <f t="shared" si="16"/>
        <v>0</v>
      </c>
    </row>
    <row r="37" spans="1:57" s="234" customFormat="1" ht="12.75" customHeight="1" x14ac:dyDescent="0.25">
      <c r="A37" s="1393" t="s">
        <v>84</v>
      </c>
      <c r="B37" s="1936" t="s">
        <v>308</v>
      </c>
      <c r="C37" s="1937" t="s">
        <v>265</v>
      </c>
      <c r="D37" s="1938">
        <f t="shared" ref="D37:D68" si="17">J37+P37+V37+AB37+AH37+AN37+AT37+AZ37</f>
        <v>906860.29999999993</v>
      </c>
      <c r="E37" s="1939">
        <f t="shared" ref="E37:E68" si="18">K37+Q37+W37+AC37+AI37+AO37+AU37+BA37</f>
        <v>1098966.94</v>
      </c>
      <c r="F37" s="1939">
        <f t="shared" ref="F37:F68" si="19">L37+R37+X37+AD37+AJ37+AP37+AV37+BB37</f>
        <v>0</v>
      </c>
      <c r="G37" s="1939">
        <f t="shared" ref="G37:G68" si="20">M37+N37+S37+T37+Y37+Z37+AE37+AF37+AK37+AL37+AQ37+AR37+AW37+AX37+BC37+BD37</f>
        <v>-0.19</v>
      </c>
      <c r="H37" s="1939">
        <f t="shared" ref="H37:H68" si="21">F37+G37</f>
        <v>-0.19</v>
      </c>
      <c r="I37" s="1940">
        <f t="shared" ref="I37:I68" si="22">SUM(D37:G37)</f>
        <v>2005827.0499999998</v>
      </c>
      <c r="J37" s="1941">
        <v>245829.24</v>
      </c>
      <c r="K37" s="1942">
        <v>245829.24</v>
      </c>
      <c r="L37" s="1942">
        <v>0</v>
      </c>
      <c r="M37" s="1942">
        <v>-0.19</v>
      </c>
      <c r="N37" s="1942">
        <v>0</v>
      </c>
      <c r="O37" s="1943">
        <f t="shared" ref="O37:O68" si="23">SUM(J37:N37)</f>
        <v>491658.29</v>
      </c>
      <c r="P37" s="1941">
        <v>592887.81999999995</v>
      </c>
      <c r="Q37" s="1942">
        <v>592887.81999999995</v>
      </c>
      <c r="R37" s="1942">
        <v>0</v>
      </c>
      <c r="S37" s="1942">
        <v>0.03</v>
      </c>
      <c r="T37" s="1942">
        <v>0</v>
      </c>
      <c r="U37" s="1943">
        <f t="shared" ref="U37:U68" si="24">SUM(P37:T37)</f>
        <v>1185775.67</v>
      </c>
      <c r="V37" s="1941">
        <v>10952.41</v>
      </c>
      <c r="W37" s="1942">
        <v>10952.41</v>
      </c>
      <c r="X37" s="1942">
        <v>0</v>
      </c>
      <c r="Y37" s="1942">
        <v>-0.03</v>
      </c>
      <c r="Z37" s="1942">
        <v>0</v>
      </c>
      <c r="AA37" s="1943">
        <f t="shared" ref="AA37:AA68" si="25">SUM(V37:Z37)</f>
        <v>21904.79</v>
      </c>
      <c r="AB37" s="1941"/>
      <c r="AC37" s="1942"/>
      <c r="AD37" s="1942"/>
      <c r="AE37" s="1942"/>
      <c r="AF37" s="1942"/>
      <c r="AG37" s="1943">
        <f t="shared" ref="AG37:AG68" si="26">SUM(AB37:AF37)</f>
        <v>0</v>
      </c>
      <c r="AH37" s="1941"/>
      <c r="AI37" s="1942"/>
      <c r="AJ37" s="1942"/>
      <c r="AK37" s="1942"/>
      <c r="AL37" s="1942"/>
      <c r="AM37" s="1943">
        <f t="shared" ref="AM37:AM68" si="27">SUM(AH37:AL37)</f>
        <v>0</v>
      </c>
      <c r="AN37" s="1944">
        <v>57190.83</v>
      </c>
      <c r="AO37" s="1945">
        <v>249297.47</v>
      </c>
      <c r="AP37" s="1945">
        <v>0</v>
      </c>
      <c r="AQ37" s="1945">
        <v>0</v>
      </c>
      <c r="AR37" s="1945">
        <v>0</v>
      </c>
      <c r="AS37" s="1946">
        <f t="shared" ref="AS37:AS68" si="28">SUM(AN37:AR37)</f>
        <v>306488.3</v>
      </c>
      <c r="AT37" s="1947"/>
      <c r="AU37" s="1948"/>
      <c r="AV37" s="1948"/>
      <c r="AW37" s="1948"/>
      <c r="AX37" s="1948"/>
      <c r="AY37" s="1949">
        <f t="shared" ref="AY37:AY68" si="29">SUM(AT37:AX37)</f>
        <v>0</v>
      </c>
      <c r="AZ37" s="1947"/>
      <c r="BA37" s="1948"/>
      <c r="BB37" s="1948"/>
      <c r="BC37" s="1948"/>
      <c r="BD37" s="1948"/>
      <c r="BE37" s="1949">
        <f t="shared" ref="BE37:BE68" si="30">SUM(AZ37:BD37)</f>
        <v>0</v>
      </c>
    </row>
    <row r="38" spans="1:57" s="234" customFormat="1" ht="12.75" customHeight="1" x14ac:dyDescent="0.25">
      <c r="A38" s="1393" t="s">
        <v>86</v>
      </c>
      <c r="B38" s="1936" t="s">
        <v>87</v>
      </c>
      <c r="C38" s="1937" t="s">
        <v>267</v>
      </c>
      <c r="D38" s="1938">
        <f t="shared" si="17"/>
        <v>689507.33000000007</v>
      </c>
      <c r="E38" s="1939">
        <f t="shared" si="18"/>
        <v>890167.06</v>
      </c>
      <c r="F38" s="1939">
        <f t="shared" si="19"/>
        <v>0</v>
      </c>
      <c r="G38" s="1939">
        <f t="shared" si="20"/>
        <v>-0.2</v>
      </c>
      <c r="H38" s="1939">
        <f t="shared" si="21"/>
        <v>-0.2</v>
      </c>
      <c r="I38" s="1940">
        <f t="shared" si="22"/>
        <v>1579674.1900000002</v>
      </c>
      <c r="J38" s="1941">
        <v>290972.13</v>
      </c>
      <c r="K38" s="1942">
        <v>290972.13</v>
      </c>
      <c r="L38" s="1942">
        <v>0</v>
      </c>
      <c r="M38" s="1942">
        <v>-0.17</v>
      </c>
      <c r="N38" s="1942">
        <v>0</v>
      </c>
      <c r="O38" s="1943">
        <f t="shared" si="23"/>
        <v>581944.09</v>
      </c>
      <c r="P38" s="1941">
        <v>345703.49</v>
      </c>
      <c r="Q38" s="1942">
        <v>345703.49</v>
      </c>
      <c r="R38" s="1942">
        <v>0</v>
      </c>
      <c r="S38" s="1942">
        <v>-0.01</v>
      </c>
      <c r="T38" s="1942">
        <v>0</v>
      </c>
      <c r="U38" s="1943">
        <f t="shared" si="24"/>
        <v>691406.97</v>
      </c>
      <c r="V38" s="1941">
        <v>3414.43</v>
      </c>
      <c r="W38" s="1942">
        <v>3414.43</v>
      </c>
      <c r="X38" s="1942">
        <v>0</v>
      </c>
      <c r="Y38" s="1942">
        <v>0</v>
      </c>
      <c r="Z38" s="1942">
        <v>0</v>
      </c>
      <c r="AA38" s="1943">
        <f t="shared" si="25"/>
        <v>6828.86</v>
      </c>
      <c r="AB38" s="1941"/>
      <c r="AC38" s="1942"/>
      <c r="AD38" s="1942"/>
      <c r="AE38" s="1942"/>
      <c r="AF38" s="1942"/>
      <c r="AG38" s="1943">
        <f t="shared" si="26"/>
        <v>0</v>
      </c>
      <c r="AH38" s="1941"/>
      <c r="AI38" s="1942"/>
      <c r="AJ38" s="1942"/>
      <c r="AK38" s="1942"/>
      <c r="AL38" s="1942"/>
      <c r="AM38" s="1943">
        <f t="shared" si="27"/>
        <v>0</v>
      </c>
      <c r="AN38" s="1944">
        <v>47299.98</v>
      </c>
      <c r="AO38" s="1945">
        <v>250077.01</v>
      </c>
      <c r="AP38" s="1945">
        <v>0</v>
      </c>
      <c r="AQ38" s="1945">
        <v>-0.02</v>
      </c>
      <c r="AR38" s="1945">
        <v>0</v>
      </c>
      <c r="AS38" s="1946">
        <f t="shared" si="28"/>
        <v>297376.96999999997</v>
      </c>
      <c r="AT38" s="1947"/>
      <c r="AU38" s="1948"/>
      <c r="AV38" s="1948"/>
      <c r="AW38" s="1948"/>
      <c r="AX38" s="1948"/>
      <c r="AY38" s="1949">
        <f t="shared" si="29"/>
        <v>0</v>
      </c>
      <c r="AZ38" s="1947">
        <v>2117.3000000000002</v>
      </c>
      <c r="BA38" s="1948">
        <v>0</v>
      </c>
      <c r="BB38" s="1948">
        <v>0</v>
      </c>
      <c r="BC38" s="1948">
        <v>0</v>
      </c>
      <c r="BD38" s="1948">
        <v>0</v>
      </c>
      <c r="BE38" s="1949">
        <f t="shared" si="30"/>
        <v>2117.3000000000002</v>
      </c>
    </row>
    <row r="39" spans="1:57" s="234" customFormat="1" ht="12.75" customHeight="1" x14ac:dyDescent="0.25">
      <c r="A39" s="1393" t="s">
        <v>92</v>
      </c>
      <c r="B39" s="1936" t="s">
        <v>93</v>
      </c>
      <c r="C39" s="1937" t="s">
        <v>268</v>
      </c>
      <c r="D39" s="1938">
        <f t="shared" si="17"/>
        <v>762695.77</v>
      </c>
      <c r="E39" s="1939">
        <f t="shared" si="18"/>
        <v>841096.81</v>
      </c>
      <c r="F39" s="1939">
        <f t="shared" si="19"/>
        <v>0</v>
      </c>
      <c r="G39" s="1939">
        <f t="shared" si="20"/>
        <v>-0.11</v>
      </c>
      <c r="H39" s="1939">
        <f t="shared" si="21"/>
        <v>-0.11</v>
      </c>
      <c r="I39" s="1940">
        <f t="shared" si="22"/>
        <v>1603792.47</v>
      </c>
      <c r="J39" s="1941">
        <v>272074.78999999998</v>
      </c>
      <c r="K39" s="1942">
        <v>272074.78999999998</v>
      </c>
      <c r="L39" s="1942">
        <v>0</v>
      </c>
      <c r="M39" s="1942">
        <v>-0.11</v>
      </c>
      <c r="N39" s="1942">
        <v>0</v>
      </c>
      <c r="O39" s="1943">
        <f t="shared" si="23"/>
        <v>544149.47</v>
      </c>
      <c r="P39" s="1941">
        <v>474179</v>
      </c>
      <c r="Q39" s="1942">
        <v>474179</v>
      </c>
      <c r="R39" s="1942">
        <v>0</v>
      </c>
      <c r="S39" s="1942">
        <v>0</v>
      </c>
      <c r="T39" s="1942">
        <v>0</v>
      </c>
      <c r="U39" s="1943">
        <f t="shared" si="24"/>
        <v>948358</v>
      </c>
      <c r="V39" s="1941">
        <v>649.5</v>
      </c>
      <c r="W39" s="1942">
        <v>649.5</v>
      </c>
      <c r="X39" s="1942">
        <v>0</v>
      </c>
      <c r="Y39" s="1942">
        <v>0</v>
      </c>
      <c r="Z39" s="1942">
        <v>0</v>
      </c>
      <c r="AA39" s="1943">
        <f t="shared" si="25"/>
        <v>1299</v>
      </c>
      <c r="AB39" s="1941"/>
      <c r="AC39" s="1942"/>
      <c r="AD39" s="1942"/>
      <c r="AE39" s="1942"/>
      <c r="AF39" s="1942"/>
      <c r="AG39" s="1943">
        <f t="shared" si="26"/>
        <v>0</v>
      </c>
      <c r="AH39" s="1941"/>
      <c r="AI39" s="1942"/>
      <c r="AJ39" s="1942"/>
      <c r="AK39" s="1942"/>
      <c r="AL39" s="1942"/>
      <c r="AM39" s="1943">
        <f t="shared" si="27"/>
        <v>0</v>
      </c>
      <c r="AN39" s="1944">
        <v>15792.48</v>
      </c>
      <c r="AO39" s="1945">
        <v>94193.52</v>
      </c>
      <c r="AP39" s="1945">
        <v>0</v>
      </c>
      <c r="AQ39" s="1945">
        <v>0</v>
      </c>
      <c r="AR39" s="1945">
        <v>0</v>
      </c>
      <c r="AS39" s="1946">
        <f t="shared" si="28"/>
        <v>109986</v>
      </c>
      <c r="AT39" s="1947"/>
      <c r="AU39" s="1948"/>
      <c r="AV39" s="1948"/>
      <c r="AW39" s="1948"/>
      <c r="AX39" s="1948"/>
      <c r="AY39" s="1949">
        <f t="shared" si="29"/>
        <v>0</v>
      </c>
      <c r="AZ39" s="1947"/>
      <c r="BA39" s="1948"/>
      <c r="BB39" s="1948"/>
      <c r="BC39" s="1948"/>
      <c r="BD39" s="1948"/>
      <c r="BE39" s="1949">
        <f t="shared" si="30"/>
        <v>0</v>
      </c>
    </row>
    <row r="40" spans="1:57" s="234" customFormat="1" ht="12.75" customHeight="1" x14ac:dyDescent="0.25">
      <c r="A40" s="1393" t="s">
        <v>94</v>
      </c>
      <c r="B40" s="1936" t="s">
        <v>95</v>
      </c>
      <c r="C40" s="1937" t="s">
        <v>264</v>
      </c>
      <c r="D40" s="1938">
        <f t="shared" si="17"/>
        <v>301232.65999999997</v>
      </c>
      <c r="E40" s="1939">
        <f t="shared" si="18"/>
        <v>703081.85</v>
      </c>
      <c r="F40" s="1939">
        <f t="shared" si="19"/>
        <v>0</v>
      </c>
      <c r="G40" s="1939">
        <f t="shared" si="20"/>
        <v>-0.15</v>
      </c>
      <c r="H40" s="1939">
        <f t="shared" si="21"/>
        <v>-0.15</v>
      </c>
      <c r="I40" s="1940">
        <f t="shared" si="22"/>
        <v>1004314.36</v>
      </c>
      <c r="J40" s="1941">
        <v>120569.39</v>
      </c>
      <c r="K40" s="1942">
        <v>120569.39</v>
      </c>
      <c r="L40" s="1942">
        <v>0</v>
      </c>
      <c r="M40" s="1942">
        <v>-0.12</v>
      </c>
      <c r="N40" s="1942">
        <v>0</v>
      </c>
      <c r="O40" s="1943">
        <f t="shared" si="23"/>
        <v>241138.66</v>
      </c>
      <c r="P40" s="1941">
        <v>178249.59</v>
      </c>
      <c r="Q40" s="1942">
        <v>178249.59</v>
      </c>
      <c r="R40" s="1942">
        <v>0</v>
      </c>
      <c r="S40" s="1942">
        <v>0</v>
      </c>
      <c r="T40" s="1942">
        <v>0</v>
      </c>
      <c r="U40" s="1943">
        <f t="shared" si="24"/>
        <v>356499.18</v>
      </c>
      <c r="V40" s="1941">
        <v>1560.69</v>
      </c>
      <c r="W40" s="1942">
        <v>1560.69</v>
      </c>
      <c r="X40" s="1942">
        <v>0</v>
      </c>
      <c r="Y40" s="1942">
        <v>-0.02</v>
      </c>
      <c r="Z40" s="1942">
        <v>0</v>
      </c>
      <c r="AA40" s="1943">
        <f t="shared" si="25"/>
        <v>3121.36</v>
      </c>
      <c r="AB40" s="1941">
        <v>373.33</v>
      </c>
      <c r="AC40" s="1942">
        <v>373.33</v>
      </c>
      <c r="AD40" s="1942">
        <v>0</v>
      </c>
      <c r="AE40" s="1942">
        <v>0</v>
      </c>
      <c r="AF40" s="1942">
        <v>0</v>
      </c>
      <c r="AG40" s="1943">
        <f t="shared" si="26"/>
        <v>746.66</v>
      </c>
      <c r="AH40" s="1941"/>
      <c r="AI40" s="1942"/>
      <c r="AJ40" s="1942"/>
      <c r="AK40" s="1942"/>
      <c r="AL40" s="1942"/>
      <c r="AM40" s="1943">
        <f t="shared" si="27"/>
        <v>0</v>
      </c>
      <c r="AN40" s="1944">
        <v>479.66</v>
      </c>
      <c r="AO40" s="1945">
        <v>402328.85</v>
      </c>
      <c r="AP40" s="1945">
        <v>0</v>
      </c>
      <c r="AQ40" s="1945">
        <v>-0.01</v>
      </c>
      <c r="AR40" s="1945">
        <v>0</v>
      </c>
      <c r="AS40" s="1946">
        <f t="shared" si="28"/>
        <v>402808.49999999994</v>
      </c>
      <c r="AT40" s="1947"/>
      <c r="AU40" s="1948"/>
      <c r="AV40" s="1948"/>
      <c r="AW40" s="1948"/>
      <c r="AX40" s="1948"/>
      <c r="AY40" s="1949">
        <f t="shared" si="29"/>
        <v>0</v>
      </c>
      <c r="AZ40" s="1947"/>
      <c r="BA40" s="1948"/>
      <c r="BB40" s="1948"/>
      <c r="BC40" s="1948"/>
      <c r="BD40" s="1948"/>
      <c r="BE40" s="1949">
        <f t="shared" si="30"/>
        <v>0</v>
      </c>
    </row>
    <row r="41" spans="1:57" s="234" customFormat="1" ht="12.75" customHeight="1" x14ac:dyDescent="0.25">
      <c r="A41" s="1393" t="s">
        <v>96</v>
      </c>
      <c r="B41" s="1936" t="s">
        <v>97</v>
      </c>
      <c r="C41" s="1937" t="s">
        <v>266</v>
      </c>
      <c r="D41" s="1938">
        <f t="shared" si="17"/>
        <v>178802.65</v>
      </c>
      <c r="E41" s="1939">
        <f t="shared" si="18"/>
        <v>216934.91999999998</v>
      </c>
      <c r="F41" s="1939">
        <f t="shared" si="19"/>
        <v>0</v>
      </c>
      <c r="G41" s="1939">
        <f t="shared" si="20"/>
        <v>-0.03</v>
      </c>
      <c r="H41" s="1939">
        <f t="shared" si="21"/>
        <v>-0.03</v>
      </c>
      <c r="I41" s="1940">
        <f t="shared" si="22"/>
        <v>395737.53999999992</v>
      </c>
      <c r="J41" s="1941">
        <v>70260.929999999993</v>
      </c>
      <c r="K41" s="1942">
        <v>70260.929999999993</v>
      </c>
      <c r="L41" s="1942">
        <v>0</v>
      </c>
      <c r="M41" s="1942">
        <v>-0.03</v>
      </c>
      <c r="N41" s="1942">
        <v>0</v>
      </c>
      <c r="O41" s="1943">
        <f t="shared" si="23"/>
        <v>140521.82999999999</v>
      </c>
      <c r="P41" s="1941">
        <v>94312.74</v>
      </c>
      <c r="Q41" s="1942">
        <v>94312.74</v>
      </c>
      <c r="R41" s="1942">
        <v>0</v>
      </c>
      <c r="S41" s="1942">
        <v>0</v>
      </c>
      <c r="T41" s="1942">
        <v>0</v>
      </c>
      <c r="U41" s="1943">
        <f t="shared" si="24"/>
        <v>188625.48</v>
      </c>
      <c r="V41" s="1941"/>
      <c r="W41" s="1942"/>
      <c r="X41" s="1942"/>
      <c r="Y41" s="1942"/>
      <c r="Z41" s="1942"/>
      <c r="AA41" s="1943">
        <f t="shared" si="25"/>
        <v>0</v>
      </c>
      <c r="AB41" s="1941">
        <v>8108.7</v>
      </c>
      <c r="AC41" s="1942">
        <v>8108.7</v>
      </c>
      <c r="AD41" s="1942">
        <v>0</v>
      </c>
      <c r="AE41" s="1942">
        <v>0</v>
      </c>
      <c r="AF41" s="1942">
        <v>0</v>
      </c>
      <c r="AG41" s="1943">
        <f t="shared" si="26"/>
        <v>16217.4</v>
      </c>
      <c r="AH41" s="1941"/>
      <c r="AI41" s="1942"/>
      <c r="AJ41" s="1942"/>
      <c r="AK41" s="1942"/>
      <c r="AL41" s="1942"/>
      <c r="AM41" s="1943">
        <f t="shared" si="27"/>
        <v>0</v>
      </c>
      <c r="AN41" s="1944">
        <v>3222.45</v>
      </c>
      <c r="AO41" s="1945">
        <v>44252.55</v>
      </c>
      <c r="AP41" s="1945">
        <v>0</v>
      </c>
      <c r="AQ41" s="1945">
        <v>0</v>
      </c>
      <c r="AR41" s="1945">
        <v>0</v>
      </c>
      <c r="AS41" s="1946">
        <f t="shared" si="28"/>
        <v>47475</v>
      </c>
      <c r="AT41" s="1947"/>
      <c r="AU41" s="1948"/>
      <c r="AV41" s="1948"/>
      <c r="AW41" s="1948"/>
      <c r="AX41" s="1948"/>
      <c r="AY41" s="1949">
        <f t="shared" si="29"/>
        <v>0</v>
      </c>
      <c r="AZ41" s="1947">
        <v>2897.83</v>
      </c>
      <c r="BA41" s="1948">
        <v>0</v>
      </c>
      <c r="BB41" s="1948">
        <v>0</v>
      </c>
      <c r="BC41" s="1948">
        <v>0</v>
      </c>
      <c r="BD41" s="1948">
        <v>0</v>
      </c>
      <c r="BE41" s="1949">
        <f t="shared" si="30"/>
        <v>2897.83</v>
      </c>
    </row>
    <row r="42" spans="1:57" s="234" customFormat="1" ht="12.75" customHeight="1" x14ac:dyDescent="0.25">
      <c r="A42" s="1393" t="s">
        <v>98</v>
      </c>
      <c r="B42" s="1936" t="s">
        <v>99</v>
      </c>
      <c r="C42" s="1937" t="s">
        <v>268</v>
      </c>
      <c r="D42" s="1938">
        <f t="shared" si="17"/>
        <v>233160.4</v>
      </c>
      <c r="E42" s="1939">
        <f t="shared" si="18"/>
        <v>254428.4</v>
      </c>
      <c r="F42" s="1939">
        <f t="shared" si="19"/>
        <v>0</v>
      </c>
      <c r="G42" s="1939">
        <f t="shared" si="20"/>
        <v>-0.04</v>
      </c>
      <c r="H42" s="1939">
        <f t="shared" si="21"/>
        <v>-0.04</v>
      </c>
      <c r="I42" s="1940">
        <f t="shared" si="22"/>
        <v>487588.76</v>
      </c>
      <c r="J42" s="1941">
        <v>53664.33</v>
      </c>
      <c r="K42" s="1942">
        <v>53664.33</v>
      </c>
      <c r="L42" s="1942">
        <v>0</v>
      </c>
      <c r="M42" s="1942">
        <v>-0.04</v>
      </c>
      <c r="N42" s="1942">
        <v>0</v>
      </c>
      <c r="O42" s="1943">
        <f t="shared" si="23"/>
        <v>107328.62000000001</v>
      </c>
      <c r="P42" s="1941">
        <v>178367.99</v>
      </c>
      <c r="Q42" s="1942">
        <v>178367.99</v>
      </c>
      <c r="R42" s="1942">
        <v>0</v>
      </c>
      <c r="S42" s="1942">
        <v>0</v>
      </c>
      <c r="T42" s="1942">
        <v>0</v>
      </c>
      <c r="U42" s="1943">
        <f t="shared" si="24"/>
        <v>356735.98</v>
      </c>
      <c r="V42" s="1941">
        <v>1128.08</v>
      </c>
      <c r="W42" s="1942">
        <v>1128.08</v>
      </c>
      <c r="X42" s="1942">
        <v>0</v>
      </c>
      <c r="Y42" s="1942">
        <v>0</v>
      </c>
      <c r="Z42" s="1942">
        <v>0</v>
      </c>
      <c r="AA42" s="1943">
        <f t="shared" si="25"/>
        <v>2256.16</v>
      </c>
      <c r="AB42" s="1941"/>
      <c r="AC42" s="1942"/>
      <c r="AD42" s="1942"/>
      <c r="AE42" s="1942"/>
      <c r="AF42" s="1942"/>
      <c r="AG42" s="1943">
        <f t="shared" si="26"/>
        <v>0</v>
      </c>
      <c r="AH42" s="1941"/>
      <c r="AI42" s="1942"/>
      <c r="AJ42" s="1942"/>
      <c r="AK42" s="1942"/>
      <c r="AL42" s="1942"/>
      <c r="AM42" s="1943">
        <f t="shared" si="27"/>
        <v>0</v>
      </c>
      <c r="AN42" s="1944">
        <v>0</v>
      </c>
      <c r="AO42" s="1945">
        <v>21268</v>
      </c>
      <c r="AP42" s="1945">
        <v>0</v>
      </c>
      <c r="AQ42" s="1945">
        <v>0</v>
      </c>
      <c r="AR42" s="1945">
        <v>0</v>
      </c>
      <c r="AS42" s="1946">
        <f t="shared" si="28"/>
        <v>21268</v>
      </c>
      <c r="AT42" s="1947"/>
      <c r="AU42" s="1948"/>
      <c r="AV42" s="1948"/>
      <c r="AW42" s="1948"/>
      <c r="AX42" s="1948"/>
      <c r="AY42" s="1949">
        <f t="shared" si="29"/>
        <v>0</v>
      </c>
      <c r="AZ42" s="1947"/>
      <c r="BA42" s="1948"/>
      <c r="BB42" s="1948"/>
      <c r="BC42" s="1948"/>
      <c r="BD42" s="1948"/>
      <c r="BE42" s="1949">
        <f t="shared" si="30"/>
        <v>0</v>
      </c>
    </row>
    <row r="43" spans="1:57" s="234" customFormat="1" ht="12.75" customHeight="1" x14ac:dyDescent="0.25">
      <c r="A43" s="1393" t="s">
        <v>100</v>
      </c>
      <c r="B43" s="1936" t="s">
        <v>101</v>
      </c>
      <c r="C43" s="1937" t="s">
        <v>267</v>
      </c>
      <c r="D43" s="1938">
        <f t="shared" si="17"/>
        <v>90941.119999999995</v>
      </c>
      <c r="E43" s="1939">
        <f t="shared" si="18"/>
        <v>100242.12</v>
      </c>
      <c r="F43" s="1939">
        <f t="shared" si="19"/>
        <v>0</v>
      </c>
      <c r="G43" s="1939">
        <f t="shared" si="20"/>
        <v>-0.04</v>
      </c>
      <c r="H43" s="1939">
        <f t="shared" si="21"/>
        <v>-0.04</v>
      </c>
      <c r="I43" s="1940">
        <f t="shared" si="22"/>
        <v>191183.19999999998</v>
      </c>
      <c r="J43" s="1941">
        <v>29101.25</v>
      </c>
      <c r="K43" s="1942">
        <v>29101.25</v>
      </c>
      <c r="L43" s="1942">
        <v>0</v>
      </c>
      <c r="M43" s="1942">
        <v>-0.02</v>
      </c>
      <c r="N43" s="1942">
        <v>0</v>
      </c>
      <c r="O43" s="1943">
        <f t="shared" si="23"/>
        <v>58202.48</v>
      </c>
      <c r="P43" s="1941">
        <v>61151.17</v>
      </c>
      <c r="Q43" s="1942">
        <v>61151.17</v>
      </c>
      <c r="R43" s="1942">
        <v>0</v>
      </c>
      <c r="S43" s="1942">
        <v>-0.02</v>
      </c>
      <c r="T43" s="1942">
        <v>0</v>
      </c>
      <c r="U43" s="1943">
        <f t="shared" si="24"/>
        <v>122302.31999999999</v>
      </c>
      <c r="V43" s="1941">
        <v>688.7</v>
      </c>
      <c r="W43" s="1942">
        <v>688.7</v>
      </c>
      <c r="X43" s="1942">
        <v>0</v>
      </c>
      <c r="Y43" s="1942">
        <v>0</v>
      </c>
      <c r="Z43" s="1942">
        <v>0</v>
      </c>
      <c r="AA43" s="1943">
        <f t="shared" si="25"/>
        <v>1377.4</v>
      </c>
      <c r="AB43" s="1941"/>
      <c r="AC43" s="1942"/>
      <c r="AD43" s="1942"/>
      <c r="AE43" s="1942"/>
      <c r="AF43" s="1942"/>
      <c r="AG43" s="1943">
        <f t="shared" si="26"/>
        <v>0</v>
      </c>
      <c r="AH43" s="1941"/>
      <c r="AI43" s="1942"/>
      <c r="AJ43" s="1942"/>
      <c r="AK43" s="1942"/>
      <c r="AL43" s="1942"/>
      <c r="AM43" s="1943">
        <f t="shared" si="27"/>
        <v>0</v>
      </c>
      <c r="AN43" s="1944">
        <v>0</v>
      </c>
      <c r="AO43" s="1945">
        <v>9301</v>
      </c>
      <c r="AP43" s="1945">
        <v>0</v>
      </c>
      <c r="AQ43" s="1945">
        <v>0</v>
      </c>
      <c r="AR43" s="1945">
        <v>0</v>
      </c>
      <c r="AS43" s="1946">
        <f t="shared" si="28"/>
        <v>9301</v>
      </c>
      <c r="AT43" s="1947"/>
      <c r="AU43" s="1948"/>
      <c r="AV43" s="1948"/>
      <c r="AW43" s="1948"/>
      <c r="AX43" s="1948"/>
      <c r="AY43" s="1949">
        <f t="shared" si="29"/>
        <v>0</v>
      </c>
      <c r="AZ43" s="1947"/>
      <c r="BA43" s="1948"/>
      <c r="BB43" s="1948"/>
      <c r="BC43" s="1948"/>
      <c r="BD43" s="1948"/>
      <c r="BE43" s="1949">
        <f t="shared" si="30"/>
        <v>0</v>
      </c>
    </row>
    <row r="44" spans="1:57" s="234" customFormat="1" ht="12.75" customHeight="1" x14ac:dyDescent="0.25">
      <c r="A44" s="1393" t="s">
        <v>102</v>
      </c>
      <c r="B44" s="1936" t="s">
        <v>103</v>
      </c>
      <c r="C44" s="1937" t="s">
        <v>264</v>
      </c>
      <c r="D44" s="1938">
        <f t="shared" si="17"/>
        <v>82266.39</v>
      </c>
      <c r="E44" s="1939">
        <f t="shared" si="18"/>
        <v>82076.33</v>
      </c>
      <c r="F44" s="1939">
        <f t="shared" si="19"/>
        <v>0</v>
      </c>
      <c r="G44" s="1939">
        <f t="shared" si="20"/>
        <v>-0.02</v>
      </c>
      <c r="H44" s="1939">
        <f t="shared" si="21"/>
        <v>-0.02</v>
      </c>
      <c r="I44" s="1940">
        <f t="shared" si="22"/>
        <v>164342.70000000001</v>
      </c>
      <c r="J44" s="1941">
        <v>30799.66</v>
      </c>
      <c r="K44" s="1942">
        <v>30799.66</v>
      </c>
      <c r="L44" s="1942">
        <v>0</v>
      </c>
      <c r="M44" s="1942">
        <v>-0.02</v>
      </c>
      <c r="N44" s="1942">
        <v>0</v>
      </c>
      <c r="O44" s="1943">
        <f t="shared" si="23"/>
        <v>61599.3</v>
      </c>
      <c r="P44" s="1941">
        <v>51651.199999999997</v>
      </c>
      <c r="Q44" s="1942">
        <v>51651.199999999997</v>
      </c>
      <c r="R44" s="1942">
        <v>0</v>
      </c>
      <c r="S44" s="1942">
        <v>0</v>
      </c>
      <c r="T44" s="1942">
        <v>0</v>
      </c>
      <c r="U44" s="1943">
        <f t="shared" si="24"/>
        <v>103302.39999999999</v>
      </c>
      <c r="V44" s="1944"/>
      <c r="W44" s="1945"/>
      <c r="X44" s="1945"/>
      <c r="Y44" s="1945"/>
      <c r="Z44" s="1945"/>
      <c r="AA44" s="1943">
        <f t="shared" si="25"/>
        <v>0</v>
      </c>
      <c r="AB44" s="1944"/>
      <c r="AC44" s="1945"/>
      <c r="AD44" s="1945"/>
      <c r="AE44" s="1945"/>
      <c r="AF44" s="1945"/>
      <c r="AG44" s="1943">
        <f t="shared" si="26"/>
        <v>0</v>
      </c>
      <c r="AH44" s="1944"/>
      <c r="AI44" s="1945"/>
      <c r="AJ44" s="1945"/>
      <c r="AK44" s="1945"/>
      <c r="AL44" s="1945"/>
      <c r="AM44" s="1943">
        <f t="shared" si="27"/>
        <v>0</v>
      </c>
      <c r="AN44" s="1944">
        <v>-184.47</v>
      </c>
      <c r="AO44" s="1945">
        <v>-374.53</v>
      </c>
      <c r="AP44" s="1945">
        <v>0</v>
      </c>
      <c r="AQ44" s="1945">
        <v>0</v>
      </c>
      <c r="AR44" s="1945">
        <v>0</v>
      </c>
      <c r="AS44" s="1946">
        <f t="shared" si="28"/>
        <v>-559</v>
      </c>
      <c r="AT44" s="1947"/>
      <c r="AU44" s="1948"/>
      <c r="AV44" s="1948"/>
      <c r="AW44" s="1948"/>
      <c r="AX44" s="1948"/>
      <c r="AY44" s="1949">
        <f t="shared" si="29"/>
        <v>0</v>
      </c>
      <c r="AZ44" s="1947"/>
      <c r="BA44" s="1948"/>
      <c r="BB44" s="1948"/>
      <c r="BC44" s="1948"/>
      <c r="BD44" s="1948"/>
      <c r="BE44" s="1949">
        <f t="shared" si="30"/>
        <v>0</v>
      </c>
    </row>
    <row r="45" spans="1:57" s="234" customFormat="1" ht="12.75" customHeight="1" x14ac:dyDescent="0.25">
      <c r="A45" s="1393" t="s">
        <v>104</v>
      </c>
      <c r="B45" s="1936" t="s">
        <v>309</v>
      </c>
      <c r="C45" s="1937" t="s">
        <v>265</v>
      </c>
      <c r="D45" s="1938">
        <f t="shared" si="17"/>
        <v>354029.98000000004</v>
      </c>
      <c r="E45" s="1939">
        <f t="shared" si="18"/>
        <v>416077.08</v>
      </c>
      <c r="F45" s="1939">
        <f t="shared" si="19"/>
        <v>0</v>
      </c>
      <c r="G45" s="1939">
        <f t="shared" si="20"/>
        <v>2230.92</v>
      </c>
      <c r="H45" s="1939">
        <f t="shared" si="21"/>
        <v>2230.92</v>
      </c>
      <c r="I45" s="1940">
        <f t="shared" si="22"/>
        <v>772337.9800000001</v>
      </c>
      <c r="J45" s="1941">
        <v>128624.41</v>
      </c>
      <c r="K45" s="1942">
        <v>128624.41</v>
      </c>
      <c r="L45" s="1942">
        <v>0</v>
      </c>
      <c r="M45" s="1942">
        <v>-0.08</v>
      </c>
      <c r="N45" s="1942">
        <v>0</v>
      </c>
      <c r="O45" s="1943">
        <f t="shared" si="23"/>
        <v>257248.74000000002</v>
      </c>
      <c r="P45" s="1941">
        <v>209083.5</v>
      </c>
      <c r="Q45" s="1942">
        <v>209083.5</v>
      </c>
      <c r="R45" s="1942">
        <v>0</v>
      </c>
      <c r="S45" s="1942">
        <v>2231</v>
      </c>
      <c r="T45" s="1942">
        <v>0</v>
      </c>
      <c r="U45" s="1943">
        <f t="shared" si="24"/>
        <v>420398</v>
      </c>
      <c r="V45" s="1941"/>
      <c r="W45" s="1942"/>
      <c r="X45" s="1942"/>
      <c r="Y45" s="1942"/>
      <c r="Z45" s="1942"/>
      <c r="AA45" s="1943">
        <f t="shared" si="25"/>
        <v>0</v>
      </c>
      <c r="AB45" s="1941"/>
      <c r="AC45" s="1942"/>
      <c r="AD45" s="1942"/>
      <c r="AE45" s="1942"/>
      <c r="AF45" s="1942"/>
      <c r="AG45" s="1943">
        <f t="shared" si="26"/>
        <v>0</v>
      </c>
      <c r="AH45" s="1941"/>
      <c r="AI45" s="1942"/>
      <c r="AJ45" s="1942"/>
      <c r="AK45" s="1942"/>
      <c r="AL45" s="1942"/>
      <c r="AM45" s="1943">
        <f t="shared" si="27"/>
        <v>0</v>
      </c>
      <c r="AN45" s="1944">
        <v>16322.07</v>
      </c>
      <c r="AO45" s="1945">
        <v>78369.17</v>
      </c>
      <c r="AP45" s="1945">
        <v>0</v>
      </c>
      <c r="AQ45" s="1945">
        <v>0</v>
      </c>
      <c r="AR45" s="1945">
        <v>0</v>
      </c>
      <c r="AS45" s="1946">
        <f t="shared" si="28"/>
        <v>94691.239999999991</v>
      </c>
      <c r="AT45" s="1947"/>
      <c r="AU45" s="1948"/>
      <c r="AV45" s="1948"/>
      <c r="AW45" s="1948"/>
      <c r="AX45" s="1948"/>
      <c r="AY45" s="1949">
        <f t="shared" si="29"/>
        <v>0</v>
      </c>
      <c r="AZ45" s="1947"/>
      <c r="BA45" s="1948"/>
      <c r="BB45" s="1948"/>
      <c r="BC45" s="1948"/>
      <c r="BD45" s="1948"/>
      <c r="BE45" s="1949">
        <f t="shared" si="30"/>
        <v>0</v>
      </c>
    </row>
    <row r="46" spans="1:57" s="234" customFormat="1" ht="12.75" customHeight="1" x14ac:dyDescent="0.25">
      <c r="A46" s="1393" t="s">
        <v>108</v>
      </c>
      <c r="B46" s="1936" t="s">
        <v>109</v>
      </c>
      <c r="C46" s="1937" t="s">
        <v>266</v>
      </c>
      <c r="D46" s="1938">
        <f t="shared" si="17"/>
        <v>472759.55</v>
      </c>
      <c r="E46" s="1939">
        <f t="shared" si="18"/>
        <v>583795.49</v>
      </c>
      <c r="F46" s="1939">
        <f t="shared" si="19"/>
        <v>0</v>
      </c>
      <c r="G46" s="1939">
        <f t="shared" si="20"/>
        <v>-6.0000000000000005E-2</v>
      </c>
      <c r="H46" s="1939">
        <f t="shared" si="21"/>
        <v>-6.0000000000000005E-2</v>
      </c>
      <c r="I46" s="1940">
        <f t="shared" si="22"/>
        <v>1056554.98</v>
      </c>
      <c r="J46" s="1941">
        <v>196056.66</v>
      </c>
      <c r="K46" s="1942">
        <v>196056.66</v>
      </c>
      <c r="L46" s="1942">
        <v>0</v>
      </c>
      <c r="M46" s="1942">
        <v>-0.05</v>
      </c>
      <c r="N46" s="1942">
        <v>0</v>
      </c>
      <c r="O46" s="1943">
        <f t="shared" si="23"/>
        <v>392113.27</v>
      </c>
      <c r="P46" s="1941">
        <v>241195.32</v>
      </c>
      <c r="Q46" s="1942">
        <v>241195.32</v>
      </c>
      <c r="R46" s="1942">
        <v>0</v>
      </c>
      <c r="S46" s="1942">
        <v>0</v>
      </c>
      <c r="T46" s="1942">
        <v>0</v>
      </c>
      <c r="U46" s="1943">
        <f t="shared" si="24"/>
        <v>482390.64</v>
      </c>
      <c r="V46" s="1941">
        <v>3492.39</v>
      </c>
      <c r="W46" s="1942">
        <v>3492.39</v>
      </c>
      <c r="X46" s="1942">
        <v>0</v>
      </c>
      <c r="Y46" s="1942">
        <v>-0.02</v>
      </c>
      <c r="Z46" s="1942">
        <v>0</v>
      </c>
      <c r="AA46" s="1943">
        <f t="shared" si="25"/>
        <v>6984.7599999999993</v>
      </c>
      <c r="AB46" s="1941"/>
      <c r="AC46" s="1942"/>
      <c r="AD46" s="1942"/>
      <c r="AE46" s="1942"/>
      <c r="AF46" s="1942"/>
      <c r="AG46" s="1943">
        <f t="shared" si="26"/>
        <v>0</v>
      </c>
      <c r="AH46" s="1941"/>
      <c r="AI46" s="1942"/>
      <c r="AJ46" s="1942"/>
      <c r="AK46" s="1942"/>
      <c r="AL46" s="1942"/>
      <c r="AM46" s="1943">
        <f t="shared" si="27"/>
        <v>0</v>
      </c>
      <c r="AN46" s="1944">
        <v>32015.18</v>
      </c>
      <c r="AO46" s="1945">
        <v>143051.12</v>
      </c>
      <c r="AP46" s="1945">
        <v>0</v>
      </c>
      <c r="AQ46" s="1945">
        <v>0.01</v>
      </c>
      <c r="AR46" s="1945">
        <v>0</v>
      </c>
      <c r="AS46" s="1946">
        <f t="shared" si="28"/>
        <v>175066.31</v>
      </c>
      <c r="AT46" s="1947"/>
      <c r="AU46" s="1948"/>
      <c r="AV46" s="1948"/>
      <c r="AW46" s="1948"/>
      <c r="AX46" s="1948"/>
      <c r="AY46" s="1949">
        <f t="shared" si="29"/>
        <v>0</v>
      </c>
      <c r="AZ46" s="1947"/>
      <c r="BA46" s="1948"/>
      <c r="BB46" s="1948"/>
      <c r="BC46" s="1948"/>
      <c r="BD46" s="1948"/>
      <c r="BE46" s="1949">
        <f t="shared" si="30"/>
        <v>0</v>
      </c>
    </row>
    <row r="47" spans="1:57" s="234" customFormat="1" ht="12.75" customHeight="1" x14ac:dyDescent="0.25">
      <c r="A47" s="1393" t="s">
        <v>110</v>
      </c>
      <c r="B47" s="1936" t="s">
        <v>111</v>
      </c>
      <c r="C47" s="1937" t="s">
        <v>266</v>
      </c>
      <c r="D47" s="1938">
        <f t="shared" si="17"/>
        <v>1352310.29</v>
      </c>
      <c r="E47" s="1939">
        <f t="shared" si="18"/>
        <v>1722359.1800000002</v>
      </c>
      <c r="F47" s="1939">
        <f t="shared" si="19"/>
        <v>0</v>
      </c>
      <c r="G47" s="1939">
        <f t="shared" si="20"/>
        <v>-0.17</v>
      </c>
      <c r="H47" s="1939">
        <f t="shared" si="21"/>
        <v>-0.17</v>
      </c>
      <c r="I47" s="1940">
        <f t="shared" si="22"/>
        <v>3074669.3000000003</v>
      </c>
      <c r="J47" s="1941">
        <v>607528.81999999995</v>
      </c>
      <c r="K47" s="1942">
        <v>607528.81999999995</v>
      </c>
      <c r="L47" s="1942">
        <v>0</v>
      </c>
      <c r="M47" s="1942">
        <v>-0.17</v>
      </c>
      <c r="N47" s="1942">
        <v>0</v>
      </c>
      <c r="O47" s="1943">
        <f t="shared" si="23"/>
        <v>1215057.47</v>
      </c>
      <c r="P47" s="1941">
        <v>628407.80000000005</v>
      </c>
      <c r="Q47" s="1942">
        <v>628407.80000000005</v>
      </c>
      <c r="R47" s="1942">
        <v>0</v>
      </c>
      <c r="S47" s="1942">
        <v>0</v>
      </c>
      <c r="T47" s="1942">
        <v>0</v>
      </c>
      <c r="U47" s="1943">
        <f t="shared" si="24"/>
        <v>1256815.6000000001</v>
      </c>
      <c r="V47" s="1941">
        <v>8680</v>
      </c>
      <c r="W47" s="1942">
        <v>8680</v>
      </c>
      <c r="X47" s="1942">
        <v>0</v>
      </c>
      <c r="Y47" s="1942">
        <v>0</v>
      </c>
      <c r="Z47" s="1942">
        <v>0</v>
      </c>
      <c r="AA47" s="1943">
        <f t="shared" si="25"/>
        <v>17360</v>
      </c>
      <c r="AB47" s="1941"/>
      <c r="AC47" s="1942"/>
      <c r="AD47" s="1942"/>
      <c r="AE47" s="1942"/>
      <c r="AF47" s="1942"/>
      <c r="AG47" s="1943">
        <f t="shared" si="26"/>
        <v>0</v>
      </c>
      <c r="AH47" s="1941"/>
      <c r="AI47" s="1942"/>
      <c r="AJ47" s="1942"/>
      <c r="AK47" s="1942"/>
      <c r="AL47" s="1942"/>
      <c r="AM47" s="1943">
        <f t="shared" si="27"/>
        <v>0</v>
      </c>
      <c r="AN47" s="1944">
        <v>107693.67</v>
      </c>
      <c r="AO47" s="1945">
        <v>477742.56</v>
      </c>
      <c r="AP47" s="1945">
        <v>0</v>
      </c>
      <c r="AQ47" s="1945">
        <v>0</v>
      </c>
      <c r="AR47" s="1945">
        <v>0</v>
      </c>
      <c r="AS47" s="1946">
        <f t="shared" si="28"/>
        <v>585436.23</v>
      </c>
      <c r="AT47" s="1947"/>
      <c r="AU47" s="1948"/>
      <c r="AV47" s="1948"/>
      <c r="AW47" s="1948"/>
      <c r="AX47" s="1948"/>
      <c r="AY47" s="1949">
        <f t="shared" si="29"/>
        <v>0</v>
      </c>
      <c r="AZ47" s="1947"/>
      <c r="BA47" s="1948"/>
      <c r="BB47" s="1948"/>
      <c r="BC47" s="1948"/>
      <c r="BD47" s="1948"/>
      <c r="BE47" s="1949">
        <f t="shared" si="30"/>
        <v>0</v>
      </c>
    </row>
    <row r="48" spans="1:57" s="234" customFormat="1" ht="12.75" customHeight="1" x14ac:dyDescent="0.25">
      <c r="A48" s="1393" t="s">
        <v>112</v>
      </c>
      <c r="B48" s="1936" t="s">
        <v>300</v>
      </c>
      <c r="C48" s="1937" t="s">
        <v>265</v>
      </c>
      <c r="D48" s="1938">
        <f t="shared" si="17"/>
        <v>545431.58000000007</v>
      </c>
      <c r="E48" s="1939">
        <f t="shared" si="18"/>
        <v>616987.58000000007</v>
      </c>
      <c r="F48" s="1939">
        <f t="shared" si="19"/>
        <v>0</v>
      </c>
      <c r="G48" s="1939">
        <f t="shared" si="20"/>
        <v>-0.18</v>
      </c>
      <c r="H48" s="1939">
        <f t="shared" si="21"/>
        <v>-0.18</v>
      </c>
      <c r="I48" s="1940">
        <f t="shared" si="22"/>
        <v>1162418.9800000002</v>
      </c>
      <c r="J48" s="1941">
        <v>226324.45</v>
      </c>
      <c r="K48" s="1942">
        <v>226324.45</v>
      </c>
      <c r="L48" s="1942">
        <v>0</v>
      </c>
      <c r="M48" s="1942">
        <v>-0.16999999999999998</v>
      </c>
      <c r="N48" s="1942">
        <v>0</v>
      </c>
      <c r="O48" s="1943">
        <f t="shared" si="23"/>
        <v>452648.73000000004</v>
      </c>
      <c r="P48" s="1941">
        <v>319107.13</v>
      </c>
      <c r="Q48" s="1942">
        <v>319107.13</v>
      </c>
      <c r="R48" s="1942">
        <v>0</v>
      </c>
      <c r="S48" s="1942">
        <v>-0.01</v>
      </c>
      <c r="T48" s="1942">
        <v>0</v>
      </c>
      <c r="U48" s="1943">
        <f t="shared" si="24"/>
        <v>638214.25</v>
      </c>
      <c r="V48" s="1941"/>
      <c r="W48" s="1942"/>
      <c r="X48" s="1942"/>
      <c r="Y48" s="1942"/>
      <c r="Z48" s="1942"/>
      <c r="AA48" s="1943">
        <f t="shared" si="25"/>
        <v>0</v>
      </c>
      <c r="AB48" s="1941"/>
      <c r="AC48" s="1942"/>
      <c r="AD48" s="1942"/>
      <c r="AE48" s="1942"/>
      <c r="AF48" s="1942"/>
      <c r="AG48" s="1943">
        <f t="shared" si="26"/>
        <v>0</v>
      </c>
      <c r="AH48" s="1941"/>
      <c r="AI48" s="1942"/>
      <c r="AJ48" s="1942"/>
      <c r="AK48" s="1942"/>
      <c r="AL48" s="1942"/>
      <c r="AM48" s="1943">
        <f t="shared" si="27"/>
        <v>0</v>
      </c>
      <c r="AN48" s="1944">
        <v>0</v>
      </c>
      <c r="AO48" s="1945">
        <v>71556</v>
      </c>
      <c r="AP48" s="1945">
        <v>0</v>
      </c>
      <c r="AQ48" s="1945">
        <v>0</v>
      </c>
      <c r="AR48" s="1945">
        <v>0</v>
      </c>
      <c r="AS48" s="1946">
        <f t="shared" si="28"/>
        <v>71556</v>
      </c>
      <c r="AT48" s="1947"/>
      <c r="AU48" s="1948"/>
      <c r="AV48" s="1948"/>
      <c r="AW48" s="1948"/>
      <c r="AX48" s="1948"/>
      <c r="AY48" s="1949">
        <f t="shared" si="29"/>
        <v>0</v>
      </c>
      <c r="AZ48" s="1947"/>
      <c r="BA48" s="1948"/>
      <c r="BB48" s="1948"/>
      <c r="BC48" s="1948"/>
      <c r="BD48" s="1948"/>
      <c r="BE48" s="1949">
        <f t="shared" si="30"/>
        <v>0</v>
      </c>
    </row>
    <row r="49" spans="1:57" s="234" customFormat="1" ht="12.75" customHeight="1" x14ac:dyDescent="0.25">
      <c r="A49" s="1393" t="s">
        <v>114</v>
      </c>
      <c r="B49" s="1936" t="s">
        <v>115</v>
      </c>
      <c r="C49" s="1937" t="s">
        <v>265</v>
      </c>
      <c r="D49" s="1938">
        <f t="shared" si="17"/>
        <v>36518.61</v>
      </c>
      <c r="E49" s="1939">
        <f t="shared" si="18"/>
        <v>36518.61</v>
      </c>
      <c r="F49" s="1939">
        <f t="shared" si="19"/>
        <v>0</v>
      </c>
      <c r="G49" s="1939">
        <f t="shared" si="20"/>
        <v>-0.02</v>
      </c>
      <c r="H49" s="1939">
        <f t="shared" si="21"/>
        <v>-0.02</v>
      </c>
      <c r="I49" s="1940">
        <f t="shared" si="22"/>
        <v>73037.2</v>
      </c>
      <c r="J49" s="1941">
        <v>21239.61</v>
      </c>
      <c r="K49" s="1942">
        <v>21239.61</v>
      </c>
      <c r="L49" s="1942">
        <v>0</v>
      </c>
      <c r="M49" s="1942">
        <v>-0.02</v>
      </c>
      <c r="N49" s="1942">
        <v>0</v>
      </c>
      <c r="O49" s="1943">
        <f t="shared" si="23"/>
        <v>42479.200000000004</v>
      </c>
      <c r="P49" s="1941">
        <v>15279</v>
      </c>
      <c r="Q49" s="1942">
        <v>15279</v>
      </c>
      <c r="R49" s="1942">
        <v>0</v>
      </c>
      <c r="S49" s="1942">
        <v>0</v>
      </c>
      <c r="T49" s="1942">
        <v>0</v>
      </c>
      <c r="U49" s="1943">
        <f t="shared" si="24"/>
        <v>30558</v>
      </c>
      <c r="V49" s="1944"/>
      <c r="W49" s="1945"/>
      <c r="X49" s="1945"/>
      <c r="Y49" s="1945"/>
      <c r="Z49" s="1945"/>
      <c r="AA49" s="1943">
        <f t="shared" si="25"/>
        <v>0</v>
      </c>
      <c r="AB49" s="1944"/>
      <c r="AC49" s="1945"/>
      <c r="AD49" s="1945"/>
      <c r="AE49" s="1945"/>
      <c r="AF49" s="1945"/>
      <c r="AG49" s="1943">
        <f t="shared" si="26"/>
        <v>0</v>
      </c>
      <c r="AH49" s="1944"/>
      <c r="AI49" s="1945"/>
      <c r="AJ49" s="1945"/>
      <c r="AK49" s="1945"/>
      <c r="AL49" s="1945"/>
      <c r="AM49" s="1943">
        <f t="shared" si="27"/>
        <v>0</v>
      </c>
      <c r="AN49" s="1944"/>
      <c r="AO49" s="1945"/>
      <c r="AP49" s="1945"/>
      <c r="AQ49" s="1945"/>
      <c r="AR49" s="1945"/>
      <c r="AS49" s="1946">
        <f t="shared" si="28"/>
        <v>0</v>
      </c>
      <c r="AT49" s="1947"/>
      <c r="AU49" s="1948"/>
      <c r="AV49" s="1948"/>
      <c r="AW49" s="1948"/>
      <c r="AX49" s="1948"/>
      <c r="AY49" s="1949">
        <f t="shared" si="29"/>
        <v>0</v>
      </c>
      <c r="AZ49" s="1947"/>
      <c r="BA49" s="1948"/>
      <c r="BB49" s="1948"/>
      <c r="BC49" s="1948"/>
      <c r="BD49" s="1948"/>
      <c r="BE49" s="1949">
        <f t="shared" si="30"/>
        <v>0</v>
      </c>
    </row>
    <row r="50" spans="1:57" s="234" customFormat="1" ht="12.75" customHeight="1" x14ac:dyDescent="0.25">
      <c r="A50" s="1393" t="s">
        <v>118</v>
      </c>
      <c r="B50" s="1936" t="s">
        <v>119</v>
      </c>
      <c r="C50" s="1937" t="s">
        <v>264</v>
      </c>
      <c r="D50" s="1938">
        <f t="shared" si="17"/>
        <v>125203.64</v>
      </c>
      <c r="E50" s="1939">
        <f t="shared" si="18"/>
        <v>173212.91999999998</v>
      </c>
      <c r="F50" s="1939">
        <f t="shared" si="19"/>
        <v>0</v>
      </c>
      <c r="G50" s="1939">
        <f t="shared" si="20"/>
        <v>0</v>
      </c>
      <c r="H50" s="1939">
        <f t="shared" si="21"/>
        <v>0</v>
      </c>
      <c r="I50" s="1940">
        <f t="shared" si="22"/>
        <v>298416.56</v>
      </c>
      <c r="J50" s="1941">
        <v>28728.78</v>
      </c>
      <c r="K50" s="1942">
        <v>28728.78</v>
      </c>
      <c r="L50" s="1942">
        <v>0</v>
      </c>
      <c r="M50" s="1942">
        <v>0</v>
      </c>
      <c r="N50" s="1942">
        <v>0</v>
      </c>
      <c r="O50" s="1943">
        <f t="shared" si="23"/>
        <v>57457.56</v>
      </c>
      <c r="P50" s="1941">
        <v>91560.5</v>
      </c>
      <c r="Q50" s="1942">
        <v>91560.5</v>
      </c>
      <c r="R50" s="1942">
        <v>0</v>
      </c>
      <c r="S50" s="1942">
        <v>0</v>
      </c>
      <c r="T50" s="1942">
        <v>0</v>
      </c>
      <c r="U50" s="1943">
        <f t="shared" si="24"/>
        <v>183121</v>
      </c>
      <c r="V50" s="1941"/>
      <c r="W50" s="1942"/>
      <c r="X50" s="1942"/>
      <c r="Y50" s="1942"/>
      <c r="Z50" s="1942"/>
      <c r="AA50" s="1943">
        <f t="shared" si="25"/>
        <v>0</v>
      </c>
      <c r="AB50" s="1941"/>
      <c r="AC50" s="1942"/>
      <c r="AD50" s="1942"/>
      <c r="AE50" s="1942"/>
      <c r="AF50" s="1942"/>
      <c r="AG50" s="1943">
        <f t="shared" si="26"/>
        <v>0</v>
      </c>
      <c r="AH50" s="1941"/>
      <c r="AI50" s="1942"/>
      <c r="AJ50" s="1942"/>
      <c r="AK50" s="1942"/>
      <c r="AL50" s="1942"/>
      <c r="AM50" s="1943">
        <f t="shared" si="27"/>
        <v>0</v>
      </c>
      <c r="AN50" s="1944">
        <v>4914.3599999999997</v>
      </c>
      <c r="AO50" s="1945">
        <v>52923.64</v>
      </c>
      <c r="AP50" s="1945">
        <v>0</v>
      </c>
      <c r="AQ50" s="1945">
        <v>0</v>
      </c>
      <c r="AR50" s="1945">
        <v>0</v>
      </c>
      <c r="AS50" s="1946">
        <f t="shared" si="28"/>
        <v>57838</v>
      </c>
      <c r="AT50" s="1947"/>
      <c r="AU50" s="1948"/>
      <c r="AV50" s="1948"/>
      <c r="AW50" s="1948"/>
      <c r="AX50" s="1948"/>
      <c r="AY50" s="1949">
        <f t="shared" si="29"/>
        <v>0</v>
      </c>
      <c r="AZ50" s="1947"/>
      <c r="BA50" s="1948"/>
      <c r="BB50" s="1948"/>
      <c r="BC50" s="1948"/>
      <c r="BD50" s="1948"/>
      <c r="BE50" s="1949">
        <f t="shared" si="30"/>
        <v>0</v>
      </c>
    </row>
    <row r="51" spans="1:57" s="234" customFormat="1" ht="12.75" customHeight="1" x14ac:dyDescent="0.25">
      <c r="A51" s="1393" t="s">
        <v>120</v>
      </c>
      <c r="B51" s="1936" t="s">
        <v>121</v>
      </c>
      <c r="C51" s="1937" t="s">
        <v>264</v>
      </c>
      <c r="D51" s="1938">
        <f t="shared" si="17"/>
        <v>367239.86000000004</v>
      </c>
      <c r="E51" s="1939">
        <f t="shared" si="18"/>
        <v>406541.60000000003</v>
      </c>
      <c r="F51" s="1939">
        <f t="shared" si="19"/>
        <v>0</v>
      </c>
      <c r="G51" s="1939">
        <f t="shared" si="20"/>
        <v>-8725.68</v>
      </c>
      <c r="H51" s="1939">
        <f t="shared" si="21"/>
        <v>-8725.68</v>
      </c>
      <c r="I51" s="1940">
        <f t="shared" si="22"/>
        <v>765055.78</v>
      </c>
      <c r="J51" s="1941">
        <v>44351.97</v>
      </c>
      <c r="K51" s="1942">
        <v>44351.97</v>
      </c>
      <c r="L51" s="1942">
        <v>0</v>
      </c>
      <c r="M51" s="1942">
        <v>-0.05</v>
      </c>
      <c r="N51" s="1942">
        <v>0</v>
      </c>
      <c r="O51" s="1943">
        <f t="shared" si="23"/>
        <v>88703.89</v>
      </c>
      <c r="P51" s="1941">
        <v>312811.94</v>
      </c>
      <c r="Q51" s="1942">
        <v>312811.94</v>
      </c>
      <c r="R51" s="1942">
        <v>0</v>
      </c>
      <c r="S51" s="1942">
        <v>-0.01</v>
      </c>
      <c r="T51" s="1942">
        <v>0</v>
      </c>
      <c r="U51" s="1943">
        <f t="shared" si="24"/>
        <v>625623.87</v>
      </c>
      <c r="V51" s="1941"/>
      <c r="W51" s="1942"/>
      <c r="X51" s="1942"/>
      <c r="Y51" s="1942"/>
      <c r="Z51" s="1942"/>
      <c r="AA51" s="1943">
        <f t="shared" si="25"/>
        <v>0</v>
      </c>
      <c r="AB51" s="1941"/>
      <c r="AC51" s="1942"/>
      <c r="AD51" s="1942"/>
      <c r="AE51" s="1942"/>
      <c r="AF51" s="1942"/>
      <c r="AG51" s="1943">
        <f t="shared" si="26"/>
        <v>0</v>
      </c>
      <c r="AH51" s="1941"/>
      <c r="AI51" s="1942"/>
      <c r="AJ51" s="1942"/>
      <c r="AK51" s="1942"/>
      <c r="AL51" s="1942"/>
      <c r="AM51" s="1943">
        <f t="shared" si="27"/>
        <v>0</v>
      </c>
      <c r="AN51" s="1944">
        <v>7949.45</v>
      </c>
      <c r="AO51" s="1945">
        <v>49377.69</v>
      </c>
      <c r="AP51" s="1945">
        <v>0</v>
      </c>
      <c r="AQ51" s="1945">
        <v>0</v>
      </c>
      <c r="AR51" s="1945">
        <v>0</v>
      </c>
      <c r="AS51" s="1946">
        <f t="shared" si="28"/>
        <v>57327.14</v>
      </c>
      <c r="AT51" s="1947"/>
      <c r="AU51" s="1948"/>
      <c r="AV51" s="1948"/>
      <c r="AW51" s="1948"/>
      <c r="AX51" s="1948"/>
      <c r="AY51" s="1949">
        <f t="shared" si="29"/>
        <v>0</v>
      </c>
      <c r="AZ51" s="1947">
        <v>2126.5</v>
      </c>
      <c r="BA51" s="1948">
        <v>0</v>
      </c>
      <c r="BB51" s="1948">
        <v>0</v>
      </c>
      <c r="BC51" s="1948">
        <v>-8725.6200000000008</v>
      </c>
      <c r="BD51" s="1948">
        <v>0</v>
      </c>
      <c r="BE51" s="1949">
        <f t="shared" si="30"/>
        <v>-6599.1200000000008</v>
      </c>
    </row>
    <row r="52" spans="1:57" s="234" customFormat="1" ht="12.75" customHeight="1" x14ac:dyDescent="0.25">
      <c r="A52" s="1393" t="s">
        <v>122</v>
      </c>
      <c r="B52" s="1936" t="s">
        <v>271</v>
      </c>
      <c r="C52" s="1937" t="s">
        <v>266</v>
      </c>
      <c r="D52" s="1938">
        <f t="shared" si="17"/>
        <v>61082.239999999991</v>
      </c>
      <c r="E52" s="1939">
        <f t="shared" si="18"/>
        <v>113260.44</v>
      </c>
      <c r="F52" s="1939">
        <f t="shared" si="19"/>
        <v>0</v>
      </c>
      <c r="G52" s="1939">
        <f t="shared" si="20"/>
        <v>0.02</v>
      </c>
      <c r="H52" s="1939">
        <f t="shared" si="21"/>
        <v>0.02</v>
      </c>
      <c r="I52" s="1940">
        <f t="shared" si="22"/>
        <v>174342.69999999998</v>
      </c>
      <c r="J52" s="1941">
        <v>11378.3</v>
      </c>
      <c r="K52" s="1942">
        <v>11378.3</v>
      </c>
      <c r="L52" s="1942">
        <v>0</v>
      </c>
      <c r="M52" s="1942">
        <v>0.04</v>
      </c>
      <c r="N52" s="1942">
        <v>0</v>
      </c>
      <c r="O52" s="1943">
        <f t="shared" si="23"/>
        <v>22756.639999999999</v>
      </c>
      <c r="P52" s="1941">
        <v>44925.74</v>
      </c>
      <c r="Q52" s="1942">
        <v>44925.74</v>
      </c>
      <c r="R52" s="1942">
        <v>0</v>
      </c>
      <c r="S52" s="1942">
        <v>-0.02</v>
      </c>
      <c r="T52" s="1942">
        <v>0</v>
      </c>
      <c r="U52" s="1943">
        <f t="shared" si="24"/>
        <v>89851.459999999992</v>
      </c>
      <c r="V52" s="1941">
        <v>3775</v>
      </c>
      <c r="W52" s="1942">
        <v>3775</v>
      </c>
      <c r="X52" s="1942">
        <v>0</v>
      </c>
      <c r="Y52" s="1942">
        <v>0</v>
      </c>
      <c r="Z52" s="1942">
        <v>0</v>
      </c>
      <c r="AA52" s="1943">
        <f t="shared" si="25"/>
        <v>7550</v>
      </c>
      <c r="AB52" s="1941"/>
      <c r="AC52" s="1942"/>
      <c r="AD52" s="1942"/>
      <c r="AE52" s="1942"/>
      <c r="AF52" s="1942"/>
      <c r="AG52" s="1943">
        <f t="shared" si="26"/>
        <v>0</v>
      </c>
      <c r="AH52" s="1941"/>
      <c r="AI52" s="1942"/>
      <c r="AJ52" s="1942"/>
      <c r="AK52" s="1942"/>
      <c r="AL52" s="1942"/>
      <c r="AM52" s="1943">
        <f t="shared" si="27"/>
        <v>0</v>
      </c>
      <c r="AN52" s="1944">
        <v>1003.2</v>
      </c>
      <c r="AO52" s="1945">
        <v>53181.4</v>
      </c>
      <c r="AP52" s="1945">
        <v>0</v>
      </c>
      <c r="AQ52" s="1945">
        <v>0</v>
      </c>
      <c r="AR52" s="1945">
        <v>0</v>
      </c>
      <c r="AS52" s="1946">
        <f t="shared" si="28"/>
        <v>54184.6</v>
      </c>
      <c r="AT52" s="1947"/>
      <c r="AU52" s="1948"/>
      <c r="AV52" s="1948"/>
      <c r="AW52" s="1948"/>
      <c r="AX52" s="1948"/>
      <c r="AY52" s="1949">
        <f t="shared" si="29"/>
        <v>0</v>
      </c>
      <c r="AZ52" s="1947"/>
      <c r="BA52" s="1948"/>
      <c r="BB52" s="1948"/>
      <c r="BC52" s="1948"/>
      <c r="BD52" s="1948"/>
      <c r="BE52" s="1949">
        <f t="shared" si="30"/>
        <v>0</v>
      </c>
    </row>
    <row r="53" spans="1:57" s="234" customFormat="1" ht="12.75" customHeight="1" x14ac:dyDescent="0.25">
      <c r="A53" s="1393" t="s">
        <v>124</v>
      </c>
      <c r="B53" s="1936" t="s">
        <v>125</v>
      </c>
      <c r="C53" s="1937" t="s">
        <v>267</v>
      </c>
      <c r="D53" s="1938">
        <f t="shared" si="17"/>
        <v>133488.46</v>
      </c>
      <c r="E53" s="1939">
        <f t="shared" si="18"/>
        <v>174751.8</v>
      </c>
      <c r="F53" s="1939">
        <f t="shared" si="19"/>
        <v>0</v>
      </c>
      <c r="G53" s="1939">
        <f t="shared" si="20"/>
        <v>-6.0000000000000005E-2</v>
      </c>
      <c r="H53" s="1939">
        <f t="shared" si="21"/>
        <v>-6.0000000000000005E-2</v>
      </c>
      <c r="I53" s="1940">
        <f t="shared" si="22"/>
        <v>308240.2</v>
      </c>
      <c r="J53" s="1941">
        <v>53194.25</v>
      </c>
      <c r="K53" s="1942">
        <v>53194.25</v>
      </c>
      <c r="L53" s="1942">
        <v>0</v>
      </c>
      <c r="M53" s="1942">
        <v>-0.05</v>
      </c>
      <c r="N53" s="1942">
        <v>0</v>
      </c>
      <c r="O53" s="1943">
        <f t="shared" si="23"/>
        <v>106388.45</v>
      </c>
      <c r="P53" s="1941">
        <v>78755.5</v>
      </c>
      <c r="Q53" s="1942">
        <v>78755.5</v>
      </c>
      <c r="R53" s="1942">
        <v>0</v>
      </c>
      <c r="S53" s="1942">
        <v>0</v>
      </c>
      <c r="T53" s="1942">
        <v>0</v>
      </c>
      <c r="U53" s="1943">
        <f t="shared" si="24"/>
        <v>157511</v>
      </c>
      <c r="V53" s="1941"/>
      <c r="W53" s="1942"/>
      <c r="X53" s="1942"/>
      <c r="Y53" s="1942"/>
      <c r="Z53" s="1942"/>
      <c r="AA53" s="1943">
        <f t="shared" si="25"/>
        <v>0</v>
      </c>
      <c r="AB53" s="1941"/>
      <c r="AC53" s="1942"/>
      <c r="AD53" s="1942"/>
      <c r="AE53" s="1942"/>
      <c r="AF53" s="1942"/>
      <c r="AG53" s="1943">
        <f t="shared" si="26"/>
        <v>0</v>
      </c>
      <c r="AH53" s="1941"/>
      <c r="AI53" s="1942"/>
      <c r="AJ53" s="1942"/>
      <c r="AK53" s="1942"/>
      <c r="AL53" s="1942"/>
      <c r="AM53" s="1943">
        <f t="shared" si="27"/>
        <v>0</v>
      </c>
      <c r="AN53" s="1944">
        <v>1538.71</v>
      </c>
      <c r="AO53" s="1945">
        <v>42802.05</v>
      </c>
      <c r="AP53" s="1945">
        <v>0</v>
      </c>
      <c r="AQ53" s="1945">
        <v>-0.01</v>
      </c>
      <c r="AR53" s="1945">
        <v>0</v>
      </c>
      <c r="AS53" s="1946">
        <f t="shared" si="28"/>
        <v>44340.75</v>
      </c>
      <c r="AT53" s="1947"/>
      <c r="AU53" s="1948"/>
      <c r="AV53" s="1948"/>
      <c r="AW53" s="1948"/>
      <c r="AX53" s="1948"/>
      <c r="AY53" s="1949">
        <f t="shared" si="29"/>
        <v>0</v>
      </c>
      <c r="AZ53" s="1947"/>
      <c r="BA53" s="1948"/>
      <c r="BB53" s="1948"/>
      <c r="BC53" s="1948"/>
      <c r="BD53" s="1948"/>
      <c r="BE53" s="1949">
        <f t="shared" si="30"/>
        <v>0</v>
      </c>
    </row>
    <row r="54" spans="1:57" s="234" customFormat="1" ht="12.75" customHeight="1" x14ac:dyDescent="0.25">
      <c r="A54" s="1393" t="s">
        <v>126</v>
      </c>
      <c r="B54" s="1936" t="s">
        <v>127</v>
      </c>
      <c r="C54" s="1937" t="s">
        <v>266</v>
      </c>
      <c r="D54" s="1938">
        <f t="shared" si="17"/>
        <v>29834</v>
      </c>
      <c r="E54" s="1939">
        <f t="shared" si="18"/>
        <v>58230</v>
      </c>
      <c r="F54" s="1939">
        <f t="shared" si="19"/>
        <v>0</v>
      </c>
      <c r="G54" s="1939">
        <f t="shared" si="20"/>
        <v>0</v>
      </c>
      <c r="H54" s="1939">
        <f t="shared" si="21"/>
        <v>0</v>
      </c>
      <c r="I54" s="1940">
        <f t="shared" si="22"/>
        <v>88064</v>
      </c>
      <c r="J54" s="1941"/>
      <c r="K54" s="1942"/>
      <c r="L54" s="1942"/>
      <c r="M54" s="1942"/>
      <c r="N54" s="1942"/>
      <c r="O54" s="1943">
        <f t="shared" si="23"/>
        <v>0</v>
      </c>
      <c r="P54" s="1941">
        <v>29834</v>
      </c>
      <c r="Q54" s="1942">
        <v>29834</v>
      </c>
      <c r="R54" s="1942">
        <v>0</v>
      </c>
      <c r="S54" s="1942">
        <v>0</v>
      </c>
      <c r="T54" s="1942">
        <v>0</v>
      </c>
      <c r="U54" s="1943">
        <f t="shared" si="24"/>
        <v>59668</v>
      </c>
      <c r="V54" s="1944"/>
      <c r="W54" s="1945"/>
      <c r="X54" s="1945"/>
      <c r="Y54" s="1945"/>
      <c r="Z54" s="1945"/>
      <c r="AA54" s="1943">
        <f t="shared" si="25"/>
        <v>0</v>
      </c>
      <c r="AB54" s="1944"/>
      <c r="AC54" s="1945"/>
      <c r="AD54" s="1945"/>
      <c r="AE54" s="1945"/>
      <c r="AF54" s="1945"/>
      <c r="AG54" s="1943">
        <f t="shared" si="26"/>
        <v>0</v>
      </c>
      <c r="AH54" s="1944"/>
      <c r="AI54" s="1945"/>
      <c r="AJ54" s="1945"/>
      <c r="AK54" s="1945"/>
      <c r="AL54" s="1945"/>
      <c r="AM54" s="1943">
        <f t="shared" si="27"/>
        <v>0</v>
      </c>
      <c r="AN54" s="1944">
        <v>0</v>
      </c>
      <c r="AO54" s="1945">
        <v>28396</v>
      </c>
      <c r="AP54" s="1945">
        <v>0</v>
      </c>
      <c r="AQ54" s="1945">
        <v>0</v>
      </c>
      <c r="AR54" s="1945">
        <v>0</v>
      </c>
      <c r="AS54" s="1946">
        <f t="shared" si="28"/>
        <v>28396</v>
      </c>
      <c r="AT54" s="1947"/>
      <c r="AU54" s="1948"/>
      <c r="AV54" s="1948"/>
      <c r="AW54" s="1948"/>
      <c r="AX54" s="1948"/>
      <c r="AY54" s="1949">
        <f t="shared" si="29"/>
        <v>0</v>
      </c>
      <c r="AZ54" s="1947"/>
      <c r="BA54" s="1948"/>
      <c r="BB54" s="1948"/>
      <c r="BC54" s="1948"/>
      <c r="BD54" s="1948"/>
      <c r="BE54" s="1949">
        <f t="shared" si="30"/>
        <v>0</v>
      </c>
    </row>
    <row r="55" spans="1:57" s="234" customFormat="1" ht="12.75" customHeight="1" x14ac:dyDescent="0.25">
      <c r="A55" s="1393" t="s">
        <v>128</v>
      </c>
      <c r="B55" s="1936" t="s">
        <v>129</v>
      </c>
      <c r="C55" s="1937" t="s">
        <v>266</v>
      </c>
      <c r="D55" s="1938">
        <f t="shared" si="17"/>
        <v>33795.39</v>
      </c>
      <c r="E55" s="1939">
        <f t="shared" si="18"/>
        <v>64203.39</v>
      </c>
      <c r="F55" s="1939">
        <f t="shared" si="19"/>
        <v>0</v>
      </c>
      <c r="G55" s="1939">
        <f t="shared" si="20"/>
        <v>464.48</v>
      </c>
      <c r="H55" s="1939">
        <f t="shared" si="21"/>
        <v>464.48</v>
      </c>
      <c r="I55" s="1940">
        <f t="shared" si="22"/>
        <v>98463.26</v>
      </c>
      <c r="J55" s="1941">
        <v>5122.3900000000003</v>
      </c>
      <c r="K55" s="1942">
        <v>5122.3900000000003</v>
      </c>
      <c r="L55" s="1942">
        <v>0</v>
      </c>
      <c r="M55" s="1942">
        <v>-0.02</v>
      </c>
      <c r="N55" s="1942">
        <v>0</v>
      </c>
      <c r="O55" s="1943">
        <f t="shared" si="23"/>
        <v>10244.76</v>
      </c>
      <c r="P55" s="1941">
        <v>23673</v>
      </c>
      <c r="Q55" s="1942">
        <v>23673</v>
      </c>
      <c r="R55" s="1942">
        <v>0</v>
      </c>
      <c r="S55" s="1942">
        <v>0</v>
      </c>
      <c r="T55" s="1942">
        <v>464.5</v>
      </c>
      <c r="U55" s="1943">
        <f t="shared" si="24"/>
        <v>47810.5</v>
      </c>
      <c r="V55" s="1941"/>
      <c r="W55" s="1942"/>
      <c r="X55" s="1942"/>
      <c r="Y55" s="1942"/>
      <c r="Z55" s="1942"/>
      <c r="AA55" s="1943">
        <f t="shared" si="25"/>
        <v>0</v>
      </c>
      <c r="AB55" s="1941"/>
      <c r="AC55" s="1942"/>
      <c r="AD55" s="1942"/>
      <c r="AE55" s="1942"/>
      <c r="AF55" s="1942"/>
      <c r="AG55" s="1943">
        <f t="shared" si="26"/>
        <v>0</v>
      </c>
      <c r="AH55" s="1941"/>
      <c r="AI55" s="1942"/>
      <c r="AJ55" s="1942"/>
      <c r="AK55" s="1942"/>
      <c r="AL55" s="1942"/>
      <c r="AM55" s="1943">
        <f t="shared" si="27"/>
        <v>0</v>
      </c>
      <c r="AN55" s="1944">
        <v>0</v>
      </c>
      <c r="AO55" s="1945">
        <v>35408</v>
      </c>
      <c r="AP55" s="1945">
        <v>0</v>
      </c>
      <c r="AQ55" s="1945">
        <v>0</v>
      </c>
      <c r="AR55" s="1945">
        <v>0</v>
      </c>
      <c r="AS55" s="1946">
        <f t="shared" si="28"/>
        <v>35408</v>
      </c>
      <c r="AT55" s="1947"/>
      <c r="AU55" s="1948"/>
      <c r="AV55" s="1948"/>
      <c r="AW55" s="1948"/>
      <c r="AX55" s="1948"/>
      <c r="AY55" s="1949">
        <f t="shared" si="29"/>
        <v>0</v>
      </c>
      <c r="AZ55" s="1947">
        <v>5000</v>
      </c>
      <c r="BA55" s="1948">
        <v>0</v>
      </c>
      <c r="BB55" s="1948">
        <v>0</v>
      </c>
      <c r="BC55" s="1948">
        <v>0</v>
      </c>
      <c r="BD55" s="1948">
        <v>0</v>
      </c>
      <c r="BE55" s="1949">
        <f t="shared" si="30"/>
        <v>5000</v>
      </c>
    </row>
    <row r="56" spans="1:57" s="234" customFormat="1" ht="12.75" customHeight="1" x14ac:dyDescent="0.25">
      <c r="A56" s="1393" t="s">
        <v>130</v>
      </c>
      <c r="B56" s="1936" t="s">
        <v>131</v>
      </c>
      <c r="C56" s="1937" t="s">
        <v>268</v>
      </c>
      <c r="D56" s="1938">
        <f t="shared" si="17"/>
        <v>1049596.69</v>
      </c>
      <c r="E56" s="1939">
        <f t="shared" si="18"/>
        <v>1274164.7</v>
      </c>
      <c r="F56" s="1939">
        <f t="shared" si="19"/>
        <v>0</v>
      </c>
      <c r="G56" s="1939">
        <f t="shared" si="20"/>
        <v>309.04999999999995</v>
      </c>
      <c r="H56" s="1939">
        <f t="shared" si="21"/>
        <v>309.04999999999995</v>
      </c>
      <c r="I56" s="1940">
        <f t="shared" si="22"/>
        <v>2324070.4399999995</v>
      </c>
      <c r="J56" s="1941">
        <v>443513.42</v>
      </c>
      <c r="K56" s="1942">
        <v>443513.42</v>
      </c>
      <c r="L56" s="1942">
        <v>0</v>
      </c>
      <c r="M56" s="1942">
        <v>116.38</v>
      </c>
      <c r="N56" s="1942">
        <v>0</v>
      </c>
      <c r="O56" s="1943">
        <f t="shared" si="23"/>
        <v>887143.22</v>
      </c>
      <c r="P56" s="1941">
        <v>558871.61</v>
      </c>
      <c r="Q56" s="1942">
        <v>558871.61</v>
      </c>
      <c r="R56" s="1942">
        <v>0</v>
      </c>
      <c r="S56" s="1942">
        <v>-0.05</v>
      </c>
      <c r="T56" s="1942">
        <v>0</v>
      </c>
      <c r="U56" s="1943">
        <f t="shared" si="24"/>
        <v>1117743.17</v>
      </c>
      <c r="V56" s="1941">
        <v>6161.46</v>
      </c>
      <c r="W56" s="1942">
        <v>6161.46</v>
      </c>
      <c r="X56" s="1942">
        <v>0</v>
      </c>
      <c r="Y56" s="1942">
        <v>0</v>
      </c>
      <c r="Z56" s="1942">
        <v>0</v>
      </c>
      <c r="AA56" s="1943">
        <f t="shared" si="25"/>
        <v>12322.92</v>
      </c>
      <c r="AB56" s="1941"/>
      <c r="AC56" s="1942"/>
      <c r="AD56" s="1942"/>
      <c r="AE56" s="1942"/>
      <c r="AF56" s="1942"/>
      <c r="AG56" s="1943">
        <f t="shared" si="26"/>
        <v>0</v>
      </c>
      <c r="AH56" s="1941"/>
      <c r="AI56" s="1942"/>
      <c r="AJ56" s="1942"/>
      <c r="AK56" s="1942"/>
      <c r="AL56" s="1942"/>
      <c r="AM56" s="1943">
        <f t="shared" si="27"/>
        <v>0</v>
      </c>
      <c r="AN56" s="1944">
        <v>38550.5</v>
      </c>
      <c r="AO56" s="1945">
        <v>265618.21000000002</v>
      </c>
      <c r="AP56" s="1945">
        <v>0</v>
      </c>
      <c r="AQ56" s="1945">
        <v>-0.01</v>
      </c>
      <c r="AR56" s="1945">
        <v>0</v>
      </c>
      <c r="AS56" s="1946">
        <f t="shared" si="28"/>
        <v>304168.7</v>
      </c>
      <c r="AT56" s="1947"/>
      <c r="AU56" s="1948"/>
      <c r="AV56" s="1948"/>
      <c r="AW56" s="1948"/>
      <c r="AX56" s="1948"/>
      <c r="AY56" s="1949">
        <f t="shared" si="29"/>
        <v>0</v>
      </c>
      <c r="AZ56" s="1947">
        <v>2499.6999999999998</v>
      </c>
      <c r="BA56" s="1948">
        <v>0</v>
      </c>
      <c r="BB56" s="1948">
        <v>0</v>
      </c>
      <c r="BC56" s="1948">
        <v>0</v>
      </c>
      <c r="BD56" s="1948">
        <v>192.73</v>
      </c>
      <c r="BE56" s="1949">
        <f t="shared" si="30"/>
        <v>2692.43</v>
      </c>
    </row>
    <row r="57" spans="1:57" s="234" customFormat="1" ht="12.75" customHeight="1" x14ac:dyDescent="0.25">
      <c r="A57" s="1393" t="s">
        <v>132</v>
      </c>
      <c r="B57" s="1936" t="s">
        <v>133</v>
      </c>
      <c r="C57" s="1937" t="s">
        <v>267</v>
      </c>
      <c r="D57" s="1938">
        <f t="shared" si="17"/>
        <v>680584.37999999989</v>
      </c>
      <c r="E57" s="1939">
        <f t="shared" si="18"/>
        <v>923275.03</v>
      </c>
      <c r="F57" s="1939">
        <f t="shared" si="19"/>
        <v>0</v>
      </c>
      <c r="G57" s="1939">
        <f t="shared" si="20"/>
        <v>-0.26</v>
      </c>
      <c r="H57" s="1939">
        <f t="shared" si="21"/>
        <v>-0.26</v>
      </c>
      <c r="I57" s="1940">
        <f t="shared" si="22"/>
        <v>1603859.15</v>
      </c>
      <c r="J57" s="1941">
        <v>257789.9</v>
      </c>
      <c r="K57" s="1942">
        <v>257789.9</v>
      </c>
      <c r="L57" s="1942">
        <v>0</v>
      </c>
      <c r="M57" s="1942">
        <v>-0.18</v>
      </c>
      <c r="N57" s="1942">
        <v>0</v>
      </c>
      <c r="O57" s="1943">
        <f t="shared" si="23"/>
        <v>515579.62</v>
      </c>
      <c r="P57" s="1941">
        <v>372877.05</v>
      </c>
      <c r="Q57" s="1942">
        <v>372877.05</v>
      </c>
      <c r="R57" s="1942">
        <v>0</v>
      </c>
      <c r="S57" s="1942">
        <v>-0.01</v>
      </c>
      <c r="T57" s="1942">
        <v>0</v>
      </c>
      <c r="U57" s="1943">
        <f t="shared" si="24"/>
        <v>745754.09</v>
      </c>
      <c r="V57" s="1941">
        <v>6295.25</v>
      </c>
      <c r="W57" s="1942">
        <v>6295.25</v>
      </c>
      <c r="X57" s="1942">
        <v>0</v>
      </c>
      <c r="Y57" s="1942">
        <v>-0.01</v>
      </c>
      <c r="Z57" s="1942">
        <v>0</v>
      </c>
      <c r="AA57" s="1943">
        <f t="shared" si="25"/>
        <v>12590.49</v>
      </c>
      <c r="AB57" s="1941"/>
      <c r="AC57" s="1942"/>
      <c r="AD57" s="1942"/>
      <c r="AE57" s="1942"/>
      <c r="AF57" s="1942"/>
      <c r="AG57" s="1943">
        <f t="shared" si="26"/>
        <v>0</v>
      </c>
      <c r="AH57" s="1941"/>
      <c r="AI57" s="1942"/>
      <c r="AJ57" s="1942"/>
      <c r="AK57" s="1942"/>
      <c r="AL57" s="1942"/>
      <c r="AM57" s="1943">
        <f t="shared" si="27"/>
        <v>0</v>
      </c>
      <c r="AN57" s="1944">
        <v>43177.23</v>
      </c>
      <c r="AO57" s="1945">
        <v>286312.83</v>
      </c>
      <c r="AP57" s="1945">
        <v>0</v>
      </c>
      <c r="AQ57" s="1945">
        <v>-0.06</v>
      </c>
      <c r="AR57" s="1945">
        <v>0</v>
      </c>
      <c r="AS57" s="1946">
        <f t="shared" si="28"/>
        <v>329490</v>
      </c>
      <c r="AT57" s="1947"/>
      <c r="AU57" s="1948"/>
      <c r="AV57" s="1948"/>
      <c r="AW57" s="1948"/>
      <c r="AX57" s="1948"/>
      <c r="AY57" s="1949">
        <f t="shared" si="29"/>
        <v>0</v>
      </c>
      <c r="AZ57" s="1947">
        <v>444.95</v>
      </c>
      <c r="BA57" s="1948">
        <v>0</v>
      </c>
      <c r="BB57" s="1948">
        <v>0</v>
      </c>
      <c r="BC57" s="1948">
        <v>0</v>
      </c>
      <c r="BD57" s="1948">
        <v>0</v>
      </c>
      <c r="BE57" s="1949">
        <f t="shared" si="30"/>
        <v>444.95</v>
      </c>
    </row>
    <row r="58" spans="1:57" s="234" customFormat="1" ht="12.75" customHeight="1" x14ac:dyDescent="0.25">
      <c r="A58" s="1393" t="s">
        <v>134</v>
      </c>
      <c r="B58" s="1936" t="s">
        <v>135</v>
      </c>
      <c r="C58" s="1937" t="s">
        <v>267</v>
      </c>
      <c r="D58" s="1938">
        <f t="shared" si="17"/>
        <v>540786.64</v>
      </c>
      <c r="E58" s="1939">
        <f t="shared" si="18"/>
        <v>1202099.0699999998</v>
      </c>
      <c r="F58" s="1939">
        <f t="shared" si="19"/>
        <v>0</v>
      </c>
      <c r="G58" s="1939">
        <f t="shared" si="20"/>
        <v>-0.16</v>
      </c>
      <c r="H58" s="1939">
        <f t="shared" si="21"/>
        <v>-0.16</v>
      </c>
      <c r="I58" s="1940">
        <f t="shared" si="22"/>
        <v>1742885.55</v>
      </c>
      <c r="J58" s="1941">
        <v>220900.45</v>
      </c>
      <c r="K58" s="1942">
        <v>220900.45</v>
      </c>
      <c r="L58" s="1942">
        <v>0</v>
      </c>
      <c r="M58" s="1942">
        <v>-0.15</v>
      </c>
      <c r="N58" s="1942">
        <v>0</v>
      </c>
      <c r="O58" s="1943">
        <f t="shared" si="23"/>
        <v>441800.75</v>
      </c>
      <c r="P58" s="1941">
        <v>307004.77</v>
      </c>
      <c r="Q58" s="1942">
        <v>307004.77</v>
      </c>
      <c r="R58" s="1942">
        <v>0</v>
      </c>
      <c r="S58" s="1942">
        <v>-0.01</v>
      </c>
      <c r="T58" s="1942">
        <v>0</v>
      </c>
      <c r="U58" s="1943">
        <f t="shared" si="24"/>
        <v>614009.53</v>
      </c>
      <c r="V58" s="1941"/>
      <c r="W58" s="1942"/>
      <c r="X58" s="1942"/>
      <c r="Y58" s="1942"/>
      <c r="Z58" s="1942"/>
      <c r="AA58" s="1943">
        <f t="shared" si="25"/>
        <v>0</v>
      </c>
      <c r="AB58" s="1941"/>
      <c r="AC58" s="1942"/>
      <c r="AD58" s="1942"/>
      <c r="AE58" s="1942"/>
      <c r="AF58" s="1942"/>
      <c r="AG58" s="1943">
        <f t="shared" si="26"/>
        <v>0</v>
      </c>
      <c r="AH58" s="1941"/>
      <c r="AI58" s="1942"/>
      <c r="AJ58" s="1942"/>
      <c r="AK58" s="1942"/>
      <c r="AL58" s="1942"/>
      <c r="AM58" s="1943">
        <f t="shared" si="27"/>
        <v>0</v>
      </c>
      <c r="AN58" s="1944">
        <v>12881.42</v>
      </c>
      <c r="AO58" s="1945">
        <v>674193.85</v>
      </c>
      <c r="AP58" s="1945">
        <v>0</v>
      </c>
      <c r="AQ58" s="1945">
        <v>0</v>
      </c>
      <c r="AR58" s="1945">
        <v>0</v>
      </c>
      <c r="AS58" s="1946">
        <f t="shared" si="28"/>
        <v>687075.27</v>
      </c>
      <c r="AT58" s="1947"/>
      <c r="AU58" s="1948"/>
      <c r="AV58" s="1948"/>
      <c r="AW58" s="1948"/>
      <c r="AX58" s="1948"/>
      <c r="AY58" s="1949">
        <f t="shared" si="29"/>
        <v>0</v>
      </c>
      <c r="AZ58" s="1947"/>
      <c r="BA58" s="1948"/>
      <c r="BB58" s="1948"/>
      <c r="BC58" s="1948"/>
      <c r="BD58" s="1948"/>
      <c r="BE58" s="1949">
        <f t="shared" si="30"/>
        <v>0</v>
      </c>
    </row>
    <row r="59" spans="1:57" s="234" customFormat="1" ht="12.75" customHeight="1" x14ac:dyDescent="0.25">
      <c r="A59" s="1393" t="s">
        <v>136</v>
      </c>
      <c r="B59" s="1936" t="s">
        <v>137</v>
      </c>
      <c r="C59" s="1937" t="s">
        <v>266</v>
      </c>
      <c r="D59" s="1938">
        <f t="shared" si="17"/>
        <v>118334.95</v>
      </c>
      <c r="E59" s="1939">
        <f t="shared" si="18"/>
        <v>129248.95</v>
      </c>
      <c r="F59" s="1939">
        <f t="shared" si="19"/>
        <v>0</v>
      </c>
      <c r="G59" s="1939">
        <f t="shared" si="20"/>
        <v>-0.02</v>
      </c>
      <c r="H59" s="1939">
        <f t="shared" si="21"/>
        <v>-0.02</v>
      </c>
      <c r="I59" s="1940">
        <f t="shared" si="22"/>
        <v>247583.88</v>
      </c>
      <c r="J59" s="1941">
        <v>28227.3</v>
      </c>
      <c r="K59" s="1942">
        <v>28227.3</v>
      </c>
      <c r="L59" s="1942">
        <v>0</v>
      </c>
      <c r="M59" s="1942">
        <v>-0.02</v>
      </c>
      <c r="N59" s="1942">
        <v>0</v>
      </c>
      <c r="O59" s="1943">
        <f t="shared" si="23"/>
        <v>56454.58</v>
      </c>
      <c r="P59" s="1941">
        <v>78814.649999999994</v>
      </c>
      <c r="Q59" s="1942">
        <v>78814.649999999994</v>
      </c>
      <c r="R59" s="1942">
        <v>0</v>
      </c>
      <c r="S59" s="1942">
        <v>0</v>
      </c>
      <c r="T59" s="1942">
        <v>0</v>
      </c>
      <c r="U59" s="1943">
        <f t="shared" si="24"/>
        <v>157629.29999999999</v>
      </c>
      <c r="V59" s="1941">
        <v>700</v>
      </c>
      <c r="W59" s="1942">
        <v>700</v>
      </c>
      <c r="X59" s="1942">
        <v>0</v>
      </c>
      <c r="Y59" s="1942">
        <v>0</v>
      </c>
      <c r="Z59" s="1942">
        <v>0</v>
      </c>
      <c r="AA59" s="1943">
        <f t="shared" si="25"/>
        <v>1400</v>
      </c>
      <c r="AB59" s="1941"/>
      <c r="AC59" s="1942"/>
      <c r="AD59" s="1942"/>
      <c r="AE59" s="1942"/>
      <c r="AF59" s="1942"/>
      <c r="AG59" s="1943">
        <f t="shared" si="26"/>
        <v>0</v>
      </c>
      <c r="AH59" s="1941"/>
      <c r="AI59" s="1942"/>
      <c r="AJ59" s="1942"/>
      <c r="AK59" s="1942"/>
      <c r="AL59" s="1942"/>
      <c r="AM59" s="1943">
        <f t="shared" si="27"/>
        <v>0</v>
      </c>
      <c r="AN59" s="1944">
        <v>10593</v>
      </c>
      <c r="AO59" s="1945">
        <v>21507</v>
      </c>
      <c r="AP59" s="1945">
        <v>0</v>
      </c>
      <c r="AQ59" s="1945">
        <v>0</v>
      </c>
      <c r="AR59" s="1945">
        <v>0</v>
      </c>
      <c r="AS59" s="1946">
        <f t="shared" si="28"/>
        <v>32100</v>
      </c>
      <c r="AT59" s="1947"/>
      <c r="AU59" s="1948"/>
      <c r="AV59" s="1948"/>
      <c r="AW59" s="1948"/>
      <c r="AX59" s="1948"/>
      <c r="AY59" s="1949">
        <f t="shared" si="29"/>
        <v>0</v>
      </c>
      <c r="AZ59" s="1947"/>
      <c r="BA59" s="1948"/>
      <c r="BB59" s="1948"/>
      <c r="BC59" s="1948"/>
      <c r="BD59" s="1948"/>
      <c r="BE59" s="1949">
        <f t="shared" si="30"/>
        <v>0</v>
      </c>
    </row>
    <row r="60" spans="1:57" s="234" customFormat="1" ht="12.75" customHeight="1" x14ac:dyDescent="0.25">
      <c r="A60" s="1393" t="s">
        <v>140</v>
      </c>
      <c r="B60" s="1936" t="s">
        <v>141</v>
      </c>
      <c r="C60" s="1937" t="s">
        <v>267</v>
      </c>
      <c r="D60" s="1938">
        <f t="shared" si="17"/>
        <v>378887.86</v>
      </c>
      <c r="E60" s="1939">
        <f t="shared" si="18"/>
        <v>565401.56000000006</v>
      </c>
      <c r="F60" s="1939">
        <f t="shared" si="19"/>
        <v>0</v>
      </c>
      <c r="G60" s="1939">
        <f t="shared" si="20"/>
        <v>-0.16</v>
      </c>
      <c r="H60" s="1939">
        <f t="shared" si="21"/>
        <v>-0.16</v>
      </c>
      <c r="I60" s="1940">
        <f t="shared" si="22"/>
        <v>944289.26</v>
      </c>
      <c r="J60" s="1941">
        <v>259342.36</v>
      </c>
      <c r="K60" s="1942">
        <v>259342.36</v>
      </c>
      <c r="L60" s="1942">
        <v>0</v>
      </c>
      <c r="M60" s="1942">
        <v>-0.16</v>
      </c>
      <c r="N60" s="1942">
        <v>0</v>
      </c>
      <c r="O60" s="1943">
        <f t="shared" si="23"/>
        <v>518684.56</v>
      </c>
      <c r="P60" s="1941">
        <v>118639.25</v>
      </c>
      <c r="Q60" s="1942">
        <v>118639.25</v>
      </c>
      <c r="R60" s="1942">
        <v>0</v>
      </c>
      <c r="S60" s="1942">
        <v>0</v>
      </c>
      <c r="T60" s="1942">
        <v>0</v>
      </c>
      <c r="U60" s="1943">
        <f t="shared" si="24"/>
        <v>237278.5</v>
      </c>
      <c r="V60" s="1941"/>
      <c r="W60" s="1942"/>
      <c r="X60" s="1942"/>
      <c r="Y60" s="1942"/>
      <c r="Z60" s="1942"/>
      <c r="AA60" s="1943">
        <f t="shared" si="25"/>
        <v>0</v>
      </c>
      <c r="AB60" s="1941"/>
      <c r="AC60" s="1942"/>
      <c r="AD60" s="1942"/>
      <c r="AE60" s="1942"/>
      <c r="AF60" s="1942"/>
      <c r="AG60" s="1943">
        <f t="shared" si="26"/>
        <v>0</v>
      </c>
      <c r="AH60" s="1941"/>
      <c r="AI60" s="1942"/>
      <c r="AJ60" s="1942"/>
      <c r="AK60" s="1942"/>
      <c r="AL60" s="1942"/>
      <c r="AM60" s="1943">
        <f t="shared" si="27"/>
        <v>0</v>
      </c>
      <c r="AN60" s="1944">
        <v>906.25</v>
      </c>
      <c r="AO60" s="1945">
        <v>187419.95</v>
      </c>
      <c r="AP60" s="1945">
        <v>0</v>
      </c>
      <c r="AQ60" s="1945">
        <v>0</v>
      </c>
      <c r="AR60" s="1945">
        <v>0</v>
      </c>
      <c r="AS60" s="1946">
        <f t="shared" si="28"/>
        <v>188326.2</v>
      </c>
      <c r="AT60" s="1947"/>
      <c r="AU60" s="1948"/>
      <c r="AV60" s="1948"/>
      <c r="AW60" s="1948"/>
      <c r="AX60" s="1948"/>
      <c r="AY60" s="1949">
        <f t="shared" si="29"/>
        <v>0</v>
      </c>
      <c r="AZ60" s="1947"/>
      <c r="BA60" s="1948"/>
      <c r="BB60" s="1948"/>
      <c r="BC60" s="1948"/>
      <c r="BD60" s="1948"/>
      <c r="BE60" s="1949">
        <f t="shared" si="30"/>
        <v>0</v>
      </c>
    </row>
    <row r="61" spans="1:57" s="234" customFormat="1" ht="12.75" customHeight="1" x14ac:dyDescent="0.25">
      <c r="A61" s="1393" t="s">
        <v>146</v>
      </c>
      <c r="B61" s="1936" t="s">
        <v>147</v>
      </c>
      <c r="C61" s="1937" t="s">
        <v>264</v>
      </c>
      <c r="D61" s="1938">
        <f t="shared" si="17"/>
        <v>158664.98000000001</v>
      </c>
      <c r="E61" s="1939">
        <f t="shared" si="18"/>
        <v>198434.54</v>
      </c>
      <c r="F61" s="1939">
        <f t="shared" si="19"/>
        <v>0</v>
      </c>
      <c r="G61" s="1939">
        <f t="shared" si="20"/>
        <v>-0.04</v>
      </c>
      <c r="H61" s="1939">
        <f t="shared" si="21"/>
        <v>-0.04</v>
      </c>
      <c r="I61" s="1940">
        <f t="shared" si="22"/>
        <v>357099.48000000004</v>
      </c>
      <c r="J61" s="1941">
        <v>7619</v>
      </c>
      <c r="K61" s="1942">
        <v>7619</v>
      </c>
      <c r="L61" s="1942">
        <v>0</v>
      </c>
      <c r="M61" s="1942">
        <v>-0.02</v>
      </c>
      <c r="N61" s="1942">
        <v>0</v>
      </c>
      <c r="O61" s="1943">
        <f t="shared" si="23"/>
        <v>15237.98</v>
      </c>
      <c r="P61" s="1941">
        <v>137419.5</v>
      </c>
      <c r="Q61" s="1942">
        <v>137419.5</v>
      </c>
      <c r="R61" s="1942">
        <v>0</v>
      </c>
      <c r="S61" s="1942">
        <v>0</v>
      </c>
      <c r="T61" s="1942">
        <v>0</v>
      </c>
      <c r="U61" s="1943">
        <f t="shared" si="24"/>
        <v>274839</v>
      </c>
      <c r="V61" s="1941">
        <v>9935.76</v>
      </c>
      <c r="W61" s="1942">
        <v>9935.76</v>
      </c>
      <c r="X61" s="1942">
        <v>0</v>
      </c>
      <c r="Y61" s="1942">
        <v>-0.02</v>
      </c>
      <c r="Z61" s="1942">
        <v>0</v>
      </c>
      <c r="AA61" s="1943">
        <f t="shared" si="25"/>
        <v>19871.5</v>
      </c>
      <c r="AB61" s="1941"/>
      <c r="AC61" s="1942"/>
      <c r="AD61" s="1942"/>
      <c r="AE61" s="1942"/>
      <c r="AF61" s="1942"/>
      <c r="AG61" s="1943">
        <f t="shared" si="26"/>
        <v>0</v>
      </c>
      <c r="AH61" s="1941"/>
      <c r="AI61" s="1942"/>
      <c r="AJ61" s="1942"/>
      <c r="AK61" s="1942"/>
      <c r="AL61" s="1942"/>
      <c r="AM61" s="1943">
        <f t="shared" si="27"/>
        <v>0</v>
      </c>
      <c r="AN61" s="1944">
        <v>3690.72</v>
      </c>
      <c r="AO61" s="1945">
        <v>43460.28</v>
      </c>
      <c r="AP61" s="1945">
        <v>0</v>
      </c>
      <c r="AQ61" s="1945">
        <v>0</v>
      </c>
      <c r="AR61" s="1945">
        <v>0</v>
      </c>
      <c r="AS61" s="1946">
        <f t="shared" si="28"/>
        <v>47151</v>
      </c>
      <c r="AT61" s="1947"/>
      <c r="AU61" s="1948"/>
      <c r="AV61" s="1948"/>
      <c r="AW61" s="1948"/>
      <c r="AX61" s="1948"/>
      <c r="AY61" s="1949">
        <f t="shared" si="29"/>
        <v>0</v>
      </c>
      <c r="AZ61" s="1947"/>
      <c r="BA61" s="1948"/>
      <c r="BB61" s="1948"/>
      <c r="BC61" s="1948"/>
      <c r="BD61" s="1948"/>
      <c r="BE61" s="1949">
        <f t="shared" si="30"/>
        <v>0</v>
      </c>
    </row>
    <row r="62" spans="1:57" s="234" customFormat="1" ht="12.75" customHeight="1" x14ac:dyDescent="0.25">
      <c r="A62" s="1393" t="s">
        <v>148</v>
      </c>
      <c r="B62" s="1936" t="s">
        <v>149</v>
      </c>
      <c r="C62" s="1937" t="s">
        <v>265</v>
      </c>
      <c r="D62" s="1938">
        <f t="shared" si="17"/>
        <v>195525.12</v>
      </c>
      <c r="E62" s="1939">
        <f t="shared" si="18"/>
        <v>216167.12</v>
      </c>
      <c r="F62" s="1939">
        <f t="shared" si="19"/>
        <v>0</v>
      </c>
      <c r="G62" s="1939">
        <f t="shared" si="20"/>
        <v>461.91</v>
      </c>
      <c r="H62" s="1939">
        <f t="shared" si="21"/>
        <v>461.91</v>
      </c>
      <c r="I62" s="1940">
        <f t="shared" si="22"/>
        <v>412154.14999999997</v>
      </c>
      <c r="J62" s="1941">
        <v>110044.41</v>
      </c>
      <c r="K62" s="1942">
        <v>110044.41</v>
      </c>
      <c r="L62" s="1942">
        <v>0</v>
      </c>
      <c r="M62" s="1942">
        <v>-0.09</v>
      </c>
      <c r="N62" s="1942">
        <v>0</v>
      </c>
      <c r="O62" s="1943">
        <f t="shared" si="23"/>
        <v>220088.73</v>
      </c>
      <c r="P62" s="1941">
        <v>85480.71</v>
      </c>
      <c r="Q62" s="1942">
        <v>85480.71</v>
      </c>
      <c r="R62" s="1942">
        <v>0</v>
      </c>
      <c r="S62" s="1942">
        <v>462</v>
      </c>
      <c r="T62" s="1942">
        <v>0</v>
      </c>
      <c r="U62" s="1943">
        <f t="shared" si="24"/>
        <v>171423.42</v>
      </c>
      <c r="V62" s="1941"/>
      <c r="W62" s="1942"/>
      <c r="X62" s="1942"/>
      <c r="Y62" s="1942"/>
      <c r="Z62" s="1942"/>
      <c r="AA62" s="1943">
        <f t="shared" si="25"/>
        <v>0</v>
      </c>
      <c r="AB62" s="1941"/>
      <c r="AC62" s="1942"/>
      <c r="AD62" s="1942"/>
      <c r="AE62" s="1942"/>
      <c r="AF62" s="1942"/>
      <c r="AG62" s="1943">
        <f t="shared" si="26"/>
        <v>0</v>
      </c>
      <c r="AH62" s="1941"/>
      <c r="AI62" s="1942"/>
      <c r="AJ62" s="1942"/>
      <c r="AK62" s="1942"/>
      <c r="AL62" s="1942"/>
      <c r="AM62" s="1943">
        <f t="shared" si="27"/>
        <v>0</v>
      </c>
      <c r="AN62" s="1944">
        <v>0</v>
      </c>
      <c r="AO62" s="1945">
        <v>20642</v>
      </c>
      <c r="AP62" s="1945">
        <v>0</v>
      </c>
      <c r="AQ62" s="1945">
        <v>0</v>
      </c>
      <c r="AR62" s="1945">
        <v>0</v>
      </c>
      <c r="AS62" s="1946">
        <f t="shared" si="28"/>
        <v>20642</v>
      </c>
      <c r="AT62" s="1947"/>
      <c r="AU62" s="1948"/>
      <c r="AV62" s="1948"/>
      <c r="AW62" s="1948"/>
      <c r="AX62" s="1948"/>
      <c r="AY62" s="1949">
        <f t="shared" si="29"/>
        <v>0</v>
      </c>
      <c r="AZ62" s="1947"/>
      <c r="BA62" s="1948"/>
      <c r="BB62" s="1948"/>
      <c r="BC62" s="1948"/>
      <c r="BD62" s="1948"/>
      <c r="BE62" s="1949">
        <f t="shared" si="30"/>
        <v>0</v>
      </c>
    </row>
    <row r="63" spans="1:57" s="234" customFormat="1" ht="12.75" customHeight="1" x14ac:dyDescent="0.25">
      <c r="A63" s="1393" t="s">
        <v>150</v>
      </c>
      <c r="B63" s="1936" t="s">
        <v>151</v>
      </c>
      <c r="C63" s="1937" t="s">
        <v>266</v>
      </c>
      <c r="D63" s="1938">
        <f t="shared" si="17"/>
        <v>140080.9</v>
      </c>
      <c r="E63" s="1939">
        <f t="shared" si="18"/>
        <v>221121.66999999998</v>
      </c>
      <c r="F63" s="1939">
        <f t="shared" si="19"/>
        <v>0</v>
      </c>
      <c r="G63" s="1939">
        <f t="shared" si="20"/>
        <v>-0.15</v>
      </c>
      <c r="H63" s="1939">
        <f t="shared" si="21"/>
        <v>-0.15</v>
      </c>
      <c r="I63" s="1940">
        <f t="shared" si="22"/>
        <v>361202.41999999993</v>
      </c>
      <c r="J63" s="1941">
        <v>22618.1</v>
      </c>
      <c r="K63" s="1942">
        <v>22618.1</v>
      </c>
      <c r="L63" s="1942">
        <v>0</v>
      </c>
      <c r="M63" s="1942">
        <v>-0.02</v>
      </c>
      <c r="N63" s="1942">
        <v>0</v>
      </c>
      <c r="O63" s="1943">
        <f t="shared" si="23"/>
        <v>45236.18</v>
      </c>
      <c r="P63" s="1941">
        <v>95542.52</v>
      </c>
      <c r="Q63" s="1942">
        <v>95542.52</v>
      </c>
      <c r="R63" s="1942">
        <v>0</v>
      </c>
      <c r="S63" s="1942">
        <v>-0.01</v>
      </c>
      <c r="T63" s="1942">
        <v>0</v>
      </c>
      <c r="U63" s="1943">
        <f t="shared" si="24"/>
        <v>191085.03</v>
      </c>
      <c r="V63" s="1941">
        <v>869.36</v>
      </c>
      <c r="W63" s="1942">
        <v>869.36</v>
      </c>
      <c r="X63" s="1942">
        <v>0</v>
      </c>
      <c r="Y63" s="1942">
        <v>-0.01</v>
      </c>
      <c r="Z63" s="1942">
        <v>0</v>
      </c>
      <c r="AA63" s="1943">
        <f t="shared" si="25"/>
        <v>1738.71</v>
      </c>
      <c r="AB63" s="1941"/>
      <c r="AC63" s="1942"/>
      <c r="AD63" s="1942"/>
      <c r="AE63" s="1942"/>
      <c r="AF63" s="1942"/>
      <c r="AG63" s="1943">
        <f t="shared" si="26"/>
        <v>0</v>
      </c>
      <c r="AH63" s="1941"/>
      <c r="AI63" s="1942"/>
      <c r="AJ63" s="1942"/>
      <c r="AK63" s="1942"/>
      <c r="AL63" s="1942"/>
      <c r="AM63" s="1943">
        <f t="shared" si="27"/>
        <v>0</v>
      </c>
      <c r="AN63" s="1944">
        <v>21050.92</v>
      </c>
      <c r="AO63" s="1945">
        <v>102091.69</v>
      </c>
      <c r="AP63" s="1945">
        <v>0</v>
      </c>
      <c r="AQ63" s="1945">
        <v>-0.11</v>
      </c>
      <c r="AR63" s="1945">
        <v>0</v>
      </c>
      <c r="AS63" s="1946">
        <f t="shared" si="28"/>
        <v>123142.5</v>
      </c>
      <c r="AT63" s="1947"/>
      <c r="AU63" s="1948"/>
      <c r="AV63" s="1948"/>
      <c r="AW63" s="1948"/>
      <c r="AX63" s="1948"/>
      <c r="AY63" s="1949">
        <f t="shared" si="29"/>
        <v>0</v>
      </c>
      <c r="AZ63" s="1947"/>
      <c r="BA63" s="1948"/>
      <c r="BB63" s="1948"/>
      <c r="BC63" s="1948"/>
      <c r="BD63" s="1948"/>
      <c r="BE63" s="1949">
        <f t="shared" si="30"/>
        <v>0</v>
      </c>
    </row>
    <row r="64" spans="1:57" s="234" customFormat="1" ht="12.75" customHeight="1" x14ac:dyDescent="0.25">
      <c r="A64" s="1393" t="s">
        <v>152</v>
      </c>
      <c r="B64" s="1936" t="s">
        <v>153</v>
      </c>
      <c r="C64" s="1937" t="s">
        <v>268</v>
      </c>
      <c r="D64" s="1938">
        <f t="shared" si="17"/>
        <v>557486.57000000007</v>
      </c>
      <c r="E64" s="1939">
        <f t="shared" si="18"/>
        <v>714937.58000000007</v>
      </c>
      <c r="F64" s="1939">
        <f t="shared" si="19"/>
        <v>0</v>
      </c>
      <c r="G64" s="1939">
        <f t="shared" si="20"/>
        <v>-0.16</v>
      </c>
      <c r="H64" s="1939">
        <f t="shared" si="21"/>
        <v>-0.16</v>
      </c>
      <c r="I64" s="1940">
        <f t="shared" si="22"/>
        <v>1272423.9900000002</v>
      </c>
      <c r="J64" s="1941">
        <v>96162.4</v>
      </c>
      <c r="K64" s="1942">
        <v>96162.4</v>
      </c>
      <c r="L64" s="1942">
        <v>0</v>
      </c>
      <c r="M64" s="1942">
        <v>-0.14000000000000001</v>
      </c>
      <c r="N64" s="1942">
        <v>0</v>
      </c>
      <c r="O64" s="1943">
        <f t="shared" si="23"/>
        <v>192324.65999999997</v>
      </c>
      <c r="P64" s="1941">
        <v>453137</v>
      </c>
      <c r="Q64" s="1942">
        <v>453137</v>
      </c>
      <c r="R64" s="1942">
        <v>0</v>
      </c>
      <c r="S64" s="1942">
        <v>0</v>
      </c>
      <c r="T64" s="1942">
        <v>0</v>
      </c>
      <c r="U64" s="1943">
        <f t="shared" si="24"/>
        <v>906274</v>
      </c>
      <c r="V64" s="1941">
        <v>1343.54</v>
      </c>
      <c r="W64" s="1942">
        <v>1343.54</v>
      </c>
      <c r="X64" s="1942">
        <v>0</v>
      </c>
      <c r="Y64" s="1942">
        <v>0</v>
      </c>
      <c r="Z64" s="1942">
        <v>0</v>
      </c>
      <c r="AA64" s="1943">
        <f t="shared" si="25"/>
        <v>2687.08</v>
      </c>
      <c r="AB64" s="1941"/>
      <c r="AC64" s="1942"/>
      <c r="AD64" s="1942"/>
      <c r="AE64" s="1942"/>
      <c r="AF64" s="1942"/>
      <c r="AG64" s="1943">
        <f t="shared" si="26"/>
        <v>0</v>
      </c>
      <c r="AH64" s="1941"/>
      <c r="AI64" s="1942"/>
      <c r="AJ64" s="1942"/>
      <c r="AK64" s="1942"/>
      <c r="AL64" s="1942"/>
      <c r="AM64" s="1943">
        <f t="shared" si="27"/>
        <v>0</v>
      </c>
      <c r="AN64" s="1944">
        <v>6843.63</v>
      </c>
      <c r="AO64" s="1945">
        <v>164294.64000000001</v>
      </c>
      <c r="AP64" s="1945">
        <v>0</v>
      </c>
      <c r="AQ64" s="1945">
        <v>-0.02</v>
      </c>
      <c r="AR64" s="1945">
        <v>0</v>
      </c>
      <c r="AS64" s="1946">
        <f t="shared" si="28"/>
        <v>171138.25000000003</v>
      </c>
      <c r="AT64" s="1947"/>
      <c r="AU64" s="1948"/>
      <c r="AV64" s="1948"/>
      <c r="AW64" s="1948"/>
      <c r="AX64" s="1948"/>
      <c r="AY64" s="1949">
        <f t="shared" si="29"/>
        <v>0</v>
      </c>
      <c r="AZ64" s="1947"/>
      <c r="BA64" s="1948"/>
      <c r="BB64" s="1948"/>
      <c r="BC64" s="1948"/>
      <c r="BD64" s="1948"/>
      <c r="BE64" s="1949">
        <f t="shared" si="30"/>
        <v>0</v>
      </c>
    </row>
    <row r="65" spans="1:57" s="234" customFormat="1" ht="12.75" customHeight="1" x14ac:dyDescent="0.25">
      <c r="A65" s="1393" t="s">
        <v>154</v>
      </c>
      <c r="B65" s="1936" t="s">
        <v>155</v>
      </c>
      <c r="C65" s="1937" t="s">
        <v>265</v>
      </c>
      <c r="D65" s="1938">
        <f t="shared" si="17"/>
        <v>89056.920000000013</v>
      </c>
      <c r="E65" s="1939">
        <f t="shared" si="18"/>
        <v>101312.92000000001</v>
      </c>
      <c r="F65" s="1939">
        <f t="shared" si="19"/>
        <v>0</v>
      </c>
      <c r="G65" s="1939">
        <f t="shared" si="20"/>
        <v>-9.9999999999999985E-3</v>
      </c>
      <c r="H65" s="1939">
        <f t="shared" si="21"/>
        <v>-9.9999999999999985E-3</v>
      </c>
      <c r="I65" s="1940">
        <f t="shared" si="22"/>
        <v>190369.83000000002</v>
      </c>
      <c r="J65" s="1941">
        <v>42500.38</v>
      </c>
      <c r="K65" s="1942">
        <v>42500.38</v>
      </c>
      <c r="L65" s="1942">
        <v>0</v>
      </c>
      <c r="M65" s="1942">
        <v>-0.03</v>
      </c>
      <c r="N65" s="1942">
        <v>0</v>
      </c>
      <c r="O65" s="1943">
        <f t="shared" si="23"/>
        <v>85000.73</v>
      </c>
      <c r="P65" s="1944">
        <v>30684.5</v>
      </c>
      <c r="Q65" s="1945">
        <v>30684.5</v>
      </c>
      <c r="R65" s="1945">
        <v>0</v>
      </c>
      <c r="S65" s="1945">
        <v>0</v>
      </c>
      <c r="T65" s="1945">
        <v>0</v>
      </c>
      <c r="U65" s="1943">
        <f t="shared" si="24"/>
        <v>61369</v>
      </c>
      <c r="V65" s="1944">
        <v>15872.04</v>
      </c>
      <c r="W65" s="1945">
        <v>15872.04</v>
      </c>
      <c r="X65" s="1945">
        <v>0</v>
      </c>
      <c r="Y65" s="1945">
        <v>0.02</v>
      </c>
      <c r="Z65" s="1945">
        <v>0</v>
      </c>
      <c r="AA65" s="1943">
        <f t="shared" si="25"/>
        <v>31744.100000000002</v>
      </c>
      <c r="AB65" s="1944"/>
      <c r="AC65" s="1945"/>
      <c r="AD65" s="1945"/>
      <c r="AE65" s="1945"/>
      <c r="AF65" s="1945"/>
      <c r="AG65" s="1943">
        <f t="shared" si="26"/>
        <v>0</v>
      </c>
      <c r="AH65" s="1944"/>
      <c r="AI65" s="1945"/>
      <c r="AJ65" s="1945"/>
      <c r="AK65" s="1945"/>
      <c r="AL65" s="1945"/>
      <c r="AM65" s="1943">
        <f t="shared" si="27"/>
        <v>0</v>
      </c>
      <c r="AN65" s="1944">
        <v>0</v>
      </c>
      <c r="AO65" s="1945">
        <v>12256</v>
      </c>
      <c r="AP65" s="1945">
        <v>0</v>
      </c>
      <c r="AQ65" s="1945">
        <v>0</v>
      </c>
      <c r="AR65" s="1945">
        <v>0</v>
      </c>
      <c r="AS65" s="1946">
        <f t="shared" si="28"/>
        <v>12256</v>
      </c>
      <c r="AT65" s="1947"/>
      <c r="AU65" s="1948"/>
      <c r="AV65" s="1948"/>
      <c r="AW65" s="1948"/>
      <c r="AX65" s="1948"/>
      <c r="AY65" s="1949">
        <f t="shared" si="29"/>
        <v>0</v>
      </c>
      <c r="AZ65" s="1947"/>
      <c r="BA65" s="1948"/>
      <c r="BB65" s="1948"/>
      <c r="BC65" s="1948"/>
      <c r="BD65" s="1948"/>
      <c r="BE65" s="1949">
        <f t="shared" si="30"/>
        <v>0</v>
      </c>
    </row>
    <row r="66" spans="1:57" s="234" customFormat="1" ht="12.75" customHeight="1" x14ac:dyDescent="0.25">
      <c r="A66" s="1393" t="s">
        <v>156</v>
      </c>
      <c r="B66" s="1936" t="s">
        <v>157</v>
      </c>
      <c r="C66" s="1937" t="s">
        <v>266</v>
      </c>
      <c r="D66" s="1938">
        <f t="shared" si="17"/>
        <v>63139.119999999995</v>
      </c>
      <c r="E66" s="1939">
        <f t="shared" si="18"/>
        <v>78830.09</v>
      </c>
      <c r="F66" s="1939">
        <f t="shared" si="19"/>
        <v>0</v>
      </c>
      <c r="G66" s="1939">
        <f t="shared" si="20"/>
        <v>-0.01</v>
      </c>
      <c r="H66" s="1939">
        <f t="shared" si="21"/>
        <v>-0.01</v>
      </c>
      <c r="I66" s="1940">
        <f t="shared" si="22"/>
        <v>141969.19999999998</v>
      </c>
      <c r="J66" s="1941">
        <v>4379.53</v>
      </c>
      <c r="K66" s="1942">
        <v>4379.53</v>
      </c>
      <c r="L66" s="1942">
        <v>0</v>
      </c>
      <c r="M66" s="1942">
        <v>0</v>
      </c>
      <c r="N66" s="1942">
        <v>0</v>
      </c>
      <c r="O66" s="1943">
        <f t="shared" si="23"/>
        <v>8759.06</v>
      </c>
      <c r="P66" s="1941">
        <v>55406.239999999998</v>
      </c>
      <c r="Q66" s="1942">
        <v>55406.239999999998</v>
      </c>
      <c r="R66" s="1942">
        <v>0</v>
      </c>
      <c r="S66" s="1942">
        <v>-0.01</v>
      </c>
      <c r="T66" s="1942">
        <v>0</v>
      </c>
      <c r="U66" s="1943">
        <f t="shared" si="24"/>
        <v>110812.47</v>
      </c>
      <c r="V66" s="1941"/>
      <c r="W66" s="1942"/>
      <c r="X66" s="1942"/>
      <c r="Y66" s="1942"/>
      <c r="Z66" s="1942"/>
      <c r="AA66" s="1943">
        <f t="shared" si="25"/>
        <v>0</v>
      </c>
      <c r="AB66" s="1941"/>
      <c r="AC66" s="1942"/>
      <c r="AD66" s="1942"/>
      <c r="AE66" s="1942"/>
      <c r="AF66" s="1942"/>
      <c r="AG66" s="1943">
        <f t="shared" si="26"/>
        <v>0</v>
      </c>
      <c r="AH66" s="1941"/>
      <c r="AI66" s="1942"/>
      <c r="AJ66" s="1942"/>
      <c r="AK66" s="1942"/>
      <c r="AL66" s="1942"/>
      <c r="AM66" s="1943">
        <f t="shared" si="27"/>
        <v>0</v>
      </c>
      <c r="AN66" s="1944">
        <v>3353.35</v>
      </c>
      <c r="AO66" s="1945">
        <v>19044.32</v>
      </c>
      <c r="AP66" s="1945">
        <v>0</v>
      </c>
      <c r="AQ66" s="1945">
        <v>0</v>
      </c>
      <c r="AR66" s="1945">
        <v>0</v>
      </c>
      <c r="AS66" s="1946">
        <f t="shared" si="28"/>
        <v>22397.67</v>
      </c>
      <c r="AT66" s="1947"/>
      <c r="AU66" s="1948"/>
      <c r="AV66" s="1948"/>
      <c r="AW66" s="1948"/>
      <c r="AX66" s="1948"/>
      <c r="AY66" s="1949">
        <f t="shared" si="29"/>
        <v>0</v>
      </c>
      <c r="AZ66" s="1947"/>
      <c r="BA66" s="1948"/>
      <c r="BB66" s="1948"/>
      <c r="BC66" s="1948"/>
      <c r="BD66" s="1948"/>
      <c r="BE66" s="1949">
        <f t="shared" si="30"/>
        <v>0</v>
      </c>
    </row>
    <row r="67" spans="1:57" s="234" customFormat="1" ht="12.75" customHeight="1" x14ac:dyDescent="0.25">
      <c r="A67" s="1393" t="s">
        <v>162</v>
      </c>
      <c r="B67" s="1936" t="s">
        <v>163</v>
      </c>
      <c r="C67" s="1937" t="s">
        <v>264</v>
      </c>
      <c r="D67" s="1938">
        <f t="shared" si="17"/>
        <v>24546.720000000001</v>
      </c>
      <c r="E67" s="1939">
        <f t="shared" si="18"/>
        <v>24546.720000000001</v>
      </c>
      <c r="F67" s="1939">
        <f t="shared" si="19"/>
        <v>0</v>
      </c>
      <c r="G67" s="1939">
        <f t="shared" si="20"/>
        <v>-0.05</v>
      </c>
      <c r="H67" s="1939">
        <f t="shared" si="21"/>
        <v>-0.05</v>
      </c>
      <c r="I67" s="1940">
        <f t="shared" si="22"/>
        <v>49093.39</v>
      </c>
      <c r="J67" s="1941">
        <v>24546.720000000001</v>
      </c>
      <c r="K67" s="1942">
        <v>24546.720000000001</v>
      </c>
      <c r="L67" s="1942">
        <v>0</v>
      </c>
      <c r="M67" s="1942">
        <v>-0.05</v>
      </c>
      <c r="N67" s="1942">
        <v>0</v>
      </c>
      <c r="O67" s="1943">
        <f t="shared" si="23"/>
        <v>49093.39</v>
      </c>
      <c r="P67" s="1941"/>
      <c r="Q67" s="1942"/>
      <c r="R67" s="1942"/>
      <c r="S67" s="1942"/>
      <c r="T67" s="1942"/>
      <c r="U67" s="1943">
        <f t="shared" si="24"/>
        <v>0</v>
      </c>
      <c r="V67" s="1941"/>
      <c r="W67" s="1942"/>
      <c r="X67" s="1942"/>
      <c r="Y67" s="1942"/>
      <c r="Z67" s="1942"/>
      <c r="AA67" s="1943">
        <f t="shared" si="25"/>
        <v>0</v>
      </c>
      <c r="AB67" s="1941"/>
      <c r="AC67" s="1942"/>
      <c r="AD67" s="1942"/>
      <c r="AE67" s="1942"/>
      <c r="AF67" s="1942"/>
      <c r="AG67" s="1943">
        <f t="shared" si="26"/>
        <v>0</v>
      </c>
      <c r="AH67" s="1941"/>
      <c r="AI67" s="1942"/>
      <c r="AJ67" s="1942"/>
      <c r="AK67" s="1942"/>
      <c r="AL67" s="1942"/>
      <c r="AM67" s="1943">
        <f t="shared" si="27"/>
        <v>0</v>
      </c>
      <c r="AN67" s="1944"/>
      <c r="AO67" s="1945"/>
      <c r="AP67" s="1945"/>
      <c r="AQ67" s="1945"/>
      <c r="AR67" s="1945"/>
      <c r="AS67" s="1946">
        <f t="shared" si="28"/>
        <v>0</v>
      </c>
      <c r="AT67" s="1947"/>
      <c r="AU67" s="1948"/>
      <c r="AV67" s="1948"/>
      <c r="AW67" s="1948"/>
      <c r="AX67" s="1948"/>
      <c r="AY67" s="1949">
        <f t="shared" si="29"/>
        <v>0</v>
      </c>
      <c r="AZ67" s="1947"/>
      <c r="BA67" s="1948"/>
      <c r="BB67" s="1948"/>
      <c r="BC67" s="1948"/>
      <c r="BD67" s="1948"/>
      <c r="BE67" s="1949">
        <f t="shared" si="30"/>
        <v>0</v>
      </c>
    </row>
    <row r="68" spans="1:57" s="234" customFormat="1" ht="12.75" customHeight="1" x14ac:dyDescent="0.25">
      <c r="A68" s="1393" t="s">
        <v>164</v>
      </c>
      <c r="B68" s="1936" t="s">
        <v>165</v>
      </c>
      <c r="C68" s="1937" t="s">
        <v>266</v>
      </c>
      <c r="D68" s="1938">
        <f t="shared" si="17"/>
        <v>163829.85999999999</v>
      </c>
      <c r="E68" s="1939">
        <f t="shared" si="18"/>
        <v>234632.44</v>
      </c>
      <c r="F68" s="1939">
        <f t="shared" si="19"/>
        <v>0</v>
      </c>
      <c r="G68" s="1939">
        <f t="shared" si="20"/>
        <v>-6.9999999999999993E-2</v>
      </c>
      <c r="H68" s="1939">
        <f t="shared" si="21"/>
        <v>-6.9999999999999993E-2</v>
      </c>
      <c r="I68" s="1940">
        <f t="shared" si="22"/>
        <v>398462.23</v>
      </c>
      <c r="J68" s="1941">
        <v>71587.78</v>
      </c>
      <c r="K68" s="1942">
        <v>71587.78</v>
      </c>
      <c r="L68" s="1942">
        <v>0</v>
      </c>
      <c r="M68" s="1942">
        <v>-0.09</v>
      </c>
      <c r="N68" s="1942">
        <v>0</v>
      </c>
      <c r="O68" s="1943">
        <f t="shared" si="23"/>
        <v>143175.47</v>
      </c>
      <c r="P68" s="1941">
        <v>73777.52</v>
      </c>
      <c r="Q68" s="1942">
        <v>73777.52</v>
      </c>
      <c r="R68" s="1942">
        <v>0</v>
      </c>
      <c r="S68" s="1942">
        <v>0.02</v>
      </c>
      <c r="T68" s="1942">
        <v>0</v>
      </c>
      <c r="U68" s="1943">
        <f t="shared" si="24"/>
        <v>147555.06</v>
      </c>
      <c r="V68" s="1941"/>
      <c r="W68" s="1942"/>
      <c r="X68" s="1942"/>
      <c r="Y68" s="1942"/>
      <c r="Z68" s="1942"/>
      <c r="AA68" s="1943">
        <f t="shared" si="25"/>
        <v>0</v>
      </c>
      <c r="AB68" s="1941"/>
      <c r="AC68" s="1942"/>
      <c r="AD68" s="1942"/>
      <c r="AE68" s="1942"/>
      <c r="AF68" s="1942"/>
      <c r="AG68" s="1943">
        <f t="shared" si="26"/>
        <v>0</v>
      </c>
      <c r="AH68" s="1941"/>
      <c r="AI68" s="1942"/>
      <c r="AJ68" s="1942"/>
      <c r="AK68" s="1942"/>
      <c r="AL68" s="1942"/>
      <c r="AM68" s="1943">
        <f t="shared" si="27"/>
        <v>0</v>
      </c>
      <c r="AN68" s="1944">
        <v>13464.56</v>
      </c>
      <c r="AO68" s="1945">
        <v>89267.14</v>
      </c>
      <c r="AP68" s="1945">
        <v>0</v>
      </c>
      <c r="AQ68" s="1945">
        <v>0</v>
      </c>
      <c r="AR68" s="1945">
        <v>0</v>
      </c>
      <c r="AS68" s="1946">
        <f t="shared" si="28"/>
        <v>102731.7</v>
      </c>
      <c r="AT68" s="1947"/>
      <c r="AU68" s="1948"/>
      <c r="AV68" s="1948"/>
      <c r="AW68" s="1948"/>
      <c r="AX68" s="1948"/>
      <c r="AY68" s="1949">
        <f t="shared" si="29"/>
        <v>0</v>
      </c>
      <c r="AZ68" s="1947">
        <v>5000</v>
      </c>
      <c r="BA68" s="1948">
        <v>0</v>
      </c>
      <c r="BB68" s="1948">
        <v>0</v>
      </c>
      <c r="BC68" s="1948">
        <v>0</v>
      </c>
      <c r="BD68" s="1948">
        <v>0</v>
      </c>
      <c r="BE68" s="1949">
        <f t="shared" si="30"/>
        <v>5000</v>
      </c>
    </row>
    <row r="69" spans="1:57" s="234" customFormat="1" ht="12.75" customHeight="1" x14ac:dyDescent="0.25">
      <c r="A69" s="1393" t="s">
        <v>168</v>
      </c>
      <c r="B69" s="1936" t="s">
        <v>169</v>
      </c>
      <c r="C69" s="1937" t="s">
        <v>266</v>
      </c>
      <c r="D69" s="1938">
        <f t="shared" ref="D69:D100" si="31">J69+P69+V69+AB69+AH69+AN69+AT69+AZ69</f>
        <v>35988.51</v>
      </c>
      <c r="E69" s="1939">
        <f t="shared" ref="E69:E100" si="32">K69+Q69+W69+AC69+AI69+AO69+AU69+BA69</f>
        <v>42601.51</v>
      </c>
      <c r="F69" s="1939">
        <f t="shared" ref="F69:F100" si="33">L69+R69+X69+AD69+AJ69+AP69+AV69+BB69</f>
        <v>0</v>
      </c>
      <c r="G69" s="1939">
        <f t="shared" ref="G69:G100" si="34">M69+N69+S69+T69+Y69+Z69+AE69+AF69+AK69+AL69+AQ69+AR69+AW69+AX69+BC69+BD69</f>
        <v>-0.01</v>
      </c>
      <c r="H69" s="1939">
        <f t="shared" ref="H69:H100" si="35">F69+G69</f>
        <v>-0.01</v>
      </c>
      <c r="I69" s="1940">
        <f t="shared" ref="I69:I100" si="36">SUM(D69:G69)</f>
        <v>78590.010000000009</v>
      </c>
      <c r="J69" s="1941">
        <v>14932.72</v>
      </c>
      <c r="K69" s="1942">
        <v>14932.72</v>
      </c>
      <c r="L69" s="1942">
        <v>0</v>
      </c>
      <c r="M69" s="1942">
        <v>-0.01</v>
      </c>
      <c r="N69" s="1942">
        <v>0</v>
      </c>
      <c r="O69" s="1943">
        <f t="shared" ref="O69:O100" si="37">SUM(J69:N69)</f>
        <v>29865.43</v>
      </c>
      <c r="P69" s="1941">
        <v>21055.79</v>
      </c>
      <c r="Q69" s="1942">
        <v>21055.79</v>
      </c>
      <c r="R69" s="1942">
        <v>0</v>
      </c>
      <c r="S69" s="1942">
        <v>0</v>
      </c>
      <c r="T69" s="1942">
        <v>0</v>
      </c>
      <c r="U69" s="1943">
        <f t="shared" ref="U69:U100" si="38">SUM(P69:T69)</f>
        <v>42111.58</v>
      </c>
      <c r="V69" s="1941"/>
      <c r="W69" s="1942"/>
      <c r="X69" s="1942"/>
      <c r="Y69" s="1942"/>
      <c r="Z69" s="1942"/>
      <c r="AA69" s="1943">
        <f t="shared" ref="AA69:AA100" si="39">SUM(V69:Z69)</f>
        <v>0</v>
      </c>
      <c r="AB69" s="1941"/>
      <c r="AC69" s="1942"/>
      <c r="AD69" s="1942"/>
      <c r="AE69" s="1942"/>
      <c r="AF69" s="1942"/>
      <c r="AG69" s="1943">
        <f t="shared" ref="AG69:AG100" si="40">SUM(AB69:AF69)</f>
        <v>0</v>
      </c>
      <c r="AH69" s="1941"/>
      <c r="AI69" s="1942"/>
      <c r="AJ69" s="1942"/>
      <c r="AK69" s="1942"/>
      <c r="AL69" s="1942"/>
      <c r="AM69" s="1943">
        <f t="shared" ref="AM69:AM100" si="41">SUM(AH69:AL69)</f>
        <v>0</v>
      </c>
      <c r="AN69" s="1944">
        <v>0</v>
      </c>
      <c r="AO69" s="1945">
        <v>6613</v>
      </c>
      <c r="AP69" s="1945">
        <v>0</v>
      </c>
      <c r="AQ69" s="1945">
        <v>0</v>
      </c>
      <c r="AR69" s="1945">
        <v>0</v>
      </c>
      <c r="AS69" s="1946">
        <f t="shared" ref="AS69:AS100" si="42">SUM(AN69:AR69)</f>
        <v>6613</v>
      </c>
      <c r="AT69" s="1947"/>
      <c r="AU69" s="1948"/>
      <c r="AV69" s="1948"/>
      <c r="AW69" s="1948"/>
      <c r="AX69" s="1948"/>
      <c r="AY69" s="1949">
        <f t="shared" ref="AY69:AY100" si="43">SUM(AT69:AX69)</f>
        <v>0</v>
      </c>
      <c r="AZ69" s="1947"/>
      <c r="BA69" s="1948"/>
      <c r="BB69" s="1948"/>
      <c r="BC69" s="1948"/>
      <c r="BD69" s="1948"/>
      <c r="BE69" s="1949">
        <f t="shared" ref="BE69:BE100" si="44">SUM(AZ69:BD69)</f>
        <v>0</v>
      </c>
    </row>
    <row r="70" spans="1:57" s="234" customFormat="1" ht="12.75" customHeight="1" x14ac:dyDescent="0.25">
      <c r="A70" s="1393" t="s">
        <v>170</v>
      </c>
      <c r="B70" s="1936" t="s">
        <v>171</v>
      </c>
      <c r="C70" s="1937" t="s">
        <v>267</v>
      </c>
      <c r="D70" s="1938">
        <f t="shared" si="31"/>
        <v>371723.31000000006</v>
      </c>
      <c r="E70" s="1939">
        <f t="shared" si="32"/>
        <v>583617.62000000011</v>
      </c>
      <c r="F70" s="1939">
        <f t="shared" si="33"/>
        <v>0</v>
      </c>
      <c r="G70" s="1939">
        <f t="shared" si="34"/>
        <v>52378.79</v>
      </c>
      <c r="H70" s="1939">
        <f t="shared" si="35"/>
        <v>52378.79</v>
      </c>
      <c r="I70" s="1940">
        <f t="shared" si="36"/>
        <v>1007719.7200000002</v>
      </c>
      <c r="J70" s="1941">
        <v>130077.66</v>
      </c>
      <c r="K70" s="1942">
        <v>130077.66</v>
      </c>
      <c r="L70" s="1942">
        <v>0</v>
      </c>
      <c r="M70" s="1942">
        <v>10906.8</v>
      </c>
      <c r="N70" s="1942">
        <v>0</v>
      </c>
      <c r="O70" s="1943">
        <f t="shared" si="37"/>
        <v>271062.12</v>
      </c>
      <c r="P70" s="1941">
        <v>213022.5</v>
      </c>
      <c r="Q70" s="1942">
        <v>213022.5</v>
      </c>
      <c r="R70" s="1942">
        <v>0</v>
      </c>
      <c r="S70" s="1942">
        <v>41472</v>
      </c>
      <c r="T70" s="1942">
        <v>0</v>
      </c>
      <c r="U70" s="1943">
        <f t="shared" si="38"/>
        <v>467517</v>
      </c>
      <c r="V70" s="1941">
        <v>3756.03</v>
      </c>
      <c r="W70" s="1942">
        <v>3756.03</v>
      </c>
      <c r="X70" s="1942">
        <v>0</v>
      </c>
      <c r="Y70" s="1942">
        <v>-0.01</v>
      </c>
      <c r="Z70" s="1942">
        <v>0</v>
      </c>
      <c r="AA70" s="1943">
        <f t="shared" si="39"/>
        <v>7512.05</v>
      </c>
      <c r="AB70" s="1941"/>
      <c r="AC70" s="1942"/>
      <c r="AD70" s="1942"/>
      <c r="AE70" s="1942"/>
      <c r="AF70" s="1942"/>
      <c r="AG70" s="1943">
        <f t="shared" si="40"/>
        <v>0</v>
      </c>
      <c r="AH70" s="1941"/>
      <c r="AI70" s="1942"/>
      <c r="AJ70" s="1942"/>
      <c r="AK70" s="1942"/>
      <c r="AL70" s="1942"/>
      <c r="AM70" s="1943">
        <f t="shared" si="41"/>
        <v>0</v>
      </c>
      <c r="AN70" s="1944">
        <v>22350.57</v>
      </c>
      <c r="AO70" s="1945">
        <v>236761.43</v>
      </c>
      <c r="AP70" s="1945">
        <v>0</v>
      </c>
      <c r="AQ70" s="1945">
        <v>0</v>
      </c>
      <c r="AR70" s="1945">
        <v>0</v>
      </c>
      <c r="AS70" s="1946">
        <f t="shared" si="42"/>
        <v>259112</v>
      </c>
      <c r="AT70" s="1947"/>
      <c r="AU70" s="1948"/>
      <c r="AV70" s="1948"/>
      <c r="AW70" s="1948"/>
      <c r="AX70" s="1948"/>
      <c r="AY70" s="1949">
        <f t="shared" si="43"/>
        <v>0</v>
      </c>
      <c r="AZ70" s="1947">
        <v>2516.5500000000002</v>
      </c>
      <c r="BA70" s="1948">
        <v>0</v>
      </c>
      <c r="BB70" s="1948">
        <v>0</v>
      </c>
      <c r="BC70" s="1948">
        <v>0</v>
      </c>
      <c r="BD70" s="1948">
        <v>0</v>
      </c>
      <c r="BE70" s="1949">
        <f t="shared" si="44"/>
        <v>2516.5500000000002</v>
      </c>
    </row>
    <row r="71" spans="1:57" s="234" customFormat="1" ht="12.75" customHeight="1" x14ac:dyDescent="0.25">
      <c r="A71" s="1393" t="s">
        <v>172</v>
      </c>
      <c r="B71" s="1936" t="s">
        <v>173</v>
      </c>
      <c r="C71" s="1937" t="s">
        <v>267</v>
      </c>
      <c r="D71" s="1938">
        <f t="shared" si="31"/>
        <v>94183.31</v>
      </c>
      <c r="E71" s="1939">
        <f t="shared" si="32"/>
        <v>104666.33</v>
      </c>
      <c r="F71" s="1939">
        <f t="shared" si="33"/>
        <v>0</v>
      </c>
      <c r="G71" s="1939">
        <f t="shared" si="34"/>
        <v>0</v>
      </c>
      <c r="H71" s="1939">
        <f t="shared" si="35"/>
        <v>0</v>
      </c>
      <c r="I71" s="1940">
        <f t="shared" si="36"/>
        <v>198849.64</v>
      </c>
      <c r="J71" s="1941">
        <v>7527.62</v>
      </c>
      <c r="K71" s="1942">
        <v>7527.62</v>
      </c>
      <c r="L71" s="1942">
        <v>0</v>
      </c>
      <c r="M71" s="1942">
        <v>0.01</v>
      </c>
      <c r="N71" s="1942">
        <v>0</v>
      </c>
      <c r="O71" s="1943">
        <f t="shared" si="37"/>
        <v>15055.25</v>
      </c>
      <c r="P71" s="1941">
        <v>74437.5</v>
      </c>
      <c r="Q71" s="1942">
        <v>74437.5</v>
      </c>
      <c r="R71" s="1942">
        <v>0</v>
      </c>
      <c r="S71" s="1942">
        <v>0</v>
      </c>
      <c r="T71" s="1942">
        <v>0</v>
      </c>
      <c r="U71" s="1943">
        <f t="shared" si="38"/>
        <v>148875</v>
      </c>
      <c r="V71" s="1941">
        <v>2043.55</v>
      </c>
      <c r="W71" s="1942">
        <v>2043.55</v>
      </c>
      <c r="X71" s="1942">
        <v>0</v>
      </c>
      <c r="Y71" s="1942">
        <v>-0.01</v>
      </c>
      <c r="Z71" s="1942">
        <v>0</v>
      </c>
      <c r="AA71" s="1943">
        <f t="shared" si="39"/>
        <v>4087.0899999999997</v>
      </c>
      <c r="AB71" s="1941"/>
      <c r="AC71" s="1942"/>
      <c r="AD71" s="1942"/>
      <c r="AE71" s="1942"/>
      <c r="AF71" s="1942"/>
      <c r="AG71" s="1943">
        <f t="shared" si="40"/>
        <v>0</v>
      </c>
      <c r="AH71" s="1941"/>
      <c r="AI71" s="1942"/>
      <c r="AJ71" s="1942"/>
      <c r="AK71" s="1942"/>
      <c r="AL71" s="1942"/>
      <c r="AM71" s="1943">
        <f t="shared" si="41"/>
        <v>0</v>
      </c>
      <c r="AN71" s="1944">
        <v>10174.64</v>
      </c>
      <c r="AO71" s="1945">
        <v>20657.66</v>
      </c>
      <c r="AP71" s="1945">
        <v>0</v>
      </c>
      <c r="AQ71" s="1945">
        <v>0</v>
      </c>
      <c r="AR71" s="1945">
        <v>0</v>
      </c>
      <c r="AS71" s="1946">
        <f t="shared" si="42"/>
        <v>30832.3</v>
      </c>
      <c r="AT71" s="1947"/>
      <c r="AU71" s="1948"/>
      <c r="AV71" s="1948"/>
      <c r="AW71" s="1948"/>
      <c r="AX71" s="1948"/>
      <c r="AY71" s="1949">
        <f t="shared" si="43"/>
        <v>0</v>
      </c>
      <c r="AZ71" s="1947"/>
      <c r="BA71" s="1948"/>
      <c r="BB71" s="1948"/>
      <c r="BC71" s="1948"/>
      <c r="BD71" s="1948"/>
      <c r="BE71" s="1949">
        <f t="shared" si="44"/>
        <v>0</v>
      </c>
    </row>
    <row r="72" spans="1:57" s="234" customFormat="1" ht="12.75" customHeight="1" x14ac:dyDescent="0.25">
      <c r="A72" s="1393" t="s">
        <v>174</v>
      </c>
      <c r="B72" s="1936" t="s">
        <v>175</v>
      </c>
      <c r="C72" s="1937" t="s">
        <v>268</v>
      </c>
      <c r="D72" s="1938">
        <f t="shared" si="31"/>
        <v>62076.54</v>
      </c>
      <c r="E72" s="1939">
        <f t="shared" si="32"/>
        <v>62076.54</v>
      </c>
      <c r="F72" s="1939">
        <f t="shared" si="33"/>
        <v>0</v>
      </c>
      <c r="G72" s="1939">
        <f t="shared" si="34"/>
        <v>-1.9999999999999997E-2</v>
      </c>
      <c r="H72" s="1939">
        <f t="shared" si="35"/>
        <v>-1.9999999999999997E-2</v>
      </c>
      <c r="I72" s="1940">
        <f t="shared" si="36"/>
        <v>124153.06</v>
      </c>
      <c r="J72" s="1941">
        <v>53499.82</v>
      </c>
      <c r="K72" s="1942">
        <v>53499.82</v>
      </c>
      <c r="L72" s="1942">
        <v>0</v>
      </c>
      <c r="M72" s="1942">
        <v>-0.03</v>
      </c>
      <c r="N72" s="1942">
        <v>0</v>
      </c>
      <c r="O72" s="1943">
        <f t="shared" si="37"/>
        <v>106999.61</v>
      </c>
      <c r="P72" s="1941">
        <v>7526.72</v>
      </c>
      <c r="Q72" s="1942">
        <v>7526.72</v>
      </c>
      <c r="R72" s="1942">
        <v>0</v>
      </c>
      <c r="S72" s="1942">
        <v>0.01</v>
      </c>
      <c r="T72" s="1942">
        <v>0</v>
      </c>
      <c r="U72" s="1943">
        <f t="shared" si="38"/>
        <v>15053.45</v>
      </c>
      <c r="V72" s="1941">
        <v>1050</v>
      </c>
      <c r="W72" s="1942">
        <v>1050</v>
      </c>
      <c r="X72" s="1942">
        <v>0</v>
      </c>
      <c r="Y72" s="1942">
        <v>0</v>
      </c>
      <c r="Z72" s="1942">
        <v>0</v>
      </c>
      <c r="AA72" s="1943">
        <f t="shared" si="39"/>
        <v>2100</v>
      </c>
      <c r="AB72" s="1941"/>
      <c r="AC72" s="1942"/>
      <c r="AD72" s="1942"/>
      <c r="AE72" s="1942"/>
      <c r="AF72" s="1942"/>
      <c r="AG72" s="1943">
        <f t="shared" si="40"/>
        <v>0</v>
      </c>
      <c r="AH72" s="1941"/>
      <c r="AI72" s="1942"/>
      <c r="AJ72" s="1942"/>
      <c r="AK72" s="1942"/>
      <c r="AL72" s="1942"/>
      <c r="AM72" s="1943">
        <f t="shared" si="41"/>
        <v>0</v>
      </c>
      <c r="AN72" s="1944"/>
      <c r="AO72" s="1945"/>
      <c r="AP72" s="1945"/>
      <c r="AQ72" s="1945"/>
      <c r="AR72" s="1945"/>
      <c r="AS72" s="1946">
        <f t="shared" si="42"/>
        <v>0</v>
      </c>
      <c r="AT72" s="1947"/>
      <c r="AU72" s="1948"/>
      <c r="AV72" s="1948"/>
      <c r="AW72" s="1948"/>
      <c r="AX72" s="1948"/>
      <c r="AY72" s="1949">
        <f t="shared" si="43"/>
        <v>0</v>
      </c>
      <c r="AZ72" s="1947"/>
      <c r="BA72" s="1948"/>
      <c r="BB72" s="1948"/>
      <c r="BC72" s="1948"/>
      <c r="BD72" s="1948"/>
      <c r="BE72" s="1949">
        <f t="shared" si="44"/>
        <v>0</v>
      </c>
    </row>
    <row r="73" spans="1:57" s="234" customFormat="1" ht="12.75" customHeight="1" x14ac:dyDescent="0.25">
      <c r="A73" s="1393" t="s">
        <v>178</v>
      </c>
      <c r="B73" s="1936" t="s">
        <v>179</v>
      </c>
      <c r="C73" s="1937" t="s">
        <v>265</v>
      </c>
      <c r="D73" s="1938">
        <f t="shared" si="31"/>
        <v>191561.93</v>
      </c>
      <c r="E73" s="1939">
        <f t="shared" si="32"/>
        <v>293943.93</v>
      </c>
      <c r="F73" s="1939">
        <f t="shared" si="33"/>
        <v>0</v>
      </c>
      <c r="G73" s="1939">
        <f t="shared" si="34"/>
        <v>-0.21</v>
      </c>
      <c r="H73" s="1939">
        <f t="shared" si="35"/>
        <v>-0.21</v>
      </c>
      <c r="I73" s="1940">
        <f t="shared" si="36"/>
        <v>485505.64999999997</v>
      </c>
      <c r="J73" s="1941">
        <v>139577.93</v>
      </c>
      <c r="K73" s="1942">
        <v>139577.93</v>
      </c>
      <c r="L73" s="1942">
        <v>0</v>
      </c>
      <c r="M73" s="1942">
        <v>-0.21</v>
      </c>
      <c r="N73" s="1942">
        <v>0</v>
      </c>
      <c r="O73" s="1943">
        <f t="shared" si="37"/>
        <v>279155.64999999997</v>
      </c>
      <c r="P73" s="1941">
        <v>51284</v>
      </c>
      <c r="Q73" s="1942">
        <v>51284</v>
      </c>
      <c r="R73" s="1942">
        <v>0</v>
      </c>
      <c r="S73" s="1942">
        <v>0</v>
      </c>
      <c r="T73" s="1942">
        <v>0</v>
      </c>
      <c r="U73" s="1943">
        <f t="shared" si="38"/>
        <v>102568</v>
      </c>
      <c r="V73" s="1941">
        <v>700</v>
      </c>
      <c r="W73" s="1942">
        <v>700</v>
      </c>
      <c r="X73" s="1942">
        <v>0</v>
      </c>
      <c r="Y73" s="1942">
        <v>0</v>
      </c>
      <c r="Z73" s="1942">
        <v>0</v>
      </c>
      <c r="AA73" s="1943">
        <f t="shared" si="39"/>
        <v>1400</v>
      </c>
      <c r="AB73" s="1941"/>
      <c r="AC73" s="1942"/>
      <c r="AD73" s="1942"/>
      <c r="AE73" s="1942"/>
      <c r="AF73" s="1942"/>
      <c r="AG73" s="1943">
        <f t="shared" si="40"/>
        <v>0</v>
      </c>
      <c r="AH73" s="1941"/>
      <c r="AI73" s="1942"/>
      <c r="AJ73" s="1942"/>
      <c r="AK73" s="1942"/>
      <c r="AL73" s="1942"/>
      <c r="AM73" s="1943">
        <f t="shared" si="41"/>
        <v>0</v>
      </c>
      <c r="AN73" s="1944">
        <v>0</v>
      </c>
      <c r="AO73" s="1945">
        <v>102382</v>
      </c>
      <c r="AP73" s="1945">
        <v>0</v>
      </c>
      <c r="AQ73" s="1945">
        <v>0</v>
      </c>
      <c r="AR73" s="1945">
        <v>0</v>
      </c>
      <c r="AS73" s="1946">
        <f t="shared" si="42"/>
        <v>102382</v>
      </c>
      <c r="AT73" s="1947"/>
      <c r="AU73" s="1948"/>
      <c r="AV73" s="1948"/>
      <c r="AW73" s="1948"/>
      <c r="AX73" s="1948"/>
      <c r="AY73" s="1949">
        <f t="shared" si="43"/>
        <v>0</v>
      </c>
      <c r="AZ73" s="1947"/>
      <c r="BA73" s="1948"/>
      <c r="BB73" s="1948"/>
      <c r="BC73" s="1948"/>
      <c r="BD73" s="1948"/>
      <c r="BE73" s="1949">
        <f t="shared" si="44"/>
        <v>0</v>
      </c>
    </row>
    <row r="74" spans="1:57" s="234" customFormat="1" ht="12.75" customHeight="1" x14ac:dyDescent="0.25">
      <c r="A74" s="1393" t="s">
        <v>182</v>
      </c>
      <c r="B74" s="1936" t="s">
        <v>183</v>
      </c>
      <c r="C74" s="1937" t="s">
        <v>266</v>
      </c>
      <c r="D74" s="1938">
        <f t="shared" si="31"/>
        <v>152921.18</v>
      </c>
      <c r="E74" s="1939">
        <f t="shared" si="32"/>
        <v>152921.18</v>
      </c>
      <c r="F74" s="1939">
        <f t="shared" si="33"/>
        <v>0</v>
      </c>
      <c r="G74" s="1939">
        <f t="shared" si="34"/>
        <v>-44427.27</v>
      </c>
      <c r="H74" s="1939">
        <f t="shared" si="35"/>
        <v>-44427.27</v>
      </c>
      <c r="I74" s="1940">
        <f t="shared" si="36"/>
        <v>261415.09</v>
      </c>
      <c r="J74" s="1941">
        <v>78232.55</v>
      </c>
      <c r="K74" s="1942">
        <v>78232.55</v>
      </c>
      <c r="L74" s="1942">
        <v>0</v>
      </c>
      <c r="M74" s="1942">
        <v>-0.05</v>
      </c>
      <c r="N74" s="1942">
        <v>-30591.759999999998</v>
      </c>
      <c r="O74" s="1943">
        <f t="shared" si="37"/>
        <v>125873.29000000002</v>
      </c>
      <c r="P74" s="1941">
        <v>68336.73</v>
      </c>
      <c r="Q74" s="1942">
        <v>68336.73</v>
      </c>
      <c r="R74" s="1942">
        <v>0</v>
      </c>
      <c r="S74" s="1942">
        <v>-0.01</v>
      </c>
      <c r="T74" s="1942">
        <v>-13835.45</v>
      </c>
      <c r="U74" s="1943">
        <f t="shared" si="38"/>
        <v>122837.99999999999</v>
      </c>
      <c r="V74" s="1944">
        <v>6351.9</v>
      </c>
      <c r="W74" s="1945">
        <v>6351.9</v>
      </c>
      <c r="X74" s="1945">
        <v>0</v>
      </c>
      <c r="Y74" s="1945">
        <v>0</v>
      </c>
      <c r="Z74" s="1945">
        <v>0</v>
      </c>
      <c r="AA74" s="1943">
        <f t="shared" si="39"/>
        <v>12703.8</v>
      </c>
      <c r="AB74" s="1944"/>
      <c r="AC74" s="1945"/>
      <c r="AD74" s="1945"/>
      <c r="AE74" s="1945"/>
      <c r="AF74" s="1945"/>
      <c r="AG74" s="1943">
        <f t="shared" si="40"/>
        <v>0</v>
      </c>
      <c r="AH74" s="1944"/>
      <c r="AI74" s="1945"/>
      <c r="AJ74" s="1945"/>
      <c r="AK74" s="1945"/>
      <c r="AL74" s="1945"/>
      <c r="AM74" s="1943">
        <f t="shared" si="41"/>
        <v>0</v>
      </c>
      <c r="AN74" s="1944"/>
      <c r="AO74" s="1945"/>
      <c r="AP74" s="1945"/>
      <c r="AQ74" s="1945"/>
      <c r="AR74" s="1945"/>
      <c r="AS74" s="1946">
        <f t="shared" si="42"/>
        <v>0</v>
      </c>
      <c r="AT74" s="1947"/>
      <c r="AU74" s="1948"/>
      <c r="AV74" s="1948"/>
      <c r="AW74" s="1948"/>
      <c r="AX74" s="1948"/>
      <c r="AY74" s="1949">
        <f t="shared" si="43"/>
        <v>0</v>
      </c>
      <c r="AZ74" s="1947"/>
      <c r="BA74" s="1948"/>
      <c r="BB74" s="1948"/>
      <c r="BC74" s="1948"/>
      <c r="BD74" s="1948"/>
      <c r="BE74" s="1949">
        <f t="shared" si="44"/>
        <v>0</v>
      </c>
    </row>
    <row r="75" spans="1:57" s="234" customFormat="1" ht="12.75" customHeight="1" x14ac:dyDescent="0.25">
      <c r="A75" s="1393" t="s">
        <v>184</v>
      </c>
      <c r="B75" s="1936" t="s">
        <v>185</v>
      </c>
      <c r="C75" s="1937" t="s">
        <v>266</v>
      </c>
      <c r="D75" s="1938">
        <f t="shared" si="31"/>
        <v>241653.53</v>
      </c>
      <c r="E75" s="1939">
        <f t="shared" si="32"/>
        <v>443243.53</v>
      </c>
      <c r="F75" s="1939">
        <f t="shared" si="33"/>
        <v>0</v>
      </c>
      <c r="G75" s="1939">
        <f t="shared" si="34"/>
        <v>-6.0000000000000005E-2</v>
      </c>
      <c r="H75" s="1939">
        <f t="shared" si="35"/>
        <v>-6.0000000000000005E-2</v>
      </c>
      <c r="I75" s="1940">
        <f t="shared" si="36"/>
        <v>684897</v>
      </c>
      <c r="J75" s="1941">
        <v>55596.77</v>
      </c>
      <c r="K75" s="1942">
        <v>55596.77</v>
      </c>
      <c r="L75" s="1942">
        <v>0</v>
      </c>
      <c r="M75" s="1942">
        <v>-0.05</v>
      </c>
      <c r="N75" s="1942">
        <v>0</v>
      </c>
      <c r="O75" s="1943">
        <f t="shared" si="37"/>
        <v>111193.48999999999</v>
      </c>
      <c r="P75" s="1941">
        <v>178397</v>
      </c>
      <c r="Q75" s="1942">
        <v>178397</v>
      </c>
      <c r="R75" s="1942">
        <v>0</v>
      </c>
      <c r="S75" s="1942">
        <v>0</v>
      </c>
      <c r="T75" s="1942">
        <v>0</v>
      </c>
      <c r="U75" s="1943">
        <f t="shared" si="38"/>
        <v>356794</v>
      </c>
      <c r="V75" s="1941">
        <v>3782.26</v>
      </c>
      <c r="W75" s="1942">
        <v>3782.26</v>
      </c>
      <c r="X75" s="1942">
        <v>0</v>
      </c>
      <c r="Y75" s="1942">
        <v>-0.01</v>
      </c>
      <c r="Z75" s="1942">
        <v>0</v>
      </c>
      <c r="AA75" s="1943">
        <f t="shared" si="39"/>
        <v>7564.51</v>
      </c>
      <c r="AB75" s="1941"/>
      <c r="AC75" s="1942"/>
      <c r="AD75" s="1942"/>
      <c r="AE75" s="1942"/>
      <c r="AF75" s="1942"/>
      <c r="AG75" s="1943">
        <f t="shared" si="40"/>
        <v>0</v>
      </c>
      <c r="AH75" s="1941"/>
      <c r="AI75" s="1942"/>
      <c r="AJ75" s="1942"/>
      <c r="AK75" s="1942"/>
      <c r="AL75" s="1942"/>
      <c r="AM75" s="1943">
        <f t="shared" si="41"/>
        <v>0</v>
      </c>
      <c r="AN75" s="1944">
        <v>3877.5</v>
      </c>
      <c r="AO75" s="1945">
        <v>205467.5</v>
      </c>
      <c r="AP75" s="1945">
        <v>0</v>
      </c>
      <c r="AQ75" s="1945">
        <v>0</v>
      </c>
      <c r="AR75" s="1945">
        <v>0</v>
      </c>
      <c r="AS75" s="1946">
        <f t="shared" si="42"/>
        <v>209345</v>
      </c>
      <c r="AT75" s="1947"/>
      <c r="AU75" s="1948"/>
      <c r="AV75" s="1948"/>
      <c r="AW75" s="1948"/>
      <c r="AX75" s="1948"/>
      <c r="AY75" s="1949">
        <f t="shared" si="43"/>
        <v>0</v>
      </c>
      <c r="AZ75" s="1947"/>
      <c r="BA75" s="1948"/>
      <c r="BB75" s="1948"/>
      <c r="BC75" s="1948"/>
      <c r="BD75" s="1948"/>
      <c r="BE75" s="1949">
        <f t="shared" si="44"/>
        <v>0</v>
      </c>
    </row>
    <row r="76" spans="1:57" s="234" customFormat="1" ht="12.75" customHeight="1" x14ac:dyDescent="0.25">
      <c r="A76" s="1393" t="s">
        <v>186</v>
      </c>
      <c r="B76" s="1936" t="s">
        <v>187</v>
      </c>
      <c r="C76" s="1937" t="s">
        <v>264</v>
      </c>
      <c r="D76" s="1938">
        <f t="shared" si="31"/>
        <v>149769.38</v>
      </c>
      <c r="E76" s="1939">
        <f t="shared" si="32"/>
        <v>211256.24</v>
      </c>
      <c r="F76" s="1939">
        <f t="shared" si="33"/>
        <v>0</v>
      </c>
      <c r="G76" s="1939">
        <f t="shared" si="34"/>
        <v>-0.04</v>
      </c>
      <c r="H76" s="1939">
        <f t="shared" si="35"/>
        <v>-0.04</v>
      </c>
      <c r="I76" s="1940">
        <f t="shared" si="36"/>
        <v>361025.58</v>
      </c>
      <c r="J76" s="1941">
        <v>37977.17</v>
      </c>
      <c r="K76" s="1942">
        <v>37977.17</v>
      </c>
      <c r="L76" s="1942">
        <v>0</v>
      </c>
      <c r="M76" s="1942">
        <v>-0.03</v>
      </c>
      <c r="N76" s="1942">
        <v>0</v>
      </c>
      <c r="O76" s="1943">
        <f t="shared" si="37"/>
        <v>75954.31</v>
      </c>
      <c r="P76" s="1941">
        <v>111726.21</v>
      </c>
      <c r="Q76" s="1942">
        <v>111726.21</v>
      </c>
      <c r="R76" s="1942">
        <v>0</v>
      </c>
      <c r="S76" s="1942">
        <v>-0.01</v>
      </c>
      <c r="T76" s="1942">
        <v>0</v>
      </c>
      <c r="U76" s="1943">
        <f t="shared" si="38"/>
        <v>223452.41</v>
      </c>
      <c r="V76" s="1941"/>
      <c r="W76" s="1942"/>
      <c r="X76" s="1942"/>
      <c r="Y76" s="1942"/>
      <c r="Z76" s="1942"/>
      <c r="AA76" s="1943">
        <f t="shared" si="39"/>
        <v>0</v>
      </c>
      <c r="AB76" s="1941"/>
      <c r="AC76" s="1942"/>
      <c r="AD76" s="1942"/>
      <c r="AE76" s="1942"/>
      <c r="AF76" s="1942"/>
      <c r="AG76" s="1943">
        <f t="shared" si="40"/>
        <v>0</v>
      </c>
      <c r="AH76" s="1941"/>
      <c r="AI76" s="1942"/>
      <c r="AJ76" s="1942"/>
      <c r="AK76" s="1942"/>
      <c r="AL76" s="1942"/>
      <c r="AM76" s="1943">
        <f t="shared" si="41"/>
        <v>0</v>
      </c>
      <c r="AN76" s="1944">
        <v>66</v>
      </c>
      <c r="AO76" s="1945">
        <v>61552.86</v>
      </c>
      <c r="AP76" s="1945">
        <v>0</v>
      </c>
      <c r="AQ76" s="1945">
        <v>0</v>
      </c>
      <c r="AR76" s="1945">
        <v>0</v>
      </c>
      <c r="AS76" s="1946">
        <f t="shared" si="42"/>
        <v>61618.86</v>
      </c>
      <c r="AT76" s="1947"/>
      <c r="AU76" s="1948"/>
      <c r="AV76" s="1948"/>
      <c r="AW76" s="1948"/>
      <c r="AX76" s="1948"/>
      <c r="AY76" s="1949">
        <f t="shared" si="43"/>
        <v>0</v>
      </c>
      <c r="AZ76" s="1947"/>
      <c r="BA76" s="1948"/>
      <c r="BB76" s="1948"/>
      <c r="BC76" s="1948"/>
      <c r="BD76" s="1948"/>
      <c r="BE76" s="1949">
        <f t="shared" si="44"/>
        <v>0</v>
      </c>
    </row>
    <row r="77" spans="1:57" s="234" customFormat="1" ht="12.75" customHeight="1" x14ac:dyDescent="0.25">
      <c r="A77" s="1393" t="s">
        <v>188</v>
      </c>
      <c r="B77" s="1936" t="s">
        <v>189</v>
      </c>
      <c r="C77" s="1937" t="s">
        <v>267</v>
      </c>
      <c r="D77" s="1938">
        <f t="shared" si="31"/>
        <v>1203481.4000000001</v>
      </c>
      <c r="E77" s="1939">
        <f t="shared" si="32"/>
        <v>1697811.9</v>
      </c>
      <c r="F77" s="1939">
        <f t="shared" si="33"/>
        <v>0</v>
      </c>
      <c r="G77" s="1939">
        <f t="shared" si="34"/>
        <v>-0.25</v>
      </c>
      <c r="H77" s="1939">
        <f t="shared" si="35"/>
        <v>-0.25</v>
      </c>
      <c r="I77" s="1940">
        <f t="shared" si="36"/>
        <v>2901293.05</v>
      </c>
      <c r="J77" s="1941">
        <v>438684.73</v>
      </c>
      <c r="K77" s="1942">
        <v>438684.73</v>
      </c>
      <c r="L77" s="1942">
        <v>0</v>
      </c>
      <c r="M77" s="1942">
        <v>-0.17</v>
      </c>
      <c r="N77" s="1942">
        <v>0</v>
      </c>
      <c r="O77" s="1943">
        <f t="shared" si="37"/>
        <v>877369.28999999992</v>
      </c>
      <c r="P77" s="1941">
        <v>681505.58</v>
      </c>
      <c r="Q77" s="1942">
        <v>681505.58</v>
      </c>
      <c r="R77" s="1942">
        <v>0</v>
      </c>
      <c r="S77" s="1942">
        <v>-7.0000000000000007E-2</v>
      </c>
      <c r="T77" s="1942">
        <v>0</v>
      </c>
      <c r="U77" s="1943">
        <f t="shared" si="38"/>
        <v>1363011.0899999999</v>
      </c>
      <c r="V77" s="1941">
        <v>8545.27</v>
      </c>
      <c r="W77" s="1942">
        <v>8545.27</v>
      </c>
      <c r="X77" s="1942">
        <v>0</v>
      </c>
      <c r="Y77" s="1942">
        <v>0</v>
      </c>
      <c r="Z77" s="1942">
        <v>0</v>
      </c>
      <c r="AA77" s="1943">
        <f t="shared" si="39"/>
        <v>17090.54</v>
      </c>
      <c r="AB77" s="1941"/>
      <c r="AC77" s="1942"/>
      <c r="AD77" s="1942"/>
      <c r="AE77" s="1942"/>
      <c r="AF77" s="1942"/>
      <c r="AG77" s="1943">
        <f t="shared" si="40"/>
        <v>0</v>
      </c>
      <c r="AH77" s="1941"/>
      <c r="AI77" s="1942"/>
      <c r="AJ77" s="1942"/>
      <c r="AK77" s="1942"/>
      <c r="AL77" s="1942"/>
      <c r="AM77" s="1943">
        <f t="shared" si="41"/>
        <v>0</v>
      </c>
      <c r="AN77" s="1944">
        <v>74745.820000000007</v>
      </c>
      <c r="AO77" s="1945">
        <v>569076.31999999995</v>
      </c>
      <c r="AP77" s="1945">
        <v>0</v>
      </c>
      <c r="AQ77" s="1945">
        <v>-0.01</v>
      </c>
      <c r="AR77" s="1945">
        <v>0</v>
      </c>
      <c r="AS77" s="1946">
        <f t="shared" si="42"/>
        <v>643822.12999999989</v>
      </c>
      <c r="AT77" s="1947"/>
      <c r="AU77" s="1948"/>
      <c r="AV77" s="1948"/>
      <c r="AW77" s="1948"/>
      <c r="AX77" s="1948"/>
      <c r="AY77" s="1949">
        <f t="shared" si="43"/>
        <v>0</v>
      </c>
      <c r="AZ77" s="1947"/>
      <c r="BA77" s="1948"/>
      <c r="BB77" s="1948"/>
      <c r="BC77" s="1948"/>
      <c r="BD77" s="1948"/>
      <c r="BE77" s="1949">
        <f t="shared" si="44"/>
        <v>0</v>
      </c>
    </row>
    <row r="78" spans="1:57" s="234" customFormat="1" ht="12.75" customHeight="1" x14ac:dyDescent="0.25">
      <c r="A78" s="1393" t="s">
        <v>190</v>
      </c>
      <c r="B78" s="1936" t="s">
        <v>191</v>
      </c>
      <c r="C78" s="1937" t="s">
        <v>268</v>
      </c>
      <c r="D78" s="1938">
        <f t="shared" si="31"/>
        <v>1106546.8400000001</v>
      </c>
      <c r="E78" s="1939">
        <f t="shared" si="32"/>
        <v>1176439.32</v>
      </c>
      <c r="F78" s="1939">
        <f t="shared" si="33"/>
        <v>0</v>
      </c>
      <c r="G78" s="1939">
        <f t="shared" si="34"/>
        <v>2959.77</v>
      </c>
      <c r="H78" s="1939">
        <f t="shared" si="35"/>
        <v>2959.77</v>
      </c>
      <c r="I78" s="1940">
        <f t="shared" si="36"/>
        <v>2285945.9300000002</v>
      </c>
      <c r="J78" s="1941">
        <v>481311.5</v>
      </c>
      <c r="K78" s="1942">
        <v>481311.5</v>
      </c>
      <c r="L78" s="1942">
        <v>0</v>
      </c>
      <c r="M78" s="1942">
        <v>2959.79</v>
      </c>
      <c r="N78" s="1942">
        <v>0</v>
      </c>
      <c r="O78" s="1943">
        <f t="shared" si="37"/>
        <v>965582.79</v>
      </c>
      <c r="P78" s="1941">
        <v>624023.57999999996</v>
      </c>
      <c r="Q78" s="1942">
        <v>624023.57999999996</v>
      </c>
      <c r="R78" s="1942">
        <v>0</v>
      </c>
      <c r="S78" s="1942">
        <v>-0.02</v>
      </c>
      <c r="T78" s="1942">
        <v>0</v>
      </c>
      <c r="U78" s="1943">
        <f t="shared" si="38"/>
        <v>1248047.1399999999</v>
      </c>
      <c r="V78" s="1941"/>
      <c r="W78" s="1942"/>
      <c r="X78" s="1942"/>
      <c r="Y78" s="1942"/>
      <c r="Z78" s="1942"/>
      <c r="AA78" s="1943">
        <f t="shared" si="39"/>
        <v>0</v>
      </c>
      <c r="AB78" s="1941"/>
      <c r="AC78" s="1942"/>
      <c r="AD78" s="1942"/>
      <c r="AE78" s="1942"/>
      <c r="AF78" s="1942"/>
      <c r="AG78" s="1943">
        <f t="shared" si="40"/>
        <v>0</v>
      </c>
      <c r="AH78" s="1941"/>
      <c r="AI78" s="1942"/>
      <c r="AJ78" s="1942"/>
      <c r="AK78" s="1942"/>
      <c r="AL78" s="1942"/>
      <c r="AM78" s="1943">
        <f t="shared" si="41"/>
        <v>0</v>
      </c>
      <c r="AN78" s="1944">
        <v>1211.76</v>
      </c>
      <c r="AO78" s="1945">
        <v>71104.240000000005</v>
      </c>
      <c r="AP78" s="1945">
        <v>0</v>
      </c>
      <c r="AQ78" s="1945">
        <v>0</v>
      </c>
      <c r="AR78" s="1945">
        <v>0</v>
      </c>
      <c r="AS78" s="1946">
        <f t="shared" si="42"/>
        <v>72316</v>
      </c>
      <c r="AT78" s="1947"/>
      <c r="AU78" s="1948"/>
      <c r="AV78" s="1948"/>
      <c r="AW78" s="1948"/>
      <c r="AX78" s="1948"/>
      <c r="AY78" s="1949">
        <f t="shared" si="43"/>
        <v>0</v>
      </c>
      <c r="AZ78" s="1947"/>
      <c r="BA78" s="1948"/>
      <c r="BB78" s="1948"/>
      <c r="BC78" s="1948"/>
      <c r="BD78" s="1948"/>
      <c r="BE78" s="1949">
        <f t="shared" si="44"/>
        <v>0</v>
      </c>
    </row>
    <row r="79" spans="1:57" s="234" customFormat="1" ht="12.75" customHeight="1" x14ac:dyDescent="0.25">
      <c r="A79" s="1393" t="s">
        <v>194</v>
      </c>
      <c r="B79" s="1936" t="s">
        <v>195</v>
      </c>
      <c r="C79" s="1937" t="s">
        <v>267</v>
      </c>
      <c r="D79" s="1938">
        <f t="shared" si="31"/>
        <v>262191.54000000004</v>
      </c>
      <c r="E79" s="1939">
        <f t="shared" si="32"/>
        <v>272503.89</v>
      </c>
      <c r="F79" s="1939">
        <f t="shared" si="33"/>
        <v>0</v>
      </c>
      <c r="G79" s="1939">
        <f t="shared" si="34"/>
        <v>1846.33</v>
      </c>
      <c r="H79" s="1939">
        <f t="shared" si="35"/>
        <v>1846.33</v>
      </c>
      <c r="I79" s="1940">
        <f t="shared" si="36"/>
        <v>536541.76</v>
      </c>
      <c r="J79" s="1941">
        <v>159967.51</v>
      </c>
      <c r="K79" s="1942">
        <v>159967.51</v>
      </c>
      <c r="L79" s="1942">
        <v>0</v>
      </c>
      <c r="M79" s="1942">
        <v>1846.34</v>
      </c>
      <c r="N79" s="1942">
        <v>0</v>
      </c>
      <c r="O79" s="1943">
        <f t="shared" si="37"/>
        <v>321781.36000000004</v>
      </c>
      <c r="P79" s="1941">
        <v>97740.45</v>
      </c>
      <c r="Q79" s="1942">
        <v>97740.45</v>
      </c>
      <c r="R79" s="1942">
        <v>0</v>
      </c>
      <c r="S79" s="1942">
        <v>0</v>
      </c>
      <c r="T79" s="1942">
        <v>0</v>
      </c>
      <c r="U79" s="1943">
        <f t="shared" si="38"/>
        <v>195480.9</v>
      </c>
      <c r="V79" s="1941">
        <v>1033.78</v>
      </c>
      <c r="W79" s="1942">
        <v>1033.78</v>
      </c>
      <c r="X79" s="1942">
        <v>0</v>
      </c>
      <c r="Y79" s="1942">
        <v>-0.01</v>
      </c>
      <c r="Z79" s="1942">
        <v>0</v>
      </c>
      <c r="AA79" s="1943">
        <f t="shared" si="39"/>
        <v>2067.5499999999997</v>
      </c>
      <c r="AB79" s="1941"/>
      <c r="AC79" s="1942"/>
      <c r="AD79" s="1942"/>
      <c r="AE79" s="1942"/>
      <c r="AF79" s="1942"/>
      <c r="AG79" s="1943">
        <f t="shared" si="40"/>
        <v>0</v>
      </c>
      <c r="AH79" s="1941"/>
      <c r="AI79" s="1942"/>
      <c r="AJ79" s="1942"/>
      <c r="AK79" s="1942"/>
      <c r="AL79" s="1942"/>
      <c r="AM79" s="1943">
        <f t="shared" si="41"/>
        <v>0</v>
      </c>
      <c r="AN79" s="1944">
        <v>2654.85</v>
      </c>
      <c r="AO79" s="1945">
        <v>13762.15</v>
      </c>
      <c r="AP79" s="1945">
        <v>0</v>
      </c>
      <c r="AQ79" s="1945">
        <v>0</v>
      </c>
      <c r="AR79" s="1945">
        <v>0</v>
      </c>
      <c r="AS79" s="1946">
        <f t="shared" si="42"/>
        <v>16417</v>
      </c>
      <c r="AT79" s="1947"/>
      <c r="AU79" s="1948"/>
      <c r="AV79" s="1948"/>
      <c r="AW79" s="1948"/>
      <c r="AX79" s="1948"/>
      <c r="AY79" s="1949">
        <f t="shared" si="43"/>
        <v>0</v>
      </c>
      <c r="AZ79" s="1947">
        <v>794.95</v>
      </c>
      <c r="BA79" s="1948">
        <v>0</v>
      </c>
      <c r="BB79" s="1948">
        <v>0</v>
      </c>
      <c r="BC79" s="1948">
        <v>0</v>
      </c>
      <c r="BD79" s="1948">
        <v>0</v>
      </c>
      <c r="BE79" s="1949">
        <f t="shared" si="44"/>
        <v>794.95</v>
      </c>
    </row>
    <row r="80" spans="1:57" s="234" customFormat="1" ht="12.75" customHeight="1" x14ac:dyDescent="0.25">
      <c r="A80" s="1393" t="s">
        <v>198</v>
      </c>
      <c r="B80" s="1936" t="s">
        <v>199</v>
      </c>
      <c r="C80" s="1937" t="s">
        <v>266</v>
      </c>
      <c r="D80" s="1938">
        <f t="shared" si="31"/>
        <v>77817.899999999994</v>
      </c>
      <c r="E80" s="1939">
        <f t="shared" si="32"/>
        <v>100419.84</v>
      </c>
      <c r="F80" s="1939">
        <f t="shared" si="33"/>
        <v>0</v>
      </c>
      <c r="G80" s="1939">
        <f t="shared" si="34"/>
        <v>-0.08</v>
      </c>
      <c r="H80" s="1939">
        <f t="shared" si="35"/>
        <v>-0.08</v>
      </c>
      <c r="I80" s="1940">
        <f t="shared" si="36"/>
        <v>178237.66</v>
      </c>
      <c r="J80" s="1941">
        <v>50387.82</v>
      </c>
      <c r="K80" s="1942">
        <v>50387.82</v>
      </c>
      <c r="L80" s="1942">
        <v>0</v>
      </c>
      <c r="M80" s="1942">
        <v>-7.0000000000000007E-2</v>
      </c>
      <c r="N80" s="1942">
        <v>0</v>
      </c>
      <c r="O80" s="1943">
        <f t="shared" si="37"/>
        <v>100775.56999999999</v>
      </c>
      <c r="P80" s="1941">
        <v>16850.349999999999</v>
      </c>
      <c r="Q80" s="1942">
        <v>16850.349999999999</v>
      </c>
      <c r="R80" s="1942">
        <v>0</v>
      </c>
      <c r="S80" s="1942">
        <v>0</v>
      </c>
      <c r="T80" s="1942">
        <v>0</v>
      </c>
      <c r="U80" s="1943">
        <f t="shared" si="38"/>
        <v>33700.699999999997</v>
      </c>
      <c r="V80" s="1941">
        <v>3056.67</v>
      </c>
      <c r="W80" s="1942">
        <v>3056.67</v>
      </c>
      <c r="X80" s="1942">
        <v>0</v>
      </c>
      <c r="Y80" s="1942">
        <v>-0.01</v>
      </c>
      <c r="Z80" s="1942">
        <v>0</v>
      </c>
      <c r="AA80" s="1943">
        <f t="shared" si="39"/>
        <v>6113.33</v>
      </c>
      <c r="AB80" s="1941"/>
      <c r="AC80" s="1942"/>
      <c r="AD80" s="1942"/>
      <c r="AE80" s="1942"/>
      <c r="AF80" s="1942"/>
      <c r="AG80" s="1943">
        <f t="shared" si="40"/>
        <v>0</v>
      </c>
      <c r="AH80" s="1941"/>
      <c r="AI80" s="1942"/>
      <c r="AJ80" s="1942"/>
      <c r="AK80" s="1942"/>
      <c r="AL80" s="1942"/>
      <c r="AM80" s="1943">
        <f t="shared" si="41"/>
        <v>0</v>
      </c>
      <c r="AN80" s="1944">
        <v>0</v>
      </c>
      <c r="AO80" s="1945">
        <v>30125</v>
      </c>
      <c r="AP80" s="1945">
        <v>0</v>
      </c>
      <c r="AQ80" s="1945">
        <v>0</v>
      </c>
      <c r="AR80" s="1945">
        <v>0</v>
      </c>
      <c r="AS80" s="1946">
        <f t="shared" si="42"/>
        <v>30125</v>
      </c>
      <c r="AT80" s="1947"/>
      <c r="AU80" s="1948"/>
      <c r="AV80" s="1948"/>
      <c r="AW80" s="1948"/>
      <c r="AX80" s="1948"/>
      <c r="AY80" s="1949">
        <f t="shared" si="43"/>
        <v>0</v>
      </c>
      <c r="AZ80" s="1947">
        <v>7523.06</v>
      </c>
      <c r="BA80" s="1948">
        <v>0</v>
      </c>
      <c r="BB80" s="1948">
        <v>0</v>
      </c>
      <c r="BC80" s="1948">
        <v>0</v>
      </c>
      <c r="BD80" s="1948">
        <v>0</v>
      </c>
      <c r="BE80" s="1949">
        <f t="shared" si="44"/>
        <v>7523.06</v>
      </c>
    </row>
    <row r="81" spans="1:57" s="234" customFormat="1" ht="12.75" customHeight="1" x14ac:dyDescent="0.25">
      <c r="A81" s="1393" t="s">
        <v>202</v>
      </c>
      <c r="B81" s="1936" t="s">
        <v>203</v>
      </c>
      <c r="C81" s="1937" t="s">
        <v>265</v>
      </c>
      <c r="D81" s="1938">
        <f t="shared" si="31"/>
        <v>1432289.5000000002</v>
      </c>
      <c r="E81" s="1939">
        <f t="shared" si="32"/>
        <v>2224582.4500000002</v>
      </c>
      <c r="F81" s="1939">
        <f t="shared" si="33"/>
        <v>0</v>
      </c>
      <c r="G81" s="1939">
        <f t="shared" si="34"/>
        <v>32717.600000000002</v>
      </c>
      <c r="H81" s="1939">
        <f t="shared" si="35"/>
        <v>32717.600000000002</v>
      </c>
      <c r="I81" s="1940">
        <f t="shared" si="36"/>
        <v>3689589.5500000003</v>
      </c>
      <c r="J81" s="1941">
        <v>566594.81000000006</v>
      </c>
      <c r="K81" s="1942">
        <v>566594.81000000006</v>
      </c>
      <c r="L81" s="1942">
        <v>0</v>
      </c>
      <c r="M81" s="1942">
        <v>675.49</v>
      </c>
      <c r="N81" s="1942">
        <v>0</v>
      </c>
      <c r="O81" s="1943">
        <f t="shared" si="37"/>
        <v>1133865.1100000001</v>
      </c>
      <c r="P81" s="1941">
        <v>765696.66</v>
      </c>
      <c r="Q81" s="1942">
        <v>765696.66</v>
      </c>
      <c r="R81" s="1942">
        <v>0</v>
      </c>
      <c r="S81" s="1942">
        <v>32042.11</v>
      </c>
      <c r="T81" s="1942">
        <v>0</v>
      </c>
      <c r="U81" s="1943">
        <f t="shared" si="38"/>
        <v>1563435.4300000002</v>
      </c>
      <c r="V81" s="1941"/>
      <c r="W81" s="1942"/>
      <c r="X81" s="1942"/>
      <c r="Y81" s="1942"/>
      <c r="Z81" s="1942"/>
      <c r="AA81" s="1943">
        <f t="shared" si="39"/>
        <v>0</v>
      </c>
      <c r="AB81" s="1941"/>
      <c r="AC81" s="1942"/>
      <c r="AD81" s="1942"/>
      <c r="AE81" s="1942"/>
      <c r="AF81" s="1942"/>
      <c r="AG81" s="1943">
        <f t="shared" si="40"/>
        <v>0</v>
      </c>
      <c r="AH81" s="1941"/>
      <c r="AI81" s="1942"/>
      <c r="AJ81" s="1942"/>
      <c r="AK81" s="1942"/>
      <c r="AL81" s="1942"/>
      <c r="AM81" s="1943">
        <f t="shared" si="41"/>
        <v>0</v>
      </c>
      <c r="AN81" s="1944">
        <v>98919.69</v>
      </c>
      <c r="AO81" s="1945">
        <v>892290.98</v>
      </c>
      <c r="AP81" s="1945">
        <v>0</v>
      </c>
      <c r="AQ81" s="1945">
        <v>0</v>
      </c>
      <c r="AR81" s="1945">
        <v>0</v>
      </c>
      <c r="AS81" s="1946">
        <f t="shared" si="42"/>
        <v>991210.66999999993</v>
      </c>
      <c r="AT81" s="1947"/>
      <c r="AU81" s="1948"/>
      <c r="AV81" s="1948"/>
      <c r="AW81" s="1948"/>
      <c r="AX81" s="1948"/>
      <c r="AY81" s="1949">
        <f t="shared" si="43"/>
        <v>0</v>
      </c>
      <c r="AZ81" s="1947">
        <v>1078.3399999999999</v>
      </c>
      <c r="BA81" s="1948">
        <v>0</v>
      </c>
      <c r="BB81" s="1948">
        <v>0</v>
      </c>
      <c r="BC81" s="1948">
        <v>0</v>
      </c>
      <c r="BD81" s="1948">
        <v>0</v>
      </c>
      <c r="BE81" s="1949">
        <f t="shared" si="44"/>
        <v>1078.3399999999999</v>
      </c>
    </row>
    <row r="82" spans="1:57" s="234" customFormat="1" ht="12.75" customHeight="1" x14ac:dyDescent="0.25">
      <c r="A82" s="1393" t="s">
        <v>204</v>
      </c>
      <c r="B82" s="1936" t="s">
        <v>205</v>
      </c>
      <c r="C82" s="1937" t="s">
        <v>265</v>
      </c>
      <c r="D82" s="1938">
        <f t="shared" si="31"/>
        <v>274380.03999999998</v>
      </c>
      <c r="E82" s="1939">
        <f t="shared" si="32"/>
        <v>287584.03999999998</v>
      </c>
      <c r="F82" s="1939">
        <f t="shared" si="33"/>
        <v>0</v>
      </c>
      <c r="G82" s="1939">
        <f t="shared" si="34"/>
        <v>-6.0000000000000005E-2</v>
      </c>
      <c r="H82" s="1939">
        <f t="shared" si="35"/>
        <v>-6.0000000000000005E-2</v>
      </c>
      <c r="I82" s="1940">
        <f t="shared" si="36"/>
        <v>561964.0199999999</v>
      </c>
      <c r="J82" s="1941">
        <v>195875.12</v>
      </c>
      <c r="K82" s="1942">
        <v>195875.12</v>
      </c>
      <c r="L82" s="1942">
        <v>0</v>
      </c>
      <c r="M82" s="1942">
        <v>-0.05</v>
      </c>
      <c r="N82" s="1942">
        <v>0</v>
      </c>
      <c r="O82" s="1943">
        <f t="shared" si="37"/>
        <v>391750.19</v>
      </c>
      <c r="P82" s="1941">
        <v>78504.92</v>
      </c>
      <c r="Q82" s="1942">
        <v>78504.92</v>
      </c>
      <c r="R82" s="1942">
        <v>0</v>
      </c>
      <c r="S82" s="1942">
        <v>-0.01</v>
      </c>
      <c r="T82" s="1942">
        <v>0</v>
      </c>
      <c r="U82" s="1943">
        <f t="shared" si="38"/>
        <v>157009.82999999999</v>
      </c>
      <c r="V82" s="1941"/>
      <c r="W82" s="1942"/>
      <c r="X82" s="1942"/>
      <c r="Y82" s="1942"/>
      <c r="Z82" s="1942"/>
      <c r="AA82" s="1943">
        <f t="shared" si="39"/>
        <v>0</v>
      </c>
      <c r="AB82" s="1941"/>
      <c r="AC82" s="1942"/>
      <c r="AD82" s="1942"/>
      <c r="AE82" s="1942"/>
      <c r="AF82" s="1942"/>
      <c r="AG82" s="1943">
        <f t="shared" si="40"/>
        <v>0</v>
      </c>
      <c r="AH82" s="1941"/>
      <c r="AI82" s="1942"/>
      <c r="AJ82" s="1942"/>
      <c r="AK82" s="1942"/>
      <c r="AL82" s="1942"/>
      <c r="AM82" s="1943">
        <f t="shared" si="41"/>
        <v>0</v>
      </c>
      <c r="AN82" s="1944">
        <v>0</v>
      </c>
      <c r="AO82" s="1945">
        <v>13204</v>
      </c>
      <c r="AP82" s="1945">
        <v>0</v>
      </c>
      <c r="AQ82" s="1945">
        <v>0</v>
      </c>
      <c r="AR82" s="1945">
        <v>0</v>
      </c>
      <c r="AS82" s="1946">
        <f t="shared" si="42"/>
        <v>13204</v>
      </c>
      <c r="AT82" s="1947"/>
      <c r="AU82" s="1948"/>
      <c r="AV82" s="1948"/>
      <c r="AW82" s="1948"/>
      <c r="AX82" s="1948"/>
      <c r="AY82" s="1949">
        <f t="shared" si="43"/>
        <v>0</v>
      </c>
      <c r="AZ82" s="1947"/>
      <c r="BA82" s="1948"/>
      <c r="BB82" s="1948"/>
      <c r="BC82" s="1948"/>
      <c r="BD82" s="1948"/>
      <c r="BE82" s="1949">
        <f t="shared" si="44"/>
        <v>0</v>
      </c>
    </row>
    <row r="83" spans="1:57" s="234" customFormat="1" ht="12.75" customHeight="1" x14ac:dyDescent="0.25">
      <c r="A83" s="1393" t="s">
        <v>206</v>
      </c>
      <c r="B83" s="1936" t="s">
        <v>207</v>
      </c>
      <c r="C83" s="1937" t="s">
        <v>267</v>
      </c>
      <c r="D83" s="1938">
        <f t="shared" si="31"/>
        <v>2455403.6400000006</v>
      </c>
      <c r="E83" s="1939">
        <f t="shared" si="32"/>
        <v>3556888.7500000005</v>
      </c>
      <c r="F83" s="1939">
        <f t="shared" si="33"/>
        <v>0</v>
      </c>
      <c r="G83" s="1939">
        <f t="shared" si="34"/>
        <v>-0.18</v>
      </c>
      <c r="H83" s="1939">
        <f t="shared" si="35"/>
        <v>-0.18</v>
      </c>
      <c r="I83" s="1940">
        <f t="shared" si="36"/>
        <v>6012292.2100000009</v>
      </c>
      <c r="J83" s="1941">
        <v>1028652.3700000001</v>
      </c>
      <c r="K83" s="1942">
        <v>1028652.3700000001</v>
      </c>
      <c r="L83" s="1942">
        <v>0</v>
      </c>
      <c r="M83" s="1942">
        <v>-0.15</v>
      </c>
      <c r="N83" s="1942">
        <v>0</v>
      </c>
      <c r="O83" s="1943">
        <f t="shared" si="37"/>
        <v>2057304.5900000003</v>
      </c>
      <c r="P83" s="1941">
        <v>1323826.6600000001</v>
      </c>
      <c r="Q83" s="1942">
        <v>1323826.6600000001</v>
      </c>
      <c r="R83" s="1942">
        <v>0</v>
      </c>
      <c r="S83" s="1942">
        <v>-0.01</v>
      </c>
      <c r="T83" s="1942">
        <v>0</v>
      </c>
      <c r="U83" s="1943">
        <f t="shared" si="38"/>
        <v>2647653.3100000005</v>
      </c>
      <c r="V83" s="1941">
        <v>6631.45</v>
      </c>
      <c r="W83" s="1942">
        <v>6631.45</v>
      </c>
      <c r="X83" s="1942">
        <v>0</v>
      </c>
      <c r="Y83" s="1942">
        <v>-0.02</v>
      </c>
      <c r="Z83" s="1942">
        <v>0</v>
      </c>
      <c r="AA83" s="1943">
        <f t="shared" si="39"/>
        <v>13262.88</v>
      </c>
      <c r="AB83" s="1941"/>
      <c r="AC83" s="1942"/>
      <c r="AD83" s="1942"/>
      <c r="AE83" s="1942"/>
      <c r="AF83" s="1942"/>
      <c r="AG83" s="1943">
        <f t="shared" si="40"/>
        <v>0</v>
      </c>
      <c r="AH83" s="1941"/>
      <c r="AI83" s="1942"/>
      <c r="AJ83" s="1942"/>
      <c r="AK83" s="1942"/>
      <c r="AL83" s="1942"/>
      <c r="AM83" s="1943">
        <f t="shared" si="41"/>
        <v>0</v>
      </c>
      <c r="AN83" s="1944">
        <v>96293.16</v>
      </c>
      <c r="AO83" s="1945">
        <v>1197778.27</v>
      </c>
      <c r="AP83" s="1945">
        <v>0</v>
      </c>
      <c r="AQ83" s="1945">
        <v>0</v>
      </c>
      <c r="AR83" s="1945">
        <v>0</v>
      </c>
      <c r="AS83" s="1946">
        <f t="shared" si="42"/>
        <v>1294071.43</v>
      </c>
      <c r="AT83" s="1947"/>
      <c r="AU83" s="1948"/>
      <c r="AV83" s="1948"/>
      <c r="AW83" s="1948"/>
      <c r="AX83" s="1948"/>
      <c r="AY83" s="1949">
        <f t="shared" si="43"/>
        <v>0</v>
      </c>
      <c r="AZ83" s="1947"/>
      <c r="BA83" s="1948"/>
      <c r="BB83" s="1948"/>
      <c r="BC83" s="1948"/>
      <c r="BD83" s="1948"/>
      <c r="BE83" s="1949">
        <f t="shared" si="44"/>
        <v>0</v>
      </c>
    </row>
    <row r="84" spans="1:57" s="234" customFormat="1" ht="12.75" customHeight="1" x14ac:dyDescent="0.25">
      <c r="A84" s="1393" t="s">
        <v>208</v>
      </c>
      <c r="B84" s="1936" t="s">
        <v>209</v>
      </c>
      <c r="C84" s="1937" t="s">
        <v>268</v>
      </c>
      <c r="D84" s="1938">
        <f t="shared" si="31"/>
        <v>1070427.03</v>
      </c>
      <c r="E84" s="1939">
        <f t="shared" si="32"/>
        <v>1421579.3699999999</v>
      </c>
      <c r="F84" s="1939">
        <f t="shared" si="33"/>
        <v>0</v>
      </c>
      <c r="G84" s="1939">
        <f t="shared" si="34"/>
        <v>15595.67</v>
      </c>
      <c r="H84" s="1939">
        <f t="shared" si="35"/>
        <v>15595.67</v>
      </c>
      <c r="I84" s="1940">
        <f t="shared" si="36"/>
        <v>2507602.0699999998</v>
      </c>
      <c r="J84" s="1941">
        <v>579832.35</v>
      </c>
      <c r="K84" s="1942">
        <v>579832.35</v>
      </c>
      <c r="L84" s="1942">
        <v>0</v>
      </c>
      <c r="M84" s="1942">
        <v>15595.68</v>
      </c>
      <c r="N84" s="1942">
        <v>0</v>
      </c>
      <c r="O84" s="1943">
        <f t="shared" si="37"/>
        <v>1175260.3799999999</v>
      </c>
      <c r="P84" s="1941">
        <v>483644.63</v>
      </c>
      <c r="Q84" s="1942">
        <v>483644.63</v>
      </c>
      <c r="R84" s="1942">
        <v>0</v>
      </c>
      <c r="S84" s="1942">
        <v>-0.01</v>
      </c>
      <c r="T84" s="1942">
        <v>0</v>
      </c>
      <c r="U84" s="1943">
        <f t="shared" si="38"/>
        <v>967289.25</v>
      </c>
      <c r="V84" s="1941">
        <v>553.22</v>
      </c>
      <c r="W84" s="1942">
        <v>553.22</v>
      </c>
      <c r="X84" s="1942">
        <v>0</v>
      </c>
      <c r="Y84" s="1942">
        <v>0</v>
      </c>
      <c r="Z84" s="1942">
        <v>0</v>
      </c>
      <c r="AA84" s="1943">
        <f t="shared" si="39"/>
        <v>1106.44</v>
      </c>
      <c r="AB84" s="1941"/>
      <c r="AC84" s="1942"/>
      <c r="AD84" s="1942"/>
      <c r="AE84" s="1942"/>
      <c r="AF84" s="1942"/>
      <c r="AG84" s="1943">
        <f t="shared" si="40"/>
        <v>0</v>
      </c>
      <c r="AH84" s="1941"/>
      <c r="AI84" s="1942"/>
      <c r="AJ84" s="1942"/>
      <c r="AK84" s="1942"/>
      <c r="AL84" s="1942"/>
      <c r="AM84" s="1943">
        <f t="shared" si="41"/>
        <v>0</v>
      </c>
      <c r="AN84" s="1944">
        <v>6396.83</v>
      </c>
      <c r="AO84" s="1945">
        <v>357549.17</v>
      </c>
      <c r="AP84" s="1945">
        <v>0</v>
      </c>
      <c r="AQ84" s="1945">
        <v>0</v>
      </c>
      <c r="AR84" s="1945">
        <v>0</v>
      </c>
      <c r="AS84" s="1946">
        <f t="shared" si="42"/>
        <v>363946</v>
      </c>
      <c r="AT84" s="1947"/>
      <c r="AU84" s="1948"/>
      <c r="AV84" s="1948"/>
      <c r="AW84" s="1948"/>
      <c r="AX84" s="1948"/>
      <c r="AY84" s="1949">
        <f t="shared" si="43"/>
        <v>0</v>
      </c>
      <c r="AZ84" s="1947"/>
      <c r="BA84" s="1948"/>
      <c r="BB84" s="1948"/>
      <c r="BC84" s="1948"/>
      <c r="BD84" s="1948"/>
      <c r="BE84" s="1949">
        <f t="shared" si="44"/>
        <v>0</v>
      </c>
    </row>
    <row r="85" spans="1:57" s="234" customFormat="1" ht="12.75" customHeight="1" x14ac:dyDescent="0.25">
      <c r="A85" s="1393" t="s">
        <v>210</v>
      </c>
      <c r="B85" s="1936" t="s">
        <v>211</v>
      </c>
      <c r="C85" s="1937" t="s">
        <v>268</v>
      </c>
      <c r="D85" s="1938">
        <f t="shared" si="31"/>
        <v>425204.69</v>
      </c>
      <c r="E85" s="1939">
        <f t="shared" si="32"/>
        <v>457381.86</v>
      </c>
      <c r="F85" s="1939">
        <f t="shared" si="33"/>
        <v>0</v>
      </c>
      <c r="G85" s="1939">
        <f t="shared" si="34"/>
        <v>-0.16</v>
      </c>
      <c r="H85" s="1939">
        <f t="shared" si="35"/>
        <v>-0.16</v>
      </c>
      <c r="I85" s="1940">
        <f t="shared" si="36"/>
        <v>882586.39</v>
      </c>
      <c r="J85" s="1941">
        <v>192538.36</v>
      </c>
      <c r="K85" s="1942">
        <v>192538.36</v>
      </c>
      <c r="L85" s="1942">
        <v>0</v>
      </c>
      <c r="M85" s="1942">
        <v>-0.16</v>
      </c>
      <c r="N85" s="1942">
        <v>0</v>
      </c>
      <c r="O85" s="1943">
        <f t="shared" si="37"/>
        <v>385076.56</v>
      </c>
      <c r="P85" s="1941">
        <v>226918.5</v>
      </c>
      <c r="Q85" s="1942">
        <v>226918.5</v>
      </c>
      <c r="R85" s="1942">
        <v>0</v>
      </c>
      <c r="S85" s="1942">
        <v>0</v>
      </c>
      <c r="T85" s="1942">
        <v>0</v>
      </c>
      <c r="U85" s="1943">
        <f t="shared" si="38"/>
        <v>453837</v>
      </c>
      <c r="V85" s="1941">
        <v>1925</v>
      </c>
      <c r="W85" s="1942">
        <v>1925</v>
      </c>
      <c r="X85" s="1942">
        <v>0</v>
      </c>
      <c r="Y85" s="1942">
        <v>0</v>
      </c>
      <c r="Z85" s="1942">
        <v>0</v>
      </c>
      <c r="AA85" s="1943">
        <f t="shared" si="39"/>
        <v>3850</v>
      </c>
      <c r="AB85" s="1941"/>
      <c r="AC85" s="1942"/>
      <c r="AD85" s="1942"/>
      <c r="AE85" s="1942"/>
      <c r="AF85" s="1942"/>
      <c r="AG85" s="1943">
        <f t="shared" si="40"/>
        <v>0</v>
      </c>
      <c r="AH85" s="1941"/>
      <c r="AI85" s="1942"/>
      <c r="AJ85" s="1942"/>
      <c r="AK85" s="1942"/>
      <c r="AL85" s="1942"/>
      <c r="AM85" s="1943">
        <f t="shared" si="41"/>
        <v>0</v>
      </c>
      <c r="AN85" s="1944">
        <v>1980</v>
      </c>
      <c r="AO85" s="1945">
        <v>36000</v>
      </c>
      <c r="AP85" s="1945">
        <v>0</v>
      </c>
      <c r="AQ85" s="1945">
        <v>0</v>
      </c>
      <c r="AR85" s="1945">
        <v>0</v>
      </c>
      <c r="AS85" s="1946">
        <f t="shared" si="42"/>
        <v>37980</v>
      </c>
      <c r="AT85" s="1947"/>
      <c r="AU85" s="1948"/>
      <c r="AV85" s="1948"/>
      <c r="AW85" s="1948"/>
      <c r="AX85" s="1948"/>
      <c r="AY85" s="1949">
        <f t="shared" si="43"/>
        <v>0</v>
      </c>
      <c r="AZ85" s="1947">
        <v>1842.83</v>
      </c>
      <c r="BA85" s="1948">
        <v>0</v>
      </c>
      <c r="BB85" s="1948">
        <v>0</v>
      </c>
      <c r="BC85" s="1948">
        <v>0</v>
      </c>
      <c r="BD85" s="1948">
        <v>0</v>
      </c>
      <c r="BE85" s="1949">
        <f t="shared" si="44"/>
        <v>1842.83</v>
      </c>
    </row>
    <row r="86" spans="1:57" s="234" customFormat="1" ht="12.75" customHeight="1" x14ac:dyDescent="0.25">
      <c r="A86" s="1393" t="s">
        <v>212</v>
      </c>
      <c r="B86" s="1936" t="s">
        <v>213</v>
      </c>
      <c r="C86" s="1937" t="s">
        <v>267</v>
      </c>
      <c r="D86" s="1938">
        <f t="shared" si="31"/>
        <v>275190.90999999997</v>
      </c>
      <c r="E86" s="1939">
        <f t="shared" si="32"/>
        <v>521191.52999999997</v>
      </c>
      <c r="F86" s="1939">
        <f t="shared" si="33"/>
        <v>0</v>
      </c>
      <c r="G86" s="1939">
        <f t="shared" si="34"/>
        <v>-0.02</v>
      </c>
      <c r="H86" s="1939">
        <f t="shared" si="35"/>
        <v>-0.02</v>
      </c>
      <c r="I86" s="1940">
        <f t="shared" si="36"/>
        <v>796382.41999999993</v>
      </c>
      <c r="J86" s="1941">
        <v>112204.42</v>
      </c>
      <c r="K86" s="1942">
        <v>112204.42</v>
      </c>
      <c r="L86" s="1942">
        <v>0</v>
      </c>
      <c r="M86" s="1942">
        <v>-0.02</v>
      </c>
      <c r="N86" s="1942">
        <v>0</v>
      </c>
      <c r="O86" s="1943">
        <f t="shared" si="37"/>
        <v>224408.82</v>
      </c>
      <c r="P86" s="1941">
        <v>139617</v>
      </c>
      <c r="Q86" s="1942">
        <v>139617</v>
      </c>
      <c r="R86" s="1942">
        <v>0</v>
      </c>
      <c r="S86" s="1942">
        <v>0</v>
      </c>
      <c r="T86" s="1942">
        <v>0</v>
      </c>
      <c r="U86" s="1943">
        <f t="shared" si="38"/>
        <v>279234</v>
      </c>
      <c r="V86" s="1941"/>
      <c r="W86" s="1942"/>
      <c r="X86" s="1942"/>
      <c r="Y86" s="1942"/>
      <c r="Z86" s="1942"/>
      <c r="AA86" s="1943">
        <f t="shared" si="39"/>
        <v>0</v>
      </c>
      <c r="AB86" s="1941"/>
      <c r="AC86" s="1942"/>
      <c r="AD86" s="1942"/>
      <c r="AE86" s="1942"/>
      <c r="AF86" s="1942"/>
      <c r="AG86" s="1943">
        <f t="shared" si="40"/>
        <v>0</v>
      </c>
      <c r="AH86" s="1941"/>
      <c r="AI86" s="1942"/>
      <c r="AJ86" s="1942"/>
      <c r="AK86" s="1942"/>
      <c r="AL86" s="1942"/>
      <c r="AM86" s="1943">
        <f t="shared" si="41"/>
        <v>0</v>
      </c>
      <c r="AN86" s="1944">
        <v>23369.49</v>
      </c>
      <c r="AO86" s="1945">
        <v>269370.11</v>
      </c>
      <c r="AP86" s="1945">
        <v>0</v>
      </c>
      <c r="AQ86" s="1945">
        <v>0</v>
      </c>
      <c r="AR86" s="1945">
        <v>0</v>
      </c>
      <c r="AS86" s="1946">
        <f t="shared" si="42"/>
        <v>292739.59999999998</v>
      </c>
      <c r="AT86" s="1947"/>
      <c r="AU86" s="1948"/>
      <c r="AV86" s="1948"/>
      <c r="AW86" s="1948"/>
      <c r="AX86" s="1948"/>
      <c r="AY86" s="1949">
        <f t="shared" si="43"/>
        <v>0</v>
      </c>
      <c r="AZ86" s="1947"/>
      <c r="BA86" s="1948"/>
      <c r="BB86" s="1948"/>
      <c r="BC86" s="1948"/>
      <c r="BD86" s="1948"/>
      <c r="BE86" s="1949">
        <f t="shared" si="44"/>
        <v>0</v>
      </c>
    </row>
    <row r="87" spans="1:57" s="234" customFormat="1" ht="12.75" customHeight="1" x14ac:dyDescent="0.25">
      <c r="A87" s="1393" t="s">
        <v>214</v>
      </c>
      <c r="B87" s="1936" t="s">
        <v>215</v>
      </c>
      <c r="C87" s="1937" t="s">
        <v>268</v>
      </c>
      <c r="D87" s="1938">
        <f t="shared" si="31"/>
        <v>295249.11</v>
      </c>
      <c r="E87" s="1939">
        <f t="shared" si="32"/>
        <v>323233.68</v>
      </c>
      <c r="F87" s="1939">
        <f t="shared" si="33"/>
        <v>0</v>
      </c>
      <c r="G87" s="1939">
        <f t="shared" si="34"/>
        <v>-0.09</v>
      </c>
      <c r="H87" s="1939">
        <f t="shared" si="35"/>
        <v>-0.09</v>
      </c>
      <c r="I87" s="1940">
        <f t="shared" si="36"/>
        <v>618482.70000000007</v>
      </c>
      <c r="J87" s="1941">
        <v>116722.94</v>
      </c>
      <c r="K87" s="1942">
        <v>116722.94</v>
      </c>
      <c r="L87" s="1942">
        <v>0</v>
      </c>
      <c r="M87" s="1942">
        <v>-0.08</v>
      </c>
      <c r="N87" s="1942">
        <v>0</v>
      </c>
      <c r="O87" s="1943">
        <f t="shared" si="37"/>
        <v>233445.80000000002</v>
      </c>
      <c r="P87" s="1941">
        <v>159420.81</v>
      </c>
      <c r="Q87" s="1942">
        <v>159420.81</v>
      </c>
      <c r="R87" s="1942">
        <v>0</v>
      </c>
      <c r="S87" s="1942">
        <v>-0.01</v>
      </c>
      <c r="T87" s="1942">
        <v>0</v>
      </c>
      <c r="U87" s="1943">
        <f t="shared" si="38"/>
        <v>318841.61</v>
      </c>
      <c r="V87" s="1941">
        <v>3500</v>
      </c>
      <c r="W87" s="1942">
        <v>3500</v>
      </c>
      <c r="X87" s="1942">
        <v>0</v>
      </c>
      <c r="Y87" s="1942">
        <v>0</v>
      </c>
      <c r="Z87" s="1942">
        <v>0</v>
      </c>
      <c r="AA87" s="1943">
        <f t="shared" si="39"/>
        <v>7000</v>
      </c>
      <c r="AB87" s="1941"/>
      <c r="AC87" s="1942"/>
      <c r="AD87" s="1942"/>
      <c r="AE87" s="1942"/>
      <c r="AF87" s="1942"/>
      <c r="AG87" s="1943">
        <f t="shared" si="40"/>
        <v>0</v>
      </c>
      <c r="AH87" s="1941"/>
      <c r="AI87" s="1942"/>
      <c r="AJ87" s="1942"/>
      <c r="AK87" s="1942"/>
      <c r="AL87" s="1942"/>
      <c r="AM87" s="1943">
        <f t="shared" si="41"/>
        <v>0</v>
      </c>
      <c r="AN87" s="1944">
        <v>14955.36</v>
      </c>
      <c r="AO87" s="1945">
        <v>43589.93</v>
      </c>
      <c r="AP87" s="1945">
        <v>0</v>
      </c>
      <c r="AQ87" s="1945">
        <v>0</v>
      </c>
      <c r="AR87" s="1945">
        <v>0</v>
      </c>
      <c r="AS87" s="1946">
        <f t="shared" si="42"/>
        <v>58545.29</v>
      </c>
      <c r="AT87" s="1947"/>
      <c r="AU87" s="1948"/>
      <c r="AV87" s="1948"/>
      <c r="AW87" s="1948"/>
      <c r="AX87" s="1948"/>
      <c r="AY87" s="1949">
        <f t="shared" si="43"/>
        <v>0</v>
      </c>
      <c r="AZ87" s="1947">
        <v>650</v>
      </c>
      <c r="BA87" s="1948">
        <v>0</v>
      </c>
      <c r="BB87" s="1948">
        <v>0</v>
      </c>
      <c r="BC87" s="1948">
        <v>0</v>
      </c>
      <c r="BD87" s="1948">
        <v>0</v>
      </c>
      <c r="BE87" s="1949">
        <f t="shared" si="44"/>
        <v>650</v>
      </c>
    </row>
    <row r="88" spans="1:57" s="234" customFormat="1" ht="12.75" customHeight="1" x14ac:dyDescent="0.25">
      <c r="A88" s="1393" t="s">
        <v>216</v>
      </c>
      <c r="B88" s="1936" t="s">
        <v>217</v>
      </c>
      <c r="C88" s="1937" t="s">
        <v>264</v>
      </c>
      <c r="D88" s="1938">
        <f t="shared" si="31"/>
        <v>110807.23</v>
      </c>
      <c r="E88" s="1939">
        <f t="shared" si="32"/>
        <v>110807.23</v>
      </c>
      <c r="F88" s="1939">
        <f t="shared" si="33"/>
        <v>0</v>
      </c>
      <c r="G88" s="1939">
        <f t="shared" si="34"/>
        <v>13.48</v>
      </c>
      <c r="H88" s="1939">
        <f t="shared" si="35"/>
        <v>13.48</v>
      </c>
      <c r="I88" s="1940">
        <f t="shared" si="36"/>
        <v>221627.94</v>
      </c>
      <c r="J88" s="1941">
        <v>16490.509999999998</v>
      </c>
      <c r="K88" s="1942">
        <v>16490.509999999998</v>
      </c>
      <c r="L88" s="1942">
        <v>0</v>
      </c>
      <c r="M88" s="1942">
        <v>13.48</v>
      </c>
      <c r="N88" s="1942">
        <v>0</v>
      </c>
      <c r="O88" s="1943">
        <f t="shared" si="37"/>
        <v>32994.5</v>
      </c>
      <c r="P88" s="1941">
        <v>88691.49</v>
      </c>
      <c r="Q88" s="1942">
        <v>88691.49</v>
      </c>
      <c r="R88" s="1942">
        <v>0</v>
      </c>
      <c r="S88" s="1942">
        <v>0</v>
      </c>
      <c r="T88" s="1942">
        <v>0</v>
      </c>
      <c r="U88" s="1943">
        <f t="shared" si="38"/>
        <v>177382.98</v>
      </c>
      <c r="V88" s="1944">
        <v>5625.23</v>
      </c>
      <c r="W88" s="1945">
        <v>5625.23</v>
      </c>
      <c r="X88" s="1945">
        <v>0</v>
      </c>
      <c r="Y88" s="1945">
        <v>0</v>
      </c>
      <c r="Z88" s="1945">
        <v>0</v>
      </c>
      <c r="AA88" s="1943">
        <f t="shared" si="39"/>
        <v>11250.46</v>
      </c>
      <c r="AB88" s="1944"/>
      <c r="AC88" s="1945"/>
      <c r="AD88" s="1945"/>
      <c r="AE88" s="1945"/>
      <c r="AF88" s="1945"/>
      <c r="AG88" s="1943">
        <f t="shared" si="40"/>
        <v>0</v>
      </c>
      <c r="AH88" s="1944"/>
      <c r="AI88" s="1945"/>
      <c r="AJ88" s="1945"/>
      <c r="AK88" s="1945"/>
      <c r="AL88" s="1945"/>
      <c r="AM88" s="1943">
        <f t="shared" si="41"/>
        <v>0</v>
      </c>
      <c r="AN88" s="1944"/>
      <c r="AO88" s="1945"/>
      <c r="AP88" s="1945"/>
      <c r="AQ88" s="1945"/>
      <c r="AR88" s="1945"/>
      <c r="AS88" s="1946">
        <f t="shared" si="42"/>
        <v>0</v>
      </c>
      <c r="AT88" s="1947"/>
      <c r="AU88" s="1948"/>
      <c r="AV88" s="1948"/>
      <c r="AW88" s="1948"/>
      <c r="AX88" s="1948"/>
      <c r="AY88" s="1949">
        <f t="shared" si="43"/>
        <v>0</v>
      </c>
      <c r="AZ88" s="1947"/>
      <c r="BA88" s="1948"/>
      <c r="BB88" s="1948"/>
      <c r="BC88" s="1948"/>
      <c r="BD88" s="1948"/>
      <c r="BE88" s="1949">
        <f t="shared" si="44"/>
        <v>0</v>
      </c>
    </row>
    <row r="89" spans="1:57" s="234" customFormat="1" ht="12.75" customHeight="1" x14ac:dyDescent="0.25">
      <c r="A89" s="1393" t="s">
        <v>218</v>
      </c>
      <c r="B89" s="1936" t="s">
        <v>219</v>
      </c>
      <c r="C89" s="1937" t="s">
        <v>267</v>
      </c>
      <c r="D89" s="1938">
        <f t="shared" si="31"/>
        <v>1034813.2699999999</v>
      </c>
      <c r="E89" s="1939">
        <f t="shared" si="32"/>
        <v>1593769.69</v>
      </c>
      <c r="F89" s="1939">
        <f t="shared" si="33"/>
        <v>0</v>
      </c>
      <c r="G89" s="1939">
        <f t="shared" si="34"/>
        <v>-0.36</v>
      </c>
      <c r="H89" s="1939">
        <f t="shared" si="35"/>
        <v>-0.36</v>
      </c>
      <c r="I89" s="1940">
        <f t="shared" si="36"/>
        <v>2628582.6</v>
      </c>
      <c r="J89" s="1941">
        <v>493009.91</v>
      </c>
      <c r="K89" s="1942">
        <v>493009.91</v>
      </c>
      <c r="L89" s="1942">
        <v>0</v>
      </c>
      <c r="M89" s="1942">
        <v>-0.31</v>
      </c>
      <c r="N89" s="1942">
        <v>0</v>
      </c>
      <c r="O89" s="1943">
        <f t="shared" si="37"/>
        <v>986019.50999999989</v>
      </c>
      <c r="P89" s="1941">
        <v>535387.22</v>
      </c>
      <c r="Q89" s="1942">
        <v>535387.22</v>
      </c>
      <c r="R89" s="1942">
        <v>0</v>
      </c>
      <c r="S89" s="1942">
        <v>-0.03</v>
      </c>
      <c r="T89" s="1942">
        <v>0</v>
      </c>
      <c r="U89" s="1943">
        <f t="shared" si="38"/>
        <v>1070774.4099999999</v>
      </c>
      <c r="V89" s="1941">
        <v>4166.1400000000003</v>
      </c>
      <c r="W89" s="1942">
        <v>4166.1400000000003</v>
      </c>
      <c r="X89" s="1942">
        <v>0</v>
      </c>
      <c r="Y89" s="1942">
        <v>-0.02</v>
      </c>
      <c r="Z89" s="1942">
        <v>0</v>
      </c>
      <c r="AA89" s="1943">
        <f t="shared" si="39"/>
        <v>8332.26</v>
      </c>
      <c r="AB89" s="1941"/>
      <c r="AC89" s="1942"/>
      <c r="AD89" s="1942"/>
      <c r="AE89" s="1942"/>
      <c r="AF89" s="1942"/>
      <c r="AG89" s="1943">
        <f t="shared" si="40"/>
        <v>0</v>
      </c>
      <c r="AH89" s="1941">
        <v>2250</v>
      </c>
      <c r="AI89" s="1942">
        <v>2250</v>
      </c>
      <c r="AJ89" s="1942">
        <v>0</v>
      </c>
      <c r="AK89" s="1942">
        <v>0</v>
      </c>
      <c r="AL89" s="1942">
        <v>0</v>
      </c>
      <c r="AM89" s="1943">
        <f t="shared" si="41"/>
        <v>4500</v>
      </c>
      <c r="AN89" s="1944">
        <v>0</v>
      </c>
      <c r="AO89" s="1945">
        <v>558956.42000000004</v>
      </c>
      <c r="AP89" s="1945">
        <v>0</v>
      </c>
      <c r="AQ89" s="1945">
        <v>0</v>
      </c>
      <c r="AR89" s="1945">
        <v>0</v>
      </c>
      <c r="AS89" s="1946">
        <f t="shared" si="42"/>
        <v>558956.42000000004</v>
      </c>
      <c r="AT89" s="1947"/>
      <c r="AU89" s="1948"/>
      <c r="AV89" s="1948"/>
      <c r="AW89" s="1948"/>
      <c r="AX89" s="1948"/>
      <c r="AY89" s="1949">
        <f t="shared" si="43"/>
        <v>0</v>
      </c>
      <c r="AZ89" s="1947"/>
      <c r="BA89" s="1948"/>
      <c r="BB89" s="1948"/>
      <c r="BC89" s="1948"/>
      <c r="BD89" s="1948"/>
      <c r="BE89" s="1949">
        <f t="shared" si="44"/>
        <v>0</v>
      </c>
    </row>
    <row r="90" spans="1:57" s="234" customFormat="1" ht="12.75" customHeight="1" x14ac:dyDescent="0.25">
      <c r="A90" s="1393" t="s">
        <v>220</v>
      </c>
      <c r="B90" s="1936" t="s">
        <v>221</v>
      </c>
      <c r="C90" s="1937" t="s">
        <v>267</v>
      </c>
      <c r="D90" s="1938">
        <f t="shared" si="31"/>
        <v>566657.11</v>
      </c>
      <c r="E90" s="1939">
        <f t="shared" si="32"/>
        <v>879440.45</v>
      </c>
      <c r="F90" s="1939">
        <f t="shared" si="33"/>
        <v>0</v>
      </c>
      <c r="G90" s="1939">
        <f t="shared" si="34"/>
        <v>-7.0000000000000007E-2</v>
      </c>
      <c r="H90" s="1939">
        <f t="shared" si="35"/>
        <v>-7.0000000000000007E-2</v>
      </c>
      <c r="I90" s="1940">
        <f t="shared" si="36"/>
        <v>1446097.49</v>
      </c>
      <c r="J90" s="1941">
        <v>86747.71</v>
      </c>
      <c r="K90" s="1942">
        <v>86747.71</v>
      </c>
      <c r="L90" s="1942">
        <v>0</v>
      </c>
      <c r="M90" s="1942">
        <v>-7.0000000000000007E-2</v>
      </c>
      <c r="N90" s="1942">
        <v>0</v>
      </c>
      <c r="O90" s="1943">
        <f t="shared" si="37"/>
        <v>173495.35</v>
      </c>
      <c r="P90" s="1941">
        <v>431730</v>
      </c>
      <c r="Q90" s="1942">
        <v>431730</v>
      </c>
      <c r="R90" s="1942">
        <v>0</v>
      </c>
      <c r="S90" s="1942">
        <v>0</v>
      </c>
      <c r="T90" s="1942">
        <v>0</v>
      </c>
      <c r="U90" s="1943">
        <f t="shared" si="38"/>
        <v>863460</v>
      </c>
      <c r="V90" s="1941"/>
      <c r="W90" s="1942"/>
      <c r="X90" s="1942"/>
      <c r="Y90" s="1942"/>
      <c r="Z90" s="1942"/>
      <c r="AA90" s="1943">
        <f t="shared" si="39"/>
        <v>0</v>
      </c>
      <c r="AB90" s="1941"/>
      <c r="AC90" s="1942"/>
      <c r="AD90" s="1942"/>
      <c r="AE90" s="1942"/>
      <c r="AF90" s="1942"/>
      <c r="AG90" s="1943">
        <f t="shared" si="40"/>
        <v>0</v>
      </c>
      <c r="AH90" s="1941"/>
      <c r="AI90" s="1942"/>
      <c r="AJ90" s="1942"/>
      <c r="AK90" s="1942"/>
      <c r="AL90" s="1942"/>
      <c r="AM90" s="1943">
        <f t="shared" si="41"/>
        <v>0</v>
      </c>
      <c r="AN90" s="1944">
        <v>48179.4</v>
      </c>
      <c r="AO90" s="1945">
        <v>360962.74</v>
      </c>
      <c r="AP90" s="1945">
        <v>0</v>
      </c>
      <c r="AQ90" s="1945">
        <v>0</v>
      </c>
      <c r="AR90" s="1945">
        <v>0</v>
      </c>
      <c r="AS90" s="1946">
        <f t="shared" si="42"/>
        <v>409142.14</v>
      </c>
      <c r="AT90" s="1947"/>
      <c r="AU90" s="1948"/>
      <c r="AV90" s="1948"/>
      <c r="AW90" s="1948"/>
      <c r="AX90" s="1948"/>
      <c r="AY90" s="1949">
        <f t="shared" si="43"/>
        <v>0</v>
      </c>
      <c r="AZ90" s="1947"/>
      <c r="BA90" s="1948"/>
      <c r="BB90" s="1948"/>
      <c r="BC90" s="1948"/>
      <c r="BD90" s="1948"/>
      <c r="BE90" s="1949">
        <f t="shared" si="44"/>
        <v>0</v>
      </c>
    </row>
    <row r="91" spans="1:57" s="234" customFormat="1" ht="12.75" customHeight="1" x14ac:dyDescent="0.25">
      <c r="A91" s="1393" t="s">
        <v>224</v>
      </c>
      <c r="B91" s="1936" t="s">
        <v>225</v>
      </c>
      <c r="C91" s="1937" t="s">
        <v>264</v>
      </c>
      <c r="D91" s="1938">
        <f t="shared" si="31"/>
        <v>4193</v>
      </c>
      <c r="E91" s="1939">
        <f t="shared" si="32"/>
        <v>4193</v>
      </c>
      <c r="F91" s="1939">
        <f t="shared" si="33"/>
        <v>0</v>
      </c>
      <c r="G91" s="1939">
        <f t="shared" si="34"/>
        <v>0</v>
      </c>
      <c r="H91" s="1939">
        <f t="shared" si="35"/>
        <v>0</v>
      </c>
      <c r="I91" s="1940">
        <f t="shared" si="36"/>
        <v>8386</v>
      </c>
      <c r="J91" s="1941"/>
      <c r="K91" s="1942"/>
      <c r="L91" s="1942"/>
      <c r="M91" s="1942"/>
      <c r="N91" s="1942"/>
      <c r="O91" s="1943">
        <f t="shared" si="37"/>
        <v>0</v>
      </c>
      <c r="P91" s="1941">
        <v>4193</v>
      </c>
      <c r="Q91" s="1942">
        <v>4193</v>
      </c>
      <c r="R91" s="1942">
        <v>0</v>
      </c>
      <c r="S91" s="1942">
        <v>0</v>
      </c>
      <c r="T91" s="1942">
        <v>0</v>
      </c>
      <c r="U91" s="1943">
        <f t="shared" si="38"/>
        <v>8386</v>
      </c>
      <c r="V91" s="1944"/>
      <c r="W91" s="1945"/>
      <c r="X91" s="1945"/>
      <c r="Y91" s="1945"/>
      <c r="Z91" s="1945"/>
      <c r="AA91" s="1943">
        <f t="shared" si="39"/>
        <v>0</v>
      </c>
      <c r="AB91" s="1944"/>
      <c r="AC91" s="1945"/>
      <c r="AD91" s="1945"/>
      <c r="AE91" s="1945"/>
      <c r="AF91" s="1945"/>
      <c r="AG91" s="1943">
        <f t="shared" si="40"/>
        <v>0</v>
      </c>
      <c r="AH91" s="1944"/>
      <c r="AI91" s="1945"/>
      <c r="AJ91" s="1945"/>
      <c r="AK91" s="1945"/>
      <c r="AL91" s="1945"/>
      <c r="AM91" s="1943">
        <f t="shared" si="41"/>
        <v>0</v>
      </c>
      <c r="AN91" s="1944"/>
      <c r="AO91" s="1945"/>
      <c r="AP91" s="1945"/>
      <c r="AQ91" s="1945"/>
      <c r="AR91" s="1945"/>
      <c r="AS91" s="1946">
        <f t="shared" si="42"/>
        <v>0</v>
      </c>
      <c r="AT91" s="1947"/>
      <c r="AU91" s="1948"/>
      <c r="AV91" s="1948"/>
      <c r="AW91" s="1948"/>
      <c r="AX91" s="1948"/>
      <c r="AY91" s="1949">
        <f t="shared" si="43"/>
        <v>0</v>
      </c>
      <c r="AZ91" s="1947"/>
      <c r="BA91" s="1948"/>
      <c r="BB91" s="1948"/>
      <c r="BC91" s="1948"/>
      <c r="BD91" s="1948"/>
      <c r="BE91" s="1949">
        <f t="shared" si="44"/>
        <v>0</v>
      </c>
    </row>
    <row r="92" spans="1:57" s="234" customFormat="1" ht="12.75" customHeight="1" x14ac:dyDescent="0.25">
      <c r="A92" s="1393" t="s">
        <v>226</v>
      </c>
      <c r="B92" s="1936" t="s">
        <v>227</v>
      </c>
      <c r="C92" s="1937" t="s">
        <v>264</v>
      </c>
      <c r="D92" s="1938">
        <f t="shared" si="31"/>
        <v>43918.49</v>
      </c>
      <c r="E92" s="1939">
        <f t="shared" si="32"/>
        <v>75403.290000000008</v>
      </c>
      <c r="F92" s="1939">
        <f t="shared" si="33"/>
        <v>0</v>
      </c>
      <c r="G92" s="1939">
        <f t="shared" si="34"/>
        <v>0</v>
      </c>
      <c r="H92" s="1939">
        <f t="shared" si="35"/>
        <v>0</v>
      </c>
      <c r="I92" s="1940">
        <f t="shared" si="36"/>
        <v>119321.78</v>
      </c>
      <c r="J92" s="1941">
        <v>5670.63</v>
      </c>
      <c r="K92" s="1942">
        <v>5670.63</v>
      </c>
      <c r="L92" s="1942">
        <v>0</v>
      </c>
      <c r="M92" s="1942">
        <v>0</v>
      </c>
      <c r="N92" s="1942">
        <v>0</v>
      </c>
      <c r="O92" s="1943">
        <f t="shared" si="37"/>
        <v>11341.26</v>
      </c>
      <c r="P92" s="1941">
        <v>36124</v>
      </c>
      <c r="Q92" s="1942">
        <v>36124</v>
      </c>
      <c r="R92" s="1942">
        <v>0</v>
      </c>
      <c r="S92" s="1942">
        <v>0</v>
      </c>
      <c r="T92" s="1942">
        <v>0</v>
      </c>
      <c r="U92" s="1943">
        <f t="shared" si="38"/>
        <v>72248</v>
      </c>
      <c r="V92" s="1941">
        <v>632.26</v>
      </c>
      <c r="W92" s="1942">
        <v>632.26</v>
      </c>
      <c r="X92" s="1942">
        <v>0</v>
      </c>
      <c r="Y92" s="1942">
        <v>0</v>
      </c>
      <c r="Z92" s="1942">
        <v>0</v>
      </c>
      <c r="AA92" s="1943">
        <f t="shared" si="39"/>
        <v>1264.52</v>
      </c>
      <c r="AB92" s="1941"/>
      <c r="AC92" s="1942"/>
      <c r="AD92" s="1942"/>
      <c r="AE92" s="1942"/>
      <c r="AF92" s="1942"/>
      <c r="AG92" s="1943">
        <f t="shared" si="40"/>
        <v>0</v>
      </c>
      <c r="AH92" s="1941"/>
      <c r="AI92" s="1942"/>
      <c r="AJ92" s="1942"/>
      <c r="AK92" s="1942"/>
      <c r="AL92" s="1942"/>
      <c r="AM92" s="1943">
        <f t="shared" si="41"/>
        <v>0</v>
      </c>
      <c r="AN92" s="1944">
        <v>1491.6</v>
      </c>
      <c r="AO92" s="1945">
        <v>32976.400000000001</v>
      </c>
      <c r="AP92" s="1945">
        <v>0</v>
      </c>
      <c r="AQ92" s="1945">
        <v>0</v>
      </c>
      <c r="AR92" s="1945">
        <v>0</v>
      </c>
      <c r="AS92" s="1946">
        <f t="shared" si="42"/>
        <v>34468</v>
      </c>
      <c r="AT92" s="1947"/>
      <c r="AU92" s="1948"/>
      <c r="AV92" s="1948"/>
      <c r="AW92" s="1948"/>
      <c r="AX92" s="1948"/>
      <c r="AY92" s="1949">
        <f t="shared" si="43"/>
        <v>0</v>
      </c>
      <c r="AZ92" s="1947"/>
      <c r="BA92" s="1948"/>
      <c r="BB92" s="1948"/>
      <c r="BC92" s="1948"/>
      <c r="BD92" s="1948"/>
      <c r="BE92" s="1949">
        <f t="shared" si="44"/>
        <v>0</v>
      </c>
    </row>
    <row r="93" spans="1:57" s="234" customFormat="1" ht="12.75" customHeight="1" x14ac:dyDescent="0.25">
      <c r="A93" s="1393" t="s">
        <v>228</v>
      </c>
      <c r="B93" s="1936" t="s">
        <v>229</v>
      </c>
      <c r="C93" s="1937" t="s">
        <v>268</v>
      </c>
      <c r="D93" s="1938">
        <f t="shared" si="31"/>
        <v>794892.28999999992</v>
      </c>
      <c r="E93" s="1939">
        <f t="shared" si="32"/>
        <v>1232464.02</v>
      </c>
      <c r="F93" s="1939">
        <f t="shared" si="33"/>
        <v>0</v>
      </c>
      <c r="G93" s="1939">
        <f t="shared" si="34"/>
        <v>-0.35</v>
      </c>
      <c r="H93" s="1939">
        <f t="shared" si="35"/>
        <v>-0.35</v>
      </c>
      <c r="I93" s="1940">
        <f t="shared" si="36"/>
        <v>2027355.96</v>
      </c>
      <c r="J93" s="1941">
        <v>130563.58</v>
      </c>
      <c r="K93" s="1942">
        <v>130563.58</v>
      </c>
      <c r="L93" s="1942">
        <v>0</v>
      </c>
      <c r="M93" s="1942">
        <v>-0.22</v>
      </c>
      <c r="N93" s="1942">
        <v>0</v>
      </c>
      <c r="O93" s="1943">
        <f t="shared" si="37"/>
        <v>261126.94</v>
      </c>
      <c r="P93" s="1941">
        <v>643893.82999999996</v>
      </c>
      <c r="Q93" s="1942">
        <v>643893.82999999996</v>
      </c>
      <c r="R93" s="1942">
        <v>0</v>
      </c>
      <c r="S93" s="1942">
        <v>-0.03</v>
      </c>
      <c r="T93" s="1942">
        <v>0</v>
      </c>
      <c r="U93" s="1943">
        <f t="shared" si="38"/>
        <v>1287787.6299999999</v>
      </c>
      <c r="V93" s="1941">
        <v>3437.17</v>
      </c>
      <c r="W93" s="1942">
        <v>3437.17</v>
      </c>
      <c r="X93" s="1942">
        <v>0</v>
      </c>
      <c r="Y93" s="1942">
        <v>-0.01</v>
      </c>
      <c r="Z93" s="1942">
        <v>0</v>
      </c>
      <c r="AA93" s="1943">
        <f t="shared" si="39"/>
        <v>6874.33</v>
      </c>
      <c r="AB93" s="1941"/>
      <c r="AC93" s="1942"/>
      <c r="AD93" s="1942"/>
      <c r="AE93" s="1942"/>
      <c r="AF93" s="1942"/>
      <c r="AG93" s="1943">
        <f t="shared" si="40"/>
        <v>0</v>
      </c>
      <c r="AH93" s="1941"/>
      <c r="AI93" s="1942"/>
      <c r="AJ93" s="1942"/>
      <c r="AK93" s="1942"/>
      <c r="AL93" s="1942"/>
      <c r="AM93" s="1943">
        <f t="shared" si="41"/>
        <v>0</v>
      </c>
      <c r="AN93" s="1944">
        <v>16997.71</v>
      </c>
      <c r="AO93" s="1945">
        <v>454569.44</v>
      </c>
      <c r="AP93" s="1945">
        <v>0</v>
      </c>
      <c r="AQ93" s="1945">
        <v>-0.09</v>
      </c>
      <c r="AR93" s="1945">
        <v>0</v>
      </c>
      <c r="AS93" s="1946">
        <f t="shared" si="42"/>
        <v>471567.06</v>
      </c>
      <c r="AT93" s="1947"/>
      <c r="AU93" s="1948"/>
      <c r="AV93" s="1948"/>
      <c r="AW93" s="1948"/>
      <c r="AX93" s="1948"/>
      <c r="AY93" s="1949">
        <f t="shared" si="43"/>
        <v>0</v>
      </c>
      <c r="AZ93" s="1947"/>
      <c r="BA93" s="1948"/>
      <c r="BB93" s="1948"/>
      <c r="BC93" s="1948"/>
      <c r="BD93" s="1948"/>
      <c r="BE93" s="1949">
        <f t="shared" si="44"/>
        <v>0</v>
      </c>
    </row>
    <row r="94" spans="1:57" s="234" customFormat="1" ht="12.75" customHeight="1" x14ac:dyDescent="0.25">
      <c r="A94" s="1393" t="s">
        <v>232</v>
      </c>
      <c r="B94" s="1936" t="s">
        <v>233</v>
      </c>
      <c r="C94" s="1937" t="s">
        <v>267</v>
      </c>
      <c r="D94" s="1938">
        <f t="shared" si="31"/>
        <v>324819.72000000003</v>
      </c>
      <c r="E94" s="1939">
        <f t="shared" si="32"/>
        <v>504282.21</v>
      </c>
      <c r="F94" s="1939">
        <f t="shared" si="33"/>
        <v>0</v>
      </c>
      <c r="G94" s="1939">
        <f t="shared" si="34"/>
        <v>-0.17</v>
      </c>
      <c r="H94" s="1939">
        <f t="shared" si="35"/>
        <v>-0.17</v>
      </c>
      <c r="I94" s="1940">
        <f t="shared" si="36"/>
        <v>829101.76</v>
      </c>
      <c r="J94" s="1941">
        <v>106489.58</v>
      </c>
      <c r="K94" s="1942">
        <v>106489.58</v>
      </c>
      <c r="L94" s="1942">
        <v>0</v>
      </c>
      <c r="M94" s="1942">
        <v>-0.16</v>
      </c>
      <c r="N94" s="1942">
        <v>0</v>
      </c>
      <c r="O94" s="1943">
        <f t="shared" si="37"/>
        <v>212979</v>
      </c>
      <c r="P94" s="1941">
        <v>203953</v>
      </c>
      <c r="Q94" s="1942">
        <v>203953</v>
      </c>
      <c r="R94" s="1942">
        <v>0</v>
      </c>
      <c r="S94" s="1942">
        <v>0</v>
      </c>
      <c r="T94" s="1942">
        <v>0</v>
      </c>
      <c r="U94" s="1943">
        <f t="shared" si="38"/>
        <v>407906</v>
      </c>
      <c r="V94" s="1941">
        <v>9265.69</v>
      </c>
      <c r="W94" s="1942">
        <v>9265.69</v>
      </c>
      <c r="X94" s="1942">
        <v>0</v>
      </c>
      <c r="Y94" s="1942">
        <v>-0.01</v>
      </c>
      <c r="Z94" s="1942">
        <v>0</v>
      </c>
      <c r="AA94" s="1943">
        <f t="shared" si="39"/>
        <v>18531.370000000003</v>
      </c>
      <c r="AB94" s="1941"/>
      <c r="AC94" s="1942"/>
      <c r="AD94" s="1942"/>
      <c r="AE94" s="1942"/>
      <c r="AF94" s="1942"/>
      <c r="AG94" s="1943">
        <f t="shared" si="40"/>
        <v>0</v>
      </c>
      <c r="AH94" s="1941"/>
      <c r="AI94" s="1942"/>
      <c r="AJ94" s="1942"/>
      <c r="AK94" s="1942"/>
      <c r="AL94" s="1942"/>
      <c r="AM94" s="1943">
        <f t="shared" si="41"/>
        <v>0</v>
      </c>
      <c r="AN94" s="1944">
        <v>5111.45</v>
      </c>
      <c r="AO94" s="1945">
        <v>184573.94</v>
      </c>
      <c r="AP94" s="1945">
        <v>0</v>
      </c>
      <c r="AQ94" s="1945">
        <v>0</v>
      </c>
      <c r="AR94" s="1945">
        <v>0</v>
      </c>
      <c r="AS94" s="1946">
        <f t="shared" si="42"/>
        <v>189685.39</v>
      </c>
      <c r="AT94" s="1947"/>
      <c r="AU94" s="1948"/>
      <c r="AV94" s="1948"/>
      <c r="AW94" s="1948"/>
      <c r="AX94" s="1948"/>
      <c r="AY94" s="1949">
        <f t="shared" si="43"/>
        <v>0</v>
      </c>
      <c r="AZ94" s="1947"/>
      <c r="BA94" s="1948"/>
      <c r="BB94" s="1948"/>
      <c r="BC94" s="1948"/>
      <c r="BD94" s="1948"/>
      <c r="BE94" s="1949">
        <f t="shared" si="44"/>
        <v>0</v>
      </c>
    </row>
    <row r="95" spans="1:57" s="234" customFormat="1" ht="12.75" customHeight="1" x14ac:dyDescent="0.25">
      <c r="A95" s="1393" t="s">
        <v>234</v>
      </c>
      <c r="B95" s="1936" t="s">
        <v>235</v>
      </c>
      <c r="C95" s="1937" t="s">
        <v>268</v>
      </c>
      <c r="D95" s="1938">
        <f t="shared" si="31"/>
        <v>694818.91</v>
      </c>
      <c r="E95" s="1939">
        <f t="shared" si="32"/>
        <v>872026.07000000007</v>
      </c>
      <c r="F95" s="1939">
        <f t="shared" si="33"/>
        <v>0</v>
      </c>
      <c r="G95" s="1939">
        <f t="shared" si="34"/>
        <v>1292.99</v>
      </c>
      <c r="H95" s="1939">
        <f t="shared" si="35"/>
        <v>1292.99</v>
      </c>
      <c r="I95" s="1940">
        <f t="shared" si="36"/>
        <v>1568137.97</v>
      </c>
      <c r="J95" s="1941">
        <v>250342.14</v>
      </c>
      <c r="K95" s="1942">
        <v>250342.14</v>
      </c>
      <c r="L95" s="1942">
        <v>0</v>
      </c>
      <c r="M95" s="1942">
        <v>-0.12</v>
      </c>
      <c r="N95" s="1942">
        <v>0</v>
      </c>
      <c r="O95" s="1943">
        <f t="shared" si="37"/>
        <v>500684.16000000003</v>
      </c>
      <c r="P95" s="1941">
        <v>431266.11</v>
      </c>
      <c r="Q95" s="1942">
        <v>431266.11</v>
      </c>
      <c r="R95" s="1942">
        <v>0</v>
      </c>
      <c r="S95" s="1942">
        <v>1293.1099999999999</v>
      </c>
      <c r="T95" s="1942">
        <v>0</v>
      </c>
      <c r="U95" s="1943">
        <f t="shared" si="38"/>
        <v>863825.33</v>
      </c>
      <c r="V95" s="1941">
        <v>10608.79</v>
      </c>
      <c r="W95" s="1942">
        <v>10608.79</v>
      </c>
      <c r="X95" s="1942">
        <v>0</v>
      </c>
      <c r="Y95" s="1942">
        <v>0</v>
      </c>
      <c r="Z95" s="1942">
        <v>0</v>
      </c>
      <c r="AA95" s="1943">
        <f t="shared" si="39"/>
        <v>21217.58</v>
      </c>
      <c r="AB95" s="1941"/>
      <c r="AC95" s="1942"/>
      <c r="AD95" s="1942"/>
      <c r="AE95" s="1942"/>
      <c r="AF95" s="1942"/>
      <c r="AG95" s="1943">
        <f t="shared" si="40"/>
        <v>0</v>
      </c>
      <c r="AH95" s="1941"/>
      <c r="AI95" s="1942"/>
      <c r="AJ95" s="1942"/>
      <c r="AK95" s="1942"/>
      <c r="AL95" s="1942"/>
      <c r="AM95" s="1943">
        <f t="shared" si="41"/>
        <v>0</v>
      </c>
      <c r="AN95" s="1944">
        <v>1411.62</v>
      </c>
      <c r="AO95" s="1945">
        <v>179809.03</v>
      </c>
      <c r="AP95" s="1945">
        <v>0</v>
      </c>
      <c r="AQ95" s="1945">
        <v>0</v>
      </c>
      <c r="AR95" s="1945">
        <v>0</v>
      </c>
      <c r="AS95" s="1946">
        <f t="shared" si="42"/>
        <v>181220.65</v>
      </c>
      <c r="AT95" s="1947"/>
      <c r="AU95" s="1948"/>
      <c r="AV95" s="1948"/>
      <c r="AW95" s="1948"/>
      <c r="AX95" s="1948"/>
      <c r="AY95" s="1949">
        <f t="shared" si="43"/>
        <v>0</v>
      </c>
      <c r="AZ95" s="1947">
        <v>1190.25</v>
      </c>
      <c r="BA95" s="1948">
        <v>0</v>
      </c>
      <c r="BB95" s="1948">
        <v>0</v>
      </c>
      <c r="BC95" s="1948">
        <v>0</v>
      </c>
      <c r="BD95" s="1948">
        <v>0</v>
      </c>
      <c r="BE95" s="1949">
        <f t="shared" si="44"/>
        <v>1190.25</v>
      </c>
    </row>
    <row r="96" spans="1:57" s="234" customFormat="1" ht="12.75" customHeight="1" x14ac:dyDescent="0.25">
      <c r="A96" s="1393" t="s">
        <v>236</v>
      </c>
      <c r="B96" s="1936" t="s">
        <v>237</v>
      </c>
      <c r="C96" s="1937" t="s">
        <v>266</v>
      </c>
      <c r="D96" s="1938">
        <f t="shared" si="31"/>
        <v>102354.67</v>
      </c>
      <c r="E96" s="1939">
        <f t="shared" si="32"/>
        <v>120298.67</v>
      </c>
      <c r="F96" s="1939">
        <f t="shared" si="33"/>
        <v>0</v>
      </c>
      <c r="G96" s="1939">
        <f t="shared" si="34"/>
        <v>-0.04</v>
      </c>
      <c r="H96" s="1939">
        <f t="shared" si="35"/>
        <v>-0.04</v>
      </c>
      <c r="I96" s="1940">
        <f t="shared" si="36"/>
        <v>222653.3</v>
      </c>
      <c r="J96" s="1941">
        <v>75325.67</v>
      </c>
      <c r="K96" s="1942">
        <v>75325.67</v>
      </c>
      <c r="L96" s="1942">
        <v>0</v>
      </c>
      <c r="M96" s="1942">
        <v>-0.04</v>
      </c>
      <c r="N96" s="1942">
        <v>0</v>
      </c>
      <c r="O96" s="1943">
        <f t="shared" si="37"/>
        <v>150651.29999999999</v>
      </c>
      <c r="P96" s="1941">
        <v>16191</v>
      </c>
      <c r="Q96" s="1942">
        <v>16191</v>
      </c>
      <c r="R96" s="1942">
        <v>0</v>
      </c>
      <c r="S96" s="1942">
        <v>0</v>
      </c>
      <c r="T96" s="1942">
        <v>0</v>
      </c>
      <c r="U96" s="1943">
        <f t="shared" si="38"/>
        <v>32382</v>
      </c>
      <c r="V96" s="1941">
        <v>5838</v>
      </c>
      <c r="W96" s="1942">
        <v>5838</v>
      </c>
      <c r="X96" s="1942">
        <v>0</v>
      </c>
      <c r="Y96" s="1942">
        <v>0</v>
      </c>
      <c r="Z96" s="1942">
        <v>0</v>
      </c>
      <c r="AA96" s="1943">
        <f t="shared" si="39"/>
        <v>11676</v>
      </c>
      <c r="AB96" s="1941"/>
      <c r="AC96" s="1942"/>
      <c r="AD96" s="1942"/>
      <c r="AE96" s="1942"/>
      <c r="AF96" s="1942"/>
      <c r="AG96" s="1943">
        <f t="shared" si="40"/>
        <v>0</v>
      </c>
      <c r="AH96" s="1941"/>
      <c r="AI96" s="1942"/>
      <c r="AJ96" s="1942"/>
      <c r="AK96" s="1942"/>
      <c r="AL96" s="1942"/>
      <c r="AM96" s="1943">
        <f t="shared" si="41"/>
        <v>0</v>
      </c>
      <c r="AN96" s="1944">
        <v>0</v>
      </c>
      <c r="AO96" s="1945">
        <v>22944</v>
      </c>
      <c r="AP96" s="1945">
        <v>0</v>
      </c>
      <c r="AQ96" s="1945">
        <v>0</v>
      </c>
      <c r="AR96" s="1945">
        <v>0</v>
      </c>
      <c r="AS96" s="1946">
        <f t="shared" si="42"/>
        <v>22944</v>
      </c>
      <c r="AT96" s="1947"/>
      <c r="AU96" s="1948"/>
      <c r="AV96" s="1948"/>
      <c r="AW96" s="1948"/>
      <c r="AX96" s="1948"/>
      <c r="AY96" s="1949">
        <f t="shared" si="43"/>
        <v>0</v>
      </c>
      <c r="AZ96" s="1947">
        <v>5000</v>
      </c>
      <c r="BA96" s="1948">
        <v>0</v>
      </c>
      <c r="BB96" s="1948">
        <v>0</v>
      </c>
      <c r="BC96" s="1948">
        <v>0</v>
      </c>
      <c r="BD96" s="1948">
        <v>0</v>
      </c>
      <c r="BE96" s="1949">
        <f t="shared" si="44"/>
        <v>5000</v>
      </c>
    </row>
    <row r="97" spans="1:57" s="234" customFormat="1" ht="12.75" customHeight="1" x14ac:dyDescent="0.25">
      <c r="A97" s="1393" t="s">
        <v>242</v>
      </c>
      <c r="B97" s="1936" t="s">
        <v>243</v>
      </c>
      <c r="C97" s="1937" t="s">
        <v>268</v>
      </c>
      <c r="D97" s="1938">
        <f t="shared" si="31"/>
        <v>1199779.21</v>
      </c>
      <c r="E97" s="1939">
        <f t="shared" si="32"/>
        <v>1495763.4700000002</v>
      </c>
      <c r="F97" s="1939">
        <f t="shared" si="33"/>
        <v>0</v>
      </c>
      <c r="G97" s="1939">
        <f t="shared" si="34"/>
        <v>-0.18</v>
      </c>
      <c r="H97" s="1939">
        <f t="shared" si="35"/>
        <v>-0.18</v>
      </c>
      <c r="I97" s="1940">
        <f t="shared" si="36"/>
        <v>2695542.5</v>
      </c>
      <c r="J97" s="1941">
        <v>455446.55</v>
      </c>
      <c r="K97" s="1942">
        <v>455446.55</v>
      </c>
      <c r="L97" s="1942">
        <v>0</v>
      </c>
      <c r="M97" s="1942">
        <v>-0.14000000000000001</v>
      </c>
      <c r="N97" s="1942">
        <v>0</v>
      </c>
      <c r="O97" s="1943">
        <f t="shared" si="37"/>
        <v>910892.96</v>
      </c>
      <c r="P97" s="1941">
        <v>725638.03</v>
      </c>
      <c r="Q97" s="1942">
        <v>725638.03</v>
      </c>
      <c r="R97" s="1942">
        <v>0</v>
      </c>
      <c r="S97" s="1942">
        <v>-0.02</v>
      </c>
      <c r="T97" s="1942">
        <v>0</v>
      </c>
      <c r="U97" s="1943">
        <f t="shared" si="38"/>
        <v>1451276.04</v>
      </c>
      <c r="V97" s="1941">
        <v>14116.75</v>
      </c>
      <c r="W97" s="1942">
        <v>14116.75</v>
      </c>
      <c r="X97" s="1942">
        <v>0</v>
      </c>
      <c r="Y97" s="1942">
        <v>-0.02</v>
      </c>
      <c r="Z97" s="1942">
        <v>0</v>
      </c>
      <c r="AA97" s="1943">
        <f t="shared" si="39"/>
        <v>28233.48</v>
      </c>
      <c r="AB97" s="1941"/>
      <c r="AC97" s="1942"/>
      <c r="AD97" s="1942"/>
      <c r="AE97" s="1942"/>
      <c r="AF97" s="1942"/>
      <c r="AG97" s="1943">
        <f t="shared" si="40"/>
        <v>0</v>
      </c>
      <c r="AH97" s="1941"/>
      <c r="AI97" s="1942"/>
      <c r="AJ97" s="1942"/>
      <c r="AK97" s="1942"/>
      <c r="AL97" s="1942"/>
      <c r="AM97" s="1943">
        <f t="shared" si="41"/>
        <v>0</v>
      </c>
      <c r="AN97" s="1944">
        <v>4577.88</v>
      </c>
      <c r="AO97" s="1945">
        <v>300562.14</v>
      </c>
      <c r="AP97" s="1945">
        <v>0</v>
      </c>
      <c r="AQ97" s="1945">
        <v>0</v>
      </c>
      <c r="AR97" s="1945">
        <v>0</v>
      </c>
      <c r="AS97" s="1946">
        <f t="shared" si="42"/>
        <v>305140.02</v>
      </c>
      <c r="AT97" s="1947"/>
      <c r="AU97" s="1948"/>
      <c r="AV97" s="1948"/>
      <c r="AW97" s="1948"/>
      <c r="AX97" s="1948"/>
      <c r="AY97" s="1949">
        <f t="shared" si="43"/>
        <v>0</v>
      </c>
      <c r="AZ97" s="1947"/>
      <c r="BA97" s="1948"/>
      <c r="BB97" s="1948"/>
      <c r="BC97" s="1948"/>
      <c r="BD97" s="1948"/>
      <c r="BE97" s="1949">
        <f t="shared" si="44"/>
        <v>0</v>
      </c>
    </row>
    <row r="98" spans="1:57" s="234" customFormat="1" ht="12.75" customHeight="1" x14ac:dyDescent="0.25">
      <c r="A98" s="1393" t="s">
        <v>244</v>
      </c>
      <c r="B98" s="1936" t="s">
        <v>245</v>
      </c>
      <c r="C98" s="1937" t="s">
        <v>268</v>
      </c>
      <c r="D98" s="1938">
        <f t="shared" si="31"/>
        <v>575828.54</v>
      </c>
      <c r="E98" s="1939">
        <f t="shared" si="32"/>
        <v>798233.81</v>
      </c>
      <c r="F98" s="1939">
        <f t="shared" si="33"/>
        <v>0</v>
      </c>
      <c r="G98" s="1939">
        <f t="shared" si="34"/>
        <v>4749.84</v>
      </c>
      <c r="H98" s="1939">
        <f t="shared" si="35"/>
        <v>4749.84</v>
      </c>
      <c r="I98" s="1940">
        <f t="shared" si="36"/>
        <v>1378812.1900000002</v>
      </c>
      <c r="J98" s="1941">
        <v>207607.11</v>
      </c>
      <c r="K98" s="1942">
        <v>207607.11</v>
      </c>
      <c r="L98" s="1942">
        <v>0</v>
      </c>
      <c r="M98" s="1942">
        <v>4749.8500000000004</v>
      </c>
      <c r="N98" s="1942">
        <v>0</v>
      </c>
      <c r="O98" s="1943">
        <f t="shared" si="37"/>
        <v>419964.06999999995</v>
      </c>
      <c r="P98" s="1941">
        <v>366133.41</v>
      </c>
      <c r="Q98" s="1942">
        <v>366133.41</v>
      </c>
      <c r="R98" s="1942">
        <v>0</v>
      </c>
      <c r="S98" s="1942">
        <v>-0.01</v>
      </c>
      <c r="T98" s="1942">
        <v>0</v>
      </c>
      <c r="U98" s="1943">
        <f t="shared" si="38"/>
        <v>732266.80999999994</v>
      </c>
      <c r="V98" s="1941"/>
      <c r="W98" s="1942"/>
      <c r="X98" s="1942"/>
      <c r="Y98" s="1942"/>
      <c r="Z98" s="1942"/>
      <c r="AA98" s="1943">
        <f t="shared" si="39"/>
        <v>0</v>
      </c>
      <c r="AB98" s="1941"/>
      <c r="AC98" s="1942"/>
      <c r="AD98" s="1942"/>
      <c r="AE98" s="1942"/>
      <c r="AF98" s="1942"/>
      <c r="AG98" s="1943">
        <f t="shared" si="40"/>
        <v>0</v>
      </c>
      <c r="AH98" s="1941"/>
      <c r="AI98" s="1942"/>
      <c r="AJ98" s="1942"/>
      <c r="AK98" s="1942"/>
      <c r="AL98" s="1942"/>
      <c r="AM98" s="1943">
        <f t="shared" si="41"/>
        <v>0</v>
      </c>
      <c r="AN98" s="1944">
        <v>2088.02</v>
      </c>
      <c r="AO98" s="1945">
        <v>224493.29</v>
      </c>
      <c r="AP98" s="1945">
        <v>0</v>
      </c>
      <c r="AQ98" s="1945">
        <v>0</v>
      </c>
      <c r="AR98" s="1945">
        <v>0</v>
      </c>
      <c r="AS98" s="1946">
        <f t="shared" si="42"/>
        <v>226581.31</v>
      </c>
      <c r="AT98" s="1947"/>
      <c r="AU98" s="1948"/>
      <c r="AV98" s="1948"/>
      <c r="AW98" s="1948"/>
      <c r="AX98" s="1948"/>
      <c r="AY98" s="1949">
        <f t="shared" si="43"/>
        <v>0</v>
      </c>
      <c r="AZ98" s="1947"/>
      <c r="BA98" s="1948"/>
      <c r="BB98" s="1948"/>
      <c r="BC98" s="1948"/>
      <c r="BD98" s="1948"/>
      <c r="BE98" s="1949">
        <f t="shared" si="44"/>
        <v>0</v>
      </c>
    </row>
    <row r="99" spans="1:57" s="234" customFormat="1" ht="12.75" customHeight="1" x14ac:dyDescent="0.25">
      <c r="A99" s="1393" t="s">
        <v>246</v>
      </c>
      <c r="B99" s="1936" t="s">
        <v>310</v>
      </c>
      <c r="C99" s="1937" t="s">
        <v>264</v>
      </c>
      <c r="D99" s="1938">
        <f t="shared" si="31"/>
        <v>210290.88999999998</v>
      </c>
      <c r="E99" s="1939">
        <f t="shared" si="32"/>
        <v>344348.73</v>
      </c>
      <c r="F99" s="1939">
        <f t="shared" si="33"/>
        <v>0</v>
      </c>
      <c r="G99" s="1939">
        <f t="shared" si="34"/>
        <v>-6.0000000000000005E-2</v>
      </c>
      <c r="H99" s="1939">
        <f t="shared" si="35"/>
        <v>-6.0000000000000005E-2</v>
      </c>
      <c r="I99" s="1940">
        <f t="shared" si="36"/>
        <v>554639.55999999994</v>
      </c>
      <c r="J99" s="1941">
        <v>37754.39</v>
      </c>
      <c r="K99" s="1942">
        <v>37754.39</v>
      </c>
      <c r="L99" s="1942">
        <v>0</v>
      </c>
      <c r="M99" s="1942">
        <v>-0.05</v>
      </c>
      <c r="N99" s="1942">
        <v>0</v>
      </c>
      <c r="O99" s="1943">
        <f t="shared" si="37"/>
        <v>75508.73</v>
      </c>
      <c r="P99" s="1941">
        <v>111586.79</v>
      </c>
      <c r="Q99" s="1942">
        <v>111586.79</v>
      </c>
      <c r="R99" s="1942">
        <v>0</v>
      </c>
      <c r="S99" s="1942">
        <v>0</v>
      </c>
      <c r="T99" s="1942">
        <v>0</v>
      </c>
      <c r="U99" s="1943">
        <f t="shared" si="38"/>
        <v>223173.58</v>
      </c>
      <c r="V99" s="1941">
        <v>1050</v>
      </c>
      <c r="W99" s="1942">
        <v>1050</v>
      </c>
      <c r="X99" s="1942">
        <v>0</v>
      </c>
      <c r="Y99" s="1942">
        <v>0</v>
      </c>
      <c r="Z99" s="1942">
        <v>0</v>
      </c>
      <c r="AA99" s="1943">
        <f t="shared" si="39"/>
        <v>2100</v>
      </c>
      <c r="AB99" s="1941"/>
      <c r="AC99" s="1942"/>
      <c r="AD99" s="1942"/>
      <c r="AE99" s="1942"/>
      <c r="AF99" s="1942"/>
      <c r="AG99" s="1943">
        <f t="shared" si="40"/>
        <v>0</v>
      </c>
      <c r="AH99" s="1941"/>
      <c r="AI99" s="1942"/>
      <c r="AJ99" s="1942"/>
      <c r="AK99" s="1942"/>
      <c r="AL99" s="1942"/>
      <c r="AM99" s="1943">
        <f t="shared" si="41"/>
        <v>0</v>
      </c>
      <c r="AN99" s="1944">
        <v>59899.71</v>
      </c>
      <c r="AO99" s="1945">
        <v>193957.55</v>
      </c>
      <c r="AP99" s="1945">
        <v>0</v>
      </c>
      <c r="AQ99" s="1945">
        <v>-0.01</v>
      </c>
      <c r="AR99" s="1945">
        <v>0</v>
      </c>
      <c r="AS99" s="1946">
        <f t="shared" si="42"/>
        <v>253857.24999999997</v>
      </c>
      <c r="AT99" s="1947"/>
      <c r="AU99" s="1948"/>
      <c r="AV99" s="1948"/>
      <c r="AW99" s="1948"/>
      <c r="AX99" s="1948"/>
      <c r="AY99" s="1949">
        <f t="shared" si="43"/>
        <v>0</v>
      </c>
      <c r="AZ99" s="1947"/>
      <c r="BA99" s="1948"/>
      <c r="BB99" s="1948"/>
      <c r="BC99" s="1948"/>
      <c r="BD99" s="1948"/>
      <c r="BE99" s="1949">
        <f t="shared" si="44"/>
        <v>0</v>
      </c>
    </row>
    <row r="100" spans="1:57" s="234" customFormat="1" ht="12.75" customHeight="1" x14ac:dyDescent="0.25">
      <c r="A100" s="1393" t="s">
        <v>14</v>
      </c>
      <c r="B100" s="1936" t="s">
        <v>15</v>
      </c>
      <c r="C100" s="1937" t="s">
        <v>267</v>
      </c>
      <c r="D100" s="1938">
        <f t="shared" si="31"/>
        <v>1990841.68</v>
      </c>
      <c r="E100" s="1939">
        <f t="shared" si="32"/>
        <v>2509468.7000000002</v>
      </c>
      <c r="F100" s="1939">
        <f t="shared" si="33"/>
        <v>0</v>
      </c>
      <c r="G100" s="1939">
        <f t="shared" si="34"/>
        <v>91471.64</v>
      </c>
      <c r="H100" s="1939">
        <f t="shared" si="35"/>
        <v>91471.64</v>
      </c>
      <c r="I100" s="1940">
        <f t="shared" si="36"/>
        <v>4591782.0199999996</v>
      </c>
      <c r="J100" s="1941">
        <v>485771.28</v>
      </c>
      <c r="K100" s="1942">
        <v>485771.28</v>
      </c>
      <c r="L100" s="1942">
        <v>0</v>
      </c>
      <c r="M100" s="1942">
        <v>-0.16</v>
      </c>
      <c r="N100" s="1942">
        <v>91471.8</v>
      </c>
      <c r="O100" s="1943">
        <f t="shared" si="37"/>
        <v>1063014.2</v>
      </c>
      <c r="P100" s="1941">
        <v>1349677.22</v>
      </c>
      <c r="Q100" s="1942">
        <v>1349677.22</v>
      </c>
      <c r="R100" s="1942">
        <v>0</v>
      </c>
      <c r="S100" s="1942">
        <v>0.01</v>
      </c>
      <c r="T100" s="1942">
        <v>0</v>
      </c>
      <c r="U100" s="1943">
        <f t="shared" si="38"/>
        <v>2699354.4499999997</v>
      </c>
      <c r="V100" s="1941"/>
      <c r="W100" s="1942"/>
      <c r="X100" s="1942"/>
      <c r="Y100" s="1942"/>
      <c r="Z100" s="1942"/>
      <c r="AA100" s="1943">
        <f t="shared" si="39"/>
        <v>0</v>
      </c>
      <c r="AB100" s="1941"/>
      <c r="AC100" s="1942"/>
      <c r="AD100" s="1942"/>
      <c r="AE100" s="1942"/>
      <c r="AF100" s="1942"/>
      <c r="AG100" s="1943">
        <f t="shared" si="40"/>
        <v>0</v>
      </c>
      <c r="AH100" s="1941"/>
      <c r="AI100" s="1942"/>
      <c r="AJ100" s="1942"/>
      <c r="AK100" s="1942"/>
      <c r="AL100" s="1942"/>
      <c r="AM100" s="1943">
        <f t="shared" si="41"/>
        <v>0</v>
      </c>
      <c r="AN100" s="1944">
        <v>155393.18</v>
      </c>
      <c r="AO100" s="1945">
        <v>674020.2</v>
      </c>
      <c r="AP100" s="1945">
        <v>0</v>
      </c>
      <c r="AQ100" s="1945">
        <v>-0.01</v>
      </c>
      <c r="AR100" s="1945">
        <v>0</v>
      </c>
      <c r="AS100" s="1946">
        <f t="shared" si="42"/>
        <v>829413.36999999988</v>
      </c>
      <c r="AT100" s="1947"/>
      <c r="AU100" s="1948"/>
      <c r="AV100" s="1948"/>
      <c r="AW100" s="1948"/>
      <c r="AX100" s="1948"/>
      <c r="AY100" s="1949">
        <f t="shared" si="43"/>
        <v>0</v>
      </c>
      <c r="AZ100" s="1947"/>
      <c r="BA100" s="1948"/>
      <c r="BB100" s="1948"/>
      <c r="BC100" s="1948"/>
      <c r="BD100" s="1948"/>
      <c r="BE100" s="1949">
        <f t="shared" si="44"/>
        <v>0</v>
      </c>
    </row>
    <row r="101" spans="1:57" s="234" customFormat="1" ht="12.75" customHeight="1" x14ac:dyDescent="0.25">
      <c r="A101" s="1393" t="s">
        <v>34</v>
      </c>
      <c r="B101" s="1936" t="s">
        <v>35</v>
      </c>
      <c r="C101" s="1937" t="s">
        <v>268</v>
      </c>
      <c r="D101" s="1938">
        <f t="shared" ref="D101:D124" si="45">J101+P101+V101+AB101+AH101+AN101+AT101+AZ101</f>
        <v>902771.01000000013</v>
      </c>
      <c r="E101" s="1939">
        <f t="shared" ref="E101:E124" si="46">K101+Q101+W101+AC101+AI101+AO101+AU101+BA101</f>
        <v>1008962.9800000001</v>
      </c>
      <c r="F101" s="1939">
        <f t="shared" ref="F101:F124" si="47">L101+R101+X101+AD101+AJ101+AP101+AV101+BB101</f>
        <v>0</v>
      </c>
      <c r="G101" s="1939">
        <f t="shared" ref="G101:G124" si="48">M101+N101+S101+T101+Y101+Z101+AE101+AF101+AK101+AL101+AQ101+AR101+AW101+AX101+BC101+BD101</f>
        <v>-0.21</v>
      </c>
      <c r="H101" s="1939">
        <f t="shared" ref="H101:H124" si="49">F101+G101</f>
        <v>-0.21</v>
      </c>
      <c r="I101" s="1940">
        <f t="shared" ref="I101:I124" si="50">SUM(D101:G101)</f>
        <v>1911733.7800000003</v>
      </c>
      <c r="J101" s="1941">
        <v>463669.49</v>
      </c>
      <c r="K101" s="1942">
        <v>463669.49</v>
      </c>
      <c r="L101" s="1942">
        <v>0</v>
      </c>
      <c r="M101" s="1942">
        <v>-0.12</v>
      </c>
      <c r="N101" s="1942">
        <v>0</v>
      </c>
      <c r="O101" s="1943">
        <f t="shared" ref="O101:O124" si="51">SUM(J101:N101)</f>
        <v>927338.86</v>
      </c>
      <c r="P101" s="1941">
        <v>417589.83</v>
      </c>
      <c r="Q101" s="1942">
        <v>417589.83</v>
      </c>
      <c r="R101" s="1942">
        <v>0</v>
      </c>
      <c r="S101" s="1942">
        <v>-0.06</v>
      </c>
      <c r="T101" s="1942">
        <v>0</v>
      </c>
      <c r="U101" s="1943">
        <f t="shared" ref="U101:U124" si="52">SUM(P101:T101)</f>
        <v>835179.6</v>
      </c>
      <c r="V101" s="1941">
        <v>14352.06</v>
      </c>
      <c r="W101" s="1942">
        <v>14352.06</v>
      </c>
      <c r="X101" s="1942">
        <v>0</v>
      </c>
      <c r="Y101" s="1942">
        <v>-0.03</v>
      </c>
      <c r="Z101" s="1942">
        <v>0</v>
      </c>
      <c r="AA101" s="1943">
        <f t="shared" ref="AA101:AA124" si="53">SUM(V101:Z101)</f>
        <v>28704.09</v>
      </c>
      <c r="AB101" s="1941"/>
      <c r="AC101" s="1942"/>
      <c r="AD101" s="1942"/>
      <c r="AE101" s="1942"/>
      <c r="AF101" s="1942"/>
      <c r="AG101" s="1943">
        <f t="shared" ref="AG101:AG124" si="54">SUM(AB101:AF101)</f>
        <v>0</v>
      </c>
      <c r="AH101" s="1941"/>
      <c r="AI101" s="1942"/>
      <c r="AJ101" s="1942"/>
      <c r="AK101" s="1942"/>
      <c r="AL101" s="1942"/>
      <c r="AM101" s="1943">
        <f t="shared" ref="AM101:AM124" si="55">SUM(AH101:AL101)</f>
        <v>0</v>
      </c>
      <c r="AN101" s="1944">
        <v>5207.3999999999996</v>
      </c>
      <c r="AO101" s="1945">
        <v>113351.6</v>
      </c>
      <c r="AP101" s="1945">
        <v>0</v>
      </c>
      <c r="AQ101" s="1945">
        <v>0</v>
      </c>
      <c r="AR101" s="1945">
        <v>0</v>
      </c>
      <c r="AS101" s="1946">
        <f t="shared" ref="AS101:AS124" si="56">SUM(AN101:AR101)</f>
        <v>118559</v>
      </c>
      <c r="AT101" s="1947"/>
      <c r="AU101" s="1948"/>
      <c r="AV101" s="1948"/>
      <c r="AW101" s="1948"/>
      <c r="AX101" s="1948"/>
      <c r="AY101" s="1949">
        <f t="shared" ref="AY101:AY124" si="57">SUM(AT101:AX101)</f>
        <v>0</v>
      </c>
      <c r="AZ101" s="1947">
        <v>1952.23</v>
      </c>
      <c r="BA101" s="1948">
        <v>0</v>
      </c>
      <c r="BB101" s="1948">
        <v>0</v>
      </c>
      <c r="BC101" s="1948">
        <v>0</v>
      </c>
      <c r="BD101" s="1948">
        <v>0</v>
      </c>
      <c r="BE101" s="1949">
        <f t="shared" ref="BE101:BE124" si="58">SUM(AZ101:BD101)</f>
        <v>1952.23</v>
      </c>
    </row>
    <row r="102" spans="1:57" s="234" customFormat="1" ht="12.75" customHeight="1" x14ac:dyDescent="0.25">
      <c r="A102" s="1393" t="s">
        <v>52</v>
      </c>
      <c r="B102" s="1936" t="s">
        <v>53</v>
      </c>
      <c r="C102" s="1937" t="s">
        <v>265</v>
      </c>
      <c r="D102" s="1938">
        <f t="shared" si="45"/>
        <v>1627145.7399999998</v>
      </c>
      <c r="E102" s="1939">
        <f t="shared" si="46"/>
        <v>1870702.8399999999</v>
      </c>
      <c r="F102" s="1939">
        <f t="shared" si="47"/>
        <v>0</v>
      </c>
      <c r="G102" s="1939">
        <f t="shared" si="48"/>
        <v>10764.689999999999</v>
      </c>
      <c r="H102" s="1939">
        <f t="shared" si="49"/>
        <v>10764.689999999999</v>
      </c>
      <c r="I102" s="1940">
        <f t="shared" si="50"/>
        <v>3508613.2699999996</v>
      </c>
      <c r="J102" s="1941">
        <v>739984.09</v>
      </c>
      <c r="K102" s="1942">
        <v>739984.09</v>
      </c>
      <c r="L102" s="1942">
        <v>0</v>
      </c>
      <c r="M102" s="1942">
        <v>2407.4499999999998</v>
      </c>
      <c r="N102" s="1942">
        <v>0</v>
      </c>
      <c r="O102" s="1943">
        <f t="shared" si="51"/>
        <v>1482375.63</v>
      </c>
      <c r="P102" s="1941">
        <v>834841.94</v>
      </c>
      <c r="Q102" s="1942">
        <v>834841.94</v>
      </c>
      <c r="R102" s="1942">
        <v>0</v>
      </c>
      <c r="S102" s="1942">
        <v>-0.03</v>
      </c>
      <c r="T102" s="1942">
        <v>0</v>
      </c>
      <c r="U102" s="1943">
        <f t="shared" si="52"/>
        <v>1669683.8499999999</v>
      </c>
      <c r="V102" s="1941">
        <v>24310.97</v>
      </c>
      <c r="W102" s="1942">
        <v>24310.97</v>
      </c>
      <c r="X102" s="1942">
        <v>0</v>
      </c>
      <c r="Y102" s="1942">
        <v>-0.04</v>
      </c>
      <c r="Z102" s="1942">
        <v>0</v>
      </c>
      <c r="AA102" s="1943">
        <f t="shared" si="53"/>
        <v>48621.9</v>
      </c>
      <c r="AB102" s="1941"/>
      <c r="AC102" s="1942"/>
      <c r="AD102" s="1942"/>
      <c r="AE102" s="1942"/>
      <c r="AF102" s="1942"/>
      <c r="AG102" s="1943">
        <f t="shared" si="54"/>
        <v>0</v>
      </c>
      <c r="AH102" s="1941"/>
      <c r="AI102" s="1942"/>
      <c r="AJ102" s="1942"/>
      <c r="AK102" s="1942"/>
      <c r="AL102" s="1942"/>
      <c r="AM102" s="1943">
        <f t="shared" si="55"/>
        <v>0</v>
      </c>
      <c r="AN102" s="1944">
        <v>28008.74</v>
      </c>
      <c r="AO102" s="1945">
        <v>271565.84000000003</v>
      </c>
      <c r="AP102" s="1945">
        <v>0</v>
      </c>
      <c r="AQ102" s="1945">
        <v>8357.31</v>
      </c>
      <c r="AR102" s="1945">
        <v>0</v>
      </c>
      <c r="AS102" s="1946">
        <f t="shared" si="56"/>
        <v>307931.89</v>
      </c>
      <c r="AT102" s="1947"/>
      <c r="AU102" s="1948"/>
      <c r="AV102" s="1948"/>
      <c r="AW102" s="1948"/>
      <c r="AX102" s="1948"/>
      <c r="AY102" s="1949">
        <f t="shared" si="57"/>
        <v>0</v>
      </c>
      <c r="AZ102" s="1947"/>
      <c r="BA102" s="1948"/>
      <c r="BB102" s="1948"/>
      <c r="BC102" s="1948"/>
      <c r="BD102" s="1948"/>
      <c r="BE102" s="1949">
        <f t="shared" si="58"/>
        <v>0</v>
      </c>
    </row>
    <row r="103" spans="1:57" s="234" customFormat="1" ht="12.75" customHeight="1" x14ac:dyDescent="0.25">
      <c r="A103" s="1393" t="s">
        <v>54</v>
      </c>
      <c r="B103" s="1936" t="s">
        <v>55</v>
      </c>
      <c r="C103" s="1937" t="s">
        <v>264</v>
      </c>
      <c r="D103" s="1938">
        <f t="shared" si="45"/>
        <v>1250814.8599999999</v>
      </c>
      <c r="E103" s="1939">
        <f t="shared" si="46"/>
        <v>1454453.8199999998</v>
      </c>
      <c r="F103" s="1939">
        <f t="shared" si="47"/>
        <v>0</v>
      </c>
      <c r="G103" s="1939">
        <f t="shared" si="48"/>
        <v>2997.52</v>
      </c>
      <c r="H103" s="1939">
        <f t="shared" si="49"/>
        <v>2997.52</v>
      </c>
      <c r="I103" s="1940">
        <f t="shared" si="50"/>
        <v>2708266.1999999997</v>
      </c>
      <c r="J103" s="1941">
        <v>400684.01</v>
      </c>
      <c r="K103" s="1942">
        <v>400684.01</v>
      </c>
      <c r="L103" s="1942">
        <v>0</v>
      </c>
      <c r="M103" s="1942">
        <v>2997.6</v>
      </c>
      <c r="N103" s="1942">
        <v>0</v>
      </c>
      <c r="O103" s="1943">
        <f t="shared" si="51"/>
        <v>804365.62</v>
      </c>
      <c r="P103" s="1941">
        <v>804657.27</v>
      </c>
      <c r="Q103" s="1942">
        <v>804657.27</v>
      </c>
      <c r="R103" s="1942">
        <v>0</v>
      </c>
      <c r="S103" s="1942">
        <v>-0.04</v>
      </c>
      <c r="T103" s="1942">
        <v>0</v>
      </c>
      <c r="U103" s="1943">
        <f t="shared" si="52"/>
        <v>1609314.5</v>
      </c>
      <c r="V103" s="1941">
        <v>11394.39</v>
      </c>
      <c r="W103" s="1942">
        <v>11394.39</v>
      </c>
      <c r="X103" s="1942">
        <v>0</v>
      </c>
      <c r="Y103" s="1942">
        <v>-0.04</v>
      </c>
      <c r="Z103" s="1942">
        <v>0</v>
      </c>
      <c r="AA103" s="1943">
        <f t="shared" si="53"/>
        <v>22788.739999999998</v>
      </c>
      <c r="AB103" s="1941"/>
      <c r="AC103" s="1942"/>
      <c r="AD103" s="1942"/>
      <c r="AE103" s="1942"/>
      <c r="AF103" s="1942"/>
      <c r="AG103" s="1943">
        <f t="shared" si="54"/>
        <v>0</v>
      </c>
      <c r="AH103" s="1941"/>
      <c r="AI103" s="1942"/>
      <c r="AJ103" s="1942"/>
      <c r="AK103" s="1942"/>
      <c r="AL103" s="1942"/>
      <c r="AM103" s="1943">
        <f t="shared" si="55"/>
        <v>0</v>
      </c>
      <c r="AN103" s="1944">
        <v>32029.05</v>
      </c>
      <c r="AO103" s="1945">
        <v>237718.15</v>
      </c>
      <c r="AP103" s="1945">
        <v>0</v>
      </c>
      <c r="AQ103" s="1945">
        <v>0</v>
      </c>
      <c r="AR103" s="1945">
        <v>0</v>
      </c>
      <c r="AS103" s="1946">
        <f t="shared" si="56"/>
        <v>269747.20000000001</v>
      </c>
      <c r="AT103" s="1947"/>
      <c r="AU103" s="1948"/>
      <c r="AV103" s="1948"/>
      <c r="AW103" s="1948"/>
      <c r="AX103" s="1948"/>
      <c r="AY103" s="1949">
        <f t="shared" si="57"/>
        <v>0</v>
      </c>
      <c r="AZ103" s="1947">
        <v>2050.14</v>
      </c>
      <c r="BA103" s="1948">
        <v>0</v>
      </c>
      <c r="BB103" s="1948">
        <v>0</v>
      </c>
      <c r="BC103" s="1948">
        <v>0</v>
      </c>
      <c r="BD103" s="1948">
        <v>0</v>
      </c>
      <c r="BE103" s="1949">
        <f t="shared" si="58"/>
        <v>2050.14</v>
      </c>
    </row>
    <row r="104" spans="1:57" s="234" customFormat="1" ht="12.75" customHeight="1" x14ac:dyDescent="0.25">
      <c r="A104" s="1393" t="s">
        <v>66</v>
      </c>
      <c r="B104" s="1936" t="s">
        <v>67</v>
      </c>
      <c r="C104" s="1937" t="s">
        <v>265</v>
      </c>
      <c r="D104" s="1938">
        <f t="shared" si="45"/>
        <v>1023827.41</v>
      </c>
      <c r="E104" s="1939">
        <f t="shared" si="46"/>
        <v>1193771.49</v>
      </c>
      <c r="F104" s="1939">
        <f t="shared" si="47"/>
        <v>0</v>
      </c>
      <c r="G104" s="1939">
        <f t="shared" si="48"/>
        <v>-0.21000000000000002</v>
      </c>
      <c r="H104" s="1939">
        <f t="shared" si="49"/>
        <v>-0.21000000000000002</v>
      </c>
      <c r="I104" s="1940">
        <f t="shared" si="50"/>
        <v>2217598.69</v>
      </c>
      <c r="J104" s="1941">
        <v>722032.48</v>
      </c>
      <c r="K104" s="1942">
        <v>722032.48</v>
      </c>
      <c r="L104" s="1942">
        <v>0</v>
      </c>
      <c r="M104" s="1942">
        <v>-0.14000000000000001</v>
      </c>
      <c r="N104" s="1942">
        <v>0</v>
      </c>
      <c r="O104" s="1943">
        <f t="shared" si="51"/>
        <v>1444064.82</v>
      </c>
      <c r="P104" s="1941">
        <v>273614.01</v>
      </c>
      <c r="Q104" s="1942">
        <v>273614.01</v>
      </c>
      <c r="R104" s="1942">
        <v>0</v>
      </c>
      <c r="S104" s="1942">
        <v>-0.06</v>
      </c>
      <c r="T104" s="1942">
        <v>0</v>
      </c>
      <c r="U104" s="1943">
        <f t="shared" si="52"/>
        <v>547227.96</v>
      </c>
      <c r="V104" s="1941">
        <v>5445</v>
      </c>
      <c r="W104" s="1942">
        <v>5445</v>
      </c>
      <c r="X104" s="1942">
        <v>0</v>
      </c>
      <c r="Y104" s="1942">
        <v>-0.01</v>
      </c>
      <c r="Z104" s="1942">
        <v>0</v>
      </c>
      <c r="AA104" s="1943">
        <f t="shared" si="53"/>
        <v>10889.99</v>
      </c>
      <c r="AB104" s="1941"/>
      <c r="AC104" s="1942"/>
      <c r="AD104" s="1942"/>
      <c r="AE104" s="1942"/>
      <c r="AF104" s="1942"/>
      <c r="AG104" s="1943">
        <f t="shared" si="54"/>
        <v>0</v>
      </c>
      <c r="AH104" s="1941"/>
      <c r="AI104" s="1942"/>
      <c r="AJ104" s="1942"/>
      <c r="AK104" s="1942"/>
      <c r="AL104" s="1942"/>
      <c r="AM104" s="1943">
        <f t="shared" si="55"/>
        <v>0</v>
      </c>
      <c r="AN104" s="1944">
        <v>20485.61</v>
      </c>
      <c r="AO104" s="1945">
        <v>192680</v>
      </c>
      <c r="AP104" s="1945">
        <v>0</v>
      </c>
      <c r="AQ104" s="1945">
        <v>0</v>
      </c>
      <c r="AR104" s="1945">
        <v>0</v>
      </c>
      <c r="AS104" s="1946">
        <f t="shared" si="56"/>
        <v>213165.61</v>
      </c>
      <c r="AT104" s="1947"/>
      <c r="AU104" s="1948"/>
      <c r="AV104" s="1948"/>
      <c r="AW104" s="1948"/>
      <c r="AX104" s="1948"/>
      <c r="AY104" s="1949">
        <f t="shared" si="57"/>
        <v>0</v>
      </c>
      <c r="AZ104" s="1947">
        <v>2250.31</v>
      </c>
      <c r="BA104" s="1948">
        <v>0</v>
      </c>
      <c r="BB104" s="1948">
        <v>0</v>
      </c>
      <c r="BC104" s="1948">
        <v>0</v>
      </c>
      <c r="BD104" s="1948">
        <v>0</v>
      </c>
      <c r="BE104" s="1949">
        <f t="shared" si="58"/>
        <v>2250.31</v>
      </c>
    </row>
    <row r="105" spans="1:57" s="234" customFormat="1" ht="12.75" customHeight="1" x14ac:dyDescent="0.25">
      <c r="A105" s="1393" t="s">
        <v>82</v>
      </c>
      <c r="B105" s="1936" t="s">
        <v>311</v>
      </c>
      <c r="C105" s="1937" t="s">
        <v>264</v>
      </c>
      <c r="D105" s="1938">
        <f t="shared" si="45"/>
        <v>41385.93</v>
      </c>
      <c r="E105" s="1939">
        <f t="shared" si="46"/>
        <v>47998.93</v>
      </c>
      <c r="F105" s="1939">
        <f t="shared" si="47"/>
        <v>0</v>
      </c>
      <c r="G105" s="1939">
        <f t="shared" si="48"/>
        <v>-7.0000000000000007E-2</v>
      </c>
      <c r="H105" s="1939">
        <f t="shared" si="49"/>
        <v>-7.0000000000000007E-2</v>
      </c>
      <c r="I105" s="1940">
        <f t="shared" si="50"/>
        <v>89384.79</v>
      </c>
      <c r="J105" s="1941">
        <v>34925.93</v>
      </c>
      <c r="K105" s="1942">
        <v>34925.93</v>
      </c>
      <c r="L105" s="1942">
        <v>0</v>
      </c>
      <c r="M105" s="1942">
        <v>-7.0000000000000007E-2</v>
      </c>
      <c r="N105" s="1942">
        <v>0</v>
      </c>
      <c r="O105" s="1943">
        <f t="shared" si="51"/>
        <v>69851.789999999994</v>
      </c>
      <c r="P105" s="1944">
        <v>6460</v>
      </c>
      <c r="Q105" s="1945">
        <v>6460</v>
      </c>
      <c r="R105" s="1945">
        <v>0</v>
      </c>
      <c r="S105" s="1945">
        <v>0</v>
      </c>
      <c r="T105" s="1945">
        <v>0</v>
      </c>
      <c r="U105" s="1943">
        <f t="shared" si="52"/>
        <v>12920</v>
      </c>
      <c r="V105" s="1941"/>
      <c r="W105" s="1942"/>
      <c r="X105" s="1942"/>
      <c r="Y105" s="1942"/>
      <c r="Z105" s="1942"/>
      <c r="AA105" s="1943">
        <f t="shared" si="53"/>
        <v>0</v>
      </c>
      <c r="AB105" s="1941"/>
      <c r="AC105" s="1942"/>
      <c r="AD105" s="1942"/>
      <c r="AE105" s="1942"/>
      <c r="AF105" s="1942"/>
      <c r="AG105" s="1943">
        <f t="shared" si="54"/>
        <v>0</v>
      </c>
      <c r="AH105" s="1941"/>
      <c r="AI105" s="1942"/>
      <c r="AJ105" s="1942"/>
      <c r="AK105" s="1942"/>
      <c r="AL105" s="1942"/>
      <c r="AM105" s="1943">
        <f t="shared" si="55"/>
        <v>0</v>
      </c>
      <c r="AN105" s="1944">
        <v>0</v>
      </c>
      <c r="AO105" s="1945">
        <v>6613</v>
      </c>
      <c r="AP105" s="1945">
        <v>0</v>
      </c>
      <c r="AQ105" s="1945">
        <v>0</v>
      </c>
      <c r="AR105" s="1945">
        <v>0</v>
      </c>
      <c r="AS105" s="1946">
        <f t="shared" si="56"/>
        <v>6613</v>
      </c>
      <c r="AT105" s="1947"/>
      <c r="AU105" s="1948"/>
      <c r="AV105" s="1948"/>
      <c r="AW105" s="1948"/>
      <c r="AX105" s="1948"/>
      <c r="AY105" s="1949">
        <f t="shared" si="57"/>
        <v>0</v>
      </c>
      <c r="AZ105" s="1947"/>
      <c r="BA105" s="1948"/>
      <c r="BB105" s="1948"/>
      <c r="BC105" s="1948"/>
      <c r="BD105" s="1948"/>
      <c r="BE105" s="1949">
        <f t="shared" si="58"/>
        <v>0</v>
      </c>
    </row>
    <row r="106" spans="1:57" s="234" customFormat="1" ht="12.75" customHeight="1" x14ac:dyDescent="0.25">
      <c r="A106" s="1393" t="s">
        <v>88</v>
      </c>
      <c r="B106" s="1936" t="s">
        <v>89</v>
      </c>
      <c r="C106" s="1937" t="s">
        <v>267</v>
      </c>
      <c r="D106" s="1938">
        <f t="shared" si="45"/>
        <v>757483.05999999994</v>
      </c>
      <c r="E106" s="1939">
        <f t="shared" si="46"/>
        <v>1018823.09</v>
      </c>
      <c r="F106" s="1939">
        <f t="shared" si="47"/>
        <v>0</v>
      </c>
      <c r="G106" s="1939">
        <f t="shared" si="48"/>
        <v>1119.73</v>
      </c>
      <c r="H106" s="1939">
        <f t="shared" si="49"/>
        <v>1119.73</v>
      </c>
      <c r="I106" s="1940">
        <f t="shared" si="50"/>
        <v>1777425.88</v>
      </c>
      <c r="J106" s="1941">
        <v>155502.47</v>
      </c>
      <c r="K106" s="1942">
        <v>155502.47</v>
      </c>
      <c r="L106" s="1942">
        <v>0</v>
      </c>
      <c r="M106" s="1942">
        <v>1119.82</v>
      </c>
      <c r="N106" s="1942">
        <v>0</v>
      </c>
      <c r="O106" s="1943">
        <f t="shared" si="51"/>
        <v>312124.76</v>
      </c>
      <c r="P106" s="1941">
        <v>566428.11</v>
      </c>
      <c r="Q106" s="1942">
        <v>566428.11</v>
      </c>
      <c r="R106" s="1942">
        <v>0</v>
      </c>
      <c r="S106" s="1942">
        <v>-0.03</v>
      </c>
      <c r="T106" s="1942">
        <v>0</v>
      </c>
      <c r="U106" s="1943">
        <f t="shared" si="52"/>
        <v>1132856.19</v>
      </c>
      <c r="V106" s="1941">
        <v>4634.1400000000003</v>
      </c>
      <c r="W106" s="1942">
        <v>4634.1400000000003</v>
      </c>
      <c r="X106" s="1942">
        <v>0</v>
      </c>
      <c r="Y106" s="1942">
        <v>-0.05</v>
      </c>
      <c r="Z106" s="1942">
        <v>0</v>
      </c>
      <c r="AA106" s="1943">
        <f t="shared" si="53"/>
        <v>9268.2300000000014</v>
      </c>
      <c r="AB106" s="1941"/>
      <c r="AC106" s="1942"/>
      <c r="AD106" s="1942"/>
      <c r="AE106" s="1942"/>
      <c r="AF106" s="1942"/>
      <c r="AG106" s="1943">
        <f t="shared" si="54"/>
        <v>0</v>
      </c>
      <c r="AH106" s="1941"/>
      <c r="AI106" s="1942"/>
      <c r="AJ106" s="1942"/>
      <c r="AK106" s="1942"/>
      <c r="AL106" s="1942"/>
      <c r="AM106" s="1943">
        <f t="shared" si="55"/>
        <v>0</v>
      </c>
      <c r="AN106" s="1941">
        <v>28581.46</v>
      </c>
      <c r="AO106" s="1942">
        <v>292258.37</v>
      </c>
      <c r="AP106" s="1942">
        <v>0</v>
      </c>
      <c r="AQ106" s="1942">
        <v>-0.01</v>
      </c>
      <c r="AR106" s="1942">
        <v>0</v>
      </c>
      <c r="AS106" s="1946">
        <f t="shared" si="56"/>
        <v>320839.82</v>
      </c>
      <c r="AT106" s="1947"/>
      <c r="AU106" s="1948"/>
      <c r="AV106" s="1948"/>
      <c r="AW106" s="1948"/>
      <c r="AX106" s="1948"/>
      <c r="AY106" s="1949">
        <f t="shared" si="57"/>
        <v>0</v>
      </c>
      <c r="AZ106" s="1947">
        <v>2336.88</v>
      </c>
      <c r="BA106" s="1948">
        <v>0</v>
      </c>
      <c r="BB106" s="1948">
        <v>0</v>
      </c>
      <c r="BC106" s="1948">
        <v>0</v>
      </c>
      <c r="BD106" s="1948">
        <v>0</v>
      </c>
      <c r="BE106" s="1949">
        <f t="shared" si="58"/>
        <v>2336.88</v>
      </c>
    </row>
    <row r="107" spans="1:57" s="234" customFormat="1" ht="12.75" customHeight="1" x14ac:dyDescent="0.25">
      <c r="A107" s="1393" t="s">
        <v>90</v>
      </c>
      <c r="B107" s="1936" t="s">
        <v>91</v>
      </c>
      <c r="C107" s="1937" t="s">
        <v>268</v>
      </c>
      <c r="D107" s="1938">
        <f t="shared" si="45"/>
        <v>151274.85999999999</v>
      </c>
      <c r="E107" s="1939">
        <f t="shared" si="46"/>
        <v>157872.85</v>
      </c>
      <c r="F107" s="1939">
        <f t="shared" si="47"/>
        <v>0</v>
      </c>
      <c r="G107" s="1939">
        <f t="shared" si="48"/>
        <v>-0.12</v>
      </c>
      <c r="H107" s="1939">
        <f t="shared" si="49"/>
        <v>-0.12</v>
      </c>
      <c r="I107" s="1940">
        <f t="shared" si="50"/>
        <v>309147.58999999997</v>
      </c>
      <c r="J107" s="1944">
        <v>105051.9</v>
      </c>
      <c r="K107" s="1945">
        <v>105051.9</v>
      </c>
      <c r="L107" s="1945">
        <v>0</v>
      </c>
      <c r="M107" s="1945">
        <v>-0.11</v>
      </c>
      <c r="N107" s="1945">
        <v>0</v>
      </c>
      <c r="O107" s="1943">
        <f t="shared" si="51"/>
        <v>210103.69</v>
      </c>
      <c r="P107" s="1941">
        <v>44542.5</v>
      </c>
      <c r="Q107" s="1942">
        <v>44542.5</v>
      </c>
      <c r="R107" s="1942">
        <v>0</v>
      </c>
      <c r="S107" s="1942">
        <v>0</v>
      </c>
      <c r="T107" s="1942">
        <v>0</v>
      </c>
      <c r="U107" s="1943">
        <f t="shared" si="52"/>
        <v>89085</v>
      </c>
      <c r="V107" s="1941"/>
      <c r="W107" s="1942"/>
      <c r="X107" s="1942"/>
      <c r="Y107" s="1942"/>
      <c r="Z107" s="1942"/>
      <c r="AA107" s="1943">
        <f t="shared" si="53"/>
        <v>0</v>
      </c>
      <c r="AB107" s="1941"/>
      <c r="AC107" s="1942"/>
      <c r="AD107" s="1942"/>
      <c r="AE107" s="1942"/>
      <c r="AF107" s="1942"/>
      <c r="AG107" s="1943">
        <f t="shared" si="54"/>
        <v>0</v>
      </c>
      <c r="AH107" s="1941"/>
      <c r="AI107" s="1942"/>
      <c r="AJ107" s="1942"/>
      <c r="AK107" s="1942"/>
      <c r="AL107" s="1942"/>
      <c r="AM107" s="1943">
        <f t="shared" si="55"/>
        <v>0</v>
      </c>
      <c r="AN107" s="1944">
        <v>1680.46</v>
      </c>
      <c r="AO107" s="1945">
        <v>8278.4500000000007</v>
      </c>
      <c r="AP107" s="1945">
        <v>0</v>
      </c>
      <c r="AQ107" s="1945">
        <v>-0.01</v>
      </c>
      <c r="AR107" s="1945">
        <v>0</v>
      </c>
      <c r="AS107" s="1946">
        <f t="shared" si="56"/>
        <v>9958.9</v>
      </c>
      <c r="AT107" s="1947"/>
      <c r="AU107" s="1948"/>
      <c r="AV107" s="1948"/>
      <c r="AW107" s="1948"/>
      <c r="AX107" s="1948"/>
      <c r="AY107" s="1949">
        <f t="shared" si="57"/>
        <v>0</v>
      </c>
      <c r="AZ107" s="1947"/>
      <c r="BA107" s="1948"/>
      <c r="BB107" s="1948"/>
      <c r="BC107" s="1948"/>
      <c r="BD107" s="1948"/>
      <c r="BE107" s="1949">
        <f t="shared" si="58"/>
        <v>0</v>
      </c>
    </row>
    <row r="108" spans="1:57" s="234" customFormat="1" ht="12.75" customHeight="1" x14ac:dyDescent="0.25">
      <c r="A108" s="1393" t="s">
        <v>106</v>
      </c>
      <c r="B108" s="1936" t="s">
        <v>107</v>
      </c>
      <c r="C108" s="1937" t="s">
        <v>264</v>
      </c>
      <c r="D108" s="1938">
        <f t="shared" si="45"/>
        <v>1208159.92</v>
      </c>
      <c r="E108" s="1939">
        <f t="shared" si="46"/>
        <v>1813501.29</v>
      </c>
      <c r="F108" s="1939">
        <f t="shared" si="47"/>
        <v>0</v>
      </c>
      <c r="G108" s="1939">
        <f t="shared" si="48"/>
        <v>14634.31</v>
      </c>
      <c r="H108" s="1939">
        <f t="shared" si="49"/>
        <v>14634.31</v>
      </c>
      <c r="I108" s="1940">
        <f t="shared" si="50"/>
        <v>3036295.52</v>
      </c>
      <c r="J108" s="1941">
        <v>351926.52</v>
      </c>
      <c r="K108" s="1942">
        <v>351926.52</v>
      </c>
      <c r="L108" s="1942">
        <v>0</v>
      </c>
      <c r="M108" s="1942">
        <v>-0.04</v>
      </c>
      <c r="N108" s="1942">
        <v>14077.44</v>
      </c>
      <c r="O108" s="1943">
        <f t="shared" si="51"/>
        <v>717930.44</v>
      </c>
      <c r="P108" s="1941">
        <v>654997.5</v>
      </c>
      <c r="Q108" s="1942">
        <v>654997.5</v>
      </c>
      <c r="R108" s="1942">
        <v>0</v>
      </c>
      <c r="S108" s="1942">
        <v>0</v>
      </c>
      <c r="T108" s="1942">
        <v>557</v>
      </c>
      <c r="U108" s="1943">
        <f t="shared" si="52"/>
        <v>1310552</v>
      </c>
      <c r="V108" s="1941"/>
      <c r="W108" s="1942"/>
      <c r="X108" s="1942"/>
      <c r="Y108" s="1942"/>
      <c r="Z108" s="1942"/>
      <c r="AA108" s="1943">
        <f t="shared" si="53"/>
        <v>0</v>
      </c>
      <c r="AB108" s="1941"/>
      <c r="AC108" s="1942"/>
      <c r="AD108" s="1942"/>
      <c r="AE108" s="1942"/>
      <c r="AF108" s="1942"/>
      <c r="AG108" s="1943">
        <f t="shared" si="54"/>
        <v>0</v>
      </c>
      <c r="AH108" s="1941"/>
      <c r="AI108" s="1942"/>
      <c r="AJ108" s="1942"/>
      <c r="AK108" s="1942"/>
      <c r="AL108" s="1942"/>
      <c r="AM108" s="1943">
        <f t="shared" si="55"/>
        <v>0</v>
      </c>
      <c r="AN108" s="1944">
        <v>201235.9</v>
      </c>
      <c r="AO108" s="1945">
        <v>806577.27</v>
      </c>
      <c r="AP108" s="1945">
        <v>0</v>
      </c>
      <c r="AQ108" s="1945">
        <v>-0.09</v>
      </c>
      <c r="AR108" s="1945">
        <v>0</v>
      </c>
      <c r="AS108" s="1946">
        <f t="shared" si="56"/>
        <v>1007813.0800000001</v>
      </c>
      <c r="AT108" s="1947"/>
      <c r="AU108" s="1948"/>
      <c r="AV108" s="1948"/>
      <c r="AW108" s="1948"/>
      <c r="AX108" s="1948"/>
      <c r="AY108" s="1949">
        <f t="shared" si="57"/>
        <v>0</v>
      </c>
      <c r="AZ108" s="1947"/>
      <c r="BA108" s="1948"/>
      <c r="BB108" s="1948"/>
      <c r="BC108" s="1948"/>
      <c r="BD108" s="1948"/>
      <c r="BE108" s="1949">
        <f t="shared" si="58"/>
        <v>0</v>
      </c>
    </row>
    <row r="109" spans="1:57" s="234" customFormat="1" ht="12.75" customHeight="1" x14ac:dyDescent="0.25">
      <c r="A109" s="1393" t="s">
        <v>116</v>
      </c>
      <c r="B109" s="1936" t="s">
        <v>117</v>
      </c>
      <c r="C109" s="1937" t="s">
        <v>266</v>
      </c>
      <c r="D109" s="1938">
        <f t="shared" si="45"/>
        <v>387025.08999999997</v>
      </c>
      <c r="E109" s="1939">
        <f t="shared" si="46"/>
        <v>421597.85</v>
      </c>
      <c r="F109" s="1939">
        <f t="shared" si="47"/>
        <v>0</v>
      </c>
      <c r="G109" s="1939">
        <f t="shared" si="48"/>
        <v>-9.9999999999999992E-2</v>
      </c>
      <c r="H109" s="1939">
        <f t="shared" si="49"/>
        <v>-9.9999999999999992E-2</v>
      </c>
      <c r="I109" s="1940">
        <f t="shared" si="50"/>
        <v>808622.84</v>
      </c>
      <c r="J109" s="1941">
        <v>132109.85</v>
      </c>
      <c r="K109" s="1942">
        <v>132109.85</v>
      </c>
      <c r="L109" s="1942">
        <v>0</v>
      </c>
      <c r="M109" s="1942">
        <v>-0.09</v>
      </c>
      <c r="N109" s="1942">
        <v>0</v>
      </c>
      <c r="O109" s="1943">
        <f t="shared" si="51"/>
        <v>264219.61</v>
      </c>
      <c r="P109" s="1941">
        <v>251214.62</v>
      </c>
      <c r="Q109" s="1942">
        <v>251214.62</v>
      </c>
      <c r="R109" s="1942">
        <v>0</v>
      </c>
      <c r="S109" s="1942">
        <v>-0.01</v>
      </c>
      <c r="T109" s="1942">
        <v>0</v>
      </c>
      <c r="U109" s="1943">
        <f t="shared" si="52"/>
        <v>502429.23</v>
      </c>
      <c r="V109" s="1941"/>
      <c r="W109" s="1942"/>
      <c r="X109" s="1942"/>
      <c r="Y109" s="1942"/>
      <c r="Z109" s="1942"/>
      <c r="AA109" s="1943">
        <f t="shared" si="53"/>
        <v>0</v>
      </c>
      <c r="AB109" s="1941"/>
      <c r="AC109" s="1942"/>
      <c r="AD109" s="1942"/>
      <c r="AE109" s="1942"/>
      <c r="AF109" s="1942"/>
      <c r="AG109" s="1943">
        <f t="shared" si="54"/>
        <v>0</v>
      </c>
      <c r="AH109" s="1941"/>
      <c r="AI109" s="1942"/>
      <c r="AJ109" s="1942"/>
      <c r="AK109" s="1942"/>
      <c r="AL109" s="1942"/>
      <c r="AM109" s="1943">
        <f t="shared" si="55"/>
        <v>0</v>
      </c>
      <c r="AN109" s="1944">
        <v>3700.62</v>
      </c>
      <c r="AO109" s="1945">
        <v>38273.379999999997</v>
      </c>
      <c r="AP109" s="1945">
        <v>0</v>
      </c>
      <c r="AQ109" s="1945">
        <v>0</v>
      </c>
      <c r="AR109" s="1945">
        <v>0</v>
      </c>
      <c r="AS109" s="1946">
        <f t="shared" si="56"/>
        <v>41974</v>
      </c>
      <c r="AT109" s="1947"/>
      <c r="AU109" s="1948"/>
      <c r="AV109" s="1948"/>
      <c r="AW109" s="1948"/>
      <c r="AX109" s="1948"/>
      <c r="AY109" s="1949">
        <f t="shared" si="57"/>
        <v>0</v>
      </c>
      <c r="AZ109" s="1947"/>
      <c r="BA109" s="1948"/>
      <c r="BB109" s="1948"/>
      <c r="BC109" s="1948"/>
      <c r="BD109" s="1948"/>
      <c r="BE109" s="1949">
        <f t="shared" si="58"/>
        <v>0</v>
      </c>
    </row>
    <row r="110" spans="1:57" s="234" customFormat="1" ht="12.75" customHeight="1" x14ac:dyDescent="0.25">
      <c r="A110" s="1393" t="s">
        <v>138</v>
      </c>
      <c r="B110" s="1936" t="s">
        <v>139</v>
      </c>
      <c r="C110" s="1937" t="s">
        <v>265</v>
      </c>
      <c r="D110" s="1938">
        <f t="shared" si="45"/>
        <v>3352579.3300000005</v>
      </c>
      <c r="E110" s="1939">
        <f t="shared" si="46"/>
        <v>4455451.16</v>
      </c>
      <c r="F110" s="1939">
        <f t="shared" si="47"/>
        <v>0</v>
      </c>
      <c r="G110" s="1939">
        <f t="shared" si="48"/>
        <v>-0.33</v>
      </c>
      <c r="H110" s="1939">
        <f t="shared" si="49"/>
        <v>-0.33</v>
      </c>
      <c r="I110" s="1940">
        <f t="shared" si="50"/>
        <v>7808030.1600000001</v>
      </c>
      <c r="J110" s="1941">
        <v>1271649.1000000001</v>
      </c>
      <c r="K110" s="1942">
        <v>1271649.1000000001</v>
      </c>
      <c r="L110" s="1942">
        <v>0</v>
      </c>
      <c r="M110" s="1942">
        <v>-0.28000000000000003</v>
      </c>
      <c r="N110" s="1942">
        <v>0</v>
      </c>
      <c r="O110" s="1943">
        <f t="shared" si="51"/>
        <v>2543297.9200000004</v>
      </c>
      <c r="P110" s="1941">
        <v>1815879.51</v>
      </c>
      <c r="Q110" s="1942">
        <v>1815879.51</v>
      </c>
      <c r="R110" s="1942">
        <v>0</v>
      </c>
      <c r="S110" s="1942">
        <v>-0.04</v>
      </c>
      <c r="T110" s="1942">
        <v>0</v>
      </c>
      <c r="U110" s="1943">
        <f t="shared" si="52"/>
        <v>3631758.98</v>
      </c>
      <c r="V110" s="1941"/>
      <c r="W110" s="1942"/>
      <c r="X110" s="1942"/>
      <c r="Y110" s="1942"/>
      <c r="Z110" s="1942"/>
      <c r="AA110" s="1943">
        <f t="shared" si="53"/>
        <v>0</v>
      </c>
      <c r="AB110" s="1941"/>
      <c r="AC110" s="1942"/>
      <c r="AD110" s="1942"/>
      <c r="AE110" s="1942"/>
      <c r="AF110" s="1942"/>
      <c r="AG110" s="1943">
        <f t="shared" si="54"/>
        <v>0</v>
      </c>
      <c r="AH110" s="1941"/>
      <c r="AI110" s="1942"/>
      <c r="AJ110" s="1942"/>
      <c r="AK110" s="1942"/>
      <c r="AL110" s="1942"/>
      <c r="AM110" s="1943">
        <f t="shared" si="55"/>
        <v>0</v>
      </c>
      <c r="AN110" s="1944">
        <v>262884.53000000003</v>
      </c>
      <c r="AO110" s="1945">
        <v>1367922.55</v>
      </c>
      <c r="AP110" s="1945">
        <v>0</v>
      </c>
      <c r="AQ110" s="1945">
        <v>-0.01</v>
      </c>
      <c r="AR110" s="1945">
        <v>0</v>
      </c>
      <c r="AS110" s="1946">
        <f t="shared" si="56"/>
        <v>1630807.07</v>
      </c>
      <c r="AT110" s="1947"/>
      <c r="AU110" s="1948"/>
      <c r="AV110" s="1948"/>
      <c r="AW110" s="1948"/>
      <c r="AX110" s="1948"/>
      <c r="AY110" s="1949">
        <f t="shared" si="57"/>
        <v>0</v>
      </c>
      <c r="AZ110" s="1947">
        <v>2166.19</v>
      </c>
      <c r="BA110" s="1948">
        <v>0</v>
      </c>
      <c r="BB110" s="1948">
        <v>0</v>
      </c>
      <c r="BC110" s="1948">
        <v>0</v>
      </c>
      <c r="BD110" s="1948">
        <v>0</v>
      </c>
      <c r="BE110" s="1949">
        <f t="shared" si="58"/>
        <v>2166.19</v>
      </c>
    </row>
    <row r="111" spans="1:57" s="234" customFormat="1" ht="12.75" customHeight="1" x14ac:dyDescent="0.25">
      <c r="A111" s="1393" t="s">
        <v>142</v>
      </c>
      <c r="B111" s="1936" t="s">
        <v>143</v>
      </c>
      <c r="C111" s="1937" t="s">
        <v>267</v>
      </c>
      <c r="D111" s="1938">
        <f t="shared" si="45"/>
        <v>195953.37000000002</v>
      </c>
      <c r="E111" s="1939">
        <f t="shared" si="46"/>
        <v>223452.17</v>
      </c>
      <c r="F111" s="1939">
        <f t="shared" si="47"/>
        <v>0</v>
      </c>
      <c r="G111" s="1939">
        <f t="shared" si="48"/>
        <v>2336.9499999999998</v>
      </c>
      <c r="H111" s="1939">
        <f t="shared" si="49"/>
        <v>2336.9499999999998</v>
      </c>
      <c r="I111" s="1940">
        <f t="shared" si="50"/>
        <v>421742.49000000005</v>
      </c>
      <c r="J111" s="1941">
        <v>94751.77</v>
      </c>
      <c r="K111" s="1942">
        <v>94751.77</v>
      </c>
      <c r="L111" s="1942">
        <v>0</v>
      </c>
      <c r="M111" s="1942">
        <v>2336.9499999999998</v>
      </c>
      <c r="N111" s="1942">
        <v>0</v>
      </c>
      <c r="O111" s="1943">
        <f t="shared" si="51"/>
        <v>191840.49000000002</v>
      </c>
      <c r="P111" s="1941">
        <v>96872</v>
      </c>
      <c r="Q111" s="1942">
        <v>96872</v>
      </c>
      <c r="R111" s="1942">
        <v>0</v>
      </c>
      <c r="S111" s="1942">
        <v>0</v>
      </c>
      <c r="T111" s="1942">
        <v>0</v>
      </c>
      <c r="U111" s="1943">
        <f t="shared" si="52"/>
        <v>193744</v>
      </c>
      <c r="V111" s="1941"/>
      <c r="W111" s="1942"/>
      <c r="X111" s="1942"/>
      <c r="Y111" s="1942"/>
      <c r="Z111" s="1942"/>
      <c r="AA111" s="1943">
        <f t="shared" si="53"/>
        <v>0</v>
      </c>
      <c r="AB111" s="1941"/>
      <c r="AC111" s="1942"/>
      <c r="AD111" s="1942"/>
      <c r="AE111" s="1942"/>
      <c r="AF111" s="1942"/>
      <c r="AG111" s="1943">
        <f t="shared" si="54"/>
        <v>0</v>
      </c>
      <c r="AH111" s="1941"/>
      <c r="AI111" s="1942"/>
      <c r="AJ111" s="1942"/>
      <c r="AK111" s="1942"/>
      <c r="AL111" s="1942"/>
      <c r="AM111" s="1943">
        <f t="shared" si="55"/>
        <v>0</v>
      </c>
      <c r="AN111" s="1944">
        <v>4329.6000000000004</v>
      </c>
      <c r="AO111" s="1945">
        <v>31828.400000000001</v>
      </c>
      <c r="AP111" s="1945">
        <v>0</v>
      </c>
      <c r="AQ111" s="1945">
        <v>0</v>
      </c>
      <c r="AR111" s="1945">
        <v>0</v>
      </c>
      <c r="AS111" s="1946">
        <f t="shared" si="56"/>
        <v>36158</v>
      </c>
      <c r="AT111" s="1947"/>
      <c r="AU111" s="1948"/>
      <c r="AV111" s="1948"/>
      <c r="AW111" s="1948"/>
      <c r="AX111" s="1948"/>
      <c r="AY111" s="1949">
        <f t="shared" si="57"/>
        <v>0</v>
      </c>
      <c r="AZ111" s="1947"/>
      <c r="BA111" s="1948"/>
      <c r="BB111" s="1948"/>
      <c r="BC111" s="1948"/>
      <c r="BD111" s="1948"/>
      <c r="BE111" s="1949">
        <f t="shared" si="58"/>
        <v>0</v>
      </c>
    </row>
    <row r="112" spans="1:57" s="234" customFormat="1" ht="12.75" customHeight="1" x14ac:dyDescent="0.25">
      <c r="A112" s="1393" t="s">
        <v>144</v>
      </c>
      <c r="B112" s="1936" t="s">
        <v>145</v>
      </c>
      <c r="C112" s="1937" t="s">
        <v>267</v>
      </c>
      <c r="D112" s="1938">
        <f t="shared" si="45"/>
        <v>30293.09</v>
      </c>
      <c r="E112" s="1939">
        <f t="shared" si="46"/>
        <v>28409.09</v>
      </c>
      <c r="F112" s="1939">
        <f t="shared" si="47"/>
        <v>0</v>
      </c>
      <c r="G112" s="1939">
        <f t="shared" si="48"/>
        <v>-2457.37</v>
      </c>
      <c r="H112" s="1939">
        <f t="shared" si="49"/>
        <v>-2457.37</v>
      </c>
      <c r="I112" s="1940">
        <f t="shared" si="50"/>
        <v>56244.81</v>
      </c>
      <c r="J112" s="1941">
        <v>25688.09</v>
      </c>
      <c r="K112" s="1942">
        <v>25688.09</v>
      </c>
      <c r="L112" s="1942">
        <v>0</v>
      </c>
      <c r="M112" s="1942">
        <v>-5010.16</v>
      </c>
      <c r="N112" s="1942">
        <v>2552.79</v>
      </c>
      <c r="O112" s="1943">
        <f t="shared" si="51"/>
        <v>48918.810000000005</v>
      </c>
      <c r="P112" s="1941">
        <v>4605</v>
      </c>
      <c r="Q112" s="1942">
        <v>4605</v>
      </c>
      <c r="R112" s="1942">
        <v>0</v>
      </c>
      <c r="S112" s="1942">
        <v>0</v>
      </c>
      <c r="T112" s="1942">
        <v>0</v>
      </c>
      <c r="U112" s="1943">
        <f t="shared" si="52"/>
        <v>9210</v>
      </c>
      <c r="V112" s="1941"/>
      <c r="W112" s="1942"/>
      <c r="X112" s="1942"/>
      <c r="Y112" s="1942"/>
      <c r="Z112" s="1942"/>
      <c r="AA112" s="1943">
        <f t="shared" si="53"/>
        <v>0</v>
      </c>
      <c r="AB112" s="1941"/>
      <c r="AC112" s="1942"/>
      <c r="AD112" s="1942"/>
      <c r="AE112" s="1942"/>
      <c r="AF112" s="1942"/>
      <c r="AG112" s="1943">
        <f t="shared" si="54"/>
        <v>0</v>
      </c>
      <c r="AH112" s="1941"/>
      <c r="AI112" s="1942"/>
      <c r="AJ112" s="1942"/>
      <c r="AK112" s="1942"/>
      <c r="AL112" s="1942"/>
      <c r="AM112" s="1943">
        <f t="shared" si="55"/>
        <v>0</v>
      </c>
      <c r="AN112" s="1944">
        <v>0</v>
      </c>
      <c r="AO112" s="1945">
        <v>-1884</v>
      </c>
      <c r="AP112" s="1945">
        <v>0</v>
      </c>
      <c r="AQ112" s="1945">
        <v>0</v>
      </c>
      <c r="AR112" s="1945">
        <v>0</v>
      </c>
      <c r="AS112" s="1946">
        <f t="shared" si="56"/>
        <v>-1884</v>
      </c>
      <c r="AT112" s="1947"/>
      <c r="AU112" s="1948"/>
      <c r="AV112" s="1948"/>
      <c r="AW112" s="1948"/>
      <c r="AX112" s="1948"/>
      <c r="AY112" s="1949">
        <f t="shared" si="57"/>
        <v>0</v>
      </c>
      <c r="AZ112" s="1947"/>
      <c r="BA112" s="1948"/>
      <c r="BB112" s="1948"/>
      <c r="BC112" s="1948"/>
      <c r="BD112" s="1948"/>
      <c r="BE112" s="1949">
        <f t="shared" si="58"/>
        <v>0</v>
      </c>
    </row>
    <row r="113" spans="1:57" s="234" customFormat="1" ht="12.75" customHeight="1" x14ac:dyDescent="0.25">
      <c r="A113" s="1393" t="s">
        <v>158</v>
      </c>
      <c r="B113" s="1936" t="s">
        <v>159</v>
      </c>
      <c r="C113" s="1937" t="s">
        <v>264</v>
      </c>
      <c r="D113" s="1938">
        <f t="shared" si="45"/>
        <v>2160805.0100000007</v>
      </c>
      <c r="E113" s="1939">
        <f t="shared" si="46"/>
        <v>2467541.3500000006</v>
      </c>
      <c r="F113" s="1939">
        <f t="shared" si="47"/>
        <v>0</v>
      </c>
      <c r="G113" s="1939">
        <f t="shared" si="48"/>
        <v>-0.28000000000000003</v>
      </c>
      <c r="H113" s="1939">
        <f t="shared" si="49"/>
        <v>-0.28000000000000003</v>
      </c>
      <c r="I113" s="1940">
        <f t="shared" si="50"/>
        <v>4628346.080000001</v>
      </c>
      <c r="J113" s="1941">
        <v>399220.93</v>
      </c>
      <c r="K113" s="1942">
        <v>399220.93</v>
      </c>
      <c r="L113" s="1942">
        <v>0</v>
      </c>
      <c r="M113" s="1942">
        <v>-0.21</v>
      </c>
      <c r="N113" s="1942">
        <v>0</v>
      </c>
      <c r="O113" s="1943">
        <f t="shared" si="51"/>
        <v>798441.65</v>
      </c>
      <c r="P113" s="1941">
        <v>1699397.87</v>
      </c>
      <c r="Q113" s="1942">
        <v>1699397.87</v>
      </c>
      <c r="R113" s="1942">
        <v>0</v>
      </c>
      <c r="S113" s="1942">
        <v>-0.05</v>
      </c>
      <c r="T113" s="1942">
        <v>0</v>
      </c>
      <c r="U113" s="1943">
        <f t="shared" si="52"/>
        <v>3398795.6900000004</v>
      </c>
      <c r="V113" s="1941">
        <v>13630.35</v>
      </c>
      <c r="W113" s="1942">
        <v>13630.35</v>
      </c>
      <c r="X113" s="1942">
        <v>0</v>
      </c>
      <c r="Y113" s="1942">
        <v>-0.01</v>
      </c>
      <c r="Z113" s="1942">
        <v>0</v>
      </c>
      <c r="AA113" s="1943">
        <f t="shared" si="53"/>
        <v>27260.690000000002</v>
      </c>
      <c r="AB113" s="1941"/>
      <c r="AC113" s="1942"/>
      <c r="AD113" s="1942"/>
      <c r="AE113" s="1942"/>
      <c r="AF113" s="1942"/>
      <c r="AG113" s="1943">
        <f t="shared" si="54"/>
        <v>0</v>
      </c>
      <c r="AH113" s="1941"/>
      <c r="AI113" s="1942"/>
      <c r="AJ113" s="1942"/>
      <c r="AK113" s="1942"/>
      <c r="AL113" s="1942"/>
      <c r="AM113" s="1943">
        <f t="shared" si="55"/>
        <v>0</v>
      </c>
      <c r="AN113" s="1944">
        <v>39767.39</v>
      </c>
      <c r="AO113" s="1945">
        <v>355292.2</v>
      </c>
      <c r="AP113" s="1945">
        <v>0</v>
      </c>
      <c r="AQ113" s="1945">
        <v>-0.01</v>
      </c>
      <c r="AR113" s="1945">
        <v>0</v>
      </c>
      <c r="AS113" s="1946">
        <f t="shared" si="56"/>
        <v>395059.58</v>
      </c>
      <c r="AT113" s="1947"/>
      <c r="AU113" s="1948"/>
      <c r="AV113" s="1948"/>
      <c r="AW113" s="1948"/>
      <c r="AX113" s="1948"/>
      <c r="AY113" s="1949">
        <f t="shared" si="57"/>
        <v>0</v>
      </c>
      <c r="AZ113" s="1947">
        <v>8788.4699999999993</v>
      </c>
      <c r="BA113" s="1948">
        <v>0</v>
      </c>
      <c r="BB113" s="1948">
        <v>0</v>
      </c>
      <c r="BC113" s="1948">
        <v>0</v>
      </c>
      <c r="BD113" s="1948">
        <v>0</v>
      </c>
      <c r="BE113" s="1949">
        <f t="shared" si="58"/>
        <v>8788.4699999999993</v>
      </c>
    </row>
    <row r="114" spans="1:57" s="234" customFormat="1" ht="12.75" customHeight="1" x14ac:dyDescent="0.25">
      <c r="A114" s="1393" t="s">
        <v>160</v>
      </c>
      <c r="B114" s="1936" t="s">
        <v>161</v>
      </c>
      <c r="C114" s="1937" t="s">
        <v>264</v>
      </c>
      <c r="D114" s="1938">
        <f t="shared" si="45"/>
        <v>3239127.4799999995</v>
      </c>
      <c r="E114" s="1939">
        <f t="shared" si="46"/>
        <v>3679093.5599999996</v>
      </c>
      <c r="F114" s="1939">
        <f t="shared" si="47"/>
        <v>0</v>
      </c>
      <c r="G114" s="1939">
        <f t="shared" si="48"/>
        <v>-0.36</v>
      </c>
      <c r="H114" s="1939">
        <f t="shared" si="49"/>
        <v>-0.36</v>
      </c>
      <c r="I114" s="1940">
        <f t="shared" si="50"/>
        <v>6918220.6799999988</v>
      </c>
      <c r="J114" s="1941">
        <v>986635.65</v>
      </c>
      <c r="K114" s="1942">
        <v>986635.65</v>
      </c>
      <c r="L114" s="1942">
        <v>0</v>
      </c>
      <c r="M114" s="1942">
        <v>-0.17</v>
      </c>
      <c r="N114" s="1942">
        <v>0</v>
      </c>
      <c r="O114" s="1943">
        <f t="shared" si="51"/>
        <v>1973271.1300000001</v>
      </c>
      <c r="P114" s="1941">
        <v>2170756.9</v>
      </c>
      <c r="Q114" s="1942">
        <v>2170756.9</v>
      </c>
      <c r="R114" s="1942">
        <v>0</v>
      </c>
      <c r="S114" s="1942">
        <v>-0.08</v>
      </c>
      <c r="T114" s="1942">
        <v>0</v>
      </c>
      <c r="U114" s="1943">
        <f t="shared" si="52"/>
        <v>4341513.72</v>
      </c>
      <c r="V114" s="1941">
        <v>16945.03</v>
      </c>
      <c r="W114" s="1942">
        <v>16945.03</v>
      </c>
      <c r="X114" s="1942">
        <v>0</v>
      </c>
      <c r="Y114" s="1942">
        <v>-0.09</v>
      </c>
      <c r="Z114" s="1942">
        <v>0</v>
      </c>
      <c r="AA114" s="1943">
        <f t="shared" si="53"/>
        <v>33889.97</v>
      </c>
      <c r="AB114" s="1941"/>
      <c r="AC114" s="1942"/>
      <c r="AD114" s="1942"/>
      <c r="AE114" s="1942"/>
      <c r="AF114" s="1942"/>
      <c r="AG114" s="1943">
        <f t="shared" si="54"/>
        <v>0</v>
      </c>
      <c r="AH114" s="1941"/>
      <c r="AI114" s="1942"/>
      <c r="AJ114" s="1942"/>
      <c r="AK114" s="1942"/>
      <c r="AL114" s="1942"/>
      <c r="AM114" s="1943">
        <f t="shared" si="55"/>
        <v>0</v>
      </c>
      <c r="AN114" s="1944">
        <v>61796.11</v>
      </c>
      <c r="AO114" s="1945">
        <v>504755.98</v>
      </c>
      <c r="AP114" s="1945">
        <v>0</v>
      </c>
      <c r="AQ114" s="1945">
        <v>-0.02</v>
      </c>
      <c r="AR114" s="1945">
        <v>0</v>
      </c>
      <c r="AS114" s="1946">
        <f t="shared" si="56"/>
        <v>566552.06999999995</v>
      </c>
      <c r="AT114" s="1947"/>
      <c r="AU114" s="1948"/>
      <c r="AV114" s="1948"/>
      <c r="AW114" s="1948"/>
      <c r="AX114" s="1948"/>
      <c r="AY114" s="1949">
        <f t="shared" si="57"/>
        <v>0</v>
      </c>
      <c r="AZ114" s="1947">
        <v>2993.79</v>
      </c>
      <c r="BA114" s="1948">
        <v>0</v>
      </c>
      <c r="BB114" s="1948">
        <v>0</v>
      </c>
      <c r="BC114" s="1948">
        <v>0</v>
      </c>
      <c r="BD114" s="1948">
        <v>0</v>
      </c>
      <c r="BE114" s="1949">
        <f t="shared" si="58"/>
        <v>2993.79</v>
      </c>
    </row>
    <row r="115" spans="1:57" s="234" customFormat="1" ht="12.75" customHeight="1" x14ac:dyDescent="0.25">
      <c r="A115" s="1393" t="s">
        <v>166</v>
      </c>
      <c r="B115" s="1936" t="s">
        <v>167</v>
      </c>
      <c r="C115" s="1937" t="s">
        <v>268</v>
      </c>
      <c r="D115" s="1938">
        <f t="shared" si="45"/>
        <v>91061.4</v>
      </c>
      <c r="E115" s="1939">
        <f t="shared" si="46"/>
        <v>97770.51999999999</v>
      </c>
      <c r="F115" s="1939">
        <f t="shared" si="47"/>
        <v>0</v>
      </c>
      <c r="G115" s="1939">
        <f t="shared" si="48"/>
        <v>-0.06</v>
      </c>
      <c r="H115" s="1939">
        <f t="shared" si="49"/>
        <v>-0.06</v>
      </c>
      <c r="I115" s="1940">
        <f t="shared" si="50"/>
        <v>188831.86</v>
      </c>
      <c r="J115" s="1941">
        <v>58322.87</v>
      </c>
      <c r="K115" s="1942">
        <v>58322.87</v>
      </c>
      <c r="L115" s="1942">
        <v>0</v>
      </c>
      <c r="M115" s="1942">
        <v>-0.04</v>
      </c>
      <c r="N115" s="1942">
        <v>0</v>
      </c>
      <c r="O115" s="1943">
        <f t="shared" si="51"/>
        <v>116645.70000000001</v>
      </c>
      <c r="P115" s="1941">
        <v>31370.5</v>
      </c>
      <c r="Q115" s="1942">
        <v>31370.5</v>
      </c>
      <c r="R115" s="1942">
        <v>0</v>
      </c>
      <c r="S115" s="1942">
        <v>0</v>
      </c>
      <c r="T115" s="1942">
        <v>0</v>
      </c>
      <c r="U115" s="1943">
        <f t="shared" si="52"/>
        <v>62741</v>
      </c>
      <c r="V115" s="1941">
        <v>883.59</v>
      </c>
      <c r="W115" s="1942">
        <v>883.59</v>
      </c>
      <c r="X115" s="1942">
        <v>0</v>
      </c>
      <c r="Y115" s="1942">
        <v>-0.02</v>
      </c>
      <c r="Z115" s="1942">
        <v>0</v>
      </c>
      <c r="AA115" s="1943">
        <f t="shared" si="53"/>
        <v>1767.16</v>
      </c>
      <c r="AB115" s="1941"/>
      <c r="AC115" s="1942"/>
      <c r="AD115" s="1942"/>
      <c r="AE115" s="1942"/>
      <c r="AF115" s="1942"/>
      <c r="AG115" s="1943">
        <f t="shared" si="54"/>
        <v>0</v>
      </c>
      <c r="AH115" s="1941"/>
      <c r="AI115" s="1942"/>
      <c r="AJ115" s="1942"/>
      <c r="AK115" s="1942"/>
      <c r="AL115" s="1942"/>
      <c r="AM115" s="1943">
        <f t="shared" si="55"/>
        <v>0</v>
      </c>
      <c r="AN115" s="1944">
        <v>484.44</v>
      </c>
      <c r="AO115" s="1945">
        <v>7193.56</v>
      </c>
      <c r="AP115" s="1945">
        <v>0</v>
      </c>
      <c r="AQ115" s="1945">
        <v>0</v>
      </c>
      <c r="AR115" s="1945">
        <v>0</v>
      </c>
      <c r="AS115" s="1946">
        <f t="shared" si="56"/>
        <v>7678</v>
      </c>
      <c r="AT115" s="1947"/>
      <c r="AU115" s="1948"/>
      <c r="AV115" s="1948"/>
      <c r="AW115" s="1948"/>
      <c r="AX115" s="1948"/>
      <c r="AY115" s="1949">
        <f t="shared" si="57"/>
        <v>0</v>
      </c>
      <c r="AZ115" s="1947"/>
      <c r="BA115" s="1948"/>
      <c r="BB115" s="1948"/>
      <c r="BC115" s="1948"/>
      <c r="BD115" s="1948"/>
      <c r="BE115" s="1949">
        <f t="shared" si="58"/>
        <v>0</v>
      </c>
    </row>
    <row r="116" spans="1:57" s="234" customFormat="1" ht="12.75" customHeight="1" x14ac:dyDescent="0.25">
      <c r="A116" s="1393" t="s">
        <v>176</v>
      </c>
      <c r="B116" s="1936" t="s">
        <v>177</v>
      </c>
      <c r="C116" s="1937" t="s">
        <v>266</v>
      </c>
      <c r="D116" s="1938">
        <f t="shared" si="45"/>
        <v>1274302.8500000001</v>
      </c>
      <c r="E116" s="1939">
        <f t="shared" si="46"/>
        <v>1476815.9700000002</v>
      </c>
      <c r="F116" s="1939">
        <f t="shared" si="47"/>
        <v>0</v>
      </c>
      <c r="G116" s="1939">
        <f t="shared" si="48"/>
        <v>-46846.49</v>
      </c>
      <c r="H116" s="1939">
        <f t="shared" si="49"/>
        <v>-46846.49</v>
      </c>
      <c r="I116" s="1940">
        <f t="shared" si="50"/>
        <v>2704272.33</v>
      </c>
      <c r="J116" s="1941">
        <v>565024.66</v>
      </c>
      <c r="K116" s="1942">
        <v>565024.66</v>
      </c>
      <c r="L116" s="1942">
        <v>0</v>
      </c>
      <c r="M116" s="1942">
        <v>-0.1</v>
      </c>
      <c r="N116" s="1942">
        <v>-46846.38</v>
      </c>
      <c r="O116" s="1943">
        <f t="shared" si="51"/>
        <v>1083202.8400000001</v>
      </c>
      <c r="P116" s="1941">
        <v>692713.29</v>
      </c>
      <c r="Q116" s="1942">
        <v>692713.29</v>
      </c>
      <c r="R116" s="1942">
        <v>0</v>
      </c>
      <c r="S116" s="1942">
        <v>-0.01</v>
      </c>
      <c r="T116" s="1942">
        <v>0</v>
      </c>
      <c r="U116" s="1943">
        <f t="shared" si="52"/>
        <v>1385426.57</v>
      </c>
      <c r="V116" s="1941"/>
      <c r="W116" s="1942"/>
      <c r="X116" s="1942"/>
      <c r="Y116" s="1942"/>
      <c r="Z116" s="1942"/>
      <c r="AA116" s="1943">
        <f t="shared" si="53"/>
        <v>0</v>
      </c>
      <c r="AB116" s="1941"/>
      <c r="AC116" s="1942"/>
      <c r="AD116" s="1942"/>
      <c r="AE116" s="1942"/>
      <c r="AF116" s="1942"/>
      <c r="AG116" s="1943">
        <f t="shared" si="54"/>
        <v>0</v>
      </c>
      <c r="AH116" s="1941"/>
      <c r="AI116" s="1942"/>
      <c r="AJ116" s="1942"/>
      <c r="AK116" s="1942"/>
      <c r="AL116" s="1942"/>
      <c r="AM116" s="1943">
        <f t="shared" si="55"/>
        <v>0</v>
      </c>
      <c r="AN116" s="1944">
        <v>16564.900000000001</v>
      </c>
      <c r="AO116" s="1945">
        <v>219078.02</v>
      </c>
      <c r="AP116" s="1945">
        <v>0</v>
      </c>
      <c r="AQ116" s="1945">
        <v>0</v>
      </c>
      <c r="AR116" s="1945">
        <v>0</v>
      </c>
      <c r="AS116" s="1946">
        <f t="shared" si="56"/>
        <v>235642.91999999998</v>
      </c>
      <c r="AT116" s="1947"/>
      <c r="AU116" s="1948"/>
      <c r="AV116" s="1948"/>
      <c r="AW116" s="1948"/>
      <c r="AX116" s="1948"/>
      <c r="AY116" s="1949">
        <f t="shared" si="57"/>
        <v>0</v>
      </c>
      <c r="AZ116" s="1947"/>
      <c r="BA116" s="1948"/>
      <c r="BB116" s="1948"/>
      <c r="BC116" s="1948"/>
      <c r="BD116" s="1948"/>
      <c r="BE116" s="1949">
        <f t="shared" si="58"/>
        <v>0</v>
      </c>
    </row>
    <row r="117" spans="1:57" s="234" customFormat="1" ht="12.75" customHeight="1" x14ac:dyDescent="0.25">
      <c r="A117" s="1393" t="s">
        <v>180</v>
      </c>
      <c r="B117" s="1936" t="s">
        <v>181</v>
      </c>
      <c r="C117" s="1937" t="s">
        <v>264</v>
      </c>
      <c r="D117" s="1938">
        <f t="shared" si="45"/>
        <v>1496602.73</v>
      </c>
      <c r="E117" s="1939">
        <f t="shared" si="46"/>
        <v>1857168.5699999998</v>
      </c>
      <c r="F117" s="1939">
        <f t="shared" si="47"/>
        <v>0</v>
      </c>
      <c r="G117" s="1939">
        <f t="shared" si="48"/>
        <v>-0.33999999999999997</v>
      </c>
      <c r="H117" s="1939">
        <f t="shared" si="49"/>
        <v>-0.33999999999999997</v>
      </c>
      <c r="I117" s="1940">
        <f t="shared" si="50"/>
        <v>3353770.96</v>
      </c>
      <c r="J117" s="1941">
        <v>612523.43999999994</v>
      </c>
      <c r="K117" s="1942">
        <v>612523.43999999994</v>
      </c>
      <c r="L117" s="1942">
        <v>0</v>
      </c>
      <c r="M117" s="1942">
        <v>-0.28999999999999998</v>
      </c>
      <c r="N117" s="1942">
        <v>0</v>
      </c>
      <c r="O117" s="1943">
        <f t="shared" si="51"/>
        <v>1225046.5899999999</v>
      </c>
      <c r="P117" s="1941">
        <v>866050.04</v>
      </c>
      <c r="Q117" s="1942">
        <v>866050.04</v>
      </c>
      <c r="R117" s="1942">
        <v>0</v>
      </c>
      <c r="S117" s="1942">
        <v>-0.03</v>
      </c>
      <c r="T117" s="1942">
        <v>0</v>
      </c>
      <c r="U117" s="1943">
        <f t="shared" si="52"/>
        <v>1732100.05</v>
      </c>
      <c r="V117" s="1941">
        <v>13495.65</v>
      </c>
      <c r="W117" s="1942">
        <v>13495.65</v>
      </c>
      <c r="X117" s="1942">
        <v>0</v>
      </c>
      <c r="Y117" s="1942">
        <v>-0.02</v>
      </c>
      <c r="Z117" s="1942">
        <v>0</v>
      </c>
      <c r="AA117" s="1943">
        <f t="shared" si="53"/>
        <v>26991.279999999999</v>
      </c>
      <c r="AB117" s="1941"/>
      <c r="AC117" s="1942"/>
      <c r="AD117" s="1942"/>
      <c r="AE117" s="1942"/>
      <c r="AF117" s="1942"/>
      <c r="AG117" s="1943">
        <f t="shared" si="54"/>
        <v>0</v>
      </c>
      <c r="AH117" s="1941">
        <v>2250</v>
      </c>
      <c r="AI117" s="1942">
        <v>2250</v>
      </c>
      <c r="AJ117" s="1942">
        <v>0</v>
      </c>
      <c r="AK117" s="1942">
        <v>0</v>
      </c>
      <c r="AL117" s="1942">
        <v>0</v>
      </c>
      <c r="AM117" s="1943">
        <f t="shared" si="55"/>
        <v>4500</v>
      </c>
      <c r="AN117" s="1944">
        <v>2283.6</v>
      </c>
      <c r="AO117" s="1945">
        <v>362849.44</v>
      </c>
      <c r="AP117" s="1945">
        <v>0</v>
      </c>
      <c r="AQ117" s="1945">
        <v>0</v>
      </c>
      <c r="AR117" s="1945">
        <v>0</v>
      </c>
      <c r="AS117" s="1946">
        <f t="shared" si="56"/>
        <v>365133.04</v>
      </c>
      <c r="AT117" s="1947"/>
      <c r="AU117" s="1948"/>
      <c r="AV117" s="1948"/>
      <c r="AW117" s="1948"/>
      <c r="AX117" s="1948"/>
      <c r="AY117" s="1949">
        <f t="shared" si="57"/>
        <v>0</v>
      </c>
      <c r="AZ117" s="1947"/>
      <c r="BA117" s="1948"/>
      <c r="BB117" s="1948"/>
      <c r="BC117" s="1948"/>
      <c r="BD117" s="1948"/>
      <c r="BE117" s="1949">
        <f t="shared" si="58"/>
        <v>0</v>
      </c>
    </row>
    <row r="118" spans="1:57" s="234" customFormat="1" ht="12.75" customHeight="1" x14ac:dyDescent="0.25">
      <c r="A118" s="1393" t="s">
        <v>192</v>
      </c>
      <c r="B118" s="1936" t="s">
        <v>193</v>
      </c>
      <c r="C118" s="1937" t="s">
        <v>268</v>
      </c>
      <c r="D118" s="1938">
        <f t="shared" si="45"/>
        <v>329606.82</v>
      </c>
      <c r="E118" s="1939">
        <f t="shared" si="46"/>
        <v>353811.02</v>
      </c>
      <c r="F118" s="1939">
        <f t="shared" si="47"/>
        <v>0</v>
      </c>
      <c r="G118" s="1939">
        <f t="shared" si="48"/>
        <v>-6.9999999999999993E-2</v>
      </c>
      <c r="H118" s="1939">
        <f t="shared" si="49"/>
        <v>-6.9999999999999993E-2</v>
      </c>
      <c r="I118" s="1940">
        <f t="shared" si="50"/>
        <v>683417.77000000014</v>
      </c>
      <c r="J118" s="1941">
        <v>140427.87</v>
      </c>
      <c r="K118" s="1942">
        <v>140427.87</v>
      </c>
      <c r="L118" s="1942">
        <v>0</v>
      </c>
      <c r="M118" s="1942">
        <v>-0.06</v>
      </c>
      <c r="N118" s="1942">
        <v>0</v>
      </c>
      <c r="O118" s="1943">
        <f t="shared" si="51"/>
        <v>280855.67999999999</v>
      </c>
      <c r="P118" s="1941">
        <v>183134.2</v>
      </c>
      <c r="Q118" s="1942">
        <v>183134.2</v>
      </c>
      <c r="R118" s="1942">
        <v>0</v>
      </c>
      <c r="S118" s="1942">
        <v>-0.01</v>
      </c>
      <c r="T118" s="1942">
        <v>0</v>
      </c>
      <c r="U118" s="1943">
        <f t="shared" si="52"/>
        <v>366268.39</v>
      </c>
      <c r="V118" s="1941"/>
      <c r="W118" s="1942"/>
      <c r="X118" s="1942"/>
      <c r="Y118" s="1942"/>
      <c r="Z118" s="1942"/>
      <c r="AA118" s="1943">
        <f t="shared" si="53"/>
        <v>0</v>
      </c>
      <c r="AB118" s="1941"/>
      <c r="AC118" s="1942"/>
      <c r="AD118" s="1942"/>
      <c r="AE118" s="1942"/>
      <c r="AF118" s="1942"/>
      <c r="AG118" s="1943">
        <f t="shared" si="54"/>
        <v>0</v>
      </c>
      <c r="AH118" s="1941"/>
      <c r="AI118" s="1942"/>
      <c r="AJ118" s="1942"/>
      <c r="AK118" s="1942"/>
      <c r="AL118" s="1942"/>
      <c r="AM118" s="1943">
        <f t="shared" si="55"/>
        <v>0</v>
      </c>
      <c r="AN118" s="1944">
        <v>6044.75</v>
      </c>
      <c r="AO118" s="1945">
        <v>30248.95</v>
      </c>
      <c r="AP118" s="1945">
        <v>0</v>
      </c>
      <c r="AQ118" s="1945">
        <v>0</v>
      </c>
      <c r="AR118" s="1945">
        <v>0</v>
      </c>
      <c r="AS118" s="1946">
        <f t="shared" si="56"/>
        <v>36293.699999999997</v>
      </c>
      <c r="AT118" s="1947"/>
      <c r="AU118" s="1948"/>
      <c r="AV118" s="1948"/>
      <c r="AW118" s="1948"/>
      <c r="AX118" s="1948"/>
      <c r="AY118" s="1949">
        <f t="shared" si="57"/>
        <v>0</v>
      </c>
      <c r="AZ118" s="1947"/>
      <c r="BA118" s="1948"/>
      <c r="BB118" s="1948"/>
      <c r="BC118" s="1948"/>
      <c r="BD118" s="1948"/>
      <c r="BE118" s="1949">
        <f t="shared" si="58"/>
        <v>0</v>
      </c>
    </row>
    <row r="119" spans="1:57" s="234" customFormat="1" ht="12.75" customHeight="1" x14ac:dyDescent="0.25">
      <c r="A119" s="1393" t="s">
        <v>196</v>
      </c>
      <c r="B119" s="1936" t="s">
        <v>312</v>
      </c>
      <c r="C119" s="1937" t="s">
        <v>266</v>
      </c>
      <c r="D119" s="1938">
        <f t="shared" si="45"/>
        <v>5342947.8800000008</v>
      </c>
      <c r="E119" s="1939">
        <f t="shared" si="46"/>
        <v>6436197.040000001</v>
      </c>
      <c r="F119" s="1939">
        <f t="shared" si="47"/>
        <v>0</v>
      </c>
      <c r="G119" s="1939">
        <f t="shared" si="48"/>
        <v>229.09</v>
      </c>
      <c r="H119" s="1939">
        <f t="shared" si="49"/>
        <v>229.09</v>
      </c>
      <c r="I119" s="1940">
        <f t="shared" si="50"/>
        <v>11779374.010000002</v>
      </c>
      <c r="J119" s="1941">
        <v>2431762.62</v>
      </c>
      <c r="K119" s="1942">
        <v>2431762.62</v>
      </c>
      <c r="L119" s="1942">
        <v>0</v>
      </c>
      <c r="M119" s="1942">
        <v>-0.36</v>
      </c>
      <c r="N119" s="1942">
        <v>0</v>
      </c>
      <c r="O119" s="1943">
        <f t="shared" si="51"/>
        <v>4863524.88</v>
      </c>
      <c r="P119" s="1941">
        <v>2690268.02</v>
      </c>
      <c r="Q119" s="1942">
        <v>2690268.02</v>
      </c>
      <c r="R119" s="1942">
        <v>0</v>
      </c>
      <c r="S119" s="1942">
        <v>-0.04</v>
      </c>
      <c r="T119" s="1942">
        <v>229.57</v>
      </c>
      <c r="U119" s="1943">
        <f t="shared" si="52"/>
        <v>5380765.5700000003</v>
      </c>
      <c r="V119" s="1941">
        <v>33887.07</v>
      </c>
      <c r="W119" s="1942">
        <v>33887.07</v>
      </c>
      <c r="X119" s="1942">
        <v>0</v>
      </c>
      <c r="Y119" s="1942">
        <v>-7.0000000000000007E-2</v>
      </c>
      <c r="Z119" s="1942">
        <v>0</v>
      </c>
      <c r="AA119" s="1943">
        <f t="shared" si="53"/>
        <v>67774.069999999992</v>
      </c>
      <c r="AB119" s="1941"/>
      <c r="AC119" s="1942"/>
      <c r="AD119" s="1942"/>
      <c r="AE119" s="1942"/>
      <c r="AF119" s="1942"/>
      <c r="AG119" s="1943">
        <f t="shared" si="54"/>
        <v>0</v>
      </c>
      <c r="AH119" s="1941"/>
      <c r="AI119" s="1942"/>
      <c r="AJ119" s="1942"/>
      <c r="AK119" s="1942"/>
      <c r="AL119" s="1942"/>
      <c r="AM119" s="1943">
        <f t="shared" si="55"/>
        <v>0</v>
      </c>
      <c r="AN119" s="1944">
        <v>184722.18</v>
      </c>
      <c r="AO119" s="1945">
        <v>1280279.33</v>
      </c>
      <c r="AP119" s="1945">
        <v>0</v>
      </c>
      <c r="AQ119" s="1945">
        <v>-0.01</v>
      </c>
      <c r="AR119" s="1945">
        <v>0</v>
      </c>
      <c r="AS119" s="1946">
        <f t="shared" si="56"/>
        <v>1465001.5</v>
      </c>
      <c r="AT119" s="1947"/>
      <c r="AU119" s="1948"/>
      <c r="AV119" s="1948"/>
      <c r="AW119" s="1948"/>
      <c r="AX119" s="1948"/>
      <c r="AY119" s="1949">
        <f t="shared" si="57"/>
        <v>0</v>
      </c>
      <c r="AZ119" s="1947">
        <v>2307.9899999999998</v>
      </c>
      <c r="BA119" s="1948">
        <v>0</v>
      </c>
      <c r="BB119" s="1948">
        <v>0</v>
      </c>
      <c r="BC119" s="1948">
        <v>0</v>
      </c>
      <c r="BD119" s="1948">
        <v>0</v>
      </c>
      <c r="BE119" s="1949">
        <f t="shared" si="58"/>
        <v>2307.9899999999998</v>
      </c>
    </row>
    <row r="120" spans="1:57" s="234" customFormat="1" ht="12.75" customHeight="1" x14ac:dyDescent="0.25">
      <c r="A120" s="1393" t="s">
        <v>200</v>
      </c>
      <c r="B120" s="1936" t="s">
        <v>313</v>
      </c>
      <c r="C120" s="1937" t="s">
        <v>265</v>
      </c>
      <c r="D120" s="1938">
        <f t="shared" si="45"/>
        <v>4708966.4300000006</v>
      </c>
      <c r="E120" s="1939">
        <f t="shared" si="46"/>
        <v>5812476.3200000003</v>
      </c>
      <c r="F120" s="1939">
        <f t="shared" si="47"/>
        <v>0</v>
      </c>
      <c r="G120" s="1939">
        <f t="shared" si="48"/>
        <v>3336.47</v>
      </c>
      <c r="H120" s="1939">
        <f t="shared" si="49"/>
        <v>3336.47</v>
      </c>
      <c r="I120" s="1940">
        <f t="shared" si="50"/>
        <v>10524779.220000001</v>
      </c>
      <c r="J120" s="1941">
        <v>1645085.72</v>
      </c>
      <c r="K120" s="1942">
        <v>1645085.72</v>
      </c>
      <c r="L120" s="1942">
        <v>0</v>
      </c>
      <c r="M120" s="1942">
        <v>3807.55</v>
      </c>
      <c r="N120" s="1942">
        <v>0</v>
      </c>
      <c r="O120" s="1943">
        <f t="shared" si="51"/>
        <v>3293978.9899999998</v>
      </c>
      <c r="P120" s="1941">
        <v>2948630.11</v>
      </c>
      <c r="Q120" s="1942">
        <v>2948630.11</v>
      </c>
      <c r="R120" s="1942">
        <v>0</v>
      </c>
      <c r="S120" s="1942">
        <v>-471.02</v>
      </c>
      <c r="T120" s="1942">
        <v>0</v>
      </c>
      <c r="U120" s="1943">
        <f t="shared" si="52"/>
        <v>5896789.2000000002</v>
      </c>
      <c r="V120" s="1941">
        <v>29306.66</v>
      </c>
      <c r="W120" s="1942">
        <v>29306.66</v>
      </c>
      <c r="X120" s="1942">
        <v>0</v>
      </c>
      <c r="Y120" s="1942">
        <v>-0.05</v>
      </c>
      <c r="Z120" s="1942">
        <v>0</v>
      </c>
      <c r="AA120" s="1943">
        <f t="shared" si="53"/>
        <v>58613.27</v>
      </c>
      <c r="AB120" s="1941"/>
      <c r="AC120" s="1942"/>
      <c r="AD120" s="1942"/>
      <c r="AE120" s="1942"/>
      <c r="AF120" s="1942"/>
      <c r="AG120" s="1943">
        <f t="shared" si="54"/>
        <v>0</v>
      </c>
      <c r="AH120" s="1941"/>
      <c r="AI120" s="1942"/>
      <c r="AJ120" s="1942"/>
      <c r="AK120" s="1942"/>
      <c r="AL120" s="1942"/>
      <c r="AM120" s="1943">
        <f t="shared" si="55"/>
        <v>0</v>
      </c>
      <c r="AN120" s="1944">
        <v>84946.37</v>
      </c>
      <c r="AO120" s="1945">
        <v>1189453.83</v>
      </c>
      <c r="AP120" s="1945">
        <v>0</v>
      </c>
      <c r="AQ120" s="1945">
        <v>-0.01</v>
      </c>
      <c r="AR120" s="1945">
        <v>0</v>
      </c>
      <c r="AS120" s="1946">
        <f t="shared" si="56"/>
        <v>1274400.1900000002</v>
      </c>
      <c r="AT120" s="1947"/>
      <c r="AU120" s="1948"/>
      <c r="AV120" s="1948"/>
      <c r="AW120" s="1948"/>
      <c r="AX120" s="1948"/>
      <c r="AY120" s="1949">
        <f t="shared" si="57"/>
        <v>0</v>
      </c>
      <c r="AZ120" s="1947">
        <v>997.57</v>
      </c>
      <c r="BA120" s="1948">
        <v>0</v>
      </c>
      <c r="BB120" s="1948">
        <v>0</v>
      </c>
      <c r="BC120" s="1948">
        <v>0</v>
      </c>
      <c r="BD120" s="1948">
        <v>0</v>
      </c>
      <c r="BE120" s="1949">
        <f t="shared" si="58"/>
        <v>997.57</v>
      </c>
    </row>
    <row r="121" spans="1:57" s="234" customFormat="1" ht="12.75" customHeight="1" x14ac:dyDescent="0.25">
      <c r="A121" s="1393" t="s">
        <v>222</v>
      </c>
      <c r="B121" s="1936" t="s">
        <v>223</v>
      </c>
      <c r="C121" s="1937" t="s">
        <v>264</v>
      </c>
      <c r="D121" s="1938">
        <f t="shared" si="45"/>
        <v>187092.05</v>
      </c>
      <c r="E121" s="1939">
        <f t="shared" si="46"/>
        <v>296192.74</v>
      </c>
      <c r="F121" s="1939">
        <f t="shared" si="47"/>
        <v>0</v>
      </c>
      <c r="G121" s="1939">
        <f t="shared" si="48"/>
        <v>806.79</v>
      </c>
      <c r="H121" s="1939">
        <f t="shared" si="49"/>
        <v>806.79</v>
      </c>
      <c r="I121" s="1940">
        <f t="shared" si="50"/>
        <v>484091.57999999996</v>
      </c>
      <c r="J121" s="1941">
        <v>33279.18</v>
      </c>
      <c r="K121" s="1942">
        <v>33279.18</v>
      </c>
      <c r="L121" s="1942">
        <v>0</v>
      </c>
      <c r="M121" s="1942">
        <v>-0.08</v>
      </c>
      <c r="N121" s="1942">
        <v>0</v>
      </c>
      <c r="O121" s="1943">
        <f t="shared" si="51"/>
        <v>66558.28</v>
      </c>
      <c r="P121" s="1941">
        <v>150181.51</v>
      </c>
      <c r="Q121" s="1942">
        <v>150181.51</v>
      </c>
      <c r="R121" s="1942">
        <v>0</v>
      </c>
      <c r="S121" s="1942">
        <v>-0.02</v>
      </c>
      <c r="T121" s="1942">
        <v>806.9</v>
      </c>
      <c r="U121" s="1943">
        <f t="shared" si="52"/>
        <v>301169.90000000002</v>
      </c>
      <c r="V121" s="1941">
        <v>1271.6500000000001</v>
      </c>
      <c r="W121" s="1942">
        <v>1271.6500000000001</v>
      </c>
      <c r="X121" s="1942">
        <v>0</v>
      </c>
      <c r="Y121" s="1942">
        <v>-0.01</v>
      </c>
      <c r="Z121" s="1942">
        <v>0</v>
      </c>
      <c r="AA121" s="1943">
        <f t="shared" si="53"/>
        <v>2543.29</v>
      </c>
      <c r="AB121" s="1941"/>
      <c r="AC121" s="1942"/>
      <c r="AD121" s="1942"/>
      <c r="AE121" s="1942"/>
      <c r="AF121" s="1942"/>
      <c r="AG121" s="1943">
        <f t="shared" si="54"/>
        <v>0</v>
      </c>
      <c r="AH121" s="1941"/>
      <c r="AI121" s="1942"/>
      <c r="AJ121" s="1942"/>
      <c r="AK121" s="1942"/>
      <c r="AL121" s="1942"/>
      <c r="AM121" s="1943">
        <f t="shared" si="55"/>
        <v>0</v>
      </c>
      <c r="AN121" s="1944">
        <v>2359.71</v>
      </c>
      <c r="AO121" s="1945">
        <v>111460.4</v>
      </c>
      <c r="AP121" s="1945">
        <v>0</v>
      </c>
      <c r="AQ121" s="1945">
        <v>0</v>
      </c>
      <c r="AR121" s="1945">
        <v>0</v>
      </c>
      <c r="AS121" s="1946">
        <f t="shared" si="56"/>
        <v>113820.11</v>
      </c>
      <c r="AT121" s="1947"/>
      <c r="AU121" s="1948"/>
      <c r="AV121" s="1948"/>
      <c r="AW121" s="1948"/>
      <c r="AX121" s="1948"/>
      <c r="AY121" s="1949">
        <f t="shared" si="57"/>
        <v>0</v>
      </c>
      <c r="AZ121" s="1947"/>
      <c r="BA121" s="1948"/>
      <c r="BB121" s="1948"/>
      <c r="BC121" s="1948"/>
      <c r="BD121" s="1948"/>
      <c r="BE121" s="1949">
        <f t="shared" si="58"/>
        <v>0</v>
      </c>
    </row>
    <row r="122" spans="1:57" s="234" customFormat="1" ht="12.75" customHeight="1" x14ac:dyDescent="0.25">
      <c r="A122" s="1393" t="s">
        <v>230</v>
      </c>
      <c r="B122" s="1936" t="s">
        <v>231</v>
      </c>
      <c r="C122" s="1937" t="s">
        <v>264</v>
      </c>
      <c r="D122" s="1938">
        <f t="shared" si="45"/>
        <v>3123166.6500000004</v>
      </c>
      <c r="E122" s="1939">
        <f t="shared" si="46"/>
        <v>4318205.66</v>
      </c>
      <c r="F122" s="1939">
        <f t="shared" si="47"/>
        <v>0</v>
      </c>
      <c r="G122" s="1939">
        <f t="shared" si="48"/>
        <v>-0.53</v>
      </c>
      <c r="H122" s="1939">
        <f t="shared" si="49"/>
        <v>-0.53</v>
      </c>
      <c r="I122" s="1940">
        <f t="shared" si="50"/>
        <v>7441371.7800000003</v>
      </c>
      <c r="J122" s="1941">
        <v>1451214.34</v>
      </c>
      <c r="K122" s="1942">
        <v>1451214.34</v>
      </c>
      <c r="L122" s="1942">
        <v>0</v>
      </c>
      <c r="M122" s="1942">
        <v>-0.44</v>
      </c>
      <c r="N122" s="1942">
        <v>0</v>
      </c>
      <c r="O122" s="1943">
        <f t="shared" si="51"/>
        <v>2902428.24</v>
      </c>
      <c r="P122" s="1941">
        <v>1522014.83</v>
      </c>
      <c r="Q122" s="1942">
        <v>1522014.83</v>
      </c>
      <c r="R122" s="1942">
        <v>0</v>
      </c>
      <c r="S122" s="1942">
        <v>-0.03</v>
      </c>
      <c r="T122" s="1942">
        <v>0</v>
      </c>
      <c r="U122" s="1943">
        <f t="shared" si="52"/>
        <v>3044029.6300000004</v>
      </c>
      <c r="V122" s="1941">
        <v>39668.239999999998</v>
      </c>
      <c r="W122" s="1942">
        <v>39668.239999999998</v>
      </c>
      <c r="X122" s="1942">
        <v>0</v>
      </c>
      <c r="Y122" s="1942">
        <v>-0.06</v>
      </c>
      <c r="Z122" s="1942">
        <v>0</v>
      </c>
      <c r="AA122" s="1943">
        <f t="shared" si="53"/>
        <v>79336.42</v>
      </c>
      <c r="AB122" s="1941"/>
      <c r="AC122" s="1942"/>
      <c r="AD122" s="1942"/>
      <c r="AE122" s="1942"/>
      <c r="AF122" s="1942"/>
      <c r="AG122" s="1943">
        <f t="shared" si="54"/>
        <v>0</v>
      </c>
      <c r="AH122" s="1941"/>
      <c r="AI122" s="1942"/>
      <c r="AJ122" s="1942"/>
      <c r="AK122" s="1942"/>
      <c r="AL122" s="1942"/>
      <c r="AM122" s="1943">
        <f t="shared" si="55"/>
        <v>0</v>
      </c>
      <c r="AN122" s="1944">
        <v>110269.24</v>
      </c>
      <c r="AO122" s="1945">
        <v>1298655.51</v>
      </c>
      <c r="AP122" s="1945">
        <v>0</v>
      </c>
      <c r="AQ122" s="1945">
        <v>0</v>
      </c>
      <c r="AR122" s="1945">
        <v>0</v>
      </c>
      <c r="AS122" s="1946">
        <f t="shared" si="56"/>
        <v>1408924.75</v>
      </c>
      <c r="AT122" s="1947">
        <v>0</v>
      </c>
      <c r="AU122" s="1948">
        <v>6652.74</v>
      </c>
      <c r="AV122" s="1948">
        <v>0</v>
      </c>
      <c r="AW122" s="1948">
        <v>0</v>
      </c>
      <c r="AX122" s="1948">
        <v>0</v>
      </c>
      <c r="AY122" s="1949">
        <f t="shared" si="57"/>
        <v>6652.74</v>
      </c>
      <c r="AZ122" s="1947"/>
      <c r="BA122" s="1948"/>
      <c r="BB122" s="1948"/>
      <c r="BC122" s="1948"/>
      <c r="BD122" s="1948"/>
      <c r="BE122" s="1949">
        <f t="shared" si="58"/>
        <v>0</v>
      </c>
    </row>
    <row r="123" spans="1:57" s="234" customFormat="1" ht="12.75" customHeight="1" x14ac:dyDescent="0.25">
      <c r="A123" s="1393" t="s">
        <v>238</v>
      </c>
      <c r="B123" s="1936" t="s">
        <v>239</v>
      </c>
      <c r="C123" s="1937" t="s">
        <v>264</v>
      </c>
      <c r="D123" s="1938">
        <f t="shared" si="45"/>
        <v>87724.88</v>
      </c>
      <c r="E123" s="1939">
        <f t="shared" si="46"/>
        <v>101422.88</v>
      </c>
      <c r="F123" s="1939">
        <f t="shared" si="47"/>
        <v>0</v>
      </c>
      <c r="G123" s="1939">
        <f t="shared" si="48"/>
        <v>-0.04</v>
      </c>
      <c r="H123" s="1939">
        <f t="shared" si="49"/>
        <v>-0.04</v>
      </c>
      <c r="I123" s="1940">
        <f t="shared" si="50"/>
        <v>189147.72</v>
      </c>
      <c r="J123" s="1941">
        <v>10813.88</v>
      </c>
      <c r="K123" s="1942">
        <v>10813.88</v>
      </c>
      <c r="L123" s="1942">
        <v>0</v>
      </c>
      <c r="M123" s="1942">
        <v>-0.04</v>
      </c>
      <c r="N123" s="1942">
        <v>0</v>
      </c>
      <c r="O123" s="1943">
        <f t="shared" si="51"/>
        <v>21627.719999999998</v>
      </c>
      <c r="P123" s="1941">
        <v>75161</v>
      </c>
      <c r="Q123" s="1942">
        <v>75161</v>
      </c>
      <c r="R123" s="1942">
        <v>0</v>
      </c>
      <c r="S123" s="1942">
        <v>0</v>
      </c>
      <c r="T123" s="1942">
        <v>0</v>
      </c>
      <c r="U123" s="1943">
        <f t="shared" si="52"/>
        <v>150322</v>
      </c>
      <c r="V123" s="1941">
        <v>1750</v>
      </c>
      <c r="W123" s="1942">
        <v>1750</v>
      </c>
      <c r="X123" s="1942">
        <v>0</v>
      </c>
      <c r="Y123" s="1942">
        <v>0</v>
      </c>
      <c r="Z123" s="1942">
        <v>0</v>
      </c>
      <c r="AA123" s="1943">
        <f t="shared" si="53"/>
        <v>3500</v>
      </c>
      <c r="AB123" s="1941"/>
      <c r="AC123" s="1942"/>
      <c r="AD123" s="1942"/>
      <c r="AE123" s="1942"/>
      <c r="AF123" s="1942"/>
      <c r="AG123" s="1943">
        <f t="shared" si="54"/>
        <v>0</v>
      </c>
      <c r="AH123" s="1941"/>
      <c r="AI123" s="1942"/>
      <c r="AJ123" s="1942"/>
      <c r="AK123" s="1942"/>
      <c r="AL123" s="1942"/>
      <c r="AM123" s="1943">
        <f t="shared" si="55"/>
        <v>0</v>
      </c>
      <c r="AN123" s="1944">
        <v>0</v>
      </c>
      <c r="AO123" s="1945">
        <v>13698</v>
      </c>
      <c r="AP123" s="1945">
        <v>0</v>
      </c>
      <c r="AQ123" s="1945">
        <v>0</v>
      </c>
      <c r="AR123" s="1945">
        <v>0</v>
      </c>
      <c r="AS123" s="1946">
        <f t="shared" si="56"/>
        <v>13698</v>
      </c>
      <c r="AT123" s="1947"/>
      <c r="AU123" s="1948"/>
      <c r="AV123" s="1948"/>
      <c r="AW123" s="1948"/>
      <c r="AX123" s="1948"/>
      <c r="AY123" s="1949">
        <f t="shared" si="57"/>
        <v>0</v>
      </c>
      <c r="AZ123" s="1947"/>
      <c r="BA123" s="1948"/>
      <c r="BB123" s="1948"/>
      <c r="BC123" s="1948"/>
      <c r="BD123" s="1948"/>
      <c r="BE123" s="1949">
        <f t="shared" si="58"/>
        <v>0</v>
      </c>
    </row>
    <row r="124" spans="1:57" s="234" customFormat="1" ht="12.75" customHeight="1" x14ac:dyDescent="0.25">
      <c r="A124" s="1950" t="s">
        <v>240</v>
      </c>
      <c r="B124" s="1951" t="s">
        <v>241</v>
      </c>
      <c r="C124" s="1952" t="s">
        <v>267</v>
      </c>
      <c r="D124" s="1953">
        <f t="shared" si="45"/>
        <v>540856.8899999999</v>
      </c>
      <c r="E124" s="1954">
        <f t="shared" si="46"/>
        <v>668553.46</v>
      </c>
      <c r="F124" s="1954">
        <f t="shared" si="47"/>
        <v>0</v>
      </c>
      <c r="G124" s="1954">
        <f t="shared" si="48"/>
        <v>-0.06</v>
      </c>
      <c r="H124" s="1954">
        <f t="shared" si="49"/>
        <v>-0.06</v>
      </c>
      <c r="I124" s="1955">
        <f t="shared" si="50"/>
        <v>1209410.2899999998</v>
      </c>
      <c r="J124" s="1956">
        <v>150366.51999999999</v>
      </c>
      <c r="K124" s="1957">
        <v>150366.51999999999</v>
      </c>
      <c r="L124" s="1957">
        <v>0</v>
      </c>
      <c r="M124" s="1957">
        <v>-0.06</v>
      </c>
      <c r="N124" s="1957">
        <v>0</v>
      </c>
      <c r="O124" s="1958">
        <f t="shared" si="51"/>
        <v>300732.98</v>
      </c>
      <c r="P124" s="1956">
        <v>325742.67</v>
      </c>
      <c r="Q124" s="1957">
        <v>325742.67</v>
      </c>
      <c r="R124" s="1957">
        <v>0</v>
      </c>
      <c r="S124" s="1957">
        <v>0</v>
      </c>
      <c r="T124" s="1957">
        <v>0</v>
      </c>
      <c r="U124" s="1958">
        <f t="shared" si="52"/>
        <v>651485.34</v>
      </c>
      <c r="V124" s="1956"/>
      <c r="W124" s="1957"/>
      <c r="X124" s="1957"/>
      <c r="Y124" s="1957"/>
      <c r="Z124" s="1957"/>
      <c r="AA124" s="1958">
        <f t="shared" si="53"/>
        <v>0</v>
      </c>
      <c r="AB124" s="1956"/>
      <c r="AC124" s="1957"/>
      <c r="AD124" s="1957"/>
      <c r="AE124" s="1957"/>
      <c r="AF124" s="1957"/>
      <c r="AG124" s="1958">
        <f t="shared" si="54"/>
        <v>0</v>
      </c>
      <c r="AH124" s="1956"/>
      <c r="AI124" s="1957"/>
      <c r="AJ124" s="1957"/>
      <c r="AK124" s="1957"/>
      <c r="AL124" s="1957"/>
      <c r="AM124" s="1958">
        <f t="shared" si="55"/>
        <v>0</v>
      </c>
      <c r="AN124" s="1959">
        <v>62758.74</v>
      </c>
      <c r="AO124" s="1960">
        <v>192444.27</v>
      </c>
      <c r="AP124" s="1960">
        <v>0</v>
      </c>
      <c r="AQ124" s="1960">
        <v>0</v>
      </c>
      <c r="AR124" s="1960">
        <v>0</v>
      </c>
      <c r="AS124" s="1961">
        <f t="shared" si="56"/>
        <v>255203.00999999998</v>
      </c>
      <c r="AT124" s="1962"/>
      <c r="AU124" s="1963"/>
      <c r="AV124" s="1963"/>
      <c r="AW124" s="1963"/>
      <c r="AX124" s="1963"/>
      <c r="AY124" s="1964">
        <f t="shared" si="57"/>
        <v>0</v>
      </c>
      <c r="AZ124" s="1962">
        <v>1988.96</v>
      </c>
      <c r="BA124" s="1963">
        <v>0</v>
      </c>
      <c r="BB124" s="1963">
        <v>0</v>
      </c>
      <c r="BC124" s="1963">
        <v>0</v>
      </c>
      <c r="BD124" s="1963">
        <v>0</v>
      </c>
      <c r="BE124" s="1964">
        <f t="shared" si="58"/>
        <v>1988.96</v>
      </c>
    </row>
    <row r="125" spans="1:57" s="234" customFormat="1" ht="12.75" customHeight="1" x14ac:dyDescent="0.25">
      <c r="A125" s="1965"/>
      <c r="B125" s="1965"/>
      <c r="C125" s="1965"/>
      <c r="D125" s="1965"/>
      <c r="E125" s="1965"/>
      <c r="F125" s="1965"/>
      <c r="G125" s="1965"/>
      <c r="H125" s="1965"/>
      <c r="I125" s="1965"/>
      <c r="J125" s="1966"/>
      <c r="K125" s="1967"/>
      <c r="L125" s="1967"/>
      <c r="M125" s="1967"/>
      <c r="N125" s="1967"/>
      <c r="O125" s="1968"/>
      <c r="P125" s="1966"/>
      <c r="Q125" s="1967"/>
      <c r="R125" s="1967"/>
      <c r="S125" s="1967"/>
      <c r="T125" s="1967"/>
      <c r="U125" s="1968"/>
      <c r="V125" s="1966"/>
      <c r="W125" s="1967"/>
      <c r="X125" s="1967"/>
      <c r="Y125" s="1967"/>
      <c r="Z125" s="1967"/>
      <c r="AA125" s="1968"/>
      <c r="AB125" s="1966"/>
      <c r="AC125" s="1967"/>
      <c r="AD125" s="1967"/>
      <c r="AE125" s="1967"/>
      <c r="AF125" s="1967"/>
      <c r="AG125" s="1968"/>
      <c r="AH125" s="1966"/>
      <c r="AI125" s="1967"/>
      <c r="AJ125" s="1967"/>
      <c r="AK125" s="1967"/>
      <c r="AL125" s="1967"/>
      <c r="AM125" s="1968"/>
      <c r="AN125" s="1966"/>
      <c r="AO125" s="1967"/>
      <c r="AP125" s="1967"/>
      <c r="AQ125" s="1967"/>
      <c r="AR125" s="1967"/>
      <c r="AS125" s="1969"/>
      <c r="AT125" s="1970"/>
      <c r="AU125" s="1971"/>
      <c r="AV125" s="1971"/>
      <c r="AW125" s="1971"/>
      <c r="AX125" s="1971"/>
      <c r="AY125" s="1972"/>
      <c r="AZ125" s="1970"/>
      <c r="BA125" s="1971"/>
      <c r="BB125" s="1971"/>
      <c r="BC125" s="1971"/>
      <c r="BD125" s="1971"/>
      <c r="BE125" s="1972"/>
    </row>
    <row r="126" spans="1:57" s="234" customFormat="1" ht="12.75" customHeight="1" x14ac:dyDescent="0.25">
      <c r="A126" s="1973" t="s">
        <v>266</v>
      </c>
      <c r="B126" s="1973"/>
      <c r="C126" s="1973"/>
      <c r="D126" s="1974">
        <f t="shared" ref="D126:D130" si="59">J126+P126+V126+AB126+AH126+AN126+AT126+AZ126</f>
        <v>12695108.430000002</v>
      </c>
      <c r="E126" s="1975">
        <f t="shared" ref="E126:E130" si="60">K126+Q126+W126+AC126+AI126+AO126+AU126+BA126</f>
        <v>15684335.09</v>
      </c>
      <c r="F126" s="1975">
        <f t="shared" ref="F126:F130" si="61">L126+R126+X126+AD126+AJ126+AP126+AV126+BB126</f>
        <v>0</v>
      </c>
      <c r="G126" s="1975">
        <f t="shared" ref="G126:G130" si="62">M126+N126+S126+T126+Y126+Z126+AE126+AF126+AK126+AL126+AQ126+AR126+AW126+AX126+BC126+BD126</f>
        <v>-91571.709999999992</v>
      </c>
      <c r="H126" s="1975">
        <f t="shared" ref="H126:H130" si="63">F126+G126</f>
        <v>-91571.709999999992</v>
      </c>
      <c r="I126" s="1976">
        <f>SUM(D126:G126)</f>
        <v>28287871.810000002</v>
      </c>
      <c r="J126" s="1977">
        <v>5461323.3599999994</v>
      </c>
      <c r="K126" s="1978">
        <v>5461323.3599999994</v>
      </c>
      <c r="L126" s="1978">
        <v>0</v>
      </c>
      <c r="M126" s="1978">
        <v>-1386.37</v>
      </c>
      <c r="N126" s="1978">
        <v>-77438.14</v>
      </c>
      <c r="O126" s="1979">
        <f t="shared" ref="O126:O130" si="64">SUM(J126:N126)</f>
        <v>10843822.209999999</v>
      </c>
      <c r="P126" s="1977">
        <v>6590529.830000001</v>
      </c>
      <c r="Q126" s="1978">
        <v>6590529.830000001</v>
      </c>
      <c r="R126" s="1978">
        <v>0</v>
      </c>
      <c r="S126" s="1978">
        <v>-0.16</v>
      </c>
      <c r="T126" s="1978">
        <v>-13141.380000000001</v>
      </c>
      <c r="U126" s="1979">
        <f t="shared" ref="U126:U130" si="65">SUM(P126:T126)</f>
        <v>13167918.120000001</v>
      </c>
      <c r="V126" s="1977">
        <v>110441.92000000001</v>
      </c>
      <c r="W126" s="1978">
        <v>110441.92000000001</v>
      </c>
      <c r="X126" s="1978">
        <v>0</v>
      </c>
      <c r="Y126" s="1978">
        <v>140.48999999999998</v>
      </c>
      <c r="Z126" s="1978">
        <v>98</v>
      </c>
      <c r="AA126" s="1979">
        <f t="shared" ref="AA126:AA131" si="66">SUM(V126:Z126)</f>
        <v>221122.33000000002</v>
      </c>
      <c r="AB126" s="1977">
        <v>8108.7</v>
      </c>
      <c r="AC126" s="1978">
        <v>8108.7</v>
      </c>
      <c r="AD126" s="1978">
        <v>0</v>
      </c>
      <c r="AE126" s="1978">
        <v>0</v>
      </c>
      <c r="AF126" s="1978">
        <v>0</v>
      </c>
      <c r="AG126" s="1979">
        <f t="shared" ref="AG126:AG131" si="67">SUM(AB126:AF126)</f>
        <v>16217.4</v>
      </c>
      <c r="AH126" s="1977"/>
      <c r="AI126" s="1978"/>
      <c r="AJ126" s="1978"/>
      <c r="AK126" s="1978"/>
      <c r="AL126" s="1978"/>
      <c r="AM126" s="1979"/>
      <c r="AN126" s="1977">
        <v>487183.3</v>
      </c>
      <c r="AO126" s="1978">
        <v>3513931.28</v>
      </c>
      <c r="AP126" s="1978">
        <v>0</v>
      </c>
      <c r="AQ126" s="1978">
        <v>153.85</v>
      </c>
      <c r="AR126" s="1978">
        <v>2</v>
      </c>
      <c r="AS126" s="1980">
        <f t="shared" ref="AS126:AS130" si="68">SUM(AN126:AR126)</f>
        <v>4001270.4299999997</v>
      </c>
      <c r="AT126" s="1977"/>
      <c r="AU126" s="1978"/>
      <c r="AV126" s="1978"/>
      <c r="AW126" s="1978"/>
      <c r="AX126" s="1978"/>
      <c r="AY126" s="1980">
        <f t="shared" ref="AY126:AY131" si="69">SUM(AT126:AX126)</f>
        <v>0</v>
      </c>
      <c r="AZ126" s="1977">
        <v>37521.32</v>
      </c>
      <c r="BA126" s="1978">
        <v>0</v>
      </c>
      <c r="BB126" s="1978">
        <v>0</v>
      </c>
      <c r="BC126" s="1978">
        <v>0</v>
      </c>
      <c r="BD126" s="1978">
        <v>0</v>
      </c>
      <c r="BE126" s="1980">
        <f t="shared" ref="BE126:BE130" si="70">SUM(AZ126:BD126)</f>
        <v>37521.32</v>
      </c>
    </row>
    <row r="127" spans="1:57" s="234" customFormat="1" ht="12.75" customHeight="1" x14ac:dyDescent="0.25">
      <c r="A127" s="1981" t="s">
        <v>264</v>
      </c>
      <c r="B127" s="1981"/>
      <c r="C127" s="1981"/>
      <c r="D127" s="1982">
        <f t="shared" si="59"/>
        <v>14748116.499999998</v>
      </c>
      <c r="E127" s="1983">
        <f t="shared" si="60"/>
        <v>18815460.259999994</v>
      </c>
      <c r="F127" s="1983">
        <f t="shared" si="61"/>
        <v>0</v>
      </c>
      <c r="G127" s="1983">
        <f t="shared" si="62"/>
        <v>10195.379999999999</v>
      </c>
      <c r="H127" s="1983">
        <f t="shared" si="63"/>
        <v>10195.379999999999</v>
      </c>
      <c r="I127" s="1984">
        <f t="shared" ref="I127:I130" si="71">SUM(D127:G127)</f>
        <v>33573772.139999993</v>
      </c>
      <c r="J127" s="1985">
        <v>4777750.9799999986</v>
      </c>
      <c r="K127" s="1986">
        <v>4777750.9799999986</v>
      </c>
      <c r="L127" s="1986">
        <v>0</v>
      </c>
      <c r="M127" s="1986">
        <v>3480.3399999999988</v>
      </c>
      <c r="N127" s="1986">
        <v>14077.44</v>
      </c>
      <c r="O127" s="1987">
        <f t="shared" si="64"/>
        <v>9573059.7399999965</v>
      </c>
      <c r="P127" s="1985">
        <v>9304387.1399999987</v>
      </c>
      <c r="Q127" s="1986">
        <v>9304387.1399999987</v>
      </c>
      <c r="R127" s="1986">
        <v>0</v>
      </c>
      <c r="S127" s="1986">
        <v>-0.27</v>
      </c>
      <c r="T127" s="1986">
        <v>1363.9</v>
      </c>
      <c r="U127" s="1987">
        <f t="shared" si="65"/>
        <v>18610137.909999996</v>
      </c>
      <c r="V127" s="1985">
        <v>116959.25</v>
      </c>
      <c r="W127" s="1986">
        <v>116959.25</v>
      </c>
      <c r="X127" s="1986">
        <v>0</v>
      </c>
      <c r="Y127" s="1986">
        <v>-0.27</v>
      </c>
      <c r="Z127" s="1986">
        <v>0</v>
      </c>
      <c r="AA127" s="1987">
        <f t="shared" si="66"/>
        <v>233918.23</v>
      </c>
      <c r="AB127" s="1985">
        <v>373.33</v>
      </c>
      <c r="AC127" s="1986">
        <v>373.33</v>
      </c>
      <c r="AD127" s="1986">
        <v>0</v>
      </c>
      <c r="AE127" s="1986">
        <v>0</v>
      </c>
      <c r="AF127" s="1986">
        <v>0</v>
      </c>
      <c r="AG127" s="1987">
        <f t="shared" si="67"/>
        <v>746.66</v>
      </c>
      <c r="AH127" s="1985">
        <v>2250</v>
      </c>
      <c r="AI127" s="1986">
        <v>2250</v>
      </c>
      <c r="AJ127" s="1986">
        <v>0</v>
      </c>
      <c r="AK127" s="1986">
        <v>0</v>
      </c>
      <c r="AL127" s="1986">
        <v>0</v>
      </c>
      <c r="AM127" s="1987">
        <f t="shared" ref="AM127:AM130" si="72">SUM(AH127:AL127)</f>
        <v>4500</v>
      </c>
      <c r="AN127" s="1985">
        <v>530436.90000000014</v>
      </c>
      <c r="AO127" s="1986">
        <v>4607086.8199999994</v>
      </c>
      <c r="AP127" s="1986">
        <v>0</v>
      </c>
      <c r="AQ127" s="1986">
        <v>-0.14000000000000001</v>
      </c>
      <c r="AR127" s="1986">
        <v>0</v>
      </c>
      <c r="AS127" s="1988">
        <f t="shared" si="68"/>
        <v>5137523.58</v>
      </c>
      <c r="AT127" s="1985">
        <v>0</v>
      </c>
      <c r="AU127" s="1986">
        <v>6652.74</v>
      </c>
      <c r="AV127" s="1986">
        <v>0</v>
      </c>
      <c r="AW127" s="1986">
        <v>0</v>
      </c>
      <c r="AX127" s="1986">
        <v>0</v>
      </c>
      <c r="AY127" s="1988">
        <f t="shared" si="69"/>
        <v>6652.74</v>
      </c>
      <c r="AZ127" s="1985">
        <v>15958.899999999998</v>
      </c>
      <c r="BA127" s="1986">
        <v>0</v>
      </c>
      <c r="BB127" s="1986">
        <v>0</v>
      </c>
      <c r="BC127" s="1986">
        <v>-8725.6200000000008</v>
      </c>
      <c r="BD127" s="1986">
        <v>0</v>
      </c>
      <c r="BE127" s="1988">
        <f t="shared" si="70"/>
        <v>7233.279999999997</v>
      </c>
    </row>
    <row r="128" spans="1:57" s="234" customFormat="1" ht="12.75" customHeight="1" x14ac:dyDescent="0.25">
      <c r="A128" s="1981" t="s">
        <v>267</v>
      </c>
      <c r="B128" s="1981"/>
      <c r="C128" s="1981"/>
      <c r="D128" s="1982">
        <f t="shared" si="59"/>
        <v>19821857.830000002</v>
      </c>
      <c r="E128" s="1983">
        <f t="shared" si="60"/>
        <v>27631543.480000004</v>
      </c>
      <c r="F128" s="1983">
        <f t="shared" si="61"/>
        <v>0</v>
      </c>
      <c r="G128" s="1983">
        <f t="shared" si="62"/>
        <v>146692.78</v>
      </c>
      <c r="H128" s="1983">
        <f t="shared" si="63"/>
        <v>146692.78</v>
      </c>
      <c r="I128" s="1984">
        <f t="shared" si="71"/>
        <v>47600094.090000004</v>
      </c>
      <c r="J128" s="1985">
        <v>6867913.71</v>
      </c>
      <c r="K128" s="1986">
        <v>6867913.71</v>
      </c>
      <c r="L128" s="1986">
        <v>0</v>
      </c>
      <c r="M128" s="1986">
        <v>11196.96</v>
      </c>
      <c r="N128" s="1986">
        <v>94024.59</v>
      </c>
      <c r="O128" s="1987">
        <f t="shared" si="64"/>
        <v>13841048.970000001</v>
      </c>
      <c r="P128" s="1985">
        <v>11838209.52</v>
      </c>
      <c r="Q128" s="1986">
        <v>11838209.52</v>
      </c>
      <c r="R128" s="1986">
        <v>0</v>
      </c>
      <c r="S128" s="1986">
        <v>41471.589999999997</v>
      </c>
      <c r="T128" s="1986">
        <v>0</v>
      </c>
      <c r="U128" s="1987">
        <f t="shared" si="65"/>
        <v>23717890.629999999</v>
      </c>
      <c r="V128" s="1985">
        <v>80823.439999999988</v>
      </c>
      <c r="W128" s="1986">
        <v>80823.439999999988</v>
      </c>
      <c r="X128" s="1986">
        <v>0</v>
      </c>
      <c r="Y128" s="1986">
        <v>-0.21000000000000002</v>
      </c>
      <c r="Z128" s="1986">
        <v>0</v>
      </c>
      <c r="AA128" s="1987">
        <f t="shared" si="66"/>
        <v>161646.66999999998</v>
      </c>
      <c r="AB128" s="1985"/>
      <c r="AC128" s="1986"/>
      <c r="AD128" s="1986"/>
      <c r="AE128" s="1986"/>
      <c r="AF128" s="1986"/>
      <c r="AG128" s="1987">
        <f t="shared" si="67"/>
        <v>0</v>
      </c>
      <c r="AH128" s="1985">
        <v>2250</v>
      </c>
      <c r="AI128" s="1986">
        <v>2250</v>
      </c>
      <c r="AJ128" s="1986">
        <v>0</v>
      </c>
      <c r="AK128" s="1986">
        <v>0</v>
      </c>
      <c r="AL128" s="1986">
        <v>0</v>
      </c>
      <c r="AM128" s="1987">
        <f t="shared" si="72"/>
        <v>4500</v>
      </c>
      <c r="AN128" s="1985">
        <v>1018421.1299999999</v>
      </c>
      <c r="AO128" s="1986">
        <v>8842346.8100000005</v>
      </c>
      <c r="AP128" s="1986">
        <v>0</v>
      </c>
      <c r="AQ128" s="1986">
        <v>-0.15</v>
      </c>
      <c r="AR128" s="1986">
        <v>0</v>
      </c>
      <c r="AS128" s="1988">
        <f t="shared" si="68"/>
        <v>9860767.790000001</v>
      </c>
      <c r="AT128" s="1985"/>
      <c r="AU128" s="1986"/>
      <c r="AV128" s="1986"/>
      <c r="AW128" s="1986"/>
      <c r="AX128" s="1986"/>
      <c r="AY128" s="1988">
        <f t="shared" si="69"/>
        <v>0</v>
      </c>
      <c r="AZ128" s="1985">
        <v>14240.03</v>
      </c>
      <c r="BA128" s="1986">
        <v>0</v>
      </c>
      <c r="BB128" s="1986">
        <v>0</v>
      </c>
      <c r="BC128" s="1986">
        <v>0</v>
      </c>
      <c r="BD128" s="1986">
        <v>0</v>
      </c>
      <c r="BE128" s="1988">
        <f t="shared" si="70"/>
        <v>14240.03</v>
      </c>
    </row>
    <row r="129" spans="1:57" s="234" customFormat="1" ht="12.75" customHeight="1" x14ac:dyDescent="0.25">
      <c r="A129" s="1981" t="s">
        <v>265</v>
      </c>
      <c r="B129" s="1981"/>
      <c r="C129" s="1981"/>
      <c r="D129" s="1982">
        <f t="shared" si="59"/>
        <v>21124759.370000001</v>
      </c>
      <c r="E129" s="1983">
        <f t="shared" si="60"/>
        <v>26847330.100000001</v>
      </c>
      <c r="F129" s="1983">
        <f t="shared" si="61"/>
        <v>0</v>
      </c>
      <c r="G129" s="1983">
        <f t="shared" si="62"/>
        <v>57457.62999999999</v>
      </c>
      <c r="H129" s="1983">
        <f t="shared" si="63"/>
        <v>57457.62999999999</v>
      </c>
      <c r="I129" s="1984">
        <f t="shared" si="71"/>
        <v>48029547.100000001</v>
      </c>
      <c r="J129" s="1985">
        <v>8518633.3300000001</v>
      </c>
      <c r="K129" s="1986">
        <v>8518633.3300000001</v>
      </c>
      <c r="L129" s="1986">
        <v>0</v>
      </c>
      <c r="M129" s="1986">
        <v>14714.880000000001</v>
      </c>
      <c r="N129" s="1986">
        <v>0</v>
      </c>
      <c r="O129" s="1987">
        <f t="shared" si="64"/>
        <v>17051981.539999999</v>
      </c>
      <c r="P129" s="1985">
        <v>11695589.310000001</v>
      </c>
      <c r="Q129" s="1986">
        <v>11695589.310000001</v>
      </c>
      <c r="R129" s="1986">
        <v>0</v>
      </c>
      <c r="S129" s="1986">
        <v>34385.889999999992</v>
      </c>
      <c r="T129" s="1986">
        <v>0</v>
      </c>
      <c r="U129" s="1987">
        <f t="shared" si="65"/>
        <v>23425564.510000002</v>
      </c>
      <c r="V129" s="1985">
        <v>125162.73000000001</v>
      </c>
      <c r="W129" s="1986">
        <v>125162.73000000001</v>
      </c>
      <c r="X129" s="1986">
        <v>0</v>
      </c>
      <c r="Y129" s="1986">
        <v>-0.21000000000000002</v>
      </c>
      <c r="Z129" s="1986">
        <v>0</v>
      </c>
      <c r="AA129" s="1987">
        <f t="shared" si="66"/>
        <v>250325.25000000003</v>
      </c>
      <c r="AB129" s="1985"/>
      <c r="AC129" s="1986"/>
      <c r="AD129" s="1986"/>
      <c r="AE129" s="1986"/>
      <c r="AF129" s="1986"/>
      <c r="AG129" s="1987">
        <f t="shared" si="67"/>
        <v>0</v>
      </c>
      <c r="AH129" s="1985"/>
      <c r="AI129" s="1986"/>
      <c r="AJ129" s="1986"/>
      <c r="AK129" s="1986"/>
      <c r="AL129" s="1986"/>
      <c r="AM129" s="1987">
        <f t="shared" si="72"/>
        <v>0</v>
      </c>
      <c r="AN129" s="1985">
        <v>764165.39</v>
      </c>
      <c r="AO129" s="1986">
        <v>6507944.7299999995</v>
      </c>
      <c r="AP129" s="1986">
        <v>0</v>
      </c>
      <c r="AQ129" s="1986">
        <v>8357.0699999999979</v>
      </c>
      <c r="AR129" s="1986">
        <v>0</v>
      </c>
      <c r="AS129" s="1988">
        <f t="shared" si="68"/>
        <v>7280467.1899999995</v>
      </c>
      <c r="AT129" s="1985"/>
      <c r="AU129" s="1986"/>
      <c r="AV129" s="1986"/>
      <c r="AW129" s="1986"/>
      <c r="AX129" s="1986"/>
      <c r="AY129" s="1988">
        <f t="shared" si="69"/>
        <v>0</v>
      </c>
      <c r="AZ129" s="1985">
        <v>21208.61</v>
      </c>
      <c r="BA129" s="1986">
        <v>0</v>
      </c>
      <c r="BB129" s="1986">
        <v>0</v>
      </c>
      <c r="BC129" s="1986">
        <v>0</v>
      </c>
      <c r="BD129" s="1986">
        <v>0</v>
      </c>
      <c r="BE129" s="1988">
        <f t="shared" si="70"/>
        <v>21208.61</v>
      </c>
    </row>
    <row r="130" spans="1:57" s="234" customFormat="1" ht="12.75" customHeight="1" x14ac:dyDescent="0.25">
      <c r="A130" s="1981" t="s">
        <v>268</v>
      </c>
      <c r="B130" s="1981"/>
      <c r="C130" s="1981"/>
      <c r="D130" s="1982">
        <f t="shared" si="59"/>
        <v>12670742.060000001</v>
      </c>
      <c r="E130" s="1983">
        <f t="shared" si="60"/>
        <v>15616300.74</v>
      </c>
      <c r="F130" s="1983">
        <f t="shared" si="61"/>
        <v>0</v>
      </c>
      <c r="G130" s="1983">
        <f t="shared" si="62"/>
        <v>39944.340000000004</v>
      </c>
      <c r="H130" s="1983">
        <f t="shared" si="63"/>
        <v>39944.340000000004</v>
      </c>
      <c r="I130" s="1984">
        <f t="shared" si="71"/>
        <v>28326987.140000001</v>
      </c>
      <c r="J130" s="1985">
        <v>5131463.2300000004</v>
      </c>
      <c r="K130" s="1986">
        <v>5131463.2300000004</v>
      </c>
      <c r="L130" s="1986">
        <v>0</v>
      </c>
      <c r="M130" s="1986">
        <v>25152.910000000007</v>
      </c>
      <c r="N130" s="1986">
        <v>0</v>
      </c>
      <c r="O130" s="1987">
        <f t="shared" si="64"/>
        <v>10288079.370000001</v>
      </c>
      <c r="P130" s="1985">
        <v>7244796.4100000001</v>
      </c>
      <c r="Q130" s="1986">
        <v>7244796.4100000001</v>
      </c>
      <c r="R130" s="1986">
        <v>0</v>
      </c>
      <c r="S130" s="1986">
        <v>14598.97</v>
      </c>
      <c r="T130" s="1986">
        <v>0</v>
      </c>
      <c r="U130" s="1987">
        <f t="shared" si="65"/>
        <v>14504191.790000001</v>
      </c>
      <c r="V130" s="1985">
        <v>78948.600000000006</v>
      </c>
      <c r="W130" s="1986">
        <v>78948.600000000006</v>
      </c>
      <c r="X130" s="1986">
        <v>0</v>
      </c>
      <c r="Y130" s="1986">
        <v>-0.12</v>
      </c>
      <c r="Z130" s="1986">
        <v>0</v>
      </c>
      <c r="AA130" s="1987">
        <f t="shared" si="66"/>
        <v>157897.08000000002</v>
      </c>
      <c r="AB130" s="1985"/>
      <c r="AC130" s="1986"/>
      <c r="AD130" s="1986"/>
      <c r="AE130" s="1986"/>
      <c r="AF130" s="1986"/>
      <c r="AG130" s="1987">
        <f t="shared" si="67"/>
        <v>0</v>
      </c>
      <c r="AH130" s="1985"/>
      <c r="AI130" s="1986"/>
      <c r="AJ130" s="1986"/>
      <c r="AK130" s="1986"/>
      <c r="AL130" s="1986"/>
      <c r="AM130" s="1987">
        <f t="shared" si="72"/>
        <v>0</v>
      </c>
      <c r="AN130" s="1985">
        <v>203899.3</v>
      </c>
      <c r="AO130" s="1986">
        <v>3161092.5</v>
      </c>
      <c r="AP130" s="1986">
        <v>0</v>
      </c>
      <c r="AQ130" s="1986">
        <v>-0.15000000000000002</v>
      </c>
      <c r="AR130" s="1986">
        <v>0</v>
      </c>
      <c r="AS130" s="1988">
        <f t="shared" si="68"/>
        <v>3364991.65</v>
      </c>
      <c r="AT130" s="1985"/>
      <c r="AU130" s="1986"/>
      <c r="AV130" s="1986"/>
      <c r="AW130" s="1986"/>
      <c r="AX130" s="1986"/>
      <c r="AY130" s="1988">
        <f t="shared" si="69"/>
        <v>0</v>
      </c>
      <c r="AZ130" s="1985">
        <v>11634.52</v>
      </c>
      <c r="BA130" s="1986">
        <v>0</v>
      </c>
      <c r="BB130" s="1986">
        <v>0</v>
      </c>
      <c r="BC130" s="1986">
        <v>0</v>
      </c>
      <c r="BD130" s="1986">
        <v>192.73</v>
      </c>
      <c r="BE130" s="1988">
        <f t="shared" si="70"/>
        <v>11827.25</v>
      </c>
    </row>
    <row r="131" spans="1:57" s="234" customFormat="1" ht="12.75" customHeight="1" x14ac:dyDescent="0.25">
      <c r="A131" s="1981" t="s">
        <v>9</v>
      </c>
      <c r="B131" s="1981"/>
      <c r="C131" s="1981"/>
      <c r="D131" s="1982">
        <f t="shared" ref="D131:I131" si="73">SUM(D126:D130)</f>
        <v>81060584.190000013</v>
      </c>
      <c r="E131" s="1983">
        <f t="shared" si="73"/>
        <v>104594969.67</v>
      </c>
      <c r="F131" s="1983">
        <f t="shared" si="73"/>
        <v>0</v>
      </c>
      <c r="G131" s="1983">
        <f t="shared" si="73"/>
        <v>162718.42000000001</v>
      </c>
      <c r="H131" s="1983">
        <f t="shared" si="73"/>
        <v>162718.42000000001</v>
      </c>
      <c r="I131" s="1984">
        <f t="shared" si="73"/>
        <v>185818272.27999997</v>
      </c>
      <c r="J131" s="1989">
        <f t="shared" ref="J131" si="74">SUM(J126:J130)</f>
        <v>30757084.609999996</v>
      </c>
      <c r="K131" s="1990">
        <f t="shared" ref="K131:N131" si="75">SUM(K126:K130)</f>
        <v>30757084.609999996</v>
      </c>
      <c r="L131" s="1990">
        <f t="shared" si="75"/>
        <v>0</v>
      </c>
      <c r="M131" s="1990">
        <f t="shared" si="75"/>
        <v>53158.720000000001</v>
      </c>
      <c r="N131" s="1990">
        <f t="shared" si="75"/>
        <v>30663.89</v>
      </c>
      <c r="O131" s="1987">
        <f t="shared" ref="O131" si="76">SUM(J131:N131)</f>
        <v>61597991.829999991</v>
      </c>
      <c r="P131" s="1989">
        <f t="shared" ref="P131:T131" si="77">SUM(P126:P130)</f>
        <v>46673512.209999993</v>
      </c>
      <c r="Q131" s="1990">
        <f t="shared" si="77"/>
        <v>46673512.209999993</v>
      </c>
      <c r="R131" s="1990">
        <f t="shared" si="77"/>
        <v>0</v>
      </c>
      <c r="S131" s="1990">
        <f t="shared" si="77"/>
        <v>90456.01999999999</v>
      </c>
      <c r="T131" s="1990">
        <f t="shared" si="77"/>
        <v>-11777.480000000001</v>
      </c>
      <c r="U131" s="1987">
        <f t="shared" ref="U131" si="78">SUM(P131:T131)</f>
        <v>93425702.959999979</v>
      </c>
      <c r="V131" s="1989">
        <f t="shared" ref="V131:Z131" si="79">SUM(V126:V130)</f>
        <v>512335.93999999994</v>
      </c>
      <c r="W131" s="1990">
        <f t="shared" si="79"/>
        <v>512335.93999999994</v>
      </c>
      <c r="X131" s="1990">
        <f t="shared" si="79"/>
        <v>0</v>
      </c>
      <c r="Y131" s="1990">
        <f t="shared" si="79"/>
        <v>139.67999999999995</v>
      </c>
      <c r="Z131" s="1990">
        <f t="shared" si="79"/>
        <v>98</v>
      </c>
      <c r="AA131" s="1987">
        <f t="shared" si="66"/>
        <v>1024909.5599999999</v>
      </c>
      <c r="AB131" s="1989">
        <f t="shared" ref="AB131:AF131" si="80">SUM(AB126:AB130)</f>
        <v>8482.0300000000007</v>
      </c>
      <c r="AC131" s="1990">
        <f t="shared" si="80"/>
        <v>8482.0300000000007</v>
      </c>
      <c r="AD131" s="1990">
        <f t="shared" si="80"/>
        <v>0</v>
      </c>
      <c r="AE131" s="1990">
        <f t="shared" si="80"/>
        <v>0</v>
      </c>
      <c r="AF131" s="1990">
        <f t="shared" si="80"/>
        <v>0</v>
      </c>
      <c r="AG131" s="1987">
        <f t="shared" si="67"/>
        <v>16964.060000000001</v>
      </c>
      <c r="AH131" s="1989">
        <f t="shared" ref="AH131:AL131" si="81">SUM(AH126:AH130)</f>
        <v>4500</v>
      </c>
      <c r="AI131" s="1990">
        <f t="shared" si="81"/>
        <v>4500</v>
      </c>
      <c r="AJ131" s="1990">
        <f t="shared" si="81"/>
        <v>0</v>
      </c>
      <c r="AK131" s="1990">
        <f t="shared" si="81"/>
        <v>0</v>
      </c>
      <c r="AL131" s="1990">
        <f t="shared" si="81"/>
        <v>0</v>
      </c>
      <c r="AM131" s="1987">
        <f t="shared" ref="AM131" si="82">SUM(AH131:AL131)</f>
        <v>9000</v>
      </c>
      <c r="AN131" s="1989">
        <f t="shared" ref="AN131:AR131" si="83">SUM(AN126:AN130)</f>
        <v>3004106.02</v>
      </c>
      <c r="AO131" s="1990">
        <f t="shared" si="83"/>
        <v>26632402.140000001</v>
      </c>
      <c r="AP131" s="1990">
        <f t="shared" si="83"/>
        <v>0</v>
      </c>
      <c r="AQ131" s="1990">
        <f t="shared" si="83"/>
        <v>8510.4799999999977</v>
      </c>
      <c r="AR131" s="1990">
        <f t="shared" si="83"/>
        <v>2</v>
      </c>
      <c r="AS131" s="1988">
        <f t="shared" ref="AS131" si="84">SUM(AN131:AR131)</f>
        <v>29645020.640000001</v>
      </c>
      <c r="AT131" s="1989">
        <f t="shared" ref="AT131:AX131" si="85">SUM(AT126:AT130)</f>
        <v>0</v>
      </c>
      <c r="AU131" s="1990">
        <f t="shared" si="85"/>
        <v>6652.74</v>
      </c>
      <c r="AV131" s="1990">
        <f t="shared" si="85"/>
        <v>0</v>
      </c>
      <c r="AW131" s="1990">
        <f t="shared" si="85"/>
        <v>0</v>
      </c>
      <c r="AX131" s="1990">
        <f t="shared" si="85"/>
        <v>0</v>
      </c>
      <c r="AY131" s="1988">
        <f t="shared" si="69"/>
        <v>6652.74</v>
      </c>
      <c r="AZ131" s="1989">
        <f t="shared" ref="AZ131:BD131" si="86">SUM(AZ126:AZ130)</f>
        <v>100563.38</v>
      </c>
      <c r="BA131" s="1990">
        <f t="shared" si="86"/>
        <v>0</v>
      </c>
      <c r="BB131" s="1990">
        <f t="shared" si="86"/>
        <v>0</v>
      </c>
      <c r="BC131" s="1990">
        <f t="shared" si="86"/>
        <v>-8725.6200000000008</v>
      </c>
      <c r="BD131" s="1990">
        <f t="shared" si="86"/>
        <v>192.73</v>
      </c>
      <c r="BE131" s="1988">
        <f t="shared" ref="BE131" si="87">SUM(AZ131:BD131)</f>
        <v>92030.49</v>
      </c>
    </row>
    <row r="132" spans="1:57" s="234" customFormat="1" x14ac:dyDescent="0.2">
      <c r="J132" s="962"/>
      <c r="K132" s="962"/>
      <c r="L132" s="962"/>
      <c r="M132" s="962"/>
      <c r="N132" s="962"/>
      <c r="O132" s="1202"/>
      <c r="P132" s="962"/>
      <c r="Q132" s="962"/>
      <c r="R132" s="962"/>
      <c r="S132" s="962"/>
      <c r="T132" s="962"/>
      <c r="U132" s="1202"/>
      <c r="V132" s="962"/>
      <c r="W132" s="962"/>
      <c r="X132" s="962"/>
      <c r="Y132" s="962"/>
      <c r="Z132" s="962"/>
      <c r="AA132" s="1202"/>
      <c r="AB132" s="962"/>
      <c r="AC132" s="962"/>
      <c r="AD132" s="962"/>
      <c r="AE132" s="962"/>
      <c r="AF132" s="962"/>
      <c r="AG132" s="1202"/>
      <c r="AH132" s="962"/>
      <c r="AI132" s="962"/>
      <c r="AJ132" s="962"/>
      <c r="AK132" s="962"/>
      <c r="AL132" s="962"/>
      <c r="AM132" s="1202"/>
      <c r="AN132" s="962"/>
      <c r="AO132" s="962"/>
      <c r="AP132" s="962"/>
      <c r="AQ132" s="962"/>
      <c r="AR132" s="962"/>
      <c r="AS132" s="1284"/>
    </row>
    <row r="133" spans="1:57" s="963" customFormat="1" x14ac:dyDescent="0.2">
      <c r="A133" s="1511" t="s">
        <v>1269</v>
      </c>
      <c r="B133" s="964"/>
      <c r="C133" s="964"/>
      <c r="D133" s="965"/>
    </row>
    <row r="134" spans="1:57" s="963" customFormat="1" x14ac:dyDescent="0.2"/>
    <row r="135" spans="1:57" s="182" customFormat="1" x14ac:dyDescent="0.2">
      <c r="A135" s="182" t="s">
        <v>248</v>
      </c>
    </row>
    <row r="136" spans="1:57" x14ac:dyDescent="0.2">
      <c r="A136" s="189" t="s">
        <v>249</v>
      </c>
      <c r="B136" s="167" t="s">
        <v>250</v>
      </c>
      <c r="C136" s="167"/>
    </row>
  </sheetData>
  <autoFilter ref="A3:C124"/>
  <sortState ref="A5:BE124">
    <sortCondition ref="A5:A124"/>
  </sortState>
  <hyperlinks>
    <hyperlink ref="B136" r:id="rId1"/>
  </hyperlinks>
  <pageMargins left="0.7" right="0.7" top="0.75" bottom="0.75" header="0.3" footer="0.3"/>
  <pageSetup orientation="portrait"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Y136"/>
  <sheetViews>
    <sheetView workbookViewId="0">
      <pane xSplit="3" ySplit="4" topLeftCell="D5" activePane="bottomRight" state="frozen"/>
      <selection pane="topRight" activeCell="D1" sqref="D1"/>
      <selection pane="bottomLeft" activeCell="A6" sqref="A6"/>
      <selection pane="bottomRight" activeCell="A4" sqref="A4:AY131"/>
    </sheetView>
  </sheetViews>
  <sheetFormatPr defaultColWidth="13.25" defaultRowHeight="15.75" x14ac:dyDescent="0.25"/>
  <cols>
    <col min="1" max="1" width="13.25" style="265"/>
    <col min="2" max="2" width="35" style="265" customWidth="1"/>
    <col min="3" max="3" width="16.75" style="265" customWidth="1"/>
    <col min="4" max="5" width="13.25" style="265"/>
    <col min="6" max="6" width="15.75" style="265" customWidth="1"/>
    <col min="7" max="9" width="13.25" style="265"/>
    <col min="10" max="11" width="10.75" style="265" customWidth="1"/>
    <col min="12" max="12" width="10.75" style="682" customWidth="1"/>
    <col min="13" max="27" width="13.25" style="682"/>
    <col min="28" max="30" width="11.125" style="682" customWidth="1"/>
    <col min="31" max="51" width="13.25" style="682"/>
    <col min="52" max="16384" width="13.25" style="265"/>
  </cols>
  <sheetData>
    <row r="1" spans="1:51" x14ac:dyDescent="0.25">
      <c r="A1" s="259" t="s">
        <v>1305</v>
      </c>
      <c r="J1" s="760"/>
      <c r="K1" s="760"/>
      <c r="L1" s="760"/>
      <c r="M1" s="760"/>
      <c r="N1" s="760"/>
      <c r="O1" s="760"/>
      <c r="P1" s="760"/>
      <c r="Q1" s="760"/>
      <c r="R1" s="760"/>
      <c r="S1" s="760"/>
      <c r="T1" s="760"/>
      <c r="U1" s="760"/>
      <c r="V1" s="760"/>
      <c r="W1" s="760"/>
      <c r="X1" s="760"/>
      <c r="Y1" s="760"/>
      <c r="Z1" s="760"/>
      <c r="AA1" s="760"/>
      <c r="AB1" s="760"/>
      <c r="AC1" s="760"/>
      <c r="AD1" s="760"/>
      <c r="AE1" s="760"/>
      <c r="AF1" s="760"/>
      <c r="AG1" s="760"/>
      <c r="AH1" s="760"/>
      <c r="AI1" s="760"/>
      <c r="AJ1" s="760"/>
      <c r="AK1" s="760"/>
      <c r="AL1" s="760"/>
      <c r="AM1" s="760"/>
      <c r="AN1" s="760"/>
      <c r="AO1" s="760"/>
      <c r="AP1" s="760"/>
      <c r="AQ1" s="760"/>
      <c r="AR1" s="760"/>
      <c r="AS1" s="760"/>
      <c r="AT1" s="760"/>
      <c r="AU1" s="760"/>
      <c r="AV1" s="760"/>
      <c r="AW1" s="760"/>
      <c r="AX1" s="760"/>
      <c r="AY1" s="760"/>
    </row>
    <row r="2" spans="1:51" x14ac:dyDescent="0.25">
      <c r="B2" s="761"/>
      <c r="C2" s="845"/>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row>
    <row r="3" spans="1:51" s="682" customFormat="1" ht="30" x14ac:dyDescent="0.25">
      <c r="A3" s="1740" t="s">
        <v>4</v>
      </c>
      <c r="B3" s="1740" t="s">
        <v>5</v>
      </c>
      <c r="C3" s="1741" t="s">
        <v>251</v>
      </c>
      <c r="D3" s="1742" t="s">
        <v>314</v>
      </c>
      <c r="E3" s="1743" t="s">
        <v>315</v>
      </c>
      <c r="F3" s="1743" t="s">
        <v>316</v>
      </c>
      <c r="G3" s="1743" t="s">
        <v>304</v>
      </c>
      <c r="H3" s="1744" t="s">
        <v>931</v>
      </c>
      <c r="I3" s="1745" t="s">
        <v>281</v>
      </c>
      <c r="J3" s="1746" t="s">
        <v>426</v>
      </c>
      <c r="K3" s="1747" t="s">
        <v>427</v>
      </c>
      <c r="L3" s="1747" t="s">
        <v>428</v>
      </c>
      <c r="M3" s="1747" t="s">
        <v>979</v>
      </c>
      <c r="N3" s="1747" t="s">
        <v>980</v>
      </c>
      <c r="O3" s="1748" t="s">
        <v>429</v>
      </c>
      <c r="P3" s="1746" t="s">
        <v>412</v>
      </c>
      <c r="Q3" s="1747" t="s">
        <v>413</v>
      </c>
      <c r="R3" s="1747" t="s">
        <v>414</v>
      </c>
      <c r="S3" s="1747" t="s">
        <v>948</v>
      </c>
      <c r="T3" s="1747" t="s">
        <v>1035</v>
      </c>
      <c r="U3" s="1748" t="s">
        <v>415</v>
      </c>
      <c r="V3" s="1746" t="s">
        <v>416</v>
      </c>
      <c r="W3" s="1747" t="s">
        <v>417</v>
      </c>
      <c r="X3" s="1747" t="s">
        <v>418</v>
      </c>
      <c r="Y3" s="1747" t="s">
        <v>943</v>
      </c>
      <c r="Z3" s="1747" t="s">
        <v>1036</v>
      </c>
      <c r="AA3" s="1748" t="s">
        <v>419</v>
      </c>
      <c r="AB3" s="1746" t="s">
        <v>430</v>
      </c>
      <c r="AC3" s="1747" t="s">
        <v>431</v>
      </c>
      <c r="AD3" s="1747" t="s">
        <v>432</v>
      </c>
      <c r="AE3" s="1747" t="s">
        <v>981</v>
      </c>
      <c r="AF3" s="1747" t="s">
        <v>982</v>
      </c>
      <c r="AG3" s="1748" t="s">
        <v>433</v>
      </c>
      <c r="AH3" s="1746" t="s">
        <v>434</v>
      </c>
      <c r="AI3" s="1747" t="s">
        <v>435</v>
      </c>
      <c r="AJ3" s="1747" t="s">
        <v>436</v>
      </c>
      <c r="AK3" s="1747" t="s">
        <v>983</v>
      </c>
      <c r="AL3" s="1747" t="s">
        <v>984</v>
      </c>
      <c r="AM3" s="1748" t="s">
        <v>437</v>
      </c>
      <c r="AN3" s="1746" t="s">
        <v>420</v>
      </c>
      <c r="AO3" s="1747" t="s">
        <v>421</v>
      </c>
      <c r="AP3" s="1747" t="s">
        <v>422</v>
      </c>
      <c r="AQ3" s="1747" t="s">
        <v>944</v>
      </c>
      <c r="AR3" s="1747" t="s">
        <v>945</v>
      </c>
      <c r="AS3" s="1748" t="s">
        <v>423</v>
      </c>
      <c r="AT3" s="1746" t="s">
        <v>424</v>
      </c>
      <c r="AU3" s="1747" t="s">
        <v>425</v>
      </c>
      <c r="AV3" s="1747" t="s">
        <v>410</v>
      </c>
      <c r="AW3" s="1747" t="s">
        <v>946</v>
      </c>
      <c r="AX3" s="1747" t="s">
        <v>947</v>
      </c>
      <c r="AY3" s="1748" t="s">
        <v>411</v>
      </c>
    </row>
    <row r="4" spans="1:51" s="682" customFormat="1" x14ac:dyDescent="0.25">
      <c r="A4" s="966">
        <v>999</v>
      </c>
      <c r="B4" s="966" t="s">
        <v>9</v>
      </c>
      <c r="C4" s="967"/>
      <c r="D4" s="1203">
        <f t="shared" ref="D4:N4" si="0">SUM(D5:D124)</f>
        <v>3603916.3400000003</v>
      </c>
      <c r="E4" s="1203">
        <f t="shared" si="0"/>
        <v>20046278.640000004</v>
      </c>
      <c r="F4" s="1203">
        <f t="shared" si="0"/>
        <v>5157722.1300000008</v>
      </c>
      <c r="G4" s="1204">
        <f t="shared" si="0"/>
        <v>1224986.4900000002</v>
      </c>
      <c r="H4" s="1204">
        <f t="shared" si="0"/>
        <v>6382708.6200000001</v>
      </c>
      <c r="I4" s="1739">
        <f t="shared" si="0"/>
        <v>30032903.600000001</v>
      </c>
      <c r="J4" s="1203">
        <f t="shared" si="0"/>
        <v>0</v>
      </c>
      <c r="K4" s="968">
        <f t="shared" si="0"/>
        <v>19775531.310000006</v>
      </c>
      <c r="L4" s="968">
        <f t="shared" si="0"/>
        <v>4942031.9400000013</v>
      </c>
      <c r="M4" s="968">
        <f t="shared" si="0"/>
        <v>-56.800000000000011</v>
      </c>
      <c r="N4" s="968">
        <f t="shared" si="0"/>
        <v>576.25999999999988</v>
      </c>
      <c r="O4" s="971">
        <f t="shared" ref="O4:AM4" si="1">SUM(O5:O124)</f>
        <v>24718082.709999993</v>
      </c>
      <c r="P4" s="1207">
        <f t="shared" si="1"/>
        <v>-82174.62000000001</v>
      </c>
      <c r="Q4" s="1208">
        <f t="shared" si="1"/>
        <v>-78952.110000000015</v>
      </c>
      <c r="R4" s="1208">
        <f t="shared" si="1"/>
        <v>0</v>
      </c>
      <c r="S4" s="1208">
        <f t="shared" si="1"/>
        <v>-1636.74</v>
      </c>
      <c r="T4" s="1208">
        <f t="shared" si="1"/>
        <v>0</v>
      </c>
      <c r="U4" s="1221">
        <f t="shared" si="1"/>
        <v>-162763.47000000003</v>
      </c>
      <c r="V4" s="1207">
        <f t="shared" si="1"/>
        <v>493.73</v>
      </c>
      <c r="W4" s="1208">
        <f t="shared" si="1"/>
        <v>474.36</v>
      </c>
      <c r="X4" s="1208">
        <f t="shared" si="1"/>
        <v>0</v>
      </c>
      <c r="Y4" s="1208">
        <f t="shared" si="1"/>
        <v>-231.21</v>
      </c>
      <c r="Z4" s="1208">
        <f t="shared" si="1"/>
        <v>0</v>
      </c>
      <c r="AA4" s="1221">
        <f t="shared" si="1"/>
        <v>736.88</v>
      </c>
      <c r="AB4" s="1207">
        <f t="shared" si="1"/>
        <v>0</v>
      </c>
      <c r="AC4" s="970">
        <f t="shared" si="1"/>
        <v>359483.37</v>
      </c>
      <c r="AD4" s="970">
        <f t="shared" si="1"/>
        <v>215690.18999999997</v>
      </c>
      <c r="AE4" s="970">
        <f t="shared" si="1"/>
        <v>1156378.29</v>
      </c>
      <c r="AF4" s="970">
        <f t="shared" si="1"/>
        <v>67792.320000000007</v>
      </c>
      <c r="AG4" s="971">
        <f t="shared" si="1"/>
        <v>1799344.1700000004</v>
      </c>
      <c r="AH4" s="969">
        <f t="shared" si="1"/>
        <v>991833.98</v>
      </c>
      <c r="AI4" s="1208">
        <f t="shared" si="1"/>
        <v>0</v>
      </c>
      <c r="AJ4" s="1208">
        <f t="shared" si="1"/>
        <v>0</v>
      </c>
      <c r="AK4" s="970">
        <f t="shared" si="1"/>
        <v>0</v>
      </c>
      <c r="AL4" s="970">
        <f t="shared" si="1"/>
        <v>618</v>
      </c>
      <c r="AM4" s="971">
        <f t="shared" si="1"/>
        <v>992451.98</v>
      </c>
      <c r="AN4" s="1222">
        <f t="shared" ref="AN4:AS4" si="2">SUM(AN5:AN124)</f>
        <v>0</v>
      </c>
      <c r="AO4" s="1223">
        <f t="shared" si="2"/>
        <v>-11256.240000000002</v>
      </c>
      <c r="AP4" s="1223">
        <f t="shared" si="2"/>
        <v>0</v>
      </c>
      <c r="AQ4" s="1223">
        <f t="shared" si="2"/>
        <v>2021</v>
      </c>
      <c r="AR4" s="1223">
        <f t="shared" si="2"/>
        <v>-244</v>
      </c>
      <c r="AS4" s="971">
        <f t="shared" si="2"/>
        <v>-9479.2400000000016</v>
      </c>
      <c r="AT4" s="1222">
        <f t="shared" ref="AT4:AY4" si="3">SUM(AT5:AT124)</f>
        <v>2693763.25</v>
      </c>
      <c r="AU4" s="1223">
        <f t="shared" si="3"/>
        <v>997.95</v>
      </c>
      <c r="AV4" s="1223">
        <f t="shared" si="3"/>
        <v>0</v>
      </c>
      <c r="AW4" s="1223">
        <f t="shared" si="3"/>
        <v>-230.63</v>
      </c>
      <c r="AX4" s="1223">
        <f t="shared" si="3"/>
        <v>0</v>
      </c>
      <c r="AY4" s="971">
        <f t="shared" si="3"/>
        <v>2694530.5700000003</v>
      </c>
    </row>
    <row r="5" spans="1:51" s="772" customFormat="1" x14ac:dyDescent="0.25">
      <c r="A5" s="1752" t="s">
        <v>10</v>
      </c>
      <c r="B5" s="1752" t="s">
        <v>11</v>
      </c>
      <c r="C5" s="1753" t="s">
        <v>264</v>
      </c>
      <c r="D5" s="1754">
        <f t="shared" ref="D5:D36" si="4">J5+P5+V5+AB5+AH5+AN5+AT5</f>
        <v>-1314.89</v>
      </c>
      <c r="E5" s="1754">
        <f t="shared" ref="E5:E36" si="5">K5+Q5+W5+AC5+AI5+AO5+AU5</f>
        <v>135649.46</v>
      </c>
      <c r="F5" s="1754">
        <f t="shared" ref="F5:F36" si="6">L5+R5+X5+AD5+AJ5+AP5+AV5</f>
        <v>34228.199999999997</v>
      </c>
      <c r="G5" s="1755">
        <f t="shared" ref="G5:G36" si="7">M5+N5+S5+T5+Y5+Z5+AE5+AF5+AK5+AL5+AQ5+AR5+AW5+AX5</f>
        <v>0</v>
      </c>
      <c r="H5" s="1756">
        <f t="shared" ref="H5:H36" si="8">F5+G5</f>
        <v>34228.199999999997</v>
      </c>
      <c r="I5" s="1757">
        <f t="shared" ref="I5:I36" si="9">SUM(D5:G5)</f>
        <v>168562.76999999996</v>
      </c>
      <c r="J5" s="1758">
        <v>0</v>
      </c>
      <c r="K5" s="1759">
        <v>136912.79999999999</v>
      </c>
      <c r="L5" s="1759">
        <v>34228.199999999997</v>
      </c>
      <c r="M5" s="1759">
        <v>0</v>
      </c>
      <c r="N5" s="1759">
        <v>0</v>
      </c>
      <c r="O5" s="1760">
        <f t="shared" ref="O5:O36" si="10">SUM(J5:N5)</f>
        <v>171141</v>
      </c>
      <c r="P5" s="1758">
        <v>-1314.89</v>
      </c>
      <c r="Q5" s="1759">
        <v>-1263.3399999999999</v>
      </c>
      <c r="R5" s="1759">
        <v>0</v>
      </c>
      <c r="S5" s="1759">
        <v>0</v>
      </c>
      <c r="T5" s="1759">
        <v>0</v>
      </c>
      <c r="U5" s="1760">
        <f t="shared" ref="U5:U36" si="11">SUM(P5:T5)</f>
        <v>-2578.23</v>
      </c>
      <c r="V5" s="1758"/>
      <c r="W5" s="1759"/>
      <c r="X5" s="1759"/>
      <c r="Y5" s="1759"/>
      <c r="Z5" s="1759"/>
      <c r="AA5" s="1760">
        <f t="shared" ref="AA5:AA36" si="12">SUM(V5:Z5)</f>
        <v>0</v>
      </c>
      <c r="AB5" s="1761"/>
      <c r="AC5" s="1762"/>
      <c r="AD5" s="1762"/>
      <c r="AE5" s="1762"/>
      <c r="AF5" s="1762"/>
      <c r="AG5" s="1763">
        <f t="shared" ref="AG5:AG36" si="13">SUM(AB5:AF5)</f>
        <v>0</v>
      </c>
      <c r="AH5" s="1764"/>
      <c r="AI5" s="1765"/>
      <c r="AJ5" s="1765"/>
      <c r="AK5" s="1765"/>
      <c r="AL5" s="1765"/>
      <c r="AM5" s="1760">
        <f t="shared" ref="AM5:AM36" si="14">SUM(AH5:AL5)</f>
        <v>0</v>
      </c>
      <c r="AN5" s="1764"/>
      <c r="AO5" s="1765"/>
      <c r="AP5" s="1765"/>
      <c r="AQ5" s="1765"/>
      <c r="AR5" s="1765"/>
      <c r="AS5" s="1760">
        <f t="shared" ref="AS5:AS36" si="15">SUM(AN5:AR5)</f>
        <v>0</v>
      </c>
      <c r="AT5" s="1764"/>
      <c r="AU5" s="1765"/>
      <c r="AV5" s="1765"/>
      <c r="AW5" s="1765"/>
      <c r="AX5" s="1765"/>
      <c r="AY5" s="1760">
        <f t="shared" ref="AY5:AY36" si="16">SUM(AT5:AX5)</f>
        <v>0</v>
      </c>
    </row>
    <row r="6" spans="1:51" s="772" customFormat="1" x14ac:dyDescent="0.25">
      <c r="A6" s="1766" t="s">
        <v>12</v>
      </c>
      <c r="B6" s="1766" t="s">
        <v>13</v>
      </c>
      <c r="C6" s="1767" t="s">
        <v>265</v>
      </c>
      <c r="D6" s="1768">
        <f t="shared" si="4"/>
        <v>9637</v>
      </c>
      <c r="E6" s="1768">
        <f t="shared" si="5"/>
        <v>135276.54999999999</v>
      </c>
      <c r="F6" s="1768">
        <f t="shared" si="6"/>
        <v>34262.559999999998</v>
      </c>
      <c r="G6" s="1769">
        <f t="shared" si="7"/>
        <v>-0.11</v>
      </c>
      <c r="H6" s="1770">
        <f t="shared" si="8"/>
        <v>34262.449999999997</v>
      </c>
      <c r="I6" s="1771">
        <f t="shared" si="9"/>
        <v>179176</v>
      </c>
      <c r="J6" s="1772">
        <v>0</v>
      </c>
      <c r="K6" s="1773">
        <v>134224</v>
      </c>
      <c r="L6" s="1773">
        <v>33556</v>
      </c>
      <c r="M6" s="1773">
        <v>0</v>
      </c>
      <c r="N6" s="1773">
        <v>0</v>
      </c>
      <c r="O6" s="1774">
        <f t="shared" si="10"/>
        <v>167780</v>
      </c>
      <c r="P6" s="1772"/>
      <c r="Q6" s="1773"/>
      <c r="R6" s="1773"/>
      <c r="S6" s="1773"/>
      <c r="T6" s="1773"/>
      <c r="U6" s="1774">
        <f t="shared" si="11"/>
        <v>0</v>
      </c>
      <c r="V6" s="1772"/>
      <c r="W6" s="1773"/>
      <c r="X6" s="1773"/>
      <c r="Y6" s="1773"/>
      <c r="Z6" s="1773"/>
      <c r="AA6" s="1774">
        <f t="shared" si="12"/>
        <v>0</v>
      </c>
      <c r="AB6" s="1775">
        <v>0</v>
      </c>
      <c r="AC6" s="1776">
        <v>1177.55</v>
      </c>
      <c r="AD6" s="1776">
        <v>706.56</v>
      </c>
      <c r="AE6" s="1776">
        <v>-0.11</v>
      </c>
      <c r="AF6" s="1776">
        <v>0</v>
      </c>
      <c r="AG6" s="1777">
        <f t="shared" si="13"/>
        <v>1884</v>
      </c>
      <c r="AH6" s="1775">
        <v>9637</v>
      </c>
      <c r="AI6" s="1776">
        <v>0</v>
      </c>
      <c r="AJ6" s="1776">
        <v>0</v>
      </c>
      <c r="AK6" s="1776">
        <v>0</v>
      </c>
      <c r="AL6" s="1776">
        <v>0</v>
      </c>
      <c r="AM6" s="1774">
        <f t="shared" si="14"/>
        <v>9637</v>
      </c>
      <c r="AN6" s="1775">
        <v>0</v>
      </c>
      <c r="AO6" s="1776">
        <v>-125</v>
      </c>
      <c r="AP6" s="1776">
        <v>0</v>
      </c>
      <c r="AQ6" s="1776">
        <v>0</v>
      </c>
      <c r="AR6" s="1776">
        <v>0</v>
      </c>
      <c r="AS6" s="1774">
        <f t="shared" si="15"/>
        <v>-125</v>
      </c>
      <c r="AT6" s="1775"/>
      <c r="AU6" s="1776"/>
      <c r="AV6" s="1776"/>
      <c r="AW6" s="1776"/>
      <c r="AX6" s="1776"/>
      <c r="AY6" s="1774">
        <f t="shared" si="16"/>
        <v>0</v>
      </c>
    </row>
    <row r="7" spans="1:51" s="772" customFormat="1" x14ac:dyDescent="0.25">
      <c r="A7" s="1766" t="s">
        <v>16</v>
      </c>
      <c r="B7" s="1766" t="s">
        <v>297</v>
      </c>
      <c r="C7" s="1767" t="s">
        <v>265</v>
      </c>
      <c r="D7" s="1768">
        <f t="shared" si="4"/>
        <v>-737.21</v>
      </c>
      <c r="E7" s="1768">
        <f t="shared" si="5"/>
        <v>37590.099999999991</v>
      </c>
      <c r="F7" s="1768">
        <f t="shared" si="6"/>
        <v>9574.5999999999985</v>
      </c>
      <c r="G7" s="1769">
        <f t="shared" si="7"/>
        <v>0</v>
      </c>
      <c r="H7" s="1770">
        <f t="shared" si="8"/>
        <v>9574.5999999999985</v>
      </c>
      <c r="I7" s="1771">
        <f t="shared" si="9"/>
        <v>46427.489999999991</v>
      </c>
      <c r="J7" s="1772">
        <v>0</v>
      </c>
      <c r="K7" s="1773">
        <v>38298.399999999994</v>
      </c>
      <c r="L7" s="1773">
        <v>9574.5999999999985</v>
      </c>
      <c r="M7" s="1773">
        <v>0</v>
      </c>
      <c r="N7" s="1773">
        <v>0</v>
      </c>
      <c r="O7" s="1774">
        <f t="shared" si="10"/>
        <v>47872.999999999993</v>
      </c>
      <c r="P7" s="1772">
        <v>-737.21</v>
      </c>
      <c r="Q7" s="1773">
        <v>-708.30000000000007</v>
      </c>
      <c r="R7" s="1773">
        <v>0</v>
      </c>
      <c r="S7" s="1773">
        <v>0</v>
      </c>
      <c r="T7" s="1773">
        <v>0</v>
      </c>
      <c r="U7" s="1774">
        <f t="shared" si="11"/>
        <v>-1445.5100000000002</v>
      </c>
      <c r="V7" s="1772"/>
      <c r="W7" s="1773"/>
      <c r="X7" s="1773"/>
      <c r="Y7" s="1773"/>
      <c r="Z7" s="1773"/>
      <c r="AA7" s="1774">
        <f t="shared" si="12"/>
        <v>0</v>
      </c>
      <c r="AB7" s="1778"/>
      <c r="AC7" s="1779"/>
      <c r="AD7" s="1779"/>
      <c r="AE7" s="1779"/>
      <c r="AF7" s="1779"/>
      <c r="AG7" s="1777">
        <f t="shared" si="13"/>
        <v>0</v>
      </c>
      <c r="AH7" s="1778"/>
      <c r="AI7" s="1779"/>
      <c r="AJ7" s="1779"/>
      <c r="AK7" s="1779"/>
      <c r="AL7" s="1779"/>
      <c r="AM7" s="1774">
        <f t="shared" si="14"/>
        <v>0</v>
      </c>
      <c r="AN7" s="1778"/>
      <c r="AO7" s="1779"/>
      <c r="AP7" s="1779"/>
      <c r="AQ7" s="1779"/>
      <c r="AR7" s="1779"/>
      <c r="AS7" s="1774">
        <f t="shared" si="15"/>
        <v>0</v>
      </c>
      <c r="AT7" s="1778"/>
      <c r="AU7" s="1779"/>
      <c r="AV7" s="1779"/>
      <c r="AW7" s="1779"/>
      <c r="AX7" s="1779"/>
      <c r="AY7" s="1774">
        <f t="shared" si="16"/>
        <v>0</v>
      </c>
    </row>
    <row r="8" spans="1:51" s="772" customFormat="1" x14ac:dyDescent="0.25">
      <c r="A8" s="1766" t="s">
        <v>18</v>
      </c>
      <c r="B8" s="1766" t="s">
        <v>19</v>
      </c>
      <c r="C8" s="1767" t="s">
        <v>266</v>
      </c>
      <c r="D8" s="1768">
        <f t="shared" si="4"/>
        <v>0</v>
      </c>
      <c r="E8" s="1768">
        <f t="shared" si="5"/>
        <v>72227.199999999997</v>
      </c>
      <c r="F8" s="1768">
        <f t="shared" si="6"/>
        <v>18056.8</v>
      </c>
      <c r="G8" s="1769">
        <f t="shared" si="7"/>
        <v>0</v>
      </c>
      <c r="H8" s="1770">
        <f t="shared" si="8"/>
        <v>18056.8</v>
      </c>
      <c r="I8" s="1771">
        <f t="shared" si="9"/>
        <v>90284</v>
      </c>
      <c r="J8" s="1772">
        <v>0</v>
      </c>
      <c r="K8" s="1773">
        <v>72227.199999999997</v>
      </c>
      <c r="L8" s="1773">
        <v>18056.8</v>
      </c>
      <c r="M8" s="1773">
        <v>0</v>
      </c>
      <c r="N8" s="1773">
        <v>0</v>
      </c>
      <c r="O8" s="1774">
        <f t="shared" si="10"/>
        <v>90284</v>
      </c>
      <c r="P8" s="1772"/>
      <c r="Q8" s="1773"/>
      <c r="R8" s="1773"/>
      <c r="S8" s="1773"/>
      <c r="T8" s="1773"/>
      <c r="U8" s="1774">
        <f t="shared" si="11"/>
        <v>0</v>
      </c>
      <c r="V8" s="1772"/>
      <c r="W8" s="1773"/>
      <c r="X8" s="1773"/>
      <c r="Y8" s="1773"/>
      <c r="Z8" s="1773"/>
      <c r="AA8" s="1774">
        <f t="shared" si="12"/>
        <v>0</v>
      </c>
      <c r="AB8" s="1778"/>
      <c r="AC8" s="1779"/>
      <c r="AD8" s="1779"/>
      <c r="AE8" s="1779"/>
      <c r="AF8" s="1779"/>
      <c r="AG8" s="1777">
        <f t="shared" si="13"/>
        <v>0</v>
      </c>
      <c r="AH8" s="1778"/>
      <c r="AI8" s="1779"/>
      <c r="AJ8" s="1779"/>
      <c r="AK8" s="1779"/>
      <c r="AL8" s="1779"/>
      <c r="AM8" s="1774">
        <f t="shared" si="14"/>
        <v>0</v>
      </c>
      <c r="AN8" s="1778"/>
      <c r="AO8" s="1779"/>
      <c r="AP8" s="1779"/>
      <c r="AQ8" s="1779"/>
      <c r="AR8" s="1779"/>
      <c r="AS8" s="1774">
        <f t="shared" si="15"/>
        <v>0</v>
      </c>
      <c r="AT8" s="1778"/>
      <c r="AU8" s="1779"/>
      <c r="AV8" s="1779"/>
      <c r="AW8" s="1779"/>
      <c r="AX8" s="1779"/>
      <c r="AY8" s="1774">
        <f t="shared" si="16"/>
        <v>0</v>
      </c>
    </row>
    <row r="9" spans="1:51" s="772" customFormat="1" x14ac:dyDescent="0.25">
      <c r="A9" s="1766" t="s">
        <v>20</v>
      </c>
      <c r="B9" s="1766" t="s">
        <v>21</v>
      </c>
      <c r="C9" s="1767" t="s">
        <v>265</v>
      </c>
      <c r="D9" s="1768">
        <f t="shared" si="4"/>
        <v>0</v>
      </c>
      <c r="E9" s="1768">
        <f t="shared" si="5"/>
        <v>99679.2</v>
      </c>
      <c r="F9" s="1768">
        <f t="shared" si="6"/>
        <v>24919.8</v>
      </c>
      <c r="G9" s="1769">
        <f t="shared" si="7"/>
        <v>0</v>
      </c>
      <c r="H9" s="1770">
        <f t="shared" si="8"/>
        <v>24919.8</v>
      </c>
      <c r="I9" s="1771">
        <f t="shared" si="9"/>
        <v>124599</v>
      </c>
      <c r="J9" s="1772">
        <v>0</v>
      </c>
      <c r="K9" s="1773">
        <v>99679.2</v>
      </c>
      <c r="L9" s="1773">
        <v>24919.8</v>
      </c>
      <c r="M9" s="1773">
        <v>0</v>
      </c>
      <c r="N9" s="1773">
        <v>0</v>
      </c>
      <c r="O9" s="1774">
        <f t="shared" si="10"/>
        <v>124599</v>
      </c>
      <c r="P9" s="1772"/>
      <c r="Q9" s="1773"/>
      <c r="R9" s="1773"/>
      <c r="S9" s="1773"/>
      <c r="T9" s="1773"/>
      <c r="U9" s="1774">
        <f t="shared" si="11"/>
        <v>0</v>
      </c>
      <c r="V9" s="1772"/>
      <c r="W9" s="1773"/>
      <c r="X9" s="1773"/>
      <c r="Y9" s="1773"/>
      <c r="Z9" s="1773"/>
      <c r="AA9" s="1774">
        <f t="shared" si="12"/>
        <v>0</v>
      </c>
      <c r="AB9" s="1778"/>
      <c r="AC9" s="1779"/>
      <c r="AD9" s="1779"/>
      <c r="AE9" s="1779"/>
      <c r="AF9" s="1779"/>
      <c r="AG9" s="1777">
        <f t="shared" si="13"/>
        <v>0</v>
      </c>
      <c r="AH9" s="1778"/>
      <c r="AI9" s="1779"/>
      <c r="AJ9" s="1779"/>
      <c r="AK9" s="1779"/>
      <c r="AL9" s="1779"/>
      <c r="AM9" s="1774">
        <f t="shared" si="14"/>
        <v>0</v>
      </c>
      <c r="AN9" s="1778"/>
      <c r="AO9" s="1779"/>
      <c r="AP9" s="1779"/>
      <c r="AQ9" s="1779"/>
      <c r="AR9" s="1779"/>
      <c r="AS9" s="1774">
        <f t="shared" si="15"/>
        <v>0</v>
      </c>
      <c r="AT9" s="1778"/>
      <c r="AU9" s="1779"/>
      <c r="AV9" s="1779"/>
      <c r="AW9" s="1779"/>
      <c r="AX9" s="1779"/>
      <c r="AY9" s="1774">
        <f t="shared" si="16"/>
        <v>0</v>
      </c>
    </row>
    <row r="10" spans="1:51" s="772" customFormat="1" x14ac:dyDescent="0.25">
      <c r="A10" s="1766" t="s">
        <v>22</v>
      </c>
      <c r="B10" s="1766" t="s">
        <v>23</v>
      </c>
      <c r="C10" s="1767" t="s">
        <v>265</v>
      </c>
      <c r="D10" s="1768">
        <f t="shared" si="4"/>
        <v>-51</v>
      </c>
      <c r="E10" s="1768">
        <f t="shared" si="5"/>
        <v>50283</v>
      </c>
      <c r="F10" s="1768">
        <f t="shared" si="6"/>
        <v>12583</v>
      </c>
      <c r="G10" s="1769">
        <f t="shared" si="7"/>
        <v>0</v>
      </c>
      <c r="H10" s="1770">
        <f t="shared" si="8"/>
        <v>12583</v>
      </c>
      <c r="I10" s="1771">
        <f t="shared" si="9"/>
        <v>62815</v>
      </c>
      <c r="J10" s="1772">
        <v>0</v>
      </c>
      <c r="K10" s="1773">
        <v>50332</v>
      </c>
      <c r="L10" s="1773">
        <v>12583</v>
      </c>
      <c r="M10" s="1773">
        <v>0</v>
      </c>
      <c r="N10" s="1773">
        <v>0</v>
      </c>
      <c r="O10" s="1774">
        <f t="shared" si="10"/>
        <v>62915</v>
      </c>
      <c r="P10" s="1772">
        <v>-51</v>
      </c>
      <c r="Q10" s="1773">
        <v>-49</v>
      </c>
      <c r="R10" s="1773">
        <v>0</v>
      </c>
      <c r="S10" s="1773">
        <v>0</v>
      </c>
      <c r="T10" s="1773">
        <v>0</v>
      </c>
      <c r="U10" s="1774">
        <f t="shared" si="11"/>
        <v>-100</v>
      </c>
      <c r="V10" s="1772"/>
      <c r="W10" s="1773"/>
      <c r="X10" s="1773"/>
      <c r="Y10" s="1773"/>
      <c r="Z10" s="1773"/>
      <c r="AA10" s="1774">
        <f t="shared" si="12"/>
        <v>0</v>
      </c>
      <c r="AB10" s="1778"/>
      <c r="AC10" s="1779"/>
      <c r="AD10" s="1779"/>
      <c r="AE10" s="1779"/>
      <c r="AF10" s="1779"/>
      <c r="AG10" s="1777">
        <f t="shared" si="13"/>
        <v>0</v>
      </c>
      <c r="AH10" s="1778"/>
      <c r="AI10" s="1779"/>
      <c r="AJ10" s="1779"/>
      <c r="AK10" s="1779"/>
      <c r="AL10" s="1779"/>
      <c r="AM10" s="1774">
        <f t="shared" si="14"/>
        <v>0</v>
      </c>
      <c r="AN10" s="1778"/>
      <c r="AO10" s="1779"/>
      <c r="AP10" s="1779"/>
      <c r="AQ10" s="1779"/>
      <c r="AR10" s="1779"/>
      <c r="AS10" s="1774">
        <f t="shared" si="15"/>
        <v>0</v>
      </c>
      <c r="AT10" s="1778"/>
      <c r="AU10" s="1779"/>
      <c r="AV10" s="1779"/>
      <c r="AW10" s="1779"/>
      <c r="AX10" s="1779"/>
      <c r="AY10" s="1774">
        <f t="shared" si="16"/>
        <v>0</v>
      </c>
    </row>
    <row r="11" spans="1:51" s="772" customFormat="1" x14ac:dyDescent="0.25">
      <c r="A11" s="1766" t="s">
        <v>24</v>
      </c>
      <c r="B11" s="1766" t="s">
        <v>25</v>
      </c>
      <c r="C11" s="1767" t="s">
        <v>267</v>
      </c>
      <c r="D11" s="1768">
        <f t="shared" si="4"/>
        <v>58225.279999999999</v>
      </c>
      <c r="E11" s="1768">
        <f t="shared" si="5"/>
        <v>374311.46</v>
      </c>
      <c r="F11" s="1768">
        <f t="shared" si="6"/>
        <v>93720.320000000007</v>
      </c>
      <c r="G11" s="1769">
        <f t="shared" si="7"/>
        <v>450483.38</v>
      </c>
      <c r="H11" s="1770">
        <f t="shared" si="8"/>
        <v>544203.69999999995</v>
      </c>
      <c r="I11" s="1771">
        <f t="shared" si="9"/>
        <v>976740.44000000006</v>
      </c>
      <c r="J11" s="1772">
        <v>0</v>
      </c>
      <c r="K11" s="1773">
        <v>374881.28000000003</v>
      </c>
      <c r="L11" s="1773">
        <v>93720.320000000007</v>
      </c>
      <c r="M11" s="1773">
        <v>0</v>
      </c>
      <c r="N11" s="1773">
        <v>0</v>
      </c>
      <c r="O11" s="1774">
        <f t="shared" si="10"/>
        <v>468601.60000000003</v>
      </c>
      <c r="P11" s="1772">
        <v>-593.04999999999995</v>
      </c>
      <c r="Q11" s="1773">
        <v>-569.82000000000005</v>
      </c>
      <c r="R11" s="1773">
        <v>0</v>
      </c>
      <c r="S11" s="1773">
        <v>0</v>
      </c>
      <c r="T11" s="1773">
        <v>0</v>
      </c>
      <c r="U11" s="1774">
        <f t="shared" si="11"/>
        <v>-1162.8699999999999</v>
      </c>
      <c r="V11" s="1772"/>
      <c r="W11" s="1773"/>
      <c r="X11" s="1773"/>
      <c r="Y11" s="1773"/>
      <c r="Z11" s="1773"/>
      <c r="AA11" s="1774">
        <f t="shared" si="12"/>
        <v>0</v>
      </c>
      <c r="AB11" s="1775">
        <v>0</v>
      </c>
      <c r="AC11" s="1776">
        <v>0</v>
      </c>
      <c r="AD11" s="1776">
        <v>0</v>
      </c>
      <c r="AE11" s="1776">
        <v>450483.38</v>
      </c>
      <c r="AF11" s="1776">
        <v>0</v>
      </c>
      <c r="AG11" s="1777">
        <f t="shared" si="13"/>
        <v>450483.38</v>
      </c>
      <c r="AH11" s="1775">
        <v>23892</v>
      </c>
      <c r="AI11" s="1776">
        <v>0</v>
      </c>
      <c r="AJ11" s="1776">
        <v>0</v>
      </c>
      <c r="AK11" s="1776">
        <v>0</v>
      </c>
      <c r="AL11" s="1776">
        <v>0</v>
      </c>
      <c r="AM11" s="1774">
        <f t="shared" si="14"/>
        <v>23892</v>
      </c>
      <c r="AN11" s="1775"/>
      <c r="AO11" s="1776"/>
      <c r="AP11" s="1776"/>
      <c r="AQ11" s="1776"/>
      <c r="AR11" s="1776"/>
      <c r="AS11" s="1774">
        <f t="shared" si="15"/>
        <v>0</v>
      </c>
      <c r="AT11" s="1775">
        <v>34926.33</v>
      </c>
      <c r="AU11" s="1776">
        <v>0</v>
      </c>
      <c r="AV11" s="1776">
        <v>0</v>
      </c>
      <c r="AW11" s="1776">
        <v>0</v>
      </c>
      <c r="AX11" s="1776">
        <v>0</v>
      </c>
      <c r="AY11" s="1774">
        <f t="shared" si="16"/>
        <v>34926.33</v>
      </c>
    </row>
    <row r="12" spans="1:51" s="772" customFormat="1" x14ac:dyDescent="0.25">
      <c r="A12" s="1766" t="s">
        <v>26</v>
      </c>
      <c r="B12" s="1766" t="s">
        <v>685</v>
      </c>
      <c r="C12" s="1767" t="s">
        <v>265</v>
      </c>
      <c r="D12" s="1768">
        <f t="shared" si="4"/>
        <v>305473.65000000002</v>
      </c>
      <c r="E12" s="1768">
        <f t="shared" si="5"/>
        <v>322246.32</v>
      </c>
      <c r="F12" s="1768">
        <f t="shared" si="6"/>
        <v>86300.459999999992</v>
      </c>
      <c r="G12" s="1769">
        <f t="shared" si="7"/>
        <v>24499.98</v>
      </c>
      <c r="H12" s="1770">
        <f t="shared" si="8"/>
        <v>110800.43999999999</v>
      </c>
      <c r="I12" s="1771">
        <f t="shared" si="9"/>
        <v>738520.40999999992</v>
      </c>
      <c r="J12" s="1772">
        <v>0</v>
      </c>
      <c r="K12" s="1773">
        <v>310517.59999999998</v>
      </c>
      <c r="L12" s="1773">
        <v>77629.399999999994</v>
      </c>
      <c r="M12" s="1773">
        <v>0</v>
      </c>
      <c r="N12" s="1773">
        <v>0</v>
      </c>
      <c r="O12" s="1774">
        <f t="shared" si="10"/>
        <v>388147</v>
      </c>
      <c r="P12" s="1772">
        <v>-283.05</v>
      </c>
      <c r="Q12" s="1773">
        <v>-271.95</v>
      </c>
      <c r="R12" s="1773">
        <v>0</v>
      </c>
      <c r="S12" s="1773">
        <v>0</v>
      </c>
      <c r="T12" s="1773">
        <v>0</v>
      </c>
      <c r="U12" s="1774">
        <f t="shared" si="11"/>
        <v>-555</v>
      </c>
      <c r="V12" s="1772"/>
      <c r="W12" s="1773"/>
      <c r="X12" s="1773"/>
      <c r="Y12" s="1773"/>
      <c r="Z12" s="1773"/>
      <c r="AA12" s="1774">
        <f t="shared" si="12"/>
        <v>0</v>
      </c>
      <c r="AB12" s="1775">
        <v>0</v>
      </c>
      <c r="AC12" s="1776">
        <v>14451.76</v>
      </c>
      <c r="AD12" s="1776">
        <v>8671.0600000000013</v>
      </c>
      <c r="AE12" s="1776">
        <v>24499.98</v>
      </c>
      <c r="AF12" s="1776">
        <v>0</v>
      </c>
      <c r="AG12" s="1777">
        <f t="shared" si="13"/>
        <v>47622.8</v>
      </c>
      <c r="AH12" s="1775">
        <v>4236</v>
      </c>
      <c r="AI12" s="1776">
        <v>0</v>
      </c>
      <c r="AJ12" s="1776">
        <v>0</v>
      </c>
      <c r="AK12" s="1776">
        <v>0</v>
      </c>
      <c r="AL12" s="1776">
        <v>0</v>
      </c>
      <c r="AM12" s="1774">
        <f t="shared" si="14"/>
        <v>4236</v>
      </c>
      <c r="AN12" s="1775">
        <v>0</v>
      </c>
      <c r="AO12" s="1776">
        <v>-3449.04</v>
      </c>
      <c r="AP12" s="1776">
        <v>0</v>
      </c>
      <c r="AQ12" s="1776">
        <v>0</v>
      </c>
      <c r="AR12" s="1776">
        <v>0</v>
      </c>
      <c r="AS12" s="1774">
        <f t="shared" si="15"/>
        <v>-3449.04</v>
      </c>
      <c r="AT12" s="1775">
        <v>301520.7</v>
      </c>
      <c r="AU12" s="1776">
        <v>997.95</v>
      </c>
      <c r="AV12" s="1776">
        <v>0</v>
      </c>
      <c r="AW12" s="1776">
        <v>0</v>
      </c>
      <c r="AX12" s="1776">
        <v>0</v>
      </c>
      <c r="AY12" s="1774">
        <f t="shared" si="16"/>
        <v>302518.65000000002</v>
      </c>
    </row>
    <row r="13" spans="1:51" s="772" customFormat="1" x14ac:dyDescent="0.25">
      <c r="A13" s="1766" t="s">
        <v>27</v>
      </c>
      <c r="B13" s="1766" t="s">
        <v>28</v>
      </c>
      <c r="C13" s="1767" t="s">
        <v>265</v>
      </c>
      <c r="D13" s="1768">
        <f t="shared" si="4"/>
        <v>-97.92</v>
      </c>
      <c r="E13" s="1768">
        <f t="shared" si="5"/>
        <v>814.71999999999991</v>
      </c>
      <c r="F13" s="1768">
        <f t="shared" si="6"/>
        <v>227.2</v>
      </c>
      <c r="G13" s="1769">
        <f t="shared" si="7"/>
        <v>0</v>
      </c>
      <c r="H13" s="1770">
        <f t="shared" si="8"/>
        <v>227.2</v>
      </c>
      <c r="I13" s="1771">
        <f t="shared" si="9"/>
        <v>944</v>
      </c>
      <c r="J13" s="1772">
        <v>0</v>
      </c>
      <c r="K13" s="1773">
        <v>908.8</v>
      </c>
      <c r="L13" s="1773">
        <v>227.2</v>
      </c>
      <c r="M13" s="1773">
        <v>0</v>
      </c>
      <c r="N13" s="1773">
        <v>0</v>
      </c>
      <c r="O13" s="1774">
        <f t="shared" si="10"/>
        <v>1136</v>
      </c>
      <c r="P13" s="1772">
        <v>-97.92</v>
      </c>
      <c r="Q13" s="1773">
        <v>-94.08</v>
      </c>
      <c r="R13" s="1773">
        <v>0</v>
      </c>
      <c r="S13" s="1773">
        <v>0</v>
      </c>
      <c r="T13" s="1773">
        <v>0</v>
      </c>
      <c r="U13" s="1774">
        <f t="shared" si="11"/>
        <v>-192</v>
      </c>
      <c r="V13" s="1772"/>
      <c r="W13" s="1773"/>
      <c r="X13" s="1773"/>
      <c r="Y13" s="1773"/>
      <c r="Z13" s="1773"/>
      <c r="AA13" s="1774">
        <f t="shared" si="12"/>
        <v>0</v>
      </c>
      <c r="AB13" s="1778"/>
      <c r="AC13" s="1779"/>
      <c r="AD13" s="1779"/>
      <c r="AE13" s="1779"/>
      <c r="AF13" s="1779"/>
      <c r="AG13" s="1777">
        <f t="shared" si="13"/>
        <v>0</v>
      </c>
      <c r="AH13" s="1778"/>
      <c r="AI13" s="1779"/>
      <c r="AJ13" s="1779"/>
      <c r="AK13" s="1779"/>
      <c r="AL13" s="1779"/>
      <c r="AM13" s="1774">
        <f t="shared" si="14"/>
        <v>0</v>
      </c>
      <c r="AN13" s="1778"/>
      <c r="AO13" s="1779"/>
      <c r="AP13" s="1779"/>
      <c r="AQ13" s="1779"/>
      <c r="AR13" s="1779"/>
      <c r="AS13" s="1774">
        <f t="shared" si="15"/>
        <v>0</v>
      </c>
      <c r="AT13" s="1778"/>
      <c r="AU13" s="1779"/>
      <c r="AV13" s="1779"/>
      <c r="AW13" s="1779"/>
      <c r="AX13" s="1779"/>
      <c r="AY13" s="1774">
        <f t="shared" si="16"/>
        <v>0</v>
      </c>
    </row>
    <row r="14" spans="1:51" s="772" customFormat="1" x14ac:dyDescent="0.25">
      <c r="A14" s="1766" t="s">
        <v>29</v>
      </c>
      <c r="B14" s="1766" t="s">
        <v>901</v>
      </c>
      <c r="C14" s="1767" t="s">
        <v>265</v>
      </c>
      <c r="D14" s="1768">
        <f t="shared" si="4"/>
        <v>-837.67</v>
      </c>
      <c r="E14" s="1768">
        <f t="shared" si="5"/>
        <v>132869.56</v>
      </c>
      <c r="F14" s="1768">
        <f t="shared" si="6"/>
        <v>33418.6</v>
      </c>
      <c r="G14" s="1769">
        <f t="shared" si="7"/>
        <v>0</v>
      </c>
      <c r="H14" s="1770">
        <f t="shared" si="8"/>
        <v>33418.6</v>
      </c>
      <c r="I14" s="1771">
        <f t="shared" si="9"/>
        <v>165450.49</v>
      </c>
      <c r="J14" s="1772">
        <v>0</v>
      </c>
      <c r="K14" s="1773">
        <v>133674.4</v>
      </c>
      <c r="L14" s="1773">
        <v>33418.6</v>
      </c>
      <c r="M14" s="1773">
        <v>0</v>
      </c>
      <c r="N14" s="1773">
        <v>0</v>
      </c>
      <c r="O14" s="1774">
        <f t="shared" si="10"/>
        <v>167093</v>
      </c>
      <c r="P14" s="1772">
        <v>-837.67</v>
      </c>
      <c r="Q14" s="1773">
        <v>-804.84</v>
      </c>
      <c r="R14" s="1773">
        <v>0</v>
      </c>
      <c r="S14" s="1773">
        <v>0</v>
      </c>
      <c r="T14" s="1773">
        <v>0</v>
      </c>
      <c r="U14" s="1774">
        <f t="shared" si="11"/>
        <v>-1642.51</v>
      </c>
      <c r="V14" s="1772"/>
      <c r="W14" s="1773"/>
      <c r="X14" s="1773"/>
      <c r="Y14" s="1773"/>
      <c r="Z14" s="1773"/>
      <c r="AA14" s="1774">
        <f t="shared" si="12"/>
        <v>0</v>
      </c>
      <c r="AB14" s="1778"/>
      <c r="AC14" s="1779"/>
      <c r="AD14" s="1779"/>
      <c r="AE14" s="1779"/>
      <c r="AF14" s="1779"/>
      <c r="AG14" s="1777">
        <f t="shared" si="13"/>
        <v>0</v>
      </c>
      <c r="AH14" s="1778"/>
      <c r="AI14" s="1779"/>
      <c r="AJ14" s="1779"/>
      <c r="AK14" s="1779"/>
      <c r="AL14" s="1779"/>
      <c r="AM14" s="1774">
        <f t="shared" si="14"/>
        <v>0</v>
      </c>
      <c r="AN14" s="1778"/>
      <c r="AO14" s="1779"/>
      <c r="AP14" s="1779"/>
      <c r="AQ14" s="1779"/>
      <c r="AR14" s="1779"/>
      <c r="AS14" s="1774">
        <f t="shared" si="15"/>
        <v>0</v>
      </c>
      <c r="AT14" s="1778"/>
      <c r="AU14" s="1779"/>
      <c r="AV14" s="1779"/>
      <c r="AW14" s="1779"/>
      <c r="AX14" s="1779"/>
      <c r="AY14" s="1774">
        <f t="shared" si="16"/>
        <v>0</v>
      </c>
    </row>
    <row r="15" spans="1:51" s="772" customFormat="1" x14ac:dyDescent="0.25">
      <c r="A15" s="1766" t="s">
        <v>30</v>
      </c>
      <c r="B15" s="1766" t="s">
        <v>31</v>
      </c>
      <c r="C15" s="1767" t="s">
        <v>268</v>
      </c>
      <c r="D15" s="1768">
        <f t="shared" si="4"/>
        <v>0</v>
      </c>
      <c r="E15" s="1768">
        <f t="shared" si="5"/>
        <v>14548.8</v>
      </c>
      <c r="F15" s="1768">
        <f t="shared" si="6"/>
        <v>3637.2</v>
      </c>
      <c r="G15" s="1769">
        <f t="shared" si="7"/>
        <v>0</v>
      </c>
      <c r="H15" s="1770">
        <f t="shared" si="8"/>
        <v>3637.2</v>
      </c>
      <c r="I15" s="1771">
        <f t="shared" si="9"/>
        <v>18186</v>
      </c>
      <c r="J15" s="1772">
        <v>0</v>
      </c>
      <c r="K15" s="1773">
        <v>14548.8</v>
      </c>
      <c r="L15" s="1773">
        <v>3637.2</v>
      </c>
      <c r="M15" s="1773">
        <v>0</v>
      </c>
      <c r="N15" s="1773">
        <v>0</v>
      </c>
      <c r="O15" s="1774">
        <f t="shared" si="10"/>
        <v>18186</v>
      </c>
      <c r="P15" s="1772"/>
      <c r="Q15" s="1773"/>
      <c r="R15" s="1773"/>
      <c r="S15" s="1773"/>
      <c r="T15" s="1773"/>
      <c r="U15" s="1774">
        <f t="shared" si="11"/>
        <v>0</v>
      </c>
      <c r="V15" s="1772"/>
      <c r="W15" s="1773"/>
      <c r="X15" s="1773"/>
      <c r="Y15" s="1773"/>
      <c r="Z15" s="1773"/>
      <c r="AA15" s="1774">
        <f t="shared" si="12"/>
        <v>0</v>
      </c>
      <c r="AB15" s="1778"/>
      <c r="AC15" s="1779"/>
      <c r="AD15" s="1779"/>
      <c r="AE15" s="1779"/>
      <c r="AF15" s="1779"/>
      <c r="AG15" s="1777">
        <f t="shared" si="13"/>
        <v>0</v>
      </c>
      <c r="AH15" s="1778"/>
      <c r="AI15" s="1779"/>
      <c r="AJ15" s="1779"/>
      <c r="AK15" s="1779"/>
      <c r="AL15" s="1779"/>
      <c r="AM15" s="1774">
        <f t="shared" si="14"/>
        <v>0</v>
      </c>
      <c r="AN15" s="1778"/>
      <c r="AO15" s="1779"/>
      <c r="AP15" s="1779"/>
      <c r="AQ15" s="1779"/>
      <c r="AR15" s="1779"/>
      <c r="AS15" s="1774">
        <f t="shared" si="15"/>
        <v>0</v>
      </c>
      <c r="AT15" s="1778"/>
      <c r="AU15" s="1779"/>
      <c r="AV15" s="1779"/>
      <c r="AW15" s="1779"/>
      <c r="AX15" s="1779"/>
      <c r="AY15" s="1774">
        <f t="shared" si="16"/>
        <v>0</v>
      </c>
    </row>
    <row r="16" spans="1:51" s="772" customFormat="1" x14ac:dyDescent="0.25">
      <c r="A16" s="1766" t="s">
        <v>32</v>
      </c>
      <c r="B16" s="1766" t="s">
        <v>33</v>
      </c>
      <c r="C16" s="1767" t="s">
        <v>265</v>
      </c>
      <c r="D16" s="1768">
        <f t="shared" si="4"/>
        <v>0</v>
      </c>
      <c r="E16" s="1768">
        <f t="shared" si="5"/>
        <v>59668</v>
      </c>
      <c r="F16" s="1768">
        <f t="shared" si="6"/>
        <v>14917</v>
      </c>
      <c r="G16" s="1769">
        <f t="shared" si="7"/>
        <v>0</v>
      </c>
      <c r="H16" s="1770">
        <f t="shared" si="8"/>
        <v>14917</v>
      </c>
      <c r="I16" s="1771">
        <f t="shared" si="9"/>
        <v>74585</v>
      </c>
      <c r="J16" s="1772">
        <v>0</v>
      </c>
      <c r="K16" s="1773">
        <v>59668</v>
      </c>
      <c r="L16" s="1773">
        <v>14917</v>
      </c>
      <c r="M16" s="1773">
        <v>0</v>
      </c>
      <c r="N16" s="1773">
        <v>0</v>
      </c>
      <c r="O16" s="1774">
        <f t="shared" si="10"/>
        <v>74585</v>
      </c>
      <c r="P16" s="1772"/>
      <c r="Q16" s="1773"/>
      <c r="R16" s="1773"/>
      <c r="S16" s="1773"/>
      <c r="T16" s="1773"/>
      <c r="U16" s="1774">
        <f t="shared" si="11"/>
        <v>0</v>
      </c>
      <c r="V16" s="1772"/>
      <c r="W16" s="1773"/>
      <c r="X16" s="1773"/>
      <c r="Y16" s="1773"/>
      <c r="Z16" s="1773"/>
      <c r="AA16" s="1774">
        <f t="shared" si="12"/>
        <v>0</v>
      </c>
      <c r="AB16" s="1778"/>
      <c r="AC16" s="1779"/>
      <c r="AD16" s="1779"/>
      <c r="AE16" s="1779"/>
      <c r="AF16" s="1779"/>
      <c r="AG16" s="1777">
        <f t="shared" si="13"/>
        <v>0</v>
      </c>
      <c r="AH16" s="1778"/>
      <c r="AI16" s="1779"/>
      <c r="AJ16" s="1779"/>
      <c r="AK16" s="1779"/>
      <c r="AL16" s="1779"/>
      <c r="AM16" s="1774">
        <f t="shared" si="14"/>
        <v>0</v>
      </c>
      <c r="AN16" s="1778"/>
      <c r="AO16" s="1779"/>
      <c r="AP16" s="1779"/>
      <c r="AQ16" s="1779"/>
      <c r="AR16" s="1779"/>
      <c r="AS16" s="1774">
        <f t="shared" si="15"/>
        <v>0</v>
      </c>
      <c r="AT16" s="1778"/>
      <c r="AU16" s="1779"/>
      <c r="AV16" s="1779"/>
      <c r="AW16" s="1779"/>
      <c r="AX16" s="1779"/>
      <c r="AY16" s="1774">
        <f t="shared" si="16"/>
        <v>0</v>
      </c>
    </row>
    <row r="17" spans="1:51" s="772" customFormat="1" x14ac:dyDescent="0.25">
      <c r="A17" s="1766" t="s">
        <v>36</v>
      </c>
      <c r="B17" s="1766" t="s">
        <v>37</v>
      </c>
      <c r="C17" s="1767" t="s">
        <v>264</v>
      </c>
      <c r="D17" s="1768">
        <f t="shared" si="4"/>
        <v>18566.22</v>
      </c>
      <c r="E17" s="1768">
        <f t="shared" si="5"/>
        <v>126849.60000000001</v>
      </c>
      <c r="F17" s="1768">
        <f t="shared" si="6"/>
        <v>31712.400000000001</v>
      </c>
      <c r="G17" s="1769">
        <f t="shared" si="7"/>
        <v>0</v>
      </c>
      <c r="H17" s="1770">
        <f t="shared" si="8"/>
        <v>31712.400000000001</v>
      </c>
      <c r="I17" s="1771">
        <f t="shared" si="9"/>
        <v>177128.22</v>
      </c>
      <c r="J17" s="1772">
        <v>0</v>
      </c>
      <c r="K17" s="1773">
        <v>126849.60000000001</v>
      </c>
      <c r="L17" s="1773">
        <v>31712.400000000001</v>
      </c>
      <c r="M17" s="1773">
        <v>0</v>
      </c>
      <c r="N17" s="1773">
        <v>0</v>
      </c>
      <c r="O17" s="1774">
        <f t="shared" si="10"/>
        <v>158562</v>
      </c>
      <c r="P17" s="1772"/>
      <c r="Q17" s="1773"/>
      <c r="R17" s="1773"/>
      <c r="S17" s="1773"/>
      <c r="T17" s="1773"/>
      <c r="U17" s="1774">
        <f t="shared" si="11"/>
        <v>0</v>
      </c>
      <c r="V17" s="1772"/>
      <c r="W17" s="1773"/>
      <c r="X17" s="1773"/>
      <c r="Y17" s="1773"/>
      <c r="Z17" s="1773"/>
      <c r="AA17" s="1774">
        <f t="shared" si="12"/>
        <v>0</v>
      </c>
      <c r="AB17" s="1778"/>
      <c r="AC17" s="1779"/>
      <c r="AD17" s="1779"/>
      <c r="AE17" s="1779"/>
      <c r="AF17" s="1779"/>
      <c r="AG17" s="1777">
        <f t="shared" si="13"/>
        <v>0</v>
      </c>
      <c r="AH17" s="1778"/>
      <c r="AI17" s="1779"/>
      <c r="AJ17" s="1779"/>
      <c r="AK17" s="1779"/>
      <c r="AL17" s="1779"/>
      <c r="AM17" s="1774">
        <f t="shared" si="14"/>
        <v>0</v>
      </c>
      <c r="AN17" s="1778"/>
      <c r="AO17" s="1779"/>
      <c r="AP17" s="1779"/>
      <c r="AQ17" s="1779"/>
      <c r="AR17" s="1779"/>
      <c r="AS17" s="1774">
        <f t="shared" si="15"/>
        <v>0</v>
      </c>
      <c r="AT17" s="1778">
        <v>18566.22</v>
      </c>
      <c r="AU17" s="1779">
        <v>0</v>
      </c>
      <c r="AV17" s="1779">
        <v>0</v>
      </c>
      <c r="AW17" s="1779">
        <v>0</v>
      </c>
      <c r="AX17" s="1779">
        <v>0</v>
      </c>
      <c r="AY17" s="1774">
        <f t="shared" si="16"/>
        <v>18566.22</v>
      </c>
    </row>
    <row r="18" spans="1:51" s="772" customFormat="1" x14ac:dyDescent="0.25">
      <c r="A18" s="1766" t="s">
        <v>38</v>
      </c>
      <c r="B18" s="1766" t="s">
        <v>39</v>
      </c>
      <c r="C18" s="1767" t="s">
        <v>268</v>
      </c>
      <c r="D18" s="1768">
        <f t="shared" si="4"/>
        <v>0</v>
      </c>
      <c r="E18" s="1768">
        <f t="shared" si="5"/>
        <v>141521.60000000001</v>
      </c>
      <c r="F18" s="1768">
        <f t="shared" si="6"/>
        <v>35380.400000000001</v>
      </c>
      <c r="G18" s="1769">
        <f t="shared" si="7"/>
        <v>0</v>
      </c>
      <c r="H18" s="1770">
        <f t="shared" si="8"/>
        <v>35380.400000000001</v>
      </c>
      <c r="I18" s="1771">
        <f t="shared" si="9"/>
        <v>176902</v>
      </c>
      <c r="J18" s="1772">
        <v>0</v>
      </c>
      <c r="K18" s="1773">
        <v>141521.60000000001</v>
      </c>
      <c r="L18" s="1773">
        <v>35380.400000000001</v>
      </c>
      <c r="M18" s="1773">
        <v>0</v>
      </c>
      <c r="N18" s="1773">
        <v>0</v>
      </c>
      <c r="O18" s="1774">
        <f t="shared" si="10"/>
        <v>176902</v>
      </c>
      <c r="P18" s="1772"/>
      <c r="Q18" s="1773"/>
      <c r="R18" s="1773"/>
      <c r="S18" s="1773"/>
      <c r="T18" s="1773"/>
      <c r="U18" s="1774">
        <f t="shared" si="11"/>
        <v>0</v>
      </c>
      <c r="V18" s="1772"/>
      <c r="W18" s="1773"/>
      <c r="X18" s="1773"/>
      <c r="Y18" s="1773"/>
      <c r="Z18" s="1773"/>
      <c r="AA18" s="1774">
        <f t="shared" si="12"/>
        <v>0</v>
      </c>
      <c r="AB18" s="1778"/>
      <c r="AC18" s="1779"/>
      <c r="AD18" s="1779"/>
      <c r="AE18" s="1779"/>
      <c r="AF18" s="1779"/>
      <c r="AG18" s="1777">
        <f t="shared" si="13"/>
        <v>0</v>
      </c>
      <c r="AH18" s="1778"/>
      <c r="AI18" s="1779"/>
      <c r="AJ18" s="1779"/>
      <c r="AK18" s="1779"/>
      <c r="AL18" s="1779"/>
      <c r="AM18" s="1774">
        <f t="shared" si="14"/>
        <v>0</v>
      </c>
      <c r="AN18" s="1778"/>
      <c r="AO18" s="1779"/>
      <c r="AP18" s="1779"/>
      <c r="AQ18" s="1779"/>
      <c r="AR18" s="1779"/>
      <c r="AS18" s="1774">
        <f t="shared" si="15"/>
        <v>0</v>
      </c>
      <c r="AT18" s="1778"/>
      <c r="AU18" s="1779"/>
      <c r="AV18" s="1779"/>
      <c r="AW18" s="1779"/>
      <c r="AX18" s="1779"/>
      <c r="AY18" s="1774">
        <f t="shared" si="16"/>
        <v>0</v>
      </c>
    </row>
    <row r="19" spans="1:51" s="772" customFormat="1" x14ac:dyDescent="0.25">
      <c r="A19" s="1766" t="s">
        <v>40</v>
      </c>
      <c r="B19" s="1766" t="s">
        <v>41</v>
      </c>
      <c r="C19" s="1767" t="s">
        <v>266</v>
      </c>
      <c r="D19" s="1768">
        <f t="shared" si="4"/>
        <v>0</v>
      </c>
      <c r="E19" s="1768">
        <f t="shared" si="5"/>
        <v>70902.399999999994</v>
      </c>
      <c r="F19" s="1768">
        <f t="shared" si="6"/>
        <v>17725.599999999999</v>
      </c>
      <c r="G19" s="1769">
        <f t="shared" si="7"/>
        <v>0</v>
      </c>
      <c r="H19" s="1770">
        <f t="shared" si="8"/>
        <v>17725.599999999999</v>
      </c>
      <c r="I19" s="1771">
        <f t="shared" si="9"/>
        <v>88628</v>
      </c>
      <c r="J19" s="1772">
        <v>0</v>
      </c>
      <c r="K19" s="1773">
        <v>70902.399999999994</v>
      </c>
      <c r="L19" s="1773">
        <v>17725.599999999999</v>
      </c>
      <c r="M19" s="1773">
        <v>0</v>
      </c>
      <c r="N19" s="1773">
        <v>0</v>
      </c>
      <c r="O19" s="1774">
        <f t="shared" si="10"/>
        <v>88628</v>
      </c>
      <c r="P19" s="1772"/>
      <c r="Q19" s="1773"/>
      <c r="R19" s="1773"/>
      <c r="S19" s="1773"/>
      <c r="T19" s="1773"/>
      <c r="U19" s="1774">
        <f t="shared" si="11"/>
        <v>0</v>
      </c>
      <c r="V19" s="1772"/>
      <c r="W19" s="1773"/>
      <c r="X19" s="1773"/>
      <c r="Y19" s="1773"/>
      <c r="Z19" s="1773"/>
      <c r="AA19" s="1774">
        <f t="shared" si="12"/>
        <v>0</v>
      </c>
      <c r="AB19" s="1778"/>
      <c r="AC19" s="1779"/>
      <c r="AD19" s="1779"/>
      <c r="AE19" s="1779"/>
      <c r="AF19" s="1779"/>
      <c r="AG19" s="1777">
        <f t="shared" si="13"/>
        <v>0</v>
      </c>
      <c r="AH19" s="1778"/>
      <c r="AI19" s="1779"/>
      <c r="AJ19" s="1779"/>
      <c r="AK19" s="1779"/>
      <c r="AL19" s="1779"/>
      <c r="AM19" s="1774">
        <f t="shared" si="14"/>
        <v>0</v>
      </c>
      <c r="AN19" s="1778"/>
      <c r="AO19" s="1779"/>
      <c r="AP19" s="1779"/>
      <c r="AQ19" s="1779"/>
      <c r="AR19" s="1779"/>
      <c r="AS19" s="1774">
        <f t="shared" si="15"/>
        <v>0</v>
      </c>
      <c r="AT19" s="1778"/>
      <c r="AU19" s="1779"/>
      <c r="AV19" s="1779"/>
      <c r="AW19" s="1779"/>
      <c r="AX19" s="1779"/>
      <c r="AY19" s="1774">
        <f t="shared" si="16"/>
        <v>0</v>
      </c>
    </row>
    <row r="20" spans="1:51" s="772" customFormat="1" x14ac:dyDescent="0.25">
      <c r="A20" s="1766" t="s">
        <v>42</v>
      </c>
      <c r="B20" s="1766" t="s">
        <v>43</v>
      </c>
      <c r="C20" s="1767" t="s">
        <v>265</v>
      </c>
      <c r="D20" s="1768">
        <f t="shared" si="4"/>
        <v>58.65</v>
      </c>
      <c r="E20" s="1768">
        <f t="shared" si="5"/>
        <v>121175.53</v>
      </c>
      <c r="F20" s="1768">
        <f t="shared" si="6"/>
        <v>33677.61</v>
      </c>
      <c r="G20" s="1769">
        <f t="shared" si="7"/>
        <v>-0.05</v>
      </c>
      <c r="H20" s="1770">
        <f t="shared" si="8"/>
        <v>33677.56</v>
      </c>
      <c r="I20" s="1771">
        <f t="shared" si="9"/>
        <v>154911.74</v>
      </c>
      <c r="J20" s="1772">
        <v>0</v>
      </c>
      <c r="K20" s="1773">
        <v>111411.2</v>
      </c>
      <c r="L20" s="1773">
        <v>27852.799999999999</v>
      </c>
      <c r="M20" s="1773">
        <v>0</v>
      </c>
      <c r="N20" s="1773">
        <v>0</v>
      </c>
      <c r="O20" s="1774">
        <f t="shared" si="10"/>
        <v>139264</v>
      </c>
      <c r="P20" s="1772">
        <v>58.65</v>
      </c>
      <c r="Q20" s="1773">
        <v>56.35</v>
      </c>
      <c r="R20" s="1773">
        <v>0</v>
      </c>
      <c r="S20" s="1773">
        <v>0</v>
      </c>
      <c r="T20" s="1773">
        <v>0</v>
      </c>
      <c r="U20" s="1774">
        <f t="shared" si="11"/>
        <v>115</v>
      </c>
      <c r="V20" s="1772"/>
      <c r="W20" s="1773"/>
      <c r="X20" s="1773"/>
      <c r="Y20" s="1773"/>
      <c r="Z20" s="1773"/>
      <c r="AA20" s="1774">
        <f t="shared" si="12"/>
        <v>0</v>
      </c>
      <c r="AB20" s="1775">
        <v>0</v>
      </c>
      <c r="AC20" s="1776">
        <v>9707.98</v>
      </c>
      <c r="AD20" s="1776">
        <v>5824.81</v>
      </c>
      <c r="AE20" s="1776">
        <v>-0.05</v>
      </c>
      <c r="AF20" s="1776">
        <v>0</v>
      </c>
      <c r="AG20" s="1777">
        <f t="shared" si="13"/>
        <v>15532.740000000002</v>
      </c>
      <c r="AH20" s="1778"/>
      <c r="AI20" s="1779"/>
      <c r="AJ20" s="1779"/>
      <c r="AK20" s="1779"/>
      <c r="AL20" s="1779"/>
      <c r="AM20" s="1774">
        <f t="shared" si="14"/>
        <v>0</v>
      </c>
      <c r="AN20" s="1778"/>
      <c r="AO20" s="1779"/>
      <c r="AP20" s="1779"/>
      <c r="AQ20" s="1779"/>
      <c r="AR20" s="1779"/>
      <c r="AS20" s="1774">
        <f t="shared" si="15"/>
        <v>0</v>
      </c>
      <c r="AT20" s="1778"/>
      <c r="AU20" s="1779"/>
      <c r="AV20" s="1779"/>
      <c r="AW20" s="1779"/>
      <c r="AX20" s="1779"/>
      <c r="AY20" s="1774">
        <f t="shared" si="16"/>
        <v>0</v>
      </c>
    </row>
    <row r="21" spans="1:51" s="772" customFormat="1" x14ac:dyDescent="0.25">
      <c r="A21" s="1766" t="s">
        <v>44</v>
      </c>
      <c r="B21" s="1766" t="s">
        <v>45</v>
      </c>
      <c r="C21" s="1767" t="s">
        <v>266</v>
      </c>
      <c r="D21" s="1768">
        <f t="shared" si="4"/>
        <v>0</v>
      </c>
      <c r="E21" s="1768">
        <f t="shared" si="5"/>
        <v>2904</v>
      </c>
      <c r="F21" s="1768">
        <f t="shared" si="6"/>
        <v>726</v>
      </c>
      <c r="G21" s="1769">
        <f t="shared" si="7"/>
        <v>0</v>
      </c>
      <c r="H21" s="1770">
        <f t="shared" si="8"/>
        <v>726</v>
      </c>
      <c r="I21" s="1771">
        <f t="shared" si="9"/>
        <v>3630</v>
      </c>
      <c r="J21" s="1772">
        <v>0</v>
      </c>
      <c r="K21" s="1773">
        <v>2904</v>
      </c>
      <c r="L21" s="1773">
        <v>726</v>
      </c>
      <c r="M21" s="1773">
        <v>0</v>
      </c>
      <c r="N21" s="1773">
        <v>0</v>
      </c>
      <c r="O21" s="1774">
        <f t="shared" si="10"/>
        <v>3630</v>
      </c>
      <c r="P21" s="1772"/>
      <c r="Q21" s="1773"/>
      <c r="R21" s="1773"/>
      <c r="S21" s="1773"/>
      <c r="T21" s="1773"/>
      <c r="U21" s="1774">
        <f t="shared" si="11"/>
        <v>0</v>
      </c>
      <c r="V21" s="1772"/>
      <c r="W21" s="1773"/>
      <c r="X21" s="1773"/>
      <c r="Y21" s="1773"/>
      <c r="Z21" s="1773"/>
      <c r="AA21" s="1774">
        <f t="shared" si="12"/>
        <v>0</v>
      </c>
      <c r="AB21" s="1778"/>
      <c r="AC21" s="1779"/>
      <c r="AD21" s="1779"/>
      <c r="AE21" s="1779"/>
      <c r="AF21" s="1779"/>
      <c r="AG21" s="1777">
        <f t="shared" si="13"/>
        <v>0</v>
      </c>
      <c r="AH21" s="1778"/>
      <c r="AI21" s="1779"/>
      <c r="AJ21" s="1779"/>
      <c r="AK21" s="1779"/>
      <c r="AL21" s="1779"/>
      <c r="AM21" s="1774">
        <f t="shared" si="14"/>
        <v>0</v>
      </c>
      <c r="AN21" s="1778"/>
      <c r="AO21" s="1779"/>
      <c r="AP21" s="1779"/>
      <c r="AQ21" s="1779"/>
      <c r="AR21" s="1779"/>
      <c r="AS21" s="1774">
        <f t="shared" si="15"/>
        <v>0</v>
      </c>
      <c r="AT21" s="1778"/>
      <c r="AU21" s="1779"/>
      <c r="AV21" s="1779"/>
      <c r="AW21" s="1779"/>
      <c r="AX21" s="1779"/>
      <c r="AY21" s="1774">
        <f t="shared" si="16"/>
        <v>0</v>
      </c>
    </row>
    <row r="22" spans="1:51" s="772" customFormat="1" x14ac:dyDescent="0.25">
      <c r="A22" s="1766" t="s">
        <v>46</v>
      </c>
      <c r="B22" s="1766" t="s">
        <v>47</v>
      </c>
      <c r="C22" s="1767" t="s">
        <v>268</v>
      </c>
      <c r="D22" s="1768">
        <f t="shared" si="4"/>
        <v>-89.28</v>
      </c>
      <c r="E22" s="1768">
        <f t="shared" si="5"/>
        <v>147029.42000000001</v>
      </c>
      <c r="F22" s="1768">
        <f t="shared" si="6"/>
        <v>36778.800000000003</v>
      </c>
      <c r="G22" s="1769">
        <f t="shared" si="7"/>
        <v>0</v>
      </c>
      <c r="H22" s="1770">
        <f t="shared" si="8"/>
        <v>36778.800000000003</v>
      </c>
      <c r="I22" s="1771">
        <f t="shared" si="9"/>
        <v>183718.94</v>
      </c>
      <c r="J22" s="1772">
        <v>0</v>
      </c>
      <c r="K22" s="1773">
        <v>147115.20000000001</v>
      </c>
      <c r="L22" s="1773">
        <v>36778.800000000003</v>
      </c>
      <c r="M22" s="1773">
        <v>0</v>
      </c>
      <c r="N22" s="1773">
        <v>0</v>
      </c>
      <c r="O22" s="1774">
        <f t="shared" si="10"/>
        <v>183894</v>
      </c>
      <c r="P22" s="1772">
        <v>-89.28</v>
      </c>
      <c r="Q22" s="1773">
        <v>-85.78</v>
      </c>
      <c r="R22" s="1773">
        <v>0</v>
      </c>
      <c r="S22" s="1773">
        <v>0</v>
      </c>
      <c r="T22" s="1773">
        <v>0</v>
      </c>
      <c r="U22" s="1774">
        <f t="shared" si="11"/>
        <v>-175.06</v>
      </c>
      <c r="V22" s="1772"/>
      <c r="W22" s="1773"/>
      <c r="X22" s="1773"/>
      <c r="Y22" s="1773"/>
      <c r="Z22" s="1773"/>
      <c r="AA22" s="1774">
        <f t="shared" si="12"/>
        <v>0</v>
      </c>
      <c r="AB22" s="1778"/>
      <c r="AC22" s="1779"/>
      <c r="AD22" s="1779"/>
      <c r="AE22" s="1779"/>
      <c r="AF22" s="1779"/>
      <c r="AG22" s="1777">
        <f t="shared" si="13"/>
        <v>0</v>
      </c>
      <c r="AH22" s="1778"/>
      <c r="AI22" s="1779"/>
      <c r="AJ22" s="1779"/>
      <c r="AK22" s="1779"/>
      <c r="AL22" s="1779"/>
      <c r="AM22" s="1774">
        <f t="shared" si="14"/>
        <v>0</v>
      </c>
      <c r="AN22" s="1778"/>
      <c r="AO22" s="1779"/>
      <c r="AP22" s="1779"/>
      <c r="AQ22" s="1779"/>
      <c r="AR22" s="1779"/>
      <c r="AS22" s="1774">
        <f t="shared" si="15"/>
        <v>0</v>
      </c>
      <c r="AT22" s="1778"/>
      <c r="AU22" s="1779"/>
      <c r="AV22" s="1779"/>
      <c r="AW22" s="1779"/>
      <c r="AX22" s="1779"/>
      <c r="AY22" s="1774">
        <f t="shared" si="16"/>
        <v>0</v>
      </c>
    </row>
    <row r="23" spans="1:51" s="772" customFormat="1" x14ac:dyDescent="0.25">
      <c r="A23" s="1766" t="s">
        <v>48</v>
      </c>
      <c r="B23" s="1766" t="s">
        <v>269</v>
      </c>
      <c r="C23" s="1767" t="s">
        <v>266</v>
      </c>
      <c r="D23" s="1768">
        <f t="shared" si="4"/>
        <v>0</v>
      </c>
      <c r="E23" s="1768">
        <f t="shared" si="5"/>
        <v>18440</v>
      </c>
      <c r="F23" s="1768">
        <f t="shared" si="6"/>
        <v>4610</v>
      </c>
      <c r="G23" s="1769">
        <f t="shared" si="7"/>
        <v>0</v>
      </c>
      <c r="H23" s="1770">
        <f t="shared" si="8"/>
        <v>4610</v>
      </c>
      <c r="I23" s="1771">
        <f t="shared" si="9"/>
        <v>23050</v>
      </c>
      <c r="J23" s="1772">
        <v>0</v>
      </c>
      <c r="K23" s="1773">
        <v>18440</v>
      </c>
      <c r="L23" s="1773">
        <v>4610</v>
      </c>
      <c r="M23" s="1773">
        <v>0</v>
      </c>
      <c r="N23" s="1773">
        <v>0</v>
      </c>
      <c r="O23" s="1774">
        <f t="shared" si="10"/>
        <v>23050</v>
      </c>
      <c r="P23" s="1772"/>
      <c r="Q23" s="1773"/>
      <c r="R23" s="1773"/>
      <c r="S23" s="1773"/>
      <c r="T23" s="1773"/>
      <c r="U23" s="1774">
        <f t="shared" si="11"/>
        <v>0</v>
      </c>
      <c r="V23" s="1772"/>
      <c r="W23" s="1773"/>
      <c r="X23" s="1773"/>
      <c r="Y23" s="1773"/>
      <c r="Z23" s="1773"/>
      <c r="AA23" s="1774">
        <f t="shared" si="12"/>
        <v>0</v>
      </c>
      <c r="AB23" s="1778"/>
      <c r="AC23" s="1779"/>
      <c r="AD23" s="1779"/>
      <c r="AE23" s="1779"/>
      <c r="AF23" s="1779"/>
      <c r="AG23" s="1777">
        <f t="shared" si="13"/>
        <v>0</v>
      </c>
      <c r="AH23" s="1778"/>
      <c r="AI23" s="1779"/>
      <c r="AJ23" s="1779"/>
      <c r="AK23" s="1779"/>
      <c r="AL23" s="1779"/>
      <c r="AM23" s="1774">
        <f t="shared" si="14"/>
        <v>0</v>
      </c>
      <c r="AN23" s="1778"/>
      <c r="AO23" s="1779"/>
      <c r="AP23" s="1779"/>
      <c r="AQ23" s="1779"/>
      <c r="AR23" s="1779"/>
      <c r="AS23" s="1774">
        <f t="shared" si="15"/>
        <v>0</v>
      </c>
      <c r="AT23" s="1778"/>
      <c r="AU23" s="1779"/>
      <c r="AV23" s="1779"/>
      <c r="AW23" s="1779"/>
      <c r="AX23" s="1779"/>
      <c r="AY23" s="1774">
        <f t="shared" si="16"/>
        <v>0</v>
      </c>
    </row>
    <row r="24" spans="1:51" s="772" customFormat="1" x14ac:dyDescent="0.25">
      <c r="A24" s="1766" t="s">
        <v>50</v>
      </c>
      <c r="B24" s="1766" t="s">
        <v>51</v>
      </c>
      <c r="C24" s="1767" t="s">
        <v>265</v>
      </c>
      <c r="D24" s="1768">
        <f t="shared" si="4"/>
        <v>191746.7</v>
      </c>
      <c r="E24" s="1768">
        <f t="shared" si="5"/>
        <v>48396</v>
      </c>
      <c r="F24" s="1768">
        <f t="shared" si="6"/>
        <v>12099</v>
      </c>
      <c r="G24" s="1769">
        <f t="shared" si="7"/>
        <v>0</v>
      </c>
      <c r="H24" s="1770">
        <f t="shared" si="8"/>
        <v>12099</v>
      </c>
      <c r="I24" s="1771">
        <f t="shared" si="9"/>
        <v>252241.7</v>
      </c>
      <c r="J24" s="1772">
        <v>0</v>
      </c>
      <c r="K24" s="1773">
        <v>48396</v>
      </c>
      <c r="L24" s="1773">
        <v>12099</v>
      </c>
      <c r="M24" s="1773">
        <v>0</v>
      </c>
      <c r="N24" s="1773">
        <v>0</v>
      </c>
      <c r="O24" s="1774">
        <f t="shared" si="10"/>
        <v>60495</v>
      </c>
      <c r="P24" s="1772"/>
      <c r="Q24" s="1773"/>
      <c r="R24" s="1773"/>
      <c r="S24" s="1773"/>
      <c r="T24" s="1773"/>
      <c r="U24" s="1774">
        <f t="shared" si="11"/>
        <v>0</v>
      </c>
      <c r="V24" s="1772"/>
      <c r="W24" s="1773"/>
      <c r="X24" s="1773"/>
      <c r="Y24" s="1773"/>
      <c r="Z24" s="1773"/>
      <c r="AA24" s="1774">
        <f t="shared" si="12"/>
        <v>0</v>
      </c>
      <c r="AB24" s="1778"/>
      <c r="AC24" s="1779"/>
      <c r="AD24" s="1779"/>
      <c r="AE24" s="1779"/>
      <c r="AF24" s="1779"/>
      <c r="AG24" s="1777">
        <f t="shared" si="13"/>
        <v>0</v>
      </c>
      <c r="AH24" s="1778"/>
      <c r="AI24" s="1779"/>
      <c r="AJ24" s="1779"/>
      <c r="AK24" s="1779"/>
      <c r="AL24" s="1779"/>
      <c r="AM24" s="1774">
        <f t="shared" si="14"/>
        <v>0</v>
      </c>
      <c r="AN24" s="1778"/>
      <c r="AO24" s="1779"/>
      <c r="AP24" s="1779"/>
      <c r="AQ24" s="1779"/>
      <c r="AR24" s="1779"/>
      <c r="AS24" s="1774">
        <f t="shared" si="15"/>
        <v>0</v>
      </c>
      <c r="AT24" s="1778">
        <v>191746.7</v>
      </c>
      <c r="AU24" s="1779">
        <v>0</v>
      </c>
      <c r="AV24" s="1779">
        <v>0</v>
      </c>
      <c r="AW24" s="1779">
        <v>0</v>
      </c>
      <c r="AX24" s="1779">
        <v>0</v>
      </c>
      <c r="AY24" s="1774">
        <f t="shared" si="16"/>
        <v>191746.7</v>
      </c>
    </row>
    <row r="25" spans="1:51" s="772" customFormat="1" x14ac:dyDescent="0.25">
      <c r="A25" s="1766" t="s">
        <v>56</v>
      </c>
      <c r="B25" s="1766" t="s">
        <v>295</v>
      </c>
      <c r="C25" s="1767" t="s">
        <v>266</v>
      </c>
      <c r="D25" s="1768">
        <f t="shared" si="4"/>
        <v>3709.56</v>
      </c>
      <c r="E25" s="1768">
        <f t="shared" si="5"/>
        <v>650825.29999999993</v>
      </c>
      <c r="F25" s="1768">
        <f t="shared" si="6"/>
        <v>172753.04</v>
      </c>
      <c r="G25" s="1769">
        <f t="shared" si="7"/>
        <v>509.93</v>
      </c>
      <c r="H25" s="1770">
        <f t="shared" si="8"/>
        <v>173262.97</v>
      </c>
      <c r="I25" s="1771">
        <f t="shared" si="9"/>
        <v>827797.83000000007</v>
      </c>
      <c r="J25" s="1772">
        <v>0</v>
      </c>
      <c r="K25" s="1773">
        <v>623030.4</v>
      </c>
      <c r="L25" s="1773">
        <v>155757.6</v>
      </c>
      <c r="M25" s="1773">
        <v>0</v>
      </c>
      <c r="N25" s="1773">
        <v>0</v>
      </c>
      <c r="O25" s="1774">
        <f t="shared" si="10"/>
        <v>778788</v>
      </c>
      <c r="P25" s="1772">
        <v>-552.44000000000005</v>
      </c>
      <c r="Q25" s="1773">
        <v>-530.79</v>
      </c>
      <c r="R25" s="1773">
        <v>0</v>
      </c>
      <c r="S25" s="1773">
        <v>-21</v>
      </c>
      <c r="T25" s="1773">
        <v>0</v>
      </c>
      <c r="U25" s="1774">
        <f t="shared" si="11"/>
        <v>-1104.23</v>
      </c>
      <c r="V25" s="1772"/>
      <c r="W25" s="1773"/>
      <c r="X25" s="1773"/>
      <c r="Y25" s="1773"/>
      <c r="Z25" s="1773"/>
      <c r="AA25" s="1774">
        <f t="shared" si="12"/>
        <v>0</v>
      </c>
      <c r="AB25" s="1775">
        <v>0</v>
      </c>
      <c r="AC25" s="1776">
        <v>28325.69</v>
      </c>
      <c r="AD25" s="1776">
        <v>16995.439999999999</v>
      </c>
      <c r="AE25" s="1776">
        <v>-7.0000000000000007E-2</v>
      </c>
      <c r="AF25" s="1776">
        <v>0</v>
      </c>
      <c r="AG25" s="1777">
        <f t="shared" si="13"/>
        <v>45321.06</v>
      </c>
      <c r="AH25" s="1775">
        <v>4262</v>
      </c>
      <c r="AI25" s="1776">
        <v>0</v>
      </c>
      <c r="AJ25" s="1776">
        <v>0</v>
      </c>
      <c r="AK25" s="1776">
        <v>0</v>
      </c>
      <c r="AL25" s="1776">
        <v>531</v>
      </c>
      <c r="AM25" s="1774">
        <f t="shared" si="14"/>
        <v>4793</v>
      </c>
      <c r="AN25" s="1775"/>
      <c r="AO25" s="1776"/>
      <c r="AP25" s="1776"/>
      <c r="AQ25" s="1776"/>
      <c r="AR25" s="1776"/>
      <c r="AS25" s="1774">
        <f t="shared" si="15"/>
        <v>0</v>
      </c>
      <c r="AT25" s="1775"/>
      <c r="AU25" s="1776"/>
      <c r="AV25" s="1776"/>
      <c r="AW25" s="1776"/>
      <c r="AX25" s="1776"/>
      <c r="AY25" s="1774">
        <f t="shared" si="16"/>
        <v>0</v>
      </c>
    </row>
    <row r="26" spans="1:51" s="772" customFormat="1" x14ac:dyDescent="0.25">
      <c r="A26" s="1766" t="s">
        <v>58</v>
      </c>
      <c r="B26" s="1766" t="s">
        <v>59</v>
      </c>
      <c r="C26" s="1767" t="s">
        <v>267</v>
      </c>
      <c r="D26" s="1768">
        <f t="shared" si="4"/>
        <v>0</v>
      </c>
      <c r="E26" s="1768">
        <f t="shared" si="5"/>
        <v>22943.200000000001</v>
      </c>
      <c r="F26" s="1768">
        <f t="shared" si="6"/>
        <v>5735.8</v>
      </c>
      <c r="G26" s="1769">
        <f t="shared" si="7"/>
        <v>0</v>
      </c>
      <c r="H26" s="1770">
        <f t="shared" si="8"/>
        <v>5735.8</v>
      </c>
      <c r="I26" s="1771">
        <f t="shared" si="9"/>
        <v>28679</v>
      </c>
      <c r="J26" s="1772">
        <v>0</v>
      </c>
      <c r="K26" s="1773">
        <v>22943.200000000001</v>
      </c>
      <c r="L26" s="1773">
        <v>5735.8</v>
      </c>
      <c r="M26" s="1773">
        <v>0</v>
      </c>
      <c r="N26" s="1773">
        <v>0</v>
      </c>
      <c r="O26" s="1774">
        <f t="shared" si="10"/>
        <v>28679</v>
      </c>
      <c r="P26" s="1772"/>
      <c r="Q26" s="1773"/>
      <c r="R26" s="1773"/>
      <c r="S26" s="1773"/>
      <c r="T26" s="1773"/>
      <c r="U26" s="1774">
        <f t="shared" si="11"/>
        <v>0</v>
      </c>
      <c r="V26" s="1772"/>
      <c r="W26" s="1773"/>
      <c r="X26" s="1773"/>
      <c r="Y26" s="1773"/>
      <c r="Z26" s="1773"/>
      <c r="AA26" s="1774">
        <f t="shared" si="12"/>
        <v>0</v>
      </c>
      <c r="AB26" s="1778"/>
      <c r="AC26" s="1779"/>
      <c r="AD26" s="1779"/>
      <c r="AE26" s="1779"/>
      <c r="AF26" s="1779"/>
      <c r="AG26" s="1777">
        <f t="shared" si="13"/>
        <v>0</v>
      </c>
      <c r="AH26" s="1778"/>
      <c r="AI26" s="1779"/>
      <c r="AJ26" s="1779"/>
      <c r="AK26" s="1779"/>
      <c r="AL26" s="1779"/>
      <c r="AM26" s="1774">
        <f t="shared" si="14"/>
        <v>0</v>
      </c>
      <c r="AN26" s="1778"/>
      <c r="AO26" s="1779"/>
      <c r="AP26" s="1779"/>
      <c r="AQ26" s="1779"/>
      <c r="AR26" s="1779"/>
      <c r="AS26" s="1774">
        <f t="shared" si="15"/>
        <v>0</v>
      </c>
      <c r="AT26" s="1778"/>
      <c r="AU26" s="1779"/>
      <c r="AV26" s="1779"/>
      <c r="AW26" s="1779"/>
      <c r="AX26" s="1779"/>
      <c r="AY26" s="1774">
        <f t="shared" si="16"/>
        <v>0</v>
      </c>
    </row>
    <row r="27" spans="1:51" s="772" customFormat="1" x14ac:dyDescent="0.25">
      <c r="A27" s="1766" t="s">
        <v>60</v>
      </c>
      <c r="B27" s="1766" t="s">
        <v>61</v>
      </c>
      <c r="C27" s="1767" t="s">
        <v>265</v>
      </c>
      <c r="D27" s="1768">
        <f t="shared" si="4"/>
        <v>0</v>
      </c>
      <c r="E27" s="1768">
        <f t="shared" si="5"/>
        <v>26777.599999999999</v>
      </c>
      <c r="F27" s="1768">
        <f t="shared" si="6"/>
        <v>6694.4</v>
      </c>
      <c r="G27" s="1769">
        <f t="shared" si="7"/>
        <v>0</v>
      </c>
      <c r="H27" s="1770">
        <f t="shared" si="8"/>
        <v>6694.4</v>
      </c>
      <c r="I27" s="1771">
        <f t="shared" si="9"/>
        <v>33472</v>
      </c>
      <c r="J27" s="1772">
        <v>0</v>
      </c>
      <c r="K27" s="1773">
        <v>26777.599999999999</v>
      </c>
      <c r="L27" s="1773">
        <v>6694.4</v>
      </c>
      <c r="M27" s="1773">
        <v>0</v>
      </c>
      <c r="N27" s="1773">
        <v>0</v>
      </c>
      <c r="O27" s="1774">
        <f t="shared" si="10"/>
        <v>33472</v>
      </c>
      <c r="P27" s="1772"/>
      <c r="Q27" s="1773"/>
      <c r="R27" s="1773"/>
      <c r="S27" s="1773"/>
      <c r="T27" s="1773"/>
      <c r="U27" s="1774">
        <f t="shared" si="11"/>
        <v>0</v>
      </c>
      <c r="V27" s="1772"/>
      <c r="W27" s="1773"/>
      <c r="X27" s="1773"/>
      <c r="Y27" s="1773"/>
      <c r="Z27" s="1773"/>
      <c r="AA27" s="1774">
        <f t="shared" si="12"/>
        <v>0</v>
      </c>
      <c r="AB27" s="1778"/>
      <c r="AC27" s="1779"/>
      <c r="AD27" s="1779"/>
      <c r="AE27" s="1779"/>
      <c r="AF27" s="1779"/>
      <c r="AG27" s="1777">
        <f t="shared" si="13"/>
        <v>0</v>
      </c>
      <c r="AH27" s="1778"/>
      <c r="AI27" s="1779"/>
      <c r="AJ27" s="1779"/>
      <c r="AK27" s="1779"/>
      <c r="AL27" s="1779"/>
      <c r="AM27" s="1774">
        <f t="shared" si="14"/>
        <v>0</v>
      </c>
      <c r="AN27" s="1778"/>
      <c r="AO27" s="1779"/>
      <c r="AP27" s="1779"/>
      <c r="AQ27" s="1779"/>
      <c r="AR27" s="1779"/>
      <c r="AS27" s="1774">
        <f t="shared" si="15"/>
        <v>0</v>
      </c>
      <c r="AT27" s="1778"/>
      <c r="AU27" s="1779"/>
      <c r="AV27" s="1779"/>
      <c r="AW27" s="1779"/>
      <c r="AX27" s="1779"/>
      <c r="AY27" s="1774">
        <f t="shared" si="16"/>
        <v>0</v>
      </c>
    </row>
    <row r="28" spans="1:51" s="772" customFormat="1" x14ac:dyDescent="0.25">
      <c r="A28" s="1766" t="s">
        <v>62</v>
      </c>
      <c r="B28" s="1766" t="s">
        <v>63</v>
      </c>
      <c r="C28" s="1767" t="s">
        <v>267</v>
      </c>
      <c r="D28" s="1768">
        <f t="shared" si="4"/>
        <v>30638.940000000002</v>
      </c>
      <c r="E28" s="1768">
        <f t="shared" si="5"/>
        <v>44089.83</v>
      </c>
      <c r="F28" s="1768">
        <f t="shared" si="6"/>
        <v>11187.2</v>
      </c>
      <c r="G28" s="1769">
        <f t="shared" si="7"/>
        <v>85</v>
      </c>
      <c r="H28" s="1770">
        <f t="shared" si="8"/>
        <v>11272.2</v>
      </c>
      <c r="I28" s="1771">
        <f t="shared" si="9"/>
        <v>86000.97</v>
      </c>
      <c r="J28" s="1772">
        <v>0</v>
      </c>
      <c r="K28" s="1773">
        <v>44748.800000000003</v>
      </c>
      <c r="L28" s="1773">
        <v>11187.2</v>
      </c>
      <c r="M28" s="1773">
        <v>0</v>
      </c>
      <c r="N28" s="1773">
        <v>0</v>
      </c>
      <c r="O28" s="1774">
        <f t="shared" si="10"/>
        <v>55936</v>
      </c>
      <c r="P28" s="1772">
        <v>-685.87</v>
      </c>
      <c r="Q28" s="1773">
        <v>-658.97</v>
      </c>
      <c r="R28" s="1773">
        <v>0</v>
      </c>
      <c r="S28" s="1773">
        <v>0</v>
      </c>
      <c r="T28" s="1773">
        <v>0</v>
      </c>
      <c r="U28" s="1774">
        <f t="shared" si="11"/>
        <v>-1344.8400000000001</v>
      </c>
      <c r="V28" s="1772"/>
      <c r="W28" s="1773"/>
      <c r="X28" s="1773"/>
      <c r="Y28" s="1773"/>
      <c r="Z28" s="1773"/>
      <c r="AA28" s="1774">
        <f t="shared" si="12"/>
        <v>0</v>
      </c>
      <c r="AB28" s="1775"/>
      <c r="AC28" s="1776"/>
      <c r="AD28" s="1776"/>
      <c r="AE28" s="1776"/>
      <c r="AF28" s="1776"/>
      <c r="AG28" s="1777">
        <f t="shared" si="13"/>
        <v>0</v>
      </c>
      <c r="AH28" s="1778"/>
      <c r="AI28" s="1779"/>
      <c r="AJ28" s="1779"/>
      <c r="AK28" s="1779"/>
      <c r="AL28" s="1779"/>
      <c r="AM28" s="1774">
        <f t="shared" si="14"/>
        <v>0</v>
      </c>
      <c r="AN28" s="1778">
        <v>0</v>
      </c>
      <c r="AO28" s="1779">
        <v>0</v>
      </c>
      <c r="AP28" s="1779">
        <v>0</v>
      </c>
      <c r="AQ28" s="1779">
        <v>85</v>
      </c>
      <c r="AR28" s="1779">
        <v>0</v>
      </c>
      <c r="AS28" s="1774">
        <f t="shared" si="15"/>
        <v>85</v>
      </c>
      <c r="AT28" s="1778">
        <v>31324.81</v>
      </c>
      <c r="AU28" s="1779">
        <v>0</v>
      </c>
      <c r="AV28" s="1779">
        <v>0</v>
      </c>
      <c r="AW28" s="1779">
        <v>0</v>
      </c>
      <c r="AX28" s="1779">
        <v>0</v>
      </c>
      <c r="AY28" s="1774">
        <f t="shared" si="16"/>
        <v>31324.81</v>
      </c>
    </row>
    <row r="29" spans="1:51" s="772" customFormat="1" x14ac:dyDescent="0.25">
      <c r="A29" s="1766" t="s">
        <v>64</v>
      </c>
      <c r="B29" s="1766" t="s">
        <v>65</v>
      </c>
      <c r="C29" s="1767" t="s">
        <v>266</v>
      </c>
      <c r="D29" s="1768">
        <f t="shared" si="4"/>
        <v>-440.13</v>
      </c>
      <c r="E29" s="1768">
        <f t="shared" si="5"/>
        <v>63327.53</v>
      </c>
      <c r="F29" s="1768">
        <f t="shared" si="6"/>
        <v>15937.6</v>
      </c>
      <c r="G29" s="1769">
        <f t="shared" si="7"/>
        <v>0</v>
      </c>
      <c r="H29" s="1770">
        <f t="shared" si="8"/>
        <v>15937.6</v>
      </c>
      <c r="I29" s="1771">
        <f t="shared" si="9"/>
        <v>78825</v>
      </c>
      <c r="J29" s="1772">
        <v>0</v>
      </c>
      <c r="K29" s="1773">
        <v>63750.400000000001</v>
      </c>
      <c r="L29" s="1773">
        <v>15937.6</v>
      </c>
      <c r="M29" s="1773">
        <v>0</v>
      </c>
      <c r="N29" s="1773">
        <v>0</v>
      </c>
      <c r="O29" s="1774">
        <f t="shared" si="10"/>
        <v>79688</v>
      </c>
      <c r="P29" s="1772">
        <v>-440.13</v>
      </c>
      <c r="Q29" s="1773">
        <v>-422.87</v>
      </c>
      <c r="R29" s="1773">
        <v>0</v>
      </c>
      <c r="S29" s="1773">
        <v>0</v>
      </c>
      <c r="T29" s="1773">
        <v>0</v>
      </c>
      <c r="U29" s="1774">
        <f t="shared" si="11"/>
        <v>-863</v>
      </c>
      <c r="V29" s="1772"/>
      <c r="W29" s="1773"/>
      <c r="X29" s="1773"/>
      <c r="Y29" s="1773"/>
      <c r="Z29" s="1773"/>
      <c r="AA29" s="1774">
        <f t="shared" si="12"/>
        <v>0</v>
      </c>
      <c r="AB29" s="1778"/>
      <c r="AC29" s="1779"/>
      <c r="AD29" s="1779"/>
      <c r="AE29" s="1779"/>
      <c r="AF29" s="1779"/>
      <c r="AG29" s="1777">
        <f t="shared" si="13"/>
        <v>0</v>
      </c>
      <c r="AH29" s="1778"/>
      <c r="AI29" s="1779"/>
      <c r="AJ29" s="1779"/>
      <c r="AK29" s="1779"/>
      <c r="AL29" s="1779"/>
      <c r="AM29" s="1774">
        <f t="shared" si="14"/>
        <v>0</v>
      </c>
      <c r="AN29" s="1778"/>
      <c r="AO29" s="1779"/>
      <c r="AP29" s="1779"/>
      <c r="AQ29" s="1779"/>
      <c r="AR29" s="1779"/>
      <c r="AS29" s="1774">
        <f t="shared" si="15"/>
        <v>0</v>
      </c>
      <c r="AT29" s="1778"/>
      <c r="AU29" s="1779"/>
      <c r="AV29" s="1779"/>
      <c r="AW29" s="1779"/>
      <c r="AX29" s="1779"/>
      <c r="AY29" s="1774">
        <f t="shared" si="16"/>
        <v>0</v>
      </c>
    </row>
    <row r="30" spans="1:51" s="772" customFormat="1" x14ac:dyDescent="0.25">
      <c r="A30" s="1766" t="s">
        <v>68</v>
      </c>
      <c r="B30" s="1766" t="s">
        <v>69</v>
      </c>
      <c r="C30" s="1767" t="s">
        <v>268</v>
      </c>
      <c r="D30" s="1768">
        <f t="shared" si="4"/>
        <v>-670.96</v>
      </c>
      <c r="E30" s="1768">
        <f t="shared" si="5"/>
        <v>39485.75</v>
      </c>
      <c r="F30" s="1768">
        <f t="shared" si="6"/>
        <v>10032.6</v>
      </c>
      <c r="G30" s="1769">
        <f t="shared" si="7"/>
        <v>0</v>
      </c>
      <c r="H30" s="1770">
        <f t="shared" si="8"/>
        <v>10032.6</v>
      </c>
      <c r="I30" s="1771">
        <f t="shared" si="9"/>
        <v>48847.39</v>
      </c>
      <c r="J30" s="1772">
        <v>0</v>
      </c>
      <c r="K30" s="1773">
        <v>40130.400000000001</v>
      </c>
      <c r="L30" s="1773">
        <v>10032.6</v>
      </c>
      <c r="M30" s="1773">
        <v>0</v>
      </c>
      <c r="N30" s="1773">
        <v>0</v>
      </c>
      <c r="O30" s="1774">
        <f t="shared" si="10"/>
        <v>50163</v>
      </c>
      <c r="P30" s="1772">
        <v>-670.96</v>
      </c>
      <c r="Q30" s="1773">
        <v>-644.65</v>
      </c>
      <c r="R30" s="1773">
        <v>0</v>
      </c>
      <c r="S30" s="1773">
        <v>0</v>
      </c>
      <c r="T30" s="1773">
        <v>0</v>
      </c>
      <c r="U30" s="1774">
        <f t="shared" si="11"/>
        <v>-1315.6100000000001</v>
      </c>
      <c r="V30" s="1772"/>
      <c r="W30" s="1773"/>
      <c r="X30" s="1773"/>
      <c r="Y30" s="1773"/>
      <c r="Z30" s="1773"/>
      <c r="AA30" s="1774">
        <f t="shared" si="12"/>
        <v>0</v>
      </c>
      <c r="AB30" s="1778"/>
      <c r="AC30" s="1779"/>
      <c r="AD30" s="1779"/>
      <c r="AE30" s="1779"/>
      <c r="AF30" s="1779"/>
      <c r="AG30" s="1777">
        <f t="shared" si="13"/>
        <v>0</v>
      </c>
      <c r="AH30" s="1778"/>
      <c r="AI30" s="1779"/>
      <c r="AJ30" s="1779"/>
      <c r="AK30" s="1779"/>
      <c r="AL30" s="1779"/>
      <c r="AM30" s="1774">
        <f t="shared" si="14"/>
        <v>0</v>
      </c>
      <c r="AN30" s="1778"/>
      <c r="AO30" s="1779"/>
      <c r="AP30" s="1779"/>
      <c r="AQ30" s="1779"/>
      <c r="AR30" s="1779"/>
      <c r="AS30" s="1774">
        <f t="shared" si="15"/>
        <v>0</v>
      </c>
      <c r="AT30" s="1778"/>
      <c r="AU30" s="1779"/>
      <c r="AV30" s="1779"/>
      <c r="AW30" s="1779"/>
      <c r="AX30" s="1779"/>
      <c r="AY30" s="1774">
        <f t="shared" si="16"/>
        <v>0</v>
      </c>
    </row>
    <row r="31" spans="1:51" s="772" customFormat="1" x14ac:dyDescent="0.25">
      <c r="A31" s="1766" t="s">
        <v>70</v>
      </c>
      <c r="B31" s="1766" t="s">
        <v>71</v>
      </c>
      <c r="C31" s="1767" t="s">
        <v>264</v>
      </c>
      <c r="D31" s="1768">
        <f t="shared" si="4"/>
        <v>0</v>
      </c>
      <c r="E31" s="1768">
        <f t="shared" si="5"/>
        <v>195875.20000000001</v>
      </c>
      <c r="F31" s="1768">
        <f t="shared" si="6"/>
        <v>48968.800000000003</v>
      </c>
      <c r="G31" s="1769">
        <f t="shared" si="7"/>
        <v>0</v>
      </c>
      <c r="H31" s="1770">
        <f t="shared" si="8"/>
        <v>48968.800000000003</v>
      </c>
      <c r="I31" s="1771">
        <f t="shared" si="9"/>
        <v>244844</v>
      </c>
      <c r="J31" s="1772">
        <v>0</v>
      </c>
      <c r="K31" s="1773">
        <v>195875.20000000001</v>
      </c>
      <c r="L31" s="1773">
        <v>48968.800000000003</v>
      </c>
      <c r="M31" s="1773">
        <v>0</v>
      </c>
      <c r="N31" s="1773">
        <v>0</v>
      </c>
      <c r="O31" s="1774">
        <f t="shared" si="10"/>
        <v>244844</v>
      </c>
      <c r="P31" s="1772"/>
      <c r="Q31" s="1773"/>
      <c r="R31" s="1773"/>
      <c r="S31" s="1773"/>
      <c r="T31" s="1773"/>
      <c r="U31" s="1774">
        <f t="shared" si="11"/>
        <v>0</v>
      </c>
      <c r="V31" s="1772"/>
      <c r="W31" s="1773"/>
      <c r="X31" s="1773"/>
      <c r="Y31" s="1773"/>
      <c r="Z31" s="1773"/>
      <c r="AA31" s="1774">
        <f t="shared" si="12"/>
        <v>0</v>
      </c>
      <c r="AB31" s="1778"/>
      <c r="AC31" s="1779"/>
      <c r="AD31" s="1779"/>
      <c r="AE31" s="1779"/>
      <c r="AF31" s="1779"/>
      <c r="AG31" s="1777">
        <f t="shared" si="13"/>
        <v>0</v>
      </c>
      <c r="AH31" s="1778"/>
      <c r="AI31" s="1779"/>
      <c r="AJ31" s="1779"/>
      <c r="AK31" s="1779"/>
      <c r="AL31" s="1779"/>
      <c r="AM31" s="1774">
        <f t="shared" si="14"/>
        <v>0</v>
      </c>
      <c r="AN31" s="1778"/>
      <c r="AO31" s="1779"/>
      <c r="AP31" s="1779"/>
      <c r="AQ31" s="1779"/>
      <c r="AR31" s="1779"/>
      <c r="AS31" s="1774">
        <f t="shared" si="15"/>
        <v>0</v>
      </c>
      <c r="AT31" s="1778"/>
      <c r="AU31" s="1779"/>
      <c r="AV31" s="1779"/>
      <c r="AW31" s="1779"/>
      <c r="AX31" s="1779"/>
      <c r="AY31" s="1774">
        <f t="shared" si="16"/>
        <v>0</v>
      </c>
    </row>
    <row r="32" spans="1:51" s="772" customFormat="1" x14ac:dyDescent="0.25">
      <c r="A32" s="1766" t="s">
        <v>72</v>
      </c>
      <c r="B32" s="1766" t="s">
        <v>73</v>
      </c>
      <c r="C32" s="1767" t="s">
        <v>266</v>
      </c>
      <c r="D32" s="1768">
        <f t="shared" si="4"/>
        <v>0</v>
      </c>
      <c r="E32" s="1768">
        <f t="shared" si="5"/>
        <v>31392</v>
      </c>
      <c r="F32" s="1768">
        <f t="shared" si="6"/>
        <v>7848</v>
      </c>
      <c r="G32" s="1769">
        <f t="shared" si="7"/>
        <v>0</v>
      </c>
      <c r="H32" s="1770">
        <f t="shared" si="8"/>
        <v>7848</v>
      </c>
      <c r="I32" s="1771">
        <f t="shared" si="9"/>
        <v>39240</v>
      </c>
      <c r="J32" s="1772">
        <v>0</v>
      </c>
      <c r="K32" s="1773">
        <v>31392</v>
      </c>
      <c r="L32" s="1773">
        <v>7848</v>
      </c>
      <c r="M32" s="1773">
        <v>0</v>
      </c>
      <c r="N32" s="1773">
        <v>0</v>
      </c>
      <c r="O32" s="1774">
        <f t="shared" si="10"/>
        <v>39240</v>
      </c>
      <c r="P32" s="1772"/>
      <c r="Q32" s="1773"/>
      <c r="R32" s="1773"/>
      <c r="S32" s="1773"/>
      <c r="T32" s="1773"/>
      <c r="U32" s="1774">
        <f t="shared" si="11"/>
        <v>0</v>
      </c>
      <c r="V32" s="1772"/>
      <c r="W32" s="1773"/>
      <c r="X32" s="1773"/>
      <c r="Y32" s="1773"/>
      <c r="Z32" s="1773"/>
      <c r="AA32" s="1774">
        <f t="shared" si="12"/>
        <v>0</v>
      </c>
      <c r="AB32" s="1778"/>
      <c r="AC32" s="1779"/>
      <c r="AD32" s="1779"/>
      <c r="AE32" s="1779"/>
      <c r="AF32" s="1779"/>
      <c r="AG32" s="1777">
        <f t="shared" si="13"/>
        <v>0</v>
      </c>
      <c r="AH32" s="1778"/>
      <c r="AI32" s="1779"/>
      <c r="AJ32" s="1779"/>
      <c r="AK32" s="1779"/>
      <c r="AL32" s="1779"/>
      <c r="AM32" s="1774">
        <f t="shared" si="14"/>
        <v>0</v>
      </c>
      <c r="AN32" s="1778"/>
      <c r="AO32" s="1779"/>
      <c r="AP32" s="1779"/>
      <c r="AQ32" s="1779"/>
      <c r="AR32" s="1779"/>
      <c r="AS32" s="1774">
        <f t="shared" si="15"/>
        <v>0</v>
      </c>
      <c r="AT32" s="1778"/>
      <c r="AU32" s="1779"/>
      <c r="AV32" s="1779"/>
      <c r="AW32" s="1779"/>
      <c r="AX32" s="1779"/>
      <c r="AY32" s="1774">
        <f t="shared" si="16"/>
        <v>0</v>
      </c>
    </row>
    <row r="33" spans="1:51" s="772" customFormat="1" x14ac:dyDescent="0.25">
      <c r="A33" s="1766" t="s">
        <v>74</v>
      </c>
      <c r="B33" s="1766" t="s">
        <v>663</v>
      </c>
      <c r="C33" s="1767" t="s">
        <v>267</v>
      </c>
      <c r="D33" s="1768">
        <f t="shared" si="4"/>
        <v>531972.06000000006</v>
      </c>
      <c r="E33" s="1768">
        <f t="shared" si="5"/>
        <v>1074295.77</v>
      </c>
      <c r="F33" s="1768">
        <f t="shared" si="6"/>
        <v>283658</v>
      </c>
      <c r="G33" s="1769">
        <f t="shared" si="7"/>
        <v>2000.53</v>
      </c>
      <c r="H33" s="1770">
        <f t="shared" si="8"/>
        <v>285658.53000000003</v>
      </c>
      <c r="I33" s="1771">
        <f t="shared" si="9"/>
        <v>1891926.36</v>
      </c>
      <c r="J33" s="1772">
        <v>0</v>
      </c>
      <c r="K33" s="1773">
        <v>1052132</v>
      </c>
      <c r="L33" s="1773">
        <v>263033</v>
      </c>
      <c r="M33" s="1773">
        <v>-506.8</v>
      </c>
      <c r="N33" s="1773">
        <v>2507.33</v>
      </c>
      <c r="O33" s="1774">
        <f t="shared" si="10"/>
        <v>1317165.53</v>
      </c>
      <c r="P33" s="1772">
        <v>-11281.65</v>
      </c>
      <c r="Q33" s="1773">
        <v>-10839.23</v>
      </c>
      <c r="R33" s="1773">
        <v>0</v>
      </c>
      <c r="S33" s="1773">
        <v>0</v>
      </c>
      <c r="T33" s="1773">
        <v>0</v>
      </c>
      <c r="U33" s="1774">
        <f t="shared" si="11"/>
        <v>-22120.879999999997</v>
      </c>
      <c r="V33" s="1772"/>
      <c r="W33" s="1773"/>
      <c r="X33" s="1773"/>
      <c r="Y33" s="1773"/>
      <c r="Z33" s="1773"/>
      <c r="AA33" s="1774">
        <f t="shared" si="12"/>
        <v>0</v>
      </c>
      <c r="AB33" s="1775">
        <v>0</v>
      </c>
      <c r="AC33" s="1776">
        <v>34375</v>
      </c>
      <c r="AD33" s="1776">
        <v>20625</v>
      </c>
      <c r="AE33" s="1776">
        <v>0</v>
      </c>
      <c r="AF33" s="1776">
        <v>0</v>
      </c>
      <c r="AG33" s="1777">
        <f t="shared" si="13"/>
        <v>55000</v>
      </c>
      <c r="AH33" s="1775">
        <v>187841</v>
      </c>
      <c r="AI33" s="1776">
        <v>0</v>
      </c>
      <c r="AJ33" s="1776">
        <v>0</v>
      </c>
      <c r="AK33" s="1776">
        <v>0</v>
      </c>
      <c r="AL33" s="1776">
        <v>0</v>
      </c>
      <c r="AM33" s="1774">
        <f t="shared" si="14"/>
        <v>187841</v>
      </c>
      <c r="AN33" s="1775">
        <v>0</v>
      </c>
      <c r="AO33" s="1776">
        <v>-1372</v>
      </c>
      <c r="AP33" s="1776">
        <v>0</v>
      </c>
      <c r="AQ33" s="1776">
        <v>0</v>
      </c>
      <c r="AR33" s="1776">
        <v>0</v>
      </c>
      <c r="AS33" s="1774">
        <f t="shared" si="15"/>
        <v>-1372</v>
      </c>
      <c r="AT33" s="1775">
        <v>355412.71</v>
      </c>
      <c r="AU33" s="1776">
        <v>0</v>
      </c>
      <c r="AV33" s="1776">
        <v>0</v>
      </c>
      <c r="AW33" s="1776">
        <v>0</v>
      </c>
      <c r="AX33" s="1776">
        <v>0</v>
      </c>
      <c r="AY33" s="1774">
        <f t="shared" si="16"/>
        <v>355412.71</v>
      </c>
    </row>
    <row r="34" spans="1:51" s="772" customFormat="1" x14ac:dyDescent="0.25">
      <c r="A34" s="1766" t="s">
        <v>76</v>
      </c>
      <c r="B34" s="1766" t="s">
        <v>77</v>
      </c>
      <c r="C34" s="1767" t="s">
        <v>267</v>
      </c>
      <c r="D34" s="1768">
        <f t="shared" si="4"/>
        <v>0</v>
      </c>
      <c r="E34" s="1768">
        <f t="shared" si="5"/>
        <v>84466.4</v>
      </c>
      <c r="F34" s="1768">
        <f t="shared" si="6"/>
        <v>21154.6</v>
      </c>
      <c r="G34" s="1769">
        <f t="shared" si="7"/>
        <v>13179.27</v>
      </c>
      <c r="H34" s="1770">
        <f t="shared" si="8"/>
        <v>34333.869999999995</v>
      </c>
      <c r="I34" s="1771">
        <f t="shared" si="9"/>
        <v>118800.27</v>
      </c>
      <c r="J34" s="1772">
        <v>0</v>
      </c>
      <c r="K34" s="1773">
        <v>84618.4</v>
      </c>
      <c r="L34" s="1773">
        <v>21154.6</v>
      </c>
      <c r="M34" s="1773">
        <v>0</v>
      </c>
      <c r="N34" s="1773">
        <v>-2516</v>
      </c>
      <c r="O34" s="1774">
        <f t="shared" si="10"/>
        <v>103257</v>
      </c>
      <c r="P34" s="1772"/>
      <c r="Q34" s="1773"/>
      <c r="R34" s="1773"/>
      <c r="S34" s="1773"/>
      <c r="T34" s="1773"/>
      <c r="U34" s="1774">
        <f t="shared" si="11"/>
        <v>0</v>
      </c>
      <c r="V34" s="1772"/>
      <c r="W34" s="1773"/>
      <c r="X34" s="1773"/>
      <c r="Y34" s="1773"/>
      <c r="Z34" s="1773"/>
      <c r="AA34" s="1774">
        <f t="shared" si="12"/>
        <v>0</v>
      </c>
      <c r="AB34" s="1775">
        <v>0</v>
      </c>
      <c r="AC34" s="1776">
        <v>0</v>
      </c>
      <c r="AD34" s="1776">
        <v>0</v>
      </c>
      <c r="AE34" s="1776">
        <v>3700</v>
      </c>
      <c r="AF34" s="1776">
        <v>11995.27</v>
      </c>
      <c r="AG34" s="1777">
        <f t="shared" si="13"/>
        <v>15695.27</v>
      </c>
      <c r="AH34" s="1778"/>
      <c r="AI34" s="1779"/>
      <c r="AJ34" s="1779"/>
      <c r="AK34" s="1779"/>
      <c r="AL34" s="1779"/>
      <c r="AM34" s="1774">
        <f t="shared" si="14"/>
        <v>0</v>
      </c>
      <c r="AN34" s="1778">
        <v>0</v>
      </c>
      <c r="AO34" s="1779">
        <v>-152</v>
      </c>
      <c r="AP34" s="1779">
        <v>0</v>
      </c>
      <c r="AQ34" s="1779">
        <v>0</v>
      </c>
      <c r="AR34" s="1779">
        <v>0</v>
      </c>
      <c r="AS34" s="1774">
        <f t="shared" si="15"/>
        <v>-152</v>
      </c>
      <c r="AT34" s="1778"/>
      <c r="AU34" s="1779"/>
      <c r="AV34" s="1779"/>
      <c r="AW34" s="1779"/>
      <c r="AX34" s="1779"/>
      <c r="AY34" s="1774">
        <f t="shared" si="16"/>
        <v>0</v>
      </c>
    </row>
    <row r="35" spans="1:51" s="772" customFormat="1" x14ac:dyDescent="0.25">
      <c r="A35" s="1766" t="s">
        <v>78</v>
      </c>
      <c r="B35" s="1766" t="s">
        <v>79</v>
      </c>
      <c r="C35" s="1767" t="s">
        <v>268</v>
      </c>
      <c r="D35" s="1768">
        <f t="shared" si="4"/>
        <v>0</v>
      </c>
      <c r="E35" s="1768">
        <f t="shared" si="5"/>
        <v>44560</v>
      </c>
      <c r="F35" s="1768">
        <f t="shared" si="6"/>
        <v>11140</v>
      </c>
      <c r="G35" s="1769">
        <f t="shared" si="7"/>
        <v>0</v>
      </c>
      <c r="H35" s="1770">
        <f t="shared" si="8"/>
        <v>11140</v>
      </c>
      <c r="I35" s="1771">
        <f t="shared" si="9"/>
        <v>55700</v>
      </c>
      <c r="J35" s="1772">
        <v>0</v>
      </c>
      <c r="K35" s="1773">
        <v>44560</v>
      </c>
      <c r="L35" s="1773">
        <v>11140</v>
      </c>
      <c r="M35" s="1773">
        <v>0</v>
      </c>
      <c r="N35" s="1773">
        <v>0</v>
      </c>
      <c r="O35" s="1774">
        <f t="shared" si="10"/>
        <v>55700</v>
      </c>
      <c r="P35" s="1772"/>
      <c r="Q35" s="1773"/>
      <c r="R35" s="1773"/>
      <c r="S35" s="1773"/>
      <c r="T35" s="1773"/>
      <c r="U35" s="1774">
        <f t="shared" si="11"/>
        <v>0</v>
      </c>
      <c r="V35" s="1772"/>
      <c r="W35" s="1773"/>
      <c r="X35" s="1773"/>
      <c r="Y35" s="1773"/>
      <c r="Z35" s="1773"/>
      <c r="AA35" s="1774">
        <f t="shared" si="12"/>
        <v>0</v>
      </c>
      <c r="AB35" s="1778"/>
      <c r="AC35" s="1779"/>
      <c r="AD35" s="1779"/>
      <c r="AE35" s="1779"/>
      <c r="AF35" s="1779"/>
      <c r="AG35" s="1777">
        <f t="shared" si="13"/>
        <v>0</v>
      </c>
      <c r="AH35" s="1778"/>
      <c r="AI35" s="1779"/>
      <c r="AJ35" s="1779"/>
      <c r="AK35" s="1779"/>
      <c r="AL35" s="1779"/>
      <c r="AM35" s="1774">
        <f t="shared" si="14"/>
        <v>0</v>
      </c>
      <c r="AN35" s="1778"/>
      <c r="AO35" s="1779"/>
      <c r="AP35" s="1779"/>
      <c r="AQ35" s="1779"/>
      <c r="AR35" s="1779"/>
      <c r="AS35" s="1774">
        <f t="shared" si="15"/>
        <v>0</v>
      </c>
      <c r="AT35" s="1778"/>
      <c r="AU35" s="1779"/>
      <c r="AV35" s="1779"/>
      <c r="AW35" s="1779"/>
      <c r="AX35" s="1779"/>
      <c r="AY35" s="1774">
        <f t="shared" si="16"/>
        <v>0</v>
      </c>
    </row>
    <row r="36" spans="1:51" s="772" customFormat="1" x14ac:dyDescent="0.25">
      <c r="A36" s="1766" t="s">
        <v>80</v>
      </c>
      <c r="B36" s="1766" t="s">
        <v>81</v>
      </c>
      <c r="C36" s="1767" t="s">
        <v>266</v>
      </c>
      <c r="D36" s="1768">
        <f t="shared" si="4"/>
        <v>0</v>
      </c>
      <c r="E36" s="1768">
        <f t="shared" si="5"/>
        <v>19421.599999999999</v>
      </c>
      <c r="F36" s="1768">
        <f t="shared" si="6"/>
        <v>5044.3999999999996</v>
      </c>
      <c r="G36" s="1769">
        <f t="shared" si="7"/>
        <v>0</v>
      </c>
      <c r="H36" s="1770">
        <f t="shared" si="8"/>
        <v>5044.3999999999996</v>
      </c>
      <c r="I36" s="1771">
        <f t="shared" si="9"/>
        <v>24466</v>
      </c>
      <c r="J36" s="1772">
        <v>0</v>
      </c>
      <c r="K36" s="1773">
        <v>18881.599999999999</v>
      </c>
      <c r="L36" s="1773">
        <v>4720.3999999999996</v>
      </c>
      <c r="M36" s="1773">
        <v>0</v>
      </c>
      <c r="N36" s="1773">
        <v>0</v>
      </c>
      <c r="O36" s="1774">
        <f t="shared" si="10"/>
        <v>23602</v>
      </c>
      <c r="P36" s="1772"/>
      <c r="Q36" s="1773"/>
      <c r="R36" s="1773"/>
      <c r="S36" s="1773"/>
      <c r="T36" s="1773"/>
      <c r="U36" s="1774">
        <f t="shared" si="11"/>
        <v>0</v>
      </c>
      <c r="V36" s="1772"/>
      <c r="W36" s="1773"/>
      <c r="X36" s="1773"/>
      <c r="Y36" s="1773"/>
      <c r="Z36" s="1773"/>
      <c r="AA36" s="1774">
        <f t="shared" si="12"/>
        <v>0</v>
      </c>
      <c r="AB36" s="1775">
        <v>0</v>
      </c>
      <c r="AC36" s="1776">
        <v>540</v>
      </c>
      <c r="AD36" s="1776">
        <v>324</v>
      </c>
      <c r="AE36" s="1776">
        <v>0</v>
      </c>
      <c r="AF36" s="1776">
        <v>0</v>
      </c>
      <c r="AG36" s="1777">
        <f t="shared" si="13"/>
        <v>864</v>
      </c>
      <c r="AH36" s="1778"/>
      <c r="AI36" s="1779"/>
      <c r="AJ36" s="1779"/>
      <c r="AK36" s="1779"/>
      <c r="AL36" s="1779"/>
      <c r="AM36" s="1774">
        <f t="shared" si="14"/>
        <v>0</v>
      </c>
      <c r="AN36" s="1778"/>
      <c r="AO36" s="1779"/>
      <c r="AP36" s="1779"/>
      <c r="AQ36" s="1779"/>
      <c r="AR36" s="1779"/>
      <c r="AS36" s="1774">
        <f t="shared" si="15"/>
        <v>0</v>
      </c>
      <c r="AT36" s="1778"/>
      <c r="AU36" s="1779"/>
      <c r="AV36" s="1779"/>
      <c r="AW36" s="1779"/>
      <c r="AX36" s="1779"/>
      <c r="AY36" s="1774">
        <f t="shared" si="16"/>
        <v>0</v>
      </c>
    </row>
    <row r="37" spans="1:51" s="772" customFormat="1" x14ac:dyDescent="0.25">
      <c r="A37" s="1766" t="s">
        <v>84</v>
      </c>
      <c r="B37" s="1766" t="s">
        <v>308</v>
      </c>
      <c r="C37" s="1767" t="s">
        <v>265</v>
      </c>
      <c r="D37" s="1768">
        <f t="shared" ref="D37:D68" si="17">J37+P37+V37+AB37+AH37+AN37+AT37</f>
        <v>134.63999999999999</v>
      </c>
      <c r="E37" s="1768">
        <f t="shared" ref="E37:E68" si="18">K37+Q37+W37+AC37+AI37+AO37+AU37</f>
        <v>145762.62</v>
      </c>
      <c r="F37" s="1768">
        <f t="shared" ref="F37:F68" si="19">L37+R37+X37+AD37+AJ37+AP37+AV37</f>
        <v>36516.400000000001</v>
      </c>
      <c r="G37" s="1769">
        <f t="shared" ref="G37:G68" si="20">M37+N37+S37+T37+Y37+Z37+AE37+AF37+AK37+AL37+AQ37+AR37+AW37+AX37</f>
        <v>0</v>
      </c>
      <c r="H37" s="1770">
        <f t="shared" ref="H37:H68" si="21">F37+G37</f>
        <v>36516.400000000001</v>
      </c>
      <c r="I37" s="1771">
        <f t="shared" ref="I37:I68" si="22">SUM(D37:G37)</f>
        <v>182413.66</v>
      </c>
      <c r="J37" s="1772">
        <v>0</v>
      </c>
      <c r="K37" s="1773">
        <v>146065.60000000001</v>
      </c>
      <c r="L37" s="1773">
        <v>36516.400000000001</v>
      </c>
      <c r="M37" s="1773">
        <v>0</v>
      </c>
      <c r="N37" s="1773">
        <v>0</v>
      </c>
      <c r="O37" s="1774">
        <f t="shared" ref="O37:O68" si="23">SUM(J37:N37)</f>
        <v>182582</v>
      </c>
      <c r="P37" s="1772">
        <v>-315.36</v>
      </c>
      <c r="Q37" s="1773">
        <v>-302.98</v>
      </c>
      <c r="R37" s="1773">
        <v>0</v>
      </c>
      <c r="S37" s="1773">
        <v>0</v>
      </c>
      <c r="T37" s="1773">
        <v>0</v>
      </c>
      <c r="U37" s="1774">
        <f t="shared" ref="U37:U68" si="24">SUM(P37:T37)</f>
        <v>-618.34</v>
      </c>
      <c r="V37" s="1772"/>
      <c r="W37" s="1773"/>
      <c r="X37" s="1773"/>
      <c r="Y37" s="1773"/>
      <c r="Z37" s="1773"/>
      <c r="AA37" s="1774">
        <f t="shared" ref="AA37:AA68" si="25">SUM(V37:Z37)</f>
        <v>0</v>
      </c>
      <c r="AB37" s="1775"/>
      <c r="AC37" s="1776"/>
      <c r="AD37" s="1776"/>
      <c r="AE37" s="1776"/>
      <c r="AF37" s="1776"/>
      <c r="AG37" s="1777">
        <f t="shared" ref="AG37:AG68" si="26">SUM(AB37:AF37)</f>
        <v>0</v>
      </c>
      <c r="AH37" s="1778">
        <v>450</v>
      </c>
      <c r="AI37" s="1779">
        <v>0</v>
      </c>
      <c r="AJ37" s="1779">
        <v>0</v>
      </c>
      <c r="AK37" s="1779">
        <v>0</v>
      </c>
      <c r="AL37" s="1779">
        <v>0</v>
      </c>
      <c r="AM37" s="1774">
        <f t="shared" ref="AM37:AM68" si="27">SUM(AH37:AL37)</f>
        <v>450</v>
      </c>
      <c r="AN37" s="1778"/>
      <c r="AO37" s="1779"/>
      <c r="AP37" s="1779"/>
      <c r="AQ37" s="1779"/>
      <c r="AR37" s="1779"/>
      <c r="AS37" s="1774">
        <f t="shared" ref="AS37:AS68" si="28">SUM(AN37:AR37)</f>
        <v>0</v>
      </c>
      <c r="AT37" s="1778"/>
      <c r="AU37" s="1779"/>
      <c r="AV37" s="1779"/>
      <c r="AW37" s="1779"/>
      <c r="AX37" s="1779"/>
      <c r="AY37" s="1774">
        <f t="shared" ref="AY37:AY68" si="29">SUM(AT37:AX37)</f>
        <v>0</v>
      </c>
    </row>
    <row r="38" spans="1:51" s="772" customFormat="1" x14ac:dyDescent="0.25">
      <c r="A38" s="1766" t="s">
        <v>86</v>
      </c>
      <c r="B38" s="1766" t="s">
        <v>87</v>
      </c>
      <c r="C38" s="1767" t="s">
        <v>267</v>
      </c>
      <c r="D38" s="1768">
        <f t="shared" si="17"/>
        <v>739.7</v>
      </c>
      <c r="E38" s="1768">
        <f t="shared" si="18"/>
        <v>53124.5</v>
      </c>
      <c r="F38" s="1768">
        <f t="shared" si="19"/>
        <v>13284.8</v>
      </c>
      <c r="G38" s="1769">
        <f t="shared" si="20"/>
        <v>1795.05</v>
      </c>
      <c r="H38" s="1770">
        <f t="shared" si="21"/>
        <v>15079.849999999999</v>
      </c>
      <c r="I38" s="1771">
        <f t="shared" si="22"/>
        <v>68944.05</v>
      </c>
      <c r="J38" s="1772">
        <v>0</v>
      </c>
      <c r="K38" s="1773">
        <v>53139.199999999997</v>
      </c>
      <c r="L38" s="1773">
        <v>13284.8</v>
      </c>
      <c r="M38" s="1773">
        <v>0</v>
      </c>
      <c r="N38" s="1773">
        <v>0</v>
      </c>
      <c r="O38" s="1774">
        <f t="shared" si="23"/>
        <v>66424</v>
      </c>
      <c r="P38" s="1772">
        <v>-15.3</v>
      </c>
      <c r="Q38" s="1773">
        <v>-14.7</v>
      </c>
      <c r="R38" s="1773">
        <v>0</v>
      </c>
      <c r="S38" s="1773">
        <v>0</v>
      </c>
      <c r="T38" s="1773">
        <v>0</v>
      </c>
      <c r="U38" s="1774">
        <f t="shared" si="24"/>
        <v>-30</v>
      </c>
      <c r="V38" s="1772"/>
      <c r="W38" s="1773"/>
      <c r="X38" s="1773"/>
      <c r="Y38" s="1773"/>
      <c r="Z38" s="1773"/>
      <c r="AA38" s="1774">
        <f t="shared" si="25"/>
        <v>0</v>
      </c>
      <c r="AB38" s="1775">
        <v>0</v>
      </c>
      <c r="AC38" s="1776">
        <v>0</v>
      </c>
      <c r="AD38" s="1776">
        <v>0</v>
      </c>
      <c r="AE38" s="1776">
        <v>1795.05</v>
      </c>
      <c r="AF38" s="1776">
        <v>0</v>
      </c>
      <c r="AG38" s="1777">
        <f t="shared" si="26"/>
        <v>1795.05</v>
      </c>
      <c r="AH38" s="1778">
        <v>755</v>
      </c>
      <c r="AI38" s="1779">
        <v>0</v>
      </c>
      <c r="AJ38" s="1779">
        <v>0</v>
      </c>
      <c r="AK38" s="1779">
        <v>0</v>
      </c>
      <c r="AL38" s="1779">
        <v>0</v>
      </c>
      <c r="AM38" s="1774">
        <f t="shared" si="27"/>
        <v>755</v>
      </c>
      <c r="AN38" s="1778"/>
      <c r="AO38" s="1779"/>
      <c r="AP38" s="1779"/>
      <c r="AQ38" s="1779"/>
      <c r="AR38" s="1779"/>
      <c r="AS38" s="1774">
        <f t="shared" si="28"/>
        <v>0</v>
      </c>
      <c r="AT38" s="1778"/>
      <c r="AU38" s="1779"/>
      <c r="AV38" s="1779"/>
      <c r="AW38" s="1779"/>
      <c r="AX38" s="1779"/>
      <c r="AY38" s="1774">
        <f t="shared" si="29"/>
        <v>0</v>
      </c>
    </row>
    <row r="39" spans="1:51" s="772" customFormat="1" x14ac:dyDescent="0.25">
      <c r="A39" s="1766" t="s">
        <v>92</v>
      </c>
      <c r="B39" s="1766" t="s">
        <v>93</v>
      </c>
      <c r="C39" s="1767" t="s">
        <v>268</v>
      </c>
      <c r="D39" s="1768">
        <f t="shared" si="17"/>
        <v>-40.799999999999997</v>
      </c>
      <c r="E39" s="1768">
        <f t="shared" si="18"/>
        <v>24394.399999999998</v>
      </c>
      <c r="F39" s="1768">
        <f t="shared" si="19"/>
        <v>6108.4</v>
      </c>
      <c r="G39" s="1769">
        <f t="shared" si="20"/>
        <v>0</v>
      </c>
      <c r="H39" s="1770">
        <f t="shared" si="21"/>
        <v>6108.4</v>
      </c>
      <c r="I39" s="1771">
        <f t="shared" si="22"/>
        <v>30462</v>
      </c>
      <c r="J39" s="1772">
        <v>0</v>
      </c>
      <c r="K39" s="1773">
        <v>24433.599999999999</v>
      </c>
      <c r="L39" s="1773">
        <v>6108.4</v>
      </c>
      <c r="M39" s="1773">
        <v>0</v>
      </c>
      <c r="N39" s="1773">
        <v>0</v>
      </c>
      <c r="O39" s="1774">
        <f t="shared" si="23"/>
        <v>30542</v>
      </c>
      <c r="P39" s="1772">
        <v>-40.799999999999997</v>
      </c>
      <c r="Q39" s="1773">
        <v>-39.200000000000003</v>
      </c>
      <c r="R39" s="1773">
        <v>0</v>
      </c>
      <c r="S39" s="1773">
        <v>0</v>
      </c>
      <c r="T39" s="1773">
        <v>0</v>
      </c>
      <c r="U39" s="1774">
        <f t="shared" si="24"/>
        <v>-80</v>
      </c>
      <c r="V39" s="1772"/>
      <c r="W39" s="1773"/>
      <c r="X39" s="1773"/>
      <c r="Y39" s="1773"/>
      <c r="Z39" s="1773"/>
      <c r="AA39" s="1774">
        <f t="shared" si="25"/>
        <v>0</v>
      </c>
      <c r="AB39" s="1778"/>
      <c r="AC39" s="1779"/>
      <c r="AD39" s="1779"/>
      <c r="AE39" s="1779"/>
      <c r="AF39" s="1779"/>
      <c r="AG39" s="1777">
        <f t="shared" si="26"/>
        <v>0</v>
      </c>
      <c r="AH39" s="1778"/>
      <c r="AI39" s="1779"/>
      <c r="AJ39" s="1779"/>
      <c r="AK39" s="1779"/>
      <c r="AL39" s="1779"/>
      <c r="AM39" s="1774">
        <f t="shared" si="27"/>
        <v>0</v>
      </c>
      <c r="AN39" s="1778"/>
      <c r="AO39" s="1779"/>
      <c r="AP39" s="1779"/>
      <c r="AQ39" s="1779"/>
      <c r="AR39" s="1779"/>
      <c r="AS39" s="1774">
        <f t="shared" si="28"/>
        <v>0</v>
      </c>
      <c r="AT39" s="1778"/>
      <c r="AU39" s="1779"/>
      <c r="AV39" s="1779"/>
      <c r="AW39" s="1779"/>
      <c r="AX39" s="1779"/>
      <c r="AY39" s="1774">
        <f t="shared" si="29"/>
        <v>0</v>
      </c>
    </row>
    <row r="40" spans="1:51" s="772" customFormat="1" x14ac:dyDescent="0.25">
      <c r="A40" s="1766" t="s">
        <v>94</v>
      </c>
      <c r="B40" s="1766" t="s">
        <v>95</v>
      </c>
      <c r="C40" s="1767" t="s">
        <v>264</v>
      </c>
      <c r="D40" s="1768">
        <f t="shared" si="17"/>
        <v>0</v>
      </c>
      <c r="E40" s="1768">
        <f t="shared" si="18"/>
        <v>141391.42000000001</v>
      </c>
      <c r="F40" s="1768">
        <f t="shared" si="19"/>
        <v>35194.58</v>
      </c>
      <c r="G40" s="1769">
        <f t="shared" si="20"/>
        <v>0</v>
      </c>
      <c r="H40" s="1770">
        <f t="shared" si="21"/>
        <v>35194.58</v>
      </c>
      <c r="I40" s="1771">
        <f t="shared" si="22"/>
        <v>176586</v>
      </c>
      <c r="J40" s="1772">
        <v>0</v>
      </c>
      <c r="K40" s="1773">
        <v>141391.42000000001</v>
      </c>
      <c r="L40" s="1773">
        <v>35194.58</v>
      </c>
      <c r="M40" s="1773">
        <v>0</v>
      </c>
      <c r="N40" s="1773">
        <v>0</v>
      </c>
      <c r="O40" s="1774">
        <f t="shared" si="23"/>
        <v>176586</v>
      </c>
      <c r="P40" s="1772"/>
      <c r="Q40" s="1773"/>
      <c r="R40" s="1773"/>
      <c r="S40" s="1773"/>
      <c r="T40" s="1773"/>
      <c r="U40" s="1774">
        <f t="shared" si="24"/>
        <v>0</v>
      </c>
      <c r="V40" s="1772"/>
      <c r="W40" s="1773"/>
      <c r="X40" s="1773"/>
      <c r="Y40" s="1773"/>
      <c r="Z40" s="1773"/>
      <c r="AA40" s="1774">
        <f t="shared" si="25"/>
        <v>0</v>
      </c>
      <c r="AB40" s="1778"/>
      <c r="AC40" s="1779"/>
      <c r="AD40" s="1779"/>
      <c r="AE40" s="1779"/>
      <c r="AF40" s="1779"/>
      <c r="AG40" s="1777">
        <f t="shared" si="26"/>
        <v>0</v>
      </c>
      <c r="AH40" s="1778"/>
      <c r="AI40" s="1779"/>
      <c r="AJ40" s="1779"/>
      <c r="AK40" s="1779"/>
      <c r="AL40" s="1779"/>
      <c r="AM40" s="1774">
        <f t="shared" si="27"/>
        <v>0</v>
      </c>
      <c r="AN40" s="1778"/>
      <c r="AO40" s="1779"/>
      <c r="AP40" s="1779"/>
      <c r="AQ40" s="1779"/>
      <c r="AR40" s="1779"/>
      <c r="AS40" s="1774">
        <f t="shared" si="28"/>
        <v>0</v>
      </c>
      <c r="AT40" s="1778"/>
      <c r="AU40" s="1779"/>
      <c r="AV40" s="1779"/>
      <c r="AW40" s="1779"/>
      <c r="AX40" s="1779"/>
      <c r="AY40" s="1774">
        <f t="shared" si="29"/>
        <v>0</v>
      </c>
    </row>
    <row r="41" spans="1:51" s="772" customFormat="1" x14ac:dyDescent="0.25">
      <c r="A41" s="1766" t="s">
        <v>96</v>
      </c>
      <c r="B41" s="1766" t="s">
        <v>97</v>
      </c>
      <c r="C41" s="1767" t="s">
        <v>266</v>
      </c>
      <c r="D41" s="1768">
        <f t="shared" si="17"/>
        <v>0</v>
      </c>
      <c r="E41" s="1768">
        <f t="shared" si="18"/>
        <v>22862.400000000001</v>
      </c>
      <c r="F41" s="1768">
        <f t="shared" si="19"/>
        <v>5715.6</v>
      </c>
      <c r="G41" s="1769">
        <f t="shared" si="20"/>
        <v>198661.57</v>
      </c>
      <c r="H41" s="1770">
        <f t="shared" si="21"/>
        <v>204377.17</v>
      </c>
      <c r="I41" s="1771">
        <f t="shared" si="22"/>
        <v>227239.57</v>
      </c>
      <c r="J41" s="1772">
        <v>0</v>
      </c>
      <c r="K41" s="1773">
        <v>22862.400000000001</v>
      </c>
      <c r="L41" s="1773">
        <v>5715.6</v>
      </c>
      <c r="M41" s="1773">
        <v>0</v>
      </c>
      <c r="N41" s="1773">
        <v>0</v>
      </c>
      <c r="O41" s="1774">
        <f t="shared" si="23"/>
        <v>28578</v>
      </c>
      <c r="P41" s="1772"/>
      <c r="Q41" s="1773"/>
      <c r="R41" s="1773"/>
      <c r="S41" s="1773"/>
      <c r="T41" s="1773"/>
      <c r="U41" s="1774">
        <f t="shared" si="24"/>
        <v>0</v>
      </c>
      <c r="V41" s="1772"/>
      <c r="W41" s="1773"/>
      <c r="X41" s="1773"/>
      <c r="Y41" s="1773"/>
      <c r="Z41" s="1773"/>
      <c r="AA41" s="1774">
        <f t="shared" si="25"/>
        <v>0</v>
      </c>
      <c r="AB41" s="1775">
        <v>0</v>
      </c>
      <c r="AC41" s="1776">
        <v>0</v>
      </c>
      <c r="AD41" s="1776">
        <v>0</v>
      </c>
      <c r="AE41" s="1776">
        <v>198661.57</v>
      </c>
      <c r="AF41" s="1776">
        <v>0</v>
      </c>
      <c r="AG41" s="1777">
        <f t="shared" si="26"/>
        <v>198661.57</v>
      </c>
      <c r="AH41" s="1778"/>
      <c r="AI41" s="1779"/>
      <c r="AJ41" s="1779"/>
      <c r="AK41" s="1779"/>
      <c r="AL41" s="1779"/>
      <c r="AM41" s="1774">
        <f t="shared" si="27"/>
        <v>0</v>
      </c>
      <c r="AN41" s="1778"/>
      <c r="AO41" s="1779"/>
      <c r="AP41" s="1779"/>
      <c r="AQ41" s="1779"/>
      <c r="AR41" s="1779"/>
      <c r="AS41" s="1774">
        <f t="shared" si="28"/>
        <v>0</v>
      </c>
      <c r="AT41" s="1778"/>
      <c r="AU41" s="1779"/>
      <c r="AV41" s="1779"/>
      <c r="AW41" s="1779"/>
      <c r="AX41" s="1779"/>
      <c r="AY41" s="1774">
        <f t="shared" si="29"/>
        <v>0</v>
      </c>
    </row>
    <row r="42" spans="1:51" s="772" customFormat="1" x14ac:dyDescent="0.25">
      <c r="A42" s="1766" t="s">
        <v>98</v>
      </c>
      <c r="B42" s="1766" t="s">
        <v>99</v>
      </c>
      <c r="C42" s="1767" t="s">
        <v>268</v>
      </c>
      <c r="D42" s="1768">
        <f t="shared" si="17"/>
        <v>-389.64</v>
      </c>
      <c r="E42" s="1768">
        <f t="shared" si="18"/>
        <v>136410.44</v>
      </c>
      <c r="F42" s="1768">
        <f t="shared" si="19"/>
        <v>34196.199999999997</v>
      </c>
      <c r="G42" s="1769">
        <f t="shared" si="20"/>
        <v>0</v>
      </c>
      <c r="H42" s="1770">
        <f t="shared" si="21"/>
        <v>34196.199999999997</v>
      </c>
      <c r="I42" s="1771">
        <f t="shared" si="22"/>
        <v>170217</v>
      </c>
      <c r="J42" s="1772">
        <v>0</v>
      </c>
      <c r="K42" s="1773">
        <v>136784.79999999999</v>
      </c>
      <c r="L42" s="1773">
        <v>34196.199999999997</v>
      </c>
      <c r="M42" s="1773">
        <v>0</v>
      </c>
      <c r="N42" s="1773">
        <v>0</v>
      </c>
      <c r="O42" s="1774">
        <f t="shared" si="23"/>
        <v>170981</v>
      </c>
      <c r="P42" s="1772">
        <v>-389.64</v>
      </c>
      <c r="Q42" s="1773">
        <v>-374.36</v>
      </c>
      <c r="R42" s="1773">
        <v>0</v>
      </c>
      <c r="S42" s="1773">
        <v>0</v>
      </c>
      <c r="T42" s="1773">
        <v>0</v>
      </c>
      <c r="U42" s="1774">
        <f t="shared" si="24"/>
        <v>-764</v>
      </c>
      <c r="V42" s="1772"/>
      <c r="W42" s="1773"/>
      <c r="X42" s="1773"/>
      <c r="Y42" s="1773"/>
      <c r="Z42" s="1773"/>
      <c r="AA42" s="1774">
        <f t="shared" si="25"/>
        <v>0</v>
      </c>
      <c r="AB42" s="1778"/>
      <c r="AC42" s="1779"/>
      <c r="AD42" s="1779"/>
      <c r="AE42" s="1779"/>
      <c r="AF42" s="1779"/>
      <c r="AG42" s="1777">
        <f t="shared" si="26"/>
        <v>0</v>
      </c>
      <c r="AH42" s="1778"/>
      <c r="AI42" s="1779"/>
      <c r="AJ42" s="1779"/>
      <c r="AK42" s="1779"/>
      <c r="AL42" s="1779"/>
      <c r="AM42" s="1774">
        <f t="shared" si="27"/>
        <v>0</v>
      </c>
      <c r="AN42" s="1778"/>
      <c r="AO42" s="1779"/>
      <c r="AP42" s="1779"/>
      <c r="AQ42" s="1779"/>
      <c r="AR42" s="1779"/>
      <c r="AS42" s="1774">
        <f t="shared" si="28"/>
        <v>0</v>
      </c>
      <c r="AT42" s="1778"/>
      <c r="AU42" s="1779"/>
      <c r="AV42" s="1779"/>
      <c r="AW42" s="1779"/>
      <c r="AX42" s="1779"/>
      <c r="AY42" s="1774">
        <f t="shared" si="29"/>
        <v>0</v>
      </c>
    </row>
    <row r="43" spans="1:51" s="772" customFormat="1" x14ac:dyDescent="0.25">
      <c r="A43" s="1766" t="s">
        <v>100</v>
      </c>
      <c r="B43" s="1766" t="s">
        <v>101</v>
      </c>
      <c r="C43" s="1767" t="s">
        <v>267</v>
      </c>
      <c r="D43" s="1768">
        <f t="shared" si="17"/>
        <v>0</v>
      </c>
      <c r="E43" s="1768">
        <f t="shared" si="18"/>
        <v>11383.2</v>
      </c>
      <c r="F43" s="1768">
        <f t="shared" si="19"/>
        <v>3994.8</v>
      </c>
      <c r="G43" s="1769">
        <f t="shared" si="20"/>
        <v>0</v>
      </c>
      <c r="H43" s="1770">
        <f t="shared" si="21"/>
        <v>3994.8</v>
      </c>
      <c r="I43" s="1771">
        <f t="shared" si="22"/>
        <v>15378</v>
      </c>
      <c r="J43" s="1772">
        <v>0</v>
      </c>
      <c r="K43" s="1773">
        <v>15979.2</v>
      </c>
      <c r="L43" s="1773">
        <v>3994.8</v>
      </c>
      <c r="M43" s="1773">
        <v>0</v>
      </c>
      <c r="N43" s="1773">
        <v>0</v>
      </c>
      <c r="O43" s="1774">
        <f t="shared" si="23"/>
        <v>19974</v>
      </c>
      <c r="P43" s="1772"/>
      <c r="Q43" s="1773"/>
      <c r="R43" s="1773"/>
      <c r="S43" s="1773"/>
      <c r="T43" s="1773"/>
      <c r="U43" s="1774">
        <f t="shared" si="24"/>
        <v>0</v>
      </c>
      <c r="V43" s="1772"/>
      <c r="W43" s="1773"/>
      <c r="X43" s="1773"/>
      <c r="Y43" s="1773"/>
      <c r="Z43" s="1773"/>
      <c r="AA43" s="1774">
        <f t="shared" si="25"/>
        <v>0</v>
      </c>
      <c r="AB43" s="1778"/>
      <c r="AC43" s="1779"/>
      <c r="AD43" s="1779"/>
      <c r="AE43" s="1779"/>
      <c r="AF43" s="1779"/>
      <c r="AG43" s="1777">
        <f t="shared" si="26"/>
        <v>0</v>
      </c>
      <c r="AH43" s="1778"/>
      <c r="AI43" s="1779"/>
      <c r="AJ43" s="1779"/>
      <c r="AK43" s="1779"/>
      <c r="AL43" s="1779"/>
      <c r="AM43" s="1774">
        <f t="shared" si="27"/>
        <v>0</v>
      </c>
      <c r="AN43" s="1778">
        <v>0</v>
      </c>
      <c r="AO43" s="1779">
        <v>-4596</v>
      </c>
      <c r="AP43" s="1779">
        <v>0</v>
      </c>
      <c r="AQ43" s="1779">
        <v>0</v>
      </c>
      <c r="AR43" s="1779">
        <v>0</v>
      </c>
      <c r="AS43" s="1774">
        <f t="shared" si="28"/>
        <v>-4596</v>
      </c>
      <c r="AT43" s="1778"/>
      <c r="AU43" s="1779"/>
      <c r="AV43" s="1779"/>
      <c r="AW43" s="1779"/>
      <c r="AX43" s="1779"/>
      <c r="AY43" s="1774">
        <f t="shared" si="29"/>
        <v>0</v>
      </c>
    </row>
    <row r="44" spans="1:51" s="772" customFormat="1" x14ac:dyDescent="0.25">
      <c r="A44" s="1766" t="s">
        <v>102</v>
      </c>
      <c r="B44" s="1766" t="s">
        <v>103</v>
      </c>
      <c r="C44" s="1767" t="s">
        <v>264</v>
      </c>
      <c r="D44" s="1768">
        <f t="shared" si="17"/>
        <v>0</v>
      </c>
      <c r="E44" s="1768">
        <f t="shared" si="18"/>
        <v>40219.199999999997</v>
      </c>
      <c r="F44" s="1768">
        <f t="shared" si="19"/>
        <v>10054.799999999999</v>
      </c>
      <c r="G44" s="1769">
        <f t="shared" si="20"/>
        <v>0</v>
      </c>
      <c r="H44" s="1770">
        <f t="shared" si="21"/>
        <v>10054.799999999999</v>
      </c>
      <c r="I44" s="1771">
        <f t="shared" si="22"/>
        <v>50274</v>
      </c>
      <c r="J44" s="1772">
        <v>0</v>
      </c>
      <c r="K44" s="1773">
        <v>40219.199999999997</v>
      </c>
      <c r="L44" s="1773">
        <v>10054.799999999999</v>
      </c>
      <c r="M44" s="1773">
        <v>0</v>
      </c>
      <c r="N44" s="1773">
        <v>0</v>
      </c>
      <c r="O44" s="1774">
        <f t="shared" si="23"/>
        <v>50274</v>
      </c>
      <c r="P44" s="1772"/>
      <c r="Q44" s="1773"/>
      <c r="R44" s="1773"/>
      <c r="S44" s="1773"/>
      <c r="T44" s="1773"/>
      <c r="U44" s="1774">
        <f t="shared" si="24"/>
        <v>0</v>
      </c>
      <c r="V44" s="1772"/>
      <c r="W44" s="1773"/>
      <c r="X44" s="1773"/>
      <c r="Y44" s="1773"/>
      <c r="Z44" s="1773"/>
      <c r="AA44" s="1774">
        <f t="shared" si="25"/>
        <v>0</v>
      </c>
      <c r="AB44" s="1778"/>
      <c r="AC44" s="1779"/>
      <c r="AD44" s="1779"/>
      <c r="AE44" s="1779"/>
      <c r="AF44" s="1779"/>
      <c r="AG44" s="1777">
        <f t="shared" si="26"/>
        <v>0</v>
      </c>
      <c r="AH44" s="1778"/>
      <c r="AI44" s="1779"/>
      <c r="AJ44" s="1779"/>
      <c r="AK44" s="1779"/>
      <c r="AL44" s="1779"/>
      <c r="AM44" s="1774">
        <f t="shared" si="27"/>
        <v>0</v>
      </c>
      <c r="AN44" s="1778"/>
      <c r="AO44" s="1779"/>
      <c r="AP44" s="1779"/>
      <c r="AQ44" s="1779"/>
      <c r="AR44" s="1779"/>
      <c r="AS44" s="1774">
        <f t="shared" si="28"/>
        <v>0</v>
      </c>
      <c r="AT44" s="1778"/>
      <c r="AU44" s="1779"/>
      <c r="AV44" s="1779"/>
      <c r="AW44" s="1779"/>
      <c r="AX44" s="1779"/>
      <c r="AY44" s="1774">
        <f t="shared" si="29"/>
        <v>0</v>
      </c>
    </row>
    <row r="45" spans="1:51" s="772" customFormat="1" x14ac:dyDescent="0.25">
      <c r="A45" s="1766" t="s">
        <v>104</v>
      </c>
      <c r="B45" s="1766" t="s">
        <v>309</v>
      </c>
      <c r="C45" s="1767" t="s">
        <v>265</v>
      </c>
      <c r="D45" s="1768">
        <f t="shared" si="17"/>
        <v>-108.12</v>
      </c>
      <c r="E45" s="1768">
        <f t="shared" si="18"/>
        <v>154998.51999999999</v>
      </c>
      <c r="F45" s="1768">
        <f t="shared" si="19"/>
        <v>38775.599999999999</v>
      </c>
      <c r="G45" s="1769">
        <f t="shared" si="20"/>
        <v>0</v>
      </c>
      <c r="H45" s="1770">
        <f t="shared" si="21"/>
        <v>38775.599999999999</v>
      </c>
      <c r="I45" s="1771">
        <f t="shared" si="22"/>
        <v>193666</v>
      </c>
      <c r="J45" s="1772">
        <v>0</v>
      </c>
      <c r="K45" s="1773">
        <v>155102.39999999999</v>
      </c>
      <c r="L45" s="1773">
        <v>38775.599999999999</v>
      </c>
      <c r="M45" s="1773">
        <v>0</v>
      </c>
      <c r="N45" s="1773">
        <v>0</v>
      </c>
      <c r="O45" s="1774">
        <f t="shared" si="23"/>
        <v>193878</v>
      </c>
      <c r="P45" s="1772">
        <v>-108.12</v>
      </c>
      <c r="Q45" s="1773">
        <v>-103.88</v>
      </c>
      <c r="R45" s="1773">
        <v>0</v>
      </c>
      <c r="S45" s="1773">
        <v>0</v>
      </c>
      <c r="T45" s="1773">
        <v>0</v>
      </c>
      <c r="U45" s="1774">
        <f t="shared" si="24"/>
        <v>-212</v>
      </c>
      <c r="V45" s="1772"/>
      <c r="W45" s="1773"/>
      <c r="X45" s="1773"/>
      <c r="Y45" s="1773"/>
      <c r="Z45" s="1773"/>
      <c r="AA45" s="1774">
        <f t="shared" si="25"/>
        <v>0</v>
      </c>
      <c r="AB45" s="1778"/>
      <c r="AC45" s="1779"/>
      <c r="AD45" s="1779"/>
      <c r="AE45" s="1779"/>
      <c r="AF45" s="1779"/>
      <c r="AG45" s="1777">
        <f t="shared" si="26"/>
        <v>0</v>
      </c>
      <c r="AH45" s="1778"/>
      <c r="AI45" s="1779"/>
      <c r="AJ45" s="1779"/>
      <c r="AK45" s="1779"/>
      <c r="AL45" s="1779"/>
      <c r="AM45" s="1774">
        <f t="shared" si="27"/>
        <v>0</v>
      </c>
      <c r="AN45" s="1778"/>
      <c r="AO45" s="1779"/>
      <c r="AP45" s="1779"/>
      <c r="AQ45" s="1779"/>
      <c r="AR45" s="1779"/>
      <c r="AS45" s="1774">
        <f t="shared" si="28"/>
        <v>0</v>
      </c>
      <c r="AT45" s="1778"/>
      <c r="AU45" s="1779"/>
      <c r="AV45" s="1779"/>
      <c r="AW45" s="1779"/>
      <c r="AX45" s="1779"/>
      <c r="AY45" s="1774">
        <f t="shared" si="29"/>
        <v>0</v>
      </c>
    </row>
    <row r="46" spans="1:51" s="772" customFormat="1" x14ac:dyDescent="0.25">
      <c r="A46" s="1766" t="s">
        <v>108</v>
      </c>
      <c r="B46" s="1766" t="s">
        <v>109</v>
      </c>
      <c r="C46" s="1767" t="s">
        <v>266</v>
      </c>
      <c r="D46" s="1768">
        <f t="shared" si="17"/>
        <v>0</v>
      </c>
      <c r="E46" s="1768">
        <f t="shared" si="18"/>
        <v>76166.399999999994</v>
      </c>
      <c r="F46" s="1768">
        <f t="shared" si="19"/>
        <v>19151.599999999999</v>
      </c>
      <c r="G46" s="1769">
        <f t="shared" si="20"/>
        <v>0</v>
      </c>
      <c r="H46" s="1770">
        <f t="shared" si="21"/>
        <v>19151.599999999999</v>
      </c>
      <c r="I46" s="1771">
        <f t="shared" si="22"/>
        <v>95318</v>
      </c>
      <c r="J46" s="1772">
        <v>0</v>
      </c>
      <c r="K46" s="1773">
        <v>76606.399999999994</v>
      </c>
      <c r="L46" s="1773">
        <v>19151.599999999999</v>
      </c>
      <c r="M46" s="1773">
        <v>0</v>
      </c>
      <c r="N46" s="1773">
        <v>0</v>
      </c>
      <c r="O46" s="1774">
        <f t="shared" si="23"/>
        <v>95758</v>
      </c>
      <c r="P46" s="1772"/>
      <c r="Q46" s="1773"/>
      <c r="R46" s="1773"/>
      <c r="S46" s="1773"/>
      <c r="T46" s="1773"/>
      <c r="U46" s="1774">
        <f t="shared" si="24"/>
        <v>0</v>
      </c>
      <c r="V46" s="1772"/>
      <c r="W46" s="1773"/>
      <c r="X46" s="1773"/>
      <c r="Y46" s="1773"/>
      <c r="Z46" s="1773"/>
      <c r="AA46" s="1774">
        <f t="shared" si="25"/>
        <v>0</v>
      </c>
      <c r="AB46" s="1778"/>
      <c r="AC46" s="1779"/>
      <c r="AD46" s="1779"/>
      <c r="AE46" s="1779"/>
      <c r="AF46" s="1779"/>
      <c r="AG46" s="1777">
        <f t="shared" si="26"/>
        <v>0</v>
      </c>
      <c r="AH46" s="1778"/>
      <c r="AI46" s="1779"/>
      <c r="AJ46" s="1779"/>
      <c r="AK46" s="1779"/>
      <c r="AL46" s="1779"/>
      <c r="AM46" s="1774">
        <f t="shared" si="27"/>
        <v>0</v>
      </c>
      <c r="AN46" s="1778">
        <v>0</v>
      </c>
      <c r="AO46" s="1779">
        <v>-440</v>
      </c>
      <c r="AP46" s="1779">
        <v>0</v>
      </c>
      <c r="AQ46" s="1779">
        <v>0</v>
      </c>
      <c r="AR46" s="1779">
        <v>0</v>
      </c>
      <c r="AS46" s="1774">
        <f t="shared" si="28"/>
        <v>-440</v>
      </c>
      <c r="AT46" s="1778"/>
      <c r="AU46" s="1779"/>
      <c r="AV46" s="1779"/>
      <c r="AW46" s="1779"/>
      <c r="AX46" s="1779"/>
      <c r="AY46" s="1774">
        <f t="shared" si="29"/>
        <v>0</v>
      </c>
    </row>
    <row r="47" spans="1:51" s="772" customFormat="1" x14ac:dyDescent="0.25">
      <c r="A47" s="1766" t="s">
        <v>110</v>
      </c>
      <c r="B47" s="1766" t="s">
        <v>111</v>
      </c>
      <c r="C47" s="1767" t="s">
        <v>266</v>
      </c>
      <c r="D47" s="1768">
        <f t="shared" si="17"/>
        <v>755721.39</v>
      </c>
      <c r="E47" s="1768">
        <f t="shared" si="18"/>
        <v>623538.81000000006</v>
      </c>
      <c r="F47" s="1768">
        <f t="shared" si="19"/>
        <v>182621.15</v>
      </c>
      <c r="G47" s="1769">
        <f t="shared" si="20"/>
        <v>-0.04</v>
      </c>
      <c r="H47" s="1770">
        <f t="shared" si="21"/>
        <v>182621.11</v>
      </c>
      <c r="I47" s="1771">
        <f t="shared" si="22"/>
        <v>1561881.31</v>
      </c>
      <c r="J47" s="1772">
        <v>0</v>
      </c>
      <c r="K47" s="1773">
        <v>550768</v>
      </c>
      <c r="L47" s="1773">
        <v>137692</v>
      </c>
      <c r="M47" s="1773">
        <v>0</v>
      </c>
      <c r="N47" s="1773">
        <v>0</v>
      </c>
      <c r="O47" s="1774">
        <f t="shared" si="23"/>
        <v>688460</v>
      </c>
      <c r="P47" s="1772">
        <v>-2130.64</v>
      </c>
      <c r="Q47" s="1773">
        <v>-2047.09</v>
      </c>
      <c r="R47" s="1773">
        <v>0</v>
      </c>
      <c r="S47" s="1773">
        <v>0.01</v>
      </c>
      <c r="T47" s="1773">
        <v>0</v>
      </c>
      <c r="U47" s="1774">
        <f t="shared" si="24"/>
        <v>-4177.7199999999993</v>
      </c>
      <c r="V47" s="1772"/>
      <c r="W47" s="1773"/>
      <c r="X47" s="1773"/>
      <c r="Y47" s="1773"/>
      <c r="Z47" s="1773"/>
      <c r="AA47" s="1774">
        <f t="shared" si="25"/>
        <v>0</v>
      </c>
      <c r="AB47" s="1775">
        <v>0</v>
      </c>
      <c r="AC47" s="1776">
        <v>74881.899999999994</v>
      </c>
      <c r="AD47" s="1776">
        <v>44929.15</v>
      </c>
      <c r="AE47" s="1776">
        <v>-0.05</v>
      </c>
      <c r="AF47" s="1776">
        <v>0</v>
      </c>
      <c r="AG47" s="1777">
        <f t="shared" si="26"/>
        <v>119810.99999999999</v>
      </c>
      <c r="AH47" s="1775">
        <v>46364</v>
      </c>
      <c r="AI47" s="1776">
        <v>0</v>
      </c>
      <c r="AJ47" s="1776">
        <v>0</v>
      </c>
      <c r="AK47" s="1776">
        <v>0</v>
      </c>
      <c r="AL47" s="1776">
        <v>0</v>
      </c>
      <c r="AM47" s="1774">
        <f t="shared" si="27"/>
        <v>46364</v>
      </c>
      <c r="AN47" s="1775">
        <v>0</v>
      </c>
      <c r="AO47" s="1776">
        <v>-64</v>
      </c>
      <c r="AP47" s="1776">
        <v>0</v>
      </c>
      <c r="AQ47" s="1776">
        <v>0</v>
      </c>
      <c r="AR47" s="1776">
        <v>0</v>
      </c>
      <c r="AS47" s="1774">
        <f t="shared" si="28"/>
        <v>-64</v>
      </c>
      <c r="AT47" s="1775">
        <v>711488.03</v>
      </c>
      <c r="AU47" s="1776">
        <v>0</v>
      </c>
      <c r="AV47" s="1776">
        <v>0</v>
      </c>
      <c r="AW47" s="1776">
        <v>0</v>
      </c>
      <c r="AX47" s="1776">
        <v>0</v>
      </c>
      <c r="AY47" s="1774">
        <f t="shared" si="29"/>
        <v>711488.03</v>
      </c>
    </row>
    <row r="48" spans="1:51" s="772" customFormat="1" x14ac:dyDescent="0.25">
      <c r="A48" s="1766" t="s">
        <v>112</v>
      </c>
      <c r="B48" s="1766" t="s">
        <v>300</v>
      </c>
      <c r="C48" s="1767" t="s">
        <v>265</v>
      </c>
      <c r="D48" s="1768">
        <f t="shared" si="17"/>
        <v>-234.46</v>
      </c>
      <c r="E48" s="1768">
        <f t="shared" si="18"/>
        <v>240503.53999999998</v>
      </c>
      <c r="F48" s="1768">
        <f t="shared" si="19"/>
        <v>60182.2</v>
      </c>
      <c r="G48" s="1769">
        <f t="shared" si="20"/>
        <v>0</v>
      </c>
      <c r="H48" s="1770">
        <f t="shared" si="21"/>
        <v>60182.2</v>
      </c>
      <c r="I48" s="1771">
        <f t="shared" si="22"/>
        <v>300451.27999999997</v>
      </c>
      <c r="J48" s="1772">
        <v>0</v>
      </c>
      <c r="K48" s="1773">
        <v>240728.8</v>
      </c>
      <c r="L48" s="1773">
        <v>60182.2</v>
      </c>
      <c r="M48" s="1773">
        <v>0</v>
      </c>
      <c r="N48" s="1773">
        <v>0</v>
      </c>
      <c r="O48" s="1774">
        <f t="shared" si="23"/>
        <v>300911</v>
      </c>
      <c r="P48" s="1772">
        <v>-234.46</v>
      </c>
      <c r="Q48" s="1773">
        <v>-225.26</v>
      </c>
      <c r="R48" s="1773">
        <v>0</v>
      </c>
      <c r="S48" s="1773">
        <v>0</v>
      </c>
      <c r="T48" s="1773">
        <v>0</v>
      </c>
      <c r="U48" s="1774">
        <f t="shared" si="24"/>
        <v>-459.72</v>
      </c>
      <c r="V48" s="1772"/>
      <c r="W48" s="1773"/>
      <c r="X48" s="1773"/>
      <c r="Y48" s="1773"/>
      <c r="Z48" s="1773"/>
      <c r="AA48" s="1774">
        <f t="shared" si="25"/>
        <v>0</v>
      </c>
      <c r="AB48" s="1778"/>
      <c r="AC48" s="1779"/>
      <c r="AD48" s="1779"/>
      <c r="AE48" s="1779"/>
      <c r="AF48" s="1779"/>
      <c r="AG48" s="1777">
        <f t="shared" si="26"/>
        <v>0</v>
      </c>
      <c r="AH48" s="1778"/>
      <c r="AI48" s="1779"/>
      <c r="AJ48" s="1779"/>
      <c r="AK48" s="1779"/>
      <c r="AL48" s="1779"/>
      <c r="AM48" s="1774">
        <f t="shared" si="27"/>
        <v>0</v>
      </c>
      <c r="AN48" s="1778"/>
      <c r="AO48" s="1779"/>
      <c r="AP48" s="1779"/>
      <c r="AQ48" s="1779"/>
      <c r="AR48" s="1779"/>
      <c r="AS48" s="1774">
        <f t="shared" si="28"/>
        <v>0</v>
      </c>
      <c r="AT48" s="1778"/>
      <c r="AU48" s="1779"/>
      <c r="AV48" s="1779"/>
      <c r="AW48" s="1779"/>
      <c r="AX48" s="1779"/>
      <c r="AY48" s="1774">
        <f t="shared" si="29"/>
        <v>0</v>
      </c>
    </row>
    <row r="49" spans="1:51" s="772" customFormat="1" x14ac:dyDescent="0.25">
      <c r="A49" s="1766" t="s">
        <v>114</v>
      </c>
      <c r="B49" s="1766" t="s">
        <v>115</v>
      </c>
      <c r="C49" s="1767" t="s">
        <v>265</v>
      </c>
      <c r="D49" s="1768">
        <f t="shared" si="17"/>
        <v>0</v>
      </c>
      <c r="E49" s="1768">
        <f t="shared" si="18"/>
        <v>11302.4</v>
      </c>
      <c r="F49" s="1768">
        <f t="shared" si="19"/>
        <v>2825.6</v>
      </c>
      <c r="G49" s="1769">
        <f t="shared" si="20"/>
        <v>0</v>
      </c>
      <c r="H49" s="1770">
        <f t="shared" si="21"/>
        <v>2825.6</v>
      </c>
      <c r="I49" s="1771">
        <f t="shared" si="22"/>
        <v>14128</v>
      </c>
      <c r="J49" s="1772">
        <v>0</v>
      </c>
      <c r="K49" s="1773">
        <v>11302.4</v>
      </c>
      <c r="L49" s="1773">
        <v>2825.6</v>
      </c>
      <c r="M49" s="1773">
        <v>0</v>
      </c>
      <c r="N49" s="1773">
        <v>0</v>
      </c>
      <c r="O49" s="1774">
        <f t="shared" si="23"/>
        <v>14128</v>
      </c>
      <c r="P49" s="1772"/>
      <c r="Q49" s="1773"/>
      <c r="R49" s="1773"/>
      <c r="S49" s="1773"/>
      <c r="T49" s="1773"/>
      <c r="U49" s="1774">
        <f t="shared" si="24"/>
        <v>0</v>
      </c>
      <c r="V49" s="1772"/>
      <c r="W49" s="1773"/>
      <c r="X49" s="1773"/>
      <c r="Y49" s="1773"/>
      <c r="Z49" s="1773"/>
      <c r="AA49" s="1774">
        <f t="shared" si="25"/>
        <v>0</v>
      </c>
      <c r="AB49" s="1778"/>
      <c r="AC49" s="1779"/>
      <c r="AD49" s="1779"/>
      <c r="AE49" s="1779"/>
      <c r="AF49" s="1779"/>
      <c r="AG49" s="1777">
        <f t="shared" si="26"/>
        <v>0</v>
      </c>
      <c r="AH49" s="1778"/>
      <c r="AI49" s="1779"/>
      <c r="AJ49" s="1779"/>
      <c r="AK49" s="1779"/>
      <c r="AL49" s="1779"/>
      <c r="AM49" s="1774">
        <f t="shared" si="27"/>
        <v>0</v>
      </c>
      <c r="AN49" s="1778"/>
      <c r="AO49" s="1779"/>
      <c r="AP49" s="1779"/>
      <c r="AQ49" s="1779"/>
      <c r="AR49" s="1779"/>
      <c r="AS49" s="1774">
        <f t="shared" si="28"/>
        <v>0</v>
      </c>
      <c r="AT49" s="1778"/>
      <c r="AU49" s="1779"/>
      <c r="AV49" s="1779"/>
      <c r="AW49" s="1779"/>
      <c r="AX49" s="1779"/>
      <c r="AY49" s="1774">
        <f t="shared" si="29"/>
        <v>0</v>
      </c>
    </row>
    <row r="50" spans="1:51" s="772" customFormat="1" x14ac:dyDescent="0.25">
      <c r="A50" s="1766" t="s">
        <v>118</v>
      </c>
      <c r="B50" s="1766" t="s">
        <v>119</v>
      </c>
      <c r="C50" s="1767" t="s">
        <v>264</v>
      </c>
      <c r="D50" s="1768">
        <f t="shared" si="17"/>
        <v>-771.02</v>
      </c>
      <c r="E50" s="1768">
        <f t="shared" si="18"/>
        <v>58259.33</v>
      </c>
      <c r="F50" s="1768">
        <f t="shared" si="19"/>
        <v>15636.84</v>
      </c>
      <c r="G50" s="1769">
        <f t="shared" si="20"/>
        <v>510.08</v>
      </c>
      <c r="H50" s="1770">
        <f t="shared" si="21"/>
        <v>16146.92</v>
      </c>
      <c r="I50" s="1771">
        <f t="shared" si="22"/>
        <v>73635.23000000001</v>
      </c>
      <c r="J50" s="1772">
        <v>0</v>
      </c>
      <c r="K50" s="1773">
        <v>56466.37</v>
      </c>
      <c r="L50" s="1773">
        <v>14116.59</v>
      </c>
      <c r="M50" s="1773">
        <v>0</v>
      </c>
      <c r="N50" s="1773">
        <v>0</v>
      </c>
      <c r="O50" s="1774">
        <f t="shared" si="23"/>
        <v>70582.960000000006</v>
      </c>
      <c r="P50" s="1772">
        <v>-771.02</v>
      </c>
      <c r="Q50" s="1773">
        <v>-740.79</v>
      </c>
      <c r="R50" s="1773">
        <v>0</v>
      </c>
      <c r="S50" s="1773">
        <v>510.08</v>
      </c>
      <c r="T50" s="1773">
        <v>0</v>
      </c>
      <c r="U50" s="1774">
        <f t="shared" si="24"/>
        <v>-1001.73</v>
      </c>
      <c r="V50" s="1772"/>
      <c r="W50" s="1773"/>
      <c r="X50" s="1773"/>
      <c r="Y50" s="1773"/>
      <c r="Z50" s="1773"/>
      <c r="AA50" s="1774">
        <f t="shared" si="25"/>
        <v>0</v>
      </c>
      <c r="AB50" s="1775">
        <v>0</v>
      </c>
      <c r="AC50" s="1776">
        <v>2533.75</v>
      </c>
      <c r="AD50" s="1776">
        <v>1520.25</v>
      </c>
      <c r="AE50" s="1776">
        <v>0</v>
      </c>
      <c r="AF50" s="1776">
        <v>0</v>
      </c>
      <c r="AG50" s="1777">
        <f t="shared" si="26"/>
        <v>4054</v>
      </c>
      <c r="AH50" s="1778"/>
      <c r="AI50" s="1779"/>
      <c r="AJ50" s="1779"/>
      <c r="AK50" s="1779"/>
      <c r="AL50" s="1779"/>
      <c r="AM50" s="1774">
        <f t="shared" si="27"/>
        <v>0</v>
      </c>
      <c r="AN50" s="1778"/>
      <c r="AO50" s="1779"/>
      <c r="AP50" s="1779"/>
      <c r="AQ50" s="1779"/>
      <c r="AR50" s="1779"/>
      <c r="AS50" s="1774">
        <f t="shared" si="28"/>
        <v>0</v>
      </c>
      <c r="AT50" s="1778"/>
      <c r="AU50" s="1779"/>
      <c r="AV50" s="1779"/>
      <c r="AW50" s="1779"/>
      <c r="AX50" s="1779"/>
      <c r="AY50" s="1774">
        <f t="shared" si="29"/>
        <v>0</v>
      </c>
    </row>
    <row r="51" spans="1:51" s="772" customFormat="1" x14ac:dyDescent="0.25">
      <c r="A51" s="1766" t="s">
        <v>120</v>
      </c>
      <c r="B51" s="1766" t="s">
        <v>121</v>
      </c>
      <c r="C51" s="1767" t="s">
        <v>264</v>
      </c>
      <c r="D51" s="1768">
        <f t="shared" si="17"/>
        <v>-58.42</v>
      </c>
      <c r="E51" s="1768">
        <f t="shared" si="18"/>
        <v>97698.819999999992</v>
      </c>
      <c r="F51" s="1768">
        <f t="shared" si="19"/>
        <v>26158.16</v>
      </c>
      <c r="G51" s="1769">
        <f t="shared" si="20"/>
        <v>779.93999999999994</v>
      </c>
      <c r="H51" s="1770">
        <f t="shared" si="21"/>
        <v>26938.1</v>
      </c>
      <c r="I51" s="1771">
        <f t="shared" si="22"/>
        <v>124578.5</v>
      </c>
      <c r="J51" s="1772">
        <v>0</v>
      </c>
      <c r="K51" s="1773">
        <v>92842.4</v>
      </c>
      <c r="L51" s="1773">
        <v>23210.6</v>
      </c>
      <c r="M51" s="1773">
        <v>0</v>
      </c>
      <c r="N51" s="1773">
        <v>0</v>
      </c>
      <c r="O51" s="1774">
        <f t="shared" si="23"/>
        <v>116053</v>
      </c>
      <c r="P51" s="1772">
        <v>-58.42</v>
      </c>
      <c r="Q51" s="1773">
        <v>-56.13</v>
      </c>
      <c r="R51" s="1773">
        <v>0</v>
      </c>
      <c r="S51" s="1773">
        <v>0.05</v>
      </c>
      <c r="T51" s="1773">
        <v>0</v>
      </c>
      <c r="U51" s="1774">
        <f t="shared" si="24"/>
        <v>-114.50000000000001</v>
      </c>
      <c r="V51" s="1772"/>
      <c r="W51" s="1773"/>
      <c r="X51" s="1773"/>
      <c r="Y51" s="1773"/>
      <c r="Z51" s="1773"/>
      <c r="AA51" s="1774">
        <f t="shared" si="25"/>
        <v>0</v>
      </c>
      <c r="AB51" s="1775">
        <v>0</v>
      </c>
      <c r="AC51" s="1776">
        <v>4912.55</v>
      </c>
      <c r="AD51" s="1776">
        <v>2947.56</v>
      </c>
      <c r="AE51" s="1776">
        <v>779.89</v>
      </c>
      <c r="AF51" s="1776">
        <v>0</v>
      </c>
      <c r="AG51" s="1777">
        <f t="shared" si="26"/>
        <v>8640</v>
      </c>
      <c r="AH51" s="1778"/>
      <c r="AI51" s="1779"/>
      <c r="AJ51" s="1779"/>
      <c r="AK51" s="1779"/>
      <c r="AL51" s="1779"/>
      <c r="AM51" s="1774">
        <f t="shared" si="27"/>
        <v>0</v>
      </c>
      <c r="AN51" s="1778"/>
      <c r="AO51" s="1779"/>
      <c r="AP51" s="1779"/>
      <c r="AQ51" s="1779"/>
      <c r="AR51" s="1779"/>
      <c r="AS51" s="1774">
        <f t="shared" si="28"/>
        <v>0</v>
      </c>
      <c r="AT51" s="1778"/>
      <c r="AU51" s="1779"/>
      <c r="AV51" s="1779"/>
      <c r="AW51" s="1779"/>
      <c r="AX51" s="1779"/>
      <c r="AY51" s="1774">
        <f t="shared" si="29"/>
        <v>0</v>
      </c>
    </row>
    <row r="52" spans="1:51" s="772" customFormat="1" x14ac:dyDescent="0.25">
      <c r="A52" s="1766" t="s">
        <v>122</v>
      </c>
      <c r="B52" s="1766" t="s">
        <v>271</v>
      </c>
      <c r="C52" s="1767" t="s">
        <v>266</v>
      </c>
      <c r="D52" s="1768">
        <f t="shared" si="17"/>
        <v>0</v>
      </c>
      <c r="E52" s="1768">
        <f t="shared" si="18"/>
        <v>10905.6</v>
      </c>
      <c r="F52" s="1768">
        <f t="shared" si="19"/>
        <v>2726.4</v>
      </c>
      <c r="G52" s="1769">
        <f t="shared" si="20"/>
        <v>0</v>
      </c>
      <c r="H52" s="1770">
        <f t="shared" si="21"/>
        <v>2726.4</v>
      </c>
      <c r="I52" s="1771">
        <f t="shared" si="22"/>
        <v>13632</v>
      </c>
      <c r="J52" s="1772">
        <v>0</v>
      </c>
      <c r="K52" s="1773">
        <v>10905.6</v>
      </c>
      <c r="L52" s="1773">
        <v>2726.4</v>
      </c>
      <c r="M52" s="1773">
        <v>0</v>
      </c>
      <c r="N52" s="1773">
        <v>0</v>
      </c>
      <c r="O52" s="1774">
        <f t="shared" si="23"/>
        <v>13632</v>
      </c>
      <c r="P52" s="1772"/>
      <c r="Q52" s="1773"/>
      <c r="R52" s="1773"/>
      <c r="S52" s="1773"/>
      <c r="T52" s="1773"/>
      <c r="U52" s="1774">
        <f t="shared" si="24"/>
        <v>0</v>
      </c>
      <c r="V52" s="1772"/>
      <c r="W52" s="1773"/>
      <c r="X52" s="1773"/>
      <c r="Y52" s="1773"/>
      <c r="Z52" s="1773"/>
      <c r="AA52" s="1774">
        <f t="shared" si="25"/>
        <v>0</v>
      </c>
      <c r="AB52" s="1775"/>
      <c r="AC52" s="1776"/>
      <c r="AD52" s="1776"/>
      <c r="AE52" s="1776"/>
      <c r="AF52" s="1776"/>
      <c r="AG52" s="1777">
        <f t="shared" si="26"/>
        <v>0</v>
      </c>
      <c r="AH52" s="1778"/>
      <c r="AI52" s="1779"/>
      <c r="AJ52" s="1779"/>
      <c r="AK52" s="1779"/>
      <c r="AL52" s="1779"/>
      <c r="AM52" s="1774">
        <f t="shared" si="27"/>
        <v>0</v>
      </c>
      <c r="AN52" s="1778"/>
      <c r="AO52" s="1779"/>
      <c r="AP52" s="1779"/>
      <c r="AQ52" s="1779"/>
      <c r="AR52" s="1779"/>
      <c r="AS52" s="1774">
        <f t="shared" si="28"/>
        <v>0</v>
      </c>
      <c r="AT52" s="1778"/>
      <c r="AU52" s="1779"/>
      <c r="AV52" s="1779"/>
      <c r="AW52" s="1779"/>
      <c r="AX52" s="1779"/>
      <c r="AY52" s="1774">
        <f t="shared" si="29"/>
        <v>0</v>
      </c>
    </row>
    <row r="53" spans="1:51" s="772" customFormat="1" x14ac:dyDescent="0.25">
      <c r="A53" s="1766" t="s">
        <v>124</v>
      </c>
      <c r="B53" s="1766" t="s">
        <v>125</v>
      </c>
      <c r="C53" s="1767" t="s">
        <v>267</v>
      </c>
      <c r="D53" s="1768">
        <f t="shared" si="17"/>
        <v>0</v>
      </c>
      <c r="E53" s="1768">
        <f t="shared" si="18"/>
        <v>6412.8</v>
      </c>
      <c r="F53" s="1768">
        <f t="shared" si="19"/>
        <v>1603.2</v>
      </c>
      <c r="G53" s="1769">
        <f t="shared" si="20"/>
        <v>0</v>
      </c>
      <c r="H53" s="1770">
        <f t="shared" si="21"/>
        <v>1603.2</v>
      </c>
      <c r="I53" s="1771">
        <f t="shared" si="22"/>
        <v>8016</v>
      </c>
      <c r="J53" s="1772">
        <v>0</v>
      </c>
      <c r="K53" s="1773">
        <v>6412.8</v>
      </c>
      <c r="L53" s="1773">
        <v>1603.2</v>
      </c>
      <c r="M53" s="1773">
        <v>0</v>
      </c>
      <c r="N53" s="1773">
        <v>0</v>
      </c>
      <c r="O53" s="1774">
        <f t="shared" si="23"/>
        <v>8016</v>
      </c>
      <c r="P53" s="1772"/>
      <c r="Q53" s="1773"/>
      <c r="R53" s="1773"/>
      <c r="S53" s="1773"/>
      <c r="T53" s="1773"/>
      <c r="U53" s="1774">
        <f t="shared" si="24"/>
        <v>0</v>
      </c>
      <c r="V53" s="1772"/>
      <c r="W53" s="1773"/>
      <c r="X53" s="1773"/>
      <c r="Y53" s="1773"/>
      <c r="Z53" s="1773"/>
      <c r="AA53" s="1774">
        <f t="shared" si="25"/>
        <v>0</v>
      </c>
      <c r="AB53" s="1778"/>
      <c r="AC53" s="1779"/>
      <c r="AD53" s="1779"/>
      <c r="AE53" s="1779"/>
      <c r="AF53" s="1779"/>
      <c r="AG53" s="1777">
        <f t="shared" si="26"/>
        <v>0</v>
      </c>
      <c r="AH53" s="1778"/>
      <c r="AI53" s="1779"/>
      <c r="AJ53" s="1779"/>
      <c r="AK53" s="1779"/>
      <c r="AL53" s="1779"/>
      <c r="AM53" s="1774">
        <f t="shared" si="27"/>
        <v>0</v>
      </c>
      <c r="AN53" s="1778"/>
      <c r="AO53" s="1779"/>
      <c r="AP53" s="1779"/>
      <c r="AQ53" s="1779"/>
      <c r="AR53" s="1779"/>
      <c r="AS53" s="1774">
        <f t="shared" si="28"/>
        <v>0</v>
      </c>
      <c r="AT53" s="1778"/>
      <c r="AU53" s="1779"/>
      <c r="AV53" s="1779"/>
      <c r="AW53" s="1779"/>
      <c r="AX53" s="1779"/>
      <c r="AY53" s="1774">
        <f t="shared" si="29"/>
        <v>0</v>
      </c>
    </row>
    <row r="54" spans="1:51" s="772" customFormat="1" x14ac:dyDescent="0.25">
      <c r="A54" s="1766" t="s">
        <v>126</v>
      </c>
      <c r="B54" s="1766" t="s">
        <v>127</v>
      </c>
      <c r="C54" s="1767" t="s">
        <v>266</v>
      </c>
      <c r="D54" s="1768">
        <f t="shared" si="17"/>
        <v>0</v>
      </c>
      <c r="E54" s="1768">
        <f t="shared" si="18"/>
        <v>35653.07</v>
      </c>
      <c r="F54" s="1768">
        <f t="shared" si="19"/>
        <v>9309.0300000000007</v>
      </c>
      <c r="G54" s="1769">
        <f t="shared" si="20"/>
        <v>-0.1</v>
      </c>
      <c r="H54" s="1770">
        <f t="shared" si="21"/>
        <v>9308.93</v>
      </c>
      <c r="I54" s="1771">
        <f t="shared" si="22"/>
        <v>44962</v>
      </c>
      <c r="J54" s="1772">
        <v>0</v>
      </c>
      <c r="K54" s="1773">
        <v>34522.400000000001</v>
      </c>
      <c r="L54" s="1773">
        <v>8630.6</v>
      </c>
      <c r="M54" s="1773">
        <v>0</v>
      </c>
      <c r="N54" s="1773">
        <v>0</v>
      </c>
      <c r="O54" s="1774">
        <f t="shared" si="23"/>
        <v>43153</v>
      </c>
      <c r="P54" s="1772"/>
      <c r="Q54" s="1773"/>
      <c r="R54" s="1773"/>
      <c r="S54" s="1773"/>
      <c r="T54" s="1773"/>
      <c r="U54" s="1774">
        <f t="shared" si="24"/>
        <v>0</v>
      </c>
      <c r="V54" s="1772"/>
      <c r="W54" s="1773"/>
      <c r="X54" s="1773"/>
      <c r="Y54" s="1773"/>
      <c r="Z54" s="1773"/>
      <c r="AA54" s="1774">
        <f t="shared" si="25"/>
        <v>0</v>
      </c>
      <c r="AB54" s="1778">
        <v>0</v>
      </c>
      <c r="AC54" s="1779">
        <v>1130.67</v>
      </c>
      <c r="AD54" s="1779">
        <v>678.43</v>
      </c>
      <c r="AE54" s="1779">
        <v>-0.1</v>
      </c>
      <c r="AF54" s="1779">
        <v>0</v>
      </c>
      <c r="AG54" s="1777">
        <f t="shared" si="26"/>
        <v>1809</v>
      </c>
      <c r="AH54" s="1778"/>
      <c r="AI54" s="1779"/>
      <c r="AJ54" s="1779"/>
      <c r="AK54" s="1779"/>
      <c r="AL54" s="1779"/>
      <c r="AM54" s="1774">
        <f t="shared" si="27"/>
        <v>0</v>
      </c>
      <c r="AN54" s="1778"/>
      <c r="AO54" s="1779"/>
      <c r="AP54" s="1779"/>
      <c r="AQ54" s="1779"/>
      <c r="AR54" s="1779"/>
      <c r="AS54" s="1774">
        <f t="shared" si="28"/>
        <v>0</v>
      </c>
      <c r="AT54" s="1778"/>
      <c r="AU54" s="1779"/>
      <c r="AV54" s="1779"/>
      <c r="AW54" s="1779"/>
      <c r="AX54" s="1779"/>
      <c r="AY54" s="1774">
        <f t="shared" si="29"/>
        <v>0</v>
      </c>
    </row>
    <row r="55" spans="1:51" s="772" customFormat="1" x14ac:dyDescent="0.25">
      <c r="A55" s="1766" t="s">
        <v>128</v>
      </c>
      <c r="B55" s="1766" t="s">
        <v>129</v>
      </c>
      <c r="C55" s="1767" t="s">
        <v>266</v>
      </c>
      <c r="D55" s="1768">
        <f t="shared" si="17"/>
        <v>-421.8</v>
      </c>
      <c r="E55" s="1768">
        <f t="shared" si="18"/>
        <v>33164.35</v>
      </c>
      <c r="F55" s="1768">
        <f t="shared" si="19"/>
        <v>8392.4</v>
      </c>
      <c r="G55" s="1769">
        <f t="shared" si="20"/>
        <v>0</v>
      </c>
      <c r="H55" s="1770">
        <f t="shared" si="21"/>
        <v>8392.4</v>
      </c>
      <c r="I55" s="1771">
        <f t="shared" si="22"/>
        <v>41134.949999999997</v>
      </c>
      <c r="J55" s="1772">
        <v>0</v>
      </c>
      <c r="K55" s="1773">
        <v>33569.599999999999</v>
      </c>
      <c r="L55" s="1773">
        <v>8392.4</v>
      </c>
      <c r="M55" s="1773">
        <v>0</v>
      </c>
      <c r="N55" s="1773">
        <v>0</v>
      </c>
      <c r="O55" s="1774">
        <f t="shared" si="23"/>
        <v>41962</v>
      </c>
      <c r="P55" s="1772">
        <v>-421.8</v>
      </c>
      <c r="Q55" s="1773">
        <v>-405.25</v>
      </c>
      <c r="R55" s="1773">
        <v>0</v>
      </c>
      <c r="S55" s="1773">
        <v>0</v>
      </c>
      <c r="T55" s="1773">
        <v>0</v>
      </c>
      <c r="U55" s="1774">
        <f t="shared" si="24"/>
        <v>-827.05</v>
      </c>
      <c r="V55" s="1772"/>
      <c r="W55" s="1773"/>
      <c r="X55" s="1773"/>
      <c r="Y55" s="1773"/>
      <c r="Z55" s="1773"/>
      <c r="AA55" s="1774">
        <f t="shared" si="25"/>
        <v>0</v>
      </c>
      <c r="AB55" s="1778"/>
      <c r="AC55" s="1779"/>
      <c r="AD55" s="1779"/>
      <c r="AE55" s="1779"/>
      <c r="AF55" s="1779"/>
      <c r="AG55" s="1777">
        <f t="shared" si="26"/>
        <v>0</v>
      </c>
      <c r="AH55" s="1778"/>
      <c r="AI55" s="1779"/>
      <c r="AJ55" s="1779"/>
      <c r="AK55" s="1779"/>
      <c r="AL55" s="1779"/>
      <c r="AM55" s="1774">
        <f t="shared" si="27"/>
        <v>0</v>
      </c>
      <c r="AN55" s="1778"/>
      <c r="AO55" s="1779"/>
      <c r="AP55" s="1779"/>
      <c r="AQ55" s="1779"/>
      <c r="AR55" s="1779"/>
      <c r="AS55" s="1774">
        <f t="shared" si="28"/>
        <v>0</v>
      </c>
      <c r="AT55" s="1778"/>
      <c r="AU55" s="1779"/>
      <c r="AV55" s="1779"/>
      <c r="AW55" s="1779"/>
      <c r="AX55" s="1779"/>
      <c r="AY55" s="1774">
        <f t="shared" si="29"/>
        <v>0</v>
      </c>
    </row>
    <row r="56" spans="1:51" s="772" customFormat="1" x14ac:dyDescent="0.25">
      <c r="A56" s="1766" t="s">
        <v>130</v>
      </c>
      <c r="B56" s="1766" t="s">
        <v>131</v>
      </c>
      <c r="C56" s="1767" t="s">
        <v>268</v>
      </c>
      <c r="D56" s="1768">
        <f t="shared" si="17"/>
        <v>-43.59</v>
      </c>
      <c r="E56" s="1768">
        <f t="shared" si="18"/>
        <v>406522.12</v>
      </c>
      <c r="F56" s="1768">
        <f t="shared" si="19"/>
        <v>101641</v>
      </c>
      <c r="G56" s="1769">
        <f t="shared" si="20"/>
        <v>0</v>
      </c>
      <c r="H56" s="1770">
        <f t="shared" si="21"/>
        <v>101641</v>
      </c>
      <c r="I56" s="1771">
        <f t="shared" si="22"/>
        <v>508119.52999999997</v>
      </c>
      <c r="J56" s="1772">
        <v>0</v>
      </c>
      <c r="K56" s="1773">
        <v>406564</v>
      </c>
      <c r="L56" s="1773">
        <v>101641</v>
      </c>
      <c r="M56" s="1773">
        <v>0</v>
      </c>
      <c r="N56" s="1773">
        <v>0</v>
      </c>
      <c r="O56" s="1774">
        <f t="shared" si="23"/>
        <v>508205</v>
      </c>
      <c r="P56" s="1772">
        <v>-43.59</v>
      </c>
      <c r="Q56" s="1773">
        <v>-41.88</v>
      </c>
      <c r="R56" s="1773">
        <v>0</v>
      </c>
      <c r="S56" s="1773">
        <v>0</v>
      </c>
      <c r="T56" s="1773">
        <v>0</v>
      </c>
      <c r="U56" s="1774">
        <f t="shared" si="24"/>
        <v>-85.47</v>
      </c>
      <c r="V56" s="1772"/>
      <c r="W56" s="1773"/>
      <c r="X56" s="1773"/>
      <c r="Y56" s="1773"/>
      <c r="Z56" s="1773"/>
      <c r="AA56" s="1774">
        <f t="shared" si="25"/>
        <v>0</v>
      </c>
      <c r="AB56" s="1778"/>
      <c r="AC56" s="1779"/>
      <c r="AD56" s="1779"/>
      <c r="AE56" s="1779"/>
      <c r="AF56" s="1779"/>
      <c r="AG56" s="1777">
        <f t="shared" si="26"/>
        <v>0</v>
      </c>
      <c r="AH56" s="1778"/>
      <c r="AI56" s="1779"/>
      <c r="AJ56" s="1779"/>
      <c r="AK56" s="1779"/>
      <c r="AL56" s="1779"/>
      <c r="AM56" s="1774">
        <f t="shared" si="27"/>
        <v>0</v>
      </c>
      <c r="AN56" s="1778"/>
      <c r="AO56" s="1779"/>
      <c r="AP56" s="1779"/>
      <c r="AQ56" s="1779"/>
      <c r="AR56" s="1779"/>
      <c r="AS56" s="1774">
        <f t="shared" si="28"/>
        <v>0</v>
      </c>
      <c r="AT56" s="1778"/>
      <c r="AU56" s="1779"/>
      <c r="AV56" s="1779"/>
      <c r="AW56" s="1779"/>
      <c r="AX56" s="1779"/>
      <c r="AY56" s="1774">
        <f t="shared" si="29"/>
        <v>0</v>
      </c>
    </row>
    <row r="57" spans="1:51" s="772" customFormat="1" x14ac:dyDescent="0.25">
      <c r="A57" s="1766" t="s">
        <v>132</v>
      </c>
      <c r="B57" s="1766" t="s">
        <v>133</v>
      </c>
      <c r="C57" s="1767" t="s">
        <v>267</v>
      </c>
      <c r="D57" s="1768">
        <f t="shared" si="17"/>
        <v>44811.81</v>
      </c>
      <c r="E57" s="1768">
        <f t="shared" si="18"/>
        <v>108003.59</v>
      </c>
      <c r="F57" s="1768">
        <f t="shared" si="19"/>
        <v>27535.599999999999</v>
      </c>
      <c r="G57" s="1769">
        <f t="shared" si="20"/>
        <v>2205</v>
      </c>
      <c r="H57" s="1770">
        <f t="shared" si="21"/>
        <v>29740.6</v>
      </c>
      <c r="I57" s="1771">
        <f t="shared" si="22"/>
        <v>182556</v>
      </c>
      <c r="J57" s="1772">
        <v>0</v>
      </c>
      <c r="K57" s="1773">
        <v>110142.39999999999</v>
      </c>
      <c r="L57" s="1773">
        <v>27535.599999999999</v>
      </c>
      <c r="M57" s="1773">
        <v>0</v>
      </c>
      <c r="N57" s="1773">
        <v>0</v>
      </c>
      <c r="O57" s="1774">
        <f t="shared" si="23"/>
        <v>137678</v>
      </c>
      <c r="P57" s="1772">
        <v>-137.19</v>
      </c>
      <c r="Q57" s="1773">
        <v>-131.81</v>
      </c>
      <c r="R57" s="1773">
        <v>0</v>
      </c>
      <c r="S57" s="1773">
        <v>269</v>
      </c>
      <c r="T57" s="1773">
        <v>0</v>
      </c>
      <c r="U57" s="1774">
        <f t="shared" si="24"/>
        <v>0</v>
      </c>
      <c r="V57" s="1772"/>
      <c r="W57" s="1773"/>
      <c r="X57" s="1773"/>
      <c r="Y57" s="1773"/>
      <c r="Z57" s="1773"/>
      <c r="AA57" s="1774">
        <f t="shared" si="25"/>
        <v>0</v>
      </c>
      <c r="AB57" s="1775"/>
      <c r="AC57" s="1776"/>
      <c r="AD57" s="1776"/>
      <c r="AE57" s="1776"/>
      <c r="AF57" s="1776"/>
      <c r="AG57" s="1777">
        <f t="shared" si="26"/>
        <v>0</v>
      </c>
      <c r="AH57" s="1775">
        <v>44949</v>
      </c>
      <c r="AI57" s="1776">
        <v>0</v>
      </c>
      <c r="AJ57" s="1776">
        <v>0</v>
      </c>
      <c r="AK57" s="1776">
        <v>0</v>
      </c>
      <c r="AL57" s="1776">
        <v>0</v>
      </c>
      <c r="AM57" s="1774">
        <f t="shared" si="27"/>
        <v>44949</v>
      </c>
      <c r="AN57" s="1775">
        <v>0</v>
      </c>
      <c r="AO57" s="1776">
        <v>-2007</v>
      </c>
      <c r="AP57" s="1776">
        <v>0</v>
      </c>
      <c r="AQ57" s="1776">
        <v>1936</v>
      </c>
      <c r="AR57" s="1776">
        <v>0</v>
      </c>
      <c r="AS57" s="1774">
        <f t="shared" si="28"/>
        <v>-71</v>
      </c>
      <c r="AT57" s="1775"/>
      <c r="AU57" s="1776"/>
      <c r="AV57" s="1776"/>
      <c r="AW57" s="1776"/>
      <c r="AX57" s="1776"/>
      <c r="AY57" s="1774">
        <f t="shared" si="29"/>
        <v>0</v>
      </c>
    </row>
    <row r="58" spans="1:51" s="772" customFormat="1" x14ac:dyDescent="0.25">
      <c r="A58" s="1766" t="s">
        <v>134</v>
      </c>
      <c r="B58" s="1766" t="s">
        <v>135</v>
      </c>
      <c r="C58" s="1767" t="s">
        <v>267</v>
      </c>
      <c r="D58" s="1768">
        <f t="shared" si="17"/>
        <v>-561.21</v>
      </c>
      <c r="E58" s="1768">
        <f t="shared" si="18"/>
        <v>51592.009999999995</v>
      </c>
      <c r="F58" s="1768">
        <f t="shared" si="19"/>
        <v>13032.8</v>
      </c>
      <c r="G58" s="1769">
        <f t="shared" si="20"/>
        <v>0.02</v>
      </c>
      <c r="H58" s="1770">
        <f t="shared" si="21"/>
        <v>13032.82</v>
      </c>
      <c r="I58" s="1771">
        <f t="shared" si="22"/>
        <v>64063.619999999988</v>
      </c>
      <c r="J58" s="1772">
        <v>0</v>
      </c>
      <c r="K58" s="1773">
        <v>52131.199999999997</v>
      </c>
      <c r="L58" s="1773">
        <v>13032.8</v>
      </c>
      <c r="M58" s="1773">
        <v>0</v>
      </c>
      <c r="N58" s="1773">
        <v>0</v>
      </c>
      <c r="O58" s="1774">
        <f t="shared" si="23"/>
        <v>65164</v>
      </c>
      <c r="P58" s="1772">
        <v>-561.21</v>
      </c>
      <c r="Q58" s="1773">
        <v>-539.19000000000005</v>
      </c>
      <c r="R58" s="1773">
        <v>0</v>
      </c>
      <c r="S58" s="1773">
        <v>0.02</v>
      </c>
      <c r="T58" s="1773">
        <v>0</v>
      </c>
      <c r="U58" s="1774">
        <f t="shared" si="24"/>
        <v>-1100.3800000000001</v>
      </c>
      <c r="V58" s="1772"/>
      <c r="W58" s="1773"/>
      <c r="X58" s="1773"/>
      <c r="Y58" s="1773"/>
      <c r="Z58" s="1773"/>
      <c r="AA58" s="1774">
        <f t="shared" si="25"/>
        <v>0</v>
      </c>
      <c r="AB58" s="1778"/>
      <c r="AC58" s="1779"/>
      <c r="AD58" s="1779"/>
      <c r="AE58" s="1779"/>
      <c r="AF58" s="1779"/>
      <c r="AG58" s="1777">
        <f t="shared" si="26"/>
        <v>0</v>
      </c>
      <c r="AH58" s="1778"/>
      <c r="AI58" s="1779"/>
      <c r="AJ58" s="1779"/>
      <c r="AK58" s="1779"/>
      <c r="AL58" s="1779"/>
      <c r="AM58" s="1774">
        <f t="shared" si="27"/>
        <v>0</v>
      </c>
      <c r="AN58" s="1778"/>
      <c r="AO58" s="1779"/>
      <c r="AP58" s="1779"/>
      <c r="AQ58" s="1779"/>
      <c r="AR58" s="1779"/>
      <c r="AS58" s="1774">
        <f t="shared" si="28"/>
        <v>0</v>
      </c>
      <c r="AT58" s="1778"/>
      <c r="AU58" s="1779"/>
      <c r="AV58" s="1779"/>
      <c r="AW58" s="1779"/>
      <c r="AX58" s="1779"/>
      <c r="AY58" s="1774">
        <f t="shared" si="29"/>
        <v>0</v>
      </c>
    </row>
    <row r="59" spans="1:51" s="772" customFormat="1" x14ac:dyDescent="0.25">
      <c r="A59" s="1766" t="s">
        <v>136</v>
      </c>
      <c r="B59" s="1766" t="s">
        <v>137</v>
      </c>
      <c r="C59" s="1767" t="s">
        <v>266</v>
      </c>
      <c r="D59" s="1768">
        <f t="shared" si="17"/>
        <v>0</v>
      </c>
      <c r="E59" s="1768">
        <f t="shared" si="18"/>
        <v>85815.2</v>
      </c>
      <c r="F59" s="1768">
        <f t="shared" si="19"/>
        <v>21453.8</v>
      </c>
      <c r="G59" s="1769">
        <f t="shared" si="20"/>
        <v>0</v>
      </c>
      <c r="H59" s="1770">
        <f t="shared" si="21"/>
        <v>21453.8</v>
      </c>
      <c r="I59" s="1771">
        <f t="shared" si="22"/>
        <v>107269</v>
      </c>
      <c r="J59" s="1772">
        <v>0</v>
      </c>
      <c r="K59" s="1773">
        <v>85815.2</v>
      </c>
      <c r="L59" s="1773">
        <v>21453.8</v>
      </c>
      <c r="M59" s="1773">
        <v>0</v>
      </c>
      <c r="N59" s="1773">
        <v>0</v>
      </c>
      <c r="O59" s="1774">
        <f t="shared" si="23"/>
        <v>107269</v>
      </c>
      <c r="P59" s="1772"/>
      <c r="Q59" s="1773"/>
      <c r="R59" s="1773"/>
      <c r="S59" s="1773"/>
      <c r="T59" s="1773"/>
      <c r="U59" s="1774">
        <f t="shared" si="24"/>
        <v>0</v>
      </c>
      <c r="V59" s="1772"/>
      <c r="W59" s="1773"/>
      <c r="X59" s="1773"/>
      <c r="Y59" s="1773"/>
      <c r="Z59" s="1773"/>
      <c r="AA59" s="1774">
        <f t="shared" si="25"/>
        <v>0</v>
      </c>
      <c r="AB59" s="1778"/>
      <c r="AC59" s="1779"/>
      <c r="AD59" s="1779"/>
      <c r="AE59" s="1779"/>
      <c r="AF59" s="1779"/>
      <c r="AG59" s="1777">
        <f t="shared" si="26"/>
        <v>0</v>
      </c>
      <c r="AH59" s="1778"/>
      <c r="AI59" s="1779"/>
      <c r="AJ59" s="1779"/>
      <c r="AK59" s="1779"/>
      <c r="AL59" s="1779"/>
      <c r="AM59" s="1774">
        <f t="shared" si="27"/>
        <v>0</v>
      </c>
      <c r="AN59" s="1778"/>
      <c r="AO59" s="1779"/>
      <c r="AP59" s="1779"/>
      <c r="AQ59" s="1779"/>
      <c r="AR59" s="1779"/>
      <c r="AS59" s="1774">
        <f t="shared" si="28"/>
        <v>0</v>
      </c>
      <c r="AT59" s="1778"/>
      <c r="AU59" s="1779"/>
      <c r="AV59" s="1779"/>
      <c r="AW59" s="1779"/>
      <c r="AX59" s="1779"/>
      <c r="AY59" s="1774">
        <f t="shared" si="29"/>
        <v>0</v>
      </c>
    </row>
    <row r="60" spans="1:51" s="772" customFormat="1" x14ac:dyDescent="0.25">
      <c r="A60" s="1766" t="s">
        <v>140</v>
      </c>
      <c r="B60" s="1766" t="s">
        <v>141</v>
      </c>
      <c r="C60" s="1767" t="s">
        <v>267</v>
      </c>
      <c r="D60" s="1768">
        <f t="shared" si="17"/>
        <v>-1668.72</v>
      </c>
      <c r="E60" s="1768">
        <f t="shared" si="18"/>
        <v>17329.52</v>
      </c>
      <c r="F60" s="1768">
        <f t="shared" si="19"/>
        <v>4733.2</v>
      </c>
      <c r="G60" s="1769">
        <f t="shared" si="20"/>
        <v>1000</v>
      </c>
      <c r="H60" s="1770">
        <f t="shared" si="21"/>
        <v>5733.2</v>
      </c>
      <c r="I60" s="1771">
        <f t="shared" si="22"/>
        <v>21394</v>
      </c>
      <c r="J60" s="1772">
        <v>0</v>
      </c>
      <c r="K60" s="1773">
        <v>18932.8</v>
      </c>
      <c r="L60" s="1773">
        <v>4733.2</v>
      </c>
      <c r="M60" s="1773">
        <v>0</v>
      </c>
      <c r="N60" s="1773">
        <v>0</v>
      </c>
      <c r="O60" s="1774">
        <f t="shared" si="23"/>
        <v>23666</v>
      </c>
      <c r="P60" s="1772">
        <v>-1668.72</v>
      </c>
      <c r="Q60" s="1773">
        <v>-1603.28</v>
      </c>
      <c r="R60" s="1773">
        <v>0</v>
      </c>
      <c r="S60" s="1773">
        <v>0</v>
      </c>
      <c r="T60" s="1773">
        <v>0</v>
      </c>
      <c r="U60" s="1774">
        <f t="shared" si="24"/>
        <v>-3272</v>
      </c>
      <c r="V60" s="1772"/>
      <c r="W60" s="1773"/>
      <c r="X60" s="1773"/>
      <c r="Y60" s="1773"/>
      <c r="Z60" s="1773"/>
      <c r="AA60" s="1774">
        <f t="shared" si="25"/>
        <v>0</v>
      </c>
      <c r="AB60" s="1778">
        <v>0</v>
      </c>
      <c r="AC60" s="1779">
        <v>0</v>
      </c>
      <c r="AD60" s="1779">
        <v>0</v>
      </c>
      <c r="AE60" s="1779">
        <v>1000</v>
      </c>
      <c r="AF60" s="1779">
        <v>0</v>
      </c>
      <c r="AG60" s="1777">
        <f t="shared" si="26"/>
        <v>1000</v>
      </c>
      <c r="AH60" s="1775"/>
      <c r="AI60" s="1776"/>
      <c r="AJ60" s="1776"/>
      <c r="AK60" s="1776"/>
      <c r="AL60" s="1776"/>
      <c r="AM60" s="1774">
        <f t="shared" si="27"/>
        <v>0</v>
      </c>
      <c r="AN60" s="1775"/>
      <c r="AO60" s="1776"/>
      <c r="AP60" s="1776"/>
      <c r="AQ60" s="1776"/>
      <c r="AR60" s="1776"/>
      <c r="AS60" s="1774">
        <f t="shared" si="28"/>
        <v>0</v>
      </c>
      <c r="AT60" s="1775"/>
      <c r="AU60" s="1776"/>
      <c r="AV60" s="1776"/>
      <c r="AW60" s="1776"/>
      <c r="AX60" s="1776"/>
      <c r="AY60" s="1774">
        <f t="shared" si="29"/>
        <v>0</v>
      </c>
    </row>
    <row r="61" spans="1:51" s="772" customFormat="1" x14ac:dyDescent="0.25">
      <c r="A61" s="1766" t="s">
        <v>146</v>
      </c>
      <c r="B61" s="1766" t="s">
        <v>147</v>
      </c>
      <c r="C61" s="1767" t="s">
        <v>264</v>
      </c>
      <c r="D61" s="1768">
        <f t="shared" si="17"/>
        <v>0</v>
      </c>
      <c r="E61" s="1768">
        <f t="shared" si="18"/>
        <v>7108</v>
      </c>
      <c r="F61" s="1768">
        <f t="shared" si="19"/>
        <v>1777</v>
      </c>
      <c r="G61" s="1769">
        <f t="shared" si="20"/>
        <v>0</v>
      </c>
      <c r="H61" s="1770">
        <f t="shared" si="21"/>
        <v>1777</v>
      </c>
      <c r="I61" s="1771">
        <f t="shared" si="22"/>
        <v>8885</v>
      </c>
      <c r="J61" s="1772">
        <v>0</v>
      </c>
      <c r="K61" s="1773">
        <v>7108</v>
      </c>
      <c r="L61" s="1773">
        <v>1777</v>
      </c>
      <c r="M61" s="1773">
        <v>0</v>
      </c>
      <c r="N61" s="1773">
        <v>0</v>
      </c>
      <c r="O61" s="1774">
        <f t="shared" si="23"/>
        <v>8885</v>
      </c>
      <c r="P61" s="1772"/>
      <c r="Q61" s="1773"/>
      <c r="R61" s="1773"/>
      <c r="S61" s="1773"/>
      <c r="T61" s="1773"/>
      <c r="U61" s="1774">
        <f t="shared" si="24"/>
        <v>0</v>
      </c>
      <c r="V61" s="1772"/>
      <c r="W61" s="1773"/>
      <c r="X61" s="1773"/>
      <c r="Y61" s="1773"/>
      <c r="Z61" s="1773"/>
      <c r="AA61" s="1774">
        <f t="shared" si="25"/>
        <v>0</v>
      </c>
      <c r="AB61" s="1778"/>
      <c r="AC61" s="1779"/>
      <c r="AD61" s="1779"/>
      <c r="AE61" s="1779"/>
      <c r="AF61" s="1779"/>
      <c r="AG61" s="1777">
        <f t="shared" si="26"/>
        <v>0</v>
      </c>
      <c r="AH61" s="1778"/>
      <c r="AI61" s="1779"/>
      <c r="AJ61" s="1779"/>
      <c r="AK61" s="1779"/>
      <c r="AL61" s="1779"/>
      <c r="AM61" s="1774">
        <f t="shared" si="27"/>
        <v>0</v>
      </c>
      <c r="AN61" s="1778"/>
      <c r="AO61" s="1779"/>
      <c r="AP61" s="1779"/>
      <c r="AQ61" s="1779"/>
      <c r="AR61" s="1779"/>
      <c r="AS61" s="1774">
        <f t="shared" si="28"/>
        <v>0</v>
      </c>
      <c r="AT61" s="1778"/>
      <c r="AU61" s="1779"/>
      <c r="AV61" s="1779"/>
      <c r="AW61" s="1779"/>
      <c r="AX61" s="1779"/>
      <c r="AY61" s="1774">
        <f t="shared" si="29"/>
        <v>0</v>
      </c>
    </row>
    <row r="62" spans="1:51" s="772" customFormat="1" x14ac:dyDescent="0.25">
      <c r="A62" s="1766" t="s">
        <v>148</v>
      </c>
      <c r="B62" s="1766" t="s">
        <v>149</v>
      </c>
      <c r="C62" s="1767" t="s">
        <v>265</v>
      </c>
      <c r="D62" s="1768">
        <f t="shared" si="17"/>
        <v>8197.99</v>
      </c>
      <c r="E62" s="1768">
        <f t="shared" si="18"/>
        <v>188078.01</v>
      </c>
      <c r="F62" s="1768">
        <f t="shared" si="19"/>
        <v>47038</v>
      </c>
      <c r="G62" s="1769">
        <f t="shared" si="20"/>
        <v>0</v>
      </c>
      <c r="H62" s="1770">
        <f t="shared" si="21"/>
        <v>47038</v>
      </c>
      <c r="I62" s="1771">
        <f t="shared" si="22"/>
        <v>243314</v>
      </c>
      <c r="J62" s="1772">
        <v>0</v>
      </c>
      <c r="K62" s="1773">
        <v>188152</v>
      </c>
      <c r="L62" s="1773">
        <v>47038</v>
      </c>
      <c r="M62" s="1773">
        <v>0</v>
      </c>
      <c r="N62" s="1773">
        <v>0</v>
      </c>
      <c r="O62" s="1774">
        <f t="shared" si="23"/>
        <v>235190</v>
      </c>
      <c r="P62" s="1772">
        <v>-77.010000000000005</v>
      </c>
      <c r="Q62" s="1773">
        <v>-73.989999999999995</v>
      </c>
      <c r="R62" s="1773">
        <v>0</v>
      </c>
      <c r="S62" s="1773">
        <v>0</v>
      </c>
      <c r="T62" s="1773">
        <v>0</v>
      </c>
      <c r="U62" s="1774">
        <f t="shared" si="24"/>
        <v>-151</v>
      </c>
      <c r="V62" s="1772"/>
      <c r="W62" s="1773"/>
      <c r="X62" s="1773"/>
      <c r="Y62" s="1773"/>
      <c r="Z62" s="1773"/>
      <c r="AA62" s="1774">
        <f t="shared" si="25"/>
        <v>0</v>
      </c>
      <c r="AB62" s="1778"/>
      <c r="AC62" s="1779"/>
      <c r="AD62" s="1779"/>
      <c r="AE62" s="1779"/>
      <c r="AF62" s="1779"/>
      <c r="AG62" s="1777">
        <f t="shared" si="26"/>
        <v>0</v>
      </c>
      <c r="AH62" s="1778"/>
      <c r="AI62" s="1779"/>
      <c r="AJ62" s="1779"/>
      <c r="AK62" s="1779"/>
      <c r="AL62" s="1779"/>
      <c r="AM62" s="1774">
        <f t="shared" si="27"/>
        <v>0</v>
      </c>
      <c r="AN62" s="1778"/>
      <c r="AO62" s="1779"/>
      <c r="AP62" s="1779"/>
      <c r="AQ62" s="1779"/>
      <c r="AR62" s="1779"/>
      <c r="AS62" s="1774">
        <f t="shared" si="28"/>
        <v>0</v>
      </c>
      <c r="AT62" s="1778">
        <v>8275</v>
      </c>
      <c r="AU62" s="1779">
        <v>0</v>
      </c>
      <c r="AV62" s="1779">
        <v>0</v>
      </c>
      <c r="AW62" s="1779">
        <v>0</v>
      </c>
      <c r="AX62" s="1779">
        <v>0</v>
      </c>
      <c r="AY62" s="1774">
        <f t="shared" si="29"/>
        <v>8275</v>
      </c>
    </row>
    <row r="63" spans="1:51" s="772" customFormat="1" x14ac:dyDescent="0.25">
      <c r="A63" s="1766" t="s">
        <v>150</v>
      </c>
      <c r="B63" s="1766" t="s">
        <v>151</v>
      </c>
      <c r="C63" s="1767" t="s">
        <v>266</v>
      </c>
      <c r="D63" s="1768">
        <f t="shared" si="17"/>
        <v>0</v>
      </c>
      <c r="E63" s="1768">
        <f t="shared" si="18"/>
        <v>24966.400000000001</v>
      </c>
      <c r="F63" s="1768">
        <f t="shared" si="19"/>
        <v>6241.6</v>
      </c>
      <c r="G63" s="1769">
        <f t="shared" si="20"/>
        <v>0</v>
      </c>
      <c r="H63" s="1770">
        <f t="shared" si="21"/>
        <v>6241.6</v>
      </c>
      <c r="I63" s="1771">
        <f t="shared" si="22"/>
        <v>31208</v>
      </c>
      <c r="J63" s="1772">
        <v>0</v>
      </c>
      <c r="K63" s="1773">
        <v>24966.400000000001</v>
      </c>
      <c r="L63" s="1773">
        <v>6241.6</v>
      </c>
      <c r="M63" s="1773">
        <v>0</v>
      </c>
      <c r="N63" s="1773">
        <v>0</v>
      </c>
      <c r="O63" s="1774">
        <f t="shared" si="23"/>
        <v>31208</v>
      </c>
      <c r="P63" s="1772"/>
      <c r="Q63" s="1773"/>
      <c r="R63" s="1773"/>
      <c r="S63" s="1773"/>
      <c r="T63" s="1773"/>
      <c r="U63" s="1774">
        <f t="shared" si="24"/>
        <v>0</v>
      </c>
      <c r="V63" s="1772"/>
      <c r="W63" s="1773"/>
      <c r="X63" s="1773"/>
      <c r="Y63" s="1773"/>
      <c r="Z63" s="1773"/>
      <c r="AA63" s="1774">
        <f t="shared" si="25"/>
        <v>0</v>
      </c>
      <c r="AB63" s="1778"/>
      <c r="AC63" s="1779"/>
      <c r="AD63" s="1779"/>
      <c r="AE63" s="1779"/>
      <c r="AF63" s="1779"/>
      <c r="AG63" s="1777">
        <f t="shared" si="26"/>
        <v>0</v>
      </c>
      <c r="AH63" s="1778"/>
      <c r="AI63" s="1779"/>
      <c r="AJ63" s="1779"/>
      <c r="AK63" s="1779"/>
      <c r="AL63" s="1779"/>
      <c r="AM63" s="1774">
        <f t="shared" si="27"/>
        <v>0</v>
      </c>
      <c r="AN63" s="1778"/>
      <c r="AO63" s="1779"/>
      <c r="AP63" s="1779"/>
      <c r="AQ63" s="1779"/>
      <c r="AR63" s="1779"/>
      <c r="AS63" s="1774">
        <f t="shared" si="28"/>
        <v>0</v>
      </c>
      <c r="AT63" s="1778"/>
      <c r="AU63" s="1779"/>
      <c r="AV63" s="1779"/>
      <c r="AW63" s="1779"/>
      <c r="AX63" s="1779"/>
      <c r="AY63" s="1774">
        <f t="shared" si="29"/>
        <v>0</v>
      </c>
    </row>
    <row r="64" spans="1:51" s="772" customFormat="1" x14ac:dyDescent="0.25">
      <c r="A64" s="1766" t="s">
        <v>152</v>
      </c>
      <c r="B64" s="1766" t="s">
        <v>153</v>
      </c>
      <c r="C64" s="1767" t="s">
        <v>268</v>
      </c>
      <c r="D64" s="1768">
        <f t="shared" si="17"/>
        <v>437.51</v>
      </c>
      <c r="E64" s="1768">
        <f t="shared" si="18"/>
        <v>140096.05000000002</v>
      </c>
      <c r="F64" s="1768">
        <f t="shared" si="19"/>
        <v>35062.800000000003</v>
      </c>
      <c r="G64" s="1769">
        <f t="shared" si="20"/>
        <v>0</v>
      </c>
      <c r="H64" s="1770">
        <f t="shared" si="21"/>
        <v>35062.800000000003</v>
      </c>
      <c r="I64" s="1771">
        <f t="shared" si="22"/>
        <v>175596.36000000004</v>
      </c>
      <c r="J64" s="1772">
        <v>0</v>
      </c>
      <c r="K64" s="1773">
        <v>140251.20000000001</v>
      </c>
      <c r="L64" s="1773">
        <v>35062.800000000003</v>
      </c>
      <c r="M64" s="1773">
        <v>0</v>
      </c>
      <c r="N64" s="1773">
        <v>0</v>
      </c>
      <c r="O64" s="1774">
        <f t="shared" si="23"/>
        <v>175314</v>
      </c>
      <c r="P64" s="1772">
        <v>-161.49</v>
      </c>
      <c r="Q64" s="1773">
        <v>-155.15</v>
      </c>
      <c r="R64" s="1773">
        <v>0</v>
      </c>
      <c r="S64" s="1773">
        <v>0</v>
      </c>
      <c r="T64" s="1773">
        <v>0</v>
      </c>
      <c r="U64" s="1774">
        <f t="shared" si="24"/>
        <v>-316.64</v>
      </c>
      <c r="V64" s="1772"/>
      <c r="W64" s="1773"/>
      <c r="X64" s="1773"/>
      <c r="Y64" s="1773"/>
      <c r="Z64" s="1773"/>
      <c r="AA64" s="1774">
        <f t="shared" si="25"/>
        <v>0</v>
      </c>
      <c r="AB64" s="1778"/>
      <c r="AC64" s="1779"/>
      <c r="AD64" s="1779"/>
      <c r="AE64" s="1779"/>
      <c r="AF64" s="1779"/>
      <c r="AG64" s="1777">
        <f t="shared" si="26"/>
        <v>0</v>
      </c>
      <c r="AH64" s="1778">
        <v>599</v>
      </c>
      <c r="AI64" s="1779">
        <v>0</v>
      </c>
      <c r="AJ64" s="1779">
        <v>0</v>
      </c>
      <c r="AK64" s="1779">
        <v>0</v>
      </c>
      <c r="AL64" s="1779">
        <v>0</v>
      </c>
      <c r="AM64" s="1774">
        <f t="shared" si="27"/>
        <v>599</v>
      </c>
      <c r="AN64" s="1778"/>
      <c r="AO64" s="1779"/>
      <c r="AP64" s="1779"/>
      <c r="AQ64" s="1779"/>
      <c r="AR64" s="1779"/>
      <c r="AS64" s="1774">
        <f t="shared" si="28"/>
        <v>0</v>
      </c>
      <c r="AT64" s="1778"/>
      <c r="AU64" s="1779"/>
      <c r="AV64" s="1779"/>
      <c r="AW64" s="1779"/>
      <c r="AX64" s="1779"/>
      <c r="AY64" s="1774">
        <f t="shared" si="29"/>
        <v>0</v>
      </c>
    </row>
    <row r="65" spans="1:51" s="772" customFormat="1" x14ac:dyDescent="0.25">
      <c r="A65" s="1766" t="s">
        <v>154</v>
      </c>
      <c r="B65" s="1766" t="s">
        <v>155</v>
      </c>
      <c r="C65" s="1767" t="s">
        <v>265</v>
      </c>
      <c r="D65" s="1768">
        <f t="shared" si="17"/>
        <v>0</v>
      </c>
      <c r="E65" s="1768">
        <f t="shared" si="18"/>
        <v>70802.399999999994</v>
      </c>
      <c r="F65" s="1768">
        <f t="shared" si="19"/>
        <v>17700.599999999999</v>
      </c>
      <c r="G65" s="1769">
        <f t="shared" si="20"/>
        <v>0</v>
      </c>
      <c r="H65" s="1770">
        <f t="shared" si="21"/>
        <v>17700.599999999999</v>
      </c>
      <c r="I65" s="1771">
        <f t="shared" si="22"/>
        <v>88503</v>
      </c>
      <c r="J65" s="1772">
        <v>0</v>
      </c>
      <c r="K65" s="1773">
        <v>70802.399999999994</v>
      </c>
      <c r="L65" s="1773">
        <v>17700.599999999999</v>
      </c>
      <c r="M65" s="1773">
        <v>0</v>
      </c>
      <c r="N65" s="1773">
        <v>0</v>
      </c>
      <c r="O65" s="1774">
        <f t="shared" si="23"/>
        <v>88503</v>
      </c>
      <c r="P65" s="1772"/>
      <c r="Q65" s="1773"/>
      <c r="R65" s="1773"/>
      <c r="S65" s="1773"/>
      <c r="T65" s="1773"/>
      <c r="U65" s="1774">
        <f t="shared" si="24"/>
        <v>0</v>
      </c>
      <c r="V65" s="1772"/>
      <c r="W65" s="1773"/>
      <c r="X65" s="1773"/>
      <c r="Y65" s="1773"/>
      <c r="Z65" s="1773"/>
      <c r="AA65" s="1774">
        <f t="shared" si="25"/>
        <v>0</v>
      </c>
      <c r="AB65" s="1778"/>
      <c r="AC65" s="1779"/>
      <c r="AD65" s="1779"/>
      <c r="AE65" s="1779"/>
      <c r="AF65" s="1779"/>
      <c r="AG65" s="1777">
        <f t="shared" si="26"/>
        <v>0</v>
      </c>
      <c r="AH65" s="1778"/>
      <c r="AI65" s="1779"/>
      <c r="AJ65" s="1779"/>
      <c r="AK65" s="1779"/>
      <c r="AL65" s="1779"/>
      <c r="AM65" s="1774">
        <f t="shared" si="27"/>
        <v>0</v>
      </c>
      <c r="AN65" s="1778"/>
      <c r="AO65" s="1779"/>
      <c r="AP65" s="1779"/>
      <c r="AQ65" s="1779"/>
      <c r="AR65" s="1779"/>
      <c r="AS65" s="1774">
        <f t="shared" si="28"/>
        <v>0</v>
      </c>
      <c r="AT65" s="1778"/>
      <c r="AU65" s="1779"/>
      <c r="AV65" s="1779"/>
      <c r="AW65" s="1779"/>
      <c r="AX65" s="1779"/>
      <c r="AY65" s="1774">
        <f t="shared" si="29"/>
        <v>0</v>
      </c>
    </row>
    <row r="66" spans="1:51" s="772" customFormat="1" x14ac:dyDescent="0.25">
      <c r="A66" s="1766" t="s">
        <v>156</v>
      </c>
      <c r="B66" s="1766" t="s">
        <v>157</v>
      </c>
      <c r="C66" s="1767" t="s">
        <v>266</v>
      </c>
      <c r="D66" s="1768">
        <f t="shared" si="17"/>
        <v>0</v>
      </c>
      <c r="E66" s="1768">
        <f t="shared" si="18"/>
        <v>12134.4</v>
      </c>
      <c r="F66" s="1768">
        <f t="shared" si="19"/>
        <v>3033.6</v>
      </c>
      <c r="G66" s="1769">
        <f t="shared" si="20"/>
        <v>0</v>
      </c>
      <c r="H66" s="1770">
        <f t="shared" si="21"/>
        <v>3033.6</v>
      </c>
      <c r="I66" s="1771">
        <f t="shared" si="22"/>
        <v>15168</v>
      </c>
      <c r="J66" s="1772">
        <v>0</v>
      </c>
      <c r="K66" s="1773">
        <v>12134.4</v>
      </c>
      <c r="L66" s="1773">
        <v>3033.6</v>
      </c>
      <c r="M66" s="1773">
        <v>0</v>
      </c>
      <c r="N66" s="1773">
        <v>0</v>
      </c>
      <c r="O66" s="1774">
        <f t="shared" si="23"/>
        <v>15168</v>
      </c>
      <c r="P66" s="1772"/>
      <c r="Q66" s="1773"/>
      <c r="R66" s="1773"/>
      <c r="S66" s="1773"/>
      <c r="T66" s="1773"/>
      <c r="U66" s="1774">
        <f t="shared" si="24"/>
        <v>0</v>
      </c>
      <c r="V66" s="1772"/>
      <c r="W66" s="1773"/>
      <c r="X66" s="1773"/>
      <c r="Y66" s="1773"/>
      <c r="Z66" s="1773"/>
      <c r="AA66" s="1774">
        <f t="shared" si="25"/>
        <v>0</v>
      </c>
      <c r="AB66" s="1778"/>
      <c r="AC66" s="1779"/>
      <c r="AD66" s="1779"/>
      <c r="AE66" s="1779"/>
      <c r="AF66" s="1779"/>
      <c r="AG66" s="1777">
        <f t="shared" si="26"/>
        <v>0</v>
      </c>
      <c r="AH66" s="1778"/>
      <c r="AI66" s="1779"/>
      <c r="AJ66" s="1779"/>
      <c r="AK66" s="1779"/>
      <c r="AL66" s="1779"/>
      <c r="AM66" s="1774">
        <f t="shared" si="27"/>
        <v>0</v>
      </c>
      <c r="AN66" s="1778"/>
      <c r="AO66" s="1779"/>
      <c r="AP66" s="1779"/>
      <c r="AQ66" s="1779"/>
      <c r="AR66" s="1779"/>
      <c r="AS66" s="1774">
        <f t="shared" si="28"/>
        <v>0</v>
      </c>
      <c r="AT66" s="1778"/>
      <c r="AU66" s="1779"/>
      <c r="AV66" s="1779"/>
      <c r="AW66" s="1779"/>
      <c r="AX66" s="1779"/>
      <c r="AY66" s="1774">
        <f t="shared" si="29"/>
        <v>0</v>
      </c>
    </row>
    <row r="67" spans="1:51" s="772" customFormat="1" x14ac:dyDescent="0.25">
      <c r="A67" s="1766" t="s">
        <v>162</v>
      </c>
      <c r="B67" s="1766" t="s">
        <v>163</v>
      </c>
      <c r="C67" s="1767" t="s">
        <v>264</v>
      </c>
      <c r="D67" s="1768">
        <f t="shared" si="17"/>
        <v>0</v>
      </c>
      <c r="E67" s="1768">
        <f t="shared" si="18"/>
        <v>84080.8</v>
      </c>
      <c r="F67" s="1768">
        <f t="shared" si="19"/>
        <v>21020.2</v>
      </c>
      <c r="G67" s="1769">
        <f t="shared" si="20"/>
        <v>0</v>
      </c>
      <c r="H67" s="1770">
        <f t="shared" si="21"/>
        <v>21020.2</v>
      </c>
      <c r="I67" s="1771">
        <f t="shared" si="22"/>
        <v>105101</v>
      </c>
      <c r="J67" s="1772">
        <v>0</v>
      </c>
      <c r="K67" s="1773">
        <v>84080.8</v>
      </c>
      <c r="L67" s="1773">
        <v>21020.2</v>
      </c>
      <c r="M67" s="1773">
        <v>0</v>
      </c>
      <c r="N67" s="1773">
        <v>0</v>
      </c>
      <c r="O67" s="1774">
        <f t="shared" si="23"/>
        <v>105101</v>
      </c>
      <c r="P67" s="1772"/>
      <c r="Q67" s="1773"/>
      <c r="R67" s="1773"/>
      <c r="S67" s="1773"/>
      <c r="T67" s="1773"/>
      <c r="U67" s="1774">
        <f t="shared" si="24"/>
        <v>0</v>
      </c>
      <c r="V67" s="1772"/>
      <c r="W67" s="1773"/>
      <c r="X67" s="1773"/>
      <c r="Y67" s="1773"/>
      <c r="Z67" s="1773"/>
      <c r="AA67" s="1774">
        <f t="shared" si="25"/>
        <v>0</v>
      </c>
      <c r="AB67" s="1778"/>
      <c r="AC67" s="1779"/>
      <c r="AD67" s="1779"/>
      <c r="AE67" s="1779"/>
      <c r="AF67" s="1779"/>
      <c r="AG67" s="1777">
        <f t="shared" si="26"/>
        <v>0</v>
      </c>
      <c r="AH67" s="1778"/>
      <c r="AI67" s="1779"/>
      <c r="AJ67" s="1779"/>
      <c r="AK67" s="1779"/>
      <c r="AL67" s="1779"/>
      <c r="AM67" s="1774">
        <f t="shared" si="27"/>
        <v>0</v>
      </c>
      <c r="AN67" s="1778"/>
      <c r="AO67" s="1779"/>
      <c r="AP67" s="1779"/>
      <c r="AQ67" s="1779"/>
      <c r="AR67" s="1779"/>
      <c r="AS67" s="1774">
        <f t="shared" si="28"/>
        <v>0</v>
      </c>
      <c r="AT67" s="1778"/>
      <c r="AU67" s="1779"/>
      <c r="AV67" s="1779"/>
      <c r="AW67" s="1779"/>
      <c r="AX67" s="1779"/>
      <c r="AY67" s="1774">
        <f t="shared" si="29"/>
        <v>0</v>
      </c>
    </row>
    <row r="68" spans="1:51" s="772" customFormat="1" x14ac:dyDescent="0.25">
      <c r="A68" s="1766" t="s">
        <v>164</v>
      </c>
      <c r="B68" s="1766" t="s">
        <v>165</v>
      </c>
      <c r="C68" s="1767" t="s">
        <v>266</v>
      </c>
      <c r="D68" s="1768">
        <f t="shared" si="17"/>
        <v>-614.65</v>
      </c>
      <c r="E68" s="1768">
        <f t="shared" si="18"/>
        <v>15550.25</v>
      </c>
      <c r="F68" s="1768">
        <f t="shared" si="19"/>
        <v>4035.2</v>
      </c>
      <c r="G68" s="1769">
        <f t="shared" si="20"/>
        <v>0</v>
      </c>
      <c r="H68" s="1770">
        <f t="shared" si="21"/>
        <v>4035.2</v>
      </c>
      <c r="I68" s="1771">
        <f t="shared" si="22"/>
        <v>18970.8</v>
      </c>
      <c r="J68" s="1772">
        <v>0</v>
      </c>
      <c r="K68" s="1773">
        <v>16140.8</v>
      </c>
      <c r="L68" s="1773">
        <v>4035.2</v>
      </c>
      <c r="M68" s="1773">
        <v>0</v>
      </c>
      <c r="N68" s="1773">
        <v>0</v>
      </c>
      <c r="O68" s="1774">
        <f t="shared" si="23"/>
        <v>20176</v>
      </c>
      <c r="P68" s="1772">
        <v>-614.65</v>
      </c>
      <c r="Q68" s="1773">
        <v>-590.54999999999995</v>
      </c>
      <c r="R68" s="1773">
        <v>0</v>
      </c>
      <c r="S68" s="1773">
        <v>0</v>
      </c>
      <c r="T68" s="1773">
        <v>0</v>
      </c>
      <c r="U68" s="1774">
        <f t="shared" si="24"/>
        <v>-1205.1999999999998</v>
      </c>
      <c r="V68" s="1772"/>
      <c r="W68" s="1773"/>
      <c r="X68" s="1773"/>
      <c r="Y68" s="1773"/>
      <c r="Z68" s="1773"/>
      <c r="AA68" s="1774">
        <f t="shared" si="25"/>
        <v>0</v>
      </c>
      <c r="AB68" s="1775"/>
      <c r="AC68" s="1776"/>
      <c r="AD68" s="1776"/>
      <c r="AE68" s="1776"/>
      <c r="AF68" s="1776"/>
      <c r="AG68" s="1777">
        <f t="shared" si="26"/>
        <v>0</v>
      </c>
      <c r="AH68" s="1778"/>
      <c r="AI68" s="1779"/>
      <c r="AJ68" s="1779"/>
      <c r="AK68" s="1779"/>
      <c r="AL68" s="1779"/>
      <c r="AM68" s="1774">
        <f t="shared" si="27"/>
        <v>0</v>
      </c>
      <c r="AN68" s="1778"/>
      <c r="AO68" s="1779"/>
      <c r="AP68" s="1779"/>
      <c r="AQ68" s="1779"/>
      <c r="AR68" s="1779"/>
      <c r="AS68" s="1774">
        <f t="shared" si="28"/>
        <v>0</v>
      </c>
      <c r="AT68" s="1778"/>
      <c r="AU68" s="1779"/>
      <c r="AV68" s="1779"/>
      <c r="AW68" s="1779"/>
      <c r="AX68" s="1779"/>
      <c r="AY68" s="1774">
        <f t="shared" si="29"/>
        <v>0</v>
      </c>
    </row>
    <row r="69" spans="1:51" s="772" customFormat="1" x14ac:dyDescent="0.25">
      <c r="A69" s="1766" t="s">
        <v>168</v>
      </c>
      <c r="B69" s="1766" t="s">
        <v>169</v>
      </c>
      <c r="C69" s="1767" t="s">
        <v>266</v>
      </c>
      <c r="D69" s="1768">
        <f t="shared" ref="D69:D100" si="30">J69+P69+V69+AB69+AH69+AN69+AT69</f>
        <v>0</v>
      </c>
      <c r="E69" s="1768">
        <f t="shared" ref="E69:E100" si="31">K69+Q69+W69+AC69+AI69+AO69+AU69</f>
        <v>91332.800000000003</v>
      </c>
      <c r="F69" s="1768">
        <f t="shared" ref="F69:F100" si="32">L69+R69+X69+AD69+AJ69+AP69+AV69</f>
        <v>22833.200000000001</v>
      </c>
      <c r="G69" s="1769">
        <f t="shared" ref="G69:G100" si="33">M69+N69+S69+T69+Y69+Z69+AE69+AF69+AK69+AL69+AQ69+AR69+AW69+AX69</f>
        <v>0</v>
      </c>
      <c r="H69" s="1770">
        <f t="shared" ref="H69:H100" si="34">F69+G69</f>
        <v>22833.200000000001</v>
      </c>
      <c r="I69" s="1771">
        <f t="shared" ref="I69:I100" si="35">SUM(D69:G69)</f>
        <v>114166</v>
      </c>
      <c r="J69" s="1772">
        <v>0</v>
      </c>
      <c r="K69" s="1773">
        <v>91332.800000000003</v>
      </c>
      <c r="L69" s="1773">
        <v>22833.200000000001</v>
      </c>
      <c r="M69" s="1773">
        <v>0</v>
      </c>
      <c r="N69" s="1773">
        <v>0</v>
      </c>
      <c r="O69" s="1774">
        <f t="shared" ref="O69:O100" si="36">SUM(J69:N69)</f>
        <v>114166</v>
      </c>
      <c r="P69" s="1772"/>
      <c r="Q69" s="1773"/>
      <c r="R69" s="1773"/>
      <c r="S69" s="1773"/>
      <c r="T69" s="1773"/>
      <c r="U69" s="1774">
        <f t="shared" ref="U69:U100" si="37">SUM(P69:T69)</f>
        <v>0</v>
      </c>
      <c r="V69" s="1772"/>
      <c r="W69" s="1773"/>
      <c r="X69" s="1773"/>
      <c r="Y69" s="1773"/>
      <c r="Z69" s="1773"/>
      <c r="AA69" s="1774">
        <f t="shared" ref="AA69:AA100" si="38">SUM(V69:Z69)</f>
        <v>0</v>
      </c>
      <c r="AB69" s="1778"/>
      <c r="AC69" s="1779"/>
      <c r="AD69" s="1779"/>
      <c r="AE69" s="1779"/>
      <c r="AF69" s="1779"/>
      <c r="AG69" s="1777">
        <f t="shared" ref="AG69:AG100" si="39">SUM(AB69:AF69)</f>
        <v>0</v>
      </c>
      <c r="AH69" s="1778"/>
      <c r="AI69" s="1779"/>
      <c r="AJ69" s="1779"/>
      <c r="AK69" s="1779"/>
      <c r="AL69" s="1779"/>
      <c r="AM69" s="1774">
        <f t="shared" ref="AM69:AM100" si="40">SUM(AH69:AL69)</f>
        <v>0</v>
      </c>
      <c r="AN69" s="1778"/>
      <c r="AO69" s="1779"/>
      <c r="AP69" s="1779"/>
      <c r="AQ69" s="1779"/>
      <c r="AR69" s="1779"/>
      <c r="AS69" s="1774">
        <f t="shared" ref="AS69:AS100" si="41">SUM(AN69:AR69)</f>
        <v>0</v>
      </c>
      <c r="AT69" s="1778"/>
      <c r="AU69" s="1779"/>
      <c r="AV69" s="1779"/>
      <c r="AW69" s="1779"/>
      <c r="AX69" s="1779"/>
      <c r="AY69" s="1774">
        <f t="shared" ref="AY69:AY100" si="42">SUM(AT69:AX69)</f>
        <v>0</v>
      </c>
    </row>
    <row r="70" spans="1:51" s="772" customFormat="1" x14ac:dyDescent="0.25">
      <c r="A70" s="1766" t="s">
        <v>170</v>
      </c>
      <c r="B70" s="1766" t="s">
        <v>171</v>
      </c>
      <c r="C70" s="1767" t="s">
        <v>267</v>
      </c>
      <c r="D70" s="1768">
        <f t="shared" si="30"/>
        <v>-1672.8</v>
      </c>
      <c r="E70" s="1768">
        <f t="shared" si="31"/>
        <v>43315.94</v>
      </c>
      <c r="F70" s="1768">
        <f t="shared" si="32"/>
        <v>11230.78</v>
      </c>
      <c r="G70" s="1769">
        <f t="shared" si="33"/>
        <v>0</v>
      </c>
      <c r="H70" s="1770">
        <f t="shared" si="34"/>
        <v>11230.78</v>
      </c>
      <c r="I70" s="1771">
        <f t="shared" si="35"/>
        <v>52873.919999999998</v>
      </c>
      <c r="J70" s="1772">
        <v>0</v>
      </c>
      <c r="K70" s="1773">
        <v>44923.14</v>
      </c>
      <c r="L70" s="1773">
        <v>11230.78</v>
      </c>
      <c r="M70" s="1773">
        <v>0</v>
      </c>
      <c r="N70" s="1773">
        <v>0</v>
      </c>
      <c r="O70" s="1774">
        <f t="shared" si="36"/>
        <v>56153.919999999998</v>
      </c>
      <c r="P70" s="1772">
        <v>-1672.8</v>
      </c>
      <c r="Q70" s="1773">
        <v>-1607.2</v>
      </c>
      <c r="R70" s="1773">
        <v>0</v>
      </c>
      <c r="S70" s="1773">
        <v>0</v>
      </c>
      <c r="T70" s="1773">
        <v>0</v>
      </c>
      <c r="U70" s="1774">
        <f t="shared" si="37"/>
        <v>-3280</v>
      </c>
      <c r="V70" s="1772"/>
      <c r="W70" s="1773"/>
      <c r="X70" s="1773"/>
      <c r="Y70" s="1773"/>
      <c r="Z70" s="1773"/>
      <c r="AA70" s="1774">
        <f t="shared" si="38"/>
        <v>0</v>
      </c>
      <c r="AB70" s="1778"/>
      <c r="AC70" s="1779"/>
      <c r="AD70" s="1779"/>
      <c r="AE70" s="1779"/>
      <c r="AF70" s="1779"/>
      <c r="AG70" s="1777">
        <f t="shared" si="39"/>
        <v>0</v>
      </c>
      <c r="AH70" s="1778"/>
      <c r="AI70" s="1779"/>
      <c r="AJ70" s="1779"/>
      <c r="AK70" s="1779"/>
      <c r="AL70" s="1779"/>
      <c r="AM70" s="1774">
        <f t="shared" si="40"/>
        <v>0</v>
      </c>
      <c r="AN70" s="1778"/>
      <c r="AO70" s="1779"/>
      <c r="AP70" s="1779"/>
      <c r="AQ70" s="1779"/>
      <c r="AR70" s="1779"/>
      <c r="AS70" s="1774">
        <f t="shared" si="41"/>
        <v>0</v>
      </c>
      <c r="AT70" s="1778"/>
      <c r="AU70" s="1779"/>
      <c r="AV70" s="1779"/>
      <c r="AW70" s="1779"/>
      <c r="AX70" s="1779"/>
      <c r="AY70" s="1774">
        <f t="shared" si="42"/>
        <v>0</v>
      </c>
    </row>
    <row r="71" spans="1:51" s="772" customFormat="1" x14ac:dyDescent="0.25">
      <c r="A71" s="1766" t="s">
        <v>172</v>
      </c>
      <c r="B71" s="1766" t="s">
        <v>173</v>
      </c>
      <c r="C71" s="1767" t="s">
        <v>267</v>
      </c>
      <c r="D71" s="1768">
        <f t="shared" si="30"/>
        <v>-163.38</v>
      </c>
      <c r="E71" s="1768">
        <f t="shared" si="31"/>
        <v>78891.03</v>
      </c>
      <c r="F71" s="1768">
        <f t="shared" si="32"/>
        <v>19762</v>
      </c>
      <c r="G71" s="1769">
        <f t="shared" si="33"/>
        <v>0</v>
      </c>
      <c r="H71" s="1770">
        <f t="shared" si="34"/>
        <v>19762</v>
      </c>
      <c r="I71" s="1771">
        <f t="shared" si="35"/>
        <v>98489.65</v>
      </c>
      <c r="J71" s="1772">
        <v>0</v>
      </c>
      <c r="K71" s="1773">
        <v>79048</v>
      </c>
      <c r="L71" s="1773">
        <v>19762</v>
      </c>
      <c r="M71" s="1773">
        <v>0</v>
      </c>
      <c r="N71" s="1773">
        <v>0</v>
      </c>
      <c r="O71" s="1774">
        <f t="shared" si="36"/>
        <v>98810</v>
      </c>
      <c r="P71" s="1772">
        <v>-163.38</v>
      </c>
      <c r="Q71" s="1773">
        <v>-156.97</v>
      </c>
      <c r="R71" s="1773">
        <v>0</v>
      </c>
      <c r="S71" s="1773">
        <v>0</v>
      </c>
      <c r="T71" s="1773">
        <v>0</v>
      </c>
      <c r="U71" s="1774">
        <f t="shared" si="37"/>
        <v>-320.35000000000002</v>
      </c>
      <c r="V71" s="1772"/>
      <c r="W71" s="1773"/>
      <c r="X71" s="1773"/>
      <c r="Y71" s="1773"/>
      <c r="Z71" s="1773"/>
      <c r="AA71" s="1774">
        <f t="shared" si="38"/>
        <v>0</v>
      </c>
      <c r="AB71" s="1778"/>
      <c r="AC71" s="1779"/>
      <c r="AD71" s="1779"/>
      <c r="AE71" s="1779"/>
      <c r="AF71" s="1779"/>
      <c r="AG71" s="1777">
        <f t="shared" si="39"/>
        <v>0</v>
      </c>
      <c r="AH71" s="1778"/>
      <c r="AI71" s="1779"/>
      <c r="AJ71" s="1779"/>
      <c r="AK71" s="1779"/>
      <c r="AL71" s="1779"/>
      <c r="AM71" s="1774">
        <f t="shared" si="40"/>
        <v>0</v>
      </c>
      <c r="AN71" s="1778"/>
      <c r="AO71" s="1779"/>
      <c r="AP71" s="1779"/>
      <c r="AQ71" s="1779"/>
      <c r="AR71" s="1779"/>
      <c r="AS71" s="1774">
        <f t="shared" si="41"/>
        <v>0</v>
      </c>
      <c r="AT71" s="1778"/>
      <c r="AU71" s="1779"/>
      <c r="AV71" s="1779"/>
      <c r="AW71" s="1779"/>
      <c r="AX71" s="1779"/>
      <c r="AY71" s="1774">
        <f t="shared" si="42"/>
        <v>0</v>
      </c>
    </row>
    <row r="72" spans="1:51" s="772" customFormat="1" x14ac:dyDescent="0.25">
      <c r="A72" s="1766" t="s">
        <v>174</v>
      </c>
      <c r="B72" s="1766" t="s">
        <v>175</v>
      </c>
      <c r="C72" s="1767" t="s">
        <v>268</v>
      </c>
      <c r="D72" s="1768">
        <f t="shared" si="30"/>
        <v>-532.1</v>
      </c>
      <c r="E72" s="1768">
        <f t="shared" si="31"/>
        <v>73979.959999999992</v>
      </c>
      <c r="F72" s="1768">
        <f t="shared" si="32"/>
        <v>18622.8</v>
      </c>
      <c r="G72" s="1769">
        <f t="shared" si="33"/>
        <v>0</v>
      </c>
      <c r="H72" s="1770">
        <f t="shared" si="34"/>
        <v>18622.8</v>
      </c>
      <c r="I72" s="1771">
        <f t="shared" si="35"/>
        <v>92070.659999999989</v>
      </c>
      <c r="J72" s="1772">
        <v>0</v>
      </c>
      <c r="K72" s="1773">
        <v>74491.199999999997</v>
      </c>
      <c r="L72" s="1773">
        <v>18622.8</v>
      </c>
      <c r="M72" s="1773">
        <v>0</v>
      </c>
      <c r="N72" s="1773">
        <v>0</v>
      </c>
      <c r="O72" s="1774">
        <f t="shared" si="36"/>
        <v>93114</v>
      </c>
      <c r="P72" s="1772">
        <v>-532.1</v>
      </c>
      <c r="Q72" s="1773">
        <v>-511.24</v>
      </c>
      <c r="R72" s="1773">
        <v>0</v>
      </c>
      <c r="S72" s="1773">
        <v>0</v>
      </c>
      <c r="T72" s="1773">
        <v>0</v>
      </c>
      <c r="U72" s="1774">
        <f t="shared" si="37"/>
        <v>-1043.3400000000001</v>
      </c>
      <c r="V72" s="1772"/>
      <c r="W72" s="1773"/>
      <c r="X72" s="1773"/>
      <c r="Y72" s="1773"/>
      <c r="Z72" s="1773"/>
      <c r="AA72" s="1774">
        <f t="shared" si="38"/>
        <v>0</v>
      </c>
      <c r="AB72" s="1778"/>
      <c r="AC72" s="1779"/>
      <c r="AD72" s="1779"/>
      <c r="AE72" s="1779"/>
      <c r="AF72" s="1779"/>
      <c r="AG72" s="1777">
        <f t="shared" si="39"/>
        <v>0</v>
      </c>
      <c r="AH72" s="1778"/>
      <c r="AI72" s="1779"/>
      <c r="AJ72" s="1779"/>
      <c r="AK72" s="1779"/>
      <c r="AL72" s="1779"/>
      <c r="AM72" s="1774">
        <f t="shared" si="40"/>
        <v>0</v>
      </c>
      <c r="AN72" s="1778"/>
      <c r="AO72" s="1779"/>
      <c r="AP72" s="1779"/>
      <c r="AQ72" s="1779"/>
      <c r="AR72" s="1779"/>
      <c r="AS72" s="1774">
        <f t="shared" si="41"/>
        <v>0</v>
      </c>
      <c r="AT72" s="1778"/>
      <c r="AU72" s="1779"/>
      <c r="AV72" s="1779"/>
      <c r="AW72" s="1779"/>
      <c r="AX72" s="1779"/>
      <c r="AY72" s="1774">
        <f t="shared" si="42"/>
        <v>0</v>
      </c>
    </row>
    <row r="73" spans="1:51" s="772" customFormat="1" x14ac:dyDescent="0.25">
      <c r="A73" s="1766" t="s">
        <v>178</v>
      </c>
      <c r="B73" s="1766" t="s">
        <v>179</v>
      </c>
      <c r="C73" s="1767" t="s">
        <v>265</v>
      </c>
      <c r="D73" s="1768">
        <f t="shared" si="30"/>
        <v>-732.11</v>
      </c>
      <c r="E73" s="1768">
        <f t="shared" si="31"/>
        <v>115775.8</v>
      </c>
      <c r="F73" s="1768">
        <f t="shared" si="32"/>
        <v>29119.8</v>
      </c>
      <c r="G73" s="1769">
        <f t="shared" si="33"/>
        <v>2775.01</v>
      </c>
      <c r="H73" s="1770">
        <f t="shared" si="34"/>
        <v>31894.809999999998</v>
      </c>
      <c r="I73" s="1771">
        <f t="shared" si="35"/>
        <v>146938.5</v>
      </c>
      <c r="J73" s="1772">
        <v>0</v>
      </c>
      <c r="K73" s="1773">
        <v>116479.2</v>
      </c>
      <c r="L73" s="1773">
        <v>29119.8</v>
      </c>
      <c r="M73" s="1773">
        <v>0</v>
      </c>
      <c r="N73" s="1773">
        <v>0</v>
      </c>
      <c r="O73" s="1774">
        <f t="shared" si="36"/>
        <v>145599</v>
      </c>
      <c r="P73" s="1772">
        <v>-732.11</v>
      </c>
      <c r="Q73" s="1773">
        <v>-703.4</v>
      </c>
      <c r="R73" s="1773">
        <v>0</v>
      </c>
      <c r="S73" s="1773">
        <v>0.01</v>
      </c>
      <c r="T73" s="1773">
        <v>0</v>
      </c>
      <c r="U73" s="1774">
        <f t="shared" si="37"/>
        <v>-1435.5</v>
      </c>
      <c r="V73" s="1772"/>
      <c r="W73" s="1773"/>
      <c r="X73" s="1773"/>
      <c r="Y73" s="1773"/>
      <c r="Z73" s="1773"/>
      <c r="AA73" s="1774">
        <f t="shared" si="38"/>
        <v>0</v>
      </c>
      <c r="AB73" s="1775">
        <v>0</v>
      </c>
      <c r="AC73" s="1776">
        <v>0</v>
      </c>
      <c r="AD73" s="1776">
        <v>0</v>
      </c>
      <c r="AE73" s="1776">
        <v>2775</v>
      </c>
      <c r="AF73" s="1776">
        <v>0</v>
      </c>
      <c r="AG73" s="1777">
        <f t="shared" si="39"/>
        <v>2775</v>
      </c>
      <c r="AH73" s="1778"/>
      <c r="AI73" s="1779"/>
      <c r="AJ73" s="1779"/>
      <c r="AK73" s="1779"/>
      <c r="AL73" s="1779"/>
      <c r="AM73" s="1774">
        <f t="shared" si="40"/>
        <v>0</v>
      </c>
      <c r="AN73" s="1778"/>
      <c r="AO73" s="1779"/>
      <c r="AP73" s="1779"/>
      <c r="AQ73" s="1779"/>
      <c r="AR73" s="1779"/>
      <c r="AS73" s="1774">
        <f t="shared" si="41"/>
        <v>0</v>
      </c>
      <c r="AT73" s="1778"/>
      <c r="AU73" s="1779"/>
      <c r="AV73" s="1779"/>
      <c r="AW73" s="1779"/>
      <c r="AX73" s="1779"/>
      <c r="AY73" s="1774">
        <f t="shared" si="42"/>
        <v>0</v>
      </c>
    </row>
    <row r="74" spans="1:51" s="772" customFormat="1" x14ac:dyDescent="0.25">
      <c r="A74" s="1766" t="s">
        <v>182</v>
      </c>
      <c r="B74" s="1766" t="s">
        <v>183</v>
      </c>
      <c r="C74" s="1767" t="s">
        <v>266</v>
      </c>
      <c r="D74" s="1768">
        <f t="shared" si="30"/>
        <v>0</v>
      </c>
      <c r="E74" s="1768">
        <f t="shared" si="31"/>
        <v>30418.400000000001</v>
      </c>
      <c r="F74" s="1768">
        <f t="shared" si="32"/>
        <v>7604.6</v>
      </c>
      <c r="G74" s="1769">
        <f t="shared" si="33"/>
        <v>0</v>
      </c>
      <c r="H74" s="1770">
        <f t="shared" si="34"/>
        <v>7604.6</v>
      </c>
      <c r="I74" s="1771">
        <f t="shared" si="35"/>
        <v>38023</v>
      </c>
      <c r="J74" s="1772">
        <v>0</v>
      </c>
      <c r="K74" s="1773">
        <v>30418.400000000001</v>
      </c>
      <c r="L74" s="1773">
        <v>7604.6</v>
      </c>
      <c r="M74" s="1773">
        <v>0</v>
      </c>
      <c r="N74" s="1773">
        <v>0</v>
      </c>
      <c r="O74" s="1774">
        <f t="shared" si="36"/>
        <v>38023</v>
      </c>
      <c r="P74" s="1772"/>
      <c r="Q74" s="1773"/>
      <c r="R74" s="1773"/>
      <c r="S74" s="1773"/>
      <c r="T74" s="1773"/>
      <c r="U74" s="1774">
        <f t="shared" si="37"/>
        <v>0</v>
      </c>
      <c r="V74" s="1772"/>
      <c r="W74" s="1773"/>
      <c r="X74" s="1773"/>
      <c r="Y74" s="1773"/>
      <c r="Z74" s="1773"/>
      <c r="AA74" s="1774">
        <f t="shared" si="38"/>
        <v>0</v>
      </c>
      <c r="AB74" s="1778"/>
      <c r="AC74" s="1779"/>
      <c r="AD74" s="1779"/>
      <c r="AE74" s="1779"/>
      <c r="AF74" s="1779"/>
      <c r="AG74" s="1777">
        <f t="shared" si="39"/>
        <v>0</v>
      </c>
      <c r="AH74" s="1778"/>
      <c r="AI74" s="1779"/>
      <c r="AJ74" s="1779"/>
      <c r="AK74" s="1779"/>
      <c r="AL74" s="1779"/>
      <c r="AM74" s="1774">
        <f t="shared" si="40"/>
        <v>0</v>
      </c>
      <c r="AN74" s="1778"/>
      <c r="AO74" s="1779"/>
      <c r="AP74" s="1779"/>
      <c r="AQ74" s="1779"/>
      <c r="AR74" s="1779"/>
      <c r="AS74" s="1774">
        <f t="shared" si="41"/>
        <v>0</v>
      </c>
      <c r="AT74" s="1778"/>
      <c r="AU74" s="1779"/>
      <c r="AV74" s="1779"/>
      <c r="AW74" s="1779"/>
      <c r="AX74" s="1779"/>
      <c r="AY74" s="1774">
        <f t="shared" si="42"/>
        <v>0</v>
      </c>
    </row>
    <row r="75" spans="1:51" s="772" customFormat="1" x14ac:dyDescent="0.25">
      <c r="A75" s="1766" t="s">
        <v>184</v>
      </c>
      <c r="B75" s="1766" t="s">
        <v>185</v>
      </c>
      <c r="C75" s="1767" t="s">
        <v>266</v>
      </c>
      <c r="D75" s="1768">
        <f t="shared" si="30"/>
        <v>0</v>
      </c>
      <c r="E75" s="1768">
        <f t="shared" si="31"/>
        <v>88756</v>
      </c>
      <c r="F75" s="1768">
        <f t="shared" si="32"/>
        <v>22189</v>
      </c>
      <c r="G75" s="1769">
        <f t="shared" si="33"/>
        <v>0</v>
      </c>
      <c r="H75" s="1770">
        <f t="shared" si="34"/>
        <v>22189</v>
      </c>
      <c r="I75" s="1771">
        <f t="shared" si="35"/>
        <v>110945</v>
      </c>
      <c r="J75" s="1772">
        <v>0</v>
      </c>
      <c r="K75" s="1773">
        <v>88756</v>
      </c>
      <c r="L75" s="1773">
        <v>22189</v>
      </c>
      <c r="M75" s="1773">
        <v>0</v>
      </c>
      <c r="N75" s="1773">
        <v>0</v>
      </c>
      <c r="O75" s="1774">
        <f t="shared" si="36"/>
        <v>110945</v>
      </c>
      <c r="P75" s="1772"/>
      <c r="Q75" s="1773"/>
      <c r="R75" s="1773"/>
      <c r="S75" s="1773"/>
      <c r="T75" s="1773"/>
      <c r="U75" s="1774">
        <f t="shared" si="37"/>
        <v>0</v>
      </c>
      <c r="V75" s="1772"/>
      <c r="W75" s="1773"/>
      <c r="X75" s="1773"/>
      <c r="Y75" s="1773"/>
      <c r="Z75" s="1773"/>
      <c r="AA75" s="1774">
        <f t="shared" si="38"/>
        <v>0</v>
      </c>
      <c r="AB75" s="1778"/>
      <c r="AC75" s="1779"/>
      <c r="AD75" s="1779"/>
      <c r="AE75" s="1779"/>
      <c r="AF75" s="1779"/>
      <c r="AG75" s="1777">
        <f t="shared" si="39"/>
        <v>0</v>
      </c>
      <c r="AH75" s="1778"/>
      <c r="AI75" s="1779"/>
      <c r="AJ75" s="1779"/>
      <c r="AK75" s="1779"/>
      <c r="AL75" s="1779"/>
      <c r="AM75" s="1774">
        <f t="shared" si="40"/>
        <v>0</v>
      </c>
      <c r="AN75" s="1778"/>
      <c r="AO75" s="1779"/>
      <c r="AP75" s="1779"/>
      <c r="AQ75" s="1779"/>
      <c r="AR75" s="1779"/>
      <c r="AS75" s="1774">
        <f t="shared" si="41"/>
        <v>0</v>
      </c>
      <c r="AT75" s="1778"/>
      <c r="AU75" s="1779"/>
      <c r="AV75" s="1779"/>
      <c r="AW75" s="1779"/>
      <c r="AX75" s="1779"/>
      <c r="AY75" s="1774">
        <f t="shared" si="42"/>
        <v>0</v>
      </c>
    </row>
    <row r="76" spans="1:51" s="772" customFormat="1" x14ac:dyDescent="0.25">
      <c r="A76" s="1766" t="s">
        <v>186</v>
      </c>
      <c r="B76" s="1766" t="s">
        <v>187</v>
      </c>
      <c r="C76" s="1767" t="s">
        <v>264</v>
      </c>
      <c r="D76" s="1768">
        <f t="shared" si="30"/>
        <v>0</v>
      </c>
      <c r="E76" s="1768">
        <f t="shared" si="31"/>
        <v>36501.599999999999</v>
      </c>
      <c r="F76" s="1768">
        <f t="shared" si="32"/>
        <v>9125.4</v>
      </c>
      <c r="G76" s="1769">
        <f t="shared" si="33"/>
        <v>0</v>
      </c>
      <c r="H76" s="1770">
        <f t="shared" si="34"/>
        <v>9125.4</v>
      </c>
      <c r="I76" s="1771">
        <f t="shared" si="35"/>
        <v>45627</v>
      </c>
      <c r="J76" s="1772">
        <v>0</v>
      </c>
      <c r="K76" s="1773">
        <v>36501.599999999999</v>
      </c>
      <c r="L76" s="1773">
        <v>9125.4</v>
      </c>
      <c r="M76" s="1773">
        <v>0</v>
      </c>
      <c r="N76" s="1773">
        <v>0</v>
      </c>
      <c r="O76" s="1774">
        <f t="shared" si="36"/>
        <v>45627</v>
      </c>
      <c r="P76" s="1772"/>
      <c r="Q76" s="1773"/>
      <c r="R76" s="1773"/>
      <c r="S76" s="1773"/>
      <c r="T76" s="1773"/>
      <c r="U76" s="1774">
        <f t="shared" si="37"/>
        <v>0</v>
      </c>
      <c r="V76" s="1772"/>
      <c r="W76" s="1773"/>
      <c r="X76" s="1773"/>
      <c r="Y76" s="1773"/>
      <c r="Z76" s="1773"/>
      <c r="AA76" s="1774">
        <f t="shared" si="38"/>
        <v>0</v>
      </c>
      <c r="AB76" s="1778"/>
      <c r="AC76" s="1779"/>
      <c r="AD76" s="1779"/>
      <c r="AE76" s="1779"/>
      <c r="AF76" s="1779"/>
      <c r="AG76" s="1777">
        <f t="shared" si="39"/>
        <v>0</v>
      </c>
      <c r="AH76" s="1778"/>
      <c r="AI76" s="1779"/>
      <c r="AJ76" s="1779"/>
      <c r="AK76" s="1779"/>
      <c r="AL76" s="1779"/>
      <c r="AM76" s="1774">
        <f t="shared" si="40"/>
        <v>0</v>
      </c>
      <c r="AN76" s="1778"/>
      <c r="AO76" s="1779"/>
      <c r="AP76" s="1779"/>
      <c r="AQ76" s="1779"/>
      <c r="AR76" s="1779"/>
      <c r="AS76" s="1774">
        <f t="shared" si="41"/>
        <v>0</v>
      </c>
      <c r="AT76" s="1778"/>
      <c r="AU76" s="1779"/>
      <c r="AV76" s="1779"/>
      <c r="AW76" s="1779"/>
      <c r="AX76" s="1779"/>
      <c r="AY76" s="1774">
        <f t="shared" si="42"/>
        <v>0</v>
      </c>
    </row>
    <row r="77" spans="1:51" s="772" customFormat="1" x14ac:dyDescent="0.25">
      <c r="A77" s="1766" t="s">
        <v>188</v>
      </c>
      <c r="B77" s="1766" t="s">
        <v>189</v>
      </c>
      <c r="C77" s="1767" t="s">
        <v>267</v>
      </c>
      <c r="D77" s="1768">
        <f t="shared" si="30"/>
        <v>128336.22000000002</v>
      </c>
      <c r="E77" s="1768">
        <f t="shared" si="31"/>
        <v>320789.03999999998</v>
      </c>
      <c r="F77" s="1768">
        <f t="shared" si="32"/>
        <v>82303</v>
      </c>
      <c r="G77" s="1769">
        <f t="shared" si="33"/>
        <v>0</v>
      </c>
      <c r="H77" s="1770">
        <f t="shared" si="34"/>
        <v>82303</v>
      </c>
      <c r="I77" s="1771">
        <f t="shared" si="35"/>
        <v>531428.26</v>
      </c>
      <c r="J77" s="1772">
        <v>0</v>
      </c>
      <c r="K77" s="1773">
        <v>329212</v>
      </c>
      <c r="L77" s="1773">
        <v>82303</v>
      </c>
      <c r="M77" s="1773">
        <v>0</v>
      </c>
      <c r="N77" s="1773">
        <v>0</v>
      </c>
      <c r="O77" s="1774">
        <f t="shared" si="36"/>
        <v>411515</v>
      </c>
      <c r="P77" s="1772">
        <v>-8766.76</v>
      </c>
      <c r="Q77" s="1773">
        <v>-8422.9599999999991</v>
      </c>
      <c r="R77" s="1773">
        <v>0</v>
      </c>
      <c r="S77" s="1773">
        <v>0</v>
      </c>
      <c r="T77" s="1773">
        <v>0</v>
      </c>
      <c r="U77" s="1774">
        <f t="shared" si="37"/>
        <v>-17189.72</v>
      </c>
      <c r="V77" s="1772"/>
      <c r="W77" s="1773"/>
      <c r="X77" s="1773"/>
      <c r="Y77" s="1773"/>
      <c r="Z77" s="1773"/>
      <c r="AA77" s="1774">
        <f t="shared" si="38"/>
        <v>0</v>
      </c>
      <c r="AB77" s="1778"/>
      <c r="AC77" s="1779"/>
      <c r="AD77" s="1779"/>
      <c r="AE77" s="1779"/>
      <c r="AF77" s="1779"/>
      <c r="AG77" s="1777">
        <f t="shared" si="39"/>
        <v>0</v>
      </c>
      <c r="AH77" s="1775">
        <v>137102.98000000001</v>
      </c>
      <c r="AI77" s="1776">
        <v>0</v>
      </c>
      <c r="AJ77" s="1776">
        <v>0</v>
      </c>
      <c r="AK77" s="1776">
        <v>0</v>
      </c>
      <c r="AL77" s="1776">
        <v>0</v>
      </c>
      <c r="AM77" s="1774">
        <f t="shared" si="40"/>
        <v>137102.98000000001</v>
      </c>
      <c r="AN77" s="1775"/>
      <c r="AO77" s="1776"/>
      <c r="AP77" s="1776"/>
      <c r="AQ77" s="1776"/>
      <c r="AR77" s="1776"/>
      <c r="AS77" s="1774">
        <f t="shared" si="41"/>
        <v>0</v>
      </c>
      <c r="AT77" s="1775"/>
      <c r="AU77" s="1776"/>
      <c r="AV77" s="1776"/>
      <c r="AW77" s="1776"/>
      <c r="AX77" s="1776"/>
      <c r="AY77" s="1774">
        <f t="shared" si="42"/>
        <v>0</v>
      </c>
    </row>
    <row r="78" spans="1:51" s="772" customFormat="1" x14ac:dyDescent="0.25">
      <c r="A78" s="1766" t="s">
        <v>190</v>
      </c>
      <c r="B78" s="1766" t="s">
        <v>191</v>
      </c>
      <c r="C78" s="1767" t="s">
        <v>268</v>
      </c>
      <c r="D78" s="1768">
        <f t="shared" si="30"/>
        <v>-212.72</v>
      </c>
      <c r="E78" s="1768">
        <f t="shared" si="31"/>
        <v>146995.62</v>
      </c>
      <c r="F78" s="1768">
        <f t="shared" si="32"/>
        <v>36800</v>
      </c>
      <c r="G78" s="1769">
        <f t="shared" si="33"/>
        <v>2500</v>
      </c>
      <c r="H78" s="1770">
        <f t="shared" si="34"/>
        <v>39300</v>
      </c>
      <c r="I78" s="1771">
        <f t="shared" si="35"/>
        <v>186082.9</v>
      </c>
      <c r="J78" s="1772">
        <v>0</v>
      </c>
      <c r="K78" s="1773">
        <v>147200</v>
      </c>
      <c r="L78" s="1773">
        <v>36800</v>
      </c>
      <c r="M78" s="1773">
        <v>0</v>
      </c>
      <c r="N78" s="1773">
        <v>0</v>
      </c>
      <c r="O78" s="1774">
        <f t="shared" si="36"/>
        <v>184000</v>
      </c>
      <c r="P78" s="1772">
        <v>-212.72</v>
      </c>
      <c r="Q78" s="1773">
        <v>-204.38</v>
      </c>
      <c r="R78" s="1773">
        <v>0</v>
      </c>
      <c r="S78" s="1773">
        <v>0</v>
      </c>
      <c r="T78" s="1773">
        <v>0</v>
      </c>
      <c r="U78" s="1774">
        <f t="shared" si="37"/>
        <v>-417.1</v>
      </c>
      <c r="V78" s="1772"/>
      <c r="W78" s="1773"/>
      <c r="X78" s="1773"/>
      <c r="Y78" s="1773"/>
      <c r="Z78" s="1773"/>
      <c r="AA78" s="1774">
        <f t="shared" si="38"/>
        <v>0</v>
      </c>
      <c r="AB78" s="1775">
        <v>0</v>
      </c>
      <c r="AC78" s="1776">
        <v>0</v>
      </c>
      <c r="AD78" s="1776">
        <v>0</v>
      </c>
      <c r="AE78" s="1776">
        <v>0</v>
      </c>
      <c r="AF78" s="1776">
        <v>2500</v>
      </c>
      <c r="AG78" s="1777">
        <f t="shared" si="39"/>
        <v>2500</v>
      </c>
      <c r="AH78" s="1778"/>
      <c r="AI78" s="1779"/>
      <c r="AJ78" s="1779"/>
      <c r="AK78" s="1779"/>
      <c r="AL78" s="1779"/>
      <c r="AM78" s="1774">
        <f t="shared" si="40"/>
        <v>0</v>
      </c>
      <c r="AN78" s="1778"/>
      <c r="AO78" s="1779"/>
      <c r="AP78" s="1779"/>
      <c r="AQ78" s="1779"/>
      <c r="AR78" s="1779"/>
      <c r="AS78" s="1774">
        <f t="shared" si="41"/>
        <v>0</v>
      </c>
      <c r="AT78" s="1778"/>
      <c r="AU78" s="1779"/>
      <c r="AV78" s="1779"/>
      <c r="AW78" s="1779"/>
      <c r="AX78" s="1779"/>
      <c r="AY78" s="1774">
        <f t="shared" si="42"/>
        <v>0</v>
      </c>
    </row>
    <row r="79" spans="1:51" s="772" customFormat="1" x14ac:dyDescent="0.25">
      <c r="A79" s="1766" t="s">
        <v>194</v>
      </c>
      <c r="B79" s="1766" t="s">
        <v>195</v>
      </c>
      <c r="C79" s="1767" t="s">
        <v>267</v>
      </c>
      <c r="D79" s="1768">
        <f t="shared" si="30"/>
        <v>0</v>
      </c>
      <c r="E79" s="1768">
        <f t="shared" si="31"/>
        <v>5452.8</v>
      </c>
      <c r="F79" s="1768">
        <f t="shared" si="32"/>
        <v>1363.2</v>
      </c>
      <c r="G79" s="1769">
        <f t="shared" si="33"/>
        <v>0</v>
      </c>
      <c r="H79" s="1770">
        <f t="shared" si="34"/>
        <v>1363.2</v>
      </c>
      <c r="I79" s="1771">
        <f t="shared" si="35"/>
        <v>6816</v>
      </c>
      <c r="J79" s="1772">
        <v>0</v>
      </c>
      <c r="K79" s="1773">
        <v>5452.8</v>
      </c>
      <c r="L79" s="1773">
        <v>1363.2</v>
      </c>
      <c r="M79" s="1773">
        <v>0</v>
      </c>
      <c r="N79" s="1773">
        <v>0</v>
      </c>
      <c r="O79" s="1774">
        <f t="shared" si="36"/>
        <v>6816</v>
      </c>
      <c r="P79" s="1772"/>
      <c r="Q79" s="1773"/>
      <c r="R79" s="1773"/>
      <c r="S79" s="1773"/>
      <c r="T79" s="1773"/>
      <c r="U79" s="1774">
        <f t="shared" si="37"/>
        <v>0</v>
      </c>
      <c r="V79" s="1772"/>
      <c r="W79" s="1773"/>
      <c r="X79" s="1773"/>
      <c r="Y79" s="1773"/>
      <c r="Z79" s="1773"/>
      <c r="AA79" s="1774">
        <f t="shared" si="38"/>
        <v>0</v>
      </c>
      <c r="AB79" s="1778"/>
      <c r="AC79" s="1779"/>
      <c r="AD79" s="1779"/>
      <c r="AE79" s="1779"/>
      <c r="AF79" s="1779"/>
      <c r="AG79" s="1777">
        <f t="shared" si="39"/>
        <v>0</v>
      </c>
      <c r="AH79" s="1778"/>
      <c r="AI79" s="1779"/>
      <c r="AJ79" s="1779"/>
      <c r="AK79" s="1779"/>
      <c r="AL79" s="1779"/>
      <c r="AM79" s="1774">
        <f t="shared" si="40"/>
        <v>0</v>
      </c>
      <c r="AN79" s="1778"/>
      <c r="AO79" s="1779"/>
      <c r="AP79" s="1779"/>
      <c r="AQ79" s="1779"/>
      <c r="AR79" s="1779"/>
      <c r="AS79" s="1774">
        <f t="shared" si="41"/>
        <v>0</v>
      </c>
      <c r="AT79" s="1778"/>
      <c r="AU79" s="1779"/>
      <c r="AV79" s="1779"/>
      <c r="AW79" s="1779"/>
      <c r="AX79" s="1779"/>
      <c r="AY79" s="1774">
        <f t="shared" si="42"/>
        <v>0</v>
      </c>
    </row>
    <row r="80" spans="1:51" s="772" customFormat="1" x14ac:dyDescent="0.25">
      <c r="A80" s="1766" t="s">
        <v>198</v>
      </c>
      <c r="B80" s="1766" t="s">
        <v>199</v>
      </c>
      <c r="C80" s="1767" t="s">
        <v>266</v>
      </c>
      <c r="D80" s="1768">
        <f t="shared" si="30"/>
        <v>0</v>
      </c>
      <c r="E80" s="1768">
        <f t="shared" si="31"/>
        <v>20188.8</v>
      </c>
      <c r="F80" s="1768">
        <f t="shared" si="32"/>
        <v>5047.2</v>
      </c>
      <c r="G80" s="1769">
        <f t="shared" si="33"/>
        <v>0</v>
      </c>
      <c r="H80" s="1770">
        <f t="shared" si="34"/>
        <v>5047.2</v>
      </c>
      <c r="I80" s="1771">
        <f t="shared" si="35"/>
        <v>25236</v>
      </c>
      <c r="J80" s="1772">
        <v>0</v>
      </c>
      <c r="K80" s="1773">
        <v>20188.8</v>
      </c>
      <c r="L80" s="1773">
        <v>5047.2</v>
      </c>
      <c r="M80" s="1773">
        <v>0</v>
      </c>
      <c r="N80" s="1773">
        <v>0</v>
      </c>
      <c r="O80" s="1774">
        <f t="shared" si="36"/>
        <v>25236</v>
      </c>
      <c r="P80" s="1772"/>
      <c r="Q80" s="1773"/>
      <c r="R80" s="1773"/>
      <c r="S80" s="1773"/>
      <c r="T80" s="1773"/>
      <c r="U80" s="1774">
        <f t="shared" si="37"/>
        <v>0</v>
      </c>
      <c r="V80" s="1772"/>
      <c r="W80" s="1773"/>
      <c r="X80" s="1773"/>
      <c r="Y80" s="1773"/>
      <c r="Z80" s="1773"/>
      <c r="AA80" s="1774">
        <f t="shared" si="38"/>
        <v>0</v>
      </c>
      <c r="AB80" s="1778"/>
      <c r="AC80" s="1779"/>
      <c r="AD80" s="1779"/>
      <c r="AE80" s="1779"/>
      <c r="AF80" s="1779"/>
      <c r="AG80" s="1777">
        <f t="shared" si="39"/>
        <v>0</v>
      </c>
      <c r="AH80" s="1778"/>
      <c r="AI80" s="1779"/>
      <c r="AJ80" s="1779"/>
      <c r="AK80" s="1779"/>
      <c r="AL80" s="1779"/>
      <c r="AM80" s="1774">
        <f t="shared" si="40"/>
        <v>0</v>
      </c>
      <c r="AN80" s="1778"/>
      <c r="AO80" s="1779"/>
      <c r="AP80" s="1779"/>
      <c r="AQ80" s="1779"/>
      <c r="AR80" s="1779"/>
      <c r="AS80" s="1774">
        <f t="shared" si="41"/>
        <v>0</v>
      </c>
      <c r="AT80" s="1778"/>
      <c r="AU80" s="1779"/>
      <c r="AV80" s="1779"/>
      <c r="AW80" s="1779"/>
      <c r="AX80" s="1779"/>
      <c r="AY80" s="1774">
        <f t="shared" si="42"/>
        <v>0</v>
      </c>
    </row>
    <row r="81" spans="1:51" s="772" customFormat="1" x14ac:dyDescent="0.25">
      <c r="A81" s="1766" t="s">
        <v>202</v>
      </c>
      <c r="B81" s="1766" t="s">
        <v>203</v>
      </c>
      <c r="C81" s="1767" t="s">
        <v>265</v>
      </c>
      <c r="D81" s="1768">
        <f t="shared" si="30"/>
        <v>6379.03</v>
      </c>
      <c r="E81" s="1768">
        <f t="shared" si="31"/>
        <v>232220.25999999998</v>
      </c>
      <c r="F81" s="1768">
        <f t="shared" si="32"/>
        <v>58180.2</v>
      </c>
      <c r="G81" s="1769">
        <f t="shared" si="33"/>
        <v>12134.39</v>
      </c>
      <c r="H81" s="1770">
        <f t="shared" si="34"/>
        <v>70314.59</v>
      </c>
      <c r="I81" s="1771">
        <f t="shared" si="35"/>
        <v>308913.88</v>
      </c>
      <c r="J81" s="1772">
        <v>0</v>
      </c>
      <c r="K81" s="1773">
        <v>232720.8</v>
      </c>
      <c r="L81" s="1773">
        <v>58180.2</v>
      </c>
      <c r="M81" s="1773">
        <v>0</v>
      </c>
      <c r="N81" s="1773">
        <v>0</v>
      </c>
      <c r="O81" s="1774">
        <f t="shared" si="36"/>
        <v>290901</v>
      </c>
      <c r="P81" s="1772">
        <v>-520.97</v>
      </c>
      <c r="Q81" s="1773">
        <v>-500.54</v>
      </c>
      <c r="R81" s="1773">
        <v>0</v>
      </c>
      <c r="S81" s="1773">
        <v>0.01</v>
      </c>
      <c r="T81" s="1773">
        <v>0</v>
      </c>
      <c r="U81" s="1774">
        <f t="shared" si="37"/>
        <v>-1021.5</v>
      </c>
      <c r="V81" s="1772"/>
      <c r="W81" s="1773"/>
      <c r="X81" s="1773"/>
      <c r="Y81" s="1773"/>
      <c r="Z81" s="1773"/>
      <c r="AA81" s="1774">
        <f t="shared" si="38"/>
        <v>0</v>
      </c>
      <c r="AB81" s="1775">
        <v>0</v>
      </c>
      <c r="AC81" s="1776">
        <v>0</v>
      </c>
      <c r="AD81" s="1776">
        <v>0</v>
      </c>
      <c r="AE81" s="1776">
        <v>12134.38</v>
      </c>
      <c r="AF81" s="1776">
        <v>0</v>
      </c>
      <c r="AG81" s="1777">
        <f t="shared" si="39"/>
        <v>12134.38</v>
      </c>
      <c r="AH81" s="1775">
        <v>6900</v>
      </c>
      <c r="AI81" s="1776">
        <v>0</v>
      </c>
      <c r="AJ81" s="1776">
        <v>0</v>
      </c>
      <c r="AK81" s="1776">
        <v>0</v>
      </c>
      <c r="AL81" s="1776">
        <v>0</v>
      </c>
      <c r="AM81" s="1774">
        <f t="shared" si="40"/>
        <v>6900</v>
      </c>
      <c r="AN81" s="1775"/>
      <c r="AO81" s="1776"/>
      <c r="AP81" s="1776"/>
      <c r="AQ81" s="1776"/>
      <c r="AR81" s="1776"/>
      <c r="AS81" s="1774">
        <f t="shared" si="41"/>
        <v>0</v>
      </c>
      <c r="AT81" s="1775"/>
      <c r="AU81" s="1776"/>
      <c r="AV81" s="1776"/>
      <c r="AW81" s="1776"/>
      <c r="AX81" s="1776"/>
      <c r="AY81" s="1774">
        <f t="shared" si="42"/>
        <v>0</v>
      </c>
    </row>
    <row r="82" spans="1:51" s="772" customFormat="1" x14ac:dyDescent="0.25">
      <c r="A82" s="1766" t="s">
        <v>204</v>
      </c>
      <c r="B82" s="1766" t="s">
        <v>205</v>
      </c>
      <c r="C82" s="1767" t="s">
        <v>265</v>
      </c>
      <c r="D82" s="1768">
        <f t="shared" si="30"/>
        <v>0</v>
      </c>
      <c r="E82" s="1768">
        <f t="shared" si="31"/>
        <v>89453.6</v>
      </c>
      <c r="F82" s="1768">
        <f t="shared" si="32"/>
        <v>22363.4</v>
      </c>
      <c r="G82" s="1769">
        <f t="shared" si="33"/>
        <v>0</v>
      </c>
      <c r="H82" s="1770">
        <f t="shared" si="34"/>
        <v>22363.4</v>
      </c>
      <c r="I82" s="1771">
        <f t="shared" si="35"/>
        <v>111817</v>
      </c>
      <c r="J82" s="1772">
        <v>0</v>
      </c>
      <c r="K82" s="1773">
        <v>89453.6</v>
      </c>
      <c r="L82" s="1773">
        <v>22363.4</v>
      </c>
      <c r="M82" s="1773">
        <v>0</v>
      </c>
      <c r="N82" s="1773">
        <v>0</v>
      </c>
      <c r="O82" s="1774">
        <f t="shared" si="36"/>
        <v>111817</v>
      </c>
      <c r="P82" s="1772"/>
      <c r="Q82" s="1773"/>
      <c r="R82" s="1773"/>
      <c r="S82" s="1773"/>
      <c r="T82" s="1773"/>
      <c r="U82" s="1774">
        <f t="shared" si="37"/>
        <v>0</v>
      </c>
      <c r="V82" s="1772"/>
      <c r="W82" s="1773"/>
      <c r="X82" s="1773"/>
      <c r="Y82" s="1773"/>
      <c r="Z82" s="1773"/>
      <c r="AA82" s="1774">
        <f t="shared" si="38"/>
        <v>0</v>
      </c>
      <c r="AB82" s="1778"/>
      <c r="AC82" s="1779"/>
      <c r="AD82" s="1779"/>
      <c r="AE82" s="1779"/>
      <c r="AF82" s="1779"/>
      <c r="AG82" s="1777">
        <f t="shared" si="39"/>
        <v>0</v>
      </c>
      <c r="AH82" s="1778"/>
      <c r="AI82" s="1779"/>
      <c r="AJ82" s="1779"/>
      <c r="AK82" s="1779"/>
      <c r="AL82" s="1779"/>
      <c r="AM82" s="1774">
        <f t="shared" si="40"/>
        <v>0</v>
      </c>
      <c r="AN82" s="1778"/>
      <c r="AO82" s="1779"/>
      <c r="AP82" s="1779"/>
      <c r="AQ82" s="1779"/>
      <c r="AR82" s="1779"/>
      <c r="AS82" s="1774">
        <f t="shared" si="41"/>
        <v>0</v>
      </c>
      <c r="AT82" s="1778"/>
      <c r="AU82" s="1779"/>
      <c r="AV82" s="1779"/>
      <c r="AW82" s="1779"/>
      <c r="AX82" s="1779"/>
      <c r="AY82" s="1774">
        <f t="shared" si="42"/>
        <v>0</v>
      </c>
    </row>
    <row r="83" spans="1:51" s="772" customFormat="1" x14ac:dyDescent="0.25">
      <c r="A83" s="1766" t="s">
        <v>206</v>
      </c>
      <c r="B83" s="1766" t="s">
        <v>207</v>
      </c>
      <c r="C83" s="1767" t="s">
        <v>267</v>
      </c>
      <c r="D83" s="1768">
        <f t="shared" si="30"/>
        <v>146396.37</v>
      </c>
      <c r="E83" s="1768">
        <f t="shared" si="31"/>
        <v>230089.23</v>
      </c>
      <c r="F83" s="1768">
        <f t="shared" si="32"/>
        <v>57577.8</v>
      </c>
      <c r="G83" s="1769">
        <f t="shared" si="33"/>
        <v>87</v>
      </c>
      <c r="H83" s="1770">
        <f t="shared" si="34"/>
        <v>57664.800000000003</v>
      </c>
      <c r="I83" s="1771">
        <f t="shared" si="35"/>
        <v>434150.39999999997</v>
      </c>
      <c r="J83" s="1772">
        <v>0</v>
      </c>
      <c r="K83" s="1773">
        <v>230311.2</v>
      </c>
      <c r="L83" s="1773">
        <v>57577.8</v>
      </c>
      <c r="M83" s="1773">
        <v>0</v>
      </c>
      <c r="N83" s="1773">
        <v>0</v>
      </c>
      <c r="O83" s="1774">
        <f t="shared" si="36"/>
        <v>287889</v>
      </c>
      <c r="P83" s="1772">
        <v>-231.03</v>
      </c>
      <c r="Q83" s="1773">
        <v>-221.97</v>
      </c>
      <c r="R83" s="1773">
        <v>0</v>
      </c>
      <c r="S83" s="1773">
        <v>0</v>
      </c>
      <c r="T83" s="1773">
        <v>0</v>
      </c>
      <c r="U83" s="1774">
        <f t="shared" si="37"/>
        <v>-453</v>
      </c>
      <c r="V83" s="1772"/>
      <c r="W83" s="1773"/>
      <c r="X83" s="1773"/>
      <c r="Y83" s="1773"/>
      <c r="Z83" s="1773"/>
      <c r="AA83" s="1774">
        <f t="shared" si="38"/>
        <v>0</v>
      </c>
      <c r="AB83" s="1775"/>
      <c r="AC83" s="1776"/>
      <c r="AD83" s="1776"/>
      <c r="AE83" s="1776"/>
      <c r="AF83" s="1776"/>
      <c r="AG83" s="1777">
        <f t="shared" si="39"/>
        <v>0</v>
      </c>
      <c r="AH83" s="1775">
        <v>60868</v>
      </c>
      <c r="AI83" s="1776">
        <v>0</v>
      </c>
      <c r="AJ83" s="1776">
        <v>0</v>
      </c>
      <c r="AK83" s="1776">
        <v>0</v>
      </c>
      <c r="AL83" s="1776">
        <v>87</v>
      </c>
      <c r="AM83" s="1774">
        <f t="shared" si="40"/>
        <v>60955</v>
      </c>
      <c r="AN83" s="1775"/>
      <c r="AO83" s="1776"/>
      <c r="AP83" s="1776"/>
      <c r="AQ83" s="1776"/>
      <c r="AR83" s="1776"/>
      <c r="AS83" s="1774">
        <f t="shared" si="41"/>
        <v>0</v>
      </c>
      <c r="AT83" s="1775">
        <v>85759.4</v>
      </c>
      <c r="AU83" s="1776">
        <v>0</v>
      </c>
      <c r="AV83" s="1776">
        <v>0</v>
      </c>
      <c r="AW83" s="1776">
        <v>0</v>
      </c>
      <c r="AX83" s="1776">
        <v>0</v>
      </c>
      <c r="AY83" s="1774">
        <f t="shared" si="42"/>
        <v>85759.4</v>
      </c>
    </row>
    <row r="84" spans="1:51" s="772" customFormat="1" x14ac:dyDescent="0.25">
      <c r="A84" s="1766" t="s">
        <v>208</v>
      </c>
      <c r="B84" s="1766" t="s">
        <v>209</v>
      </c>
      <c r="C84" s="1767" t="s">
        <v>268</v>
      </c>
      <c r="D84" s="1768">
        <f t="shared" si="30"/>
        <v>0</v>
      </c>
      <c r="E84" s="1768">
        <f t="shared" si="31"/>
        <v>262282.40000000002</v>
      </c>
      <c r="F84" s="1768">
        <f t="shared" si="32"/>
        <v>65570.600000000006</v>
      </c>
      <c r="G84" s="1769">
        <f t="shared" si="33"/>
        <v>0</v>
      </c>
      <c r="H84" s="1770">
        <f t="shared" si="34"/>
        <v>65570.600000000006</v>
      </c>
      <c r="I84" s="1771">
        <f t="shared" si="35"/>
        <v>327853</v>
      </c>
      <c r="J84" s="1772">
        <v>0</v>
      </c>
      <c r="K84" s="1773">
        <v>262282.40000000002</v>
      </c>
      <c r="L84" s="1773">
        <v>65570.600000000006</v>
      </c>
      <c r="M84" s="1773">
        <v>0</v>
      </c>
      <c r="N84" s="1773">
        <v>0</v>
      </c>
      <c r="O84" s="1774">
        <f t="shared" si="36"/>
        <v>327853</v>
      </c>
      <c r="P84" s="1772"/>
      <c r="Q84" s="1773"/>
      <c r="R84" s="1773"/>
      <c r="S84" s="1773"/>
      <c r="T84" s="1773"/>
      <c r="U84" s="1774">
        <f t="shared" si="37"/>
        <v>0</v>
      </c>
      <c r="V84" s="1772"/>
      <c r="W84" s="1773"/>
      <c r="X84" s="1773"/>
      <c r="Y84" s="1773"/>
      <c r="Z84" s="1773"/>
      <c r="AA84" s="1774">
        <f t="shared" si="38"/>
        <v>0</v>
      </c>
      <c r="AB84" s="1778"/>
      <c r="AC84" s="1779"/>
      <c r="AD84" s="1779"/>
      <c r="AE84" s="1779"/>
      <c r="AF84" s="1779"/>
      <c r="AG84" s="1777">
        <f t="shared" si="39"/>
        <v>0</v>
      </c>
      <c r="AH84" s="1778"/>
      <c r="AI84" s="1779"/>
      <c r="AJ84" s="1779"/>
      <c r="AK84" s="1779"/>
      <c r="AL84" s="1779"/>
      <c r="AM84" s="1774">
        <f t="shared" si="40"/>
        <v>0</v>
      </c>
      <c r="AN84" s="1778"/>
      <c r="AO84" s="1779"/>
      <c r="AP84" s="1779"/>
      <c r="AQ84" s="1779"/>
      <c r="AR84" s="1779"/>
      <c r="AS84" s="1774">
        <f t="shared" si="41"/>
        <v>0</v>
      </c>
      <c r="AT84" s="1778"/>
      <c r="AU84" s="1779"/>
      <c r="AV84" s="1779"/>
      <c r="AW84" s="1779"/>
      <c r="AX84" s="1779"/>
      <c r="AY84" s="1774">
        <f t="shared" si="42"/>
        <v>0</v>
      </c>
    </row>
    <row r="85" spans="1:51" s="772" customFormat="1" x14ac:dyDescent="0.25">
      <c r="A85" s="1766" t="s">
        <v>210</v>
      </c>
      <c r="B85" s="1766" t="s">
        <v>211</v>
      </c>
      <c r="C85" s="1767" t="s">
        <v>268</v>
      </c>
      <c r="D85" s="1768">
        <f t="shared" si="30"/>
        <v>-138.72</v>
      </c>
      <c r="E85" s="1768">
        <f t="shared" si="31"/>
        <v>148595.51999999999</v>
      </c>
      <c r="F85" s="1768">
        <f t="shared" si="32"/>
        <v>37182.199999999997</v>
      </c>
      <c r="G85" s="1769">
        <f t="shared" si="33"/>
        <v>0</v>
      </c>
      <c r="H85" s="1770">
        <f t="shared" si="34"/>
        <v>37182.199999999997</v>
      </c>
      <c r="I85" s="1771">
        <f t="shared" si="35"/>
        <v>185639</v>
      </c>
      <c r="J85" s="1772">
        <v>0</v>
      </c>
      <c r="K85" s="1773">
        <v>148728.79999999999</v>
      </c>
      <c r="L85" s="1773">
        <v>37182.199999999997</v>
      </c>
      <c r="M85" s="1773">
        <v>0</v>
      </c>
      <c r="N85" s="1773">
        <v>0</v>
      </c>
      <c r="O85" s="1774">
        <f t="shared" si="36"/>
        <v>185911</v>
      </c>
      <c r="P85" s="1772">
        <v>-138.72</v>
      </c>
      <c r="Q85" s="1773">
        <v>-133.28</v>
      </c>
      <c r="R85" s="1773">
        <v>0</v>
      </c>
      <c r="S85" s="1773">
        <v>0</v>
      </c>
      <c r="T85" s="1773">
        <v>0</v>
      </c>
      <c r="U85" s="1774">
        <f t="shared" si="37"/>
        <v>-272</v>
      </c>
      <c r="V85" s="1772"/>
      <c r="W85" s="1773"/>
      <c r="X85" s="1773"/>
      <c r="Y85" s="1773"/>
      <c r="Z85" s="1773"/>
      <c r="AA85" s="1774">
        <f t="shared" si="38"/>
        <v>0</v>
      </c>
      <c r="AB85" s="1778"/>
      <c r="AC85" s="1779"/>
      <c r="AD85" s="1779"/>
      <c r="AE85" s="1779"/>
      <c r="AF85" s="1779"/>
      <c r="AG85" s="1777">
        <f t="shared" si="39"/>
        <v>0</v>
      </c>
      <c r="AH85" s="1778"/>
      <c r="AI85" s="1779"/>
      <c r="AJ85" s="1779"/>
      <c r="AK85" s="1779"/>
      <c r="AL85" s="1779"/>
      <c r="AM85" s="1774">
        <f t="shared" si="40"/>
        <v>0</v>
      </c>
      <c r="AN85" s="1778"/>
      <c r="AO85" s="1779"/>
      <c r="AP85" s="1779"/>
      <c r="AQ85" s="1779"/>
      <c r="AR85" s="1779"/>
      <c r="AS85" s="1774">
        <f t="shared" si="41"/>
        <v>0</v>
      </c>
      <c r="AT85" s="1778"/>
      <c r="AU85" s="1779"/>
      <c r="AV85" s="1779"/>
      <c r="AW85" s="1779"/>
      <c r="AX85" s="1779"/>
      <c r="AY85" s="1774">
        <f t="shared" si="42"/>
        <v>0</v>
      </c>
    </row>
    <row r="86" spans="1:51" s="772" customFormat="1" x14ac:dyDescent="0.25">
      <c r="A86" s="1766" t="s">
        <v>212</v>
      </c>
      <c r="B86" s="1766" t="s">
        <v>213</v>
      </c>
      <c r="C86" s="1767" t="s">
        <v>267</v>
      </c>
      <c r="D86" s="1768">
        <f t="shared" si="30"/>
        <v>85221</v>
      </c>
      <c r="E86" s="1768">
        <f t="shared" si="31"/>
        <v>187662.4</v>
      </c>
      <c r="F86" s="1768">
        <f t="shared" si="32"/>
        <v>46915.6</v>
      </c>
      <c r="G86" s="1769">
        <f t="shared" si="33"/>
        <v>0</v>
      </c>
      <c r="H86" s="1770">
        <f t="shared" si="34"/>
        <v>46915.6</v>
      </c>
      <c r="I86" s="1771">
        <f t="shared" si="35"/>
        <v>319799</v>
      </c>
      <c r="J86" s="1772">
        <v>0</v>
      </c>
      <c r="K86" s="1773">
        <v>187662.4</v>
      </c>
      <c r="L86" s="1773">
        <v>46915.6</v>
      </c>
      <c r="M86" s="1773">
        <v>0</v>
      </c>
      <c r="N86" s="1773">
        <v>0</v>
      </c>
      <c r="O86" s="1774">
        <f t="shared" si="36"/>
        <v>234578</v>
      </c>
      <c r="P86" s="1772"/>
      <c r="Q86" s="1773"/>
      <c r="R86" s="1773"/>
      <c r="S86" s="1773"/>
      <c r="T86" s="1773"/>
      <c r="U86" s="1774">
        <f t="shared" si="37"/>
        <v>0</v>
      </c>
      <c r="V86" s="1772"/>
      <c r="W86" s="1773"/>
      <c r="X86" s="1773"/>
      <c r="Y86" s="1773"/>
      <c r="Z86" s="1773"/>
      <c r="AA86" s="1774">
        <f t="shared" si="38"/>
        <v>0</v>
      </c>
      <c r="AB86" s="1778"/>
      <c r="AC86" s="1779"/>
      <c r="AD86" s="1779"/>
      <c r="AE86" s="1779"/>
      <c r="AF86" s="1779"/>
      <c r="AG86" s="1777">
        <f t="shared" si="39"/>
        <v>0</v>
      </c>
      <c r="AH86" s="1778">
        <v>85221</v>
      </c>
      <c r="AI86" s="1779">
        <v>0</v>
      </c>
      <c r="AJ86" s="1779">
        <v>0</v>
      </c>
      <c r="AK86" s="1779">
        <v>0</v>
      </c>
      <c r="AL86" s="1779">
        <v>0</v>
      </c>
      <c r="AM86" s="1774">
        <f t="shared" si="40"/>
        <v>85221</v>
      </c>
      <c r="AN86" s="1778"/>
      <c r="AO86" s="1779"/>
      <c r="AP86" s="1779"/>
      <c r="AQ86" s="1779"/>
      <c r="AR86" s="1779"/>
      <c r="AS86" s="1774">
        <f t="shared" si="41"/>
        <v>0</v>
      </c>
      <c r="AT86" s="1778"/>
      <c r="AU86" s="1779"/>
      <c r="AV86" s="1779"/>
      <c r="AW86" s="1779"/>
      <c r="AX86" s="1779"/>
      <c r="AY86" s="1774">
        <f t="shared" si="42"/>
        <v>0</v>
      </c>
    </row>
    <row r="87" spans="1:51" s="772" customFormat="1" x14ac:dyDescent="0.25">
      <c r="A87" s="1766" t="s">
        <v>214</v>
      </c>
      <c r="B87" s="1766" t="s">
        <v>215</v>
      </c>
      <c r="C87" s="1767" t="s">
        <v>268</v>
      </c>
      <c r="D87" s="1768">
        <f t="shared" si="30"/>
        <v>-436.6</v>
      </c>
      <c r="E87" s="1768">
        <f t="shared" si="31"/>
        <v>291549.33</v>
      </c>
      <c r="F87" s="1768">
        <f t="shared" si="32"/>
        <v>72992.2</v>
      </c>
      <c r="G87" s="1769">
        <f t="shared" si="33"/>
        <v>500</v>
      </c>
      <c r="H87" s="1770">
        <f t="shared" si="34"/>
        <v>73492.2</v>
      </c>
      <c r="I87" s="1771">
        <f t="shared" si="35"/>
        <v>364604.93000000005</v>
      </c>
      <c r="J87" s="1772">
        <v>0</v>
      </c>
      <c r="K87" s="1773">
        <v>291968.8</v>
      </c>
      <c r="L87" s="1773">
        <v>72992.2</v>
      </c>
      <c r="M87" s="1773">
        <v>0</v>
      </c>
      <c r="N87" s="1773">
        <v>0</v>
      </c>
      <c r="O87" s="1774">
        <f t="shared" si="36"/>
        <v>364961</v>
      </c>
      <c r="P87" s="1772">
        <v>-436.6</v>
      </c>
      <c r="Q87" s="1773">
        <v>-419.47</v>
      </c>
      <c r="R87" s="1773">
        <v>0</v>
      </c>
      <c r="S87" s="1773">
        <v>0</v>
      </c>
      <c r="T87" s="1773">
        <v>0</v>
      </c>
      <c r="U87" s="1774">
        <f t="shared" si="37"/>
        <v>-856.07</v>
      </c>
      <c r="V87" s="1772"/>
      <c r="W87" s="1773"/>
      <c r="X87" s="1773"/>
      <c r="Y87" s="1773"/>
      <c r="Z87" s="1773"/>
      <c r="AA87" s="1774">
        <f t="shared" si="38"/>
        <v>0</v>
      </c>
      <c r="AB87" s="1778">
        <v>0</v>
      </c>
      <c r="AC87" s="1779">
        <v>0</v>
      </c>
      <c r="AD87" s="1779">
        <v>0</v>
      </c>
      <c r="AE87" s="1779">
        <v>500</v>
      </c>
      <c r="AF87" s="1779">
        <v>0</v>
      </c>
      <c r="AG87" s="1777">
        <f t="shared" si="39"/>
        <v>500</v>
      </c>
      <c r="AH87" s="1778"/>
      <c r="AI87" s="1779"/>
      <c r="AJ87" s="1779"/>
      <c r="AK87" s="1779"/>
      <c r="AL87" s="1779"/>
      <c r="AM87" s="1774">
        <f t="shared" si="40"/>
        <v>0</v>
      </c>
      <c r="AN87" s="1778"/>
      <c r="AO87" s="1779"/>
      <c r="AP87" s="1779"/>
      <c r="AQ87" s="1779"/>
      <c r="AR87" s="1779"/>
      <c r="AS87" s="1774">
        <f t="shared" si="41"/>
        <v>0</v>
      </c>
      <c r="AT87" s="1778"/>
      <c r="AU87" s="1779"/>
      <c r="AV87" s="1779"/>
      <c r="AW87" s="1779"/>
      <c r="AX87" s="1779"/>
      <c r="AY87" s="1774">
        <f t="shared" si="42"/>
        <v>0</v>
      </c>
    </row>
    <row r="88" spans="1:51" s="772" customFormat="1" x14ac:dyDescent="0.25">
      <c r="A88" s="1766" t="s">
        <v>216</v>
      </c>
      <c r="B88" s="1766" t="s">
        <v>217</v>
      </c>
      <c r="C88" s="1767" t="s">
        <v>264</v>
      </c>
      <c r="D88" s="1768">
        <f t="shared" si="30"/>
        <v>-787.44</v>
      </c>
      <c r="E88" s="1768">
        <f t="shared" si="31"/>
        <v>36874.649999999994</v>
      </c>
      <c r="F88" s="1768">
        <f t="shared" si="32"/>
        <v>9407.7999999999993</v>
      </c>
      <c r="G88" s="1769">
        <f t="shared" si="33"/>
        <v>0</v>
      </c>
      <c r="H88" s="1770">
        <f t="shared" si="34"/>
        <v>9407.7999999999993</v>
      </c>
      <c r="I88" s="1771">
        <f t="shared" si="35"/>
        <v>45495.009999999995</v>
      </c>
      <c r="J88" s="1772">
        <v>0</v>
      </c>
      <c r="K88" s="1773">
        <v>37631.199999999997</v>
      </c>
      <c r="L88" s="1773">
        <v>9407.7999999999993</v>
      </c>
      <c r="M88" s="1773">
        <v>0</v>
      </c>
      <c r="N88" s="1773">
        <v>0</v>
      </c>
      <c r="O88" s="1774">
        <f t="shared" si="36"/>
        <v>47039</v>
      </c>
      <c r="P88" s="1772">
        <v>-787.44</v>
      </c>
      <c r="Q88" s="1773">
        <v>-756.55</v>
      </c>
      <c r="R88" s="1773">
        <v>0</v>
      </c>
      <c r="S88" s="1773">
        <v>0</v>
      </c>
      <c r="T88" s="1773">
        <v>0</v>
      </c>
      <c r="U88" s="1774">
        <f t="shared" si="37"/>
        <v>-1543.99</v>
      </c>
      <c r="V88" s="1772"/>
      <c r="W88" s="1773"/>
      <c r="X88" s="1773"/>
      <c r="Y88" s="1773"/>
      <c r="Z88" s="1773"/>
      <c r="AA88" s="1774">
        <f t="shared" si="38"/>
        <v>0</v>
      </c>
      <c r="AB88" s="1778"/>
      <c r="AC88" s="1779"/>
      <c r="AD88" s="1779"/>
      <c r="AE88" s="1779"/>
      <c r="AF88" s="1779"/>
      <c r="AG88" s="1777">
        <f t="shared" si="39"/>
        <v>0</v>
      </c>
      <c r="AH88" s="1778"/>
      <c r="AI88" s="1779"/>
      <c r="AJ88" s="1779"/>
      <c r="AK88" s="1779"/>
      <c r="AL88" s="1779"/>
      <c r="AM88" s="1774">
        <f t="shared" si="40"/>
        <v>0</v>
      </c>
      <c r="AN88" s="1778"/>
      <c r="AO88" s="1779"/>
      <c r="AP88" s="1779"/>
      <c r="AQ88" s="1779"/>
      <c r="AR88" s="1779"/>
      <c r="AS88" s="1774">
        <f t="shared" si="41"/>
        <v>0</v>
      </c>
      <c r="AT88" s="1778"/>
      <c r="AU88" s="1779"/>
      <c r="AV88" s="1779"/>
      <c r="AW88" s="1779"/>
      <c r="AX88" s="1779"/>
      <c r="AY88" s="1774">
        <f t="shared" si="42"/>
        <v>0</v>
      </c>
    </row>
    <row r="89" spans="1:51" s="772" customFormat="1" x14ac:dyDescent="0.25">
      <c r="A89" s="1766" t="s">
        <v>218</v>
      </c>
      <c r="B89" s="1766" t="s">
        <v>219</v>
      </c>
      <c r="C89" s="1767" t="s">
        <v>267</v>
      </c>
      <c r="D89" s="1768">
        <f t="shared" si="30"/>
        <v>168726.47</v>
      </c>
      <c r="E89" s="1768">
        <f t="shared" si="31"/>
        <v>102804.92</v>
      </c>
      <c r="F89" s="1768">
        <f t="shared" si="32"/>
        <v>25709.599999999999</v>
      </c>
      <c r="G89" s="1769">
        <f t="shared" si="33"/>
        <v>0.01</v>
      </c>
      <c r="H89" s="1770">
        <f t="shared" si="34"/>
        <v>25709.609999999997</v>
      </c>
      <c r="I89" s="1771">
        <f t="shared" si="35"/>
        <v>297241</v>
      </c>
      <c r="J89" s="1772">
        <v>0</v>
      </c>
      <c r="K89" s="1773">
        <v>102838.39999999999</v>
      </c>
      <c r="L89" s="1773">
        <v>25709.599999999999</v>
      </c>
      <c r="M89" s="1773">
        <v>0</v>
      </c>
      <c r="N89" s="1773">
        <v>0</v>
      </c>
      <c r="O89" s="1774">
        <f t="shared" si="36"/>
        <v>128548</v>
      </c>
      <c r="P89" s="1772">
        <v>-34.92</v>
      </c>
      <c r="Q89" s="1773">
        <v>-33.479999999999997</v>
      </c>
      <c r="R89" s="1773">
        <v>0</v>
      </c>
      <c r="S89" s="1773">
        <v>0.01</v>
      </c>
      <c r="T89" s="1773">
        <v>0</v>
      </c>
      <c r="U89" s="1774">
        <f t="shared" si="37"/>
        <v>-68.39</v>
      </c>
      <c r="V89" s="1772"/>
      <c r="W89" s="1773"/>
      <c r="X89" s="1773"/>
      <c r="Y89" s="1773"/>
      <c r="Z89" s="1773"/>
      <c r="AA89" s="1774">
        <f t="shared" si="38"/>
        <v>0</v>
      </c>
      <c r="AB89" s="1778"/>
      <c r="AC89" s="1779"/>
      <c r="AD89" s="1779"/>
      <c r="AE89" s="1779"/>
      <c r="AF89" s="1779"/>
      <c r="AG89" s="1777">
        <f t="shared" si="39"/>
        <v>0</v>
      </c>
      <c r="AH89" s="1775">
        <v>2203</v>
      </c>
      <c r="AI89" s="1776">
        <v>0</v>
      </c>
      <c r="AJ89" s="1776">
        <v>0</v>
      </c>
      <c r="AK89" s="1776">
        <v>0</v>
      </c>
      <c r="AL89" s="1776">
        <v>0</v>
      </c>
      <c r="AM89" s="1774">
        <f t="shared" si="40"/>
        <v>2203</v>
      </c>
      <c r="AN89" s="1775"/>
      <c r="AO89" s="1776"/>
      <c r="AP89" s="1776"/>
      <c r="AQ89" s="1776"/>
      <c r="AR89" s="1776"/>
      <c r="AS89" s="1774">
        <f t="shared" si="41"/>
        <v>0</v>
      </c>
      <c r="AT89" s="1775">
        <v>166558.39000000001</v>
      </c>
      <c r="AU89" s="1776">
        <v>0</v>
      </c>
      <c r="AV89" s="1776">
        <v>0</v>
      </c>
      <c r="AW89" s="1776">
        <v>0</v>
      </c>
      <c r="AX89" s="1776">
        <v>0</v>
      </c>
      <c r="AY89" s="1774">
        <f t="shared" si="42"/>
        <v>166558.39000000001</v>
      </c>
    </row>
    <row r="90" spans="1:51" s="772" customFormat="1" x14ac:dyDescent="0.25">
      <c r="A90" s="1766" t="s">
        <v>220</v>
      </c>
      <c r="B90" s="1766" t="s">
        <v>221</v>
      </c>
      <c r="C90" s="1767" t="s">
        <v>267</v>
      </c>
      <c r="D90" s="1768">
        <f t="shared" si="30"/>
        <v>-563.54999999999995</v>
      </c>
      <c r="E90" s="1768">
        <f t="shared" si="31"/>
        <v>53353.75</v>
      </c>
      <c r="F90" s="1768">
        <f t="shared" si="32"/>
        <v>13473.8</v>
      </c>
      <c r="G90" s="1769">
        <f t="shared" si="33"/>
        <v>0</v>
      </c>
      <c r="H90" s="1770">
        <f t="shared" si="34"/>
        <v>13473.8</v>
      </c>
      <c r="I90" s="1771">
        <f t="shared" si="35"/>
        <v>66264</v>
      </c>
      <c r="J90" s="1772">
        <v>0</v>
      </c>
      <c r="K90" s="1773">
        <v>53895.199999999997</v>
      </c>
      <c r="L90" s="1773">
        <v>13473.8</v>
      </c>
      <c r="M90" s="1773">
        <v>0</v>
      </c>
      <c r="N90" s="1773">
        <v>0</v>
      </c>
      <c r="O90" s="1774">
        <f t="shared" si="36"/>
        <v>67369</v>
      </c>
      <c r="P90" s="1772">
        <v>-563.54999999999995</v>
      </c>
      <c r="Q90" s="1773">
        <v>-541.45000000000005</v>
      </c>
      <c r="R90" s="1773">
        <v>0</v>
      </c>
      <c r="S90" s="1773">
        <v>0</v>
      </c>
      <c r="T90" s="1773">
        <v>0</v>
      </c>
      <c r="U90" s="1774">
        <f t="shared" si="37"/>
        <v>-1105</v>
      </c>
      <c r="V90" s="1772"/>
      <c r="W90" s="1773"/>
      <c r="X90" s="1773"/>
      <c r="Y90" s="1773"/>
      <c r="Z90" s="1773"/>
      <c r="AA90" s="1774">
        <f t="shared" si="38"/>
        <v>0</v>
      </c>
      <c r="AB90" s="1775"/>
      <c r="AC90" s="1776"/>
      <c r="AD90" s="1776"/>
      <c r="AE90" s="1776"/>
      <c r="AF90" s="1776"/>
      <c r="AG90" s="1777">
        <f t="shared" si="39"/>
        <v>0</v>
      </c>
      <c r="AH90" s="1775"/>
      <c r="AI90" s="1776"/>
      <c r="AJ90" s="1776"/>
      <c r="AK90" s="1776"/>
      <c r="AL90" s="1776"/>
      <c r="AM90" s="1774">
        <f t="shared" si="40"/>
        <v>0</v>
      </c>
      <c r="AN90" s="1775"/>
      <c r="AO90" s="1776"/>
      <c r="AP90" s="1776"/>
      <c r="AQ90" s="1776"/>
      <c r="AR90" s="1776"/>
      <c r="AS90" s="1774">
        <f t="shared" si="41"/>
        <v>0</v>
      </c>
      <c r="AT90" s="1775"/>
      <c r="AU90" s="1776"/>
      <c r="AV90" s="1776"/>
      <c r="AW90" s="1776"/>
      <c r="AX90" s="1776"/>
      <c r="AY90" s="1774">
        <f t="shared" si="42"/>
        <v>0</v>
      </c>
    </row>
    <row r="91" spans="1:51" s="772" customFormat="1" x14ac:dyDescent="0.25">
      <c r="A91" s="1766" t="s">
        <v>224</v>
      </c>
      <c r="B91" s="1766" t="s">
        <v>225</v>
      </c>
      <c r="C91" s="1767" t="s">
        <v>264</v>
      </c>
      <c r="D91" s="1768">
        <f t="shared" si="30"/>
        <v>0</v>
      </c>
      <c r="E91" s="1768">
        <f t="shared" si="31"/>
        <v>38775.46</v>
      </c>
      <c r="F91" s="1768">
        <f t="shared" si="32"/>
        <v>9693.86</v>
      </c>
      <c r="G91" s="1769">
        <f t="shared" si="33"/>
        <v>0</v>
      </c>
      <c r="H91" s="1770">
        <f t="shared" si="34"/>
        <v>9693.86</v>
      </c>
      <c r="I91" s="1771">
        <f t="shared" si="35"/>
        <v>48469.32</v>
      </c>
      <c r="J91" s="1772">
        <v>0</v>
      </c>
      <c r="K91" s="1773">
        <v>38775.46</v>
      </c>
      <c r="L91" s="1773">
        <v>9693.86</v>
      </c>
      <c r="M91" s="1773">
        <v>0</v>
      </c>
      <c r="N91" s="1773">
        <v>0</v>
      </c>
      <c r="O91" s="1774">
        <f t="shared" si="36"/>
        <v>48469.32</v>
      </c>
      <c r="P91" s="1772"/>
      <c r="Q91" s="1773"/>
      <c r="R91" s="1773"/>
      <c r="S91" s="1773"/>
      <c r="T91" s="1773"/>
      <c r="U91" s="1774">
        <f t="shared" si="37"/>
        <v>0</v>
      </c>
      <c r="V91" s="1772"/>
      <c r="W91" s="1773"/>
      <c r="X91" s="1773"/>
      <c r="Y91" s="1773"/>
      <c r="Z91" s="1773"/>
      <c r="AA91" s="1774">
        <f t="shared" si="38"/>
        <v>0</v>
      </c>
      <c r="AB91" s="1778"/>
      <c r="AC91" s="1779"/>
      <c r="AD91" s="1779"/>
      <c r="AE91" s="1779"/>
      <c r="AF91" s="1779"/>
      <c r="AG91" s="1777">
        <f t="shared" si="39"/>
        <v>0</v>
      </c>
      <c r="AH91" s="1778"/>
      <c r="AI91" s="1779"/>
      <c r="AJ91" s="1779"/>
      <c r="AK91" s="1779"/>
      <c r="AL91" s="1779"/>
      <c r="AM91" s="1774">
        <f t="shared" si="40"/>
        <v>0</v>
      </c>
      <c r="AN91" s="1778"/>
      <c r="AO91" s="1779"/>
      <c r="AP91" s="1779"/>
      <c r="AQ91" s="1779"/>
      <c r="AR91" s="1779"/>
      <c r="AS91" s="1774">
        <f t="shared" si="41"/>
        <v>0</v>
      </c>
      <c r="AT91" s="1778"/>
      <c r="AU91" s="1779"/>
      <c r="AV91" s="1779"/>
      <c r="AW91" s="1779"/>
      <c r="AX91" s="1779"/>
      <c r="AY91" s="1774">
        <f t="shared" si="42"/>
        <v>0</v>
      </c>
    </row>
    <row r="92" spans="1:51" s="772" customFormat="1" x14ac:dyDescent="0.25">
      <c r="A92" s="1766" t="s">
        <v>226</v>
      </c>
      <c r="B92" s="1766" t="s">
        <v>227</v>
      </c>
      <c r="C92" s="1767" t="s">
        <v>264</v>
      </c>
      <c r="D92" s="1768">
        <f t="shared" si="30"/>
        <v>-456.45</v>
      </c>
      <c r="E92" s="1768">
        <f t="shared" si="31"/>
        <v>50879.049999999996</v>
      </c>
      <c r="F92" s="1768">
        <f t="shared" si="32"/>
        <v>12829.4</v>
      </c>
      <c r="G92" s="1769">
        <f t="shared" si="33"/>
        <v>0</v>
      </c>
      <c r="H92" s="1770">
        <f t="shared" si="34"/>
        <v>12829.4</v>
      </c>
      <c r="I92" s="1771">
        <f t="shared" si="35"/>
        <v>63252</v>
      </c>
      <c r="J92" s="1772">
        <v>0</v>
      </c>
      <c r="K92" s="1773">
        <v>51317.599999999999</v>
      </c>
      <c r="L92" s="1773">
        <v>12829.4</v>
      </c>
      <c r="M92" s="1773">
        <v>0</v>
      </c>
      <c r="N92" s="1773">
        <v>0</v>
      </c>
      <c r="O92" s="1774">
        <f t="shared" si="36"/>
        <v>64147</v>
      </c>
      <c r="P92" s="1772">
        <v>-456.45</v>
      </c>
      <c r="Q92" s="1773">
        <v>-438.55</v>
      </c>
      <c r="R92" s="1773">
        <v>0</v>
      </c>
      <c r="S92" s="1773">
        <v>0</v>
      </c>
      <c r="T92" s="1773">
        <v>0</v>
      </c>
      <c r="U92" s="1774">
        <f t="shared" si="37"/>
        <v>-895</v>
      </c>
      <c r="V92" s="1772"/>
      <c r="W92" s="1773"/>
      <c r="X92" s="1773"/>
      <c r="Y92" s="1773"/>
      <c r="Z92" s="1773"/>
      <c r="AA92" s="1774">
        <f t="shared" si="38"/>
        <v>0</v>
      </c>
      <c r="AB92" s="1775"/>
      <c r="AC92" s="1776"/>
      <c r="AD92" s="1776"/>
      <c r="AE92" s="1776"/>
      <c r="AF92" s="1776"/>
      <c r="AG92" s="1777">
        <f t="shared" si="39"/>
        <v>0</v>
      </c>
      <c r="AH92" s="1778"/>
      <c r="AI92" s="1779"/>
      <c r="AJ92" s="1779"/>
      <c r="AK92" s="1779"/>
      <c r="AL92" s="1779"/>
      <c r="AM92" s="1774">
        <f t="shared" si="40"/>
        <v>0</v>
      </c>
      <c r="AN92" s="1778"/>
      <c r="AO92" s="1779"/>
      <c r="AP92" s="1779"/>
      <c r="AQ92" s="1779"/>
      <c r="AR92" s="1779"/>
      <c r="AS92" s="1774">
        <f t="shared" si="41"/>
        <v>0</v>
      </c>
      <c r="AT92" s="1778"/>
      <c r="AU92" s="1779"/>
      <c r="AV92" s="1779"/>
      <c r="AW92" s="1779"/>
      <c r="AX92" s="1779"/>
      <c r="AY92" s="1774">
        <f t="shared" si="42"/>
        <v>0</v>
      </c>
    </row>
    <row r="93" spans="1:51" s="772" customFormat="1" x14ac:dyDescent="0.25">
      <c r="A93" s="1766" t="s">
        <v>228</v>
      </c>
      <c r="B93" s="1766" t="s">
        <v>229</v>
      </c>
      <c r="C93" s="1767" t="s">
        <v>268</v>
      </c>
      <c r="D93" s="1768">
        <f t="shared" si="30"/>
        <v>-822.84</v>
      </c>
      <c r="E93" s="1768">
        <f t="shared" si="31"/>
        <v>279820.02999999997</v>
      </c>
      <c r="F93" s="1768">
        <f t="shared" si="32"/>
        <v>70265.399999999994</v>
      </c>
      <c r="G93" s="1769">
        <f t="shared" si="33"/>
        <v>34905.279999999999</v>
      </c>
      <c r="H93" s="1770">
        <f t="shared" si="34"/>
        <v>105170.68</v>
      </c>
      <c r="I93" s="1771">
        <f t="shared" si="35"/>
        <v>384167.87</v>
      </c>
      <c r="J93" s="1772">
        <v>0</v>
      </c>
      <c r="K93" s="1773">
        <v>281061.59999999998</v>
      </c>
      <c r="L93" s="1773">
        <v>70265.399999999994</v>
      </c>
      <c r="M93" s="1773">
        <v>0</v>
      </c>
      <c r="N93" s="1773">
        <v>0</v>
      </c>
      <c r="O93" s="1774">
        <f t="shared" si="36"/>
        <v>351327</v>
      </c>
      <c r="P93" s="1772">
        <v>-822.84</v>
      </c>
      <c r="Q93" s="1773">
        <v>-790.57</v>
      </c>
      <c r="R93" s="1773">
        <v>0</v>
      </c>
      <c r="S93" s="1773">
        <v>0</v>
      </c>
      <c r="T93" s="1773">
        <v>0</v>
      </c>
      <c r="U93" s="1774">
        <f t="shared" si="37"/>
        <v>-1613.41</v>
      </c>
      <c r="V93" s="1772"/>
      <c r="W93" s="1773"/>
      <c r="X93" s="1773"/>
      <c r="Y93" s="1773"/>
      <c r="Z93" s="1773"/>
      <c r="AA93" s="1774">
        <f t="shared" si="38"/>
        <v>0</v>
      </c>
      <c r="AB93" s="1775">
        <v>0</v>
      </c>
      <c r="AC93" s="1776">
        <v>0</v>
      </c>
      <c r="AD93" s="1776">
        <v>0</v>
      </c>
      <c r="AE93" s="1776">
        <v>34905.279999999999</v>
      </c>
      <c r="AF93" s="1776">
        <v>0</v>
      </c>
      <c r="AG93" s="1777">
        <f t="shared" si="39"/>
        <v>34905.279999999999</v>
      </c>
      <c r="AH93" s="1778"/>
      <c r="AI93" s="1779"/>
      <c r="AJ93" s="1779"/>
      <c r="AK93" s="1779"/>
      <c r="AL93" s="1779"/>
      <c r="AM93" s="1774">
        <f t="shared" si="40"/>
        <v>0</v>
      </c>
      <c r="AN93" s="1778">
        <v>0</v>
      </c>
      <c r="AO93" s="1779">
        <v>-451</v>
      </c>
      <c r="AP93" s="1779">
        <v>0</v>
      </c>
      <c r="AQ93" s="1779">
        <v>0</v>
      </c>
      <c r="AR93" s="1779">
        <v>0</v>
      </c>
      <c r="AS93" s="1774">
        <f t="shared" si="41"/>
        <v>-451</v>
      </c>
      <c r="AT93" s="1778"/>
      <c r="AU93" s="1779"/>
      <c r="AV93" s="1779"/>
      <c r="AW93" s="1779"/>
      <c r="AX93" s="1779"/>
      <c r="AY93" s="1774">
        <f t="shared" si="42"/>
        <v>0</v>
      </c>
    </row>
    <row r="94" spans="1:51" s="772" customFormat="1" x14ac:dyDescent="0.25">
      <c r="A94" s="1766" t="s">
        <v>232</v>
      </c>
      <c r="B94" s="1766" t="s">
        <v>233</v>
      </c>
      <c r="C94" s="1767" t="s">
        <v>267</v>
      </c>
      <c r="D94" s="1768">
        <f t="shared" si="30"/>
        <v>387.09</v>
      </c>
      <c r="E94" s="1768">
        <f t="shared" si="31"/>
        <v>73451.91</v>
      </c>
      <c r="F94" s="1768">
        <f t="shared" si="32"/>
        <v>18270</v>
      </c>
      <c r="G94" s="1769">
        <f t="shared" si="33"/>
        <v>0</v>
      </c>
      <c r="H94" s="1770">
        <f t="shared" si="34"/>
        <v>18270</v>
      </c>
      <c r="I94" s="1771">
        <f t="shared" si="35"/>
        <v>92109</v>
      </c>
      <c r="J94" s="1772">
        <v>0</v>
      </c>
      <c r="K94" s="1773">
        <v>73080</v>
      </c>
      <c r="L94" s="1773">
        <v>18270</v>
      </c>
      <c r="M94" s="1773">
        <v>0</v>
      </c>
      <c r="N94" s="1773">
        <v>0</v>
      </c>
      <c r="O94" s="1774">
        <f t="shared" si="36"/>
        <v>91350</v>
      </c>
      <c r="P94" s="1772">
        <v>387.09</v>
      </c>
      <c r="Q94" s="1773">
        <v>371.91</v>
      </c>
      <c r="R94" s="1773">
        <v>0</v>
      </c>
      <c r="S94" s="1773">
        <v>0</v>
      </c>
      <c r="T94" s="1773">
        <v>0</v>
      </c>
      <c r="U94" s="1774">
        <f t="shared" si="37"/>
        <v>759</v>
      </c>
      <c r="V94" s="1772"/>
      <c r="W94" s="1773"/>
      <c r="X94" s="1773"/>
      <c r="Y94" s="1773"/>
      <c r="Z94" s="1773"/>
      <c r="AA94" s="1774">
        <f t="shared" si="38"/>
        <v>0</v>
      </c>
      <c r="AB94" s="1778"/>
      <c r="AC94" s="1779"/>
      <c r="AD94" s="1779"/>
      <c r="AE94" s="1779"/>
      <c r="AF94" s="1779"/>
      <c r="AG94" s="1777">
        <f t="shared" si="39"/>
        <v>0</v>
      </c>
      <c r="AH94" s="1778"/>
      <c r="AI94" s="1779"/>
      <c r="AJ94" s="1779"/>
      <c r="AK94" s="1779"/>
      <c r="AL94" s="1779"/>
      <c r="AM94" s="1774">
        <f t="shared" si="40"/>
        <v>0</v>
      </c>
      <c r="AN94" s="1778"/>
      <c r="AO94" s="1779"/>
      <c r="AP94" s="1779"/>
      <c r="AQ94" s="1779"/>
      <c r="AR94" s="1779"/>
      <c r="AS94" s="1774">
        <f t="shared" si="41"/>
        <v>0</v>
      </c>
      <c r="AT94" s="1778"/>
      <c r="AU94" s="1779"/>
      <c r="AV94" s="1779"/>
      <c r="AW94" s="1779"/>
      <c r="AX94" s="1779"/>
      <c r="AY94" s="1774">
        <f t="shared" si="42"/>
        <v>0</v>
      </c>
    </row>
    <row r="95" spans="1:51" s="772" customFormat="1" x14ac:dyDescent="0.25">
      <c r="A95" s="1766" t="s">
        <v>234</v>
      </c>
      <c r="B95" s="1766" t="s">
        <v>235</v>
      </c>
      <c r="C95" s="1767" t="s">
        <v>268</v>
      </c>
      <c r="D95" s="1768">
        <f t="shared" si="30"/>
        <v>-553.86</v>
      </c>
      <c r="E95" s="1768">
        <f t="shared" si="31"/>
        <v>730673.46</v>
      </c>
      <c r="F95" s="1768">
        <f t="shared" si="32"/>
        <v>182801.4</v>
      </c>
      <c r="G95" s="1769">
        <f t="shared" si="33"/>
        <v>9600</v>
      </c>
      <c r="H95" s="1770">
        <f t="shared" si="34"/>
        <v>192401.4</v>
      </c>
      <c r="I95" s="1771">
        <f t="shared" si="35"/>
        <v>922521</v>
      </c>
      <c r="J95" s="1772">
        <v>0</v>
      </c>
      <c r="K95" s="1773">
        <v>731205.6</v>
      </c>
      <c r="L95" s="1773">
        <v>182801.4</v>
      </c>
      <c r="M95" s="1773">
        <v>0</v>
      </c>
      <c r="N95" s="1773">
        <v>0</v>
      </c>
      <c r="O95" s="1774">
        <f t="shared" si="36"/>
        <v>914007</v>
      </c>
      <c r="P95" s="1772">
        <v>-553.86</v>
      </c>
      <c r="Q95" s="1773">
        <v>-532.14</v>
      </c>
      <c r="R95" s="1773">
        <v>0</v>
      </c>
      <c r="S95" s="1773">
        <v>0</v>
      </c>
      <c r="T95" s="1773">
        <v>0</v>
      </c>
      <c r="U95" s="1774">
        <f t="shared" si="37"/>
        <v>-1086</v>
      </c>
      <c r="V95" s="1772"/>
      <c r="W95" s="1773"/>
      <c r="X95" s="1773"/>
      <c r="Y95" s="1773"/>
      <c r="Z95" s="1773"/>
      <c r="AA95" s="1774">
        <f t="shared" si="38"/>
        <v>0</v>
      </c>
      <c r="AB95" s="1775">
        <v>0</v>
      </c>
      <c r="AC95" s="1776">
        <v>0</v>
      </c>
      <c r="AD95" s="1776">
        <v>0</v>
      </c>
      <c r="AE95" s="1776">
        <v>9600</v>
      </c>
      <c r="AF95" s="1776">
        <v>0</v>
      </c>
      <c r="AG95" s="1777">
        <f t="shared" si="39"/>
        <v>9600</v>
      </c>
      <c r="AH95" s="1778"/>
      <c r="AI95" s="1779"/>
      <c r="AJ95" s="1779"/>
      <c r="AK95" s="1779"/>
      <c r="AL95" s="1779"/>
      <c r="AM95" s="1774">
        <f t="shared" si="40"/>
        <v>0</v>
      </c>
      <c r="AN95" s="1778"/>
      <c r="AO95" s="1779"/>
      <c r="AP95" s="1779"/>
      <c r="AQ95" s="1779"/>
      <c r="AR95" s="1779"/>
      <c r="AS95" s="1774">
        <f t="shared" si="41"/>
        <v>0</v>
      </c>
      <c r="AT95" s="1778"/>
      <c r="AU95" s="1779"/>
      <c r="AV95" s="1779"/>
      <c r="AW95" s="1779"/>
      <c r="AX95" s="1779"/>
      <c r="AY95" s="1774">
        <f t="shared" si="42"/>
        <v>0</v>
      </c>
    </row>
    <row r="96" spans="1:51" s="772" customFormat="1" x14ac:dyDescent="0.25">
      <c r="A96" s="1766" t="s">
        <v>236</v>
      </c>
      <c r="B96" s="1766" t="s">
        <v>237</v>
      </c>
      <c r="C96" s="1767" t="s">
        <v>266</v>
      </c>
      <c r="D96" s="1768">
        <f t="shared" si="30"/>
        <v>0</v>
      </c>
      <c r="E96" s="1768">
        <f t="shared" si="31"/>
        <v>35252.800000000003</v>
      </c>
      <c r="F96" s="1768">
        <f t="shared" si="32"/>
        <v>8813.2000000000007</v>
      </c>
      <c r="G96" s="1769">
        <f t="shared" si="33"/>
        <v>1500</v>
      </c>
      <c r="H96" s="1770">
        <f t="shared" si="34"/>
        <v>10313.200000000001</v>
      </c>
      <c r="I96" s="1771">
        <f t="shared" si="35"/>
        <v>45566</v>
      </c>
      <c r="J96" s="1772">
        <v>0</v>
      </c>
      <c r="K96" s="1773">
        <v>35252.800000000003</v>
      </c>
      <c r="L96" s="1773">
        <v>8813.2000000000007</v>
      </c>
      <c r="M96" s="1773">
        <v>0</v>
      </c>
      <c r="N96" s="1773">
        <v>0</v>
      </c>
      <c r="O96" s="1774">
        <f t="shared" si="36"/>
        <v>44066</v>
      </c>
      <c r="P96" s="1772"/>
      <c r="Q96" s="1773"/>
      <c r="R96" s="1773"/>
      <c r="S96" s="1773"/>
      <c r="T96" s="1773"/>
      <c r="U96" s="1774">
        <f t="shared" si="37"/>
        <v>0</v>
      </c>
      <c r="V96" s="1772"/>
      <c r="W96" s="1773"/>
      <c r="X96" s="1773"/>
      <c r="Y96" s="1773"/>
      <c r="Z96" s="1773"/>
      <c r="AA96" s="1774">
        <f t="shared" si="38"/>
        <v>0</v>
      </c>
      <c r="AB96" s="1778">
        <v>0</v>
      </c>
      <c r="AC96" s="1779">
        <v>0</v>
      </c>
      <c r="AD96" s="1779">
        <v>0</v>
      </c>
      <c r="AE96" s="1779">
        <v>1500</v>
      </c>
      <c r="AF96" s="1779">
        <v>0</v>
      </c>
      <c r="AG96" s="1777">
        <f t="shared" si="39"/>
        <v>1500</v>
      </c>
      <c r="AH96" s="1778"/>
      <c r="AI96" s="1779"/>
      <c r="AJ96" s="1779"/>
      <c r="AK96" s="1779"/>
      <c r="AL96" s="1779"/>
      <c r="AM96" s="1774">
        <f t="shared" si="40"/>
        <v>0</v>
      </c>
      <c r="AN96" s="1778"/>
      <c r="AO96" s="1779"/>
      <c r="AP96" s="1779"/>
      <c r="AQ96" s="1779"/>
      <c r="AR96" s="1779"/>
      <c r="AS96" s="1774">
        <f t="shared" si="41"/>
        <v>0</v>
      </c>
      <c r="AT96" s="1778"/>
      <c r="AU96" s="1779"/>
      <c r="AV96" s="1779"/>
      <c r="AW96" s="1779"/>
      <c r="AX96" s="1779"/>
      <c r="AY96" s="1774">
        <f t="shared" si="42"/>
        <v>0</v>
      </c>
    </row>
    <row r="97" spans="1:51" s="772" customFormat="1" x14ac:dyDescent="0.25">
      <c r="A97" s="1766" t="s">
        <v>242</v>
      </c>
      <c r="B97" s="1766" t="s">
        <v>243</v>
      </c>
      <c r="C97" s="1767" t="s">
        <v>268</v>
      </c>
      <c r="D97" s="1768">
        <f t="shared" si="30"/>
        <v>-2945.23</v>
      </c>
      <c r="E97" s="1768">
        <f t="shared" si="31"/>
        <v>183875.06999999998</v>
      </c>
      <c r="F97" s="1768">
        <f t="shared" si="32"/>
        <v>46676.2</v>
      </c>
      <c r="G97" s="1769">
        <f t="shared" si="33"/>
        <v>10</v>
      </c>
      <c r="H97" s="1770">
        <f t="shared" si="34"/>
        <v>46686.2</v>
      </c>
      <c r="I97" s="1771">
        <f t="shared" si="35"/>
        <v>227616.03999999998</v>
      </c>
      <c r="J97" s="1772">
        <v>0</v>
      </c>
      <c r="K97" s="1773">
        <v>186704.8</v>
      </c>
      <c r="L97" s="1773">
        <v>46676.2</v>
      </c>
      <c r="M97" s="1773">
        <v>0</v>
      </c>
      <c r="N97" s="1773">
        <v>0</v>
      </c>
      <c r="O97" s="1774">
        <f t="shared" si="36"/>
        <v>233381</v>
      </c>
      <c r="P97" s="1772">
        <v>-2945.23</v>
      </c>
      <c r="Q97" s="1773">
        <v>-2829.73</v>
      </c>
      <c r="R97" s="1773">
        <v>0</v>
      </c>
      <c r="S97" s="1773">
        <v>10</v>
      </c>
      <c r="T97" s="1773">
        <v>0</v>
      </c>
      <c r="U97" s="1774">
        <f t="shared" si="37"/>
        <v>-5764.96</v>
      </c>
      <c r="V97" s="1772"/>
      <c r="W97" s="1773"/>
      <c r="X97" s="1773"/>
      <c r="Y97" s="1773"/>
      <c r="Z97" s="1773"/>
      <c r="AA97" s="1774">
        <f t="shared" si="38"/>
        <v>0</v>
      </c>
      <c r="AB97" s="1778"/>
      <c r="AC97" s="1779"/>
      <c r="AD97" s="1779"/>
      <c r="AE97" s="1779"/>
      <c r="AF97" s="1779"/>
      <c r="AG97" s="1777">
        <f t="shared" si="39"/>
        <v>0</v>
      </c>
      <c r="AH97" s="1778"/>
      <c r="AI97" s="1779"/>
      <c r="AJ97" s="1779"/>
      <c r="AK97" s="1779"/>
      <c r="AL97" s="1779"/>
      <c r="AM97" s="1774">
        <f t="shared" si="40"/>
        <v>0</v>
      </c>
      <c r="AN97" s="1778"/>
      <c r="AO97" s="1779"/>
      <c r="AP97" s="1779"/>
      <c r="AQ97" s="1779"/>
      <c r="AR97" s="1779"/>
      <c r="AS97" s="1774">
        <f t="shared" si="41"/>
        <v>0</v>
      </c>
      <c r="AT97" s="1778"/>
      <c r="AU97" s="1779"/>
      <c r="AV97" s="1779"/>
      <c r="AW97" s="1779"/>
      <c r="AX97" s="1779"/>
      <c r="AY97" s="1774">
        <f t="shared" si="42"/>
        <v>0</v>
      </c>
    </row>
    <row r="98" spans="1:51" s="772" customFormat="1" x14ac:dyDescent="0.25">
      <c r="A98" s="1766" t="s">
        <v>244</v>
      </c>
      <c r="B98" s="1766" t="s">
        <v>245</v>
      </c>
      <c r="C98" s="1767" t="s">
        <v>268</v>
      </c>
      <c r="D98" s="1768">
        <f t="shared" si="30"/>
        <v>-893.01</v>
      </c>
      <c r="E98" s="1768">
        <f t="shared" si="31"/>
        <v>93308.409999999989</v>
      </c>
      <c r="F98" s="1768">
        <f t="shared" si="32"/>
        <v>23541.599999999999</v>
      </c>
      <c r="G98" s="1769">
        <f t="shared" si="33"/>
        <v>60</v>
      </c>
      <c r="H98" s="1770">
        <f t="shared" si="34"/>
        <v>23601.599999999999</v>
      </c>
      <c r="I98" s="1771">
        <f t="shared" si="35"/>
        <v>116017</v>
      </c>
      <c r="J98" s="1772">
        <v>0</v>
      </c>
      <c r="K98" s="1773">
        <v>94166.399999999994</v>
      </c>
      <c r="L98" s="1773">
        <v>23541.599999999999</v>
      </c>
      <c r="M98" s="1773">
        <v>0</v>
      </c>
      <c r="N98" s="1773">
        <v>0</v>
      </c>
      <c r="O98" s="1774">
        <f t="shared" si="36"/>
        <v>117708</v>
      </c>
      <c r="P98" s="1772">
        <v>-893.01</v>
      </c>
      <c r="Q98" s="1773">
        <v>-857.99</v>
      </c>
      <c r="R98" s="1773">
        <v>0</v>
      </c>
      <c r="S98" s="1773">
        <v>60</v>
      </c>
      <c r="T98" s="1773">
        <v>0</v>
      </c>
      <c r="U98" s="1774">
        <f t="shared" si="37"/>
        <v>-1691</v>
      </c>
      <c r="V98" s="1772"/>
      <c r="W98" s="1773"/>
      <c r="X98" s="1773"/>
      <c r="Y98" s="1773"/>
      <c r="Z98" s="1773"/>
      <c r="AA98" s="1774">
        <f t="shared" si="38"/>
        <v>0</v>
      </c>
      <c r="AB98" s="1775"/>
      <c r="AC98" s="1776"/>
      <c r="AD98" s="1776"/>
      <c r="AE98" s="1776"/>
      <c r="AF98" s="1776"/>
      <c r="AG98" s="1777">
        <f t="shared" si="39"/>
        <v>0</v>
      </c>
      <c r="AH98" s="1778"/>
      <c r="AI98" s="1779"/>
      <c r="AJ98" s="1779"/>
      <c r="AK98" s="1779"/>
      <c r="AL98" s="1779"/>
      <c r="AM98" s="1774">
        <f t="shared" si="40"/>
        <v>0</v>
      </c>
      <c r="AN98" s="1778"/>
      <c r="AO98" s="1779"/>
      <c r="AP98" s="1779"/>
      <c r="AQ98" s="1779"/>
      <c r="AR98" s="1779"/>
      <c r="AS98" s="1774">
        <f t="shared" si="41"/>
        <v>0</v>
      </c>
      <c r="AT98" s="1778"/>
      <c r="AU98" s="1779"/>
      <c r="AV98" s="1779"/>
      <c r="AW98" s="1779"/>
      <c r="AX98" s="1779"/>
      <c r="AY98" s="1774">
        <f t="shared" si="42"/>
        <v>0</v>
      </c>
    </row>
    <row r="99" spans="1:51" s="772" customFormat="1" x14ac:dyDescent="0.25">
      <c r="A99" s="1766" t="s">
        <v>246</v>
      </c>
      <c r="B99" s="1766" t="s">
        <v>310</v>
      </c>
      <c r="C99" s="1767" t="s">
        <v>264</v>
      </c>
      <c r="D99" s="1768">
        <f t="shared" si="30"/>
        <v>1374.13</v>
      </c>
      <c r="E99" s="1768">
        <f t="shared" si="31"/>
        <v>30983.889999999996</v>
      </c>
      <c r="F99" s="1768">
        <f t="shared" si="32"/>
        <v>7881.0199999999995</v>
      </c>
      <c r="G99" s="1769">
        <f t="shared" si="33"/>
        <v>0.01</v>
      </c>
      <c r="H99" s="1770">
        <f t="shared" si="34"/>
        <v>7881.03</v>
      </c>
      <c r="I99" s="1771">
        <f t="shared" si="35"/>
        <v>40239.049999999996</v>
      </c>
      <c r="J99" s="1772">
        <v>0</v>
      </c>
      <c r="K99" s="1773">
        <v>31681.599999999999</v>
      </c>
      <c r="L99" s="1773">
        <v>7920.4</v>
      </c>
      <c r="M99" s="1773">
        <v>0</v>
      </c>
      <c r="N99" s="1773">
        <v>0</v>
      </c>
      <c r="O99" s="1774">
        <f t="shared" si="36"/>
        <v>39602</v>
      </c>
      <c r="P99" s="1772">
        <v>-657.87</v>
      </c>
      <c r="Q99" s="1773">
        <v>-632.08000000000004</v>
      </c>
      <c r="R99" s="1773">
        <v>0</v>
      </c>
      <c r="S99" s="1773">
        <v>0</v>
      </c>
      <c r="T99" s="1773">
        <v>0</v>
      </c>
      <c r="U99" s="1774">
        <f t="shared" si="37"/>
        <v>-1289.95</v>
      </c>
      <c r="V99" s="1772"/>
      <c r="W99" s="1773"/>
      <c r="X99" s="1773"/>
      <c r="Y99" s="1773"/>
      <c r="Z99" s="1773"/>
      <c r="AA99" s="1774">
        <f t="shared" si="38"/>
        <v>0</v>
      </c>
      <c r="AB99" s="1775">
        <v>0</v>
      </c>
      <c r="AC99" s="1776">
        <v>-65.63</v>
      </c>
      <c r="AD99" s="1776">
        <v>-39.380000000000003</v>
      </c>
      <c r="AE99" s="1776">
        <v>0.01</v>
      </c>
      <c r="AF99" s="1776">
        <v>0</v>
      </c>
      <c r="AG99" s="1777">
        <f t="shared" si="39"/>
        <v>-104.99999999999999</v>
      </c>
      <c r="AH99" s="1778">
        <v>2032</v>
      </c>
      <c r="AI99" s="1779">
        <v>0</v>
      </c>
      <c r="AJ99" s="1779">
        <v>0</v>
      </c>
      <c r="AK99" s="1779">
        <v>0</v>
      </c>
      <c r="AL99" s="1779">
        <v>0</v>
      </c>
      <c r="AM99" s="1774">
        <f t="shared" si="40"/>
        <v>2032</v>
      </c>
      <c r="AN99" s="1778"/>
      <c r="AO99" s="1779"/>
      <c r="AP99" s="1779"/>
      <c r="AQ99" s="1779"/>
      <c r="AR99" s="1779"/>
      <c r="AS99" s="1774">
        <f t="shared" si="41"/>
        <v>0</v>
      </c>
      <c r="AT99" s="1778"/>
      <c r="AU99" s="1779"/>
      <c r="AV99" s="1779"/>
      <c r="AW99" s="1779"/>
      <c r="AX99" s="1779"/>
      <c r="AY99" s="1774">
        <f t="shared" si="42"/>
        <v>0</v>
      </c>
    </row>
    <row r="100" spans="1:51" s="772" customFormat="1" x14ac:dyDescent="0.25">
      <c r="A100" s="1766" t="s">
        <v>14</v>
      </c>
      <c r="B100" s="1766" t="s">
        <v>15</v>
      </c>
      <c r="C100" s="1767" t="s">
        <v>267</v>
      </c>
      <c r="D100" s="1768">
        <f t="shared" si="30"/>
        <v>140650.07999999999</v>
      </c>
      <c r="E100" s="1768">
        <f t="shared" si="31"/>
        <v>176545.94</v>
      </c>
      <c r="F100" s="1768">
        <f t="shared" si="32"/>
        <v>50161.82</v>
      </c>
      <c r="G100" s="1769">
        <f t="shared" si="33"/>
        <v>0.01</v>
      </c>
      <c r="H100" s="1770">
        <f t="shared" si="34"/>
        <v>50161.83</v>
      </c>
      <c r="I100" s="1771">
        <f t="shared" si="35"/>
        <v>367357.85000000003</v>
      </c>
      <c r="J100" s="1772">
        <v>0</v>
      </c>
      <c r="K100" s="1773">
        <v>167050.29999999999</v>
      </c>
      <c r="L100" s="1773">
        <v>41762.57</v>
      </c>
      <c r="M100" s="1773">
        <v>0</v>
      </c>
      <c r="N100" s="1773">
        <v>0</v>
      </c>
      <c r="O100" s="1774">
        <f t="shared" si="36"/>
        <v>208812.87</v>
      </c>
      <c r="P100" s="1772">
        <v>-4686.92</v>
      </c>
      <c r="Q100" s="1773">
        <v>-4503.1099999999997</v>
      </c>
      <c r="R100" s="1773">
        <v>0</v>
      </c>
      <c r="S100" s="1773">
        <v>0.01</v>
      </c>
      <c r="T100" s="1773">
        <v>0</v>
      </c>
      <c r="U100" s="1774">
        <f t="shared" si="37"/>
        <v>-9190.0199999999986</v>
      </c>
      <c r="V100" s="1772"/>
      <c r="W100" s="1773"/>
      <c r="X100" s="1773"/>
      <c r="Y100" s="1773"/>
      <c r="Z100" s="1773"/>
      <c r="AA100" s="1774">
        <f t="shared" si="38"/>
        <v>0</v>
      </c>
      <c r="AB100" s="1775">
        <v>0</v>
      </c>
      <c r="AC100" s="1776">
        <v>13998.75</v>
      </c>
      <c r="AD100" s="1776">
        <v>8399.25</v>
      </c>
      <c r="AE100" s="1776">
        <v>0</v>
      </c>
      <c r="AF100" s="1776">
        <v>0</v>
      </c>
      <c r="AG100" s="1777">
        <f t="shared" si="39"/>
        <v>22398</v>
      </c>
      <c r="AH100" s="1775">
        <v>145337</v>
      </c>
      <c r="AI100" s="1776">
        <v>0</v>
      </c>
      <c r="AJ100" s="1776">
        <v>0</v>
      </c>
      <c r="AK100" s="1776">
        <v>0</v>
      </c>
      <c r="AL100" s="1776">
        <v>0</v>
      </c>
      <c r="AM100" s="1774">
        <f t="shared" si="40"/>
        <v>145337</v>
      </c>
      <c r="AN100" s="1775"/>
      <c r="AO100" s="1776"/>
      <c r="AP100" s="1776"/>
      <c r="AQ100" s="1776"/>
      <c r="AR100" s="1776"/>
      <c r="AS100" s="1774">
        <f t="shared" si="41"/>
        <v>0</v>
      </c>
      <c r="AT100" s="1775"/>
      <c r="AU100" s="1776"/>
      <c r="AV100" s="1776"/>
      <c r="AW100" s="1776"/>
      <c r="AX100" s="1776"/>
      <c r="AY100" s="1774">
        <f t="shared" si="42"/>
        <v>0</v>
      </c>
    </row>
    <row r="101" spans="1:51" s="772" customFormat="1" x14ac:dyDescent="0.25">
      <c r="A101" s="1766" t="s">
        <v>34</v>
      </c>
      <c r="B101" s="1766" t="s">
        <v>35</v>
      </c>
      <c r="C101" s="1767" t="s">
        <v>268</v>
      </c>
      <c r="D101" s="1768">
        <f t="shared" ref="D101:D124" si="43">J101+P101+V101+AB101+AH101+AN101+AT101</f>
        <v>0</v>
      </c>
      <c r="E101" s="1768">
        <f t="shared" ref="E101:E124" si="44">K101+Q101+W101+AC101+AI101+AO101+AU101</f>
        <v>217786.4</v>
      </c>
      <c r="F101" s="1768">
        <f t="shared" ref="F101:F124" si="45">L101+R101+X101+AD101+AJ101+AP101+AV101</f>
        <v>54526.6</v>
      </c>
      <c r="G101" s="1769">
        <f t="shared" ref="G101:G124" si="46">M101+N101+S101+T101+Y101+Z101+AE101+AF101+AK101+AL101+AQ101+AR101+AW101+AX101</f>
        <v>0</v>
      </c>
      <c r="H101" s="1770">
        <f t="shared" ref="H101:H124" si="47">F101+G101</f>
        <v>54526.6</v>
      </c>
      <c r="I101" s="1771">
        <f t="shared" ref="I101:I124" si="48">SUM(D101:G101)</f>
        <v>272313</v>
      </c>
      <c r="J101" s="1772">
        <v>0</v>
      </c>
      <c r="K101" s="1773">
        <v>218106.4</v>
      </c>
      <c r="L101" s="1773">
        <v>54526.6</v>
      </c>
      <c r="M101" s="1773">
        <v>0</v>
      </c>
      <c r="N101" s="1773">
        <v>0</v>
      </c>
      <c r="O101" s="1774">
        <f t="shared" ref="O101:O124" si="49">SUM(J101:N101)</f>
        <v>272633</v>
      </c>
      <c r="P101" s="1772"/>
      <c r="Q101" s="1773"/>
      <c r="R101" s="1773"/>
      <c r="S101" s="1773"/>
      <c r="T101" s="1773"/>
      <c r="U101" s="1774">
        <f t="shared" ref="U101:U124" si="50">SUM(P101:T101)</f>
        <v>0</v>
      </c>
      <c r="V101" s="1772"/>
      <c r="W101" s="1773"/>
      <c r="X101" s="1773"/>
      <c r="Y101" s="1773"/>
      <c r="Z101" s="1773"/>
      <c r="AA101" s="1774">
        <f t="shared" ref="AA101:AA124" si="51">SUM(V101:Z101)</f>
        <v>0</v>
      </c>
      <c r="AB101" s="1778"/>
      <c r="AC101" s="1779"/>
      <c r="AD101" s="1779"/>
      <c r="AE101" s="1779"/>
      <c r="AF101" s="1779"/>
      <c r="AG101" s="1777">
        <f t="shared" ref="AG101:AG124" si="52">SUM(AB101:AF101)</f>
        <v>0</v>
      </c>
      <c r="AH101" s="1778"/>
      <c r="AI101" s="1779"/>
      <c r="AJ101" s="1779"/>
      <c r="AK101" s="1779"/>
      <c r="AL101" s="1779"/>
      <c r="AM101" s="1774">
        <f t="shared" ref="AM101:AM124" si="53">SUM(AH101:AL101)</f>
        <v>0</v>
      </c>
      <c r="AN101" s="1778">
        <v>0</v>
      </c>
      <c r="AO101" s="1779">
        <v>-320</v>
      </c>
      <c r="AP101" s="1779">
        <v>0</v>
      </c>
      <c r="AQ101" s="1779">
        <v>0</v>
      </c>
      <c r="AR101" s="1779">
        <v>0</v>
      </c>
      <c r="AS101" s="1774">
        <f t="shared" ref="AS101:AS124" si="54">SUM(AN101:AR101)</f>
        <v>-320</v>
      </c>
      <c r="AT101" s="1778"/>
      <c r="AU101" s="1779"/>
      <c r="AV101" s="1779"/>
      <c r="AW101" s="1779"/>
      <c r="AX101" s="1779"/>
      <c r="AY101" s="1774">
        <f t="shared" ref="AY101:AY124" si="55">SUM(AT101:AX101)</f>
        <v>0</v>
      </c>
    </row>
    <row r="102" spans="1:51" s="772" customFormat="1" x14ac:dyDescent="0.25">
      <c r="A102" s="1766" t="s">
        <v>52</v>
      </c>
      <c r="B102" s="1766" t="s">
        <v>53</v>
      </c>
      <c r="C102" s="1767" t="s">
        <v>265</v>
      </c>
      <c r="D102" s="1768">
        <f t="shared" si="43"/>
        <v>8208.11</v>
      </c>
      <c r="E102" s="1768">
        <f t="shared" si="44"/>
        <v>204076.51</v>
      </c>
      <c r="F102" s="1768">
        <f t="shared" si="45"/>
        <v>52396.65</v>
      </c>
      <c r="G102" s="1769">
        <f t="shared" si="46"/>
        <v>625.36</v>
      </c>
      <c r="H102" s="1770">
        <f t="shared" si="47"/>
        <v>53022.01</v>
      </c>
      <c r="I102" s="1771">
        <f t="shared" si="48"/>
        <v>265306.63</v>
      </c>
      <c r="J102" s="1772">
        <v>0</v>
      </c>
      <c r="K102" s="1773">
        <v>200441.85</v>
      </c>
      <c r="L102" s="1773">
        <v>49364.4</v>
      </c>
      <c r="M102" s="1773">
        <v>450</v>
      </c>
      <c r="N102" s="1773">
        <v>0</v>
      </c>
      <c r="O102" s="1774">
        <f t="shared" si="49"/>
        <v>250256.25</v>
      </c>
      <c r="P102" s="1772">
        <v>-817.89</v>
      </c>
      <c r="Q102" s="1773">
        <v>-785.82</v>
      </c>
      <c r="R102" s="1773">
        <v>0</v>
      </c>
      <c r="S102" s="1773">
        <v>175.36</v>
      </c>
      <c r="T102" s="1773">
        <v>0</v>
      </c>
      <c r="U102" s="1774">
        <f t="shared" si="50"/>
        <v>-1428.35</v>
      </c>
      <c r="V102" s="1772"/>
      <c r="W102" s="1773"/>
      <c r="X102" s="1773"/>
      <c r="Y102" s="1773"/>
      <c r="Z102" s="1773"/>
      <c r="AA102" s="1774">
        <f t="shared" si="51"/>
        <v>0</v>
      </c>
      <c r="AB102" s="1775">
        <v>0</v>
      </c>
      <c r="AC102" s="1776">
        <v>5053.75</v>
      </c>
      <c r="AD102" s="1776">
        <v>3032.25</v>
      </c>
      <c r="AE102" s="1776">
        <v>0</v>
      </c>
      <c r="AF102" s="1776">
        <v>0</v>
      </c>
      <c r="AG102" s="1777">
        <f t="shared" si="52"/>
        <v>8086</v>
      </c>
      <c r="AH102" s="1775">
        <v>9026</v>
      </c>
      <c r="AI102" s="1776">
        <v>0</v>
      </c>
      <c r="AJ102" s="1776">
        <v>0</v>
      </c>
      <c r="AK102" s="1776">
        <v>0</v>
      </c>
      <c r="AL102" s="1776">
        <v>0</v>
      </c>
      <c r="AM102" s="1774">
        <f t="shared" si="53"/>
        <v>9026</v>
      </c>
      <c r="AN102" s="1775">
        <v>0</v>
      </c>
      <c r="AO102" s="1776">
        <v>-633.27</v>
      </c>
      <c r="AP102" s="1776">
        <v>0</v>
      </c>
      <c r="AQ102" s="1776">
        <v>0</v>
      </c>
      <c r="AR102" s="1776">
        <v>0</v>
      </c>
      <c r="AS102" s="1774">
        <f t="shared" si="54"/>
        <v>-633.27</v>
      </c>
      <c r="AT102" s="1775"/>
      <c r="AU102" s="1776"/>
      <c r="AV102" s="1776"/>
      <c r="AW102" s="1776"/>
      <c r="AX102" s="1776"/>
      <c r="AY102" s="1774">
        <f t="shared" si="55"/>
        <v>0</v>
      </c>
    </row>
    <row r="103" spans="1:51" s="772" customFormat="1" x14ac:dyDescent="0.25">
      <c r="A103" s="1766" t="s">
        <v>54</v>
      </c>
      <c r="B103" s="1766" t="s">
        <v>55</v>
      </c>
      <c r="C103" s="1767" t="s">
        <v>264</v>
      </c>
      <c r="D103" s="1768">
        <f t="shared" si="43"/>
        <v>-2480.63</v>
      </c>
      <c r="E103" s="1768">
        <f t="shared" si="44"/>
        <v>452594.94</v>
      </c>
      <c r="F103" s="1768">
        <f t="shared" si="45"/>
        <v>113744.58</v>
      </c>
      <c r="G103" s="1769">
        <f t="shared" si="46"/>
        <v>-3013.5</v>
      </c>
      <c r="H103" s="1770">
        <f t="shared" si="47"/>
        <v>110731.08</v>
      </c>
      <c r="I103" s="1771">
        <f t="shared" si="48"/>
        <v>560845.39</v>
      </c>
      <c r="J103" s="1772">
        <v>0</v>
      </c>
      <c r="K103" s="1773">
        <v>454978.31</v>
      </c>
      <c r="L103" s="1773">
        <v>113744.58</v>
      </c>
      <c r="M103" s="1773">
        <v>0</v>
      </c>
      <c r="N103" s="1773">
        <v>0</v>
      </c>
      <c r="O103" s="1774">
        <f t="shared" si="49"/>
        <v>568722.89</v>
      </c>
      <c r="P103" s="1772">
        <v>-2480.63</v>
      </c>
      <c r="Q103" s="1773">
        <v>-2383.37</v>
      </c>
      <c r="R103" s="1773">
        <v>0</v>
      </c>
      <c r="S103" s="1773">
        <v>-3013.5</v>
      </c>
      <c r="T103" s="1773">
        <v>0</v>
      </c>
      <c r="U103" s="1774">
        <f t="shared" si="50"/>
        <v>-7877.5</v>
      </c>
      <c r="V103" s="1772"/>
      <c r="W103" s="1773"/>
      <c r="X103" s="1773"/>
      <c r="Y103" s="1773"/>
      <c r="Z103" s="1773"/>
      <c r="AA103" s="1774">
        <f t="shared" si="51"/>
        <v>0</v>
      </c>
      <c r="AB103" s="1775"/>
      <c r="AC103" s="1776"/>
      <c r="AD103" s="1776"/>
      <c r="AE103" s="1776"/>
      <c r="AF103" s="1776"/>
      <c r="AG103" s="1777">
        <f t="shared" si="52"/>
        <v>0</v>
      </c>
      <c r="AH103" s="1775"/>
      <c r="AI103" s="1776"/>
      <c r="AJ103" s="1776"/>
      <c r="AK103" s="1776"/>
      <c r="AL103" s="1776"/>
      <c r="AM103" s="1774">
        <f t="shared" si="53"/>
        <v>0</v>
      </c>
      <c r="AN103" s="1775"/>
      <c r="AO103" s="1776"/>
      <c r="AP103" s="1776"/>
      <c r="AQ103" s="1776"/>
      <c r="AR103" s="1776"/>
      <c r="AS103" s="1774">
        <f t="shared" si="54"/>
        <v>0</v>
      </c>
      <c r="AT103" s="1775"/>
      <c r="AU103" s="1776"/>
      <c r="AV103" s="1776"/>
      <c r="AW103" s="1776"/>
      <c r="AX103" s="1776"/>
      <c r="AY103" s="1774">
        <f t="shared" si="55"/>
        <v>0</v>
      </c>
    </row>
    <row r="104" spans="1:51" s="772" customFormat="1" x14ac:dyDescent="0.25">
      <c r="A104" s="1766" t="s">
        <v>66</v>
      </c>
      <c r="B104" s="1766" t="s">
        <v>67</v>
      </c>
      <c r="C104" s="1767" t="s">
        <v>265</v>
      </c>
      <c r="D104" s="1768">
        <f t="shared" si="43"/>
        <v>-40.799999999999997</v>
      </c>
      <c r="E104" s="1768">
        <f t="shared" si="44"/>
        <v>187847.19999999998</v>
      </c>
      <c r="F104" s="1768">
        <f t="shared" si="45"/>
        <v>46971.6</v>
      </c>
      <c r="G104" s="1769">
        <f t="shared" si="46"/>
        <v>0</v>
      </c>
      <c r="H104" s="1770">
        <f t="shared" si="47"/>
        <v>46971.6</v>
      </c>
      <c r="I104" s="1771">
        <f t="shared" si="48"/>
        <v>234778</v>
      </c>
      <c r="J104" s="1772">
        <v>0</v>
      </c>
      <c r="K104" s="1773">
        <v>187886.4</v>
      </c>
      <c r="L104" s="1773">
        <v>46971.6</v>
      </c>
      <c r="M104" s="1773">
        <v>0</v>
      </c>
      <c r="N104" s="1773">
        <v>0</v>
      </c>
      <c r="O104" s="1774">
        <f t="shared" si="49"/>
        <v>234858</v>
      </c>
      <c r="P104" s="1772">
        <v>-40.799999999999997</v>
      </c>
      <c r="Q104" s="1773">
        <v>-39.200000000000003</v>
      </c>
      <c r="R104" s="1773">
        <v>0</v>
      </c>
      <c r="S104" s="1773">
        <v>0</v>
      </c>
      <c r="T104" s="1773">
        <v>0</v>
      </c>
      <c r="U104" s="1774">
        <f t="shared" si="50"/>
        <v>-80</v>
      </c>
      <c r="V104" s="1772"/>
      <c r="W104" s="1773"/>
      <c r="X104" s="1773"/>
      <c r="Y104" s="1773"/>
      <c r="Z104" s="1773"/>
      <c r="AA104" s="1774">
        <f t="shared" si="51"/>
        <v>0</v>
      </c>
      <c r="AB104" s="1778"/>
      <c r="AC104" s="1779"/>
      <c r="AD104" s="1779"/>
      <c r="AE104" s="1779"/>
      <c r="AF104" s="1779"/>
      <c r="AG104" s="1777">
        <f t="shared" si="52"/>
        <v>0</v>
      </c>
      <c r="AH104" s="1778"/>
      <c r="AI104" s="1779"/>
      <c r="AJ104" s="1779"/>
      <c r="AK104" s="1779"/>
      <c r="AL104" s="1779"/>
      <c r="AM104" s="1774">
        <f t="shared" si="53"/>
        <v>0</v>
      </c>
      <c r="AN104" s="1778"/>
      <c r="AO104" s="1779"/>
      <c r="AP104" s="1779"/>
      <c r="AQ104" s="1779"/>
      <c r="AR104" s="1779"/>
      <c r="AS104" s="1774">
        <f t="shared" si="54"/>
        <v>0</v>
      </c>
      <c r="AT104" s="1778"/>
      <c r="AU104" s="1779"/>
      <c r="AV104" s="1779"/>
      <c r="AW104" s="1779"/>
      <c r="AX104" s="1779"/>
      <c r="AY104" s="1774">
        <f t="shared" si="55"/>
        <v>0</v>
      </c>
    </row>
    <row r="105" spans="1:51" s="772" customFormat="1" x14ac:dyDescent="0.25">
      <c r="A105" s="1766" t="s">
        <v>82</v>
      </c>
      <c r="B105" s="1766" t="s">
        <v>311</v>
      </c>
      <c r="C105" s="1767" t="s">
        <v>264</v>
      </c>
      <c r="D105" s="1768">
        <f t="shared" si="43"/>
        <v>0</v>
      </c>
      <c r="E105" s="1768">
        <f t="shared" si="44"/>
        <v>47524</v>
      </c>
      <c r="F105" s="1768">
        <f t="shared" si="45"/>
        <v>11881</v>
      </c>
      <c r="G105" s="1769">
        <f t="shared" si="46"/>
        <v>0</v>
      </c>
      <c r="H105" s="1770">
        <f t="shared" si="47"/>
        <v>11881</v>
      </c>
      <c r="I105" s="1771">
        <f t="shared" si="48"/>
        <v>59405</v>
      </c>
      <c r="J105" s="1772">
        <v>0</v>
      </c>
      <c r="K105" s="1773">
        <v>47524</v>
      </c>
      <c r="L105" s="1773">
        <v>11881</v>
      </c>
      <c r="M105" s="1773">
        <v>0</v>
      </c>
      <c r="N105" s="1773">
        <v>0</v>
      </c>
      <c r="O105" s="1774">
        <f t="shared" si="49"/>
        <v>59405</v>
      </c>
      <c r="P105" s="1772"/>
      <c r="Q105" s="1773"/>
      <c r="R105" s="1773"/>
      <c r="S105" s="1773"/>
      <c r="T105" s="1773"/>
      <c r="U105" s="1774">
        <f t="shared" si="50"/>
        <v>0</v>
      </c>
      <c r="V105" s="1772"/>
      <c r="W105" s="1773"/>
      <c r="X105" s="1773"/>
      <c r="Y105" s="1773"/>
      <c r="Z105" s="1773"/>
      <c r="AA105" s="1774">
        <f t="shared" si="51"/>
        <v>0</v>
      </c>
      <c r="AB105" s="1778"/>
      <c r="AC105" s="1779"/>
      <c r="AD105" s="1779"/>
      <c r="AE105" s="1779"/>
      <c r="AF105" s="1779"/>
      <c r="AG105" s="1777">
        <f t="shared" si="52"/>
        <v>0</v>
      </c>
      <c r="AH105" s="1778"/>
      <c r="AI105" s="1779"/>
      <c r="AJ105" s="1779"/>
      <c r="AK105" s="1779"/>
      <c r="AL105" s="1779"/>
      <c r="AM105" s="1774">
        <f t="shared" si="53"/>
        <v>0</v>
      </c>
      <c r="AN105" s="1778"/>
      <c r="AO105" s="1779"/>
      <c r="AP105" s="1779"/>
      <c r="AQ105" s="1779"/>
      <c r="AR105" s="1779"/>
      <c r="AS105" s="1774">
        <f t="shared" si="54"/>
        <v>0</v>
      </c>
      <c r="AT105" s="1778"/>
      <c r="AU105" s="1779"/>
      <c r="AV105" s="1779"/>
      <c r="AW105" s="1779"/>
      <c r="AX105" s="1779"/>
      <c r="AY105" s="1774">
        <f t="shared" si="55"/>
        <v>0</v>
      </c>
    </row>
    <row r="106" spans="1:51" s="772" customFormat="1" x14ac:dyDescent="0.25">
      <c r="A106" s="1766" t="s">
        <v>88</v>
      </c>
      <c r="B106" s="1766" t="s">
        <v>89</v>
      </c>
      <c r="C106" s="1767" t="s">
        <v>267</v>
      </c>
      <c r="D106" s="1768">
        <f t="shared" si="43"/>
        <v>19105.78</v>
      </c>
      <c r="E106" s="1768">
        <f t="shared" si="44"/>
        <v>87901.91</v>
      </c>
      <c r="F106" s="1768">
        <f t="shared" si="45"/>
        <v>21651.200000000001</v>
      </c>
      <c r="G106" s="1769">
        <f t="shared" si="46"/>
        <v>458.28</v>
      </c>
      <c r="H106" s="1770">
        <f t="shared" si="47"/>
        <v>22109.48</v>
      </c>
      <c r="I106" s="1771">
        <f t="shared" si="48"/>
        <v>129117.17</v>
      </c>
      <c r="J106" s="1772">
        <v>0</v>
      </c>
      <c r="K106" s="1773">
        <v>88248.97</v>
      </c>
      <c r="L106" s="1773">
        <v>21651.200000000001</v>
      </c>
      <c r="M106" s="1773">
        <v>0</v>
      </c>
      <c r="N106" s="1773">
        <v>0</v>
      </c>
      <c r="O106" s="1774">
        <f t="shared" si="49"/>
        <v>109900.17</v>
      </c>
      <c r="P106" s="1772">
        <v>-361.22</v>
      </c>
      <c r="Q106" s="1773">
        <v>-347.06</v>
      </c>
      <c r="R106" s="1773">
        <v>0</v>
      </c>
      <c r="S106" s="1773">
        <v>458.28</v>
      </c>
      <c r="T106" s="1773">
        <v>0</v>
      </c>
      <c r="U106" s="1774">
        <f t="shared" si="50"/>
        <v>-250</v>
      </c>
      <c r="V106" s="1772"/>
      <c r="W106" s="1773"/>
      <c r="X106" s="1773"/>
      <c r="Y106" s="1773"/>
      <c r="Z106" s="1773"/>
      <c r="AA106" s="1774">
        <f t="shared" si="51"/>
        <v>0</v>
      </c>
      <c r="AB106" s="1778"/>
      <c r="AC106" s="1779"/>
      <c r="AD106" s="1779"/>
      <c r="AE106" s="1779"/>
      <c r="AF106" s="1779"/>
      <c r="AG106" s="1777">
        <f t="shared" si="52"/>
        <v>0</v>
      </c>
      <c r="AH106" s="1778">
        <v>19467</v>
      </c>
      <c r="AI106" s="1779">
        <v>0</v>
      </c>
      <c r="AJ106" s="1779">
        <v>0</v>
      </c>
      <c r="AK106" s="1779">
        <v>0</v>
      </c>
      <c r="AL106" s="1779">
        <v>0</v>
      </c>
      <c r="AM106" s="1774">
        <f t="shared" si="53"/>
        <v>19467</v>
      </c>
      <c r="AN106" s="1778"/>
      <c r="AO106" s="1779"/>
      <c r="AP106" s="1779"/>
      <c r="AQ106" s="1779"/>
      <c r="AR106" s="1779"/>
      <c r="AS106" s="1774">
        <f t="shared" si="54"/>
        <v>0</v>
      </c>
      <c r="AT106" s="1778"/>
      <c r="AU106" s="1779"/>
      <c r="AV106" s="1779"/>
      <c r="AW106" s="1779"/>
      <c r="AX106" s="1779"/>
      <c r="AY106" s="1774">
        <f t="shared" si="55"/>
        <v>0</v>
      </c>
    </row>
    <row r="107" spans="1:51" s="772" customFormat="1" x14ac:dyDescent="0.25">
      <c r="A107" s="1766" t="s">
        <v>90</v>
      </c>
      <c r="B107" s="1766" t="s">
        <v>91</v>
      </c>
      <c r="C107" s="1767" t="s">
        <v>268</v>
      </c>
      <c r="D107" s="1768">
        <f t="shared" si="43"/>
        <v>-67.319999999999993</v>
      </c>
      <c r="E107" s="1768">
        <f t="shared" si="44"/>
        <v>55803.32</v>
      </c>
      <c r="F107" s="1768">
        <f t="shared" si="45"/>
        <v>13967</v>
      </c>
      <c r="G107" s="1769">
        <f t="shared" si="46"/>
        <v>0</v>
      </c>
      <c r="H107" s="1770">
        <f t="shared" si="47"/>
        <v>13967</v>
      </c>
      <c r="I107" s="1771">
        <f t="shared" si="48"/>
        <v>69703</v>
      </c>
      <c r="J107" s="1772">
        <v>0</v>
      </c>
      <c r="K107" s="1773">
        <v>55868</v>
      </c>
      <c r="L107" s="1773">
        <v>13967</v>
      </c>
      <c r="M107" s="1773">
        <v>0</v>
      </c>
      <c r="N107" s="1773">
        <v>0</v>
      </c>
      <c r="O107" s="1774">
        <f t="shared" si="49"/>
        <v>69835</v>
      </c>
      <c r="P107" s="1772">
        <v>-67.319999999999993</v>
      </c>
      <c r="Q107" s="1773">
        <v>-64.680000000000007</v>
      </c>
      <c r="R107" s="1773">
        <v>0</v>
      </c>
      <c r="S107" s="1773">
        <v>0</v>
      </c>
      <c r="T107" s="1773">
        <v>0</v>
      </c>
      <c r="U107" s="1774">
        <f t="shared" si="50"/>
        <v>-132</v>
      </c>
      <c r="V107" s="1772"/>
      <c r="W107" s="1773"/>
      <c r="X107" s="1773"/>
      <c r="Y107" s="1773"/>
      <c r="Z107" s="1773"/>
      <c r="AA107" s="1774">
        <f t="shared" si="51"/>
        <v>0</v>
      </c>
      <c r="AB107" s="1778"/>
      <c r="AC107" s="1779"/>
      <c r="AD107" s="1779"/>
      <c r="AE107" s="1779"/>
      <c r="AF107" s="1779"/>
      <c r="AG107" s="1777">
        <f t="shared" si="52"/>
        <v>0</v>
      </c>
      <c r="AH107" s="1778"/>
      <c r="AI107" s="1779"/>
      <c r="AJ107" s="1779"/>
      <c r="AK107" s="1779"/>
      <c r="AL107" s="1779"/>
      <c r="AM107" s="1774">
        <f t="shared" si="53"/>
        <v>0</v>
      </c>
      <c r="AN107" s="1778"/>
      <c r="AO107" s="1779"/>
      <c r="AP107" s="1779"/>
      <c r="AQ107" s="1779"/>
      <c r="AR107" s="1779"/>
      <c r="AS107" s="1774">
        <f t="shared" si="54"/>
        <v>0</v>
      </c>
      <c r="AT107" s="1778"/>
      <c r="AU107" s="1779"/>
      <c r="AV107" s="1779"/>
      <c r="AW107" s="1779"/>
      <c r="AX107" s="1779"/>
      <c r="AY107" s="1774">
        <f t="shared" si="55"/>
        <v>0</v>
      </c>
    </row>
    <row r="108" spans="1:51" s="772" customFormat="1" x14ac:dyDescent="0.25">
      <c r="A108" s="1766" t="s">
        <v>106</v>
      </c>
      <c r="B108" s="1766" t="s">
        <v>107</v>
      </c>
      <c r="C108" s="1767" t="s">
        <v>264</v>
      </c>
      <c r="D108" s="1768">
        <f t="shared" si="43"/>
        <v>-12.849999999999909</v>
      </c>
      <c r="E108" s="1768">
        <f t="shared" si="44"/>
        <v>387940.64999999997</v>
      </c>
      <c r="F108" s="1768">
        <f t="shared" si="45"/>
        <v>109718.64</v>
      </c>
      <c r="G108" s="1769">
        <f t="shared" si="46"/>
        <v>0</v>
      </c>
      <c r="H108" s="1770">
        <f t="shared" si="47"/>
        <v>109718.64</v>
      </c>
      <c r="I108" s="1771">
        <f t="shared" si="48"/>
        <v>497646.44</v>
      </c>
      <c r="J108" s="1772">
        <v>0</v>
      </c>
      <c r="K108" s="1773">
        <v>356296</v>
      </c>
      <c r="L108" s="1773">
        <v>89074</v>
      </c>
      <c r="M108" s="1773">
        <v>0</v>
      </c>
      <c r="N108" s="1773">
        <v>0</v>
      </c>
      <c r="O108" s="1774">
        <f t="shared" si="49"/>
        <v>445370</v>
      </c>
      <c r="P108" s="1772">
        <v>-2875.85</v>
      </c>
      <c r="Q108" s="1773">
        <v>-2763.08</v>
      </c>
      <c r="R108" s="1773">
        <v>0</v>
      </c>
      <c r="S108" s="1773">
        <v>0.01</v>
      </c>
      <c r="T108" s="1773">
        <v>0</v>
      </c>
      <c r="U108" s="1774">
        <f t="shared" si="50"/>
        <v>-5638.92</v>
      </c>
      <c r="V108" s="1772"/>
      <c r="W108" s="1773"/>
      <c r="X108" s="1773"/>
      <c r="Y108" s="1773"/>
      <c r="Z108" s="1773"/>
      <c r="AA108" s="1774">
        <f t="shared" si="51"/>
        <v>0</v>
      </c>
      <c r="AB108" s="1775">
        <v>0</v>
      </c>
      <c r="AC108" s="1776">
        <v>34407.730000000003</v>
      </c>
      <c r="AD108" s="1776">
        <v>20644.64</v>
      </c>
      <c r="AE108" s="1776">
        <v>-0.01</v>
      </c>
      <c r="AF108" s="1776">
        <v>0</v>
      </c>
      <c r="AG108" s="1777">
        <f t="shared" si="52"/>
        <v>55052.36</v>
      </c>
      <c r="AH108" s="1775">
        <v>2863</v>
      </c>
      <c r="AI108" s="1776">
        <v>0</v>
      </c>
      <c r="AJ108" s="1776">
        <v>0</v>
      </c>
      <c r="AK108" s="1776">
        <v>0</v>
      </c>
      <c r="AL108" s="1776">
        <v>0</v>
      </c>
      <c r="AM108" s="1774">
        <f t="shared" si="53"/>
        <v>2863</v>
      </c>
      <c r="AN108" s="1775"/>
      <c r="AO108" s="1776"/>
      <c r="AP108" s="1776"/>
      <c r="AQ108" s="1776"/>
      <c r="AR108" s="1776"/>
      <c r="AS108" s="1774">
        <f t="shared" si="54"/>
        <v>0</v>
      </c>
      <c r="AT108" s="1775"/>
      <c r="AU108" s="1776"/>
      <c r="AV108" s="1776"/>
      <c r="AW108" s="1776"/>
      <c r="AX108" s="1776"/>
      <c r="AY108" s="1774">
        <f t="shared" si="55"/>
        <v>0</v>
      </c>
    </row>
    <row r="109" spans="1:51" s="772" customFormat="1" x14ac:dyDescent="0.25">
      <c r="A109" s="1766" t="s">
        <v>116</v>
      </c>
      <c r="B109" s="1766" t="s">
        <v>117</v>
      </c>
      <c r="C109" s="1767" t="s">
        <v>266</v>
      </c>
      <c r="D109" s="1768">
        <f t="shared" si="43"/>
        <v>0</v>
      </c>
      <c r="E109" s="1768">
        <f t="shared" si="44"/>
        <v>73296</v>
      </c>
      <c r="F109" s="1768">
        <f t="shared" si="45"/>
        <v>18324</v>
      </c>
      <c r="G109" s="1769">
        <f t="shared" si="46"/>
        <v>0</v>
      </c>
      <c r="H109" s="1770">
        <f t="shared" si="47"/>
        <v>18324</v>
      </c>
      <c r="I109" s="1771">
        <f t="shared" si="48"/>
        <v>91620</v>
      </c>
      <c r="J109" s="1772">
        <v>0</v>
      </c>
      <c r="K109" s="1773">
        <v>73296</v>
      </c>
      <c r="L109" s="1773">
        <v>18324</v>
      </c>
      <c r="M109" s="1773">
        <v>0</v>
      </c>
      <c r="N109" s="1773">
        <v>0</v>
      </c>
      <c r="O109" s="1774">
        <f t="shared" si="49"/>
        <v>91620</v>
      </c>
      <c r="P109" s="1772"/>
      <c r="Q109" s="1773"/>
      <c r="R109" s="1773"/>
      <c r="S109" s="1773"/>
      <c r="T109" s="1773"/>
      <c r="U109" s="1774">
        <f t="shared" si="50"/>
        <v>0</v>
      </c>
      <c r="V109" s="1772"/>
      <c r="W109" s="1773"/>
      <c r="X109" s="1773"/>
      <c r="Y109" s="1773"/>
      <c r="Z109" s="1773"/>
      <c r="AA109" s="1774">
        <f t="shared" si="51"/>
        <v>0</v>
      </c>
      <c r="AB109" s="1778"/>
      <c r="AC109" s="1779"/>
      <c r="AD109" s="1779"/>
      <c r="AE109" s="1779"/>
      <c r="AF109" s="1779"/>
      <c r="AG109" s="1777">
        <f t="shared" si="52"/>
        <v>0</v>
      </c>
      <c r="AH109" s="1778"/>
      <c r="AI109" s="1779"/>
      <c r="AJ109" s="1779"/>
      <c r="AK109" s="1779"/>
      <c r="AL109" s="1779"/>
      <c r="AM109" s="1774">
        <f t="shared" si="53"/>
        <v>0</v>
      </c>
      <c r="AN109" s="1778"/>
      <c r="AO109" s="1779"/>
      <c r="AP109" s="1779"/>
      <c r="AQ109" s="1779"/>
      <c r="AR109" s="1779"/>
      <c r="AS109" s="1774">
        <f t="shared" si="54"/>
        <v>0</v>
      </c>
      <c r="AT109" s="1778"/>
      <c r="AU109" s="1779"/>
      <c r="AV109" s="1779"/>
      <c r="AW109" s="1779"/>
      <c r="AX109" s="1779"/>
      <c r="AY109" s="1774">
        <f t="shared" si="55"/>
        <v>0</v>
      </c>
    </row>
    <row r="110" spans="1:51" s="772" customFormat="1" x14ac:dyDescent="0.25">
      <c r="A110" s="1766" t="s">
        <v>138</v>
      </c>
      <c r="B110" s="1766" t="s">
        <v>139</v>
      </c>
      <c r="C110" s="1767" t="s">
        <v>265</v>
      </c>
      <c r="D110" s="1768">
        <f t="shared" si="43"/>
        <v>870</v>
      </c>
      <c r="E110" s="1768">
        <f t="shared" si="44"/>
        <v>400411.85</v>
      </c>
      <c r="F110" s="1768">
        <f t="shared" si="45"/>
        <v>100102.96</v>
      </c>
      <c r="G110" s="1769">
        <f t="shared" si="46"/>
        <v>0</v>
      </c>
      <c r="H110" s="1770">
        <f t="shared" si="47"/>
        <v>100102.96</v>
      </c>
      <c r="I110" s="1771">
        <f t="shared" si="48"/>
        <v>501384.81</v>
      </c>
      <c r="J110" s="1772">
        <v>0</v>
      </c>
      <c r="K110" s="1773">
        <v>400411.85</v>
      </c>
      <c r="L110" s="1773">
        <v>100102.96</v>
      </c>
      <c r="M110" s="1773">
        <v>0</v>
      </c>
      <c r="N110" s="1773">
        <v>0</v>
      </c>
      <c r="O110" s="1774">
        <f t="shared" si="49"/>
        <v>500514.81</v>
      </c>
      <c r="P110" s="1772"/>
      <c r="Q110" s="1773"/>
      <c r="R110" s="1773"/>
      <c r="S110" s="1773"/>
      <c r="T110" s="1773"/>
      <c r="U110" s="1774">
        <f t="shared" si="50"/>
        <v>0</v>
      </c>
      <c r="V110" s="1772"/>
      <c r="W110" s="1773"/>
      <c r="X110" s="1773"/>
      <c r="Y110" s="1773"/>
      <c r="Z110" s="1773"/>
      <c r="AA110" s="1774">
        <f t="shared" si="51"/>
        <v>0</v>
      </c>
      <c r="AB110" s="1775"/>
      <c r="AC110" s="1776"/>
      <c r="AD110" s="1776"/>
      <c r="AE110" s="1776"/>
      <c r="AF110" s="1776"/>
      <c r="AG110" s="1777">
        <f t="shared" si="52"/>
        <v>0</v>
      </c>
      <c r="AH110" s="1775">
        <v>870</v>
      </c>
      <c r="AI110" s="1776">
        <v>0</v>
      </c>
      <c r="AJ110" s="1776">
        <v>0</v>
      </c>
      <c r="AK110" s="1776">
        <v>0</v>
      </c>
      <c r="AL110" s="1776">
        <v>0</v>
      </c>
      <c r="AM110" s="1774">
        <f t="shared" si="53"/>
        <v>870</v>
      </c>
      <c r="AN110" s="1775"/>
      <c r="AO110" s="1776"/>
      <c r="AP110" s="1776"/>
      <c r="AQ110" s="1776"/>
      <c r="AR110" s="1776"/>
      <c r="AS110" s="1774">
        <f t="shared" si="54"/>
        <v>0</v>
      </c>
      <c r="AT110" s="1775"/>
      <c r="AU110" s="1776"/>
      <c r="AV110" s="1776"/>
      <c r="AW110" s="1776"/>
      <c r="AX110" s="1776"/>
      <c r="AY110" s="1774">
        <f t="shared" si="55"/>
        <v>0</v>
      </c>
    </row>
    <row r="111" spans="1:51" s="772" customFormat="1" x14ac:dyDescent="0.25">
      <c r="A111" s="1766" t="s">
        <v>142</v>
      </c>
      <c r="B111" s="1766" t="s">
        <v>143</v>
      </c>
      <c r="C111" s="1767" t="s">
        <v>267</v>
      </c>
      <c r="D111" s="1768">
        <f t="shared" si="43"/>
        <v>-56.1</v>
      </c>
      <c r="E111" s="1768">
        <f t="shared" si="44"/>
        <v>15392.48</v>
      </c>
      <c r="F111" s="1768">
        <f t="shared" si="45"/>
        <v>3328.6</v>
      </c>
      <c r="G111" s="1769">
        <f t="shared" si="46"/>
        <v>0</v>
      </c>
      <c r="H111" s="1770">
        <f t="shared" si="47"/>
        <v>3328.6</v>
      </c>
      <c r="I111" s="1771">
        <f t="shared" si="48"/>
        <v>18664.98</v>
      </c>
      <c r="J111" s="1772">
        <v>0</v>
      </c>
      <c r="K111" s="1773">
        <v>15476.38</v>
      </c>
      <c r="L111" s="1773">
        <v>3328.6</v>
      </c>
      <c r="M111" s="1773">
        <v>0</v>
      </c>
      <c r="N111" s="1773">
        <v>0</v>
      </c>
      <c r="O111" s="1774">
        <f t="shared" si="49"/>
        <v>18804.98</v>
      </c>
      <c r="P111" s="1772">
        <v>-56.1</v>
      </c>
      <c r="Q111" s="1773">
        <v>-53.9</v>
      </c>
      <c r="R111" s="1773">
        <v>0</v>
      </c>
      <c r="S111" s="1773">
        <v>0</v>
      </c>
      <c r="T111" s="1773">
        <v>0</v>
      </c>
      <c r="U111" s="1774">
        <f t="shared" si="50"/>
        <v>-110</v>
      </c>
      <c r="V111" s="1772"/>
      <c r="W111" s="1773"/>
      <c r="X111" s="1773"/>
      <c r="Y111" s="1773"/>
      <c r="Z111" s="1773"/>
      <c r="AA111" s="1774">
        <f t="shared" si="51"/>
        <v>0</v>
      </c>
      <c r="AB111" s="1775"/>
      <c r="AC111" s="1776"/>
      <c r="AD111" s="1776"/>
      <c r="AE111" s="1776"/>
      <c r="AF111" s="1776"/>
      <c r="AG111" s="1777">
        <f t="shared" si="52"/>
        <v>0</v>
      </c>
      <c r="AH111" s="1775"/>
      <c r="AI111" s="1776"/>
      <c r="AJ111" s="1776"/>
      <c r="AK111" s="1776"/>
      <c r="AL111" s="1776"/>
      <c r="AM111" s="1774">
        <f t="shared" si="53"/>
        <v>0</v>
      </c>
      <c r="AN111" s="1775">
        <v>0</v>
      </c>
      <c r="AO111" s="1776">
        <v>-30</v>
      </c>
      <c r="AP111" s="1776">
        <v>0</v>
      </c>
      <c r="AQ111" s="1776">
        <v>0</v>
      </c>
      <c r="AR111" s="1776">
        <v>0</v>
      </c>
      <c r="AS111" s="1774">
        <f t="shared" si="54"/>
        <v>-30</v>
      </c>
      <c r="AT111" s="1775"/>
      <c r="AU111" s="1776"/>
      <c r="AV111" s="1776"/>
      <c r="AW111" s="1776"/>
      <c r="AX111" s="1776"/>
      <c r="AY111" s="1774">
        <f t="shared" si="55"/>
        <v>0</v>
      </c>
    </row>
    <row r="112" spans="1:51" s="772" customFormat="1" x14ac:dyDescent="0.25">
      <c r="A112" s="1766" t="s">
        <v>144</v>
      </c>
      <c r="B112" s="1766" t="s">
        <v>145</v>
      </c>
      <c r="C112" s="1767" t="s">
        <v>267</v>
      </c>
      <c r="D112" s="1768">
        <f t="shared" si="43"/>
        <v>2032</v>
      </c>
      <c r="E112" s="1768">
        <f t="shared" si="44"/>
        <v>5072</v>
      </c>
      <c r="F112" s="1768">
        <f t="shared" si="45"/>
        <v>1268</v>
      </c>
      <c r="G112" s="1769">
        <f t="shared" si="46"/>
        <v>0</v>
      </c>
      <c r="H112" s="1770">
        <f t="shared" si="47"/>
        <v>1268</v>
      </c>
      <c r="I112" s="1771">
        <f t="shared" si="48"/>
        <v>8372</v>
      </c>
      <c r="J112" s="1772">
        <v>0</v>
      </c>
      <c r="K112" s="1773">
        <v>5072</v>
      </c>
      <c r="L112" s="1773">
        <v>1268</v>
      </c>
      <c r="M112" s="1773">
        <v>0</v>
      </c>
      <c r="N112" s="1773">
        <v>0</v>
      </c>
      <c r="O112" s="1774">
        <f t="shared" si="49"/>
        <v>6340</v>
      </c>
      <c r="P112" s="1772"/>
      <c r="Q112" s="1773"/>
      <c r="R112" s="1773"/>
      <c r="S112" s="1773"/>
      <c r="T112" s="1773"/>
      <c r="U112" s="1774">
        <f t="shared" si="50"/>
        <v>0</v>
      </c>
      <c r="V112" s="1772"/>
      <c r="W112" s="1773"/>
      <c r="X112" s="1773"/>
      <c r="Y112" s="1773"/>
      <c r="Z112" s="1773"/>
      <c r="AA112" s="1774">
        <f t="shared" si="51"/>
        <v>0</v>
      </c>
      <c r="AB112" s="1778"/>
      <c r="AC112" s="1779"/>
      <c r="AD112" s="1779"/>
      <c r="AE112" s="1779"/>
      <c r="AF112" s="1779"/>
      <c r="AG112" s="1777">
        <f t="shared" si="52"/>
        <v>0</v>
      </c>
      <c r="AH112" s="1778">
        <v>2032</v>
      </c>
      <c r="AI112" s="1779">
        <v>0</v>
      </c>
      <c r="AJ112" s="1779">
        <v>0</v>
      </c>
      <c r="AK112" s="1779">
        <v>0</v>
      </c>
      <c r="AL112" s="1779">
        <v>0</v>
      </c>
      <c r="AM112" s="1774">
        <f t="shared" si="53"/>
        <v>2032</v>
      </c>
      <c r="AN112" s="1778"/>
      <c r="AO112" s="1779"/>
      <c r="AP112" s="1779"/>
      <c r="AQ112" s="1779"/>
      <c r="AR112" s="1779"/>
      <c r="AS112" s="1774">
        <f t="shared" si="54"/>
        <v>0</v>
      </c>
      <c r="AT112" s="1778"/>
      <c r="AU112" s="1779"/>
      <c r="AV112" s="1779"/>
      <c r="AW112" s="1779"/>
      <c r="AX112" s="1779"/>
      <c r="AY112" s="1774">
        <f t="shared" si="55"/>
        <v>0</v>
      </c>
    </row>
    <row r="113" spans="1:51" s="772" customFormat="1" x14ac:dyDescent="0.25">
      <c r="A113" s="1766" t="s">
        <v>158</v>
      </c>
      <c r="B113" s="1766" t="s">
        <v>159</v>
      </c>
      <c r="C113" s="1767" t="s">
        <v>264</v>
      </c>
      <c r="D113" s="1768">
        <f t="shared" si="43"/>
        <v>137490.95000000001</v>
      </c>
      <c r="E113" s="1768">
        <f t="shared" si="44"/>
        <v>442218.75</v>
      </c>
      <c r="F113" s="1768">
        <f t="shared" si="45"/>
        <v>113133.61</v>
      </c>
      <c r="G113" s="1769">
        <f t="shared" si="46"/>
        <v>571.25</v>
      </c>
      <c r="H113" s="1770">
        <f t="shared" si="47"/>
        <v>113704.86</v>
      </c>
      <c r="I113" s="1771">
        <f t="shared" si="48"/>
        <v>693414.55999999994</v>
      </c>
      <c r="J113" s="1772">
        <v>0</v>
      </c>
      <c r="K113" s="1773">
        <v>436532.26</v>
      </c>
      <c r="L113" s="1773">
        <v>109133.07</v>
      </c>
      <c r="M113" s="1773">
        <v>0</v>
      </c>
      <c r="N113" s="1773">
        <v>0</v>
      </c>
      <c r="O113" s="1774">
        <f t="shared" si="49"/>
        <v>545665.33000000007</v>
      </c>
      <c r="P113" s="1772">
        <v>-1275.05</v>
      </c>
      <c r="Q113" s="1773">
        <v>-1225.05</v>
      </c>
      <c r="R113" s="1773">
        <v>0</v>
      </c>
      <c r="S113" s="1773">
        <v>815.33</v>
      </c>
      <c r="T113" s="1773">
        <v>0</v>
      </c>
      <c r="U113" s="1774">
        <f t="shared" si="50"/>
        <v>-1684.77</v>
      </c>
      <c r="V113" s="1772"/>
      <c r="W113" s="1773"/>
      <c r="X113" s="1773"/>
      <c r="Y113" s="1773"/>
      <c r="Z113" s="1773"/>
      <c r="AA113" s="1774">
        <f t="shared" si="51"/>
        <v>0</v>
      </c>
      <c r="AB113" s="1775">
        <v>0</v>
      </c>
      <c r="AC113" s="1776">
        <v>6667.54</v>
      </c>
      <c r="AD113" s="1776">
        <v>4000.54</v>
      </c>
      <c r="AE113" s="1776">
        <v>-0.08</v>
      </c>
      <c r="AF113" s="1776">
        <v>0</v>
      </c>
      <c r="AG113" s="1777">
        <f t="shared" si="52"/>
        <v>10668</v>
      </c>
      <c r="AH113" s="1775">
        <v>138766</v>
      </c>
      <c r="AI113" s="1776">
        <v>0</v>
      </c>
      <c r="AJ113" s="1776">
        <v>0</v>
      </c>
      <c r="AK113" s="1776">
        <v>0</v>
      </c>
      <c r="AL113" s="1776">
        <v>0</v>
      </c>
      <c r="AM113" s="1774">
        <f t="shared" si="53"/>
        <v>138766</v>
      </c>
      <c r="AN113" s="1775">
        <v>0</v>
      </c>
      <c r="AO113" s="1776">
        <v>244</v>
      </c>
      <c r="AP113" s="1776">
        <v>0</v>
      </c>
      <c r="AQ113" s="1776">
        <v>0</v>
      </c>
      <c r="AR113" s="1776">
        <v>-244</v>
      </c>
      <c r="AS113" s="1774">
        <f t="shared" si="54"/>
        <v>0</v>
      </c>
      <c r="AT113" s="1775"/>
      <c r="AU113" s="1776"/>
      <c r="AV113" s="1776"/>
      <c r="AW113" s="1776"/>
      <c r="AX113" s="1776"/>
      <c r="AY113" s="1774">
        <f t="shared" si="55"/>
        <v>0</v>
      </c>
    </row>
    <row r="114" spans="1:51" s="772" customFormat="1" x14ac:dyDescent="0.25">
      <c r="A114" s="1766" t="s">
        <v>160</v>
      </c>
      <c r="B114" s="1766" t="s">
        <v>161</v>
      </c>
      <c r="C114" s="1767" t="s">
        <v>264</v>
      </c>
      <c r="D114" s="1768">
        <f t="shared" si="43"/>
        <v>224130.55000000002</v>
      </c>
      <c r="E114" s="1768">
        <f t="shared" si="44"/>
        <v>842468.07</v>
      </c>
      <c r="F114" s="1768">
        <f t="shared" si="45"/>
        <v>224244.88</v>
      </c>
      <c r="G114" s="1769">
        <f t="shared" si="46"/>
        <v>595.5</v>
      </c>
      <c r="H114" s="1770">
        <f t="shared" si="47"/>
        <v>224840.38</v>
      </c>
      <c r="I114" s="1771">
        <f t="shared" si="48"/>
        <v>1291439</v>
      </c>
      <c r="J114" s="1772">
        <v>0</v>
      </c>
      <c r="K114" s="1773">
        <v>809048</v>
      </c>
      <c r="L114" s="1773">
        <v>202262</v>
      </c>
      <c r="M114" s="1773">
        <v>0</v>
      </c>
      <c r="N114" s="1773">
        <v>0</v>
      </c>
      <c r="O114" s="1774">
        <f t="shared" si="49"/>
        <v>1011310</v>
      </c>
      <c r="P114" s="1772">
        <v>-3349.4</v>
      </c>
      <c r="Q114" s="1773">
        <v>-3218.06</v>
      </c>
      <c r="R114" s="1773">
        <v>0</v>
      </c>
      <c r="S114" s="1773">
        <v>595.51</v>
      </c>
      <c r="T114" s="1773">
        <v>0</v>
      </c>
      <c r="U114" s="1774">
        <f t="shared" si="50"/>
        <v>-5971.95</v>
      </c>
      <c r="V114" s="1772"/>
      <c r="W114" s="1773"/>
      <c r="X114" s="1773"/>
      <c r="Y114" s="1773"/>
      <c r="Z114" s="1773"/>
      <c r="AA114" s="1774">
        <f t="shared" si="51"/>
        <v>0</v>
      </c>
      <c r="AB114" s="1775">
        <v>0</v>
      </c>
      <c r="AC114" s="1776">
        <v>36638.129999999997</v>
      </c>
      <c r="AD114" s="1776">
        <v>21982.880000000001</v>
      </c>
      <c r="AE114" s="1776">
        <v>-0.01</v>
      </c>
      <c r="AF114" s="1776">
        <v>0</v>
      </c>
      <c r="AG114" s="1777">
        <f t="shared" si="52"/>
        <v>58620.999999999993</v>
      </c>
      <c r="AH114" s="1775">
        <v>2478</v>
      </c>
      <c r="AI114" s="1776">
        <v>0</v>
      </c>
      <c r="AJ114" s="1776">
        <v>0</v>
      </c>
      <c r="AK114" s="1776">
        <v>0</v>
      </c>
      <c r="AL114" s="1776">
        <v>0</v>
      </c>
      <c r="AM114" s="1774">
        <f t="shared" si="53"/>
        <v>2478</v>
      </c>
      <c r="AN114" s="1775"/>
      <c r="AO114" s="1776"/>
      <c r="AP114" s="1776"/>
      <c r="AQ114" s="1776"/>
      <c r="AR114" s="1776"/>
      <c r="AS114" s="1774">
        <f t="shared" si="54"/>
        <v>0</v>
      </c>
      <c r="AT114" s="1775">
        <v>225001.95</v>
      </c>
      <c r="AU114" s="1776">
        <v>0</v>
      </c>
      <c r="AV114" s="1776">
        <v>0</v>
      </c>
      <c r="AW114" s="1776">
        <v>0</v>
      </c>
      <c r="AX114" s="1776">
        <v>0</v>
      </c>
      <c r="AY114" s="1774">
        <f t="shared" si="55"/>
        <v>225001.95</v>
      </c>
    </row>
    <row r="115" spans="1:51" s="772" customFormat="1" x14ac:dyDescent="0.25">
      <c r="A115" s="1766" t="s">
        <v>166</v>
      </c>
      <c r="B115" s="1766" t="s">
        <v>167</v>
      </c>
      <c r="C115" s="1767" t="s">
        <v>268</v>
      </c>
      <c r="D115" s="1768">
        <f t="shared" si="43"/>
        <v>0</v>
      </c>
      <c r="E115" s="1768">
        <f t="shared" si="44"/>
        <v>37601.599999999999</v>
      </c>
      <c r="F115" s="1768">
        <f t="shared" si="45"/>
        <v>9400.4</v>
      </c>
      <c r="G115" s="1769">
        <f t="shared" si="46"/>
        <v>0</v>
      </c>
      <c r="H115" s="1770">
        <f t="shared" si="47"/>
        <v>9400.4</v>
      </c>
      <c r="I115" s="1771">
        <f t="shared" si="48"/>
        <v>47002</v>
      </c>
      <c r="J115" s="1772">
        <v>0</v>
      </c>
      <c r="K115" s="1773">
        <v>37601.599999999999</v>
      </c>
      <c r="L115" s="1773">
        <v>9400.4</v>
      </c>
      <c r="M115" s="1773">
        <v>0</v>
      </c>
      <c r="N115" s="1773">
        <v>0</v>
      </c>
      <c r="O115" s="1774">
        <f t="shared" si="49"/>
        <v>47002</v>
      </c>
      <c r="P115" s="1772"/>
      <c r="Q115" s="1773"/>
      <c r="R115" s="1773"/>
      <c r="S115" s="1773"/>
      <c r="T115" s="1773"/>
      <c r="U115" s="1774">
        <f t="shared" si="50"/>
        <v>0</v>
      </c>
      <c r="V115" s="1772"/>
      <c r="W115" s="1773"/>
      <c r="X115" s="1773"/>
      <c r="Y115" s="1773"/>
      <c r="Z115" s="1773"/>
      <c r="AA115" s="1774">
        <f t="shared" si="51"/>
        <v>0</v>
      </c>
      <c r="AB115" s="1778"/>
      <c r="AC115" s="1779"/>
      <c r="AD115" s="1779"/>
      <c r="AE115" s="1779"/>
      <c r="AF115" s="1779"/>
      <c r="AG115" s="1777">
        <f t="shared" si="52"/>
        <v>0</v>
      </c>
      <c r="AH115" s="1778"/>
      <c r="AI115" s="1779"/>
      <c r="AJ115" s="1779"/>
      <c r="AK115" s="1779"/>
      <c r="AL115" s="1779"/>
      <c r="AM115" s="1774">
        <f t="shared" si="53"/>
        <v>0</v>
      </c>
      <c r="AN115" s="1778"/>
      <c r="AO115" s="1779"/>
      <c r="AP115" s="1779"/>
      <c r="AQ115" s="1779"/>
      <c r="AR115" s="1779"/>
      <c r="AS115" s="1774">
        <f t="shared" si="54"/>
        <v>0</v>
      </c>
      <c r="AT115" s="1778"/>
      <c r="AU115" s="1779"/>
      <c r="AV115" s="1779"/>
      <c r="AW115" s="1779"/>
      <c r="AX115" s="1779"/>
      <c r="AY115" s="1774">
        <f t="shared" si="55"/>
        <v>0</v>
      </c>
    </row>
    <row r="116" spans="1:51" s="772" customFormat="1" x14ac:dyDescent="0.25">
      <c r="A116" s="1766" t="s">
        <v>176</v>
      </c>
      <c r="B116" s="1766" t="s">
        <v>177</v>
      </c>
      <c r="C116" s="1767" t="s">
        <v>266</v>
      </c>
      <c r="D116" s="1768">
        <f t="shared" si="43"/>
        <v>-1205.27</v>
      </c>
      <c r="E116" s="1768">
        <f t="shared" si="44"/>
        <v>433573.34</v>
      </c>
      <c r="F116" s="1768">
        <f t="shared" si="45"/>
        <v>108809</v>
      </c>
      <c r="G116" s="1769">
        <f t="shared" si="46"/>
        <v>-29.710000000000036</v>
      </c>
      <c r="H116" s="1770">
        <f t="shared" si="47"/>
        <v>108779.29</v>
      </c>
      <c r="I116" s="1771">
        <f t="shared" si="48"/>
        <v>541147.3600000001</v>
      </c>
      <c r="J116" s="1772">
        <v>0</v>
      </c>
      <c r="K116" s="1773">
        <v>435236</v>
      </c>
      <c r="L116" s="1773">
        <v>108809</v>
      </c>
      <c r="M116" s="1773">
        <v>0</v>
      </c>
      <c r="N116" s="1773">
        <v>584.92999999999995</v>
      </c>
      <c r="O116" s="1774">
        <f t="shared" si="49"/>
        <v>544629.93000000005</v>
      </c>
      <c r="P116" s="1772">
        <v>-1205.27</v>
      </c>
      <c r="Q116" s="1773">
        <v>-1157.99</v>
      </c>
      <c r="R116" s="1773">
        <v>0</v>
      </c>
      <c r="S116" s="1773">
        <v>-614.64</v>
      </c>
      <c r="T116" s="1773">
        <v>0</v>
      </c>
      <c r="U116" s="1774">
        <f t="shared" si="50"/>
        <v>-2977.9</v>
      </c>
      <c r="V116" s="1772"/>
      <c r="W116" s="1773"/>
      <c r="X116" s="1773"/>
      <c r="Y116" s="1773"/>
      <c r="Z116" s="1773"/>
      <c r="AA116" s="1774">
        <f t="shared" si="51"/>
        <v>0</v>
      </c>
      <c r="AB116" s="1778"/>
      <c r="AC116" s="1779"/>
      <c r="AD116" s="1779"/>
      <c r="AE116" s="1779"/>
      <c r="AF116" s="1779"/>
      <c r="AG116" s="1777">
        <f t="shared" si="52"/>
        <v>0</v>
      </c>
      <c r="AH116" s="1778"/>
      <c r="AI116" s="1779"/>
      <c r="AJ116" s="1779"/>
      <c r="AK116" s="1779"/>
      <c r="AL116" s="1779"/>
      <c r="AM116" s="1774">
        <f t="shared" si="53"/>
        <v>0</v>
      </c>
      <c r="AN116" s="1778">
        <v>0</v>
      </c>
      <c r="AO116" s="1779">
        <v>-504.67</v>
      </c>
      <c r="AP116" s="1779">
        <v>0</v>
      </c>
      <c r="AQ116" s="1779">
        <v>0</v>
      </c>
      <c r="AR116" s="1779">
        <v>0</v>
      </c>
      <c r="AS116" s="1774">
        <f t="shared" si="54"/>
        <v>-504.67</v>
      </c>
      <c r="AT116" s="1778"/>
      <c r="AU116" s="1779"/>
      <c r="AV116" s="1779"/>
      <c r="AW116" s="1779"/>
      <c r="AX116" s="1779"/>
      <c r="AY116" s="1774">
        <f t="shared" si="55"/>
        <v>0</v>
      </c>
    </row>
    <row r="117" spans="1:51" s="772" customFormat="1" x14ac:dyDescent="0.25">
      <c r="A117" s="1766" t="s">
        <v>180</v>
      </c>
      <c r="B117" s="1766" t="s">
        <v>181</v>
      </c>
      <c r="C117" s="1767" t="s">
        <v>264</v>
      </c>
      <c r="D117" s="1768">
        <f t="shared" si="43"/>
        <v>60624.05</v>
      </c>
      <c r="E117" s="1768">
        <f t="shared" si="44"/>
        <v>413220.94</v>
      </c>
      <c r="F117" s="1768">
        <f t="shared" si="45"/>
        <v>115682.3</v>
      </c>
      <c r="G117" s="1769">
        <f t="shared" si="46"/>
        <v>0</v>
      </c>
      <c r="H117" s="1770">
        <f t="shared" si="47"/>
        <v>115682.3</v>
      </c>
      <c r="I117" s="1771">
        <f t="shared" si="48"/>
        <v>589527.29</v>
      </c>
      <c r="J117" s="1772">
        <v>0</v>
      </c>
      <c r="K117" s="1773">
        <v>381651.20000000001</v>
      </c>
      <c r="L117" s="1773">
        <v>95412.800000000003</v>
      </c>
      <c r="M117" s="1773">
        <v>0</v>
      </c>
      <c r="N117" s="1773">
        <v>0</v>
      </c>
      <c r="O117" s="1774">
        <f t="shared" si="49"/>
        <v>477064</v>
      </c>
      <c r="P117" s="1772">
        <v>-2303.0700000000002</v>
      </c>
      <c r="Q117" s="1773">
        <v>-2212.7600000000002</v>
      </c>
      <c r="R117" s="1773">
        <v>0</v>
      </c>
      <c r="S117" s="1773">
        <v>0</v>
      </c>
      <c r="T117" s="1773">
        <v>0</v>
      </c>
      <c r="U117" s="1774">
        <f t="shared" si="50"/>
        <v>-4515.83</v>
      </c>
      <c r="V117" s="1772"/>
      <c r="W117" s="1773"/>
      <c r="X117" s="1773"/>
      <c r="Y117" s="1773"/>
      <c r="Z117" s="1773"/>
      <c r="AA117" s="1774">
        <f t="shared" si="51"/>
        <v>0</v>
      </c>
      <c r="AB117" s="1775">
        <v>0</v>
      </c>
      <c r="AC117" s="1776">
        <v>33782.5</v>
      </c>
      <c r="AD117" s="1776">
        <v>20269.5</v>
      </c>
      <c r="AE117" s="1776">
        <v>0</v>
      </c>
      <c r="AF117" s="1776">
        <v>0</v>
      </c>
      <c r="AG117" s="1777">
        <f t="shared" si="52"/>
        <v>54052</v>
      </c>
      <c r="AH117" s="1778"/>
      <c r="AI117" s="1779"/>
      <c r="AJ117" s="1779"/>
      <c r="AK117" s="1779"/>
      <c r="AL117" s="1779"/>
      <c r="AM117" s="1774">
        <f t="shared" si="53"/>
        <v>0</v>
      </c>
      <c r="AN117" s="1778"/>
      <c r="AO117" s="1779"/>
      <c r="AP117" s="1779"/>
      <c r="AQ117" s="1779"/>
      <c r="AR117" s="1779"/>
      <c r="AS117" s="1774">
        <f t="shared" si="54"/>
        <v>0</v>
      </c>
      <c r="AT117" s="1778">
        <v>62927.12</v>
      </c>
      <c r="AU117" s="1779">
        <v>0</v>
      </c>
      <c r="AV117" s="1779">
        <v>0</v>
      </c>
      <c r="AW117" s="1779">
        <v>0</v>
      </c>
      <c r="AX117" s="1779">
        <v>0</v>
      </c>
      <c r="AY117" s="1774">
        <f t="shared" si="55"/>
        <v>62927.12</v>
      </c>
    </row>
    <row r="118" spans="1:51" s="772" customFormat="1" x14ac:dyDescent="0.25">
      <c r="A118" s="1766" t="s">
        <v>192</v>
      </c>
      <c r="B118" s="1766" t="s">
        <v>193</v>
      </c>
      <c r="C118" s="1767" t="s">
        <v>268</v>
      </c>
      <c r="D118" s="1768">
        <f t="shared" si="43"/>
        <v>0</v>
      </c>
      <c r="E118" s="1768">
        <f t="shared" si="44"/>
        <v>88842.4</v>
      </c>
      <c r="F118" s="1768">
        <f t="shared" si="45"/>
        <v>22210.6</v>
      </c>
      <c r="G118" s="1769">
        <f t="shared" si="46"/>
        <v>0</v>
      </c>
      <c r="H118" s="1770">
        <f t="shared" si="47"/>
        <v>22210.6</v>
      </c>
      <c r="I118" s="1771">
        <f t="shared" si="48"/>
        <v>111053</v>
      </c>
      <c r="J118" s="1772">
        <v>0</v>
      </c>
      <c r="K118" s="1773">
        <v>88842.4</v>
      </c>
      <c r="L118" s="1773">
        <v>22210.6</v>
      </c>
      <c r="M118" s="1773">
        <v>0</v>
      </c>
      <c r="N118" s="1773">
        <v>0</v>
      </c>
      <c r="O118" s="1774">
        <f t="shared" si="49"/>
        <v>111053</v>
      </c>
      <c r="P118" s="1772"/>
      <c r="Q118" s="1773"/>
      <c r="R118" s="1773"/>
      <c r="S118" s="1773"/>
      <c r="T118" s="1773"/>
      <c r="U118" s="1774">
        <f t="shared" si="50"/>
        <v>0</v>
      </c>
      <c r="V118" s="1772"/>
      <c r="W118" s="1773"/>
      <c r="X118" s="1773"/>
      <c r="Y118" s="1773"/>
      <c r="Z118" s="1773"/>
      <c r="AA118" s="1774">
        <f t="shared" si="51"/>
        <v>0</v>
      </c>
      <c r="AB118" s="1778"/>
      <c r="AC118" s="1779"/>
      <c r="AD118" s="1779"/>
      <c r="AE118" s="1779"/>
      <c r="AF118" s="1779"/>
      <c r="AG118" s="1777">
        <f t="shared" si="52"/>
        <v>0</v>
      </c>
      <c r="AH118" s="1778"/>
      <c r="AI118" s="1779"/>
      <c r="AJ118" s="1779"/>
      <c r="AK118" s="1779"/>
      <c r="AL118" s="1779"/>
      <c r="AM118" s="1774">
        <f t="shared" si="53"/>
        <v>0</v>
      </c>
      <c r="AN118" s="1778"/>
      <c r="AO118" s="1779"/>
      <c r="AP118" s="1779"/>
      <c r="AQ118" s="1779"/>
      <c r="AR118" s="1779"/>
      <c r="AS118" s="1774">
        <f t="shared" si="54"/>
        <v>0</v>
      </c>
      <c r="AT118" s="1778"/>
      <c r="AU118" s="1779"/>
      <c r="AV118" s="1779"/>
      <c r="AW118" s="1779"/>
      <c r="AX118" s="1779"/>
      <c r="AY118" s="1774">
        <f t="shared" si="55"/>
        <v>0</v>
      </c>
    </row>
    <row r="119" spans="1:51" s="772" customFormat="1" x14ac:dyDescent="0.25">
      <c r="A119" s="1766" t="s">
        <v>196</v>
      </c>
      <c r="B119" s="1766" t="s">
        <v>312</v>
      </c>
      <c r="C119" s="1767" t="s">
        <v>266</v>
      </c>
      <c r="D119" s="1768">
        <f t="shared" si="43"/>
        <v>-868.97000000000025</v>
      </c>
      <c r="E119" s="1768">
        <f t="shared" si="44"/>
        <v>2128514.7999999998</v>
      </c>
      <c r="F119" s="1768">
        <f t="shared" si="45"/>
        <v>539613.74</v>
      </c>
      <c r="G119" s="1769">
        <f t="shared" si="46"/>
        <v>358279.24</v>
      </c>
      <c r="H119" s="1770">
        <f t="shared" si="47"/>
        <v>897892.98</v>
      </c>
      <c r="I119" s="1771">
        <f t="shared" si="48"/>
        <v>3025538.8099999996</v>
      </c>
      <c r="J119" s="1772">
        <v>0</v>
      </c>
      <c r="K119" s="1773">
        <v>2113031.98</v>
      </c>
      <c r="L119" s="1773">
        <v>528257.99</v>
      </c>
      <c r="M119" s="1773">
        <v>0</v>
      </c>
      <c r="N119" s="1773">
        <v>0</v>
      </c>
      <c r="O119" s="1774">
        <f t="shared" si="49"/>
        <v>2641289.9699999997</v>
      </c>
      <c r="P119" s="1772">
        <v>-3959.78</v>
      </c>
      <c r="Q119" s="1773">
        <v>-3804.5</v>
      </c>
      <c r="R119" s="1773">
        <v>0</v>
      </c>
      <c r="S119" s="1773">
        <v>0.01</v>
      </c>
      <c r="T119" s="1773">
        <v>0</v>
      </c>
      <c r="U119" s="1774">
        <f t="shared" si="50"/>
        <v>-7764.27</v>
      </c>
      <c r="V119" s="1772">
        <v>375.81</v>
      </c>
      <c r="W119" s="1773">
        <v>361.07</v>
      </c>
      <c r="X119" s="1773">
        <v>0</v>
      </c>
      <c r="Y119" s="1773">
        <v>0</v>
      </c>
      <c r="Z119" s="1773">
        <v>0</v>
      </c>
      <c r="AA119" s="1774">
        <f t="shared" si="51"/>
        <v>736.88</v>
      </c>
      <c r="AB119" s="1775">
        <v>0</v>
      </c>
      <c r="AC119" s="1776">
        <v>18926.25</v>
      </c>
      <c r="AD119" s="1776">
        <v>11355.75</v>
      </c>
      <c r="AE119" s="1776">
        <v>358279.23</v>
      </c>
      <c r="AF119" s="1776">
        <v>0</v>
      </c>
      <c r="AG119" s="1777">
        <f t="shared" si="52"/>
        <v>388561.23</v>
      </c>
      <c r="AH119" s="1775">
        <v>2715</v>
      </c>
      <c r="AI119" s="1776">
        <v>0</v>
      </c>
      <c r="AJ119" s="1776">
        <v>0</v>
      </c>
      <c r="AK119" s="1776">
        <v>0</v>
      </c>
      <c r="AL119" s="1776">
        <v>0</v>
      </c>
      <c r="AM119" s="1774">
        <f t="shared" si="53"/>
        <v>2715</v>
      </c>
      <c r="AN119" s="1775"/>
      <c r="AO119" s="1776"/>
      <c r="AP119" s="1776"/>
      <c r="AQ119" s="1776"/>
      <c r="AR119" s="1776"/>
      <c r="AS119" s="1774">
        <f t="shared" si="54"/>
        <v>0</v>
      </c>
      <c r="AT119" s="1775"/>
      <c r="AU119" s="1776"/>
      <c r="AV119" s="1776"/>
      <c r="AW119" s="1776"/>
      <c r="AX119" s="1776"/>
      <c r="AY119" s="1774">
        <f t="shared" si="55"/>
        <v>0</v>
      </c>
    </row>
    <row r="120" spans="1:51" s="772" customFormat="1" x14ac:dyDescent="0.25">
      <c r="A120" s="1766" t="s">
        <v>200</v>
      </c>
      <c r="B120" s="1766" t="s">
        <v>313</v>
      </c>
      <c r="C120" s="1767" t="s">
        <v>265</v>
      </c>
      <c r="D120" s="1768">
        <f t="shared" si="43"/>
        <v>294900.18</v>
      </c>
      <c r="E120" s="1768">
        <f t="shared" si="44"/>
        <v>605230.69999999995</v>
      </c>
      <c r="F120" s="1768">
        <f t="shared" si="45"/>
        <v>151965.24</v>
      </c>
      <c r="G120" s="1769">
        <f t="shared" si="46"/>
        <v>-951.91000000000008</v>
      </c>
      <c r="H120" s="1770">
        <f t="shared" si="47"/>
        <v>151013.32999999999</v>
      </c>
      <c r="I120" s="1771">
        <f t="shared" si="48"/>
        <v>1051144.21</v>
      </c>
      <c r="J120" s="1772">
        <v>0</v>
      </c>
      <c r="K120" s="1773">
        <v>607860.93999999994</v>
      </c>
      <c r="L120" s="1773">
        <v>151965.24</v>
      </c>
      <c r="M120" s="1773">
        <v>0</v>
      </c>
      <c r="N120" s="1773">
        <v>0</v>
      </c>
      <c r="O120" s="1774">
        <f t="shared" si="49"/>
        <v>759826.17999999993</v>
      </c>
      <c r="P120" s="1772">
        <v>-5607.18</v>
      </c>
      <c r="Q120" s="1773">
        <v>-5387.27</v>
      </c>
      <c r="R120" s="1773">
        <v>0</v>
      </c>
      <c r="S120" s="1773">
        <v>-720.7</v>
      </c>
      <c r="T120" s="1773">
        <v>0</v>
      </c>
      <c r="U120" s="1774">
        <f t="shared" si="50"/>
        <v>-11715.150000000001</v>
      </c>
      <c r="V120" s="1772">
        <v>117.92</v>
      </c>
      <c r="W120" s="1773">
        <v>113.29</v>
      </c>
      <c r="X120" s="1773">
        <v>0</v>
      </c>
      <c r="Y120" s="1773">
        <v>-231.21</v>
      </c>
      <c r="Z120" s="1773">
        <v>0</v>
      </c>
      <c r="AA120" s="1774">
        <f t="shared" si="51"/>
        <v>0</v>
      </c>
      <c r="AB120" s="1775"/>
      <c r="AC120" s="1776"/>
      <c r="AD120" s="1776"/>
      <c r="AE120" s="1776"/>
      <c r="AF120" s="1776"/>
      <c r="AG120" s="1777">
        <f t="shared" si="52"/>
        <v>0</v>
      </c>
      <c r="AH120" s="1775">
        <v>32088</v>
      </c>
      <c r="AI120" s="1776">
        <v>0</v>
      </c>
      <c r="AJ120" s="1776">
        <v>0</v>
      </c>
      <c r="AK120" s="1776">
        <v>0</v>
      </c>
      <c r="AL120" s="1776">
        <v>0</v>
      </c>
      <c r="AM120" s="1774">
        <f t="shared" si="53"/>
        <v>32088</v>
      </c>
      <c r="AN120" s="1775">
        <v>0</v>
      </c>
      <c r="AO120" s="1776">
        <v>2643.74</v>
      </c>
      <c r="AP120" s="1776">
        <v>0</v>
      </c>
      <c r="AQ120" s="1776">
        <v>0</v>
      </c>
      <c r="AR120" s="1776">
        <v>0</v>
      </c>
      <c r="AS120" s="1774">
        <f t="shared" si="54"/>
        <v>2643.74</v>
      </c>
      <c r="AT120" s="1775">
        <v>268301.44</v>
      </c>
      <c r="AU120" s="1776">
        <v>0</v>
      </c>
      <c r="AV120" s="1776">
        <v>0</v>
      </c>
      <c r="AW120" s="1776">
        <v>0</v>
      </c>
      <c r="AX120" s="1776">
        <v>0</v>
      </c>
      <c r="AY120" s="1774">
        <f t="shared" si="55"/>
        <v>268301.44</v>
      </c>
    </row>
    <row r="121" spans="1:51" s="772" customFormat="1" x14ac:dyDescent="0.25">
      <c r="A121" s="1766" t="s">
        <v>222</v>
      </c>
      <c r="B121" s="1766" t="s">
        <v>223</v>
      </c>
      <c r="C121" s="1767" t="s">
        <v>264</v>
      </c>
      <c r="D121" s="1768">
        <f t="shared" si="43"/>
        <v>4717.33</v>
      </c>
      <c r="E121" s="1768">
        <f t="shared" si="44"/>
        <v>142458</v>
      </c>
      <c r="F121" s="1768">
        <f t="shared" si="45"/>
        <v>36174.800000000003</v>
      </c>
      <c r="G121" s="1769">
        <f t="shared" si="46"/>
        <v>12005</v>
      </c>
      <c r="H121" s="1770">
        <f t="shared" si="47"/>
        <v>48179.8</v>
      </c>
      <c r="I121" s="1771">
        <f t="shared" si="48"/>
        <v>195355.13</v>
      </c>
      <c r="J121" s="1772">
        <v>0</v>
      </c>
      <c r="K121" s="1773">
        <v>144699.20000000001</v>
      </c>
      <c r="L121" s="1773">
        <v>36174.800000000003</v>
      </c>
      <c r="M121" s="1773">
        <v>0</v>
      </c>
      <c r="N121" s="1773">
        <v>0</v>
      </c>
      <c r="O121" s="1774">
        <f t="shared" si="49"/>
        <v>180874</v>
      </c>
      <c r="P121" s="1772">
        <v>-2332.67</v>
      </c>
      <c r="Q121" s="1773">
        <v>-2241.1999999999998</v>
      </c>
      <c r="R121" s="1773">
        <v>0</v>
      </c>
      <c r="S121" s="1773">
        <v>5</v>
      </c>
      <c r="T121" s="1773">
        <v>0</v>
      </c>
      <c r="U121" s="1774">
        <f t="shared" si="50"/>
        <v>-4568.87</v>
      </c>
      <c r="V121" s="1772"/>
      <c r="W121" s="1773"/>
      <c r="X121" s="1773"/>
      <c r="Y121" s="1773"/>
      <c r="Z121" s="1773"/>
      <c r="AA121" s="1774">
        <f t="shared" si="51"/>
        <v>0</v>
      </c>
      <c r="AB121" s="1775">
        <v>0</v>
      </c>
      <c r="AC121" s="1776">
        <v>0</v>
      </c>
      <c r="AD121" s="1776">
        <v>0</v>
      </c>
      <c r="AE121" s="1776">
        <v>0</v>
      </c>
      <c r="AF121" s="1776">
        <v>12000</v>
      </c>
      <c r="AG121" s="1777">
        <f t="shared" si="52"/>
        <v>12000</v>
      </c>
      <c r="AH121" s="1778"/>
      <c r="AI121" s="1779"/>
      <c r="AJ121" s="1779"/>
      <c r="AK121" s="1779"/>
      <c r="AL121" s="1779"/>
      <c r="AM121" s="1774">
        <f t="shared" si="53"/>
        <v>0</v>
      </c>
      <c r="AN121" s="1778"/>
      <c r="AO121" s="1779"/>
      <c r="AP121" s="1779"/>
      <c r="AQ121" s="1779"/>
      <c r="AR121" s="1779"/>
      <c r="AS121" s="1774">
        <f t="shared" si="54"/>
        <v>0</v>
      </c>
      <c r="AT121" s="1778">
        <v>7050</v>
      </c>
      <c r="AU121" s="1779">
        <v>0</v>
      </c>
      <c r="AV121" s="1779">
        <v>0</v>
      </c>
      <c r="AW121" s="1779">
        <v>0</v>
      </c>
      <c r="AX121" s="1779">
        <v>0</v>
      </c>
      <c r="AY121" s="1774">
        <f t="shared" si="55"/>
        <v>7050</v>
      </c>
    </row>
    <row r="122" spans="1:51" s="772" customFormat="1" x14ac:dyDescent="0.25">
      <c r="A122" s="1766" t="s">
        <v>230</v>
      </c>
      <c r="B122" s="1766" t="s">
        <v>231</v>
      </c>
      <c r="C122" s="1767" t="s">
        <v>264</v>
      </c>
      <c r="D122" s="1768">
        <f t="shared" si="43"/>
        <v>210690.59999999998</v>
      </c>
      <c r="E122" s="1768">
        <f t="shared" si="44"/>
        <v>654210.22</v>
      </c>
      <c r="F122" s="1768">
        <f t="shared" si="45"/>
        <v>178045.5</v>
      </c>
      <c r="G122" s="1769">
        <f t="shared" si="46"/>
        <v>50725</v>
      </c>
      <c r="H122" s="1770">
        <f t="shared" si="47"/>
        <v>228770.5</v>
      </c>
      <c r="I122" s="1771">
        <f t="shared" si="48"/>
        <v>1093671.3199999998</v>
      </c>
      <c r="J122" s="1772">
        <v>0</v>
      </c>
      <c r="K122" s="1773">
        <v>620892</v>
      </c>
      <c r="L122" s="1773">
        <v>155223</v>
      </c>
      <c r="M122" s="1773">
        <v>0</v>
      </c>
      <c r="N122" s="1773">
        <v>0</v>
      </c>
      <c r="O122" s="1774">
        <f t="shared" si="49"/>
        <v>776115</v>
      </c>
      <c r="P122" s="1772">
        <v>-4911.8900000000003</v>
      </c>
      <c r="Q122" s="1773">
        <v>-4719.28</v>
      </c>
      <c r="R122" s="1773">
        <v>0</v>
      </c>
      <c r="S122" s="1773">
        <v>0</v>
      </c>
      <c r="T122" s="1773">
        <v>0</v>
      </c>
      <c r="U122" s="1774">
        <f t="shared" si="50"/>
        <v>-9631.17</v>
      </c>
      <c r="V122" s="1772"/>
      <c r="W122" s="1773"/>
      <c r="X122" s="1773"/>
      <c r="Y122" s="1773"/>
      <c r="Z122" s="1773"/>
      <c r="AA122" s="1774">
        <f t="shared" si="51"/>
        <v>0</v>
      </c>
      <c r="AB122" s="1775">
        <v>0</v>
      </c>
      <c r="AC122" s="1776">
        <v>38037.5</v>
      </c>
      <c r="AD122" s="1776">
        <v>22822.5</v>
      </c>
      <c r="AE122" s="1776">
        <v>51000</v>
      </c>
      <c r="AF122" s="1776">
        <v>0</v>
      </c>
      <c r="AG122" s="1777">
        <f t="shared" si="52"/>
        <v>111860</v>
      </c>
      <c r="AH122" s="1775">
        <v>1408</v>
      </c>
      <c r="AI122" s="1776">
        <v>0</v>
      </c>
      <c r="AJ122" s="1776">
        <v>0</v>
      </c>
      <c r="AK122" s="1776">
        <v>0</v>
      </c>
      <c r="AL122" s="1776">
        <v>0</v>
      </c>
      <c r="AM122" s="1774">
        <f t="shared" si="53"/>
        <v>1408</v>
      </c>
      <c r="AN122" s="1775"/>
      <c r="AO122" s="1776"/>
      <c r="AP122" s="1776"/>
      <c r="AQ122" s="1776"/>
      <c r="AR122" s="1776"/>
      <c r="AS122" s="1774">
        <f t="shared" si="54"/>
        <v>0</v>
      </c>
      <c r="AT122" s="1775">
        <v>214194.49</v>
      </c>
      <c r="AU122" s="1776">
        <v>0</v>
      </c>
      <c r="AV122" s="1776">
        <v>0</v>
      </c>
      <c r="AW122" s="1776">
        <v>-275</v>
      </c>
      <c r="AX122" s="1776">
        <v>0</v>
      </c>
      <c r="AY122" s="1774">
        <f t="shared" si="55"/>
        <v>213919.49</v>
      </c>
    </row>
    <row r="123" spans="1:51" s="772" customFormat="1" x14ac:dyDescent="0.25">
      <c r="A123" s="1780" t="s">
        <v>238</v>
      </c>
      <c r="B123" s="1780" t="s">
        <v>239</v>
      </c>
      <c r="C123" s="1767" t="s">
        <v>264</v>
      </c>
      <c r="D123" s="1768">
        <f t="shared" si="43"/>
        <v>10709.96</v>
      </c>
      <c r="E123" s="1768">
        <f t="shared" si="44"/>
        <v>105329.60000000001</v>
      </c>
      <c r="F123" s="1768">
        <f t="shared" si="45"/>
        <v>26332.400000000001</v>
      </c>
      <c r="G123" s="1769">
        <f t="shared" si="46"/>
        <v>27933.73</v>
      </c>
      <c r="H123" s="1770">
        <f t="shared" si="47"/>
        <v>54266.130000000005</v>
      </c>
      <c r="I123" s="1771">
        <f t="shared" si="48"/>
        <v>170305.69</v>
      </c>
      <c r="J123" s="1772">
        <v>0</v>
      </c>
      <c r="K123" s="1773">
        <v>105329.60000000001</v>
      </c>
      <c r="L123" s="1773">
        <v>26332.400000000001</v>
      </c>
      <c r="M123" s="1773">
        <v>0</v>
      </c>
      <c r="N123" s="1773">
        <v>0</v>
      </c>
      <c r="O123" s="1774">
        <f t="shared" si="49"/>
        <v>131662</v>
      </c>
      <c r="P123" s="1772"/>
      <c r="Q123" s="1773"/>
      <c r="R123" s="1773"/>
      <c r="S123" s="1773"/>
      <c r="T123" s="1773"/>
      <c r="U123" s="1774">
        <f t="shared" si="50"/>
        <v>0</v>
      </c>
      <c r="V123" s="1772"/>
      <c r="W123" s="1773"/>
      <c r="X123" s="1773"/>
      <c r="Y123" s="1773"/>
      <c r="Z123" s="1773"/>
      <c r="AA123" s="1774">
        <f t="shared" si="51"/>
        <v>0</v>
      </c>
      <c r="AB123" s="1775">
        <v>0</v>
      </c>
      <c r="AC123" s="1776">
        <v>0</v>
      </c>
      <c r="AD123" s="1776">
        <v>0</v>
      </c>
      <c r="AE123" s="1776">
        <v>0</v>
      </c>
      <c r="AF123" s="1776">
        <v>27889.360000000001</v>
      </c>
      <c r="AG123" s="1777">
        <f t="shared" si="52"/>
        <v>27889.360000000001</v>
      </c>
      <c r="AH123" s="1778"/>
      <c r="AI123" s="1779"/>
      <c r="AJ123" s="1779"/>
      <c r="AK123" s="1779"/>
      <c r="AL123" s="1779"/>
      <c r="AM123" s="1774">
        <f t="shared" si="53"/>
        <v>0</v>
      </c>
      <c r="AN123" s="1778"/>
      <c r="AO123" s="1779"/>
      <c r="AP123" s="1779"/>
      <c r="AQ123" s="1779"/>
      <c r="AR123" s="1779"/>
      <c r="AS123" s="1774">
        <f t="shared" si="54"/>
        <v>0</v>
      </c>
      <c r="AT123" s="1778">
        <v>10709.96</v>
      </c>
      <c r="AU123" s="1779">
        <v>0</v>
      </c>
      <c r="AV123" s="1779">
        <v>0</v>
      </c>
      <c r="AW123" s="1779">
        <v>44.37</v>
      </c>
      <c r="AX123" s="1779">
        <v>0</v>
      </c>
      <c r="AY123" s="1774">
        <f t="shared" si="55"/>
        <v>10754.33</v>
      </c>
    </row>
    <row r="124" spans="1:51" s="772" customFormat="1" x14ac:dyDescent="0.25">
      <c r="A124" s="2174" t="s">
        <v>240</v>
      </c>
      <c r="B124" s="2174" t="s">
        <v>241</v>
      </c>
      <c r="C124" s="1781" t="s">
        <v>267</v>
      </c>
      <c r="D124" s="1782">
        <f t="shared" si="43"/>
        <v>17689.580000000002</v>
      </c>
      <c r="E124" s="1782">
        <f t="shared" si="44"/>
        <v>90039.42</v>
      </c>
      <c r="F124" s="1782">
        <f t="shared" si="45"/>
        <v>22457.599999999999</v>
      </c>
      <c r="G124" s="1783">
        <f t="shared" si="46"/>
        <v>18007.09</v>
      </c>
      <c r="H124" s="1784">
        <f t="shared" si="47"/>
        <v>40464.69</v>
      </c>
      <c r="I124" s="1785">
        <f t="shared" si="48"/>
        <v>148193.69</v>
      </c>
      <c r="J124" s="1786">
        <v>0</v>
      </c>
      <c r="K124" s="1787">
        <v>89830.399999999994</v>
      </c>
      <c r="L124" s="1787">
        <v>22457.599999999999</v>
      </c>
      <c r="M124" s="1787">
        <v>0</v>
      </c>
      <c r="N124" s="1787">
        <v>0</v>
      </c>
      <c r="O124" s="1788">
        <f t="shared" si="49"/>
        <v>112288</v>
      </c>
      <c r="P124" s="1786">
        <v>217.58</v>
      </c>
      <c r="Q124" s="1787">
        <v>209.02</v>
      </c>
      <c r="R124" s="1787">
        <v>0</v>
      </c>
      <c r="S124" s="1787">
        <v>-165.6</v>
      </c>
      <c r="T124" s="1787">
        <v>0</v>
      </c>
      <c r="U124" s="1788">
        <f t="shared" si="50"/>
        <v>261</v>
      </c>
      <c r="V124" s="1786"/>
      <c r="W124" s="1787"/>
      <c r="X124" s="1787"/>
      <c r="Y124" s="1787"/>
      <c r="Z124" s="1787"/>
      <c r="AA124" s="1788">
        <f t="shared" si="51"/>
        <v>0</v>
      </c>
      <c r="AB124" s="1789">
        <v>0</v>
      </c>
      <c r="AC124" s="1790">
        <v>0</v>
      </c>
      <c r="AD124" s="1790">
        <v>0</v>
      </c>
      <c r="AE124" s="1790">
        <v>4765</v>
      </c>
      <c r="AF124" s="1790">
        <v>13407.69</v>
      </c>
      <c r="AG124" s="1791">
        <f t="shared" si="52"/>
        <v>18172.690000000002</v>
      </c>
      <c r="AH124" s="1789">
        <v>17472</v>
      </c>
      <c r="AI124" s="1790">
        <v>0</v>
      </c>
      <c r="AJ124" s="1790">
        <v>0</v>
      </c>
      <c r="AK124" s="1790">
        <v>0</v>
      </c>
      <c r="AL124" s="1790">
        <v>0</v>
      </c>
      <c r="AM124" s="1788">
        <f t="shared" si="53"/>
        <v>17472</v>
      </c>
      <c r="AN124" s="1789"/>
      <c r="AO124" s="1790"/>
      <c r="AP124" s="1790"/>
      <c r="AQ124" s="1790"/>
      <c r="AR124" s="1790"/>
      <c r="AS124" s="1788">
        <f t="shared" si="54"/>
        <v>0</v>
      </c>
      <c r="AT124" s="1789"/>
      <c r="AU124" s="1790"/>
      <c r="AV124" s="1790"/>
      <c r="AW124" s="1790"/>
      <c r="AX124" s="1790"/>
      <c r="AY124" s="1788">
        <f t="shared" si="55"/>
        <v>0</v>
      </c>
    </row>
    <row r="125" spans="1:51" x14ac:dyDescent="0.25">
      <c r="J125" s="1749"/>
      <c r="K125" s="1750"/>
      <c r="L125" s="1750"/>
      <c r="M125" s="1750"/>
      <c r="N125" s="1750"/>
      <c r="O125" s="1751"/>
      <c r="P125" s="1749"/>
      <c r="Q125" s="1750"/>
      <c r="R125" s="1750"/>
      <c r="S125" s="1750"/>
      <c r="T125" s="1750"/>
      <c r="U125" s="1751"/>
      <c r="V125" s="1749"/>
      <c r="W125" s="1750"/>
      <c r="X125" s="1750"/>
      <c r="Y125" s="1750"/>
      <c r="Z125" s="1750"/>
      <c r="AA125" s="1751"/>
      <c r="AB125" s="1749"/>
      <c r="AC125" s="1750"/>
      <c r="AD125" s="1750"/>
      <c r="AE125" s="1750"/>
      <c r="AF125" s="1750"/>
      <c r="AG125" s="1751"/>
      <c r="AH125" s="1749"/>
      <c r="AI125" s="1750"/>
      <c r="AJ125" s="1750"/>
      <c r="AK125" s="1750"/>
      <c r="AL125" s="1750"/>
      <c r="AM125" s="1751"/>
      <c r="AN125" s="1749"/>
      <c r="AO125" s="1750"/>
      <c r="AP125" s="1750"/>
      <c r="AQ125" s="1750"/>
      <c r="AR125" s="1750"/>
      <c r="AS125" s="1751"/>
      <c r="AT125" s="1749"/>
      <c r="AU125" s="1750"/>
      <c r="AV125" s="1750"/>
      <c r="AW125" s="1750"/>
      <c r="AX125" s="1750"/>
      <c r="AY125" s="1751"/>
    </row>
    <row r="126" spans="1:51" x14ac:dyDescent="0.25">
      <c r="A126" s="1792" t="s">
        <v>266</v>
      </c>
      <c r="B126" s="1792"/>
      <c r="C126" s="1792"/>
      <c r="D126" s="2007">
        <f t="shared" ref="D126:D130" si="56">J126+P126+V126+AB126+AH126+AN126+AT126</f>
        <v>755880.13</v>
      </c>
      <c r="E126" s="2007">
        <f t="shared" ref="E126:E130" si="57">K126+Q126+W126+AC126+AI126+AO126+AU126</f>
        <v>4771529.8500000006</v>
      </c>
      <c r="F126" s="2007">
        <f t="shared" ref="F126:F130" si="58">L126+R126+X126+AD126+AJ126+AP126+AV126</f>
        <v>1238615.76</v>
      </c>
      <c r="G126" s="2007">
        <f t="shared" ref="G126:G130" si="59">M126+N126+S126+T126+Y126+Z126+AE126+AF126+AK126+AL126+AQ126+AR126+AW126+AX126</f>
        <v>558920.89000000013</v>
      </c>
      <c r="H126" s="2007">
        <f t="shared" ref="H126:H130" si="60">F126+G126</f>
        <v>1797536.6500000001</v>
      </c>
      <c r="I126" s="2008">
        <f t="shared" ref="I126:I130" si="61">SUM(D126:G126)</f>
        <v>7324946.6300000008</v>
      </c>
      <c r="J126" s="2009">
        <v>0</v>
      </c>
      <c r="K126" s="2010">
        <v>4657331.9800000004</v>
      </c>
      <c r="L126" s="2010">
        <v>1164332.99</v>
      </c>
      <c r="M126" s="2010">
        <v>0</v>
      </c>
      <c r="N126" s="2010">
        <v>584.92999999999995</v>
      </c>
      <c r="O126" s="2011">
        <f t="shared" ref="O126:O130" si="62">SUM(J126:N126)</f>
        <v>5822249.9000000004</v>
      </c>
      <c r="P126" s="2009">
        <v>-9324.7099999999991</v>
      </c>
      <c r="Q126" s="2010">
        <v>-8959.0400000000009</v>
      </c>
      <c r="R126" s="2010">
        <v>0</v>
      </c>
      <c r="S126" s="2010">
        <v>-635.62</v>
      </c>
      <c r="T126" s="2010">
        <v>0</v>
      </c>
      <c r="U126" s="2011">
        <f t="shared" ref="U126:U130" si="63">SUM(P126:T126)</f>
        <v>-18919.37</v>
      </c>
      <c r="V126" s="2009">
        <v>375.81</v>
      </c>
      <c r="W126" s="2010">
        <v>361.07</v>
      </c>
      <c r="X126" s="2010">
        <v>0</v>
      </c>
      <c r="Y126" s="2010">
        <v>0</v>
      </c>
      <c r="Z126" s="2010">
        <v>0</v>
      </c>
      <c r="AA126" s="2011">
        <f t="shared" ref="AA126:AA130" si="64">SUM(V126:Z126)</f>
        <v>736.88</v>
      </c>
      <c r="AB126" s="2009">
        <v>0</v>
      </c>
      <c r="AC126" s="2010">
        <v>123804.51</v>
      </c>
      <c r="AD126" s="2010">
        <v>74282.77</v>
      </c>
      <c r="AE126" s="2010">
        <v>558440.58000000007</v>
      </c>
      <c r="AF126" s="2010">
        <v>0</v>
      </c>
      <c r="AG126" s="2011">
        <f t="shared" ref="AG126:AG130" si="65">SUM(AB126:AF126)</f>
        <v>756527.8600000001</v>
      </c>
      <c r="AH126" s="2009">
        <v>53341</v>
      </c>
      <c r="AI126" s="2010">
        <v>0</v>
      </c>
      <c r="AJ126" s="2010">
        <v>0</v>
      </c>
      <c r="AK126" s="2010">
        <v>0</v>
      </c>
      <c r="AL126" s="2010">
        <v>531</v>
      </c>
      <c r="AM126" s="2011">
        <f t="shared" ref="AM126:AM130" si="66">SUM(AH126:AL126)</f>
        <v>53872</v>
      </c>
      <c r="AN126" s="2009">
        <v>0</v>
      </c>
      <c r="AO126" s="2010">
        <v>-1008.6700000000001</v>
      </c>
      <c r="AP126" s="2010">
        <v>0</v>
      </c>
      <c r="AQ126" s="2010">
        <v>0</v>
      </c>
      <c r="AR126" s="2010">
        <v>0</v>
      </c>
      <c r="AS126" s="2011">
        <f t="shared" ref="AS126:AS130" si="67">SUM(AN126:AR126)</f>
        <v>-1008.6700000000001</v>
      </c>
      <c r="AT126" s="2009">
        <v>711488.03</v>
      </c>
      <c r="AU126" s="2010">
        <v>0</v>
      </c>
      <c r="AV126" s="2010">
        <v>0</v>
      </c>
      <c r="AW126" s="2010">
        <v>0</v>
      </c>
      <c r="AX126" s="2010">
        <v>0</v>
      </c>
      <c r="AY126" s="2011">
        <f t="shared" ref="AY126:AY130" si="68">SUM(AT126:AX126)</f>
        <v>711488.03</v>
      </c>
    </row>
    <row r="127" spans="1:51" x14ac:dyDescent="0.25">
      <c r="A127" s="1793" t="s">
        <v>264</v>
      </c>
      <c r="B127" s="1793"/>
      <c r="C127" s="1793"/>
      <c r="D127" s="2012">
        <f t="shared" si="56"/>
        <v>662422.09</v>
      </c>
      <c r="E127" s="2012">
        <f t="shared" si="57"/>
        <v>4569111.6499999994</v>
      </c>
      <c r="F127" s="2012">
        <f t="shared" si="58"/>
        <v>1202646.17</v>
      </c>
      <c r="G127" s="2012">
        <f t="shared" si="59"/>
        <v>90107.01</v>
      </c>
      <c r="H127" s="2012">
        <f t="shared" si="60"/>
        <v>1292753.18</v>
      </c>
      <c r="I127" s="2013">
        <f t="shared" si="61"/>
        <v>6524286.919999999</v>
      </c>
      <c r="J127" s="1985">
        <v>0</v>
      </c>
      <c r="K127" s="1986">
        <v>4434603.8199999994</v>
      </c>
      <c r="L127" s="1986">
        <v>1108497.68</v>
      </c>
      <c r="M127" s="1986">
        <v>0</v>
      </c>
      <c r="N127" s="1986">
        <v>0</v>
      </c>
      <c r="O127" s="2014">
        <f t="shared" si="62"/>
        <v>5543101.4999999991</v>
      </c>
      <c r="P127" s="1985">
        <v>-23574.649999999998</v>
      </c>
      <c r="Q127" s="1986">
        <v>-22650.240000000002</v>
      </c>
      <c r="R127" s="1986">
        <v>0</v>
      </c>
      <c r="S127" s="1986">
        <v>-1087.52</v>
      </c>
      <c r="T127" s="1986">
        <v>0</v>
      </c>
      <c r="U127" s="2014">
        <f t="shared" si="63"/>
        <v>-47312.409999999996</v>
      </c>
      <c r="V127" s="1985"/>
      <c r="W127" s="1986"/>
      <c r="X127" s="1986"/>
      <c r="Y127" s="1986"/>
      <c r="Z127" s="1986"/>
      <c r="AA127" s="2014">
        <f t="shared" si="64"/>
        <v>0</v>
      </c>
      <c r="AB127" s="1985">
        <v>0</v>
      </c>
      <c r="AC127" s="1986">
        <v>156914.06999999998</v>
      </c>
      <c r="AD127" s="1986">
        <v>94148.489999999991</v>
      </c>
      <c r="AE127" s="1986">
        <v>51779.799999999996</v>
      </c>
      <c r="AF127" s="1986">
        <v>39889.360000000001</v>
      </c>
      <c r="AG127" s="2014">
        <f t="shared" si="65"/>
        <v>342731.72</v>
      </c>
      <c r="AH127" s="1985">
        <v>147547</v>
      </c>
      <c r="AI127" s="1986">
        <v>0</v>
      </c>
      <c r="AJ127" s="1986">
        <v>0</v>
      </c>
      <c r="AK127" s="1986">
        <v>0</v>
      </c>
      <c r="AL127" s="1986">
        <v>0</v>
      </c>
      <c r="AM127" s="2014">
        <f t="shared" si="66"/>
        <v>147547</v>
      </c>
      <c r="AN127" s="1985">
        <v>0</v>
      </c>
      <c r="AO127" s="1986">
        <v>244</v>
      </c>
      <c r="AP127" s="1986">
        <v>0</v>
      </c>
      <c r="AQ127" s="1986">
        <v>0</v>
      </c>
      <c r="AR127" s="1986">
        <v>-244</v>
      </c>
      <c r="AS127" s="2014">
        <f t="shared" si="67"/>
        <v>0</v>
      </c>
      <c r="AT127" s="1985">
        <v>538449.74</v>
      </c>
      <c r="AU127" s="1986">
        <v>0</v>
      </c>
      <c r="AV127" s="1986">
        <v>0</v>
      </c>
      <c r="AW127" s="1986">
        <v>-230.63</v>
      </c>
      <c r="AX127" s="1986">
        <v>0</v>
      </c>
      <c r="AY127" s="2014">
        <f t="shared" si="68"/>
        <v>538219.11</v>
      </c>
    </row>
    <row r="128" spans="1:51" x14ac:dyDescent="0.25">
      <c r="A128" s="1793" t="s">
        <v>267</v>
      </c>
      <c r="B128" s="1793"/>
      <c r="C128" s="1793"/>
      <c r="D128" s="2012">
        <f t="shared" si="56"/>
        <v>1370246.62</v>
      </c>
      <c r="E128" s="2012">
        <f t="shared" si="57"/>
        <v>3318715.05</v>
      </c>
      <c r="F128" s="2012">
        <f t="shared" si="58"/>
        <v>855113.32</v>
      </c>
      <c r="G128" s="2012">
        <f t="shared" si="59"/>
        <v>489300.64</v>
      </c>
      <c r="H128" s="2012">
        <f t="shared" si="60"/>
        <v>1344413.96</v>
      </c>
      <c r="I128" s="2013">
        <f t="shared" si="61"/>
        <v>6033375.6299999999</v>
      </c>
      <c r="J128" s="1985">
        <v>0</v>
      </c>
      <c r="K128" s="1986">
        <v>3308162.4699999997</v>
      </c>
      <c r="L128" s="1986">
        <v>826089.07</v>
      </c>
      <c r="M128" s="1986">
        <v>-506.8</v>
      </c>
      <c r="N128" s="1986">
        <v>-8.6700000000000728</v>
      </c>
      <c r="O128" s="2014">
        <f t="shared" si="62"/>
        <v>4133736.07</v>
      </c>
      <c r="P128" s="1985">
        <v>-30874.999999999993</v>
      </c>
      <c r="Q128" s="1986">
        <v>-29664.17</v>
      </c>
      <c r="R128" s="1986">
        <v>0</v>
      </c>
      <c r="S128" s="1986">
        <v>561.71999999999991</v>
      </c>
      <c r="T128" s="1986">
        <v>0</v>
      </c>
      <c r="U128" s="2014">
        <f t="shared" si="63"/>
        <v>-59977.44999999999</v>
      </c>
      <c r="V128" s="1985"/>
      <c r="W128" s="1986"/>
      <c r="X128" s="1986"/>
      <c r="Y128" s="1986"/>
      <c r="Z128" s="1986"/>
      <c r="AA128" s="2014">
        <f t="shared" si="64"/>
        <v>0</v>
      </c>
      <c r="AB128" s="1985">
        <v>0</v>
      </c>
      <c r="AC128" s="1986">
        <v>48373.75</v>
      </c>
      <c r="AD128" s="1986">
        <v>29024.25</v>
      </c>
      <c r="AE128" s="1986">
        <v>461743.43</v>
      </c>
      <c r="AF128" s="1986">
        <v>25402.959999999999</v>
      </c>
      <c r="AG128" s="2014">
        <f t="shared" si="65"/>
        <v>564544.3899999999</v>
      </c>
      <c r="AH128" s="1985">
        <v>727139.98</v>
      </c>
      <c r="AI128" s="1986">
        <v>0</v>
      </c>
      <c r="AJ128" s="1986">
        <v>0</v>
      </c>
      <c r="AK128" s="1986">
        <v>0</v>
      </c>
      <c r="AL128" s="1986">
        <v>87</v>
      </c>
      <c r="AM128" s="2014">
        <f t="shared" si="66"/>
        <v>727226.98</v>
      </c>
      <c r="AN128" s="1985">
        <v>0</v>
      </c>
      <c r="AO128" s="1986">
        <v>-8157</v>
      </c>
      <c r="AP128" s="1986">
        <v>0</v>
      </c>
      <c r="AQ128" s="1986">
        <v>2021</v>
      </c>
      <c r="AR128" s="1986">
        <v>0</v>
      </c>
      <c r="AS128" s="2014">
        <f t="shared" si="67"/>
        <v>-6136</v>
      </c>
      <c r="AT128" s="1985">
        <v>673981.64</v>
      </c>
      <c r="AU128" s="1986">
        <v>0</v>
      </c>
      <c r="AV128" s="1986">
        <v>0</v>
      </c>
      <c r="AW128" s="1986">
        <v>0</v>
      </c>
      <c r="AX128" s="1986">
        <v>0</v>
      </c>
      <c r="AY128" s="2014">
        <f t="shared" si="68"/>
        <v>673981.64</v>
      </c>
    </row>
    <row r="129" spans="1:51" x14ac:dyDescent="0.25">
      <c r="A129" s="1793" t="s">
        <v>265</v>
      </c>
      <c r="B129" s="1793"/>
      <c r="C129" s="1793"/>
      <c r="D129" s="2012">
        <f t="shared" si="56"/>
        <v>822766.66</v>
      </c>
      <c r="E129" s="2012">
        <f t="shared" si="57"/>
        <v>3681239.99</v>
      </c>
      <c r="F129" s="2012">
        <f t="shared" si="58"/>
        <v>932812.48</v>
      </c>
      <c r="G129" s="2012">
        <f t="shared" si="59"/>
        <v>39082.67</v>
      </c>
      <c r="H129" s="2012">
        <f t="shared" si="60"/>
        <v>971895.15</v>
      </c>
      <c r="I129" s="2013">
        <f t="shared" si="61"/>
        <v>5475901.8000000007</v>
      </c>
      <c r="J129" s="1985">
        <v>0</v>
      </c>
      <c r="K129" s="1986">
        <v>3661295.44</v>
      </c>
      <c r="L129" s="1986">
        <v>914577.79999999993</v>
      </c>
      <c r="M129" s="1986">
        <v>450</v>
      </c>
      <c r="N129" s="1986">
        <v>0</v>
      </c>
      <c r="O129" s="2014">
        <f t="shared" si="62"/>
        <v>4576323.24</v>
      </c>
      <c r="P129" s="1985">
        <v>-10402.100000000004</v>
      </c>
      <c r="Q129" s="1986">
        <v>-9994.16</v>
      </c>
      <c r="R129" s="1986">
        <v>0</v>
      </c>
      <c r="S129" s="1986">
        <v>-545.32000000000005</v>
      </c>
      <c r="T129" s="1986">
        <v>0</v>
      </c>
      <c r="U129" s="2014">
        <f t="shared" si="63"/>
        <v>-20941.580000000002</v>
      </c>
      <c r="V129" s="1985">
        <v>117.92</v>
      </c>
      <c r="W129" s="1986">
        <v>113.29</v>
      </c>
      <c r="X129" s="1986">
        <v>0</v>
      </c>
      <c r="Y129" s="1986">
        <v>-231.21</v>
      </c>
      <c r="Z129" s="1986">
        <v>0</v>
      </c>
      <c r="AA129" s="2014">
        <f t="shared" si="64"/>
        <v>0</v>
      </c>
      <c r="AB129" s="1985">
        <v>0</v>
      </c>
      <c r="AC129" s="1986">
        <v>30391.039999999997</v>
      </c>
      <c r="AD129" s="1986">
        <v>18234.68</v>
      </c>
      <c r="AE129" s="1986">
        <v>39409.199999999997</v>
      </c>
      <c r="AF129" s="1986">
        <v>0</v>
      </c>
      <c r="AG129" s="2014">
        <f t="shared" si="65"/>
        <v>88034.92</v>
      </c>
      <c r="AH129" s="1985">
        <v>63207</v>
      </c>
      <c r="AI129" s="1986">
        <v>0</v>
      </c>
      <c r="AJ129" s="1986">
        <v>0</v>
      </c>
      <c r="AK129" s="1986">
        <v>0</v>
      </c>
      <c r="AL129" s="1986">
        <v>0</v>
      </c>
      <c r="AM129" s="2014">
        <f t="shared" si="66"/>
        <v>63207</v>
      </c>
      <c r="AN129" s="1985">
        <v>0</v>
      </c>
      <c r="AO129" s="1986">
        <v>-1563.5700000000002</v>
      </c>
      <c r="AP129" s="1986">
        <v>0</v>
      </c>
      <c r="AQ129" s="1986">
        <v>0</v>
      </c>
      <c r="AR129" s="1986">
        <v>0</v>
      </c>
      <c r="AS129" s="2014">
        <f t="shared" si="67"/>
        <v>-1563.5700000000002</v>
      </c>
      <c r="AT129" s="1985">
        <v>769843.84000000008</v>
      </c>
      <c r="AU129" s="1986">
        <v>997.95</v>
      </c>
      <c r="AV129" s="1986">
        <v>0</v>
      </c>
      <c r="AW129" s="1986">
        <v>0</v>
      </c>
      <c r="AX129" s="1986">
        <v>0</v>
      </c>
      <c r="AY129" s="2014">
        <f t="shared" si="68"/>
        <v>770841.79</v>
      </c>
    </row>
    <row r="130" spans="1:51" x14ac:dyDescent="0.25">
      <c r="A130" s="1793" t="s">
        <v>268</v>
      </c>
      <c r="B130" s="1793"/>
      <c r="C130" s="1793"/>
      <c r="D130" s="2012">
        <f t="shared" si="56"/>
        <v>-7399.1600000000017</v>
      </c>
      <c r="E130" s="2012">
        <f t="shared" si="57"/>
        <v>3705682.1</v>
      </c>
      <c r="F130" s="2012">
        <f t="shared" si="58"/>
        <v>928534.4</v>
      </c>
      <c r="G130" s="2012">
        <f t="shared" si="59"/>
        <v>47575.28</v>
      </c>
      <c r="H130" s="2012">
        <f t="shared" si="60"/>
        <v>976109.68</v>
      </c>
      <c r="I130" s="2013">
        <f t="shared" si="61"/>
        <v>4674392.62</v>
      </c>
      <c r="J130" s="1985">
        <v>0</v>
      </c>
      <c r="K130" s="1986">
        <v>3714137.6</v>
      </c>
      <c r="L130" s="1986">
        <v>928534.4</v>
      </c>
      <c r="M130" s="1986">
        <v>0</v>
      </c>
      <c r="N130" s="1986">
        <v>0</v>
      </c>
      <c r="O130" s="2014">
        <f t="shared" si="62"/>
        <v>4642672</v>
      </c>
      <c r="P130" s="1985">
        <v>-7998.1600000000017</v>
      </c>
      <c r="Q130" s="1986">
        <v>-7684.4999999999982</v>
      </c>
      <c r="R130" s="1986">
        <v>0</v>
      </c>
      <c r="S130" s="1986">
        <v>70</v>
      </c>
      <c r="T130" s="1986">
        <v>0</v>
      </c>
      <c r="U130" s="2014">
        <f t="shared" si="63"/>
        <v>-15612.66</v>
      </c>
      <c r="V130" s="1985"/>
      <c r="W130" s="1986"/>
      <c r="X130" s="1986"/>
      <c r="Y130" s="1986"/>
      <c r="Z130" s="1986"/>
      <c r="AA130" s="2014">
        <f t="shared" si="64"/>
        <v>0</v>
      </c>
      <c r="AB130" s="1985">
        <v>0</v>
      </c>
      <c r="AC130" s="1986">
        <v>0</v>
      </c>
      <c r="AD130" s="1986">
        <v>0</v>
      </c>
      <c r="AE130" s="1986">
        <v>45005.279999999999</v>
      </c>
      <c r="AF130" s="1986">
        <v>2500</v>
      </c>
      <c r="AG130" s="2014">
        <f t="shared" si="65"/>
        <v>47505.279999999999</v>
      </c>
      <c r="AH130" s="1985">
        <v>599</v>
      </c>
      <c r="AI130" s="1986">
        <v>0</v>
      </c>
      <c r="AJ130" s="1986">
        <v>0</v>
      </c>
      <c r="AK130" s="1986">
        <v>0</v>
      </c>
      <c r="AL130" s="1986">
        <v>0</v>
      </c>
      <c r="AM130" s="2014">
        <f t="shared" si="66"/>
        <v>599</v>
      </c>
      <c r="AN130" s="1985">
        <v>0</v>
      </c>
      <c r="AO130" s="1986">
        <v>-771</v>
      </c>
      <c r="AP130" s="1986">
        <v>0</v>
      </c>
      <c r="AQ130" s="1986">
        <v>0</v>
      </c>
      <c r="AR130" s="1986">
        <v>0</v>
      </c>
      <c r="AS130" s="2014">
        <f t="shared" si="67"/>
        <v>-771</v>
      </c>
      <c r="AT130" s="1985"/>
      <c r="AU130" s="1986"/>
      <c r="AV130" s="1986"/>
      <c r="AW130" s="1986"/>
      <c r="AX130" s="1986"/>
      <c r="AY130" s="2014">
        <f t="shared" si="68"/>
        <v>0</v>
      </c>
    </row>
    <row r="131" spans="1:51" x14ac:dyDescent="0.25">
      <c r="A131" s="1794" t="s">
        <v>9</v>
      </c>
      <c r="B131" s="1794"/>
      <c r="C131" s="1794"/>
      <c r="D131" s="2015">
        <f>SUM(D126:D130)</f>
        <v>3603916.34</v>
      </c>
      <c r="E131" s="2015">
        <f t="shared" ref="E131:AY131" si="69">SUM(E126:E130)</f>
        <v>20046278.640000001</v>
      </c>
      <c r="F131" s="2015">
        <f t="shared" si="69"/>
        <v>5157722.13</v>
      </c>
      <c r="G131" s="2015">
        <f t="shared" si="69"/>
        <v>1224986.49</v>
      </c>
      <c r="H131" s="2015">
        <f t="shared" si="69"/>
        <v>6382708.6200000001</v>
      </c>
      <c r="I131" s="2016">
        <f t="shared" si="69"/>
        <v>30032903.600000001</v>
      </c>
      <c r="J131" s="2017">
        <f t="shared" si="69"/>
        <v>0</v>
      </c>
      <c r="K131" s="2018">
        <f t="shared" si="69"/>
        <v>19775531.309999999</v>
      </c>
      <c r="L131" s="2018">
        <f t="shared" si="69"/>
        <v>4942031.9399999995</v>
      </c>
      <c r="M131" s="2018">
        <f t="shared" si="69"/>
        <v>-56.800000000000011</v>
      </c>
      <c r="N131" s="2018">
        <f t="shared" si="69"/>
        <v>576.25999999999988</v>
      </c>
      <c r="O131" s="2019">
        <f t="shared" si="69"/>
        <v>24718082.710000001</v>
      </c>
      <c r="P131" s="2017">
        <f t="shared" si="69"/>
        <v>-82174.62</v>
      </c>
      <c r="Q131" s="2018">
        <f t="shared" si="69"/>
        <v>-78952.11</v>
      </c>
      <c r="R131" s="2018">
        <f t="shared" si="69"/>
        <v>0</v>
      </c>
      <c r="S131" s="2018">
        <f t="shared" si="69"/>
        <v>-1636.7400000000002</v>
      </c>
      <c r="T131" s="2018">
        <f t="shared" si="69"/>
        <v>0</v>
      </c>
      <c r="U131" s="2019">
        <f t="shared" si="69"/>
        <v>-162763.47</v>
      </c>
      <c r="V131" s="2017">
        <f t="shared" si="69"/>
        <v>493.73</v>
      </c>
      <c r="W131" s="2018">
        <f t="shared" si="69"/>
        <v>474.36</v>
      </c>
      <c r="X131" s="2018">
        <f t="shared" si="69"/>
        <v>0</v>
      </c>
      <c r="Y131" s="2018">
        <f t="shared" si="69"/>
        <v>-231.21</v>
      </c>
      <c r="Z131" s="2018">
        <f t="shared" si="69"/>
        <v>0</v>
      </c>
      <c r="AA131" s="2019">
        <f t="shared" si="69"/>
        <v>736.88</v>
      </c>
      <c r="AB131" s="2017">
        <f t="shared" si="69"/>
        <v>0</v>
      </c>
      <c r="AC131" s="2018">
        <f t="shared" si="69"/>
        <v>359483.36999999994</v>
      </c>
      <c r="AD131" s="2018">
        <f t="shared" si="69"/>
        <v>215690.19</v>
      </c>
      <c r="AE131" s="2018">
        <f t="shared" si="69"/>
        <v>1156378.29</v>
      </c>
      <c r="AF131" s="2018">
        <f t="shared" si="69"/>
        <v>67792.320000000007</v>
      </c>
      <c r="AG131" s="2019">
        <f t="shared" si="69"/>
        <v>1799344.17</v>
      </c>
      <c r="AH131" s="2017">
        <f t="shared" si="69"/>
        <v>991833.98</v>
      </c>
      <c r="AI131" s="2018">
        <f t="shared" si="69"/>
        <v>0</v>
      </c>
      <c r="AJ131" s="2018">
        <f t="shared" si="69"/>
        <v>0</v>
      </c>
      <c r="AK131" s="2018">
        <f t="shared" si="69"/>
        <v>0</v>
      </c>
      <c r="AL131" s="2018">
        <f t="shared" si="69"/>
        <v>618</v>
      </c>
      <c r="AM131" s="2019">
        <f t="shared" si="69"/>
        <v>992451.98</v>
      </c>
      <c r="AN131" s="2017">
        <f t="shared" si="69"/>
        <v>0</v>
      </c>
      <c r="AO131" s="2018">
        <f t="shared" si="69"/>
        <v>-11256.24</v>
      </c>
      <c r="AP131" s="2018">
        <f t="shared" si="69"/>
        <v>0</v>
      </c>
      <c r="AQ131" s="2018">
        <f t="shared" si="69"/>
        <v>2021</v>
      </c>
      <c r="AR131" s="2018">
        <f t="shared" si="69"/>
        <v>-244</v>
      </c>
      <c r="AS131" s="2019">
        <f t="shared" si="69"/>
        <v>-9479.24</v>
      </c>
      <c r="AT131" s="2017">
        <f t="shared" si="69"/>
        <v>2693763.25</v>
      </c>
      <c r="AU131" s="2018">
        <f t="shared" si="69"/>
        <v>997.95</v>
      </c>
      <c r="AV131" s="2018">
        <f t="shared" si="69"/>
        <v>0</v>
      </c>
      <c r="AW131" s="2018">
        <f t="shared" si="69"/>
        <v>-230.63</v>
      </c>
      <c r="AX131" s="2018">
        <f t="shared" si="69"/>
        <v>0</v>
      </c>
      <c r="AY131" s="2019">
        <f t="shared" si="69"/>
        <v>2694530.5700000003</v>
      </c>
    </row>
    <row r="132" spans="1:51" x14ac:dyDescent="0.25">
      <c r="J132" s="1286"/>
      <c r="K132" s="1286"/>
      <c r="L132" s="1286"/>
      <c r="M132" s="1286"/>
      <c r="N132" s="1286"/>
      <c r="O132" s="1286"/>
      <c r="P132" s="1286"/>
      <c r="Q132" s="1286"/>
      <c r="R132" s="1286"/>
      <c r="S132" s="1286"/>
      <c r="T132" s="1286"/>
      <c r="U132" s="1286"/>
      <c r="V132" s="1286"/>
      <c r="W132" s="1286"/>
      <c r="X132" s="1286"/>
      <c r="Y132" s="1286"/>
      <c r="Z132" s="1286"/>
      <c r="AA132" s="1286"/>
      <c r="AB132" s="1286"/>
      <c r="AC132" s="1286"/>
      <c r="AD132" s="1286"/>
      <c r="AE132" s="1286"/>
      <c r="AF132" s="1286"/>
      <c r="AG132" s="1286"/>
      <c r="AH132" s="1286"/>
      <c r="AI132" s="1286"/>
      <c r="AJ132" s="1286"/>
      <c r="AK132" s="1286"/>
      <c r="AL132" s="1286"/>
      <c r="AM132" s="1286"/>
      <c r="AN132" s="1286"/>
      <c r="AO132" s="1286"/>
      <c r="AP132" s="1286"/>
      <c r="AQ132" s="1286"/>
      <c r="AR132" s="1286"/>
      <c r="AS132" s="1286"/>
      <c r="AT132" s="1286"/>
      <c r="AU132" s="1286"/>
      <c r="AV132" s="1286"/>
      <c r="AW132" s="1286"/>
      <c r="AX132" s="1286"/>
      <c r="AY132" s="1286"/>
    </row>
    <row r="133" spans="1:51" s="369" customFormat="1" x14ac:dyDescent="0.25">
      <c r="A133" s="917" t="s">
        <v>1270</v>
      </c>
      <c r="B133" s="676"/>
      <c r="C133" s="676"/>
      <c r="D133" s="629"/>
    </row>
    <row r="134" spans="1:51" s="369" customFormat="1" x14ac:dyDescent="0.25"/>
    <row r="135" spans="1:51" s="389" customFormat="1" x14ac:dyDescent="0.25">
      <c r="A135" s="389" t="s">
        <v>248</v>
      </c>
      <c r="H135" s="1414"/>
    </row>
    <row r="136" spans="1:51" x14ac:dyDescent="0.25">
      <c r="A136" s="390" t="s">
        <v>249</v>
      </c>
      <c r="B136" s="391" t="s">
        <v>250</v>
      </c>
      <c r="C136" s="391"/>
      <c r="L136" s="265"/>
      <c r="M136" s="265"/>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c r="AR136" s="265"/>
      <c r="AS136" s="265"/>
      <c r="AT136" s="265"/>
      <c r="AU136" s="265"/>
      <c r="AV136" s="265"/>
      <c r="AW136" s="265"/>
      <c r="AX136" s="265"/>
      <c r="AY136" s="265"/>
    </row>
  </sheetData>
  <autoFilter ref="A3:C124"/>
  <sortState ref="A5:AY124">
    <sortCondition ref="A5:A124"/>
  </sortState>
  <hyperlinks>
    <hyperlink ref="B136" r:id="rId1"/>
  </hyperlinks>
  <pageMargins left="0.7" right="0.7" top="0.75" bottom="0.75" header="0.3" footer="0.3"/>
  <pageSetup orientation="portrait"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3" ySplit="5" topLeftCell="D6" activePane="bottomRight" state="frozen"/>
      <selection pane="topRight" activeCell="D1" sqref="D1"/>
      <selection pane="bottomLeft" activeCell="A6" sqref="A6"/>
      <selection pane="bottomRight" activeCell="E6" sqref="E6"/>
    </sheetView>
  </sheetViews>
  <sheetFormatPr defaultRowHeight="15.75" x14ac:dyDescent="0.25"/>
  <cols>
    <col min="1" max="1" width="9.625" style="134" customWidth="1"/>
    <col min="2" max="2" width="29.375" style="157" customWidth="1"/>
    <col min="3" max="3" width="9.25" style="157" customWidth="1"/>
    <col min="4" max="5" width="17.375" bestFit="1" customWidth="1"/>
    <col min="6" max="6" width="13.375" customWidth="1"/>
    <col min="7" max="7" width="11.875" customWidth="1"/>
    <col min="8" max="8" width="15.125" customWidth="1"/>
    <col min="9" max="9" width="13.875" customWidth="1"/>
  </cols>
  <sheetData>
    <row r="1" spans="1:9" x14ac:dyDescent="0.25">
      <c r="A1" s="691" t="s">
        <v>1301</v>
      </c>
      <c r="B1" s="692"/>
      <c r="C1" s="692"/>
    </row>
    <row r="4" spans="1:9" x14ac:dyDescent="0.25">
      <c r="A4" s="2177" t="s">
        <v>4</v>
      </c>
      <c r="B4" s="2178" t="s">
        <v>5</v>
      </c>
      <c r="C4" s="2178" t="s">
        <v>251</v>
      </c>
      <c r="D4" s="2184" t="s">
        <v>314</v>
      </c>
      <c r="E4" s="2185" t="s">
        <v>315</v>
      </c>
      <c r="F4" s="2185" t="s">
        <v>316</v>
      </c>
      <c r="G4" s="2185" t="s">
        <v>304</v>
      </c>
      <c r="H4" s="2185" t="s">
        <v>281</v>
      </c>
      <c r="I4" s="2186" t="s">
        <v>661</v>
      </c>
    </row>
    <row r="5" spans="1:9" x14ac:dyDescent="0.25">
      <c r="A5" s="2179" t="s">
        <v>8</v>
      </c>
      <c r="B5" s="2180" t="s">
        <v>9</v>
      </c>
      <c r="C5" s="2180"/>
      <c r="D5" s="2187">
        <f>SUM(D6:D125)</f>
        <v>5699014773.0617189</v>
      </c>
      <c r="E5" s="2188">
        <f t="shared" ref="E5:I5" si="0">SUM(E6:E125)</f>
        <v>4470001151.6860199</v>
      </c>
      <c r="F5" s="2188">
        <f t="shared" si="0"/>
        <v>148967270.72999999</v>
      </c>
      <c r="G5" s="2188">
        <f t="shared" si="0"/>
        <v>0</v>
      </c>
      <c r="H5" s="2189">
        <f t="shared" si="0"/>
        <v>10317983195.477737</v>
      </c>
      <c r="I5" s="2190">
        <f t="shared" si="0"/>
        <v>148967270.72999999</v>
      </c>
    </row>
    <row r="6" spans="1:9" x14ac:dyDescent="0.25">
      <c r="A6" s="2175" t="s">
        <v>10</v>
      </c>
      <c r="B6" s="2176" t="s">
        <v>11</v>
      </c>
      <c r="C6" s="1373" t="s">
        <v>264</v>
      </c>
      <c r="D6" s="2191">
        <f>'CSA LASER'!D5+'Medicaid &amp; FAMIS - LASER'!E5+'SNAP LASER'!E5+'Energy Assistance LASER'!E5+'TANF LASER'!D5+'ChildCare LASER'!I5</f>
        <v>34446293.99288553</v>
      </c>
      <c r="E6" s="2192">
        <f>'CSA LASER'!E5+'Medicaid &amp; FAMIS - LASER'!F5+'Energy Assistance LASER'!F5+'TANF LASER'!E5+'ChildCare LASER'!J5</f>
        <v>25262050.324186265</v>
      </c>
      <c r="F6" s="2192">
        <f>'CSA LASER'!F5+'Medicaid &amp; FAMIS - LASER'!G5+'Energy Assistance LASER'!G5+'TANF LASER'!F5</f>
        <v>175315.54</v>
      </c>
      <c r="G6" s="2192">
        <f>'CSA LASER'!G5+'Energy Assistance LASER'!H5+'TANF LASER'!G5</f>
        <v>0</v>
      </c>
      <c r="H6" s="2192">
        <f>SUM(D6:G6)</f>
        <v>59883659.857071795</v>
      </c>
      <c r="I6" s="2193">
        <f t="shared" ref="I6:I69" si="1">F6+G6</f>
        <v>175315.54</v>
      </c>
    </row>
    <row r="7" spans="1:9" x14ac:dyDescent="0.25">
      <c r="A7" s="2175" t="s">
        <v>12</v>
      </c>
      <c r="B7" s="2176" t="s">
        <v>13</v>
      </c>
      <c r="C7" s="1373" t="s">
        <v>265</v>
      </c>
      <c r="D7" s="2191">
        <f>'CSA LASER'!D6+'Medicaid &amp; FAMIS - LASER'!E6+'SNAP LASER'!E6+'Energy Assistance LASER'!E6+'TANF LASER'!D6+'ChildCare LASER'!I6</f>
        <v>43707986.362126932</v>
      </c>
      <c r="E7" s="2192">
        <f>'CSA LASER'!E6+'Medicaid &amp; FAMIS - LASER'!F6+'Energy Assistance LASER'!F6+'TANF LASER'!E6+'ChildCare LASER'!J6</f>
        <v>38180573.587643124</v>
      </c>
      <c r="F7" s="2192">
        <f>'CSA LASER'!F6+'Medicaid &amp; FAMIS - LASER'!G6+'Energy Assistance LASER'!G6+'TANF LASER'!F6</f>
        <v>3456612.7</v>
      </c>
      <c r="G7" s="2192">
        <f>'CSA LASER'!G6+'Energy Assistance LASER'!H6+'TANF LASER'!G6</f>
        <v>0</v>
      </c>
      <c r="H7" s="2192">
        <f t="shared" ref="H7:H70" si="2">SUM(D7:G7)</f>
        <v>85345172.649770066</v>
      </c>
      <c r="I7" s="2193">
        <f t="shared" si="1"/>
        <v>3456612.7</v>
      </c>
    </row>
    <row r="8" spans="1:9" x14ac:dyDescent="0.25">
      <c r="A8" s="2175" t="s">
        <v>16</v>
      </c>
      <c r="B8" s="2176" t="s">
        <v>297</v>
      </c>
      <c r="C8" s="1373" t="s">
        <v>265</v>
      </c>
      <c r="D8" s="2191">
        <f>'CSA LASER'!D7+'Medicaid &amp; FAMIS - LASER'!E7+'SNAP LASER'!E7+'Energy Assistance LASER'!E7+'TANF LASER'!D7+'ChildCare LASER'!I7</f>
        <v>23214385.087085471</v>
      </c>
      <c r="E8" s="2192">
        <f>'CSA LASER'!E7+'Medicaid &amp; FAMIS - LASER'!F7+'Energy Assistance LASER'!F7+'TANF LASER'!E7+'ChildCare LASER'!J7</f>
        <v>20453728.104499865</v>
      </c>
      <c r="F8" s="2192">
        <f>'CSA LASER'!F7+'Medicaid &amp; FAMIS - LASER'!G7+'Energy Assistance LASER'!G7+'TANF LASER'!F7</f>
        <v>766417.87</v>
      </c>
      <c r="G8" s="2192">
        <f>'CSA LASER'!G7+'Energy Assistance LASER'!H7+'TANF LASER'!G7</f>
        <v>0</v>
      </c>
      <c r="H8" s="2192">
        <f t="shared" si="2"/>
        <v>44434531.061585329</v>
      </c>
      <c r="I8" s="2193">
        <f t="shared" si="1"/>
        <v>766417.87</v>
      </c>
    </row>
    <row r="9" spans="1:9" x14ac:dyDescent="0.25">
      <c r="A9" s="2175" t="s">
        <v>18</v>
      </c>
      <c r="B9" s="2176" t="s">
        <v>19</v>
      </c>
      <c r="C9" s="1373" t="s">
        <v>266</v>
      </c>
      <c r="D9" s="2191">
        <f>'CSA LASER'!D8+'Medicaid &amp; FAMIS - LASER'!E8+'SNAP LASER'!E8+'Energy Assistance LASER'!E8+'TANF LASER'!D8+'ChildCare LASER'!I8</f>
        <v>11397375.994840737</v>
      </c>
      <c r="E9" s="2192">
        <f>'CSA LASER'!E8+'Medicaid &amp; FAMIS - LASER'!F8+'Energy Assistance LASER'!F8+'TANF LASER'!E8+'ChildCare LASER'!J8</f>
        <v>8954759.841416847</v>
      </c>
      <c r="F9" s="2192">
        <f>'CSA LASER'!F8+'Medicaid &amp; FAMIS - LASER'!G8+'Energy Assistance LASER'!G8+'TANF LASER'!F8</f>
        <v>152034.02000000002</v>
      </c>
      <c r="G9" s="2192">
        <f>'CSA LASER'!G8+'Energy Assistance LASER'!H8+'TANF LASER'!G8</f>
        <v>0</v>
      </c>
      <c r="H9" s="2192">
        <f t="shared" si="2"/>
        <v>20504169.856257584</v>
      </c>
      <c r="I9" s="2193">
        <f t="shared" si="1"/>
        <v>152034.02000000002</v>
      </c>
    </row>
    <row r="10" spans="1:9" x14ac:dyDescent="0.25">
      <c r="A10" s="2175" t="s">
        <v>20</v>
      </c>
      <c r="B10" s="2176" t="s">
        <v>21</v>
      </c>
      <c r="C10" s="1373" t="s">
        <v>265</v>
      </c>
      <c r="D10" s="2191">
        <f>'CSA LASER'!D9+'Medicaid &amp; FAMIS - LASER'!E9+'SNAP LASER'!E9+'Energy Assistance LASER'!E9+'TANF LASER'!D9+'ChildCare LASER'!I9</f>
        <v>29935674.175381362</v>
      </c>
      <c r="E10" s="2192">
        <f>'CSA LASER'!E9+'Medicaid &amp; FAMIS - LASER'!F9+'Energy Assistance LASER'!F9+'TANF LASER'!E9+'ChildCare LASER'!J9</f>
        <v>24666765.124010686</v>
      </c>
      <c r="F10" s="2192">
        <f>'CSA LASER'!F9+'Medicaid &amp; FAMIS - LASER'!G9+'Energy Assistance LASER'!G9+'TANF LASER'!F9</f>
        <v>490925.7</v>
      </c>
      <c r="G10" s="2192">
        <f>'CSA LASER'!G9+'Energy Assistance LASER'!H9+'TANF LASER'!G9</f>
        <v>0</v>
      </c>
      <c r="H10" s="2192">
        <f t="shared" si="2"/>
        <v>55093364.999392048</v>
      </c>
      <c r="I10" s="2193">
        <f t="shared" si="1"/>
        <v>490925.7</v>
      </c>
    </row>
    <row r="11" spans="1:9" x14ac:dyDescent="0.25">
      <c r="A11" s="2175" t="s">
        <v>22</v>
      </c>
      <c r="B11" s="2176" t="s">
        <v>23</v>
      </c>
      <c r="C11" s="1373" t="s">
        <v>265</v>
      </c>
      <c r="D11" s="2191">
        <f>'CSA LASER'!D10+'Medicaid &amp; FAMIS - LASER'!E10+'SNAP LASER'!E10+'Energy Assistance LASER'!E10+'TANF LASER'!D10+'ChildCare LASER'!I10</f>
        <v>16788357.96983061</v>
      </c>
      <c r="E11" s="2192">
        <f>'CSA LASER'!E10+'Medicaid &amp; FAMIS - LASER'!F10+'Energy Assistance LASER'!F10+'TANF LASER'!E10+'ChildCare LASER'!J10</f>
        <v>13712036.363083912</v>
      </c>
      <c r="F11" s="2192">
        <f>'CSA LASER'!F10+'Medicaid &amp; FAMIS - LASER'!G10+'Energy Assistance LASER'!G10+'TANF LASER'!F10</f>
        <v>537787.98</v>
      </c>
      <c r="G11" s="2192">
        <f>'CSA LASER'!G10+'Energy Assistance LASER'!H10+'TANF LASER'!G10</f>
        <v>0</v>
      </c>
      <c r="H11" s="2192">
        <f t="shared" si="2"/>
        <v>31038182.312914524</v>
      </c>
      <c r="I11" s="2193">
        <f t="shared" si="1"/>
        <v>537787.98</v>
      </c>
    </row>
    <row r="12" spans="1:9" x14ac:dyDescent="0.25">
      <c r="A12" s="2175" t="s">
        <v>24</v>
      </c>
      <c r="B12" s="2176" t="s">
        <v>25</v>
      </c>
      <c r="C12" s="1373" t="s">
        <v>267</v>
      </c>
      <c r="D12" s="2191">
        <f>'CSA LASER'!D11+'Medicaid &amp; FAMIS - LASER'!E11+'SNAP LASER'!E11+'Energy Assistance LASER'!E11+'TANF LASER'!D11+'ChildCare LASER'!I11</f>
        <v>72741569.372739166</v>
      </c>
      <c r="E12" s="2192">
        <f>'CSA LASER'!E11+'Medicaid &amp; FAMIS - LASER'!F11+'Energy Assistance LASER'!F11+'TANF LASER'!E11+'ChildCare LASER'!J11</f>
        <v>60996066.62352483</v>
      </c>
      <c r="F12" s="2192">
        <f>'CSA LASER'!F11+'Medicaid &amp; FAMIS - LASER'!G11+'Energy Assistance LASER'!G11+'TANF LASER'!F11</f>
        <v>3248830.0999999996</v>
      </c>
      <c r="G12" s="2192">
        <f>'CSA LASER'!G11+'Energy Assistance LASER'!H11+'TANF LASER'!G11</f>
        <v>0</v>
      </c>
      <c r="H12" s="2192">
        <f t="shared" si="2"/>
        <v>136986466.096264</v>
      </c>
      <c r="I12" s="2193">
        <f t="shared" si="1"/>
        <v>3248830.0999999996</v>
      </c>
    </row>
    <row r="13" spans="1:9" x14ac:dyDescent="0.25">
      <c r="A13" s="2175" t="s">
        <v>26</v>
      </c>
      <c r="B13" s="2176" t="s">
        <v>298</v>
      </c>
      <c r="C13" s="1373" t="s">
        <v>265</v>
      </c>
      <c r="D13" s="2191">
        <f>'CSA LASER'!D12+'Medicaid &amp; FAMIS - LASER'!E12+'SNAP LASER'!E12+'Energy Assistance LASER'!E12+'TANF LASER'!D12+'ChildCare LASER'!I12</f>
        <v>87319455.715568885</v>
      </c>
      <c r="E13" s="2192">
        <f>'CSA LASER'!E12+'Medicaid &amp; FAMIS - LASER'!F12+'Energy Assistance LASER'!F12+'TANF LASER'!E12+'ChildCare LASER'!J12</f>
        <v>73052543.369855672</v>
      </c>
      <c r="F13" s="2192">
        <f>'CSA LASER'!F12+'Medicaid &amp; FAMIS - LASER'!G12+'Energy Assistance LASER'!G12+'TANF LASER'!F12</f>
        <v>3526148.7500000005</v>
      </c>
      <c r="G13" s="2192">
        <f>'CSA LASER'!G12+'Energy Assistance LASER'!H12+'TANF LASER'!G12</f>
        <v>0</v>
      </c>
      <c r="H13" s="2192">
        <f t="shared" si="2"/>
        <v>163898147.83542454</v>
      </c>
      <c r="I13" s="2193">
        <f t="shared" si="1"/>
        <v>3526148.7500000005</v>
      </c>
    </row>
    <row r="14" spans="1:9" x14ac:dyDescent="0.25">
      <c r="A14" s="2175" t="s">
        <v>27</v>
      </c>
      <c r="B14" s="2176" t="s">
        <v>28</v>
      </c>
      <c r="C14" s="1373" t="s">
        <v>265</v>
      </c>
      <c r="D14" s="2191">
        <f>'CSA LASER'!D13+'Medicaid &amp; FAMIS - LASER'!E13+'SNAP LASER'!E13+'Energy Assistance LASER'!E13+'TANF LASER'!D13+'ChildCare LASER'!I13</f>
        <v>2750096.7768888082</v>
      </c>
      <c r="E14" s="2192">
        <f>'CSA LASER'!E13+'Medicaid &amp; FAMIS - LASER'!F13+'Energy Assistance LASER'!F13+'TANF LASER'!E13+'ChildCare LASER'!J13</f>
        <v>2199624.0263216263</v>
      </c>
      <c r="F14" s="2192">
        <f>'CSA LASER'!F13+'Medicaid &amp; FAMIS - LASER'!G13+'Energy Assistance LASER'!G13+'TANF LASER'!F13</f>
        <v>68855.959999999992</v>
      </c>
      <c r="G14" s="2192">
        <f>'CSA LASER'!G13+'Energy Assistance LASER'!H13+'TANF LASER'!G13</f>
        <v>0</v>
      </c>
      <c r="H14" s="2192">
        <f t="shared" si="2"/>
        <v>5018576.7632104345</v>
      </c>
      <c r="I14" s="2193">
        <f t="shared" si="1"/>
        <v>68855.959999999992</v>
      </c>
    </row>
    <row r="15" spans="1:9" x14ac:dyDescent="0.25">
      <c r="A15" s="2175" t="s">
        <v>29</v>
      </c>
      <c r="B15" s="2176" t="s">
        <v>901</v>
      </c>
      <c r="C15" s="1373" t="s">
        <v>265</v>
      </c>
      <c r="D15" s="2191">
        <f>'CSA LASER'!D14+'Medicaid &amp; FAMIS - LASER'!E14+'SNAP LASER'!E14+'Energy Assistance LASER'!E14+'TANF LASER'!D14+'ChildCare LASER'!I14</f>
        <v>48209187.652282208</v>
      </c>
      <c r="E15" s="2192">
        <f>'CSA LASER'!E14+'Medicaid &amp; FAMIS - LASER'!F14+'Energy Assistance LASER'!F14+'TANF LASER'!E14+'ChildCare LASER'!J14</f>
        <v>39705394.968906879</v>
      </c>
      <c r="F15" s="2192">
        <f>'CSA LASER'!F14+'Medicaid &amp; FAMIS - LASER'!G14+'Energy Assistance LASER'!G14+'TANF LASER'!F14</f>
        <v>1184537.05</v>
      </c>
      <c r="G15" s="2192">
        <f>'CSA LASER'!G14+'Energy Assistance LASER'!H14+'TANF LASER'!G14</f>
        <v>0</v>
      </c>
      <c r="H15" s="2192">
        <f t="shared" si="2"/>
        <v>89099119.671189085</v>
      </c>
      <c r="I15" s="2193">
        <f t="shared" si="1"/>
        <v>1184537.05</v>
      </c>
    </row>
    <row r="16" spans="1:9" x14ac:dyDescent="0.25">
      <c r="A16" s="2175" t="s">
        <v>30</v>
      </c>
      <c r="B16" s="2176" t="s">
        <v>31</v>
      </c>
      <c r="C16" s="1373" t="s">
        <v>268</v>
      </c>
      <c r="D16" s="2191">
        <f>'CSA LASER'!D15+'Medicaid &amp; FAMIS - LASER'!E15+'SNAP LASER'!E15+'Energy Assistance LASER'!E15+'TANF LASER'!D15+'ChildCare LASER'!I15</f>
        <v>4729091.6465944517</v>
      </c>
      <c r="E16" s="2192">
        <f>'CSA LASER'!E15+'Medicaid &amp; FAMIS - LASER'!F15+'Energy Assistance LASER'!F15+'TANF LASER'!E15+'ChildCare LASER'!J15</f>
        <v>4174508.7085781787</v>
      </c>
      <c r="F16" s="2192">
        <f>'CSA LASER'!F15+'Medicaid &amp; FAMIS - LASER'!G15+'Energy Assistance LASER'!G15+'TANF LASER'!F15</f>
        <v>90781</v>
      </c>
      <c r="G16" s="2192">
        <f>'CSA LASER'!G15+'Energy Assistance LASER'!H15+'TANF LASER'!G15</f>
        <v>0</v>
      </c>
      <c r="H16" s="2192">
        <f t="shared" si="2"/>
        <v>8994381.3551726304</v>
      </c>
      <c r="I16" s="2193">
        <f t="shared" si="1"/>
        <v>90781</v>
      </c>
    </row>
    <row r="17" spans="1:9" x14ac:dyDescent="0.25">
      <c r="A17" s="2175" t="s">
        <v>32</v>
      </c>
      <c r="B17" s="2176" t="s">
        <v>33</v>
      </c>
      <c r="C17" s="1373" t="s">
        <v>265</v>
      </c>
      <c r="D17" s="2191">
        <f>'CSA LASER'!D16+'Medicaid &amp; FAMIS - LASER'!E16+'SNAP LASER'!E16+'Energy Assistance LASER'!E16+'TANF LASER'!D16+'ChildCare LASER'!I16</f>
        <v>17066741.068579406</v>
      </c>
      <c r="E17" s="2192">
        <f>'CSA LASER'!E16+'Medicaid &amp; FAMIS - LASER'!F16+'Energy Assistance LASER'!F16+'TANF LASER'!E16+'ChildCare LASER'!J16</f>
        <v>14848554.597317917</v>
      </c>
      <c r="F17" s="2192">
        <f>'CSA LASER'!F16+'Medicaid &amp; FAMIS - LASER'!G16+'Energy Assistance LASER'!G16+'TANF LASER'!F16</f>
        <v>608126.52</v>
      </c>
      <c r="G17" s="2192">
        <f>'CSA LASER'!G16+'Energy Assistance LASER'!H16+'TANF LASER'!G16</f>
        <v>0</v>
      </c>
      <c r="H17" s="2192">
        <f t="shared" si="2"/>
        <v>32523422.185897324</v>
      </c>
      <c r="I17" s="2193">
        <f t="shared" si="1"/>
        <v>608126.52</v>
      </c>
    </row>
    <row r="18" spans="1:9" x14ac:dyDescent="0.25">
      <c r="A18" s="2175" t="s">
        <v>36</v>
      </c>
      <c r="B18" s="2176" t="s">
        <v>37</v>
      </c>
      <c r="C18" s="1373" t="s">
        <v>264</v>
      </c>
      <c r="D18" s="2191">
        <f>'CSA LASER'!D17+'Medicaid &amp; FAMIS - LASER'!E17+'SNAP LASER'!E17+'Energy Assistance LASER'!E17+'TANF LASER'!D17+'ChildCare LASER'!I17</f>
        <v>25121089.939119685</v>
      </c>
      <c r="E18" s="2192">
        <f>'CSA LASER'!E17+'Medicaid &amp; FAMIS - LASER'!F17+'Energy Assistance LASER'!F17+'TANF LASER'!E17+'ChildCare LASER'!J17</f>
        <v>19852838.085567679</v>
      </c>
      <c r="F18" s="2192">
        <f>'CSA LASER'!F17+'Medicaid &amp; FAMIS - LASER'!G17+'Energy Assistance LASER'!G17+'TANF LASER'!F17</f>
        <v>331749.09000000003</v>
      </c>
      <c r="G18" s="2192">
        <f>'CSA LASER'!G17+'Energy Assistance LASER'!H17+'TANF LASER'!G17</f>
        <v>0</v>
      </c>
      <c r="H18" s="2192">
        <f t="shared" si="2"/>
        <v>45305677.114687368</v>
      </c>
      <c r="I18" s="2193">
        <f t="shared" si="1"/>
        <v>331749.09000000003</v>
      </c>
    </row>
    <row r="19" spans="1:9" x14ac:dyDescent="0.25">
      <c r="A19" s="2175" t="s">
        <v>38</v>
      </c>
      <c r="B19" s="2176" t="s">
        <v>39</v>
      </c>
      <c r="C19" s="1373" t="s">
        <v>268</v>
      </c>
      <c r="D19" s="2191">
        <f>'CSA LASER'!D18+'Medicaid &amp; FAMIS - LASER'!E18+'SNAP LASER'!E18+'Energy Assistance LASER'!E18+'TANF LASER'!D18+'ChildCare LASER'!I18</f>
        <v>29831426.875467118</v>
      </c>
      <c r="E19" s="2192">
        <f>'CSA LASER'!E18+'Medicaid &amp; FAMIS - LASER'!F18+'Energy Assistance LASER'!F18+'TANF LASER'!E18+'ChildCare LASER'!J18</f>
        <v>22385747.595490325</v>
      </c>
      <c r="F19" s="2192">
        <f>'CSA LASER'!F18+'Medicaid &amp; FAMIS - LASER'!G18+'Energy Assistance LASER'!G18+'TANF LASER'!F18</f>
        <v>708850</v>
      </c>
      <c r="G19" s="2192">
        <f>'CSA LASER'!G18+'Energy Assistance LASER'!H18+'TANF LASER'!G18</f>
        <v>0</v>
      </c>
      <c r="H19" s="2192">
        <f t="shared" si="2"/>
        <v>52926024.470957443</v>
      </c>
      <c r="I19" s="2193">
        <f t="shared" si="1"/>
        <v>708850</v>
      </c>
    </row>
    <row r="20" spans="1:9" x14ac:dyDescent="0.25">
      <c r="A20" s="2175" t="s">
        <v>40</v>
      </c>
      <c r="B20" s="2176" t="s">
        <v>41</v>
      </c>
      <c r="C20" s="1373" t="s">
        <v>266</v>
      </c>
      <c r="D20" s="2191">
        <f>'CSA LASER'!D19+'Medicaid &amp; FAMIS - LASER'!E19+'SNAP LASER'!E19+'Energy Assistance LASER'!E19+'TANF LASER'!D19+'ChildCare LASER'!I19</f>
        <v>17026641.160019405</v>
      </c>
      <c r="E20" s="2192">
        <f>'CSA LASER'!E19+'Medicaid &amp; FAMIS - LASER'!F19+'Energy Assistance LASER'!F19+'TANF LASER'!E19+'ChildCare LASER'!J19</f>
        <v>13567995.070966043</v>
      </c>
      <c r="F20" s="2192">
        <f>'CSA LASER'!F19+'Medicaid &amp; FAMIS - LASER'!G19+'Energy Assistance LASER'!G19+'TANF LASER'!F19</f>
        <v>343853.56</v>
      </c>
      <c r="G20" s="2192">
        <f>'CSA LASER'!G19+'Energy Assistance LASER'!H19+'TANF LASER'!G19</f>
        <v>0</v>
      </c>
      <c r="H20" s="2192">
        <f t="shared" si="2"/>
        <v>30938489.790985446</v>
      </c>
      <c r="I20" s="2193">
        <f t="shared" si="1"/>
        <v>343853.56</v>
      </c>
    </row>
    <row r="21" spans="1:9" x14ac:dyDescent="0.25">
      <c r="A21" s="2175" t="s">
        <v>42</v>
      </c>
      <c r="B21" s="2176" t="s">
        <v>43</v>
      </c>
      <c r="C21" s="1373" t="s">
        <v>265</v>
      </c>
      <c r="D21" s="2191">
        <f>'CSA LASER'!D20+'Medicaid &amp; FAMIS - LASER'!E20+'SNAP LASER'!E20+'Energy Assistance LASER'!E20+'TANF LASER'!D20+'ChildCare LASER'!I20</f>
        <v>48993532.349046811</v>
      </c>
      <c r="E21" s="2192">
        <f>'CSA LASER'!E20+'Medicaid &amp; FAMIS - LASER'!F20+'Energy Assistance LASER'!F20+'TANF LASER'!E20+'ChildCare LASER'!J20</f>
        <v>38875904.290969931</v>
      </c>
      <c r="F21" s="2192">
        <f>'CSA LASER'!F20+'Medicaid &amp; FAMIS - LASER'!G20+'Energy Assistance LASER'!G20+'TANF LASER'!F20</f>
        <v>912876.73</v>
      </c>
      <c r="G21" s="2192">
        <f>'CSA LASER'!G20+'Energy Assistance LASER'!H20+'TANF LASER'!G20</f>
        <v>0</v>
      </c>
      <c r="H21" s="2192">
        <f t="shared" si="2"/>
        <v>88782313.370016739</v>
      </c>
      <c r="I21" s="2193">
        <f t="shared" si="1"/>
        <v>912876.73</v>
      </c>
    </row>
    <row r="22" spans="1:9" x14ac:dyDescent="0.25">
      <c r="A22" s="2175" t="s">
        <v>44</v>
      </c>
      <c r="B22" s="2176" t="s">
        <v>45</v>
      </c>
      <c r="C22" s="1373" t="s">
        <v>266</v>
      </c>
      <c r="D22" s="2191">
        <f>'CSA LASER'!D21+'Medicaid &amp; FAMIS - LASER'!E21+'SNAP LASER'!E21+'Energy Assistance LASER'!E21+'TANF LASER'!D21+'ChildCare LASER'!I21</f>
        <v>23301105.696129151</v>
      </c>
      <c r="E22" s="2192">
        <f>'CSA LASER'!E21+'Medicaid &amp; FAMIS - LASER'!F21+'Energy Assistance LASER'!F21+'TANF LASER'!E21+'ChildCare LASER'!J21</f>
        <v>17185780.964822508</v>
      </c>
      <c r="F22" s="2192">
        <f>'CSA LASER'!F21+'Medicaid &amp; FAMIS - LASER'!G21+'Energy Assistance LASER'!G21+'TANF LASER'!F21</f>
        <v>660807.38</v>
      </c>
      <c r="G22" s="2192">
        <f>'CSA LASER'!G21+'Energy Assistance LASER'!H21+'TANF LASER'!G21</f>
        <v>0</v>
      </c>
      <c r="H22" s="2192">
        <f t="shared" si="2"/>
        <v>41147694.040951662</v>
      </c>
      <c r="I22" s="2193">
        <f t="shared" si="1"/>
        <v>660807.38</v>
      </c>
    </row>
    <row r="23" spans="1:9" x14ac:dyDescent="0.25">
      <c r="A23" s="2175" t="s">
        <v>46</v>
      </c>
      <c r="B23" s="2176" t="s">
        <v>47</v>
      </c>
      <c r="C23" s="1373" t="s">
        <v>268</v>
      </c>
      <c r="D23" s="2191">
        <f>'CSA LASER'!D22+'Medicaid &amp; FAMIS - LASER'!E22+'SNAP LASER'!E22+'Energy Assistance LASER'!E22+'TANF LASER'!D22+'ChildCare LASER'!I22</f>
        <v>30118268.55555905</v>
      </c>
      <c r="E23" s="2192">
        <f>'CSA LASER'!E22+'Medicaid &amp; FAMIS - LASER'!F22+'Energy Assistance LASER'!F22+'TANF LASER'!E22+'ChildCare LASER'!J22</f>
        <v>23619300.717248343</v>
      </c>
      <c r="F23" s="2192">
        <f>'CSA LASER'!F22+'Medicaid &amp; FAMIS - LASER'!G22+'Energy Assistance LASER'!G22+'TANF LASER'!F22</f>
        <v>627873.11</v>
      </c>
      <c r="G23" s="2192">
        <f>'CSA LASER'!G22+'Energy Assistance LASER'!H22+'TANF LASER'!G22</f>
        <v>0</v>
      </c>
      <c r="H23" s="2192">
        <f t="shared" si="2"/>
        <v>54365442.382807389</v>
      </c>
      <c r="I23" s="2193">
        <f t="shared" si="1"/>
        <v>627873.11</v>
      </c>
    </row>
    <row r="24" spans="1:9" x14ac:dyDescent="0.25">
      <c r="A24" s="2175" t="s">
        <v>48</v>
      </c>
      <c r="B24" s="2176" t="s">
        <v>269</v>
      </c>
      <c r="C24" s="1373" t="s">
        <v>266</v>
      </c>
      <c r="D24" s="2191">
        <f>'CSA LASER'!D23+'Medicaid &amp; FAMIS - LASER'!E23+'SNAP LASER'!E23+'Energy Assistance LASER'!E23+'TANF LASER'!D23+'ChildCare LASER'!I23</f>
        <v>6301511.8480570363</v>
      </c>
      <c r="E24" s="2192">
        <f>'CSA LASER'!E23+'Medicaid &amp; FAMIS - LASER'!F23+'Energy Assistance LASER'!F23+'TANF LASER'!E23+'ChildCare LASER'!J23</f>
        <v>4733059.1251444612</v>
      </c>
      <c r="F24" s="2192">
        <f>'CSA LASER'!F23+'Medicaid &amp; FAMIS - LASER'!G23+'Energy Assistance LASER'!G23+'TANF LASER'!F23</f>
        <v>75466.820000000007</v>
      </c>
      <c r="G24" s="2192">
        <f>'CSA LASER'!G23+'Energy Assistance LASER'!H23+'TANF LASER'!G23</f>
        <v>0</v>
      </c>
      <c r="H24" s="2192">
        <f t="shared" si="2"/>
        <v>11110037.793201499</v>
      </c>
      <c r="I24" s="2193">
        <f t="shared" si="1"/>
        <v>75466.820000000007</v>
      </c>
    </row>
    <row r="25" spans="1:9" x14ac:dyDescent="0.25">
      <c r="A25" s="2175" t="s">
        <v>50</v>
      </c>
      <c r="B25" s="2176" t="s">
        <v>51</v>
      </c>
      <c r="C25" s="1373" t="s">
        <v>265</v>
      </c>
      <c r="D25" s="2191">
        <f>'CSA LASER'!D24+'Medicaid &amp; FAMIS - LASER'!E24+'SNAP LASER'!E24+'Energy Assistance LASER'!E24+'TANF LASER'!D24+'ChildCare LASER'!I24</f>
        <v>12781335.796900693</v>
      </c>
      <c r="E25" s="2192">
        <f>'CSA LASER'!E24+'Medicaid &amp; FAMIS - LASER'!F24+'Energy Assistance LASER'!F24+'TANF LASER'!E24+'ChildCare LASER'!J24</f>
        <v>10295987.935690857</v>
      </c>
      <c r="F25" s="2192">
        <f>'CSA LASER'!F24+'Medicaid &amp; FAMIS - LASER'!G24+'Energy Assistance LASER'!G24+'TANF LASER'!F24</f>
        <v>318775.02999999997</v>
      </c>
      <c r="G25" s="2192">
        <f>'CSA LASER'!G24+'Energy Assistance LASER'!H24+'TANF LASER'!G24</f>
        <v>0</v>
      </c>
      <c r="H25" s="2192">
        <f t="shared" si="2"/>
        <v>23396098.762591552</v>
      </c>
      <c r="I25" s="2193">
        <f t="shared" si="1"/>
        <v>318775.02999999997</v>
      </c>
    </row>
    <row r="26" spans="1:9" x14ac:dyDescent="0.25">
      <c r="A26" s="2175" t="s">
        <v>56</v>
      </c>
      <c r="B26" s="2176" t="s">
        <v>295</v>
      </c>
      <c r="C26" s="1373" t="s">
        <v>266</v>
      </c>
      <c r="D26" s="2191">
        <f>'CSA LASER'!D25+'Medicaid &amp; FAMIS - LASER'!E25+'SNAP LASER'!E25+'Energy Assistance LASER'!E25+'TANF LASER'!D25+'ChildCare LASER'!I25</f>
        <v>218712257.09419501</v>
      </c>
      <c r="E26" s="2192">
        <f>'CSA LASER'!E25+'Medicaid &amp; FAMIS - LASER'!F25+'Energy Assistance LASER'!F25+'TANF LASER'!E25+'ChildCare LASER'!J25</f>
        <v>170880181.97330776</v>
      </c>
      <c r="F26" s="2192">
        <f>'CSA LASER'!F25+'Medicaid &amp; FAMIS - LASER'!G25+'Energy Assistance LASER'!G25+'TANF LASER'!F25</f>
        <v>5330798.29</v>
      </c>
      <c r="G26" s="2192">
        <f>'CSA LASER'!G25+'Energy Assistance LASER'!H25+'TANF LASER'!G25</f>
        <v>0</v>
      </c>
      <c r="H26" s="2192">
        <f t="shared" si="2"/>
        <v>394923237.35750276</v>
      </c>
      <c r="I26" s="2193">
        <f t="shared" si="1"/>
        <v>5330798.29</v>
      </c>
    </row>
    <row r="27" spans="1:9" x14ac:dyDescent="0.25">
      <c r="A27" s="2175" t="s">
        <v>58</v>
      </c>
      <c r="B27" s="2176" t="s">
        <v>59</v>
      </c>
      <c r="C27" s="1373" t="s">
        <v>267</v>
      </c>
      <c r="D27" s="2191">
        <f>'CSA LASER'!D26+'Medicaid &amp; FAMIS - LASER'!E26+'SNAP LASER'!E26+'Energy Assistance LASER'!E26+'TANF LASER'!D26+'ChildCare LASER'!I26</f>
        <v>6142344.3141608043</v>
      </c>
      <c r="E27" s="2192">
        <f>'CSA LASER'!E26+'Medicaid &amp; FAMIS - LASER'!F26+'Energy Assistance LASER'!F26+'TANF LASER'!E26+'ChildCare LASER'!J26</f>
        <v>5404319.2954232637</v>
      </c>
      <c r="F27" s="2192">
        <f>'CSA LASER'!F26+'Medicaid &amp; FAMIS - LASER'!G26+'Energy Assistance LASER'!G26+'TANF LASER'!F26</f>
        <v>415171.05</v>
      </c>
      <c r="G27" s="2192">
        <f>'CSA LASER'!G26+'Energy Assistance LASER'!H26+'TANF LASER'!G26</f>
        <v>0</v>
      </c>
      <c r="H27" s="2192">
        <f t="shared" si="2"/>
        <v>11961834.659584068</v>
      </c>
      <c r="I27" s="2193">
        <f t="shared" si="1"/>
        <v>415171.05</v>
      </c>
    </row>
    <row r="28" spans="1:9" x14ac:dyDescent="0.25">
      <c r="A28" s="2175" t="s">
        <v>60</v>
      </c>
      <c r="B28" s="2176" t="s">
        <v>61</v>
      </c>
      <c r="C28" s="1373" t="s">
        <v>265</v>
      </c>
      <c r="D28" s="2191">
        <f>'CSA LASER'!D27+'Medicaid &amp; FAMIS - LASER'!E27+'SNAP LASER'!E27+'Energy Assistance LASER'!E27+'TANF LASER'!D27+'ChildCare LASER'!I27</f>
        <v>3671151.3031062912</v>
      </c>
      <c r="E28" s="2192">
        <f>'CSA LASER'!E27+'Medicaid &amp; FAMIS - LASER'!F27+'Energy Assistance LASER'!F27+'TANF LASER'!E27+'ChildCare LASER'!J27</f>
        <v>2967729.4877107046</v>
      </c>
      <c r="F28" s="2192">
        <f>'CSA LASER'!F27+'Medicaid &amp; FAMIS - LASER'!G27+'Energy Assistance LASER'!G27+'TANF LASER'!F27</f>
        <v>135241.07</v>
      </c>
      <c r="G28" s="2192">
        <f>'CSA LASER'!G27+'Energy Assistance LASER'!H27+'TANF LASER'!G27</f>
        <v>0</v>
      </c>
      <c r="H28" s="2192">
        <f t="shared" si="2"/>
        <v>6774121.8608169965</v>
      </c>
      <c r="I28" s="2193">
        <f t="shared" si="1"/>
        <v>135241.07</v>
      </c>
    </row>
    <row r="29" spans="1:9" x14ac:dyDescent="0.25">
      <c r="A29" s="2175" t="s">
        <v>62</v>
      </c>
      <c r="B29" s="2176" t="s">
        <v>63</v>
      </c>
      <c r="C29" s="1373" t="s">
        <v>267</v>
      </c>
      <c r="D29" s="2191">
        <f>'CSA LASER'!D28+'Medicaid &amp; FAMIS - LASER'!E28+'SNAP LASER'!E28+'Energy Assistance LASER'!E28+'TANF LASER'!D28+'ChildCare LASER'!I28</f>
        <v>37446266.957392983</v>
      </c>
      <c r="E29" s="2192">
        <f>'CSA LASER'!E28+'Medicaid &amp; FAMIS - LASER'!F28+'Energy Assistance LASER'!F28+'TANF LASER'!E28+'ChildCare LASER'!J28</f>
        <v>30127700.15275652</v>
      </c>
      <c r="F29" s="2192">
        <f>'CSA LASER'!F28+'Medicaid &amp; FAMIS - LASER'!G28+'Energy Assistance LASER'!G28+'TANF LASER'!F28</f>
        <v>1578765.77</v>
      </c>
      <c r="G29" s="2192">
        <f>'CSA LASER'!G28+'Energy Assistance LASER'!H28+'TANF LASER'!G28</f>
        <v>0</v>
      </c>
      <c r="H29" s="2192">
        <f t="shared" si="2"/>
        <v>69152732.880149499</v>
      </c>
      <c r="I29" s="2193">
        <f t="shared" si="1"/>
        <v>1578765.77</v>
      </c>
    </row>
    <row r="30" spans="1:9" x14ac:dyDescent="0.25">
      <c r="A30" s="2175" t="s">
        <v>64</v>
      </c>
      <c r="B30" s="2176" t="s">
        <v>65</v>
      </c>
      <c r="C30" s="1373" t="s">
        <v>266</v>
      </c>
      <c r="D30" s="2191">
        <f>'CSA LASER'!D29+'Medicaid &amp; FAMIS - LASER'!E29+'SNAP LASER'!E29+'Energy Assistance LASER'!E29+'TANF LASER'!D29+'ChildCare LASER'!I29</f>
        <v>12011338.255874583</v>
      </c>
      <c r="E30" s="2192">
        <f>'CSA LASER'!E29+'Medicaid &amp; FAMIS - LASER'!F29+'Energy Assistance LASER'!F29+'TANF LASER'!E29+'ChildCare LASER'!J29</f>
        <v>9403645.9386454057</v>
      </c>
      <c r="F30" s="2192">
        <f>'CSA LASER'!F29+'Medicaid &amp; FAMIS - LASER'!G29+'Energy Assistance LASER'!G29+'TANF LASER'!F29</f>
        <v>279815.12</v>
      </c>
      <c r="G30" s="2192">
        <f>'CSA LASER'!G29+'Energy Assistance LASER'!H29+'TANF LASER'!G29</f>
        <v>0</v>
      </c>
      <c r="H30" s="2192">
        <f t="shared" si="2"/>
        <v>21694799.31451999</v>
      </c>
      <c r="I30" s="2193">
        <f t="shared" si="1"/>
        <v>279815.12</v>
      </c>
    </row>
    <row r="31" spans="1:9" x14ac:dyDescent="0.25">
      <c r="A31" s="2175" t="s">
        <v>68</v>
      </c>
      <c r="B31" s="2176" t="s">
        <v>69</v>
      </c>
      <c r="C31" s="1373" t="s">
        <v>268</v>
      </c>
      <c r="D31" s="2191">
        <f>'CSA LASER'!D30+'Medicaid &amp; FAMIS - LASER'!E30+'SNAP LASER'!E30+'Energy Assistance LASER'!E30+'TANF LASER'!D30+'ChildCare LASER'!I30</f>
        <v>20229527.900386378</v>
      </c>
      <c r="E31" s="2192">
        <f>'CSA LASER'!E30+'Medicaid &amp; FAMIS - LASER'!F30+'Energy Assistance LASER'!F30+'TANF LASER'!E30+'ChildCare LASER'!J30</f>
        <v>15542828.692342164</v>
      </c>
      <c r="F31" s="2192">
        <f>'CSA LASER'!F30+'Medicaid &amp; FAMIS - LASER'!G30+'Energy Assistance LASER'!G30+'TANF LASER'!F30</f>
        <v>430395.25</v>
      </c>
      <c r="G31" s="2192">
        <f>'CSA LASER'!G30+'Energy Assistance LASER'!H30+'TANF LASER'!G30</f>
        <v>0</v>
      </c>
      <c r="H31" s="2192">
        <f t="shared" si="2"/>
        <v>36202751.84272854</v>
      </c>
      <c r="I31" s="2193">
        <f t="shared" si="1"/>
        <v>430395.25</v>
      </c>
    </row>
    <row r="32" spans="1:9" x14ac:dyDescent="0.25">
      <c r="A32" s="2175" t="s">
        <v>70</v>
      </c>
      <c r="B32" s="2176" t="s">
        <v>71</v>
      </c>
      <c r="C32" s="1373" t="s">
        <v>264</v>
      </c>
      <c r="D32" s="2191">
        <f>'CSA LASER'!D31+'Medicaid &amp; FAMIS - LASER'!E31+'SNAP LASER'!E31+'Energy Assistance LASER'!E31+'TANF LASER'!D31+'ChildCare LASER'!I31</f>
        <v>25868452.639208566</v>
      </c>
      <c r="E32" s="2192">
        <f>'CSA LASER'!E31+'Medicaid &amp; FAMIS - LASER'!F31+'Energy Assistance LASER'!F31+'TANF LASER'!E31+'ChildCare LASER'!J31</f>
        <v>19663506.038466442</v>
      </c>
      <c r="F32" s="2192">
        <f>'CSA LASER'!F31+'Medicaid &amp; FAMIS - LASER'!G31+'Energy Assistance LASER'!G31+'TANF LASER'!F31</f>
        <v>631589.09</v>
      </c>
      <c r="G32" s="2192">
        <f>'CSA LASER'!G31+'Energy Assistance LASER'!H31+'TANF LASER'!G31</f>
        <v>0</v>
      </c>
      <c r="H32" s="2192">
        <f t="shared" si="2"/>
        <v>46163547.767675012</v>
      </c>
      <c r="I32" s="2193">
        <f t="shared" si="1"/>
        <v>631589.09</v>
      </c>
    </row>
    <row r="33" spans="1:9" x14ac:dyDescent="0.25">
      <c r="A33" s="2175" t="s">
        <v>72</v>
      </c>
      <c r="B33" s="2176" t="s">
        <v>73</v>
      </c>
      <c r="C33" s="1373" t="s">
        <v>266</v>
      </c>
      <c r="D33" s="2191">
        <f>'CSA LASER'!D32+'Medicaid &amp; FAMIS - LASER'!E32+'SNAP LASER'!E32+'Energy Assistance LASER'!E32+'TANF LASER'!D32+'ChildCare LASER'!I32</f>
        <v>12099629.256786082</v>
      </c>
      <c r="E33" s="2192">
        <f>'CSA LASER'!E32+'Medicaid &amp; FAMIS - LASER'!F32+'Energy Assistance LASER'!F32+'TANF LASER'!E32+'ChildCare LASER'!J32</f>
        <v>8937938.0279151574</v>
      </c>
      <c r="F33" s="2192">
        <f>'CSA LASER'!F32+'Medicaid &amp; FAMIS - LASER'!G32+'Energy Assistance LASER'!G32+'TANF LASER'!F32</f>
        <v>461894.66</v>
      </c>
      <c r="G33" s="2192">
        <f>'CSA LASER'!G32+'Energy Assistance LASER'!H32+'TANF LASER'!G32</f>
        <v>0</v>
      </c>
      <c r="H33" s="2192">
        <f t="shared" si="2"/>
        <v>21499461.944701239</v>
      </c>
      <c r="I33" s="2193">
        <f t="shared" si="1"/>
        <v>461894.66</v>
      </c>
    </row>
    <row r="34" spans="1:9" x14ac:dyDescent="0.25">
      <c r="A34" s="2175" t="s">
        <v>74</v>
      </c>
      <c r="B34" s="2176" t="s">
        <v>609</v>
      </c>
      <c r="C34" s="1373" t="s">
        <v>267</v>
      </c>
      <c r="D34" s="2191">
        <f>'CSA LASER'!D33+'Medicaid &amp; FAMIS - LASER'!E33+'SNAP LASER'!E33+'Energy Assistance LASER'!E33+'TANF LASER'!D33+'ChildCare LASER'!I33</f>
        <v>413885285.91725379</v>
      </c>
      <c r="E34" s="2192">
        <f>'CSA LASER'!E33+'Medicaid &amp; FAMIS - LASER'!F33+'Energy Assistance LASER'!F33+'TANF LASER'!E33+'ChildCare LASER'!J33</f>
        <v>334162505.79526722</v>
      </c>
      <c r="F34" s="2192">
        <f>'CSA LASER'!F33+'Medicaid &amp; FAMIS - LASER'!G33+'Energy Assistance LASER'!G33+'TANF LASER'!F33</f>
        <v>18437962.32</v>
      </c>
      <c r="G34" s="2192">
        <f>'CSA LASER'!G33+'Energy Assistance LASER'!H33+'TANF LASER'!G33</f>
        <v>0</v>
      </c>
      <c r="H34" s="2192">
        <f t="shared" si="2"/>
        <v>766485754.03252113</v>
      </c>
      <c r="I34" s="2193">
        <f t="shared" si="1"/>
        <v>18437962.32</v>
      </c>
    </row>
    <row r="35" spans="1:9" x14ac:dyDescent="0.25">
      <c r="A35" s="2175" t="s">
        <v>76</v>
      </c>
      <c r="B35" s="2176" t="s">
        <v>77</v>
      </c>
      <c r="C35" s="1373" t="s">
        <v>267</v>
      </c>
      <c r="D35" s="2191">
        <f>'CSA LASER'!D34+'Medicaid &amp; FAMIS - LASER'!E34+'SNAP LASER'!E34+'Energy Assistance LASER'!E34+'TANF LASER'!D34+'ChildCare LASER'!I34</f>
        <v>31374322.742710583</v>
      </c>
      <c r="E35" s="2192">
        <f>'CSA LASER'!E34+'Medicaid &amp; FAMIS - LASER'!F34+'Energy Assistance LASER'!F34+'TANF LASER'!E34+'ChildCare LASER'!J34</f>
        <v>27547084.399996843</v>
      </c>
      <c r="F35" s="2192">
        <f>'CSA LASER'!F34+'Medicaid &amp; FAMIS - LASER'!G34+'Energy Assistance LASER'!G34+'TANF LASER'!F34</f>
        <v>1928921.41</v>
      </c>
      <c r="G35" s="2192">
        <f>'CSA LASER'!G34+'Energy Assistance LASER'!H34+'TANF LASER'!G34</f>
        <v>0</v>
      </c>
      <c r="H35" s="2192">
        <f t="shared" si="2"/>
        <v>60850328.552707419</v>
      </c>
      <c r="I35" s="2193">
        <f t="shared" si="1"/>
        <v>1928921.41</v>
      </c>
    </row>
    <row r="36" spans="1:9" x14ac:dyDescent="0.25">
      <c r="A36" s="2175" t="s">
        <v>78</v>
      </c>
      <c r="B36" s="2176" t="s">
        <v>79</v>
      </c>
      <c r="C36" s="1373" t="s">
        <v>268</v>
      </c>
      <c r="D36" s="2191">
        <f>'CSA LASER'!D35+'Medicaid &amp; FAMIS - LASER'!E35+'SNAP LASER'!E35+'Energy Assistance LASER'!E35+'TANF LASER'!D35+'ChildCare LASER'!I35</f>
        <v>13830569.284607496</v>
      </c>
      <c r="E36" s="2192">
        <f>'CSA LASER'!E35+'Medicaid &amp; FAMIS - LASER'!F35+'Energy Assistance LASER'!F35+'TANF LASER'!E35+'ChildCare LASER'!J35</f>
        <v>11031848.486195691</v>
      </c>
      <c r="F36" s="2192">
        <f>'CSA LASER'!F35+'Medicaid &amp; FAMIS - LASER'!G35+'Energy Assistance LASER'!G35+'TANF LASER'!F35</f>
        <v>137985.08000000002</v>
      </c>
      <c r="G36" s="2192">
        <f>'CSA LASER'!G35+'Energy Assistance LASER'!H35+'TANF LASER'!G35</f>
        <v>0</v>
      </c>
      <c r="H36" s="2192">
        <f t="shared" si="2"/>
        <v>25000402.850803185</v>
      </c>
      <c r="I36" s="2193">
        <f t="shared" si="1"/>
        <v>137985.08000000002</v>
      </c>
    </row>
    <row r="37" spans="1:9" x14ac:dyDescent="0.25">
      <c r="A37" s="2175" t="s">
        <v>80</v>
      </c>
      <c r="B37" s="2176" t="s">
        <v>81</v>
      </c>
      <c r="C37" s="1373" t="s">
        <v>266</v>
      </c>
      <c r="D37" s="2191">
        <f>'CSA LASER'!D36+'Medicaid &amp; FAMIS - LASER'!E36+'SNAP LASER'!E36+'Energy Assistance LASER'!E36+'TANF LASER'!D36+'ChildCare LASER'!I36</f>
        <v>12913312.874247009</v>
      </c>
      <c r="E37" s="2192">
        <f>'CSA LASER'!E36+'Medicaid &amp; FAMIS - LASER'!F36+'Energy Assistance LASER'!F36+'TANF LASER'!E36+'ChildCare LASER'!J36</f>
        <v>11649003.463376369</v>
      </c>
      <c r="F37" s="2192">
        <f>'CSA LASER'!F36+'Medicaid &amp; FAMIS - LASER'!G36+'Energy Assistance LASER'!G36+'TANF LASER'!F36</f>
        <v>1241704.96</v>
      </c>
      <c r="G37" s="2192">
        <f>'CSA LASER'!G36+'Energy Assistance LASER'!H36+'TANF LASER'!G36</f>
        <v>0</v>
      </c>
      <c r="H37" s="2192">
        <f t="shared" si="2"/>
        <v>25804021.297623381</v>
      </c>
      <c r="I37" s="2193">
        <f t="shared" si="1"/>
        <v>1241704.96</v>
      </c>
    </row>
    <row r="38" spans="1:9" x14ac:dyDescent="0.25">
      <c r="A38" s="2175" t="s">
        <v>84</v>
      </c>
      <c r="B38" s="2176" t="s">
        <v>308</v>
      </c>
      <c r="C38" s="1373" t="s">
        <v>265</v>
      </c>
      <c r="D38" s="2191">
        <f>'CSA LASER'!D37+'Medicaid &amp; FAMIS - LASER'!E37+'SNAP LASER'!E37+'Energy Assistance LASER'!E37+'TANF LASER'!D37+'ChildCare LASER'!I37</f>
        <v>43779016.683985367</v>
      </c>
      <c r="E38" s="2192">
        <f>'CSA LASER'!E37+'Medicaid &amp; FAMIS - LASER'!F37+'Energy Assistance LASER'!F37+'TANF LASER'!E37+'ChildCare LASER'!J37</f>
        <v>36056732.335423455</v>
      </c>
      <c r="F38" s="2192">
        <f>'CSA LASER'!F37+'Medicaid &amp; FAMIS - LASER'!G37+'Energy Assistance LASER'!G37+'TANF LASER'!F37</f>
        <v>1695051.21</v>
      </c>
      <c r="G38" s="2192">
        <f>'CSA LASER'!G37+'Energy Assistance LASER'!H37+'TANF LASER'!G37</f>
        <v>0</v>
      </c>
      <c r="H38" s="2192">
        <f t="shared" si="2"/>
        <v>81530800.229408816</v>
      </c>
      <c r="I38" s="2193">
        <f t="shared" si="1"/>
        <v>1695051.21</v>
      </c>
    </row>
    <row r="39" spans="1:9" x14ac:dyDescent="0.25">
      <c r="A39" s="2175" t="s">
        <v>86</v>
      </c>
      <c r="B39" s="2176" t="s">
        <v>87</v>
      </c>
      <c r="C39" s="1373" t="s">
        <v>267</v>
      </c>
      <c r="D39" s="2191">
        <f>'CSA LASER'!D38+'Medicaid &amp; FAMIS - LASER'!E38+'SNAP LASER'!E38+'Energy Assistance LASER'!E38+'TANF LASER'!D38+'ChildCare LASER'!I38</f>
        <v>40949160.436953634</v>
      </c>
      <c r="E39" s="2192">
        <f>'CSA LASER'!E38+'Medicaid &amp; FAMIS - LASER'!F38+'Energy Assistance LASER'!F38+'TANF LASER'!E38+'ChildCare LASER'!J38</f>
        <v>32354445.360342059</v>
      </c>
      <c r="F39" s="2192">
        <f>'CSA LASER'!F38+'Medicaid &amp; FAMIS - LASER'!G38+'Energy Assistance LASER'!G38+'TANF LASER'!F38</f>
        <v>1708250.1600000001</v>
      </c>
      <c r="G39" s="2192">
        <f>'CSA LASER'!G38+'Energy Assistance LASER'!H38+'TANF LASER'!G38</f>
        <v>0</v>
      </c>
      <c r="H39" s="2192">
        <f t="shared" si="2"/>
        <v>75011855.957295686</v>
      </c>
      <c r="I39" s="2193">
        <f t="shared" si="1"/>
        <v>1708250.1600000001</v>
      </c>
    </row>
    <row r="40" spans="1:9" x14ac:dyDescent="0.25">
      <c r="A40" s="2175" t="s">
        <v>92</v>
      </c>
      <c r="B40" s="2176" t="s">
        <v>93</v>
      </c>
      <c r="C40" s="1373" t="s">
        <v>268</v>
      </c>
      <c r="D40" s="2191">
        <f>'CSA LASER'!D39+'Medicaid &amp; FAMIS - LASER'!E39+'SNAP LASER'!E39+'Energy Assistance LASER'!E39+'TANF LASER'!D39+'ChildCare LASER'!I39</f>
        <v>15663996.151195351</v>
      </c>
      <c r="E40" s="2192">
        <f>'CSA LASER'!E39+'Medicaid &amp; FAMIS - LASER'!F39+'Energy Assistance LASER'!F39+'TANF LASER'!E39+'ChildCare LASER'!J39</f>
        <v>13686296.5937414</v>
      </c>
      <c r="F40" s="2192">
        <f>'CSA LASER'!F39+'Medicaid &amp; FAMIS - LASER'!G39+'Energy Assistance LASER'!G39+'TANF LASER'!F39</f>
        <v>550859.40999999992</v>
      </c>
      <c r="G40" s="2192">
        <f>'CSA LASER'!G39+'Energy Assistance LASER'!H39+'TANF LASER'!G39</f>
        <v>0</v>
      </c>
      <c r="H40" s="2192">
        <f t="shared" si="2"/>
        <v>29901152.154936749</v>
      </c>
      <c r="I40" s="2193">
        <f t="shared" si="1"/>
        <v>550859.40999999992</v>
      </c>
    </row>
    <row r="41" spans="1:9" x14ac:dyDescent="0.25">
      <c r="A41" s="2175" t="s">
        <v>94</v>
      </c>
      <c r="B41" s="2176" t="s">
        <v>95</v>
      </c>
      <c r="C41" s="1373" t="s">
        <v>264</v>
      </c>
      <c r="D41" s="2191">
        <f>'CSA LASER'!D40+'Medicaid &amp; FAMIS - LASER'!E40+'SNAP LASER'!E40+'Energy Assistance LASER'!E40+'TANF LASER'!D40+'ChildCare LASER'!I40</f>
        <v>24201381.293577719</v>
      </c>
      <c r="E41" s="2192">
        <f>'CSA LASER'!E40+'Medicaid &amp; FAMIS - LASER'!F40+'Energy Assistance LASER'!F40+'TANF LASER'!E40+'ChildCare LASER'!J40</f>
        <v>18509337.100469504</v>
      </c>
      <c r="F41" s="2192">
        <f>'CSA LASER'!F40+'Medicaid &amp; FAMIS - LASER'!G40+'Energy Assistance LASER'!G40+'TANF LASER'!F40</f>
        <v>354754.46</v>
      </c>
      <c r="G41" s="2192">
        <f>'CSA LASER'!G40+'Energy Assistance LASER'!H40+'TANF LASER'!G40</f>
        <v>0</v>
      </c>
      <c r="H41" s="2192">
        <f t="shared" si="2"/>
        <v>43065472.854047224</v>
      </c>
      <c r="I41" s="2193">
        <f t="shared" si="1"/>
        <v>354754.46</v>
      </c>
    </row>
    <row r="42" spans="1:9" x14ac:dyDescent="0.25">
      <c r="A42" s="2175" t="s">
        <v>96</v>
      </c>
      <c r="B42" s="2176" t="s">
        <v>97</v>
      </c>
      <c r="C42" s="1373" t="s">
        <v>266</v>
      </c>
      <c r="D42" s="2191">
        <f>'CSA LASER'!D41+'Medicaid &amp; FAMIS - LASER'!E41+'SNAP LASER'!E41+'Energy Assistance LASER'!E41+'TANF LASER'!D41+'ChildCare LASER'!I41</f>
        <v>8954108.8130613621</v>
      </c>
      <c r="E42" s="2192">
        <f>'CSA LASER'!E41+'Medicaid &amp; FAMIS - LASER'!F41+'Energy Assistance LASER'!F41+'TANF LASER'!E41+'ChildCare LASER'!J41</f>
        <v>7536515.3237583274</v>
      </c>
      <c r="F42" s="2192">
        <f>'CSA LASER'!F41+'Medicaid &amp; FAMIS - LASER'!G41+'Energy Assistance LASER'!G41+'TANF LASER'!F41</f>
        <v>663309.75</v>
      </c>
      <c r="G42" s="2192">
        <f>'CSA LASER'!G41+'Energy Assistance LASER'!H41+'TANF LASER'!G41</f>
        <v>0</v>
      </c>
      <c r="H42" s="2192">
        <f t="shared" si="2"/>
        <v>17153933.88681969</v>
      </c>
      <c r="I42" s="2193">
        <f t="shared" si="1"/>
        <v>663309.75</v>
      </c>
    </row>
    <row r="43" spans="1:9" x14ac:dyDescent="0.25">
      <c r="A43" s="2175" t="s">
        <v>98</v>
      </c>
      <c r="B43" s="2176" t="s">
        <v>99</v>
      </c>
      <c r="C43" s="1373" t="s">
        <v>268</v>
      </c>
      <c r="D43" s="2191">
        <f>'CSA LASER'!D42+'Medicaid &amp; FAMIS - LASER'!E42+'SNAP LASER'!E42+'Energy Assistance LASER'!E42+'TANF LASER'!D42+'ChildCare LASER'!I42</f>
        <v>16421450.810633868</v>
      </c>
      <c r="E43" s="2192">
        <f>'CSA LASER'!E42+'Medicaid &amp; FAMIS - LASER'!F42+'Energy Assistance LASER'!F42+'TANF LASER'!E42+'ChildCare LASER'!J42</f>
        <v>12564259.701902794</v>
      </c>
      <c r="F43" s="2192">
        <f>'CSA LASER'!F42+'Medicaid &amp; FAMIS - LASER'!G42+'Energy Assistance LASER'!G42+'TANF LASER'!F42</f>
        <v>158468.4</v>
      </c>
      <c r="G43" s="2192">
        <f>'CSA LASER'!G42+'Energy Assistance LASER'!H42+'TANF LASER'!G42</f>
        <v>0</v>
      </c>
      <c r="H43" s="2192">
        <f t="shared" si="2"/>
        <v>29144178.912536658</v>
      </c>
      <c r="I43" s="2193">
        <f t="shared" si="1"/>
        <v>158468.4</v>
      </c>
    </row>
    <row r="44" spans="1:9" x14ac:dyDescent="0.25">
      <c r="A44" s="2175" t="s">
        <v>100</v>
      </c>
      <c r="B44" s="2176" t="s">
        <v>101</v>
      </c>
      <c r="C44" s="1373" t="s">
        <v>267</v>
      </c>
      <c r="D44" s="2191">
        <f>'CSA LASER'!D43+'Medicaid &amp; FAMIS - LASER'!E43+'SNAP LASER'!E43+'Energy Assistance LASER'!E43+'TANF LASER'!D43+'ChildCare LASER'!I43</f>
        <v>13139515.544211451</v>
      </c>
      <c r="E44" s="2192">
        <f>'CSA LASER'!E43+'Medicaid &amp; FAMIS - LASER'!F43+'Energy Assistance LASER'!F43+'TANF LASER'!E43+'ChildCare LASER'!J43</f>
        <v>10084023.323170615</v>
      </c>
      <c r="F44" s="2192">
        <f>'CSA LASER'!F43+'Medicaid &amp; FAMIS - LASER'!G43+'Energy Assistance LASER'!G43+'TANF LASER'!F43</f>
        <v>473063.64</v>
      </c>
      <c r="G44" s="2192">
        <f>'CSA LASER'!G43+'Energy Assistance LASER'!H43+'TANF LASER'!G43</f>
        <v>0</v>
      </c>
      <c r="H44" s="2192">
        <f t="shared" si="2"/>
        <v>23696602.507382065</v>
      </c>
      <c r="I44" s="2193">
        <f t="shared" si="1"/>
        <v>473063.64</v>
      </c>
    </row>
    <row r="45" spans="1:9" x14ac:dyDescent="0.25">
      <c r="A45" s="2175" t="s">
        <v>102</v>
      </c>
      <c r="B45" s="2176" t="s">
        <v>282</v>
      </c>
      <c r="C45" s="1373" t="s">
        <v>264</v>
      </c>
      <c r="D45" s="2191">
        <f>'CSA LASER'!D44+'Medicaid &amp; FAMIS - LASER'!E44+'SNAP LASER'!E44+'Energy Assistance LASER'!E44+'TANF LASER'!D44+'ChildCare LASER'!I44</f>
        <v>25817563.685968306</v>
      </c>
      <c r="E45" s="2192">
        <f>'CSA LASER'!E44+'Medicaid &amp; FAMIS - LASER'!F44+'Energy Assistance LASER'!F44+'TANF LASER'!E44+'ChildCare LASER'!J44</f>
        <v>19860831.977832206</v>
      </c>
      <c r="F45" s="2192">
        <f>'CSA LASER'!F44+'Medicaid &amp; FAMIS - LASER'!G44+'Energy Assistance LASER'!G44+'TANF LASER'!F44</f>
        <v>138193.19999999998</v>
      </c>
      <c r="G45" s="2192">
        <f>'CSA LASER'!G44+'Energy Assistance LASER'!H44+'TANF LASER'!G44</f>
        <v>0</v>
      </c>
      <c r="H45" s="2192">
        <f t="shared" si="2"/>
        <v>45816588.863800511</v>
      </c>
      <c r="I45" s="2193">
        <f t="shared" si="1"/>
        <v>138193.19999999998</v>
      </c>
    </row>
    <row r="46" spans="1:9" x14ac:dyDescent="0.25">
      <c r="A46" s="2175" t="s">
        <v>104</v>
      </c>
      <c r="B46" s="2176" t="s">
        <v>602</v>
      </c>
      <c r="C46" s="1373" t="s">
        <v>265</v>
      </c>
      <c r="D46" s="2191">
        <f>'CSA LASER'!D45+'Medicaid &amp; FAMIS - LASER'!E45+'SNAP LASER'!E45+'Energy Assistance LASER'!E45+'TANF LASER'!D45+'ChildCare LASER'!I45</f>
        <v>42991037.627253167</v>
      </c>
      <c r="E46" s="2192">
        <f>'CSA LASER'!E45+'Medicaid &amp; FAMIS - LASER'!F45+'Energy Assistance LASER'!F45+'TANF LASER'!E45+'ChildCare LASER'!J45</f>
        <v>34189690.10146068</v>
      </c>
      <c r="F46" s="2192">
        <f>'CSA LASER'!F45+'Medicaid &amp; FAMIS - LASER'!G45+'Energy Assistance LASER'!G45+'TANF LASER'!F45</f>
        <v>743438.21000000008</v>
      </c>
      <c r="G46" s="2192">
        <f>'CSA LASER'!G45+'Energy Assistance LASER'!H45+'TANF LASER'!G45</f>
        <v>0</v>
      </c>
      <c r="H46" s="2192">
        <f t="shared" si="2"/>
        <v>77924165.938713834</v>
      </c>
      <c r="I46" s="2193">
        <f t="shared" si="1"/>
        <v>743438.21000000008</v>
      </c>
    </row>
    <row r="47" spans="1:9" x14ac:dyDescent="0.25">
      <c r="A47" s="2175" t="s">
        <v>108</v>
      </c>
      <c r="B47" s="2176" t="s">
        <v>109</v>
      </c>
      <c r="C47" s="1373" t="s">
        <v>266</v>
      </c>
      <c r="D47" s="2191">
        <f>'CSA LASER'!D46+'Medicaid &amp; FAMIS - LASER'!E46+'SNAP LASER'!E46+'Energy Assistance LASER'!E46+'TANF LASER'!D46+'ChildCare LASER'!I46</f>
        <v>42240208.344677508</v>
      </c>
      <c r="E47" s="2192">
        <f>'CSA LASER'!E46+'Medicaid &amp; FAMIS - LASER'!F46+'Energy Assistance LASER'!F46+'TANF LASER'!E46+'ChildCare LASER'!J46</f>
        <v>34661932.544733584</v>
      </c>
      <c r="F47" s="2192">
        <f>'CSA LASER'!F46+'Medicaid &amp; FAMIS - LASER'!G46+'Energy Assistance LASER'!G46+'TANF LASER'!F46</f>
        <v>1888214.7899999998</v>
      </c>
      <c r="G47" s="2192">
        <f>'CSA LASER'!G46+'Energy Assistance LASER'!H46+'TANF LASER'!G46</f>
        <v>0</v>
      </c>
      <c r="H47" s="2192">
        <f t="shared" si="2"/>
        <v>78790355.679411098</v>
      </c>
      <c r="I47" s="2193">
        <f t="shared" si="1"/>
        <v>1888214.7899999998</v>
      </c>
    </row>
    <row r="48" spans="1:9" x14ac:dyDescent="0.25">
      <c r="A48" s="2175" t="s">
        <v>110</v>
      </c>
      <c r="B48" s="2176" t="s">
        <v>111</v>
      </c>
      <c r="C48" s="1373" t="s">
        <v>266</v>
      </c>
      <c r="D48" s="2191">
        <f>'CSA LASER'!D47+'Medicaid &amp; FAMIS - LASER'!E47+'SNAP LASER'!E47+'Energy Assistance LASER'!E47+'TANF LASER'!D47+'ChildCare LASER'!I47</f>
        <v>223474603.16489151</v>
      </c>
      <c r="E48" s="2192">
        <f>'CSA LASER'!E47+'Medicaid &amp; FAMIS - LASER'!F47+'Energy Assistance LASER'!F47+'TANF LASER'!E47+'ChildCare LASER'!J47</f>
        <v>170522503.03248721</v>
      </c>
      <c r="F48" s="2192">
        <f>'CSA LASER'!F47+'Medicaid &amp; FAMIS - LASER'!G47+'Energy Assistance LASER'!G47+'TANF LASER'!F47</f>
        <v>5230639.6899999995</v>
      </c>
      <c r="G48" s="2192">
        <f>'CSA LASER'!G47+'Energy Assistance LASER'!H47+'TANF LASER'!G47</f>
        <v>0</v>
      </c>
      <c r="H48" s="2192">
        <f t="shared" si="2"/>
        <v>399227745.88737875</v>
      </c>
      <c r="I48" s="2193">
        <f t="shared" si="1"/>
        <v>5230639.6899999995</v>
      </c>
    </row>
    <row r="49" spans="1:9" x14ac:dyDescent="0.25">
      <c r="A49" s="2175" t="s">
        <v>112</v>
      </c>
      <c r="B49" s="2176" t="s">
        <v>300</v>
      </c>
      <c r="C49" s="1373" t="s">
        <v>265</v>
      </c>
      <c r="D49" s="2191">
        <f>'CSA LASER'!D48+'Medicaid &amp; FAMIS - LASER'!E48+'SNAP LASER'!E48+'Energy Assistance LASER'!E48+'TANF LASER'!D48+'ChildCare LASER'!I48</f>
        <v>97077211.508204296</v>
      </c>
      <c r="E49" s="2192">
        <f>'CSA LASER'!E48+'Medicaid &amp; FAMIS - LASER'!F48+'Energy Assistance LASER'!F48+'TANF LASER'!E48+'ChildCare LASER'!J48</f>
        <v>73565202.225092366</v>
      </c>
      <c r="F49" s="2192">
        <f>'CSA LASER'!F48+'Medicaid &amp; FAMIS - LASER'!G48+'Energy Assistance LASER'!G48+'TANF LASER'!F48</f>
        <v>376718.10999999993</v>
      </c>
      <c r="G49" s="2192">
        <f>'CSA LASER'!G48+'Energy Assistance LASER'!H48+'TANF LASER'!G48</f>
        <v>0</v>
      </c>
      <c r="H49" s="2192">
        <f t="shared" si="2"/>
        <v>171019131.84329668</v>
      </c>
      <c r="I49" s="2193">
        <f t="shared" si="1"/>
        <v>376718.10999999993</v>
      </c>
    </row>
    <row r="50" spans="1:9" x14ac:dyDescent="0.25">
      <c r="A50" s="2175" t="s">
        <v>114</v>
      </c>
      <c r="B50" s="2176" t="s">
        <v>115</v>
      </c>
      <c r="C50" s="1373" t="s">
        <v>265</v>
      </c>
      <c r="D50" s="2191">
        <f>'CSA LASER'!D49+'Medicaid &amp; FAMIS - LASER'!E49+'SNAP LASER'!E49+'Energy Assistance LASER'!E49+'TANF LASER'!D49+'ChildCare LASER'!I49</f>
        <v>1078547.918475979</v>
      </c>
      <c r="E50" s="2192">
        <f>'CSA LASER'!E49+'Medicaid &amp; FAMIS - LASER'!F49+'Energy Assistance LASER'!F49+'TANF LASER'!E49+'ChildCare LASER'!J49</f>
        <v>931033.11111857335</v>
      </c>
      <c r="F50" s="2192">
        <f>'CSA LASER'!F49+'Medicaid &amp; FAMIS - LASER'!G49+'Energy Assistance LASER'!G49+'TANF LASER'!F49</f>
        <v>22052.94</v>
      </c>
      <c r="G50" s="2192">
        <f>'CSA LASER'!G49+'Energy Assistance LASER'!H49+'TANF LASER'!G49</f>
        <v>0</v>
      </c>
      <c r="H50" s="2192">
        <f t="shared" si="2"/>
        <v>2031633.9695945522</v>
      </c>
      <c r="I50" s="2193">
        <f t="shared" si="1"/>
        <v>22052.94</v>
      </c>
    </row>
    <row r="51" spans="1:9" x14ac:dyDescent="0.25">
      <c r="A51" s="2175" t="s">
        <v>118</v>
      </c>
      <c r="B51" s="2176" t="s">
        <v>119</v>
      </c>
      <c r="C51" s="1373" t="s">
        <v>264</v>
      </c>
      <c r="D51" s="2191">
        <f>'CSA LASER'!D50+'Medicaid &amp; FAMIS - LASER'!E50+'SNAP LASER'!E50+'Energy Assistance LASER'!E50+'TANF LASER'!D50+'ChildCare LASER'!I50</f>
        <v>23270896.34239978</v>
      </c>
      <c r="E51" s="2192">
        <f>'CSA LASER'!E50+'Medicaid &amp; FAMIS - LASER'!F50+'Energy Assistance LASER'!F50+'TANF LASER'!E50+'ChildCare LASER'!J50</f>
        <v>17659566.89073744</v>
      </c>
      <c r="F51" s="2192">
        <f>'CSA LASER'!F50+'Medicaid &amp; FAMIS - LASER'!G50+'Energy Assistance LASER'!G50+'TANF LASER'!F50</f>
        <v>118520.51999999999</v>
      </c>
      <c r="G51" s="2192">
        <f>'CSA LASER'!G50+'Energy Assistance LASER'!H50+'TANF LASER'!G50</f>
        <v>0</v>
      </c>
      <c r="H51" s="2192">
        <f t="shared" si="2"/>
        <v>41048983.753137223</v>
      </c>
      <c r="I51" s="2193">
        <f t="shared" si="1"/>
        <v>118520.51999999999</v>
      </c>
    </row>
    <row r="52" spans="1:9" x14ac:dyDescent="0.25">
      <c r="A52" s="2175" t="s">
        <v>120</v>
      </c>
      <c r="B52" s="2176" t="s">
        <v>121</v>
      </c>
      <c r="C52" s="1373" t="s">
        <v>264</v>
      </c>
      <c r="D52" s="2191">
        <f>'CSA LASER'!D51+'Medicaid &amp; FAMIS - LASER'!E51+'SNAP LASER'!E51+'Energy Assistance LASER'!E51+'TANF LASER'!D51+'ChildCare LASER'!I51</f>
        <v>24540825.337580021</v>
      </c>
      <c r="E52" s="2192">
        <f>'CSA LASER'!E51+'Medicaid &amp; FAMIS - LASER'!F51+'Energy Assistance LASER'!F51+'TANF LASER'!E51+'ChildCare LASER'!J51</f>
        <v>17370326.283942945</v>
      </c>
      <c r="F52" s="2192">
        <f>'CSA LASER'!F51+'Medicaid &amp; FAMIS - LASER'!G51+'Energy Assistance LASER'!G51+'TANF LASER'!F51</f>
        <v>492019.95999999996</v>
      </c>
      <c r="G52" s="2192">
        <f>'CSA LASER'!G51+'Energy Assistance LASER'!H51+'TANF LASER'!G51</f>
        <v>0</v>
      </c>
      <c r="H52" s="2192">
        <f t="shared" si="2"/>
        <v>42403171.581522964</v>
      </c>
      <c r="I52" s="2193">
        <f t="shared" si="1"/>
        <v>492019.95999999996</v>
      </c>
    </row>
    <row r="53" spans="1:9" x14ac:dyDescent="0.25">
      <c r="A53" s="2175" t="s">
        <v>122</v>
      </c>
      <c r="B53" s="2176" t="s">
        <v>271</v>
      </c>
      <c r="C53" s="1373" t="s">
        <v>266</v>
      </c>
      <c r="D53" s="2191">
        <f>'CSA LASER'!D52+'Medicaid &amp; FAMIS - LASER'!E52+'SNAP LASER'!E52+'Energy Assistance LASER'!E52+'TANF LASER'!D52+'ChildCare LASER'!I52</f>
        <v>6601805.7300656382</v>
      </c>
      <c r="E53" s="2192">
        <f>'CSA LASER'!E52+'Medicaid &amp; FAMIS - LASER'!F52+'Energy Assistance LASER'!F52+'TANF LASER'!E52+'ChildCare LASER'!J52</f>
        <v>4863041.5627009971</v>
      </c>
      <c r="F53" s="2192">
        <f>'CSA LASER'!F52+'Medicaid &amp; FAMIS - LASER'!G52+'Energy Assistance LASER'!G52+'TANF LASER'!F52</f>
        <v>107184</v>
      </c>
      <c r="G53" s="2192">
        <f>'CSA LASER'!G52+'Energy Assistance LASER'!H52+'TANF LASER'!G52</f>
        <v>0</v>
      </c>
      <c r="H53" s="2192">
        <f t="shared" si="2"/>
        <v>11572031.292766634</v>
      </c>
      <c r="I53" s="2193">
        <f t="shared" si="1"/>
        <v>107184</v>
      </c>
    </row>
    <row r="54" spans="1:9" x14ac:dyDescent="0.25">
      <c r="A54" s="2175" t="s">
        <v>124</v>
      </c>
      <c r="B54" s="2176" t="s">
        <v>125</v>
      </c>
      <c r="C54" s="1373" t="s">
        <v>267</v>
      </c>
      <c r="D54" s="2191">
        <f>'CSA LASER'!D53+'Medicaid &amp; FAMIS - LASER'!E53+'SNAP LASER'!E53+'Energy Assistance LASER'!E53+'TANF LASER'!D53+'ChildCare LASER'!I53</f>
        <v>13273687.761603592</v>
      </c>
      <c r="E54" s="2192">
        <f>'CSA LASER'!E53+'Medicaid &amp; FAMIS - LASER'!F53+'Energy Assistance LASER'!F53+'TANF LASER'!E53+'ChildCare LASER'!J53</f>
        <v>10433663.570162473</v>
      </c>
      <c r="F54" s="2192">
        <f>'CSA LASER'!F53+'Medicaid &amp; FAMIS - LASER'!G53+'Energy Assistance LASER'!G53+'TANF LASER'!F53</f>
        <v>959638.83</v>
      </c>
      <c r="G54" s="2192">
        <f>'CSA LASER'!G53+'Energy Assistance LASER'!H53+'TANF LASER'!G53</f>
        <v>0</v>
      </c>
      <c r="H54" s="2192">
        <f t="shared" si="2"/>
        <v>24666990.161766063</v>
      </c>
      <c r="I54" s="2193">
        <f t="shared" si="1"/>
        <v>959638.83</v>
      </c>
    </row>
    <row r="55" spans="1:9" x14ac:dyDescent="0.25">
      <c r="A55" s="2175" t="s">
        <v>126</v>
      </c>
      <c r="B55" s="2176" t="s">
        <v>127</v>
      </c>
      <c r="C55" s="1373" t="s">
        <v>266</v>
      </c>
      <c r="D55" s="2191">
        <f>'CSA LASER'!D54+'Medicaid &amp; FAMIS - LASER'!E54+'SNAP LASER'!E54+'Energy Assistance LASER'!E54+'TANF LASER'!D54+'ChildCare LASER'!I54</f>
        <v>10457111.04536874</v>
      </c>
      <c r="E55" s="2192">
        <f>'CSA LASER'!E54+'Medicaid &amp; FAMIS - LASER'!F54+'Energy Assistance LASER'!F54+'TANF LASER'!E54+'ChildCare LASER'!J54</f>
        <v>8320568.213585875</v>
      </c>
      <c r="F55" s="2192">
        <f>'CSA LASER'!F54+'Medicaid &amp; FAMIS - LASER'!G54+'Energy Assistance LASER'!G54+'TANF LASER'!F54</f>
        <v>308269.42</v>
      </c>
      <c r="G55" s="2192">
        <f>'CSA LASER'!G54+'Energy Assistance LASER'!H54+'TANF LASER'!G54</f>
        <v>0</v>
      </c>
      <c r="H55" s="2192">
        <f t="shared" si="2"/>
        <v>19085948.678954616</v>
      </c>
      <c r="I55" s="2193">
        <f t="shared" si="1"/>
        <v>308269.42</v>
      </c>
    </row>
    <row r="56" spans="1:9" x14ac:dyDescent="0.25">
      <c r="A56" s="2175" t="s">
        <v>128</v>
      </c>
      <c r="B56" s="2176" t="s">
        <v>129</v>
      </c>
      <c r="C56" s="1373" t="s">
        <v>266</v>
      </c>
      <c r="D56" s="2191">
        <f>'CSA LASER'!D55+'Medicaid &amp; FAMIS - LASER'!E55+'SNAP LASER'!E55+'Energy Assistance LASER'!E55+'TANF LASER'!D55+'ChildCare LASER'!I55</f>
        <v>8955628.2335359268</v>
      </c>
      <c r="E56" s="2192">
        <f>'CSA LASER'!E55+'Medicaid &amp; FAMIS - LASER'!F55+'Energy Assistance LASER'!F55+'TANF LASER'!E55+'ChildCare LASER'!J55</f>
        <v>6741917.7639773889</v>
      </c>
      <c r="F56" s="2192">
        <f>'CSA LASER'!F55+'Medicaid &amp; FAMIS - LASER'!G55+'Energy Assistance LASER'!G55+'TANF LASER'!F55</f>
        <v>463006.31999999995</v>
      </c>
      <c r="G56" s="2192">
        <f>'CSA LASER'!G55+'Energy Assistance LASER'!H55+'TANF LASER'!G55</f>
        <v>0</v>
      </c>
      <c r="H56" s="2192">
        <f t="shared" si="2"/>
        <v>16160552.317513317</v>
      </c>
      <c r="I56" s="2193">
        <f t="shared" si="1"/>
        <v>463006.31999999995</v>
      </c>
    </row>
    <row r="57" spans="1:9" x14ac:dyDescent="0.25">
      <c r="A57" s="2175" t="s">
        <v>130</v>
      </c>
      <c r="B57" s="2176" t="s">
        <v>131</v>
      </c>
      <c r="C57" s="1373" t="s">
        <v>268</v>
      </c>
      <c r="D57" s="2191">
        <f>'CSA LASER'!D56+'Medicaid &amp; FAMIS - LASER'!E56+'SNAP LASER'!E56+'Energy Assistance LASER'!E56+'TANF LASER'!D56+'ChildCare LASER'!I56</f>
        <v>36667364.244143702</v>
      </c>
      <c r="E57" s="2192">
        <f>'CSA LASER'!E56+'Medicaid &amp; FAMIS - LASER'!F56+'Energy Assistance LASER'!F56+'TANF LASER'!E56+'ChildCare LASER'!J56</f>
        <v>27627370.734358795</v>
      </c>
      <c r="F57" s="2192">
        <f>'CSA LASER'!F56+'Medicaid &amp; FAMIS - LASER'!G56+'Energy Assistance LASER'!G56+'TANF LASER'!F56</f>
        <v>293987.51999999996</v>
      </c>
      <c r="G57" s="2192">
        <f>'CSA LASER'!G56+'Energy Assistance LASER'!H56+'TANF LASER'!G56</f>
        <v>0</v>
      </c>
      <c r="H57" s="2192">
        <f t="shared" si="2"/>
        <v>64588722.4985025</v>
      </c>
      <c r="I57" s="2193">
        <f t="shared" si="1"/>
        <v>293987.51999999996</v>
      </c>
    </row>
    <row r="58" spans="1:9" x14ac:dyDescent="0.25">
      <c r="A58" s="2175" t="s">
        <v>132</v>
      </c>
      <c r="B58" s="2176" t="s">
        <v>133</v>
      </c>
      <c r="C58" s="1373" t="s">
        <v>267</v>
      </c>
      <c r="D58" s="2191">
        <f>'CSA LASER'!D57+'Medicaid &amp; FAMIS - LASER'!E57+'SNAP LASER'!E57+'Energy Assistance LASER'!E57+'TANF LASER'!D57+'ChildCare LASER'!I57</f>
        <v>93335213.089682072</v>
      </c>
      <c r="E58" s="2192">
        <f>'CSA LASER'!E57+'Medicaid &amp; FAMIS - LASER'!F57+'Energy Assistance LASER'!F57+'TANF LASER'!E57+'ChildCare LASER'!J57</f>
        <v>75063889.673671439</v>
      </c>
      <c r="F58" s="2192">
        <f>'CSA LASER'!F57+'Medicaid &amp; FAMIS - LASER'!G57+'Energy Assistance LASER'!G57+'TANF LASER'!F57</f>
        <v>3297835.02</v>
      </c>
      <c r="G58" s="2192">
        <f>'CSA LASER'!G57+'Energy Assistance LASER'!H57+'TANF LASER'!G57</f>
        <v>0</v>
      </c>
      <c r="H58" s="2192">
        <f t="shared" si="2"/>
        <v>171696937.78335354</v>
      </c>
      <c r="I58" s="2193">
        <f t="shared" si="1"/>
        <v>3297835.02</v>
      </c>
    </row>
    <row r="59" spans="1:9" x14ac:dyDescent="0.25">
      <c r="A59" s="2175" t="s">
        <v>134</v>
      </c>
      <c r="B59" s="2176" t="s">
        <v>135</v>
      </c>
      <c r="C59" s="1373" t="s">
        <v>267</v>
      </c>
      <c r="D59" s="2191">
        <f>'CSA LASER'!D58+'Medicaid &amp; FAMIS - LASER'!E58+'SNAP LASER'!E58+'Energy Assistance LASER'!E58+'TANF LASER'!D58+'ChildCare LASER'!I58</f>
        <v>25576654.814532664</v>
      </c>
      <c r="E59" s="2192">
        <f>'CSA LASER'!E58+'Medicaid &amp; FAMIS - LASER'!F58+'Energy Assistance LASER'!F58+'TANF LASER'!E58+'ChildCare LASER'!J58</f>
        <v>20341546.977479335</v>
      </c>
      <c r="F59" s="2192">
        <f>'CSA LASER'!F58+'Medicaid &amp; FAMIS - LASER'!G58+'Energy Assistance LASER'!G58+'TANF LASER'!F58</f>
        <v>1543819.97</v>
      </c>
      <c r="G59" s="2192">
        <f>'CSA LASER'!G58+'Energy Assistance LASER'!H58+'TANF LASER'!G58</f>
        <v>0</v>
      </c>
      <c r="H59" s="2192">
        <f t="shared" si="2"/>
        <v>47462021.762011997</v>
      </c>
      <c r="I59" s="2193">
        <f t="shared" si="1"/>
        <v>1543819.97</v>
      </c>
    </row>
    <row r="60" spans="1:9" x14ac:dyDescent="0.25">
      <c r="A60" s="2175" t="s">
        <v>136</v>
      </c>
      <c r="B60" s="2176" t="s">
        <v>137</v>
      </c>
      <c r="C60" s="1373" t="s">
        <v>266</v>
      </c>
      <c r="D60" s="2191">
        <f>'CSA LASER'!D59+'Medicaid &amp; FAMIS - LASER'!E59+'SNAP LASER'!E59+'Energy Assistance LASER'!E59+'TANF LASER'!D59+'ChildCare LASER'!I59</f>
        <v>12965562.239225995</v>
      </c>
      <c r="E60" s="2192">
        <f>'CSA LASER'!E59+'Medicaid &amp; FAMIS - LASER'!F59+'Energy Assistance LASER'!F59+'TANF LASER'!E59+'ChildCare LASER'!J59</f>
        <v>10378126.0757</v>
      </c>
      <c r="F60" s="2192">
        <f>'CSA LASER'!F59+'Medicaid &amp; FAMIS - LASER'!G59+'Energy Assistance LASER'!G59+'TANF LASER'!F59</f>
        <v>174243.88</v>
      </c>
      <c r="G60" s="2192">
        <f>'CSA LASER'!G59+'Energy Assistance LASER'!H59+'TANF LASER'!G59</f>
        <v>0</v>
      </c>
      <c r="H60" s="2192">
        <f t="shared" si="2"/>
        <v>23517932.194925994</v>
      </c>
      <c r="I60" s="2193">
        <f t="shared" si="1"/>
        <v>174243.88</v>
      </c>
    </row>
    <row r="61" spans="1:9" x14ac:dyDescent="0.25">
      <c r="A61" s="2175" t="s">
        <v>140</v>
      </c>
      <c r="B61" s="2176" t="s">
        <v>141</v>
      </c>
      <c r="C61" s="1373" t="s">
        <v>267</v>
      </c>
      <c r="D61" s="2191">
        <f>'CSA LASER'!D60+'Medicaid &amp; FAMIS - LASER'!E60+'SNAP LASER'!E60+'Energy Assistance LASER'!E60+'TANF LASER'!D60+'ChildCare LASER'!I60</f>
        <v>9074303.6279154494</v>
      </c>
      <c r="E61" s="2192">
        <f>'CSA LASER'!E60+'Medicaid &amp; FAMIS - LASER'!F60+'Energy Assistance LASER'!F60+'TANF LASER'!E60+'ChildCare LASER'!J60</f>
        <v>8933479.6435232684</v>
      </c>
      <c r="F61" s="2192">
        <f>'CSA LASER'!F60+'Medicaid &amp; FAMIS - LASER'!G60+'Energy Assistance LASER'!G60+'TANF LASER'!F60</f>
        <v>1160072.53</v>
      </c>
      <c r="G61" s="2192">
        <f>'CSA LASER'!G60+'Energy Assistance LASER'!H60+'TANF LASER'!G60</f>
        <v>0</v>
      </c>
      <c r="H61" s="2192">
        <f t="shared" si="2"/>
        <v>19167855.801438719</v>
      </c>
      <c r="I61" s="2193">
        <f t="shared" si="1"/>
        <v>1160072.53</v>
      </c>
    </row>
    <row r="62" spans="1:9" x14ac:dyDescent="0.25">
      <c r="A62" s="2175" t="s">
        <v>146</v>
      </c>
      <c r="B62" s="2176" t="s">
        <v>147</v>
      </c>
      <c r="C62" s="1373" t="s">
        <v>264</v>
      </c>
      <c r="D62" s="2191">
        <f>'CSA LASER'!D61+'Medicaid &amp; FAMIS - LASER'!E61+'SNAP LASER'!E61+'Energy Assistance LASER'!E61+'TANF LASER'!D61+'ChildCare LASER'!I61</f>
        <v>7144212.9586734902</v>
      </c>
      <c r="E62" s="2192">
        <f>'CSA LASER'!E61+'Medicaid &amp; FAMIS - LASER'!F61+'Energy Assistance LASER'!F61+'TANF LASER'!E61+'ChildCare LASER'!J61</f>
        <v>5950827.8034775415</v>
      </c>
      <c r="F62" s="2192">
        <f>'CSA LASER'!F61+'Medicaid &amp; FAMIS - LASER'!G61+'Energy Assistance LASER'!G61+'TANF LASER'!F61</f>
        <v>49883.57</v>
      </c>
      <c r="G62" s="2192">
        <f>'CSA LASER'!G61+'Energy Assistance LASER'!H61+'TANF LASER'!G61</f>
        <v>0</v>
      </c>
      <c r="H62" s="2192">
        <f t="shared" si="2"/>
        <v>13144924.332151033</v>
      </c>
      <c r="I62" s="2193">
        <f t="shared" si="1"/>
        <v>49883.57</v>
      </c>
    </row>
    <row r="63" spans="1:9" x14ac:dyDescent="0.25">
      <c r="A63" s="2175" t="s">
        <v>148</v>
      </c>
      <c r="B63" s="2176" t="s">
        <v>149</v>
      </c>
      <c r="C63" s="1373" t="s">
        <v>265</v>
      </c>
      <c r="D63" s="2191">
        <f>'CSA LASER'!D62+'Medicaid &amp; FAMIS - LASER'!E62+'SNAP LASER'!E62+'Energy Assistance LASER'!E62+'TANF LASER'!D62+'ChildCare LASER'!I62</f>
        <v>31434007.964890022</v>
      </c>
      <c r="E63" s="2192">
        <f>'CSA LASER'!E62+'Medicaid &amp; FAMIS - LASER'!F62+'Energy Assistance LASER'!F62+'TANF LASER'!E62+'ChildCare LASER'!J62</f>
        <v>24757515.78205898</v>
      </c>
      <c r="F63" s="2192">
        <f>'CSA LASER'!F62+'Medicaid &amp; FAMIS - LASER'!G62+'Energy Assistance LASER'!G62+'TANF LASER'!F62</f>
        <v>508694.12000000005</v>
      </c>
      <c r="G63" s="2192">
        <f>'CSA LASER'!G62+'Energy Assistance LASER'!H62+'TANF LASER'!G62</f>
        <v>0</v>
      </c>
      <c r="H63" s="2192">
        <f t="shared" si="2"/>
        <v>56700217.866948999</v>
      </c>
      <c r="I63" s="2193">
        <f t="shared" si="1"/>
        <v>508694.12000000005</v>
      </c>
    </row>
    <row r="64" spans="1:9" x14ac:dyDescent="0.25">
      <c r="A64" s="2175" t="s">
        <v>150</v>
      </c>
      <c r="B64" s="2176" t="s">
        <v>151</v>
      </c>
      <c r="C64" s="1373" t="s">
        <v>266</v>
      </c>
      <c r="D64" s="2191">
        <f>'CSA LASER'!D63+'Medicaid &amp; FAMIS - LASER'!E63+'SNAP LASER'!E63+'Energy Assistance LASER'!E63+'TANF LASER'!D63+'ChildCare LASER'!I63</f>
        <v>9946200.4611794706</v>
      </c>
      <c r="E64" s="2192">
        <f>'CSA LASER'!E63+'Medicaid &amp; FAMIS - LASER'!F63+'Energy Assistance LASER'!F63+'TANF LASER'!E63+'ChildCare LASER'!J63</f>
        <v>7687102.6319688754</v>
      </c>
      <c r="F64" s="2192">
        <f>'CSA LASER'!F63+'Medicaid &amp; FAMIS - LASER'!G63+'Energy Assistance LASER'!G63+'TANF LASER'!F63</f>
        <v>233893.89</v>
      </c>
      <c r="G64" s="2192">
        <f>'CSA LASER'!G63+'Energy Assistance LASER'!H63+'TANF LASER'!G63</f>
        <v>0</v>
      </c>
      <c r="H64" s="2192">
        <f t="shared" si="2"/>
        <v>17867196.983148348</v>
      </c>
      <c r="I64" s="2193">
        <f t="shared" si="1"/>
        <v>233893.89</v>
      </c>
    </row>
    <row r="65" spans="1:9" x14ac:dyDescent="0.25">
      <c r="A65" s="2175" t="s">
        <v>152</v>
      </c>
      <c r="B65" s="2176" t="s">
        <v>153</v>
      </c>
      <c r="C65" s="1373" t="s">
        <v>268</v>
      </c>
      <c r="D65" s="2191">
        <f>'CSA LASER'!D64+'Medicaid &amp; FAMIS - LASER'!E64+'SNAP LASER'!E64+'Energy Assistance LASER'!E64+'TANF LASER'!D64+'ChildCare LASER'!I64</f>
        <v>44867238.679373935</v>
      </c>
      <c r="E65" s="2192">
        <f>'CSA LASER'!E64+'Medicaid &amp; FAMIS - LASER'!F64+'Energy Assistance LASER'!F64+'TANF LASER'!E64+'ChildCare LASER'!J64</f>
        <v>33866357.042106338</v>
      </c>
      <c r="F65" s="2192">
        <f>'CSA LASER'!F64+'Medicaid &amp; FAMIS - LASER'!G64+'Energy Assistance LASER'!G64+'TANF LASER'!F64</f>
        <v>181768</v>
      </c>
      <c r="G65" s="2192">
        <f>'CSA LASER'!G64+'Energy Assistance LASER'!H64+'TANF LASER'!G64</f>
        <v>0</v>
      </c>
      <c r="H65" s="2192">
        <f t="shared" si="2"/>
        <v>78915363.72148028</v>
      </c>
      <c r="I65" s="2193">
        <f t="shared" si="1"/>
        <v>181768</v>
      </c>
    </row>
    <row r="66" spans="1:9" x14ac:dyDescent="0.25">
      <c r="A66" s="2175" t="s">
        <v>154</v>
      </c>
      <c r="B66" s="2176" t="s">
        <v>155</v>
      </c>
      <c r="C66" s="1373" t="s">
        <v>265</v>
      </c>
      <c r="D66" s="2191">
        <f>'CSA LASER'!D65+'Medicaid &amp; FAMIS - LASER'!E65+'SNAP LASER'!E65+'Energy Assistance LASER'!E65+'TANF LASER'!D65+'ChildCare LASER'!I65</f>
        <v>13070598.977989709</v>
      </c>
      <c r="E66" s="2192">
        <f>'CSA LASER'!E65+'Medicaid &amp; FAMIS - LASER'!F65+'Energy Assistance LASER'!F65+'TANF LASER'!E65+'ChildCare LASER'!J65</f>
        <v>10469325.760008449</v>
      </c>
      <c r="F66" s="2192">
        <f>'CSA LASER'!F65+'Medicaid &amp; FAMIS - LASER'!G65+'Energy Assistance LASER'!G65+'TANF LASER'!F65</f>
        <v>345754.93</v>
      </c>
      <c r="G66" s="2192">
        <f>'CSA LASER'!G65+'Energy Assistance LASER'!H65+'TANF LASER'!G65</f>
        <v>0</v>
      </c>
      <c r="H66" s="2192">
        <f t="shared" si="2"/>
        <v>23885679.667998157</v>
      </c>
      <c r="I66" s="2193">
        <f t="shared" si="1"/>
        <v>345754.93</v>
      </c>
    </row>
    <row r="67" spans="1:9" x14ac:dyDescent="0.25">
      <c r="A67" s="2175" t="s">
        <v>156</v>
      </c>
      <c r="B67" s="2176" t="s">
        <v>157</v>
      </c>
      <c r="C67" s="1373" t="s">
        <v>266</v>
      </c>
      <c r="D67" s="2191">
        <f>'CSA LASER'!D66+'Medicaid &amp; FAMIS - LASER'!E66+'SNAP LASER'!E66+'Energy Assistance LASER'!E66+'TANF LASER'!D66+'ChildCare LASER'!I66</f>
        <v>8615704.6314464211</v>
      </c>
      <c r="E67" s="2192">
        <f>'CSA LASER'!E66+'Medicaid &amp; FAMIS - LASER'!F66+'Energy Assistance LASER'!F66+'TANF LASER'!E66+'ChildCare LASER'!J66</f>
        <v>6949597.1210573623</v>
      </c>
      <c r="F67" s="2192">
        <f>'CSA LASER'!F66+'Medicaid &amp; FAMIS - LASER'!G66+'Energy Assistance LASER'!G66+'TANF LASER'!F66</f>
        <v>538318.27</v>
      </c>
      <c r="G67" s="2192">
        <f>'CSA LASER'!G66+'Energy Assistance LASER'!H66+'TANF LASER'!G66</f>
        <v>0</v>
      </c>
      <c r="H67" s="2192">
        <f t="shared" si="2"/>
        <v>16103620.022503782</v>
      </c>
      <c r="I67" s="2193">
        <f t="shared" si="1"/>
        <v>538318.27</v>
      </c>
    </row>
    <row r="68" spans="1:9" x14ac:dyDescent="0.25">
      <c r="A68" s="2175" t="s">
        <v>162</v>
      </c>
      <c r="B68" s="2176" t="s">
        <v>163</v>
      </c>
      <c r="C68" s="1373" t="s">
        <v>264</v>
      </c>
      <c r="D68" s="2191">
        <f>'CSA LASER'!D67+'Medicaid &amp; FAMIS - LASER'!E67+'SNAP LASER'!E67+'Energy Assistance LASER'!E67+'TANF LASER'!D67+'ChildCare LASER'!I67</f>
        <v>18746322.682105202</v>
      </c>
      <c r="E68" s="2192">
        <f>'CSA LASER'!E67+'Medicaid &amp; FAMIS - LASER'!F67+'Energy Assistance LASER'!F67+'TANF LASER'!E67+'ChildCare LASER'!J67</f>
        <v>14843584.857300328</v>
      </c>
      <c r="F68" s="2192">
        <f>'CSA LASER'!F67+'Medicaid &amp; FAMIS - LASER'!G67+'Energy Assistance LASER'!G67+'TANF LASER'!F67</f>
        <v>113071.59999999999</v>
      </c>
      <c r="G68" s="2192">
        <f>'CSA LASER'!G67+'Energy Assistance LASER'!H67+'TANF LASER'!G67</f>
        <v>0</v>
      </c>
      <c r="H68" s="2192">
        <f t="shared" si="2"/>
        <v>33702979.139405534</v>
      </c>
      <c r="I68" s="2193">
        <f t="shared" si="1"/>
        <v>113071.59999999999</v>
      </c>
    </row>
    <row r="69" spans="1:9" x14ac:dyDescent="0.25">
      <c r="A69" s="2175" t="s">
        <v>164</v>
      </c>
      <c r="B69" s="2176" t="s">
        <v>165</v>
      </c>
      <c r="C69" s="1373" t="s">
        <v>266</v>
      </c>
      <c r="D69" s="2191">
        <f>'CSA LASER'!D68+'Medicaid &amp; FAMIS - LASER'!E68+'SNAP LASER'!E68+'Energy Assistance LASER'!E68+'TANF LASER'!D68+'ChildCare LASER'!I68</f>
        <v>9150641.5959216151</v>
      </c>
      <c r="E69" s="2192">
        <f>'CSA LASER'!E68+'Medicaid &amp; FAMIS - LASER'!F68+'Energy Assistance LASER'!F68+'TANF LASER'!E68+'ChildCare LASER'!J68</f>
        <v>6675325.6809443608</v>
      </c>
      <c r="F69" s="2192">
        <f>'CSA LASER'!F68+'Medicaid &amp; FAMIS - LASER'!G68+'Energy Assistance LASER'!G68+'TANF LASER'!F68</f>
        <v>183332.02000000002</v>
      </c>
      <c r="G69" s="2192">
        <f>'CSA LASER'!G68+'Energy Assistance LASER'!H68+'TANF LASER'!G68</f>
        <v>0</v>
      </c>
      <c r="H69" s="2192">
        <f t="shared" si="2"/>
        <v>16009299.296865975</v>
      </c>
      <c r="I69" s="2193">
        <f t="shared" si="1"/>
        <v>183332.02000000002</v>
      </c>
    </row>
    <row r="70" spans="1:9" x14ac:dyDescent="0.25">
      <c r="A70" s="2175" t="s">
        <v>168</v>
      </c>
      <c r="B70" s="2176" t="s">
        <v>169</v>
      </c>
      <c r="C70" s="1373" t="s">
        <v>266</v>
      </c>
      <c r="D70" s="2191">
        <f>'CSA LASER'!D69+'Medicaid &amp; FAMIS - LASER'!E69+'SNAP LASER'!E69+'Energy Assistance LASER'!E69+'TANF LASER'!D69+'ChildCare LASER'!I69</f>
        <v>17371523.863729909</v>
      </c>
      <c r="E70" s="2192">
        <f>'CSA LASER'!E69+'Medicaid &amp; FAMIS - LASER'!F69+'Energy Assistance LASER'!F69+'TANF LASER'!E69+'ChildCare LASER'!J69</f>
        <v>12537318.179122396</v>
      </c>
      <c r="F70" s="2192">
        <f>'CSA LASER'!F69+'Medicaid &amp; FAMIS - LASER'!G69+'Energy Assistance LASER'!G69+'TANF LASER'!F69</f>
        <v>218601.61000000002</v>
      </c>
      <c r="G70" s="2192">
        <f>'CSA LASER'!G69+'Energy Assistance LASER'!H69+'TANF LASER'!G69</f>
        <v>0</v>
      </c>
      <c r="H70" s="2192">
        <f t="shared" si="2"/>
        <v>30127443.652852304</v>
      </c>
      <c r="I70" s="2193">
        <f t="shared" ref="I70:I131" si="3">F70+G70</f>
        <v>218601.61000000002</v>
      </c>
    </row>
    <row r="71" spans="1:9" x14ac:dyDescent="0.25">
      <c r="A71" s="2175" t="s">
        <v>170</v>
      </c>
      <c r="B71" s="2176" t="s">
        <v>171</v>
      </c>
      <c r="C71" s="1373" t="s">
        <v>267</v>
      </c>
      <c r="D71" s="2191">
        <f>'CSA LASER'!D70+'Medicaid &amp; FAMIS - LASER'!E70+'SNAP LASER'!E70+'Energy Assistance LASER'!E70+'TANF LASER'!D70+'ChildCare LASER'!I70</f>
        <v>23020013.905074105</v>
      </c>
      <c r="E71" s="2192">
        <f>'CSA LASER'!E70+'Medicaid &amp; FAMIS - LASER'!F70+'Energy Assistance LASER'!F70+'TANF LASER'!E70+'ChildCare LASER'!J70</f>
        <v>19478493.241848316</v>
      </c>
      <c r="F71" s="2192">
        <f>'CSA LASER'!F70+'Medicaid &amp; FAMIS - LASER'!G70+'Energy Assistance LASER'!G70+'TANF LASER'!F70</f>
        <v>1343144.3199999998</v>
      </c>
      <c r="G71" s="2192">
        <f>'CSA LASER'!G70+'Energy Assistance LASER'!H70+'TANF LASER'!G70</f>
        <v>0</v>
      </c>
      <c r="H71" s="2192">
        <f t="shared" ref="H71:H125" si="4">SUM(D71:G71)</f>
        <v>43841651.466922425</v>
      </c>
      <c r="I71" s="2193">
        <f t="shared" si="3"/>
        <v>1343144.3199999998</v>
      </c>
    </row>
    <row r="72" spans="1:9" x14ac:dyDescent="0.25">
      <c r="A72" s="2175" t="s">
        <v>172</v>
      </c>
      <c r="B72" s="2176" t="s">
        <v>173</v>
      </c>
      <c r="C72" s="1373" t="s">
        <v>267</v>
      </c>
      <c r="D72" s="2191">
        <f>'CSA LASER'!D71+'Medicaid &amp; FAMIS - LASER'!E71+'SNAP LASER'!E71+'Energy Assistance LASER'!E71+'TANF LASER'!D71+'ChildCare LASER'!I71</f>
        <v>19192750.557678305</v>
      </c>
      <c r="E72" s="2192">
        <f>'CSA LASER'!E71+'Medicaid &amp; FAMIS - LASER'!F71+'Energy Assistance LASER'!F71+'TANF LASER'!E71+'ChildCare LASER'!J71</f>
        <v>14794126.322685272</v>
      </c>
      <c r="F72" s="2192">
        <f>'CSA LASER'!F71+'Medicaid &amp; FAMIS - LASER'!G71+'Energy Assistance LASER'!G71+'TANF LASER'!F71</f>
        <v>555621.62</v>
      </c>
      <c r="G72" s="2192">
        <f>'CSA LASER'!G71+'Energy Assistance LASER'!H71+'TANF LASER'!G71</f>
        <v>0</v>
      </c>
      <c r="H72" s="2192">
        <f t="shared" si="4"/>
        <v>34542498.500363573</v>
      </c>
      <c r="I72" s="2193">
        <f t="shared" si="3"/>
        <v>555621.62</v>
      </c>
    </row>
    <row r="73" spans="1:9" x14ac:dyDescent="0.25">
      <c r="A73" s="2175" t="s">
        <v>174</v>
      </c>
      <c r="B73" s="2176" t="s">
        <v>175</v>
      </c>
      <c r="C73" s="1373" t="s">
        <v>268</v>
      </c>
      <c r="D73" s="2191">
        <f>'CSA LASER'!D72+'Medicaid &amp; FAMIS - LASER'!E72+'SNAP LASER'!E72+'Energy Assistance LASER'!E72+'TANF LASER'!D72+'ChildCare LASER'!I72</f>
        <v>19429039.968214065</v>
      </c>
      <c r="E73" s="2192">
        <f>'CSA LASER'!E72+'Medicaid &amp; FAMIS - LASER'!F72+'Energy Assistance LASER'!F72+'TANF LASER'!E72+'ChildCare LASER'!J72</f>
        <v>14981998.045466473</v>
      </c>
      <c r="F73" s="2192">
        <f>'CSA LASER'!F72+'Medicaid &amp; FAMIS - LASER'!G72+'Energy Assistance LASER'!G72+'TANF LASER'!F72</f>
        <v>176391.16</v>
      </c>
      <c r="G73" s="2192">
        <f>'CSA LASER'!G72+'Energy Assistance LASER'!H72+'TANF LASER'!G72</f>
        <v>0</v>
      </c>
      <c r="H73" s="2192">
        <f t="shared" si="4"/>
        <v>34587429.173680536</v>
      </c>
      <c r="I73" s="2193">
        <f t="shared" si="3"/>
        <v>176391.16</v>
      </c>
    </row>
    <row r="74" spans="1:9" x14ac:dyDescent="0.25">
      <c r="A74" s="2175" t="s">
        <v>178</v>
      </c>
      <c r="B74" s="2176" t="s">
        <v>179</v>
      </c>
      <c r="C74" s="1373" t="s">
        <v>265</v>
      </c>
      <c r="D74" s="2191">
        <f>'CSA LASER'!D73+'Medicaid &amp; FAMIS - LASER'!E73+'SNAP LASER'!E73+'Energy Assistance LASER'!E73+'TANF LASER'!D73+'ChildCare LASER'!I73</f>
        <v>62314346.577198073</v>
      </c>
      <c r="E74" s="2192">
        <f>'CSA LASER'!E73+'Medicaid &amp; FAMIS - LASER'!F73+'Energy Assistance LASER'!F73+'TANF LASER'!E73+'ChildCare LASER'!J73</f>
        <v>53095535.207816802</v>
      </c>
      <c r="F74" s="2192">
        <f>'CSA LASER'!F73+'Medicaid &amp; FAMIS - LASER'!G73+'Energy Assistance LASER'!G73+'TANF LASER'!F73</f>
        <v>1543068.9</v>
      </c>
      <c r="G74" s="2192">
        <f>'CSA LASER'!G73+'Energy Assistance LASER'!H73+'TANF LASER'!G73</f>
        <v>0</v>
      </c>
      <c r="H74" s="2192">
        <f t="shared" si="4"/>
        <v>116952950.68501487</v>
      </c>
      <c r="I74" s="2193">
        <f t="shared" si="3"/>
        <v>1543068.9</v>
      </c>
    </row>
    <row r="75" spans="1:9" x14ac:dyDescent="0.25">
      <c r="A75" s="2175" t="s">
        <v>182</v>
      </c>
      <c r="B75" s="2176" t="s">
        <v>183</v>
      </c>
      <c r="C75" s="1373" t="s">
        <v>266</v>
      </c>
      <c r="D75" s="2191">
        <f>'CSA LASER'!D74+'Medicaid &amp; FAMIS - LASER'!E74+'SNAP LASER'!E74+'Energy Assistance LASER'!E74+'TANF LASER'!D74+'ChildCare LASER'!I74</f>
        <v>9596118.9248235691</v>
      </c>
      <c r="E75" s="2192">
        <f>'CSA LASER'!E74+'Medicaid &amp; FAMIS - LASER'!F74+'Energy Assistance LASER'!F74+'TANF LASER'!E74+'ChildCare LASER'!J74</f>
        <v>8282593.9189286055</v>
      </c>
      <c r="F75" s="2192">
        <f>'CSA LASER'!F74+'Medicaid &amp; FAMIS - LASER'!G74+'Energy Assistance LASER'!G74+'TANF LASER'!F74</f>
        <v>764560.78</v>
      </c>
      <c r="G75" s="2192">
        <f>'CSA LASER'!G74+'Energy Assistance LASER'!H74+'TANF LASER'!G74</f>
        <v>0</v>
      </c>
      <c r="H75" s="2192">
        <f t="shared" si="4"/>
        <v>18643273.623752177</v>
      </c>
      <c r="I75" s="2193">
        <f t="shared" si="3"/>
        <v>764560.78</v>
      </c>
    </row>
    <row r="76" spans="1:9" x14ac:dyDescent="0.25">
      <c r="A76" s="2175" t="s">
        <v>184</v>
      </c>
      <c r="B76" s="2176" t="s">
        <v>185</v>
      </c>
      <c r="C76" s="1373" t="s">
        <v>266</v>
      </c>
      <c r="D76" s="2191">
        <f>'CSA LASER'!D75+'Medicaid &amp; FAMIS - LASER'!E75+'SNAP LASER'!E75+'Energy Assistance LASER'!E75+'TANF LASER'!D75+'ChildCare LASER'!I75</f>
        <v>22377835.175890345</v>
      </c>
      <c r="E76" s="2192">
        <f>'CSA LASER'!E75+'Medicaid &amp; FAMIS - LASER'!F75+'Energy Assistance LASER'!F75+'TANF LASER'!E75+'ChildCare LASER'!J75</f>
        <v>17756260.69039169</v>
      </c>
      <c r="F76" s="2192">
        <f>'CSA LASER'!F75+'Medicaid &amp; FAMIS - LASER'!G75+'Energy Assistance LASER'!G75+'TANF LASER'!F75</f>
        <v>301224.90000000002</v>
      </c>
      <c r="G76" s="2192">
        <f>'CSA LASER'!G75+'Energy Assistance LASER'!H75+'TANF LASER'!G75</f>
        <v>0</v>
      </c>
      <c r="H76" s="2192">
        <f t="shared" si="4"/>
        <v>40435320.766282029</v>
      </c>
      <c r="I76" s="2193">
        <f t="shared" si="3"/>
        <v>301224.90000000002</v>
      </c>
    </row>
    <row r="77" spans="1:9" x14ac:dyDescent="0.25">
      <c r="A77" s="2175" t="s">
        <v>186</v>
      </c>
      <c r="B77" s="2176" t="s">
        <v>187</v>
      </c>
      <c r="C77" s="1373" t="s">
        <v>264</v>
      </c>
      <c r="D77" s="2191">
        <f>'CSA LASER'!D76+'Medicaid &amp; FAMIS - LASER'!E76+'SNAP LASER'!E76+'Energy Assistance LASER'!E76+'TANF LASER'!D76+'ChildCare LASER'!I76</f>
        <v>18557903.795341011</v>
      </c>
      <c r="E77" s="2192">
        <f>'CSA LASER'!E76+'Medicaid &amp; FAMIS - LASER'!F76+'Energy Assistance LASER'!F76+'TANF LASER'!E76+'ChildCare LASER'!J76</f>
        <v>13918042.097434536</v>
      </c>
      <c r="F77" s="2192">
        <f>'CSA LASER'!F76+'Medicaid &amp; FAMIS - LASER'!G76+'Energy Assistance LASER'!G76+'TANF LASER'!F76</f>
        <v>467788.58999999997</v>
      </c>
      <c r="G77" s="2192">
        <f>'CSA LASER'!G76+'Energy Assistance LASER'!H76+'TANF LASER'!G76</f>
        <v>0</v>
      </c>
      <c r="H77" s="2192">
        <f t="shared" si="4"/>
        <v>32943734.482775547</v>
      </c>
      <c r="I77" s="2193">
        <f t="shared" si="3"/>
        <v>467788.58999999997</v>
      </c>
    </row>
    <row r="78" spans="1:9" x14ac:dyDescent="0.25">
      <c r="A78" s="2175" t="s">
        <v>188</v>
      </c>
      <c r="B78" s="2176" t="s">
        <v>189</v>
      </c>
      <c r="C78" s="1373" t="s">
        <v>267</v>
      </c>
      <c r="D78" s="2191">
        <f>'CSA LASER'!D77+'Medicaid &amp; FAMIS - LASER'!E77+'SNAP LASER'!E77+'Energy Assistance LASER'!E77+'TANF LASER'!D77+'ChildCare LASER'!I77</f>
        <v>215590494.65018713</v>
      </c>
      <c r="E78" s="2192">
        <f>'CSA LASER'!E77+'Medicaid &amp; FAMIS - LASER'!F77+'Energy Assistance LASER'!F77+'TANF LASER'!E77+'ChildCare LASER'!J77</f>
        <v>166034255.46880358</v>
      </c>
      <c r="F78" s="2192">
        <f>'CSA LASER'!F77+'Medicaid &amp; FAMIS - LASER'!G77+'Energy Assistance LASER'!G77+'TANF LASER'!F77</f>
        <v>4392289.54</v>
      </c>
      <c r="G78" s="2192">
        <f>'CSA LASER'!G77+'Energy Assistance LASER'!H77+'TANF LASER'!G77</f>
        <v>0</v>
      </c>
      <c r="H78" s="2192">
        <f t="shared" si="4"/>
        <v>386017039.65899074</v>
      </c>
      <c r="I78" s="2193">
        <f t="shared" si="3"/>
        <v>4392289.54</v>
      </c>
    </row>
    <row r="79" spans="1:9" x14ac:dyDescent="0.25">
      <c r="A79" s="2175" t="s">
        <v>190</v>
      </c>
      <c r="B79" s="2176" t="s">
        <v>191</v>
      </c>
      <c r="C79" s="1373" t="s">
        <v>268</v>
      </c>
      <c r="D79" s="2191">
        <f>'CSA LASER'!D78+'Medicaid &amp; FAMIS - LASER'!E78+'SNAP LASER'!E78+'Energy Assistance LASER'!E78+'TANF LASER'!D78+'ChildCare LASER'!I78</f>
        <v>35049451.582916729</v>
      </c>
      <c r="E79" s="2192">
        <f>'CSA LASER'!E78+'Medicaid &amp; FAMIS - LASER'!F78+'Energy Assistance LASER'!F78+'TANF LASER'!E78+'ChildCare LASER'!J78</f>
        <v>28087684.256059259</v>
      </c>
      <c r="F79" s="2192">
        <f>'CSA LASER'!F78+'Medicaid &amp; FAMIS - LASER'!G78+'Energy Assistance LASER'!G78+'TANF LASER'!F78</f>
        <v>1123583.8400000001</v>
      </c>
      <c r="G79" s="2192">
        <f>'CSA LASER'!G78+'Energy Assistance LASER'!H78+'TANF LASER'!G78</f>
        <v>0</v>
      </c>
      <c r="H79" s="2192">
        <f t="shared" si="4"/>
        <v>64260719.678975992</v>
      </c>
      <c r="I79" s="2193">
        <f t="shared" si="3"/>
        <v>1123583.8400000001</v>
      </c>
    </row>
    <row r="80" spans="1:9" x14ac:dyDescent="0.25">
      <c r="A80" s="2175" t="s">
        <v>194</v>
      </c>
      <c r="B80" s="2176" t="s">
        <v>195</v>
      </c>
      <c r="C80" s="1373" t="s">
        <v>267</v>
      </c>
      <c r="D80" s="2191">
        <f>'CSA LASER'!D79+'Medicaid &amp; FAMIS - LASER'!E79+'SNAP LASER'!E79+'Energy Assistance LASER'!E79+'TANF LASER'!D79+'ChildCare LASER'!I79</f>
        <v>3226403.1381301163</v>
      </c>
      <c r="E80" s="2192">
        <f>'CSA LASER'!E79+'Medicaid &amp; FAMIS - LASER'!F79+'Energy Assistance LASER'!F79+'TANF LASER'!E79+'ChildCare LASER'!J79</f>
        <v>3020801.9953164952</v>
      </c>
      <c r="F80" s="2192">
        <f>'CSA LASER'!F79+'Medicaid &amp; FAMIS - LASER'!G79+'Energy Assistance LASER'!G79+'TANF LASER'!F79</f>
        <v>497368.32999999996</v>
      </c>
      <c r="G80" s="2192">
        <f>'CSA LASER'!G79+'Energy Assistance LASER'!H79+'TANF LASER'!G79</f>
        <v>0</v>
      </c>
      <c r="H80" s="2192">
        <f t="shared" si="4"/>
        <v>6744573.4634466115</v>
      </c>
      <c r="I80" s="2193">
        <f t="shared" si="3"/>
        <v>497368.32999999996</v>
      </c>
    </row>
    <row r="81" spans="1:9" x14ac:dyDescent="0.25">
      <c r="A81" s="2175" t="s">
        <v>198</v>
      </c>
      <c r="B81" s="2176" t="s">
        <v>199</v>
      </c>
      <c r="C81" s="1373" t="s">
        <v>266</v>
      </c>
      <c r="D81" s="2191">
        <f>'CSA LASER'!D80+'Medicaid &amp; FAMIS - LASER'!E80+'SNAP LASER'!E80+'Energy Assistance LASER'!E80+'TANF LASER'!D80+'ChildCare LASER'!I80</f>
        <v>8249309.1000759574</v>
      </c>
      <c r="E81" s="2192">
        <f>'CSA LASER'!E80+'Medicaid &amp; FAMIS - LASER'!F80+'Energy Assistance LASER'!F80+'TANF LASER'!E80+'ChildCare LASER'!J80</f>
        <v>6027209.8576955637</v>
      </c>
      <c r="F81" s="2192">
        <f>'CSA LASER'!F80+'Medicaid &amp; FAMIS - LASER'!G80+'Energy Assistance LASER'!G80+'TANF LASER'!F80</f>
        <v>130176.09999999999</v>
      </c>
      <c r="G81" s="2192">
        <f>'CSA LASER'!G80+'Energy Assistance LASER'!H80+'TANF LASER'!G80</f>
        <v>0</v>
      </c>
      <c r="H81" s="2192">
        <f t="shared" si="4"/>
        <v>14406695.057771521</v>
      </c>
      <c r="I81" s="2193">
        <f t="shared" si="3"/>
        <v>130176.09999999999</v>
      </c>
    </row>
    <row r="82" spans="1:9" x14ac:dyDescent="0.25">
      <c r="A82" s="2175" t="s">
        <v>202</v>
      </c>
      <c r="B82" s="2176" t="s">
        <v>611</v>
      </c>
      <c r="C82" s="1373" t="s">
        <v>265</v>
      </c>
      <c r="D82" s="2191">
        <f>'CSA LASER'!D81+'Medicaid &amp; FAMIS - LASER'!E81+'SNAP LASER'!E81+'Energy Assistance LASER'!E81+'TANF LASER'!D81+'ChildCare LASER'!I81</f>
        <v>63676759.625820965</v>
      </c>
      <c r="E82" s="2192">
        <f>'CSA LASER'!E81+'Medicaid &amp; FAMIS - LASER'!F81+'Energy Assistance LASER'!F81+'TANF LASER'!E81+'ChildCare LASER'!J81</f>
        <v>55205091.59392444</v>
      </c>
      <c r="F82" s="2192">
        <f>'CSA LASER'!F81+'Medicaid &amp; FAMIS - LASER'!G81+'Energy Assistance LASER'!G81+'TANF LASER'!F81</f>
        <v>3899878.8400000003</v>
      </c>
      <c r="G82" s="2192">
        <f>'CSA LASER'!G81+'Energy Assistance LASER'!H81+'TANF LASER'!G81</f>
        <v>0</v>
      </c>
      <c r="H82" s="2192">
        <f t="shared" si="4"/>
        <v>122781730.0597454</v>
      </c>
      <c r="I82" s="2193">
        <f t="shared" si="3"/>
        <v>3899878.8400000003</v>
      </c>
    </row>
    <row r="83" spans="1:9" x14ac:dyDescent="0.25">
      <c r="A83" s="2175" t="s">
        <v>204</v>
      </c>
      <c r="B83" s="2176" t="s">
        <v>293</v>
      </c>
      <c r="C83" s="1373" t="s">
        <v>265</v>
      </c>
      <c r="D83" s="2191">
        <f>'CSA LASER'!D82+'Medicaid &amp; FAMIS - LASER'!E82+'SNAP LASER'!E82+'Energy Assistance LASER'!E82+'TANF LASER'!D82+'ChildCare LASER'!I82</f>
        <v>26028574.008126505</v>
      </c>
      <c r="E83" s="2192">
        <f>'CSA LASER'!E82+'Medicaid &amp; FAMIS - LASER'!F82+'Energy Assistance LASER'!F82+'TANF LASER'!E82+'ChildCare LASER'!J82</f>
        <v>23210838.283091545</v>
      </c>
      <c r="F83" s="2192">
        <f>'CSA LASER'!F82+'Medicaid &amp; FAMIS - LASER'!G82+'Energy Assistance LASER'!G82+'TANF LASER'!F82</f>
        <v>1232144.98</v>
      </c>
      <c r="G83" s="2192">
        <f>'CSA LASER'!G82+'Energy Assistance LASER'!H82+'TANF LASER'!G82</f>
        <v>0</v>
      </c>
      <c r="H83" s="2192">
        <f t="shared" si="4"/>
        <v>50471557.271218047</v>
      </c>
      <c r="I83" s="2193">
        <f t="shared" si="3"/>
        <v>1232144.98</v>
      </c>
    </row>
    <row r="84" spans="1:9" x14ac:dyDescent="0.25">
      <c r="A84" s="2175" t="s">
        <v>206</v>
      </c>
      <c r="B84" s="2176" t="s">
        <v>294</v>
      </c>
      <c r="C84" s="1373" t="s">
        <v>267</v>
      </c>
      <c r="D84" s="2191">
        <f>'CSA LASER'!D83+'Medicaid &amp; FAMIS - LASER'!E83+'SNAP LASER'!E83+'Energy Assistance LASER'!E83+'TANF LASER'!D83+'ChildCare LASER'!I83</f>
        <v>70816052.969440445</v>
      </c>
      <c r="E84" s="2192">
        <f>'CSA LASER'!E83+'Medicaid &amp; FAMIS - LASER'!F83+'Energy Assistance LASER'!F83+'TANF LASER'!E83+'ChildCare LASER'!J83</f>
        <v>58080217.771527916</v>
      </c>
      <c r="F84" s="2192">
        <f>'CSA LASER'!F83+'Medicaid &amp; FAMIS - LASER'!G83+'Energy Assistance LASER'!G83+'TANF LASER'!F83</f>
        <v>4132765.23</v>
      </c>
      <c r="G84" s="2192">
        <f>'CSA LASER'!G83+'Energy Assistance LASER'!H83+'TANF LASER'!G83</f>
        <v>0</v>
      </c>
      <c r="H84" s="2192">
        <f t="shared" si="4"/>
        <v>133029035.97096837</v>
      </c>
      <c r="I84" s="2193">
        <f t="shared" si="3"/>
        <v>4132765.23</v>
      </c>
    </row>
    <row r="85" spans="1:9" x14ac:dyDescent="0.25">
      <c r="A85" s="2175" t="s">
        <v>208</v>
      </c>
      <c r="B85" s="2176" t="s">
        <v>209</v>
      </c>
      <c r="C85" s="1373" t="s">
        <v>268</v>
      </c>
      <c r="D85" s="2191">
        <f>'CSA LASER'!D84+'Medicaid &amp; FAMIS - LASER'!E84+'SNAP LASER'!E84+'Energy Assistance LASER'!E84+'TANF LASER'!D84+'ChildCare LASER'!I84</f>
        <v>31334543.548280779</v>
      </c>
      <c r="E85" s="2192">
        <f>'CSA LASER'!E84+'Medicaid &amp; FAMIS - LASER'!F84+'Energy Assistance LASER'!F84+'TANF LASER'!E84+'ChildCare LASER'!J84</f>
        <v>23417158.023221146</v>
      </c>
      <c r="F85" s="2192">
        <f>'CSA LASER'!F84+'Medicaid &amp; FAMIS - LASER'!G84+'Energy Assistance LASER'!G84+'TANF LASER'!F84</f>
        <v>482476.69</v>
      </c>
      <c r="G85" s="2192">
        <f>'CSA LASER'!G84+'Energy Assistance LASER'!H84+'TANF LASER'!G84</f>
        <v>0</v>
      </c>
      <c r="H85" s="2192">
        <f t="shared" si="4"/>
        <v>55234178.261501923</v>
      </c>
      <c r="I85" s="2193">
        <f t="shared" si="3"/>
        <v>482476.69</v>
      </c>
    </row>
    <row r="86" spans="1:9" x14ac:dyDescent="0.25">
      <c r="A86" s="2175" t="s">
        <v>210</v>
      </c>
      <c r="B86" s="2176" t="s">
        <v>211</v>
      </c>
      <c r="C86" s="1373" t="s">
        <v>268</v>
      </c>
      <c r="D86" s="2191">
        <f>'CSA LASER'!D85+'Medicaid &amp; FAMIS - LASER'!E85+'SNAP LASER'!E85+'Energy Assistance LASER'!E85+'TANF LASER'!D85+'ChildCare LASER'!I85</f>
        <v>23597795.328660019</v>
      </c>
      <c r="E86" s="2192">
        <f>'CSA LASER'!E85+'Medicaid &amp; FAMIS - LASER'!F85+'Energy Assistance LASER'!F85+'TANF LASER'!E85+'ChildCare LASER'!J85</f>
        <v>18343962.763599619</v>
      </c>
      <c r="F86" s="2192">
        <f>'CSA LASER'!F85+'Medicaid &amp; FAMIS - LASER'!G85+'Energy Assistance LASER'!G85+'TANF LASER'!F85</f>
        <v>346265.22</v>
      </c>
      <c r="G86" s="2192">
        <f>'CSA LASER'!G85+'Energy Assistance LASER'!H85+'TANF LASER'!G85</f>
        <v>0</v>
      </c>
      <c r="H86" s="2192">
        <f t="shared" si="4"/>
        <v>42288023.312259637</v>
      </c>
      <c r="I86" s="2193">
        <f t="shared" si="3"/>
        <v>346265.22</v>
      </c>
    </row>
    <row r="87" spans="1:9" x14ac:dyDescent="0.25">
      <c r="A87" s="2175" t="s">
        <v>212</v>
      </c>
      <c r="B87" s="2176" t="s">
        <v>213</v>
      </c>
      <c r="C87" s="1373" t="s">
        <v>267</v>
      </c>
      <c r="D87" s="2191">
        <f>'CSA LASER'!D86+'Medicaid &amp; FAMIS - LASER'!E86+'SNAP LASER'!E86+'Energy Assistance LASER'!E86+'TANF LASER'!D86+'ChildCare LASER'!I86</f>
        <v>32631313.315000176</v>
      </c>
      <c r="E87" s="2192">
        <f>'CSA LASER'!E86+'Medicaid &amp; FAMIS - LASER'!F86+'Energy Assistance LASER'!F86+'TANF LASER'!E86+'ChildCare LASER'!J86</f>
        <v>26410508.54124967</v>
      </c>
      <c r="F87" s="2192">
        <f>'CSA LASER'!F86+'Medicaid &amp; FAMIS - LASER'!G86+'Energy Assistance LASER'!G86+'TANF LASER'!F86</f>
        <v>1155266.07</v>
      </c>
      <c r="G87" s="2192">
        <f>'CSA LASER'!G86+'Energy Assistance LASER'!H86+'TANF LASER'!G86</f>
        <v>0</v>
      </c>
      <c r="H87" s="2192">
        <f t="shared" si="4"/>
        <v>60197087.926249847</v>
      </c>
      <c r="I87" s="2193">
        <f t="shared" si="3"/>
        <v>1155266.07</v>
      </c>
    </row>
    <row r="88" spans="1:9" x14ac:dyDescent="0.25">
      <c r="A88" s="2175" t="s">
        <v>214</v>
      </c>
      <c r="B88" s="2176" t="s">
        <v>215</v>
      </c>
      <c r="C88" s="1373" t="s">
        <v>268</v>
      </c>
      <c r="D88" s="2191">
        <f>'CSA LASER'!D87+'Medicaid &amp; FAMIS - LASER'!E87+'SNAP LASER'!E87+'Energy Assistance LASER'!E87+'TANF LASER'!D87+'ChildCare LASER'!I87</f>
        <v>36385708.642150261</v>
      </c>
      <c r="E88" s="2192">
        <f>'CSA LASER'!E87+'Medicaid &amp; FAMIS - LASER'!F87+'Energy Assistance LASER'!F87+'TANF LASER'!E87+'ChildCare LASER'!J87</f>
        <v>27156894.275200531</v>
      </c>
      <c r="F88" s="2192">
        <f>'CSA LASER'!F87+'Medicaid &amp; FAMIS - LASER'!G87+'Energy Assistance LASER'!G87+'TANF LASER'!F87</f>
        <v>280374.56</v>
      </c>
      <c r="G88" s="2192">
        <f>'CSA LASER'!G87+'Energy Assistance LASER'!H87+'TANF LASER'!G87</f>
        <v>0</v>
      </c>
      <c r="H88" s="2192">
        <f t="shared" si="4"/>
        <v>63822977.477350794</v>
      </c>
      <c r="I88" s="2193">
        <f t="shared" si="3"/>
        <v>280374.56</v>
      </c>
    </row>
    <row r="89" spans="1:9" x14ac:dyDescent="0.25">
      <c r="A89" s="2175" t="s">
        <v>216</v>
      </c>
      <c r="B89" s="2176" t="s">
        <v>217</v>
      </c>
      <c r="C89" s="1373" t="s">
        <v>264</v>
      </c>
      <c r="D89" s="2191">
        <f>'CSA LASER'!D88+'Medicaid &amp; FAMIS - LASER'!E88+'SNAP LASER'!E88+'Energy Assistance LASER'!E88+'TANF LASER'!D88+'ChildCare LASER'!I88</f>
        <v>17855686.48603043</v>
      </c>
      <c r="E89" s="2192">
        <f>'CSA LASER'!E88+'Medicaid &amp; FAMIS - LASER'!F88+'Energy Assistance LASER'!F88+'TANF LASER'!E88+'ChildCare LASER'!J88</f>
        <v>13405720.456476204</v>
      </c>
      <c r="F89" s="2192">
        <f>'CSA LASER'!F88+'Medicaid &amp; FAMIS - LASER'!G88+'Energy Assistance LASER'!G88+'TANF LASER'!F88</f>
        <v>125161.23000000001</v>
      </c>
      <c r="G89" s="2192">
        <f>'CSA LASER'!G88+'Energy Assistance LASER'!H88+'TANF LASER'!G88</f>
        <v>0</v>
      </c>
      <c r="H89" s="2192">
        <f t="shared" si="4"/>
        <v>31386568.172506634</v>
      </c>
      <c r="I89" s="2193">
        <f t="shared" si="3"/>
        <v>125161.23000000001</v>
      </c>
    </row>
    <row r="90" spans="1:9" x14ac:dyDescent="0.25">
      <c r="A90" s="2175" t="s">
        <v>218</v>
      </c>
      <c r="B90" s="2176" t="s">
        <v>219</v>
      </c>
      <c r="C90" s="1373" t="s">
        <v>267</v>
      </c>
      <c r="D90" s="2191">
        <f>'CSA LASER'!D89+'Medicaid &amp; FAMIS - LASER'!E89+'SNAP LASER'!E89+'Energy Assistance LASER'!E89+'TANF LASER'!D89+'ChildCare LASER'!I89</f>
        <v>77300858.792098656</v>
      </c>
      <c r="E90" s="2192">
        <f>'CSA LASER'!E89+'Medicaid &amp; FAMIS - LASER'!F89+'Energy Assistance LASER'!F89+'TANF LASER'!E89+'ChildCare LASER'!J89</f>
        <v>62405603.217921473</v>
      </c>
      <c r="F90" s="2192">
        <f>'CSA LASER'!F89+'Medicaid &amp; FAMIS - LASER'!G89+'Energy Assistance LASER'!G89+'TANF LASER'!F89</f>
        <v>4379664.49</v>
      </c>
      <c r="G90" s="2192">
        <f>'CSA LASER'!G89+'Energy Assistance LASER'!H89+'TANF LASER'!G89</f>
        <v>0</v>
      </c>
      <c r="H90" s="2192">
        <f t="shared" si="4"/>
        <v>144086126.50002015</v>
      </c>
      <c r="I90" s="2193">
        <f t="shared" si="3"/>
        <v>4379664.49</v>
      </c>
    </row>
    <row r="91" spans="1:9" x14ac:dyDescent="0.25">
      <c r="A91" s="2175" t="s">
        <v>220</v>
      </c>
      <c r="B91" s="2176" t="s">
        <v>221</v>
      </c>
      <c r="C91" s="1373" t="s">
        <v>267</v>
      </c>
      <c r="D91" s="2191">
        <f>'CSA LASER'!D90+'Medicaid &amp; FAMIS - LASER'!E90+'SNAP LASER'!E90+'Energy Assistance LASER'!E90+'TANF LASER'!D90+'ChildCare LASER'!I90</f>
        <v>63174741.10350012</v>
      </c>
      <c r="E91" s="2192">
        <f>'CSA LASER'!E90+'Medicaid &amp; FAMIS - LASER'!F90+'Energy Assistance LASER'!F90+'TANF LASER'!E90+'ChildCare LASER'!J90</f>
        <v>50366977.803278141</v>
      </c>
      <c r="F91" s="2192">
        <f>'CSA LASER'!F90+'Medicaid &amp; FAMIS - LASER'!G90+'Energy Assistance LASER'!G90+'TANF LASER'!F90</f>
        <v>2975046.7800000003</v>
      </c>
      <c r="G91" s="2192">
        <f>'CSA LASER'!G90+'Energy Assistance LASER'!H90+'TANF LASER'!G90</f>
        <v>0</v>
      </c>
      <c r="H91" s="2192">
        <f t="shared" si="4"/>
        <v>116516765.68677826</v>
      </c>
      <c r="I91" s="2193">
        <f t="shared" si="3"/>
        <v>2975046.7800000003</v>
      </c>
    </row>
    <row r="92" spans="1:9" x14ac:dyDescent="0.25">
      <c r="A92" s="2175" t="s">
        <v>224</v>
      </c>
      <c r="B92" s="2176" t="s">
        <v>225</v>
      </c>
      <c r="C92" s="1373" t="s">
        <v>264</v>
      </c>
      <c r="D92" s="2191">
        <f>'CSA LASER'!D91+'Medicaid &amp; FAMIS - LASER'!E91+'SNAP LASER'!E91+'Energy Assistance LASER'!E91+'TANF LASER'!D91+'ChildCare LASER'!I91</f>
        <v>6103005.7658379357</v>
      </c>
      <c r="E92" s="2192">
        <f>'CSA LASER'!E91+'Medicaid &amp; FAMIS - LASER'!F91+'Energy Assistance LASER'!F91+'TANF LASER'!E91+'ChildCare LASER'!J91</f>
        <v>4543955.5368195074</v>
      </c>
      <c r="F92" s="2192">
        <f>'CSA LASER'!F91+'Medicaid &amp; FAMIS - LASER'!G91+'Energy Assistance LASER'!G91+'TANF LASER'!F91</f>
        <v>18701.29</v>
      </c>
      <c r="G92" s="2192">
        <f>'CSA LASER'!G91+'Energy Assistance LASER'!H91+'TANF LASER'!G91</f>
        <v>0</v>
      </c>
      <c r="H92" s="2192">
        <f t="shared" si="4"/>
        <v>10665662.592657443</v>
      </c>
      <c r="I92" s="2193">
        <f t="shared" si="3"/>
        <v>18701.29</v>
      </c>
    </row>
    <row r="93" spans="1:9" x14ac:dyDescent="0.25">
      <c r="A93" s="2175" t="s">
        <v>226</v>
      </c>
      <c r="B93" s="2176" t="s">
        <v>227</v>
      </c>
      <c r="C93" s="1373" t="s">
        <v>264</v>
      </c>
      <c r="D93" s="2191">
        <f>'CSA LASER'!D92+'Medicaid &amp; FAMIS - LASER'!E92+'SNAP LASER'!E92+'Energy Assistance LASER'!E92+'TANF LASER'!D92+'ChildCare LASER'!I92</f>
        <v>12050588.19021434</v>
      </c>
      <c r="E93" s="2192">
        <f>'CSA LASER'!E92+'Medicaid &amp; FAMIS - LASER'!F92+'Energy Assistance LASER'!F92+'TANF LASER'!E92+'ChildCare LASER'!J92</f>
        <v>9514999.4843437392</v>
      </c>
      <c r="F93" s="2192">
        <f>'CSA LASER'!F92+'Medicaid &amp; FAMIS - LASER'!G92+'Energy Assistance LASER'!G92+'TANF LASER'!F92</f>
        <v>114725.24</v>
      </c>
      <c r="G93" s="2192">
        <f>'CSA LASER'!G92+'Energy Assistance LASER'!H92+'TANF LASER'!G92</f>
        <v>0</v>
      </c>
      <c r="H93" s="2192">
        <f t="shared" si="4"/>
        <v>21680312.914558079</v>
      </c>
      <c r="I93" s="2193">
        <f t="shared" si="3"/>
        <v>114725.24</v>
      </c>
    </row>
    <row r="94" spans="1:9" x14ac:dyDescent="0.25">
      <c r="A94" s="2175" t="s">
        <v>228</v>
      </c>
      <c r="B94" s="2176" t="s">
        <v>229</v>
      </c>
      <c r="C94" s="1373" t="s">
        <v>268</v>
      </c>
      <c r="D94" s="2191">
        <f>'CSA LASER'!D93+'Medicaid &amp; FAMIS - LASER'!E93+'SNAP LASER'!E93+'Energy Assistance LASER'!E93+'TANF LASER'!D93+'ChildCare LASER'!I93</f>
        <v>45638150.593360379</v>
      </c>
      <c r="E94" s="2192">
        <f>'CSA LASER'!E93+'Medicaid &amp; FAMIS - LASER'!F93+'Energy Assistance LASER'!F93+'TANF LASER'!E93+'ChildCare LASER'!J93</f>
        <v>32943344.381549586</v>
      </c>
      <c r="F94" s="2192">
        <f>'CSA LASER'!F93+'Medicaid &amp; FAMIS - LASER'!G93+'Energy Assistance LASER'!G93+'TANF LASER'!F93</f>
        <v>365629.93000000005</v>
      </c>
      <c r="G94" s="2192">
        <f>'CSA LASER'!G93+'Energy Assistance LASER'!H93+'TANF LASER'!G93</f>
        <v>0</v>
      </c>
      <c r="H94" s="2192">
        <f t="shared" si="4"/>
        <v>78947124.904909968</v>
      </c>
      <c r="I94" s="2193">
        <f t="shared" si="3"/>
        <v>365629.93000000005</v>
      </c>
    </row>
    <row r="95" spans="1:9" x14ac:dyDescent="0.25">
      <c r="A95" s="2175" t="s">
        <v>232</v>
      </c>
      <c r="B95" s="2176" t="s">
        <v>233</v>
      </c>
      <c r="C95" s="1373" t="s">
        <v>267</v>
      </c>
      <c r="D95" s="2191">
        <f>'CSA LASER'!D94+'Medicaid &amp; FAMIS - LASER'!E94+'SNAP LASER'!E94+'Energy Assistance LASER'!E94+'TANF LASER'!D94+'ChildCare LASER'!I94</f>
        <v>29065940.416141354</v>
      </c>
      <c r="E95" s="2192">
        <f>'CSA LASER'!E94+'Medicaid &amp; FAMIS - LASER'!F94+'Energy Assistance LASER'!F94+'TANF LASER'!E94+'ChildCare LASER'!J94</f>
        <v>22401661.780305531</v>
      </c>
      <c r="F95" s="2192">
        <f>'CSA LASER'!F94+'Medicaid &amp; FAMIS - LASER'!G94+'Energy Assistance LASER'!G94+'TANF LASER'!F94</f>
        <v>727698.04999999993</v>
      </c>
      <c r="G95" s="2192">
        <f>'CSA LASER'!G94+'Energy Assistance LASER'!H94+'TANF LASER'!G94</f>
        <v>0</v>
      </c>
      <c r="H95" s="2192">
        <f t="shared" si="4"/>
        <v>52195300.246446878</v>
      </c>
      <c r="I95" s="2193">
        <f t="shared" si="3"/>
        <v>727698.04999999993</v>
      </c>
    </row>
    <row r="96" spans="1:9" x14ac:dyDescent="0.25">
      <c r="A96" s="2175" t="s">
        <v>234</v>
      </c>
      <c r="B96" s="2176" t="s">
        <v>235</v>
      </c>
      <c r="C96" s="1373" t="s">
        <v>268</v>
      </c>
      <c r="D96" s="2191">
        <f>'CSA LASER'!D95+'Medicaid &amp; FAMIS - LASER'!E95+'SNAP LASER'!E95+'Energy Assistance LASER'!E95+'TANF LASER'!D95+'ChildCare LASER'!I95</f>
        <v>43617959.90285442</v>
      </c>
      <c r="E96" s="2192">
        <f>'CSA LASER'!E95+'Medicaid &amp; FAMIS - LASER'!F95+'Energy Assistance LASER'!F95+'TANF LASER'!E95+'ChildCare LASER'!J95</f>
        <v>32673857.864247326</v>
      </c>
      <c r="F96" s="2192">
        <f>'CSA LASER'!F95+'Medicaid &amp; FAMIS - LASER'!G95+'Energy Assistance LASER'!G95+'TANF LASER'!F95</f>
        <v>617806.88</v>
      </c>
      <c r="G96" s="2192">
        <f>'CSA LASER'!G95+'Energy Assistance LASER'!H95+'TANF LASER'!G95</f>
        <v>0</v>
      </c>
      <c r="H96" s="2192">
        <f t="shared" si="4"/>
        <v>76909624.647101745</v>
      </c>
      <c r="I96" s="2193">
        <f t="shared" si="3"/>
        <v>617806.88</v>
      </c>
    </row>
    <row r="97" spans="1:9" x14ac:dyDescent="0.25">
      <c r="A97" s="2175" t="s">
        <v>236</v>
      </c>
      <c r="B97" s="2176" t="s">
        <v>237</v>
      </c>
      <c r="C97" s="1373" t="s">
        <v>266</v>
      </c>
      <c r="D97" s="2191">
        <f>'CSA LASER'!D96+'Medicaid &amp; FAMIS - LASER'!E96+'SNAP LASER'!E96+'Energy Assistance LASER'!E96+'TANF LASER'!D96+'ChildCare LASER'!I96</f>
        <v>16869150.931488361</v>
      </c>
      <c r="E97" s="2192">
        <f>'CSA LASER'!E96+'Medicaid &amp; FAMIS - LASER'!F96+'Energy Assistance LASER'!F96+'TANF LASER'!E96+'ChildCare LASER'!J96</f>
        <v>12537498.809147947</v>
      </c>
      <c r="F97" s="2192">
        <f>'CSA LASER'!F96+'Medicaid &amp; FAMIS - LASER'!G96+'Energy Assistance LASER'!G96+'TANF LASER'!F96</f>
        <v>491998.46</v>
      </c>
      <c r="G97" s="2192">
        <f>'CSA LASER'!G96+'Energy Assistance LASER'!H96+'TANF LASER'!G96</f>
        <v>0</v>
      </c>
      <c r="H97" s="2192">
        <f t="shared" si="4"/>
        <v>29898648.200636309</v>
      </c>
      <c r="I97" s="2193">
        <f t="shared" si="3"/>
        <v>491998.46</v>
      </c>
    </row>
    <row r="98" spans="1:9" x14ac:dyDescent="0.25">
      <c r="A98" s="2175" t="s">
        <v>242</v>
      </c>
      <c r="B98" s="2176" t="s">
        <v>243</v>
      </c>
      <c r="C98" s="1373" t="s">
        <v>268</v>
      </c>
      <c r="D98" s="2191">
        <f>'CSA LASER'!D97+'Medicaid &amp; FAMIS - LASER'!E97+'SNAP LASER'!E97+'Energy Assistance LASER'!E97+'TANF LASER'!D97+'ChildCare LASER'!I97</f>
        <v>49198397.737845264</v>
      </c>
      <c r="E98" s="2192">
        <f>'CSA LASER'!E97+'Medicaid &amp; FAMIS - LASER'!F97+'Energy Assistance LASER'!F97+'TANF LASER'!E97+'ChildCare LASER'!J97</f>
        <v>36665837.048275359</v>
      </c>
      <c r="F98" s="2192">
        <f>'CSA LASER'!F97+'Medicaid &amp; FAMIS - LASER'!G97+'Energy Assistance LASER'!G97+'TANF LASER'!F97</f>
        <v>462056.42</v>
      </c>
      <c r="G98" s="2192">
        <f>'CSA LASER'!G97+'Energy Assistance LASER'!H97+'TANF LASER'!G97</f>
        <v>0</v>
      </c>
      <c r="H98" s="2192">
        <f t="shared" si="4"/>
        <v>86326291.206120625</v>
      </c>
      <c r="I98" s="2193">
        <f t="shared" si="3"/>
        <v>462056.42</v>
      </c>
    </row>
    <row r="99" spans="1:9" x14ac:dyDescent="0.25">
      <c r="A99" s="2175" t="s">
        <v>244</v>
      </c>
      <c r="B99" s="2176" t="s">
        <v>245</v>
      </c>
      <c r="C99" s="1373" t="s">
        <v>268</v>
      </c>
      <c r="D99" s="2191">
        <f>'CSA LASER'!D98+'Medicaid &amp; FAMIS - LASER'!E98+'SNAP LASER'!E98+'Energy Assistance LASER'!E98+'TANF LASER'!D98+'ChildCare LASER'!I98</f>
        <v>26272494.101702582</v>
      </c>
      <c r="E99" s="2192">
        <f>'CSA LASER'!E98+'Medicaid &amp; FAMIS - LASER'!F98+'Energy Assistance LASER'!F98+'TANF LASER'!E98+'ChildCare LASER'!J98</f>
        <v>21107723.000878822</v>
      </c>
      <c r="F99" s="2192">
        <f>'CSA LASER'!F98+'Medicaid &amp; FAMIS - LASER'!G98+'Energy Assistance LASER'!G98+'TANF LASER'!F98</f>
        <v>596369.55000000005</v>
      </c>
      <c r="G99" s="2192">
        <f>'CSA LASER'!G98+'Energy Assistance LASER'!H98+'TANF LASER'!G98</f>
        <v>0</v>
      </c>
      <c r="H99" s="2192">
        <f t="shared" si="4"/>
        <v>47976586.652581401</v>
      </c>
      <c r="I99" s="2193">
        <f t="shared" si="3"/>
        <v>596369.55000000005</v>
      </c>
    </row>
    <row r="100" spans="1:9" x14ac:dyDescent="0.25">
      <c r="A100" s="2175" t="s">
        <v>246</v>
      </c>
      <c r="B100" s="2176" t="s">
        <v>247</v>
      </c>
      <c r="C100" s="1373" t="s">
        <v>264</v>
      </c>
      <c r="D100" s="2191">
        <f>'CSA LASER'!D99+'Medicaid &amp; FAMIS - LASER'!E99+'SNAP LASER'!E99+'Energy Assistance LASER'!E99+'TANF LASER'!D99+'ChildCare LASER'!I99</f>
        <v>21428929.98153647</v>
      </c>
      <c r="E100" s="2192">
        <f>'CSA LASER'!E99+'Medicaid &amp; FAMIS - LASER'!F99+'Energy Assistance LASER'!F99+'TANF LASER'!E99+'ChildCare LASER'!J99</f>
        <v>17066227.389844857</v>
      </c>
      <c r="F100" s="2192">
        <f>'CSA LASER'!F99+'Medicaid &amp; FAMIS - LASER'!G99+'Energy Assistance LASER'!G99+'TANF LASER'!F99</f>
        <v>676774.19000000006</v>
      </c>
      <c r="G100" s="2192">
        <f>'CSA LASER'!G99+'Energy Assistance LASER'!H99+'TANF LASER'!G99</f>
        <v>0</v>
      </c>
      <c r="H100" s="2192">
        <f t="shared" si="4"/>
        <v>39171931.561381325</v>
      </c>
      <c r="I100" s="2193">
        <f t="shared" si="3"/>
        <v>676774.19000000006</v>
      </c>
    </row>
    <row r="101" spans="1:9" x14ac:dyDescent="0.25">
      <c r="A101" s="2175" t="s">
        <v>14</v>
      </c>
      <c r="B101" s="2176" t="s">
        <v>15</v>
      </c>
      <c r="C101" s="1373" t="s">
        <v>267</v>
      </c>
      <c r="D101" s="2191">
        <f>'CSA LASER'!D100+'Medicaid &amp; FAMIS - LASER'!E100+'SNAP LASER'!E100+'Energy Assistance LASER'!E100+'TANF LASER'!D100+'ChildCare LASER'!I100</f>
        <v>74705672.731427416</v>
      </c>
      <c r="E101" s="2192">
        <f>'CSA LASER'!E100+'Medicaid &amp; FAMIS - LASER'!F100+'Energy Assistance LASER'!F100+'TANF LASER'!E100+'ChildCare LASER'!J100</f>
        <v>59081685.416966677</v>
      </c>
      <c r="F101" s="2192">
        <f>'CSA LASER'!F100+'Medicaid &amp; FAMIS - LASER'!G100+'Energy Assistance LASER'!G100+'TANF LASER'!F100</f>
        <v>3633572.54</v>
      </c>
      <c r="G101" s="2192">
        <f>'CSA LASER'!G100+'Energy Assistance LASER'!H100+'TANF LASER'!G100</f>
        <v>0</v>
      </c>
      <c r="H101" s="2192">
        <f t="shared" si="4"/>
        <v>137420930.6883941</v>
      </c>
      <c r="I101" s="2193">
        <f t="shared" si="3"/>
        <v>3633572.54</v>
      </c>
    </row>
    <row r="102" spans="1:9" x14ac:dyDescent="0.25">
      <c r="A102" s="2175" t="s">
        <v>34</v>
      </c>
      <c r="B102" s="2176" t="s">
        <v>35</v>
      </c>
      <c r="C102" s="1373" t="s">
        <v>268</v>
      </c>
      <c r="D102" s="2191">
        <f>'CSA LASER'!D101+'Medicaid &amp; FAMIS - LASER'!E101+'SNAP LASER'!E101+'Energy Assistance LASER'!E101+'TANF LASER'!D101+'ChildCare LASER'!I101</f>
        <v>22342553.131787583</v>
      </c>
      <c r="E102" s="2192">
        <f>'CSA LASER'!E101+'Medicaid &amp; FAMIS - LASER'!F101+'Energy Assistance LASER'!F101+'TANF LASER'!E101+'ChildCare LASER'!J101</f>
        <v>16730015.225060487</v>
      </c>
      <c r="F102" s="2192">
        <f>'CSA LASER'!F101+'Medicaid &amp; FAMIS - LASER'!G101+'Energy Assistance LASER'!G101+'TANF LASER'!F101</f>
        <v>519574.66</v>
      </c>
      <c r="G102" s="2192">
        <f>'CSA LASER'!G101+'Energy Assistance LASER'!H101+'TANF LASER'!G101</f>
        <v>0</v>
      </c>
      <c r="H102" s="2192">
        <f t="shared" si="4"/>
        <v>39592143.016848065</v>
      </c>
      <c r="I102" s="2193">
        <f t="shared" si="3"/>
        <v>519574.66</v>
      </c>
    </row>
    <row r="103" spans="1:9" x14ac:dyDescent="0.25">
      <c r="A103" s="2175" t="s">
        <v>52</v>
      </c>
      <c r="B103" s="2176" t="s">
        <v>53</v>
      </c>
      <c r="C103" s="1373" t="s">
        <v>265</v>
      </c>
      <c r="D103" s="2191">
        <f>'CSA LASER'!D102+'Medicaid &amp; FAMIS - LASER'!E102+'SNAP LASER'!E102+'Energy Assistance LASER'!E102+'TANF LASER'!D102+'ChildCare LASER'!I102</f>
        <v>35766887.198148496</v>
      </c>
      <c r="E103" s="2192">
        <f>'CSA LASER'!E102+'Medicaid &amp; FAMIS - LASER'!F102+'Energy Assistance LASER'!F102+'TANF LASER'!E102+'ChildCare LASER'!J102</f>
        <v>33783586.636316061</v>
      </c>
      <c r="F103" s="2192">
        <f>'CSA LASER'!F102+'Medicaid &amp; FAMIS - LASER'!G102+'Energy Assistance LASER'!G102+'TANF LASER'!F102</f>
        <v>2227870.41</v>
      </c>
      <c r="G103" s="2192">
        <f>'CSA LASER'!G102+'Energy Assistance LASER'!H102+'TANF LASER'!G102</f>
        <v>0</v>
      </c>
      <c r="H103" s="2192">
        <f t="shared" si="4"/>
        <v>71778344.244464546</v>
      </c>
      <c r="I103" s="2193">
        <f t="shared" si="3"/>
        <v>2227870.41</v>
      </c>
    </row>
    <row r="104" spans="1:9" x14ac:dyDescent="0.25">
      <c r="A104" s="2175" t="s">
        <v>54</v>
      </c>
      <c r="B104" s="2176" t="s">
        <v>55</v>
      </c>
      <c r="C104" s="1373" t="s">
        <v>264</v>
      </c>
      <c r="D104" s="2191">
        <f>'CSA LASER'!D103+'Medicaid &amp; FAMIS - LASER'!E103+'SNAP LASER'!E103+'Energy Assistance LASER'!E103+'TANF LASER'!D103+'ChildCare LASER'!I103</f>
        <v>143687204.59409326</v>
      </c>
      <c r="E104" s="2192">
        <f>'CSA LASER'!E103+'Medicaid &amp; FAMIS - LASER'!F103+'Energy Assistance LASER'!F103+'TANF LASER'!E103+'ChildCare LASER'!J103</f>
        <v>108043253.48308927</v>
      </c>
      <c r="F104" s="2192">
        <f>'CSA LASER'!F103+'Medicaid &amp; FAMIS - LASER'!G103+'Energy Assistance LASER'!G103+'TANF LASER'!F103</f>
        <v>1581521.4500000002</v>
      </c>
      <c r="G104" s="2192">
        <f>'CSA LASER'!G103+'Energy Assistance LASER'!H103+'TANF LASER'!G103</f>
        <v>0</v>
      </c>
      <c r="H104" s="2192">
        <f t="shared" si="4"/>
        <v>253311979.52718252</v>
      </c>
      <c r="I104" s="2193">
        <f t="shared" si="3"/>
        <v>1581521.4500000002</v>
      </c>
    </row>
    <row r="105" spans="1:9" x14ac:dyDescent="0.25">
      <c r="A105" s="2175" t="s">
        <v>66</v>
      </c>
      <c r="B105" s="2176" t="s">
        <v>67</v>
      </c>
      <c r="C105" s="1373" t="s">
        <v>265</v>
      </c>
      <c r="D105" s="2191">
        <f>'CSA LASER'!D104+'Medicaid &amp; FAMIS - LASER'!E104+'SNAP LASER'!E104+'Energy Assistance LASER'!E104+'TANF LASER'!D104+'ChildCare LASER'!I104</f>
        <v>85959895.470375001</v>
      </c>
      <c r="E105" s="2192">
        <f>'CSA LASER'!E104+'Medicaid &amp; FAMIS - LASER'!F104+'Energy Assistance LASER'!F104+'TANF LASER'!E104+'ChildCare LASER'!J104</f>
        <v>69018089.930502579</v>
      </c>
      <c r="F105" s="2192">
        <f>'CSA LASER'!F104+'Medicaid &amp; FAMIS - LASER'!G104+'Energy Assistance LASER'!G104+'TANF LASER'!F104</f>
        <v>998426.05</v>
      </c>
      <c r="G105" s="2192">
        <f>'CSA LASER'!G104+'Energy Assistance LASER'!H104+'TANF LASER'!G104</f>
        <v>0</v>
      </c>
      <c r="H105" s="2192">
        <f t="shared" si="4"/>
        <v>155976411.45087761</v>
      </c>
      <c r="I105" s="2193">
        <f t="shared" si="3"/>
        <v>998426.05</v>
      </c>
    </row>
    <row r="106" spans="1:9" x14ac:dyDescent="0.25">
      <c r="A106" s="2175" t="s">
        <v>82</v>
      </c>
      <c r="B106" s="2176" t="s">
        <v>311</v>
      </c>
      <c r="C106" s="1373" t="s">
        <v>264</v>
      </c>
      <c r="D106" s="2191">
        <f>'CSA LASER'!D105+'Medicaid &amp; FAMIS - LASER'!E105+'SNAP LASER'!E105+'Energy Assistance LASER'!E105+'TANF LASER'!D105+'ChildCare LASER'!I105</f>
        <v>17601296.326351393</v>
      </c>
      <c r="E106" s="2192">
        <f>'CSA LASER'!E105+'Medicaid &amp; FAMIS - LASER'!F105+'Energy Assistance LASER'!F105+'TANF LASER'!E105+'ChildCare LASER'!J105</f>
        <v>12956272.834272388</v>
      </c>
      <c r="F106" s="2192">
        <f>'CSA LASER'!F105+'Medicaid &amp; FAMIS - LASER'!G105+'Energy Assistance LASER'!G105+'TANF LASER'!F105</f>
        <v>49708.1</v>
      </c>
      <c r="G106" s="2192">
        <f>'CSA LASER'!G105+'Energy Assistance LASER'!H105+'TANF LASER'!G105</f>
        <v>0</v>
      </c>
      <c r="H106" s="2192">
        <f t="shared" si="4"/>
        <v>30607277.260623783</v>
      </c>
      <c r="I106" s="2193">
        <f t="shared" si="3"/>
        <v>49708.1</v>
      </c>
    </row>
    <row r="107" spans="1:9" x14ac:dyDescent="0.25">
      <c r="A107" s="2175" t="s">
        <v>88</v>
      </c>
      <c r="B107" s="2176" t="s">
        <v>89</v>
      </c>
      <c r="C107" s="1373" t="s">
        <v>267</v>
      </c>
      <c r="D107" s="2191">
        <f>'CSA LASER'!D106+'Medicaid &amp; FAMIS - LASER'!E106+'SNAP LASER'!E106+'Energy Assistance LASER'!E106+'TANF LASER'!D106+'ChildCare LASER'!I106</f>
        <v>25128713.441802781</v>
      </c>
      <c r="E107" s="2192">
        <f>'CSA LASER'!E106+'Medicaid &amp; FAMIS - LASER'!F106+'Energy Assistance LASER'!F106+'TANF LASER'!E106+'ChildCare LASER'!J106</f>
        <v>19870604.331230335</v>
      </c>
      <c r="F107" s="2192">
        <f>'CSA LASER'!F106+'Medicaid &amp; FAMIS - LASER'!G106+'Energy Assistance LASER'!G106+'TANF LASER'!F106</f>
        <v>744982.99</v>
      </c>
      <c r="G107" s="2192">
        <f>'CSA LASER'!G106+'Energy Assistance LASER'!H106+'TANF LASER'!G106</f>
        <v>0</v>
      </c>
      <c r="H107" s="2192">
        <f t="shared" si="4"/>
        <v>45744300.763033114</v>
      </c>
      <c r="I107" s="2193">
        <f t="shared" si="3"/>
        <v>744982.99</v>
      </c>
    </row>
    <row r="108" spans="1:9" x14ac:dyDescent="0.25">
      <c r="A108" s="2175" t="s">
        <v>90</v>
      </c>
      <c r="B108" s="2176" t="s">
        <v>91</v>
      </c>
      <c r="C108" s="1373" t="s">
        <v>268</v>
      </c>
      <c r="D108" s="2191">
        <f>'CSA LASER'!D107+'Medicaid &amp; FAMIS - LASER'!E107+'SNAP LASER'!E107+'Energy Assistance LASER'!E107+'TANF LASER'!D107+'ChildCare LASER'!I107</f>
        <v>12138857.210854392</v>
      </c>
      <c r="E108" s="2192">
        <f>'CSA LASER'!E107+'Medicaid &amp; FAMIS - LASER'!F107+'Energy Assistance LASER'!F107+'TANF LASER'!E107+'ChildCare LASER'!J107</f>
        <v>9325708.4601187985</v>
      </c>
      <c r="F108" s="2192">
        <f>'CSA LASER'!F107+'Medicaid &amp; FAMIS - LASER'!G107+'Energy Assistance LASER'!G107+'TANF LASER'!F107</f>
        <v>93247.3</v>
      </c>
      <c r="G108" s="2192">
        <f>'CSA LASER'!G107+'Energy Assistance LASER'!H107+'TANF LASER'!G107</f>
        <v>0</v>
      </c>
      <c r="H108" s="2192">
        <f t="shared" si="4"/>
        <v>21557812.97097319</v>
      </c>
      <c r="I108" s="2193">
        <f t="shared" si="3"/>
        <v>93247.3</v>
      </c>
    </row>
    <row r="109" spans="1:9" x14ac:dyDescent="0.25">
      <c r="A109" s="2175" t="s">
        <v>106</v>
      </c>
      <c r="B109" s="2176" t="s">
        <v>107</v>
      </c>
      <c r="C109" s="1373" t="s">
        <v>264</v>
      </c>
      <c r="D109" s="2191">
        <f>'CSA LASER'!D108+'Medicaid &amp; FAMIS - LASER'!E108+'SNAP LASER'!E108+'Energy Assistance LASER'!E108+'TANF LASER'!D108+'ChildCare LASER'!I108</f>
        <v>127196972.0274969</v>
      </c>
      <c r="E109" s="2192">
        <f>'CSA LASER'!E108+'Medicaid &amp; FAMIS - LASER'!F108+'Energy Assistance LASER'!F108+'TANF LASER'!E108+'ChildCare LASER'!J108</f>
        <v>98144168.703175157</v>
      </c>
      <c r="F109" s="2192">
        <f>'CSA LASER'!F108+'Medicaid &amp; FAMIS - LASER'!G108+'Energy Assistance LASER'!G108+'TANF LASER'!F108</f>
        <v>1575332.3</v>
      </c>
      <c r="G109" s="2192">
        <f>'CSA LASER'!G108+'Energy Assistance LASER'!H108+'TANF LASER'!G108</f>
        <v>0</v>
      </c>
      <c r="H109" s="2192">
        <f t="shared" si="4"/>
        <v>226916473.03067207</v>
      </c>
      <c r="I109" s="2193">
        <f t="shared" si="3"/>
        <v>1575332.3</v>
      </c>
    </row>
    <row r="110" spans="1:9" x14ac:dyDescent="0.25">
      <c r="A110" s="2175" t="s">
        <v>116</v>
      </c>
      <c r="B110" s="2176" t="s">
        <v>117</v>
      </c>
      <c r="C110" s="1373" t="s">
        <v>266</v>
      </c>
      <c r="D110" s="2191">
        <f>'CSA LASER'!D109+'Medicaid &amp; FAMIS - LASER'!E109+'SNAP LASER'!E109+'Energy Assistance LASER'!E109+'TANF LASER'!D109+'ChildCare LASER'!I109</f>
        <v>36353925.646319889</v>
      </c>
      <c r="E110" s="2192">
        <f>'CSA LASER'!E109+'Medicaid &amp; FAMIS - LASER'!F109+'Energy Assistance LASER'!F109+'TANF LASER'!E109+'ChildCare LASER'!J109</f>
        <v>26323784.453825224</v>
      </c>
      <c r="F110" s="2192">
        <f>'CSA LASER'!F109+'Medicaid &amp; FAMIS - LASER'!G109+'Energy Assistance LASER'!G109+'TANF LASER'!F109</f>
        <v>746138.64</v>
      </c>
      <c r="G110" s="2192">
        <f>'CSA LASER'!G109+'Energy Assistance LASER'!H109+'TANF LASER'!G109</f>
        <v>0</v>
      </c>
      <c r="H110" s="2192">
        <f t="shared" si="4"/>
        <v>63423848.740145117</v>
      </c>
      <c r="I110" s="2193">
        <f t="shared" si="3"/>
        <v>746138.64</v>
      </c>
    </row>
    <row r="111" spans="1:9" x14ac:dyDescent="0.25">
      <c r="A111" s="2175" t="s">
        <v>138</v>
      </c>
      <c r="B111" s="2176" t="s">
        <v>139</v>
      </c>
      <c r="C111" s="1373" t="s">
        <v>265</v>
      </c>
      <c r="D111" s="2191">
        <f>'CSA LASER'!D110+'Medicaid &amp; FAMIS - LASER'!E110+'SNAP LASER'!E110+'Energy Assistance LASER'!E110+'TANF LASER'!D110+'ChildCare LASER'!I110</f>
        <v>79946972.639855742</v>
      </c>
      <c r="E111" s="2192">
        <f>'CSA LASER'!E110+'Medicaid &amp; FAMIS - LASER'!F110+'Energy Assistance LASER'!F110+'TANF LASER'!E110+'ChildCare LASER'!J110</f>
        <v>63567140.472010747</v>
      </c>
      <c r="F111" s="2192">
        <f>'CSA LASER'!F110+'Medicaid &amp; FAMIS - LASER'!G110+'Energy Assistance LASER'!G110+'TANF LASER'!F110</f>
        <v>1887272.61</v>
      </c>
      <c r="G111" s="2192">
        <f>'CSA LASER'!G110+'Energy Assistance LASER'!H110+'TANF LASER'!G110</f>
        <v>0</v>
      </c>
      <c r="H111" s="2192">
        <f t="shared" si="4"/>
        <v>145401385.72186649</v>
      </c>
      <c r="I111" s="2193">
        <f t="shared" si="3"/>
        <v>1887272.61</v>
      </c>
    </row>
    <row r="112" spans="1:9" x14ac:dyDescent="0.25">
      <c r="A112" s="2175" t="s">
        <v>142</v>
      </c>
      <c r="B112" s="2176" t="s">
        <v>143</v>
      </c>
      <c r="C112" s="1373" t="s">
        <v>267</v>
      </c>
      <c r="D112" s="2191">
        <f>'CSA LASER'!D111+'Medicaid &amp; FAMIS - LASER'!E111+'SNAP LASER'!E111+'Energy Assistance LASER'!E111+'TANF LASER'!D111+'ChildCare LASER'!I111</f>
        <v>27148416.420312811</v>
      </c>
      <c r="E112" s="2192">
        <f>'CSA LASER'!E111+'Medicaid &amp; FAMIS - LASER'!F111+'Energy Assistance LASER'!F111+'TANF LASER'!E111+'ChildCare LASER'!J111</f>
        <v>19197909.898935378</v>
      </c>
      <c r="F112" s="2192">
        <f>'CSA LASER'!F111+'Medicaid &amp; FAMIS - LASER'!G111+'Energy Assistance LASER'!G111+'TANF LASER'!F111</f>
        <v>569148.22</v>
      </c>
      <c r="G112" s="2192">
        <f>'CSA LASER'!G111+'Energy Assistance LASER'!H111+'TANF LASER'!G111</f>
        <v>0</v>
      </c>
      <c r="H112" s="2192">
        <f t="shared" si="4"/>
        <v>46915474.539248183</v>
      </c>
      <c r="I112" s="2193">
        <f t="shared" si="3"/>
        <v>569148.22</v>
      </c>
    </row>
    <row r="113" spans="1:9" x14ac:dyDescent="0.25">
      <c r="A113" s="2175" t="s">
        <v>144</v>
      </c>
      <c r="B113" s="2176" t="s">
        <v>145</v>
      </c>
      <c r="C113" s="1373" t="s">
        <v>267</v>
      </c>
      <c r="D113" s="2191">
        <f>'CSA LASER'!D112+'Medicaid &amp; FAMIS - LASER'!E112+'SNAP LASER'!E112+'Energy Assistance LASER'!E112+'TANF LASER'!D112+'ChildCare LASER'!I112</f>
        <v>9061601.3057392463</v>
      </c>
      <c r="E113" s="2192">
        <f>'CSA LASER'!E112+'Medicaid &amp; FAMIS - LASER'!F112+'Energy Assistance LASER'!F112+'TANF LASER'!E112+'ChildCare LASER'!J112</f>
        <v>6824226.1653710557</v>
      </c>
      <c r="F113" s="2192">
        <f>'CSA LASER'!F112+'Medicaid &amp; FAMIS - LASER'!G112+'Energy Assistance LASER'!G112+'TANF LASER'!F112</f>
        <v>481256.28</v>
      </c>
      <c r="G113" s="2192">
        <f>'CSA LASER'!G112+'Energy Assistance LASER'!H112+'TANF LASER'!G112</f>
        <v>0</v>
      </c>
      <c r="H113" s="2192">
        <f t="shared" si="4"/>
        <v>16367083.751110302</v>
      </c>
      <c r="I113" s="2193">
        <f t="shared" si="3"/>
        <v>481256.28</v>
      </c>
    </row>
    <row r="114" spans="1:9" x14ac:dyDescent="0.25">
      <c r="A114" s="2175" t="s">
        <v>158</v>
      </c>
      <c r="B114" s="2176" t="s">
        <v>159</v>
      </c>
      <c r="C114" s="1373" t="s">
        <v>264</v>
      </c>
      <c r="D114" s="2191">
        <f>'CSA LASER'!D113+'Medicaid &amp; FAMIS - LASER'!E113+'SNAP LASER'!E113+'Energy Assistance LASER'!E113+'TANF LASER'!D113+'ChildCare LASER'!I113</f>
        <v>180950002.62215447</v>
      </c>
      <c r="E114" s="2192">
        <f>'CSA LASER'!E113+'Medicaid &amp; FAMIS - LASER'!F113+'Energy Assistance LASER'!F113+'TANF LASER'!E113+'ChildCare LASER'!J113</f>
        <v>129817909.88591486</v>
      </c>
      <c r="F114" s="2192">
        <f>'CSA LASER'!F113+'Medicaid &amp; FAMIS - LASER'!G113+'Energy Assistance LASER'!G113+'TANF LASER'!F113</f>
        <v>1906890.76</v>
      </c>
      <c r="G114" s="2192">
        <f>'CSA LASER'!G113+'Energy Assistance LASER'!H113+'TANF LASER'!G113</f>
        <v>0</v>
      </c>
      <c r="H114" s="2192">
        <f t="shared" si="4"/>
        <v>312674803.26806933</v>
      </c>
      <c r="I114" s="2193">
        <f t="shared" si="3"/>
        <v>1906890.76</v>
      </c>
    </row>
    <row r="115" spans="1:9" x14ac:dyDescent="0.25">
      <c r="A115" s="2175" t="s">
        <v>160</v>
      </c>
      <c r="B115" s="2176" t="s">
        <v>161</v>
      </c>
      <c r="C115" s="1373" t="s">
        <v>264</v>
      </c>
      <c r="D115" s="2191">
        <f>'CSA LASER'!D114+'Medicaid &amp; FAMIS - LASER'!E114+'SNAP LASER'!E114+'Energy Assistance LASER'!E114+'TANF LASER'!D114+'ChildCare LASER'!I114</f>
        <v>259783361.62630874</v>
      </c>
      <c r="E115" s="2192">
        <f>'CSA LASER'!E114+'Medicaid &amp; FAMIS - LASER'!F114+'Energy Assistance LASER'!F114+'TANF LASER'!E114+'ChildCare LASER'!J114</f>
        <v>194678975.92033282</v>
      </c>
      <c r="F115" s="2192">
        <f>'CSA LASER'!F114+'Medicaid &amp; FAMIS - LASER'!G114+'Energy Assistance LASER'!G114+'TANF LASER'!F114</f>
        <v>2533879.54</v>
      </c>
      <c r="G115" s="2192">
        <f>'CSA LASER'!G114+'Energy Assistance LASER'!H114+'TANF LASER'!G114</f>
        <v>0</v>
      </c>
      <c r="H115" s="2192">
        <f t="shared" si="4"/>
        <v>456996217.08664161</v>
      </c>
      <c r="I115" s="2193">
        <f t="shared" si="3"/>
        <v>2533879.54</v>
      </c>
    </row>
    <row r="116" spans="1:9" x14ac:dyDescent="0.25">
      <c r="A116" s="2175" t="s">
        <v>166</v>
      </c>
      <c r="B116" s="2176" t="s">
        <v>167</v>
      </c>
      <c r="C116" s="1373" t="s">
        <v>268</v>
      </c>
      <c r="D116" s="2191">
        <f>'CSA LASER'!D115+'Medicaid &amp; FAMIS - LASER'!E115+'SNAP LASER'!E115+'Energy Assistance LASER'!E115+'TANF LASER'!D115+'ChildCare LASER'!I115</f>
        <v>4903239.446104845</v>
      </c>
      <c r="E116" s="2192">
        <f>'CSA LASER'!E115+'Medicaid &amp; FAMIS - LASER'!F115+'Energy Assistance LASER'!F115+'TANF LASER'!E115+'ChildCare LASER'!J115</f>
        <v>3481941.6710679587</v>
      </c>
      <c r="F116" s="2192">
        <f>'CSA LASER'!F115+'Medicaid &amp; FAMIS - LASER'!G115+'Energy Assistance LASER'!G115+'TANF LASER'!F115</f>
        <v>47149.48</v>
      </c>
      <c r="G116" s="2192">
        <f>'CSA LASER'!G115+'Energy Assistance LASER'!H115+'TANF LASER'!G115</f>
        <v>0</v>
      </c>
      <c r="H116" s="2192">
        <f t="shared" si="4"/>
        <v>8432330.5971728042</v>
      </c>
      <c r="I116" s="2193">
        <f t="shared" si="3"/>
        <v>47149.48</v>
      </c>
    </row>
    <row r="117" spans="1:9" x14ac:dyDescent="0.25">
      <c r="A117" s="2175" t="s">
        <v>176</v>
      </c>
      <c r="B117" s="2176" t="s">
        <v>177</v>
      </c>
      <c r="C117" s="1373" t="s">
        <v>266</v>
      </c>
      <c r="D117" s="2191">
        <f>'CSA LASER'!D116+'Medicaid &amp; FAMIS - LASER'!E116+'SNAP LASER'!E116+'Energy Assistance LASER'!E116+'TANF LASER'!D116+'ChildCare LASER'!I116</f>
        <v>68667066.891816393</v>
      </c>
      <c r="E117" s="2192">
        <f>'CSA LASER'!E116+'Medicaid &amp; FAMIS - LASER'!F116+'Energy Assistance LASER'!F116+'TANF LASER'!E116+'ChildCare LASER'!J116</f>
        <v>54160064.435813703</v>
      </c>
      <c r="F117" s="2192">
        <f>'CSA LASER'!F116+'Medicaid &amp; FAMIS - LASER'!G116+'Energy Assistance LASER'!G116+'TANF LASER'!F116</f>
        <v>1563868.47</v>
      </c>
      <c r="G117" s="2192">
        <f>'CSA LASER'!G116+'Energy Assistance LASER'!H116+'TANF LASER'!G116</f>
        <v>0</v>
      </c>
      <c r="H117" s="2192">
        <f t="shared" si="4"/>
        <v>124390999.7976301</v>
      </c>
      <c r="I117" s="2193">
        <f t="shared" si="3"/>
        <v>1563868.47</v>
      </c>
    </row>
    <row r="118" spans="1:9" x14ac:dyDescent="0.25">
      <c r="A118" s="2175" t="s">
        <v>180</v>
      </c>
      <c r="B118" s="2176" t="s">
        <v>181</v>
      </c>
      <c r="C118" s="1373" t="s">
        <v>264</v>
      </c>
      <c r="D118" s="2191">
        <f>'CSA LASER'!D117+'Medicaid &amp; FAMIS - LASER'!E117+'SNAP LASER'!E117+'Energy Assistance LASER'!E117+'TANF LASER'!D117+'ChildCare LASER'!I117</f>
        <v>134257463.84944791</v>
      </c>
      <c r="E118" s="2192">
        <f>'CSA LASER'!E117+'Medicaid &amp; FAMIS - LASER'!F117+'Energy Assistance LASER'!F117+'TANF LASER'!E117+'ChildCare LASER'!J117</f>
        <v>97884753.845499575</v>
      </c>
      <c r="F118" s="2192">
        <f>'CSA LASER'!F117+'Medicaid &amp; FAMIS - LASER'!G117+'Energy Assistance LASER'!G117+'TANF LASER'!F117</f>
        <v>786414</v>
      </c>
      <c r="G118" s="2192">
        <f>'CSA LASER'!G117+'Energy Assistance LASER'!H117+'TANF LASER'!G117</f>
        <v>0</v>
      </c>
      <c r="H118" s="2192">
        <f t="shared" si="4"/>
        <v>232928631.69494748</v>
      </c>
      <c r="I118" s="2193">
        <f t="shared" si="3"/>
        <v>786414</v>
      </c>
    </row>
    <row r="119" spans="1:9" x14ac:dyDescent="0.25">
      <c r="A119" s="2175" t="s">
        <v>192</v>
      </c>
      <c r="B119" s="2176" t="s">
        <v>193</v>
      </c>
      <c r="C119" s="1373" t="s">
        <v>268</v>
      </c>
      <c r="D119" s="2191">
        <f>'CSA LASER'!D118+'Medicaid &amp; FAMIS - LASER'!E118+'SNAP LASER'!E118+'Energy Assistance LASER'!E118+'TANF LASER'!D118+'ChildCare LASER'!I118</f>
        <v>9743168.1117830239</v>
      </c>
      <c r="E119" s="2192">
        <f>'CSA LASER'!E118+'Medicaid &amp; FAMIS - LASER'!F118+'Energy Assistance LASER'!F118+'TANF LASER'!E118+'ChildCare LASER'!J118</f>
        <v>7935356.844395279</v>
      </c>
      <c r="F119" s="2192">
        <f>'CSA LASER'!F118+'Medicaid &amp; FAMIS - LASER'!G118+'Energy Assistance LASER'!G118+'TANF LASER'!F118</f>
        <v>180446.61</v>
      </c>
      <c r="G119" s="2192">
        <f>'CSA LASER'!G118+'Energy Assistance LASER'!H118+'TANF LASER'!G118</f>
        <v>0</v>
      </c>
      <c r="H119" s="2192">
        <f t="shared" si="4"/>
        <v>17858971.566178303</v>
      </c>
      <c r="I119" s="2193">
        <f t="shared" si="3"/>
        <v>180446.61</v>
      </c>
    </row>
    <row r="120" spans="1:9" x14ac:dyDescent="0.25">
      <c r="A120" s="2175" t="s">
        <v>196</v>
      </c>
      <c r="B120" s="2176" t="s">
        <v>312</v>
      </c>
      <c r="C120" s="1373" t="s">
        <v>266</v>
      </c>
      <c r="D120" s="2191">
        <f>'CSA LASER'!D119+'Medicaid &amp; FAMIS - LASER'!E119+'SNAP LASER'!E119+'Energy Assistance LASER'!E119+'TANF LASER'!D119+'ChildCare LASER'!I119</f>
        <v>314013522.3463437</v>
      </c>
      <c r="E120" s="2192">
        <f>'CSA LASER'!E119+'Medicaid &amp; FAMIS - LASER'!F119+'Energy Assistance LASER'!F119+'TANF LASER'!E119+'ChildCare LASER'!J119</f>
        <v>248287277.11658487</v>
      </c>
      <c r="F120" s="2192">
        <f>'CSA LASER'!F119+'Medicaid &amp; FAMIS - LASER'!G119+'Energy Assistance LASER'!G119+'TANF LASER'!F119</f>
        <v>7964649.8600000003</v>
      </c>
      <c r="G120" s="2192">
        <f>'CSA LASER'!G119+'Energy Assistance LASER'!H119+'TANF LASER'!G119</f>
        <v>0</v>
      </c>
      <c r="H120" s="2192">
        <f t="shared" si="4"/>
        <v>570265449.32292855</v>
      </c>
      <c r="I120" s="2193">
        <f t="shared" si="3"/>
        <v>7964649.8600000003</v>
      </c>
    </row>
    <row r="121" spans="1:9" x14ac:dyDescent="0.25">
      <c r="A121" s="2175" t="s">
        <v>200</v>
      </c>
      <c r="B121" s="2176" t="s">
        <v>313</v>
      </c>
      <c r="C121" s="1373" t="s">
        <v>265</v>
      </c>
      <c r="D121" s="2191">
        <f>'CSA LASER'!D120+'Medicaid &amp; FAMIS - LASER'!E120+'SNAP LASER'!E120+'Energy Assistance LASER'!E120+'TANF LASER'!D120+'ChildCare LASER'!I120</f>
        <v>137958678.76176834</v>
      </c>
      <c r="E121" s="2192">
        <f>'CSA LASER'!E120+'Medicaid &amp; FAMIS - LASER'!F120+'Energy Assistance LASER'!F120+'TANF LASER'!E120+'ChildCare LASER'!J120</f>
        <v>108835040.25191802</v>
      </c>
      <c r="F121" s="2192">
        <f>'CSA LASER'!F120+'Medicaid &amp; FAMIS - LASER'!G120+'Energy Assistance LASER'!G120+'TANF LASER'!F120</f>
        <v>4062132.21</v>
      </c>
      <c r="G121" s="2192">
        <f>'CSA LASER'!G120+'Energy Assistance LASER'!H120+'TANF LASER'!G120</f>
        <v>0</v>
      </c>
      <c r="H121" s="2192">
        <f t="shared" si="4"/>
        <v>250855851.22368637</v>
      </c>
      <c r="I121" s="2193">
        <f t="shared" si="3"/>
        <v>4062132.21</v>
      </c>
    </row>
    <row r="122" spans="1:9" x14ac:dyDescent="0.25">
      <c r="A122" s="2175" t="s">
        <v>222</v>
      </c>
      <c r="B122" s="2176" t="s">
        <v>223</v>
      </c>
      <c r="C122" s="1373" t="s">
        <v>264</v>
      </c>
      <c r="D122" s="2191">
        <f>'CSA LASER'!D121+'Medicaid &amp; FAMIS - LASER'!E121+'SNAP LASER'!E121+'Energy Assistance LASER'!E121+'TANF LASER'!D121+'ChildCare LASER'!I121</f>
        <v>82489900.134808362</v>
      </c>
      <c r="E122" s="2192">
        <f>'CSA LASER'!E121+'Medicaid &amp; FAMIS - LASER'!F121+'Energy Assistance LASER'!F121+'TANF LASER'!E121+'ChildCare LASER'!J121</f>
        <v>63850120.760735951</v>
      </c>
      <c r="F122" s="2192">
        <f>'CSA LASER'!F121+'Medicaid &amp; FAMIS - LASER'!G121+'Energy Assistance LASER'!G121+'TANF LASER'!F121</f>
        <v>323080.62</v>
      </c>
      <c r="G122" s="2192">
        <f>'CSA LASER'!G121+'Energy Assistance LASER'!H121+'TANF LASER'!G121</f>
        <v>0</v>
      </c>
      <c r="H122" s="2192">
        <f t="shared" si="4"/>
        <v>146663101.51554433</v>
      </c>
      <c r="I122" s="2193">
        <f t="shared" si="3"/>
        <v>323080.62</v>
      </c>
    </row>
    <row r="123" spans="1:9" x14ac:dyDescent="0.25">
      <c r="A123" s="2175" t="s">
        <v>230</v>
      </c>
      <c r="B123" s="2176" t="s">
        <v>231</v>
      </c>
      <c r="C123" s="1373" t="s">
        <v>264</v>
      </c>
      <c r="D123" s="2191">
        <f>'CSA LASER'!D122+'Medicaid &amp; FAMIS - LASER'!E122+'SNAP LASER'!E122+'Energy Assistance LASER'!E122+'TANF LASER'!D122+'ChildCare LASER'!I122</f>
        <v>228523913.62957785</v>
      </c>
      <c r="E123" s="2192">
        <f>'CSA LASER'!E122+'Medicaid &amp; FAMIS - LASER'!F122+'Energy Assistance LASER'!F122+'TANF LASER'!E122+'ChildCare LASER'!J122</f>
        <v>177802167.20046699</v>
      </c>
      <c r="F123" s="2192">
        <f>'CSA LASER'!F122+'Medicaid &amp; FAMIS - LASER'!G122+'Energy Assistance LASER'!G122+'TANF LASER'!F122</f>
        <v>4156398.84</v>
      </c>
      <c r="G123" s="2192">
        <f>'CSA LASER'!G122+'Energy Assistance LASER'!H122+'TANF LASER'!G122</f>
        <v>0</v>
      </c>
      <c r="H123" s="2192">
        <f t="shared" si="4"/>
        <v>410482479.67004484</v>
      </c>
      <c r="I123" s="2193">
        <f t="shared" si="3"/>
        <v>4156398.84</v>
      </c>
    </row>
    <row r="124" spans="1:9" x14ac:dyDescent="0.25">
      <c r="A124" s="2175" t="s">
        <v>238</v>
      </c>
      <c r="B124" s="2176" t="s">
        <v>239</v>
      </c>
      <c r="C124" s="1373" t="s">
        <v>264</v>
      </c>
      <c r="D124" s="2191">
        <f>'CSA LASER'!D123+'Medicaid &amp; FAMIS - LASER'!E123+'SNAP LASER'!E123+'Energy Assistance LASER'!E123+'TANF LASER'!D123+'ChildCare LASER'!I123</f>
        <v>7245241.3559825188</v>
      </c>
      <c r="E124" s="2192">
        <f>'CSA LASER'!E123+'Medicaid &amp; FAMIS - LASER'!F123+'Energy Assistance LASER'!F123+'TANF LASER'!E123+'ChildCare LASER'!J123</f>
        <v>4256067.7646878595</v>
      </c>
      <c r="F124" s="2192">
        <f>'CSA LASER'!F123+'Medicaid &amp; FAMIS - LASER'!G123+'Energy Assistance LASER'!G123+'TANF LASER'!F123</f>
        <v>69638.64</v>
      </c>
      <c r="G124" s="2192">
        <f>'CSA LASER'!G123+'Energy Assistance LASER'!H123+'TANF LASER'!G123</f>
        <v>0</v>
      </c>
      <c r="H124" s="2192">
        <f t="shared" si="4"/>
        <v>11570947.760670379</v>
      </c>
      <c r="I124" s="2193">
        <f t="shared" si="3"/>
        <v>69638.64</v>
      </c>
    </row>
    <row r="125" spans="1:9" x14ac:dyDescent="0.25">
      <c r="A125" s="2181" t="s">
        <v>240</v>
      </c>
      <c r="B125" s="2182" t="s">
        <v>241</v>
      </c>
      <c r="C125" s="2183" t="s">
        <v>267</v>
      </c>
      <c r="D125" s="2194">
        <f>'CSA LASER'!D124+'Medicaid &amp; FAMIS - LASER'!E124+'SNAP LASER'!E124+'Energy Assistance LASER'!E124+'TANF LASER'!D124+'ChildCare LASER'!I124</f>
        <v>28971034.485952929</v>
      </c>
      <c r="E125" s="2195">
        <f>'CSA LASER'!E124+'Medicaid &amp; FAMIS - LASER'!F124+'Energy Assistance LASER'!F124+'TANF LASER'!E124+'ChildCare LASER'!J124</f>
        <v>23175184.694313306</v>
      </c>
      <c r="F125" s="2195">
        <f>'CSA LASER'!F124+'Medicaid &amp; FAMIS - LASER'!G124+'Energy Assistance LASER'!G124+'TANF LASER'!F124</f>
        <v>1296849.04</v>
      </c>
      <c r="G125" s="2195">
        <f>'CSA LASER'!G124+'Energy Assistance LASER'!H124+'TANF LASER'!G124</f>
        <v>0</v>
      </c>
      <c r="H125" s="2195">
        <f t="shared" si="4"/>
        <v>53443068.22026623</v>
      </c>
      <c r="I125" s="2196">
        <f t="shared" si="3"/>
        <v>1296849.04</v>
      </c>
    </row>
    <row r="126" spans="1:9" x14ac:dyDescent="0.25">
      <c r="A126" s="706"/>
      <c r="B126" s="706"/>
      <c r="C126" s="706"/>
    </row>
    <row r="127" spans="1:9" x14ac:dyDescent="0.25">
      <c r="A127" s="2197" t="s">
        <v>266</v>
      </c>
      <c r="B127" s="2197"/>
      <c r="C127" s="2197"/>
      <c r="D127" s="2198">
        <f>'CSA LASER'!D126+'Medicaid &amp; FAMIS - LASER'!E126+'SNAP LASER'!E126+'Energy Assistance LASER'!E126+'TANF LASER'!D126+'ChildCare LASER'!I126</f>
        <v>1148623199.3200114</v>
      </c>
      <c r="E127" s="2199">
        <f>'CSA LASER'!E126+'Medicaid &amp; FAMIS - LASER'!F126+'Energy Assistance LASER'!F126+'TANF LASER'!E126+'ChildCare LASER'!J126</f>
        <v>895561001.81801856</v>
      </c>
      <c r="F127" s="2199">
        <f>'CSA LASER'!F126+'Medicaid &amp; FAMIS - LASER'!G126+'Energy Assistance LASER'!G126+'TANF LASER'!F126</f>
        <v>30518005.66</v>
      </c>
      <c r="G127" s="2199">
        <f>'CSA LASER'!G126+'Energy Assistance LASER'!H126+'TANF LASER'!G126</f>
        <v>0</v>
      </c>
      <c r="H127" s="2200">
        <f>SUM(D127:G127)</f>
        <v>2074702206.7980301</v>
      </c>
      <c r="I127" s="2201">
        <f t="shared" si="3"/>
        <v>30518005.66</v>
      </c>
    </row>
    <row r="128" spans="1:9" x14ac:dyDescent="0.25">
      <c r="A128" s="2197" t="s">
        <v>264</v>
      </c>
      <c r="B128" s="2197"/>
      <c r="C128" s="2197"/>
      <c r="D128" s="2198">
        <f>'CSA LASER'!D127+'Medicaid &amp; FAMIS - LASER'!E127+'SNAP LASER'!E127+'Energy Assistance LASER'!E127+'TANF LASER'!D127+'ChildCare LASER'!I127</f>
        <v>1466888509.2567003</v>
      </c>
      <c r="E128" s="2199">
        <f>'CSA LASER'!E127+'Medicaid &amp; FAMIS - LASER'!F127+'Energy Assistance LASER'!F127+'TANF LASER'!E127+'ChildCare LASER'!J127</f>
        <v>1104855504.7250743</v>
      </c>
      <c r="F128" s="2199">
        <f>'CSA LASER'!F127+'Medicaid &amp; FAMIS - LASER'!G127+'Energy Assistance LASER'!G127+'TANF LASER'!F127</f>
        <v>16791111.82</v>
      </c>
      <c r="G128" s="2199">
        <f>'CSA LASER'!G127+'Energy Assistance LASER'!H127+'TANF LASER'!G127</f>
        <v>0</v>
      </c>
      <c r="H128" s="2200">
        <f t="shared" ref="H128:H131" si="5">SUM(D128:G128)</f>
        <v>2588535125.8017745</v>
      </c>
      <c r="I128" s="2201">
        <f t="shared" si="3"/>
        <v>16791111.82</v>
      </c>
    </row>
    <row r="129" spans="1:9" x14ac:dyDescent="0.25">
      <c r="A129" s="2197" t="s">
        <v>267</v>
      </c>
      <c r="B129" s="2197"/>
      <c r="C129" s="2197"/>
      <c r="D129" s="2198">
        <f>'CSA LASER'!D128+'Medicaid &amp; FAMIS - LASER'!E128+'SNAP LASER'!E128+'Energy Assistance LASER'!E128+'TANF LASER'!D128+'ChildCare LASER'!I128</f>
        <v>1455972331.8116417</v>
      </c>
      <c r="E129" s="2199">
        <f>'CSA LASER'!E128+'Medicaid &amp; FAMIS - LASER'!F128+'Energy Assistance LASER'!F128+'TANF LASER'!E128+'ChildCare LASER'!J128</f>
        <v>1166590981.4650707</v>
      </c>
      <c r="F129" s="2199">
        <f>'CSA LASER'!F128+'Medicaid &amp; FAMIS - LASER'!G128+'Energy Assistance LASER'!G128+'TANF LASER'!F128</f>
        <v>61637004.299999997</v>
      </c>
      <c r="G129" s="2199">
        <f>'CSA LASER'!G128+'Energy Assistance LASER'!H128+'TANF LASER'!G128</f>
        <v>0</v>
      </c>
      <c r="H129" s="2200">
        <f t="shared" si="5"/>
        <v>2684200317.5767126</v>
      </c>
      <c r="I129" s="2201">
        <f t="shared" si="3"/>
        <v>61637004.299999997</v>
      </c>
    </row>
    <row r="130" spans="1:9" x14ac:dyDescent="0.25">
      <c r="A130" s="2197" t="s">
        <v>265</v>
      </c>
      <c r="B130" s="2197"/>
      <c r="C130" s="2197"/>
      <c r="D130" s="2198">
        <f>'CSA LASER'!D129+'Medicaid &amp; FAMIS - LASER'!E129+'SNAP LASER'!E129+'Energy Assistance LASER'!E129+'TANF LASER'!D129+'ChildCare LASER'!I129</f>
        <v>1055520439.2188894</v>
      </c>
      <c r="E130" s="2199">
        <f>'CSA LASER'!E129+'Medicaid &amp; FAMIS - LASER'!F129+'Energy Assistance LASER'!F129+'TANF LASER'!E129+'ChildCare LASER'!J129</f>
        <v>865643663.54675388</v>
      </c>
      <c r="F130" s="2199">
        <f>'CSA LASER'!F129+'Medicaid &amp; FAMIS - LASER'!G129+'Energy Assistance LASER'!G129+'TANF LASER'!F129</f>
        <v>31548808.880000003</v>
      </c>
      <c r="G130" s="2199">
        <f>'CSA LASER'!G129+'Energy Assistance LASER'!H129+'TANF LASER'!G129</f>
        <v>0</v>
      </c>
      <c r="H130" s="2200">
        <f t="shared" si="5"/>
        <v>1952712911.6456432</v>
      </c>
      <c r="I130" s="2201">
        <f t="shared" si="3"/>
        <v>31548808.880000003</v>
      </c>
    </row>
    <row r="131" spans="1:9" x14ac:dyDescent="0.25">
      <c r="A131" s="2197" t="s">
        <v>268</v>
      </c>
      <c r="B131" s="2197"/>
      <c r="C131" s="2197"/>
      <c r="D131" s="2198">
        <f>'CSA LASER'!D130+'Medicaid &amp; FAMIS - LASER'!E130+'SNAP LASER'!E130+'Energy Assistance LASER'!E130+'TANF LASER'!D130+'ChildCare LASER'!I130</f>
        <v>572010293.45447576</v>
      </c>
      <c r="E131" s="2199">
        <f>'CSA LASER'!E130+'Medicaid &amp; FAMIS - LASER'!F130+'Energy Assistance LASER'!F130+'TANF LASER'!E130+'ChildCare LASER'!J130</f>
        <v>437350000.13110477</v>
      </c>
      <c r="F131" s="2199">
        <f>'CSA LASER'!F130+'Medicaid &amp; FAMIS - LASER'!G130+'Energy Assistance LASER'!G130+'TANF LASER'!F130</f>
        <v>8472340.0700000003</v>
      </c>
      <c r="G131" s="2199">
        <f>'CSA LASER'!G130+'Energy Assistance LASER'!H130+'TANF LASER'!G130</f>
        <v>0</v>
      </c>
      <c r="H131" s="2200">
        <f t="shared" si="5"/>
        <v>1017832633.6555806</v>
      </c>
      <c r="I131" s="2201">
        <f t="shared" si="3"/>
        <v>8472340.0700000003</v>
      </c>
    </row>
    <row r="132" spans="1:9" x14ac:dyDescent="0.25">
      <c r="A132" s="2197" t="s">
        <v>9</v>
      </c>
      <c r="B132" s="2197"/>
      <c r="C132" s="2197"/>
      <c r="D132" s="2202">
        <f>SUM(D127:D131)</f>
        <v>5699014773.061718</v>
      </c>
      <c r="E132" s="2199">
        <f t="shared" ref="E132:I132" si="6">SUM(E127:E131)</f>
        <v>4470001151.6860218</v>
      </c>
      <c r="F132" s="2199">
        <f t="shared" si="6"/>
        <v>148967270.72999999</v>
      </c>
      <c r="G132" s="2199">
        <f t="shared" si="6"/>
        <v>0</v>
      </c>
      <c r="H132" s="2199">
        <f t="shared" si="6"/>
        <v>10317983195.477741</v>
      </c>
      <c r="I132" s="2201">
        <f t="shared" si="6"/>
        <v>148967270.72999999</v>
      </c>
    </row>
    <row r="133" spans="1:9" x14ac:dyDescent="0.25">
      <c r="A133" s="706"/>
      <c r="B133" s="706"/>
      <c r="C133" s="706"/>
    </row>
    <row r="134" spans="1:9" x14ac:dyDescent="0.25">
      <c r="A134" s="1526" t="s">
        <v>1302</v>
      </c>
      <c r="B134" s="706"/>
      <c r="C134" s="706"/>
    </row>
    <row r="135" spans="1:9" x14ac:dyDescent="0.25">
      <c r="A135" s="692"/>
      <c r="B135" s="692"/>
      <c r="C135" s="692"/>
    </row>
    <row r="136" spans="1:9" x14ac:dyDescent="0.25">
      <c r="A136" s="134" t="s">
        <v>248</v>
      </c>
      <c r="B136" s="707"/>
      <c r="C136" s="707"/>
    </row>
    <row r="137" spans="1:9" x14ac:dyDescent="0.25">
      <c r="A137" s="134" t="s">
        <v>249</v>
      </c>
      <c r="B137" s="391" t="s">
        <v>250</v>
      </c>
      <c r="C137" s="708"/>
    </row>
  </sheetData>
  <hyperlinks>
    <hyperlink ref="B137"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J130"/>
  <sheetViews>
    <sheetView workbookViewId="0">
      <pane xSplit="3" ySplit="5" topLeftCell="D105" activePane="bottomRight" state="frozen"/>
      <selection pane="topRight" activeCell="D1" sqref="D1"/>
      <selection pane="bottomLeft" activeCell="A6" sqref="A6"/>
      <selection pane="bottomRight" activeCell="AJ5" sqref="B5:AJ125"/>
    </sheetView>
  </sheetViews>
  <sheetFormatPr defaultRowHeight="15.75" x14ac:dyDescent="0.25"/>
  <cols>
    <col min="1" max="1" width="6.125" style="134" bestFit="1" customWidth="1"/>
    <col min="2" max="2" width="29.375" style="157" customWidth="1"/>
    <col min="3" max="3" width="9.25" style="157" customWidth="1"/>
    <col min="4" max="7" width="15.25" style="738" customWidth="1"/>
    <col min="8" max="8" width="13.625" style="738" bestFit="1" customWidth="1"/>
    <col min="9" max="9" width="14.875" style="738" customWidth="1"/>
    <col min="10" max="10" width="12.625" style="738" bestFit="1" customWidth="1"/>
    <col min="11" max="11" width="13.625" style="738" bestFit="1" customWidth="1"/>
    <col min="12" max="12" width="14.875" style="738" bestFit="1" customWidth="1"/>
    <col min="13" max="23" width="16" style="738" customWidth="1"/>
    <col min="24" max="24" width="3.25" style="738" customWidth="1"/>
    <col min="25" max="25" width="9" style="267" customWidth="1"/>
    <col min="26" max="27" width="9" style="267"/>
    <col min="28" max="28" width="11" style="267" customWidth="1"/>
    <col min="29" max="29" width="3.875" style="692" customWidth="1"/>
    <col min="30" max="32" width="12.5" style="265" customWidth="1"/>
    <col min="33" max="33" width="9" style="692"/>
    <col min="34" max="36" width="12.5" style="265" customWidth="1"/>
    <col min="37" max="16384" width="9" style="692"/>
  </cols>
  <sheetData>
    <row r="1" spans="1:36" x14ac:dyDescent="0.25">
      <c r="A1" s="691" t="s">
        <v>1307</v>
      </c>
      <c r="B1" s="692"/>
      <c r="C1" s="692"/>
    </row>
    <row r="3" spans="1:36" x14ac:dyDescent="0.25">
      <c r="D3" s="2782" t="s">
        <v>698</v>
      </c>
      <c r="E3" s="2783"/>
      <c r="F3" s="2783"/>
      <c r="G3" s="2784"/>
      <c r="H3" s="2785" t="s">
        <v>699</v>
      </c>
      <c r="I3" s="2786"/>
      <c r="J3" s="2786"/>
      <c r="K3" s="2787"/>
      <c r="L3" s="2788" t="s">
        <v>1303</v>
      </c>
      <c r="M3" s="2789"/>
      <c r="N3" s="2789"/>
      <c r="O3" s="2790"/>
      <c r="P3" s="2794" t="s">
        <v>1304</v>
      </c>
      <c r="Q3" s="2795"/>
      <c r="R3" s="2795"/>
      <c r="S3" s="2796"/>
      <c r="T3" s="2791" t="s">
        <v>1306</v>
      </c>
      <c r="U3" s="2792"/>
      <c r="V3" s="2792"/>
      <c r="W3" s="2793"/>
      <c r="X3" s="739"/>
      <c r="Y3" s="2779" t="s">
        <v>694</v>
      </c>
      <c r="Z3" s="2780"/>
      <c r="AA3" s="2780"/>
      <c r="AB3" s="2781"/>
      <c r="AD3" s="2779" t="s">
        <v>1040</v>
      </c>
      <c r="AE3" s="2780"/>
      <c r="AF3" s="2781"/>
      <c r="AH3" s="2779" t="s">
        <v>1041</v>
      </c>
      <c r="AI3" s="2780"/>
      <c r="AJ3" s="2781"/>
    </row>
    <row r="4" spans="1:36" ht="31.5" x14ac:dyDescent="0.25">
      <c r="A4" s="693" t="s">
        <v>4</v>
      </c>
      <c r="B4" s="179" t="s">
        <v>5</v>
      </c>
      <c r="C4" s="179" t="s">
        <v>251</v>
      </c>
      <c r="D4" s="2226" t="s">
        <v>314</v>
      </c>
      <c r="E4" s="2227" t="s">
        <v>315</v>
      </c>
      <c r="F4" s="2228" t="s">
        <v>661</v>
      </c>
      <c r="G4" s="2229" t="s">
        <v>281</v>
      </c>
      <c r="H4" s="2226" t="s">
        <v>314</v>
      </c>
      <c r="I4" s="2227" t="s">
        <v>315</v>
      </c>
      <c r="J4" s="2228" t="s">
        <v>661</v>
      </c>
      <c r="K4" s="2229" t="s">
        <v>281</v>
      </c>
      <c r="L4" s="2222" t="s">
        <v>314</v>
      </c>
      <c r="M4" s="2223" t="s">
        <v>315</v>
      </c>
      <c r="N4" s="2224" t="s">
        <v>661</v>
      </c>
      <c r="O4" s="2225" t="s">
        <v>281</v>
      </c>
      <c r="P4" s="2215" t="s">
        <v>314</v>
      </c>
      <c r="Q4" s="2216" t="s">
        <v>315</v>
      </c>
      <c r="R4" s="2216" t="s">
        <v>661</v>
      </c>
      <c r="S4" s="2217" t="s">
        <v>281</v>
      </c>
      <c r="T4" s="2215" t="s">
        <v>314</v>
      </c>
      <c r="U4" s="2218" t="s">
        <v>315</v>
      </c>
      <c r="V4" s="2216" t="s">
        <v>661</v>
      </c>
      <c r="W4" s="2217" t="s">
        <v>281</v>
      </c>
      <c r="X4" s="740"/>
      <c r="Y4" s="1235" t="s">
        <v>695</v>
      </c>
      <c r="Z4" s="758" t="s">
        <v>696</v>
      </c>
      <c r="AA4" s="758" t="s">
        <v>697</v>
      </c>
      <c r="AB4" s="751" t="s">
        <v>705</v>
      </c>
      <c r="AD4" s="750" t="s">
        <v>702</v>
      </c>
      <c r="AE4" s="758" t="s">
        <v>703</v>
      </c>
      <c r="AF4" s="759" t="s">
        <v>704</v>
      </c>
      <c r="AH4" s="750" t="s">
        <v>702</v>
      </c>
      <c r="AI4" s="758" t="s">
        <v>703</v>
      </c>
      <c r="AJ4" s="759" t="s">
        <v>704</v>
      </c>
    </row>
    <row r="5" spans="1:36" x14ac:dyDescent="0.25">
      <c r="A5" s="741" t="s">
        <v>8</v>
      </c>
      <c r="B5" s="742" t="s">
        <v>9</v>
      </c>
      <c r="C5" s="742"/>
      <c r="D5" s="745">
        <f>'Administration LASER'!D4+'Other Oper Exp. LASER'!D4</f>
        <v>310095406.79999995</v>
      </c>
      <c r="E5" s="746">
        <f>'Administration LASER'!E4+'Other Oper Exp. LASER'!E4</f>
        <v>117735301.35000001</v>
      </c>
      <c r="F5" s="746">
        <f>'Administration LASER'!K4+'Other Oper Exp. LASER'!K4</f>
        <v>243961978.24000013</v>
      </c>
      <c r="G5" s="2203">
        <f>'Administration LASER'!I4+'Other Oper Exp. LASER'!I4</f>
        <v>671792686.39000034</v>
      </c>
      <c r="H5" s="745">
        <f>'Client Services LASER'!D4</f>
        <v>13157473.210000001</v>
      </c>
      <c r="I5" s="746">
        <f>'Client Services LASER'!E4</f>
        <v>9131449.1799999997</v>
      </c>
      <c r="J5" s="746">
        <f>'Client Services LASER'!K4</f>
        <v>8436298.1799999997</v>
      </c>
      <c r="K5" s="2203">
        <f>'Client Services LASER'!I4</f>
        <v>30725220.570000004</v>
      </c>
      <c r="L5" s="2204">
        <f>SUM(L6:L125)</f>
        <v>5699014773.0617189</v>
      </c>
      <c r="M5" s="2205">
        <f>SUM(M6:M125)</f>
        <v>4470001151.6860199</v>
      </c>
      <c r="N5" s="2205">
        <f>SUM(N6:N125)</f>
        <v>148967270.72999999</v>
      </c>
      <c r="O5" s="2206">
        <f t="shared" ref="O5:O36" si="0">SUM(L5:N5)</f>
        <v>10317983195.477737</v>
      </c>
      <c r="P5" s="2213">
        <f t="shared" ref="P5:S5" si="1">SUM(P6:P125)</f>
        <v>84664500.530000001</v>
      </c>
      <c r="Q5" s="2214">
        <f t="shared" si="1"/>
        <v>124641248.31000002</v>
      </c>
      <c r="R5" s="2214">
        <f t="shared" si="1"/>
        <v>6545427.0399999972</v>
      </c>
      <c r="S5" s="2206">
        <f t="shared" si="1"/>
        <v>215851175.88000008</v>
      </c>
      <c r="T5" s="2219">
        <f t="shared" ref="T5:W5" si="2">SUM(T6:T125)</f>
        <v>6106932153.6017199</v>
      </c>
      <c r="U5" s="2220">
        <f t="shared" si="2"/>
        <v>4721509150.5260239</v>
      </c>
      <c r="V5" s="2220">
        <f t="shared" si="2"/>
        <v>407910974.19000006</v>
      </c>
      <c r="W5" s="2221">
        <f t="shared" si="2"/>
        <v>11236352278.317739</v>
      </c>
      <c r="X5" s="743"/>
      <c r="Y5" s="752">
        <f t="shared" ref="Y5:Y36" si="3">D5/G5</f>
        <v>0.46159390103865788</v>
      </c>
      <c r="Z5" s="753">
        <f t="shared" ref="Z5:Z36" si="4">E5/G5</f>
        <v>0.17525540800789596</v>
      </c>
      <c r="AA5" s="753">
        <f t="shared" ref="AA5:AA36" si="5">F5/G5</f>
        <v>0.36315069095344576</v>
      </c>
      <c r="AB5" s="754">
        <f>(D5+E5)/G5</f>
        <v>0.6368493090465539</v>
      </c>
      <c r="AD5" s="1227">
        <f>G5/W5</f>
        <v>5.978743543723946E-2</v>
      </c>
      <c r="AE5" s="1228">
        <f>K5/W5</f>
        <v>2.7344479604194164E-3</v>
      </c>
      <c r="AF5" s="1229">
        <f>(O5+S5)/W5</f>
        <v>0.93747811660234093</v>
      </c>
      <c r="AH5" s="1227">
        <f>F5/V5</f>
        <v>0.59807652570378156</v>
      </c>
      <c r="AI5" s="1228">
        <f>J5/V5</f>
        <v>2.0681714182248189E-2</v>
      </c>
      <c r="AJ5" s="1229">
        <f>(N5+R5)/V5</f>
        <v>0.38124176011397043</v>
      </c>
    </row>
    <row r="6" spans="1:36" x14ac:dyDescent="0.25">
      <c r="A6" s="701" t="s">
        <v>10</v>
      </c>
      <c r="B6" s="564" t="s">
        <v>11</v>
      </c>
      <c r="C6" s="702" t="s">
        <v>264</v>
      </c>
      <c r="D6" s="747">
        <f>'Administration LASER'!D5+'Other Oper Exp. LASER'!D5</f>
        <v>1754915.3685739161</v>
      </c>
      <c r="E6" s="748">
        <f>'Administration LASER'!E5+'Other Oper Exp. LASER'!E5</f>
        <v>907292.74142608361</v>
      </c>
      <c r="F6" s="748">
        <f>'Administration LASER'!K5+'Other Oper Exp. LASER'!K5</f>
        <v>800629.75</v>
      </c>
      <c r="G6" s="749">
        <f>'Administration LASER'!I5+'Other Oper Exp. LASER'!I5</f>
        <v>3462837.8600000003</v>
      </c>
      <c r="H6" s="747">
        <f>'Client Services LASER'!D5</f>
        <v>75043.116412817908</v>
      </c>
      <c r="I6" s="748">
        <f>'Client Services LASER'!E5</f>
        <v>10340.553587182094</v>
      </c>
      <c r="J6" s="748">
        <f>'Client Services LASER'!K5</f>
        <v>20905.640000000003</v>
      </c>
      <c r="K6" s="749">
        <f>'Client Services LASER'!I5</f>
        <v>106289.31</v>
      </c>
      <c r="L6" s="2207">
        <f>'Statewide Benefits'!D6</f>
        <v>34446293.99288553</v>
      </c>
      <c r="M6" s="2208">
        <f>'Statewide Benefits'!E6</f>
        <v>25262050.324186265</v>
      </c>
      <c r="N6" s="2208">
        <f>'Statewide Benefits'!I6</f>
        <v>175315.54</v>
      </c>
      <c r="O6" s="2209">
        <f t="shared" si="0"/>
        <v>59883659.857071795</v>
      </c>
      <c r="P6" s="2207">
        <f>'Other Benefits LASER'!D5+'FC &amp; Adoptions LASER'!D5</f>
        <v>124531.47</v>
      </c>
      <c r="Q6" s="2208">
        <f>'Other Benefits LASER'!E5 + 'FC &amp; Adoptions LASER'!E5</f>
        <v>329943.71999999997</v>
      </c>
      <c r="R6" s="2208">
        <f>'Other Benefits LASER'!H5 + 'FC &amp; Adoptions LASER'!H5</f>
        <v>34228.17</v>
      </c>
      <c r="S6" s="2209">
        <f>SUM(P6:R6)</f>
        <v>488703.35999999993</v>
      </c>
      <c r="T6" s="2207">
        <f>D6+H6+L6+P6</f>
        <v>36400783.947872266</v>
      </c>
      <c r="U6" s="2208">
        <f>E6+I6+M6+Q6</f>
        <v>26509627.339199528</v>
      </c>
      <c r="V6" s="2208">
        <f>F6+J6+N6+R6</f>
        <v>1031079.1000000001</v>
      </c>
      <c r="W6" s="2209">
        <f>G6+K6+O6+S6</f>
        <v>63941490.387071796</v>
      </c>
      <c r="Y6" s="594">
        <f t="shared" si="3"/>
        <v>0.50678531294962681</v>
      </c>
      <c r="Z6" s="595">
        <f t="shared" si="4"/>
        <v>0.26200843877399549</v>
      </c>
      <c r="AA6" s="595">
        <f t="shared" si="5"/>
        <v>0.23120624827637756</v>
      </c>
      <c r="AB6" s="596">
        <f t="shared" ref="AB6:AB69" si="6">(D6+E6)/G6</f>
        <v>0.7687937517236223</v>
      </c>
      <c r="AD6" s="1231">
        <f t="shared" ref="AD6:AD69" si="7">G6/W6</f>
        <v>5.4156351987381023E-2</v>
      </c>
      <c r="AE6" s="1189">
        <f t="shared" ref="AE6:AE69" si="8">K6/W6</f>
        <v>1.6622901555245955E-3</v>
      </c>
      <c r="AF6" s="1233">
        <f t="shared" ref="AF6:AF69" si="9">(O6+S6)/W6</f>
        <v>0.94418135785709434</v>
      </c>
      <c r="AH6" s="1231">
        <f t="shared" ref="AH6:AH69" si="10">F6/V6</f>
        <v>0.77649692443576823</v>
      </c>
      <c r="AI6" s="1189">
        <f t="shared" ref="AI6:AI69" si="11">J6/V6</f>
        <v>2.0275495837322279E-2</v>
      </c>
      <c r="AJ6" s="1233">
        <f t="shared" ref="AJ6:AJ69" si="12">(N6+R6)/V6</f>
        <v>0.20322757972690941</v>
      </c>
    </row>
    <row r="7" spans="1:36" x14ac:dyDescent="0.25">
      <c r="A7" s="701" t="s">
        <v>12</v>
      </c>
      <c r="B7" s="564" t="s">
        <v>13</v>
      </c>
      <c r="C7" s="702" t="s">
        <v>265</v>
      </c>
      <c r="D7" s="747">
        <f>'Administration LASER'!D6+'Other Oper Exp. LASER'!D6</f>
        <v>4684072.6525051594</v>
      </c>
      <c r="E7" s="748">
        <f>'Administration LASER'!E6+'Other Oper Exp. LASER'!E6</f>
        <v>882978.91749484057</v>
      </c>
      <c r="F7" s="748">
        <f>'Administration LASER'!K6+'Other Oper Exp. LASER'!K6</f>
        <v>6665148.8500000006</v>
      </c>
      <c r="G7" s="749">
        <f>'Administration LASER'!I6+'Other Oper Exp. LASER'!I6</f>
        <v>12232200.42</v>
      </c>
      <c r="H7" s="747">
        <f>'Client Services LASER'!D6</f>
        <v>239707.6518660039</v>
      </c>
      <c r="I7" s="748">
        <f>'Client Services LASER'!E6</f>
        <v>83166.57813399611</v>
      </c>
      <c r="J7" s="748">
        <f>'Client Services LASER'!K6</f>
        <v>82736.48000000001</v>
      </c>
      <c r="K7" s="749">
        <f>'Client Services LASER'!I6</f>
        <v>405610.70999999996</v>
      </c>
      <c r="L7" s="2207">
        <f>'Statewide Benefits'!D7</f>
        <v>43707986.362126932</v>
      </c>
      <c r="M7" s="2208">
        <f>'Statewide Benefits'!E7</f>
        <v>38180573.587643124</v>
      </c>
      <c r="N7" s="2208">
        <f>'Statewide Benefits'!I7</f>
        <v>3456612.7</v>
      </c>
      <c r="O7" s="2209">
        <f t="shared" si="0"/>
        <v>85345172.649770066</v>
      </c>
      <c r="P7" s="2207">
        <f>'Other Benefits LASER'!D6+'FC &amp; Adoptions LASER'!D6</f>
        <v>1254792.5999999999</v>
      </c>
      <c r="Q7" s="2208">
        <f>'Other Benefits LASER'!E6 + 'FC &amp; Adoptions LASER'!E6</f>
        <v>1644844.17</v>
      </c>
      <c r="R7" s="2208">
        <f>'Other Benefits LASER'!H6 + 'FC &amp; Adoptions LASER'!H6</f>
        <v>34262.119999999995</v>
      </c>
      <c r="S7" s="2209">
        <f t="shared" ref="S7:S70" si="13">SUM(P7:R7)</f>
        <v>2933898.8899999997</v>
      </c>
      <c r="T7" s="2207">
        <f t="shared" ref="T7:T70" si="14">D7+H7+L7+P7</f>
        <v>49886559.266498096</v>
      </c>
      <c r="U7" s="2208">
        <f t="shared" ref="U7:U70" si="15">E7+I7+M7+Q7</f>
        <v>40791563.25327196</v>
      </c>
      <c r="V7" s="2208">
        <f t="shared" ref="V7:V70" si="16">F7+J7+N7+R7</f>
        <v>10238760.15</v>
      </c>
      <c r="W7" s="2209">
        <f t="shared" ref="W7:W70" si="17">G7+K7+O7+S7</f>
        <v>100916882.66977006</v>
      </c>
      <c r="Y7" s="594">
        <f t="shared" si="3"/>
        <v>0.38292968490334461</v>
      </c>
      <c r="Z7" s="595">
        <f t="shared" si="4"/>
        <v>7.2184798088424429E-2</v>
      </c>
      <c r="AA7" s="595">
        <f t="shared" si="5"/>
        <v>0.54488551700823107</v>
      </c>
      <c r="AB7" s="596">
        <f t="shared" si="6"/>
        <v>0.45511448299176904</v>
      </c>
      <c r="AD7" s="1231">
        <f t="shared" si="7"/>
        <v>0.12121064480387671</v>
      </c>
      <c r="AE7" s="1189">
        <f t="shared" si="8"/>
        <v>4.0192552452029103E-3</v>
      </c>
      <c r="AF7" s="1233">
        <f t="shared" si="9"/>
        <v>0.87477009995092048</v>
      </c>
      <c r="AH7" s="1231">
        <f t="shared" si="10"/>
        <v>0.65097226151937937</v>
      </c>
      <c r="AI7" s="1189">
        <f t="shared" si="11"/>
        <v>8.0807127804434411E-3</v>
      </c>
      <c r="AJ7" s="1233">
        <f t="shared" si="12"/>
        <v>0.34094702570017721</v>
      </c>
    </row>
    <row r="8" spans="1:36" x14ac:dyDescent="0.25">
      <c r="A8" s="701" t="s">
        <v>16</v>
      </c>
      <c r="B8" s="564" t="s">
        <v>297</v>
      </c>
      <c r="C8" s="702" t="s">
        <v>265</v>
      </c>
      <c r="D8" s="747">
        <f>'Administration LASER'!D7+'Other Oper Exp. LASER'!D7</f>
        <v>1031096.2389524861</v>
      </c>
      <c r="E8" s="748">
        <f>'Administration LASER'!E7+'Other Oper Exp. LASER'!E7</f>
        <v>500939.32104751398</v>
      </c>
      <c r="F8" s="748">
        <f>'Administration LASER'!K7+'Other Oper Exp. LASER'!K7</f>
        <v>491665.6</v>
      </c>
      <c r="G8" s="749">
        <f>'Administration LASER'!I7+'Other Oper Exp. LASER'!I7</f>
        <v>2023701.16</v>
      </c>
      <c r="H8" s="747">
        <f>'Client Services LASER'!D7</f>
        <v>94785.241430093927</v>
      </c>
      <c r="I8" s="748">
        <f>'Client Services LASER'!E7</f>
        <v>19669.938569906069</v>
      </c>
      <c r="J8" s="748">
        <f>'Client Services LASER'!K7</f>
        <v>23768.42</v>
      </c>
      <c r="K8" s="749">
        <f>'Client Services LASER'!I7</f>
        <v>138223.6</v>
      </c>
      <c r="L8" s="2207">
        <f>'Statewide Benefits'!D8</f>
        <v>23214385.087085471</v>
      </c>
      <c r="M8" s="2208">
        <f>'Statewide Benefits'!E8</f>
        <v>20453728.104499865</v>
      </c>
      <c r="N8" s="2208">
        <f>'Statewide Benefits'!I8</f>
        <v>766417.87</v>
      </c>
      <c r="O8" s="2209">
        <f t="shared" si="0"/>
        <v>44434531.061585329</v>
      </c>
      <c r="P8" s="2207">
        <f>'Other Benefits LASER'!D7+'FC &amp; Adoptions LASER'!D7</f>
        <v>75297.87</v>
      </c>
      <c r="Q8" s="2208">
        <f>'Other Benefits LASER'!E7 + 'FC &amp; Adoptions LASER'!E7</f>
        <v>138712.35999999999</v>
      </c>
      <c r="R8" s="2208">
        <f>'Other Benefits LASER'!H7 + 'FC &amp; Adoptions LASER'!H7</f>
        <v>9574.5299999999988</v>
      </c>
      <c r="S8" s="2209">
        <f t="shared" si="13"/>
        <v>223584.75999999998</v>
      </c>
      <c r="T8" s="2207">
        <f t="shared" si="14"/>
        <v>24415564.437468052</v>
      </c>
      <c r="U8" s="2208">
        <f t="shared" si="15"/>
        <v>21113049.724117287</v>
      </c>
      <c r="V8" s="2208">
        <f t="shared" si="16"/>
        <v>1291426.42</v>
      </c>
      <c r="W8" s="2209">
        <f t="shared" si="17"/>
        <v>46820040.581585325</v>
      </c>
      <c r="Y8" s="594">
        <f t="shared" si="3"/>
        <v>0.5095101289325179</v>
      </c>
      <c r="Z8" s="595">
        <f t="shared" si="4"/>
        <v>0.24753621283070965</v>
      </c>
      <c r="AA8" s="595">
        <f t="shared" si="5"/>
        <v>0.24295365823677248</v>
      </c>
      <c r="AB8" s="596">
        <f t="shared" si="6"/>
        <v>0.7570463417632276</v>
      </c>
      <c r="AD8" s="1231">
        <f t="shared" si="7"/>
        <v>4.3222968943686407E-2</v>
      </c>
      <c r="AE8" s="1189">
        <f t="shared" si="8"/>
        <v>2.9522315291278154E-3</v>
      </c>
      <c r="AF8" s="1233">
        <f t="shared" si="9"/>
        <v>0.9538247995271858</v>
      </c>
      <c r="AH8" s="1231">
        <f t="shared" si="10"/>
        <v>0.38071514751881874</v>
      </c>
      <c r="AI8" s="1189">
        <f t="shared" si="11"/>
        <v>1.8404780661061586E-2</v>
      </c>
      <c r="AJ8" s="1233">
        <f t="shared" si="12"/>
        <v>0.60088007182011971</v>
      </c>
    </row>
    <row r="9" spans="1:36" x14ac:dyDescent="0.25">
      <c r="A9" s="701" t="s">
        <v>18</v>
      </c>
      <c r="B9" s="564" t="s">
        <v>19</v>
      </c>
      <c r="C9" s="702" t="s">
        <v>266</v>
      </c>
      <c r="D9" s="747">
        <f>'Administration LASER'!D8+'Other Oper Exp. LASER'!D8</f>
        <v>591697.32145277655</v>
      </c>
      <c r="E9" s="748">
        <f>'Administration LASER'!E8+'Other Oper Exp. LASER'!E8</f>
        <v>245263.45854722348</v>
      </c>
      <c r="F9" s="748">
        <f>'Administration LASER'!K8+'Other Oper Exp. LASER'!K8</f>
        <v>399074.49</v>
      </c>
      <c r="G9" s="749">
        <f>'Administration LASER'!I8+'Other Oper Exp. LASER'!I8</f>
        <v>1236035.27</v>
      </c>
      <c r="H9" s="747">
        <f>'Client Services LASER'!D8</f>
        <v>18763.089838876156</v>
      </c>
      <c r="I9" s="748">
        <f>'Client Services LASER'!E8</f>
        <v>28748.780161123839</v>
      </c>
      <c r="J9" s="748">
        <f>'Client Services LASER'!K8</f>
        <v>8910.3799999999992</v>
      </c>
      <c r="K9" s="749">
        <f>'Client Services LASER'!I8</f>
        <v>56422.249999999993</v>
      </c>
      <c r="L9" s="2207">
        <f>'Statewide Benefits'!D9</f>
        <v>11397375.994840737</v>
      </c>
      <c r="M9" s="2208">
        <f>'Statewide Benefits'!E9</f>
        <v>8954759.841416847</v>
      </c>
      <c r="N9" s="2208">
        <f>'Statewide Benefits'!I9</f>
        <v>152034.02000000002</v>
      </c>
      <c r="O9" s="2209">
        <f t="shared" si="0"/>
        <v>20504169.856257584</v>
      </c>
      <c r="P9" s="2207">
        <f>'Other Benefits LASER'!D8+'FC &amp; Adoptions LASER'!D8</f>
        <v>30635.18</v>
      </c>
      <c r="Q9" s="2208">
        <f>'Other Benefits LASER'!E8 + 'FC &amp; Adoptions LASER'!E8</f>
        <v>135172.38</v>
      </c>
      <c r="R9" s="2208">
        <f>'Other Benefits LASER'!H8 + 'FC &amp; Adoptions LASER'!H8</f>
        <v>18056.79</v>
      </c>
      <c r="S9" s="2209">
        <f t="shared" si="13"/>
        <v>183864.35</v>
      </c>
      <c r="T9" s="2207">
        <f t="shared" si="14"/>
        <v>12038471.58613239</v>
      </c>
      <c r="U9" s="2208">
        <f t="shared" si="15"/>
        <v>9363944.4601251949</v>
      </c>
      <c r="V9" s="2208">
        <f t="shared" si="16"/>
        <v>578075.68000000005</v>
      </c>
      <c r="W9" s="2209">
        <f t="shared" si="17"/>
        <v>21980491.726257585</v>
      </c>
      <c r="Y9" s="594">
        <f t="shared" si="3"/>
        <v>0.47870585558029954</v>
      </c>
      <c r="Z9" s="595">
        <f t="shared" si="4"/>
        <v>0.19842755664021097</v>
      </c>
      <c r="AA9" s="595">
        <f t="shared" si="5"/>
        <v>0.32286658777948951</v>
      </c>
      <c r="AB9" s="596">
        <f t="shared" si="6"/>
        <v>0.67713341222051049</v>
      </c>
      <c r="AD9" s="1231">
        <f t="shared" si="7"/>
        <v>5.6233285651360099E-2</v>
      </c>
      <c r="AE9" s="1189">
        <f t="shared" si="8"/>
        <v>2.5669239206600083E-3</v>
      </c>
      <c r="AF9" s="1233">
        <f t="shared" si="9"/>
        <v>0.94119979042797997</v>
      </c>
      <c r="AH9" s="1231">
        <f t="shared" si="10"/>
        <v>0.69034990366659255</v>
      </c>
      <c r="AI9" s="1189">
        <f t="shared" si="11"/>
        <v>1.5413864150105741E-2</v>
      </c>
      <c r="AJ9" s="1233">
        <f t="shared" si="12"/>
        <v>0.29423623218330169</v>
      </c>
    </row>
    <row r="10" spans="1:36" x14ac:dyDescent="0.25">
      <c r="A10" s="701" t="s">
        <v>20</v>
      </c>
      <c r="B10" s="564" t="s">
        <v>21</v>
      </c>
      <c r="C10" s="702" t="s">
        <v>265</v>
      </c>
      <c r="D10" s="747">
        <f>'Administration LASER'!D9+'Other Oper Exp. LASER'!D9</f>
        <v>1007688.3656641045</v>
      </c>
      <c r="E10" s="748">
        <f>'Administration LASER'!E9+'Other Oper Exp. LASER'!E9</f>
        <v>462873.94433589553</v>
      </c>
      <c r="F10" s="748">
        <f>'Administration LASER'!K9+'Other Oper Exp. LASER'!K9</f>
        <v>604160.87</v>
      </c>
      <c r="G10" s="749">
        <f>'Administration LASER'!I9+'Other Oper Exp. LASER'!I9</f>
        <v>2074723.1800000002</v>
      </c>
      <c r="H10" s="747">
        <f>'Client Services LASER'!D9</f>
        <v>44218.531869831335</v>
      </c>
      <c r="I10" s="748">
        <f>'Client Services LASER'!E9</f>
        <v>9333.5381301686702</v>
      </c>
      <c r="J10" s="748">
        <f>'Client Services LASER'!K9</f>
        <v>11391.21</v>
      </c>
      <c r="K10" s="749">
        <f>'Client Services LASER'!I9</f>
        <v>64943.280000000006</v>
      </c>
      <c r="L10" s="2207">
        <f>'Statewide Benefits'!D10</f>
        <v>29935674.175381362</v>
      </c>
      <c r="M10" s="2208">
        <f>'Statewide Benefits'!E10</f>
        <v>24666765.124010686</v>
      </c>
      <c r="N10" s="2208">
        <f>'Statewide Benefits'!I10</f>
        <v>490925.7</v>
      </c>
      <c r="O10" s="2209">
        <f t="shared" si="0"/>
        <v>55093364.999392048</v>
      </c>
      <c r="P10" s="2207">
        <f>'Other Benefits LASER'!D9+'FC &amp; Adoptions LASER'!D9</f>
        <v>115789.38</v>
      </c>
      <c r="Q10" s="2208">
        <f>'Other Benefits LASER'!E9 + 'FC &amp; Adoptions LASER'!E9</f>
        <v>261887.58000000002</v>
      </c>
      <c r="R10" s="2208">
        <f>'Other Benefits LASER'!H9 + 'FC &amp; Adoptions LASER'!H9</f>
        <v>32747.040000000001</v>
      </c>
      <c r="S10" s="2209">
        <f t="shared" si="13"/>
        <v>410424</v>
      </c>
      <c r="T10" s="2207">
        <f t="shared" si="14"/>
        <v>31103370.452915296</v>
      </c>
      <c r="U10" s="2208">
        <f t="shared" si="15"/>
        <v>25400860.186476748</v>
      </c>
      <c r="V10" s="2208">
        <f t="shared" si="16"/>
        <v>1139224.82</v>
      </c>
      <c r="W10" s="2209">
        <f t="shared" si="17"/>
        <v>57643455.459392048</v>
      </c>
      <c r="Y10" s="594">
        <f t="shared" si="3"/>
        <v>0.48569774289797274</v>
      </c>
      <c r="Z10" s="595">
        <f t="shared" si="4"/>
        <v>0.22310154376156124</v>
      </c>
      <c r="AA10" s="595">
        <f t="shared" si="5"/>
        <v>0.29120071334046593</v>
      </c>
      <c r="AB10" s="596">
        <f t="shared" si="6"/>
        <v>0.70879928665953396</v>
      </c>
      <c r="AD10" s="1231">
        <f t="shared" si="7"/>
        <v>3.5992345765280771E-2</v>
      </c>
      <c r="AE10" s="1189">
        <f t="shared" si="8"/>
        <v>1.1266375251523643E-3</v>
      </c>
      <c r="AF10" s="1233">
        <f t="shared" si="9"/>
        <v>0.96288101670956683</v>
      </c>
      <c r="AH10" s="1231">
        <f t="shared" si="10"/>
        <v>0.53032628801047366</v>
      </c>
      <c r="AI10" s="1189">
        <f t="shared" si="11"/>
        <v>9.9990886785630232E-3</v>
      </c>
      <c r="AJ10" s="1233">
        <f t="shared" si="12"/>
        <v>0.45967462331096332</v>
      </c>
    </row>
    <row r="11" spans="1:36" x14ac:dyDescent="0.25">
      <c r="A11" s="701" t="s">
        <v>22</v>
      </c>
      <c r="B11" s="564" t="s">
        <v>23</v>
      </c>
      <c r="C11" s="702" t="s">
        <v>265</v>
      </c>
      <c r="D11" s="747">
        <f>'Administration LASER'!D10+'Other Oper Exp. LASER'!D10</f>
        <v>577535.04379501776</v>
      </c>
      <c r="E11" s="748">
        <f>'Administration LASER'!E10+'Other Oper Exp. LASER'!E10</f>
        <v>285960.92620498216</v>
      </c>
      <c r="F11" s="748">
        <f>'Administration LASER'!K10+'Other Oper Exp. LASER'!K10</f>
        <v>288901.68</v>
      </c>
      <c r="G11" s="749">
        <f>'Administration LASER'!I10+'Other Oper Exp. LASER'!I10</f>
        <v>1152397.6499999999</v>
      </c>
      <c r="H11" s="747">
        <f>'Client Services LASER'!D10</f>
        <v>25614.958193113078</v>
      </c>
      <c r="I11" s="748">
        <f>'Client Services LASER'!E10</f>
        <v>12860.831806886923</v>
      </c>
      <c r="J11" s="748">
        <f>'Client Services LASER'!K10</f>
        <v>6457.8499999999995</v>
      </c>
      <c r="K11" s="749">
        <f>'Client Services LASER'!I10</f>
        <v>44933.640000000007</v>
      </c>
      <c r="L11" s="2207">
        <f>'Statewide Benefits'!D11</f>
        <v>16788357.96983061</v>
      </c>
      <c r="M11" s="2208">
        <f>'Statewide Benefits'!E11</f>
        <v>13712036.363083912</v>
      </c>
      <c r="N11" s="2208">
        <f>'Statewide Benefits'!I11</f>
        <v>537787.98</v>
      </c>
      <c r="O11" s="2209">
        <f t="shared" si="0"/>
        <v>31038182.312914524</v>
      </c>
      <c r="P11" s="2207">
        <f>'Other Benefits LASER'!D10+'FC &amp; Adoptions LASER'!D10</f>
        <v>229276.68</v>
      </c>
      <c r="Q11" s="2208">
        <f>'Other Benefits LASER'!E10 + 'FC &amp; Adoptions LASER'!E10</f>
        <v>313809.68</v>
      </c>
      <c r="R11" s="2208">
        <f>'Other Benefits LASER'!H10 + 'FC &amp; Adoptions LASER'!H10</f>
        <v>12582.85</v>
      </c>
      <c r="S11" s="2209">
        <f t="shared" si="13"/>
        <v>555669.21</v>
      </c>
      <c r="T11" s="2207">
        <f t="shared" si="14"/>
        <v>17620784.651818741</v>
      </c>
      <c r="U11" s="2208">
        <f t="shared" si="15"/>
        <v>14324667.80109578</v>
      </c>
      <c r="V11" s="2208">
        <f t="shared" si="16"/>
        <v>845730.36</v>
      </c>
      <c r="W11" s="2209">
        <f t="shared" si="17"/>
        <v>32791182.812914524</v>
      </c>
      <c r="Y11" s="594">
        <f t="shared" si="3"/>
        <v>0.50115951190547625</v>
      </c>
      <c r="Z11" s="595">
        <f t="shared" si="4"/>
        <v>0.24814431564051018</v>
      </c>
      <c r="AA11" s="595">
        <f t="shared" si="5"/>
        <v>0.2506961724540136</v>
      </c>
      <c r="AB11" s="596">
        <f t="shared" si="6"/>
        <v>0.74930382754598646</v>
      </c>
      <c r="AD11" s="1231">
        <f t="shared" si="7"/>
        <v>3.5143521859972007E-2</v>
      </c>
      <c r="AE11" s="1189">
        <f t="shared" si="8"/>
        <v>1.3702964073105432E-3</v>
      </c>
      <c r="AF11" s="1233">
        <f t="shared" si="9"/>
        <v>0.96348618173271749</v>
      </c>
      <c r="AH11" s="1231">
        <f t="shared" si="10"/>
        <v>0.34160022350386005</v>
      </c>
      <c r="AI11" s="1189">
        <f t="shared" si="11"/>
        <v>7.6358261514934854E-3</v>
      </c>
      <c r="AJ11" s="1233">
        <f t="shared" si="12"/>
        <v>0.6507639503446464</v>
      </c>
    </row>
    <row r="12" spans="1:36" x14ac:dyDescent="0.25">
      <c r="A12" s="701" t="s">
        <v>24</v>
      </c>
      <c r="B12" s="564" t="s">
        <v>25</v>
      </c>
      <c r="C12" s="702" t="s">
        <v>267</v>
      </c>
      <c r="D12" s="747">
        <f>'Administration LASER'!D11+'Other Oper Exp. LASER'!D11</f>
        <v>8546355.5671378914</v>
      </c>
      <c r="E12" s="748">
        <f>'Administration LASER'!E11+'Other Oper Exp. LASER'!E11</f>
        <v>2306826.4728621081</v>
      </c>
      <c r="F12" s="748">
        <f>'Administration LASER'!K11+'Other Oper Exp. LASER'!K11</f>
        <v>10095969.210000001</v>
      </c>
      <c r="G12" s="749">
        <f>'Administration LASER'!I11+'Other Oper Exp. LASER'!I11</f>
        <v>20949151.249999996</v>
      </c>
      <c r="H12" s="747">
        <f>'Client Services LASER'!D11</f>
        <v>337328.79450756434</v>
      </c>
      <c r="I12" s="748">
        <f>'Client Services LASER'!E11</f>
        <v>64040.735492435706</v>
      </c>
      <c r="J12" s="748">
        <f>'Client Services LASER'!K11</f>
        <v>1236000.1000000001</v>
      </c>
      <c r="K12" s="749">
        <f>'Client Services LASER'!I11</f>
        <v>1637369.6300000001</v>
      </c>
      <c r="L12" s="2207">
        <f>'Statewide Benefits'!D12</f>
        <v>72741569.372739166</v>
      </c>
      <c r="M12" s="2208">
        <f>'Statewide Benefits'!E12</f>
        <v>60996066.62352483</v>
      </c>
      <c r="N12" s="2208">
        <f>'Statewide Benefits'!I12</f>
        <v>3248830.0999999996</v>
      </c>
      <c r="O12" s="2209">
        <f t="shared" si="0"/>
        <v>136986466.096264</v>
      </c>
      <c r="P12" s="2207">
        <f>'Other Benefits LASER'!D11+'FC &amp; Adoptions LASER'!D11</f>
        <v>1156221.3599999999</v>
      </c>
      <c r="Q12" s="2208">
        <f>'Other Benefits LASER'!E11 + 'FC &amp; Adoptions LASER'!E11</f>
        <v>1707702.93</v>
      </c>
      <c r="R12" s="2208">
        <f>'Other Benefits LASER'!H11 + 'FC &amp; Adoptions LASER'!H11</f>
        <v>544203.2699999999</v>
      </c>
      <c r="S12" s="2209">
        <f t="shared" si="13"/>
        <v>3408127.56</v>
      </c>
      <c r="T12" s="2207">
        <f t="shared" si="14"/>
        <v>82781475.094384626</v>
      </c>
      <c r="U12" s="2208">
        <f t="shared" si="15"/>
        <v>65074636.761879377</v>
      </c>
      <c r="V12" s="2208">
        <f t="shared" si="16"/>
        <v>15125002.68</v>
      </c>
      <c r="W12" s="2209">
        <f t="shared" si="17"/>
        <v>162981114.536264</v>
      </c>
      <c r="Y12" s="594">
        <f t="shared" si="3"/>
        <v>0.40795712748209279</v>
      </c>
      <c r="Z12" s="595">
        <f t="shared" si="4"/>
        <v>0.11011550994755019</v>
      </c>
      <c r="AA12" s="595">
        <f t="shared" si="5"/>
        <v>0.48192736257035723</v>
      </c>
      <c r="AB12" s="596">
        <f t="shared" si="6"/>
        <v>0.51807263742964293</v>
      </c>
      <c r="AD12" s="1231">
        <f t="shared" si="7"/>
        <v>0.12853729286124571</v>
      </c>
      <c r="AE12" s="1189">
        <f t="shared" si="8"/>
        <v>1.0046376444650453E-2</v>
      </c>
      <c r="AF12" s="1233">
        <f t="shared" si="9"/>
        <v>0.86141633069410384</v>
      </c>
      <c r="AH12" s="1231">
        <f t="shared" si="10"/>
        <v>0.66750197825419499</v>
      </c>
      <c r="AI12" s="1189">
        <f t="shared" si="11"/>
        <v>8.1719000396236627E-2</v>
      </c>
      <c r="AJ12" s="1233">
        <f t="shared" si="12"/>
        <v>0.25077902134956842</v>
      </c>
    </row>
    <row r="13" spans="1:36" x14ac:dyDescent="0.25">
      <c r="A13" s="701" t="s">
        <v>26</v>
      </c>
      <c r="B13" s="564" t="s">
        <v>298</v>
      </c>
      <c r="C13" s="702" t="s">
        <v>265</v>
      </c>
      <c r="D13" s="747">
        <f>'Administration LASER'!D12+'Other Oper Exp. LASER'!D12</f>
        <v>4480155.2132046344</v>
      </c>
      <c r="E13" s="748">
        <f>'Administration LASER'!E12+'Other Oper Exp. LASER'!E12</f>
        <v>1799813.7467953661</v>
      </c>
      <c r="F13" s="748">
        <f>'Administration LASER'!K12+'Other Oper Exp. LASER'!K12</f>
        <v>2997931.8000000003</v>
      </c>
      <c r="G13" s="749">
        <f>'Administration LASER'!I12+'Other Oper Exp. LASER'!I12</f>
        <v>9277900.7600000016</v>
      </c>
      <c r="H13" s="747">
        <f>'Client Services LASER'!D12</f>
        <v>171652.91330894147</v>
      </c>
      <c r="I13" s="748">
        <f>'Client Services LASER'!E12</f>
        <v>168818.90669105851</v>
      </c>
      <c r="J13" s="748">
        <f>'Client Services LASER'!K12</f>
        <v>62538</v>
      </c>
      <c r="K13" s="749">
        <f>'Client Services LASER'!I12</f>
        <v>403009.81999999995</v>
      </c>
      <c r="L13" s="2207">
        <f>'Statewide Benefits'!D13</f>
        <v>87319455.715568885</v>
      </c>
      <c r="M13" s="2208">
        <f>'Statewide Benefits'!E13</f>
        <v>73052543.369855672</v>
      </c>
      <c r="N13" s="2208">
        <f>'Statewide Benefits'!I13</f>
        <v>3526148.7500000005</v>
      </c>
      <c r="O13" s="2209">
        <f t="shared" si="0"/>
        <v>163898147.83542454</v>
      </c>
      <c r="P13" s="2207">
        <f>'Other Benefits LASER'!D12+'FC &amp; Adoptions LASER'!D12</f>
        <v>2807027.89</v>
      </c>
      <c r="Q13" s="2208">
        <f>'Other Benefits LASER'!E12 + 'FC &amp; Adoptions LASER'!E12</f>
        <v>3375011.76</v>
      </c>
      <c r="R13" s="2208">
        <f>'Other Benefits LASER'!H12 + 'FC &amp; Adoptions LASER'!H12</f>
        <v>110799.68999999999</v>
      </c>
      <c r="S13" s="2209">
        <f t="shared" si="13"/>
        <v>6292839.3400000008</v>
      </c>
      <c r="T13" s="2207">
        <f t="shared" si="14"/>
        <v>94778291.732082456</v>
      </c>
      <c r="U13" s="2208">
        <f t="shared" si="15"/>
        <v>78396187.783342108</v>
      </c>
      <c r="V13" s="2208">
        <f t="shared" si="16"/>
        <v>6697418.2400000012</v>
      </c>
      <c r="W13" s="2209">
        <f t="shared" si="17"/>
        <v>179871897.75542456</v>
      </c>
      <c r="Y13" s="594">
        <f t="shared" si="3"/>
        <v>0.48288458015416774</v>
      </c>
      <c r="Z13" s="595">
        <f t="shared" si="4"/>
        <v>0.19398932941328054</v>
      </c>
      <c r="AA13" s="595">
        <f t="shared" si="5"/>
        <v>0.32312609043255164</v>
      </c>
      <c r="AB13" s="596">
        <f t="shared" si="6"/>
        <v>0.67687390956744831</v>
      </c>
      <c r="AD13" s="1231">
        <f t="shared" si="7"/>
        <v>5.1580601949368157E-2</v>
      </c>
      <c r="AE13" s="1189">
        <f t="shared" si="8"/>
        <v>2.2405379885855237E-3</v>
      </c>
      <c r="AF13" s="1233">
        <f t="shared" si="9"/>
        <v>0.94617886006204621</v>
      </c>
      <c r="AH13" s="1231">
        <f t="shared" si="10"/>
        <v>0.44762499407532891</v>
      </c>
      <c r="AI13" s="1189">
        <f t="shared" si="11"/>
        <v>9.337627987228701E-3</v>
      </c>
      <c r="AJ13" s="1233">
        <f t="shared" si="12"/>
        <v>0.54303737793744233</v>
      </c>
    </row>
    <row r="14" spans="1:36" x14ac:dyDescent="0.25">
      <c r="A14" s="701" t="s">
        <v>27</v>
      </c>
      <c r="B14" s="564" t="s">
        <v>28</v>
      </c>
      <c r="C14" s="702" t="s">
        <v>265</v>
      </c>
      <c r="D14" s="747">
        <f>'Administration LASER'!D13+'Other Oper Exp. LASER'!D13</f>
        <v>274322.53261219786</v>
      </c>
      <c r="E14" s="748">
        <f>'Administration LASER'!E13+'Other Oper Exp. LASER'!E13</f>
        <v>118967.11738780211</v>
      </c>
      <c r="F14" s="748">
        <f>'Administration LASER'!K13+'Other Oper Exp. LASER'!K13</f>
        <v>177242.52999999997</v>
      </c>
      <c r="G14" s="749">
        <f>'Administration LASER'!I13+'Other Oper Exp. LASER'!I13</f>
        <v>570532.18000000005</v>
      </c>
      <c r="H14" s="747">
        <f>'Client Services LASER'!D13</f>
        <v>5889.56</v>
      </c>
      <c r="I14" s="748">
        <f>'Client Services LASER'!E13</f>
        <v>732.93</v>
      </c>
      <c r="J14" s="748">
        <f>'Client Services LASER'!K13</f>
        <v>1222.51</v>
      </c>
      <c r="K14" s="749">
        <f>'Client Services LASER'!I13</f>
        <v>7845.0000000000009</v>
      </c>
      <c r="L14" s="2207">
        <f>'Statewide Benefits'!D14</f>
        <v>2750096.7768888082</v>
      </c>
      <c r="M14" s="2208">
        <f>'Statewide Benefits'!E14</f>
        <v>2199624.0263216263</v>
      </c>
      <c r="N14" s="2208">
        <f>'Statewide Benefits'!I14</f>
        <v>68855.959999999992</v>
      </c>
      <c r="O14" s="2209">
        <f t="shared" si="0"/>
        <v>5018576.7632104345</v>
      </c>
      <c r="P14" s="2207">
        <f>'Other Benefits LASER'!D13+'FC &amp; Adoptions LASER'!D13</f>
        <v>50109.22</v>
      </c>
      <c r="Q14" s="2208">
        <f>'Other Benefits LASER'!E13 + 'FC &amp; Adoptions LASER'!E13</f>
        <v>52789.06</v>
      </c>
      <c r="R14" s="2208">
        <f>'Other Benefits LASER'!H13 + 'FC &amp; Adoptions LASER'!H13</f>
        <v>227.2</v>
      </c>
      <c r="S14" s="2209">
        <f t="shared" si="13"/>
        <v>103125.48</v>
      </c>
      <c r="T14" s="2207">
        <f t="shared" si="14"/>
        <v>3080418.0895010061</v>
      </c>
      <c r="U14" s="2208">
        <f t="shared" si="15"/>
        <v>2372113.1337094284</v>
      </c>
      <c r="V14" s="2208">
        <f t="shared" si="16"/>
        <v>247548.19999999998</v>
      </c>
      <c r="W14" s="2209">
        <f t="shared" si="17"/>
        <v>5700079.4232104346</v>
      </c>
      <c r="Y14" s="594">
        <f t="shared" si="3"/>
        <v>0.48081868513043002</v>
      </c>
      <c r="Z14" s="595">
        <f t="shared" si="4"/>
        <v>0.20851955692981611</v>
      </c>
      <c r="AA14" s="595">
        <f t="shared" si="5"/>
        <v>0.31066175793975365</v>
      </c>
      <c r="AB14" s="596">
        <f t="shared" si="6"/>
        <v>0.68933824206024619</v>
      </c>
      <c r="AD14" s="1231">
        <f t="shared" si="7"/>
        <v>0.10009197024112014</v>
      </c>
      <c r="AE14" s="1189">
        <f t="shared" si="8"/>
        <v>1.3762966122990424E-3</v>
      </c>
      <c r="AF14" s="1233">
        <f t="shared" si="9"/>
        <v>0.89853173314658086</v>
      </c>
      <c r="AH14" s="1231">
        <f t="shared" si="10"/>
        <v>0.71599199671013558</v>
      </c>
      <c r="AI14" s="1189">
        <f t="shared" si="11"/>
        <v>4.9384725883686491E-3</v>
      </c>
      <c r="AJ14" s="1233">
        <f t="shared" si="12"/>
        <v>0.2790695307014957</v>
      </c>
    </row>
    <row r="15" spans="1:36" x14ac:dyDescent="0.25">
      <c r="A15" s="701" t="s">
        <v>29</v>
      </c>
      <c r="B15" s="564" t="s">
        <v>901</v>
      </c>
      <c r="C15" s="702" t="s">
        <v>265</v>
      </c>
      <c r="D15" s="747">
        <f>'Administration LASER'!D14+'Other Oper Exp. LASER'!D14</f>
        <v>2329633.8573587681</v>
      </c>
      <c r="E15" s="748">
        <f>'Administration LASER'!E14+'Other Oper Exp. LASER'!E14</f>
        <v>705124.10264123173</v>
      </c>
      <c r="F15" s="748">
        <f>'Administration LASER'!K14+'Other Oper Exp. LASER'!K14</f>
        <v>2288444.12</v>
      </c>
      <c r="G15" s="749">
        <f>'Administration LASER'!I14+'Other Oper Exp. LASER'!I14</f>
        <v>5323202.08</v>
      </c>
      <c r="H15" s="747">
        <f>'Client Services LASER'!D14</f>
        <v>101597.67201103523</v>
      </c>
      <c r="I15" s="748">
        <f>'Client Services LASER'!E14</f>
        <v>98788.197988964763</v>
      </c>
      <c r="J15" s="748">
        <f>'Client Services LASER'!K14</f>
        <v>35739.61</v>
      </c>
      <c r="K15" s="749">
        <f>'Client Services LASER'!I14</f>
        <v>236125.48</v>
      </c>
      <c r="L15" s="2207">
        <f>'Statewide Benefits'!D15</f>
        <v>48209187.652282208</v>
      </c>
      <c r="M15" s="2208">
        <f>'Statewide Benefits'!E15</f>
        <v>39705394.968906879</v>
      </c>
      <c r="N15" s="2208">
        <f>'Statewide Benefits'!I15</f>
        <v>1184537.05</v>
      </c>
      <c r="O15" s="2209">
        <f t="shared" si="0"/>
        <v>89099119.671189085</v>
      </c>
      <c r="P15" s="2207">
        <f>'Other Benefits LASER'!D14+'FC &amp; Adoptions LASER'!D14</f>
        <v>866992.49</v>
      </c>
      <c r="Q15" s="2208">
        <f>'Other Benefits LASER'!E14 + 'FC &amp; Adoptions LASER'!E14</f>
        <v>1417725.12</v>
      </c>
      <c r="R15" s="2208">
        <f>'Other Benefits LASER'!H14 + 'FC &amp; Adoptions LASER'!H14</f>
        <v>33418.36</v>
      </c>
      <c r="S15" s="2209">
        <f t="shared" si="13"/>
        <v>2318135.9700000002</v>
      </c>
      <c r="T15" s="2207">
        <f t="shared" si="14"/>
        <v>51507411.671652012</v>
      </c>
      <c r="U15" s="2208">
        <f t="shared" si="15"/>
        <v>41927032.389537074</v>
      </c>
      <c r="V15" s="2208">
        <f t="shared" si="16"/>
        <v>3542139.14</v>
      </c>
      <c r="W15" s="2209">
        <f t="shared" si="17"/>
        <v>96976583.201189086</v>
      </c>
      <c r="Y15" s="594">
        <f t="shared" si="3"/>
        <v>0.4376376891855227</v>
      </c>
      <c r="Z15" s="595">
        <f t="shared" si="4"/>
        <v>0.13246239613755781</v>
      </c>
      <c r="AA15" s="595">
        <f t="shared" si="5"/>
        <v>0.42989991467691946</v>
      </c>
      <c r="AB15" s="596">
        <f t="shared" si="6"/>
        <v>0.57010008532308054</v>
      </c>
      <c r="AD15" s="1231">
        <f t="shared" si="7"/>
        <v>5.4891623361862568E-2</v>
      </c>
      <c r="AE15" s="1189">
        <f t="shared" si="8"/>
        <v>2.4348711019249927E-3</v>
      </c>
      <c r="AF15" s="1233">
        <f t="shared" si="9"/>
        <v>0.94267350553621243</v>
      </c>
      <c r="AH15" s="1231">
        <f t="shared" si="10"/>
        <v>0.64606274049415235</v>
      </c>
      <c r="AI15" s="1189">
        <f t="shared" si="11"/>
        <v>1.0089837972880987E-2</v>
      </c>
      <c r="AJ15" s="1233">
        <f t="shared" si="12"/>
        <v>0.34384742153296671</v>
      </c>
    </row>
    <row r="16" spans="1:36" x14ac:dyDescent="0.25">
      <c r="A16" s="701" t="s">
        <v>30</v>
      </c>
      <c r="B16" s="564" t="s">
        <v>31</v>
      </c>
      <c r="C16" s="702" t="s">
        <v>268</v>
      </c>
      <c r="D16" s="747">
        <f>'Administration LASER'!D15+'Other Oper Exp. LASER'!D15</f>
        <v>397325.2963507754</v>
      </c>
      <c r="E16" s="748">
        <f>'Administration LASER'!E15+'Other Oper Exp. LASER'!E15</f>
        <v>160647.65364922467</v>
      </c>
      <c r="F16" s="748">
        <f>'Administration LASER'!K15+'Other Oper Exp. LASER'!K15</f>
        <v>294852.13</v>
      </c>
      <c r="G16" s="749">
        <f>'Administration LASER'!I15+'Other Oper Exp. LASER'!I15</f>
        <v>852825.08</v>
      </c>
      <c r="H16" s="747">
        <f>'Client Services LASER'!D15</f>
        <v>48041.778344041981</v>
      </c>
      <c r="I16" s="748">
        <f>'Client Services LASER'!E15</f>
        <v>12582.65165595802</v>
      </c>
      <c r="J16" s="748">
        <f>'Client Services LASER'!K15</f>
        <v>13614.269999999999</v>
      </c>
      <c r="K16" s="749">
        <f>'Client Services LASER'!I15</f>
        <v>74238.700000000012</v>
      </c>
      <c r="L16" s="2207">
        <f>'Statewide Benefits'!D16</f>
        <v>4729091.6465944517</v>
      </c>
      <c r="M16" s="2208">
        <f>'Statewide Benefits'!E16</f>
        <v>4174508.7085781787</v>
      </c>
      <c r="N16" s="2208">
        <f>'Statewide Benefits'!I16</f>
        <v>90781</v>
      </c>
      <c r="O16" s="2209">
        <f t="shared" si="0"/>
        <v>8994381.3551726304</v>
      </c>
      <c r="P16" s="2207">
        <f>'Other Benefits LASER'!D15+'FC &amp; Adoptions LASER'!D15</f>
        <v>82521.62</v>
      </c>
      <c r="Q16" s="2208">
        <f>'Other Benefits LASER'!E15 + 'FC &amp; Adoptions LASER'!E15</f>
        <v>118055.51999999999</v>
      </c>
      <c r="R16" s="2208">
        <f>'Other Benefits LASER'!H15 + 'FC &amp; Adoptions LASER'!H15</f>
        <v>3637.18</v>
      </c>
      <c r="S16" s="2209">
        <f t="shared" si="13"/>
        <v>204214.31999999998</v>
      </c>
      <c r="T16" s="2207">
        <f t="shared" si="14"/>
        <v>5256980.3412892688</v>
      </c>
      <c r="U16" s="2208">
        <f t="shared" si="15"/>
        <v>4465794.5338833611</v>
      </c>
      <c r="V16" s="2208">
        <f t="shared" si="16"/>
        <v>402884.58</v>
      </c>
      <c r="W16" s="2209">
        <f t="shared" si="17"/>
        <v>10125659.45517263</v>
      </c>
      <c r="Y16" s="594">
        <f t="shared" si="3"/>
        <v>0.46589307194246143</v>
      </c>
      <c r="Z16" s="595">
        <f t="shared" si="4"/>
        <v>0.18837116475189106</v>
      </c>
      <c r="AA16" s="595">
        <f t="shared" si="5"/>
        <v>0.34573576330564765</v>
      </c>
      <c r="AB16" s="596">
        <f t="shared" si="6"/>
        <v>0.65426423669435252</v>
      </c>
      <c r="AD16" s="1231">
        <f t="shared" si="7"/>
        <v>8.4224151896036714E-2</v>
      </c>
      <c r="AE16" s="1189">
        <f t="shared" si="8"/>
        <v>7.3317397576585135E-3</v>
      </c>
      <c r="AF16" s="1233">
        <f t="shared" si="9"/>
        <v>0.90844410834630485</v>
      </c>
      <c r="AH16" s="1231">
        <f t="shared" si="10"/>
        <v>0.73185260652070627</v>
      </c>
      <c r="AI16" s="1189">
        <f t="shared" si="11"/>
        <v>3.3791985784117122E-2</v>
      </c>
      <c r="AJ16" s="1233">
        <f t="shared" si="12"/>
        <v>0.2343554076951766</v>
      </c>
    </row>
    <row r="17" spans="1:36" x14ac:dyDescent="0.25">
      <c r="A17" s="701" t="s">
        <v>32</v>
      </c>
      <c r="B17" s="564" t="s">
        <v>33</v>
      </c>
      <c r="C17" s="702" t="s">
        <v>265</v>
      </c>
      <c r="D17" s="747">
        <f>'Administration LASER'!D16+'Other Oper Exp. LASER'!D16</f>
        <v>563145.09371299809</v>
      </c>
      <c r="E17" s="748">
        <f>'Administration LASER'!E16+'Other Oper Exp. LASER'!E16</f>
        <v>269535.14628700202</v>
      </c>
      <c r="F17" s="748">
        <f>'Administration LASER'!K16+'Other Oper Exp. LASER'!K16</f>
        <v>267252.02</v>
      </c>
      <c r="G17" s="749">
        <f>'Administration LASER'!I16+'Other Oper Exp. LASER'!I16</f>
        <v>1099932.26</v>
      </c>
      <c r="H17" s="747">
        <f>'Client Services LASER'!D16</f>
        <v>29400.755659911214</v>
      </c>
      <c r="I17" s="748">
        <f>'Client Services LASER'!E16</f>
        <v>3735.8543400887866</v>
      </c>
      <c r="J17" s="748">
        <f>'Client Services LASER'!K16</f>
        <v>6797.59</v>
      </c>
      <c r="K17" s="749">
        <f>'Client Services LASER'!I16</f>
        <v>39934.199999999997</v>
      </c>
      <c r="L17" s="2207">
        <f>'Statewide Benefits'!D17</f>
        <v>17066741.068579406</v>
      </c>
      <c r="M17" s="2208">
        <f>'Statewide Benefits'!E17</f>
        <v>14848554.597317917</v>
      </c>
      <c r="N17" s="2208">
        <f>'Statewide Benefits'!I17</f>
        <v>608126.52</v>
      </c>
      <c r="O17" s="2209">
        <f t="shared" si="0"/>
        <v>32523422.185897324</v>
      </c>
      <c r="P17" s="2207">
        <f>'Other Benefits LASER'!D16+'FC &amp; Adoptions LASER'!D16</f>
        <v>67246.66</v>
      </c>
      <c r="Q17" s="2208">
        <f>'Other Benefits LASER'!E16 + 'FC &amp; Adoptions LASER'!E16</f>
        <v>139936.87</v>
      </c>
      <c r="R17" s="2208">
        <f>'Other Benefits LASER'!H16 + 'FC &amp; Adoptions LASER'!H16</f>
        <v>14916.99</v>
      </c>
      <c r="S17" s="2209">
        <f t="shared" si="13"/>
        <v>222100.52</v>
      </c>
      <c r="T17" s="2207">
        <f t="shared" si="14"/>
        <v>17726533.577952314</v>
      </c>
      <c r="U17" s="2208">
        <f t="shared" si="15"/>
        <v>15261762.467945008</v>
      </c>
      <c r="V17" s="2208">
        <f t="shared" si="16"/>
        <v>897093.12000000011</v>
      </c>
      <c r="W17" s="2209">
        <f t="shared" si="17"/>
        <v>33885389.165897325</v>
      </c>
      <c r="Y17" s="594">
        <f t="shared" si="3"/>
        <v>0.51198161395229747</v>
      </c>
      <c r="Z17" s="595">
        <f t="shared" si="4"/>
        <v>0.2450470416123644</v>
      </c>
      <c r="AA17" s="595">
        <f t="shared" si="5"/>
        <v>0.24297134443533824</v>
      </c>
      <c r="AB17" s="596">
        <f t="shared" si="6"/>
        <v>0.75702865556466181</v>
      </c>
      <c r="AD17" s="1231">
        <f t="shared" si="7"/>
        <v>3.246036970727742E-2</v>
      </c>
      <c r="AE17" s="1189">
        <f t="shared" si="8"/>
        <v>1.1785079346289542E-3</v>
      </c>
      <c r="AF17" s="1233">
        <f t="shared" si="9"/>
        <v>0.96636112235809357</v>
      </c>
      <c r="AH17" s="1231">
        <f t="shared" si="10"/>
        <v>0.29790889489822414</v>
      </c>
      <c r="AI17" s="1189">
        <f t="shared" si="11"/>
        <v>7.577351613174783E-3</v>
      </c>
      <c r="AJ17" s="1233">
        <f t="shared" si="12"/>
        <v>0.694513753488601</v>
      </c>
    </row>
    <row r="18" spans="1:36" x14ac:dyDescent="0.25">
      <c r="A18" s="701" t="s">
        <v>36</v>
      </c>
      <c r="B18" s="564" t="s">
        <v>37</v>
      </c>
      <c r="C18" s="702" t="s">
        <v>264</v>
      </c>
      <c r="D18" s="747">
        <f>'Administration LASER'!D17+'Other Oper Exp. LASER'!D17</f>
        <v>948695.64112657739</v>
      </c>
      <c r="E18" s="748">
        <f>'Administration LASER'!E17+'Other Oper Exp. LASER'!E17</f>
        <v>454461.68887342262</v>
      </c>
      <c r="F18" s="748">
        <f>'Administration LASER'!K17+'Other Oper Exp. LASER'!K17</f>
        <v>457126.70999999996</v>
      </c>
      <c r="G18" s="749">
        <f>'Administration LASER'!I17+'Other Oper Exp. LASER'!I17</f>
        <v>1860284.04</v>
      </c>
      <c r="H18" s="747">
        <f>'Client Services LASER'!D17</f>
        <v>60637.22693874871</v>
      </c>
      <c r="I18" s="748">
        <f>'Client Services LASER'!E17</f>
        <v>30297.973061251283</v>
      </c>
      <c r="J18" s="748">
        <f>'Client Services LASER'!K17</f>
        <v>18377.88</v>
      </c>
      <c r="K18" s="749">
        <f>'Client Services LASER'!I17</f>
        <v>109313.08</v>
      </c>
      <c r="L18" s="2207">
        <f>'Statewide Benefits'!D18</f>
        <v>25121089.939119685</v>
      </c>
      <c r="M18" s="2208">
        <f>'Statewide Benefits'!E18</f>
        <v>19852838.085567679</v>
      </c>
      <c r="N18" s="2208">
        <f>'Statewide Benefits'!I18</f>
        <v>331749.09000000003</v>
      </c>
      <c r="O18" s="2209">
        <f t="shared" si="0"/>
        <v>45305677.114687368</v>
      </c>
      <c r="P18" s="2207">
        <f>'Other Benefits LASER'!D17+'FC &amp; Adoptions LASER'!D17</f>
        <v>69059.510000000009</v>
      </c>
      <c r="Q18" s="2208">
        <f>'Other Benefits LASER'!E17 + 'FC &amp; Adoptions LASER'!E17</f>
        <v>177546.89</v>
      </c>
      <c r="R18" s="2208">
        <f>'Other Benefits LASER'!H17 + 'FC &amp; Adoptions LASER'!H17</f>
        <v>31712.390000000003</v>
      </c>
      <c r="S18" s="2209">
        <f t="shared" si="13"/>
        <v>278318.79000000004</v>
      </c>
      <c r="T18" s="2207">
        <f t="shared" si="14"/>
        <v>26199482.317185014</v>
      </c>
      <c r="U18" s="2208">
        <f t="shared" si="15"/>
        <v>20515144.637502354</v>
      </c>
      <c r="V18" s="2208">
        <f t="shared" si="16"/>
        <v>838966.07</v>
      </c>
      <c r="W18" s="2209">
        <f t="shared" si="17"/>
        <v>47553593.024687365</v>
      </c>
      <c r="Y18" s="594">
        <f t="shared" si="3"/>
        <v>0.50997354206542422</v>
      </c>
      <c r="Z18" s="595">
        <f t="shared" si="4"/>
        <v>0.24429693482368564</v>
      </c>
      <c r="AA18" s="595">
        <f t="shared" si="5"/>
        <v>0.24572952311089008</v>
      </c>
      <c r="AB18" s="596">
        <f t="shared" si="6"/>
        <v>0.75427047688910998</v>
      </c>
      <c r="AD18" s="1231">
        <f t="shared" si="7"/>
        <v>3.9119736736490905E-2</v>
      </c>
      <c r="AE18" s="1189">
        <f t="shared" si="8"/>
        <v>2.2987343972778315E-3</v>
      </c>
      <c r="AF18" s="1233">
        <f t="shared" si="9"/>
        <v>0.95858152886623127</v>
      </c>
      <c r="AH18" s="1231">
        <f t="shared" si="10"/>
        <v>0.54486912682893118</v>
      </c>
      <c r="AI18" s="1189">
        <f t="shared" si="11"/>
        <v>2.1905391239481237E-2</v>
      </c>
      <c r="AJ18" s="1233">
        <f t="shared" si="12"/>
        <v>0.43322548193158761</v>
      </c>
    </row>
    <row r="19" spans="1:36" x14ac:dyDescent="0.25">
      <c r="A19" s="701" t="s">
        <v>38</v>
      </c>
      <c r="B19" s="564" t="s">
        <v>39</v>
      </c>
      <c r="C19" s="702" t="s">
        <v>268</v>
      </c>
      <c r="D19" s="747">
        <f>'Administration LASER'!D18+'Other Oper Exp. LASER'!D18</f>
        <v>2012719.4670268744</v>
      </c>
      <c r="E19" s="748">
        <f>'Administration LASER'!E18+'Other Oper Exp. LASER'!E18</f>
        <v>920573.5629731256</v>
      </c>
      <c r="F19" s="748">
        <f>'Administration LASER'!K18+'Other Oper Exp. LASER'!K18</f>
        <v>1111527.44</v>
      </c>
      <c r="G19" s="749">
        <f>'Administration LASER'!I18+'Other Oper Exp. LASER'!I18</f>
        <v>4044820.4699999997</v>
      </c>
      <c r="H19" s="747">
        <f>'Client Services LASER'!D18</f>
        <v>126167.79591295304</v>
      </c>
      <c r="I19" s="748">
        <f>'Client Services LASER'!E18</f>
        <v>25827.134087046965</v>
      </c>
      <c r="J19" s="748">
        <f>'Client Services LASER'!K18</f>
        <v>33522.76</v>
      </c>
      <c r="K19" s="749">
        <f>'Client Services LASER'!I18</f>
        <v>185517.69</v>
      </c>
      <c r="L19" s="2207">
        <f>'Statewide Benefits'!D19</f>
        <v>29831426.875467118</v>
      </c>
      <c r="M19" s="2208">
        <f>'Statewide Benefits'!E19</f>
        <v>22385747.595490325</v>
      </c>
      <c r="N19" s="2208">
        <f>'Statewide Benefits'!I19</f>
        <v>708850</v>
      </c>
      <c r="O19" s="2209">
        <f t="shared" si="0"/>
        <v>52926024.470957443</v>
      </c>
      <c r="P19" s="2207">
        <f>'Other Benefits LASER'!D18+'FC &amp; Adoptions LASER'!D18</f>
        <v>971342.40999999992</v>
      </c>
      <c r="Q19" s="2208">
        <f>'Other Benefits LASER'!E18 + 'FC &amp; Adoptions LASER'!E18</f>
        <v>1317730.3999999999</v>
      </c>
      <c r="R19" s="2208">
        <f>'Other Benefits LASER'!H18 + 'FC &amp; Adoptions LASER'!H18</f>
        <v>35380.22</v>
      </c>
      <c r="S19" s="2209">
        <f t="shared" si="13"/>
        <v>2324453.0299999998</v>
      </c>
      <c r="T19" s="2207">
        <f t="shared" si="14"/>
        <v>32941656.548406947</v>
      </c>
      <c r="U19" s="2208">
        <f t="shared" si="15"/>
        <v>24649878.692550495</v>
      </c>
      <c r="V19" s="2208">
        <f t="shared" si="16"/>
        <v>1889280.42</v>
      </c>
      <c r="W19" s="2209">
        <f t="shared" si="17"/>
        <v>59480815.660957441</v>
      </c>
      <c r="Y19" s="594">
        <f t="shared" si="3"/>
        <v>0.49760415374551209</v>
      </c>
      <c r="Z19" s="595">
        <f t="shared" si="4"/>
        <v>0.22759318239237591</v>
      </c>
      <c r="AA19" s="595">
        <f t="shared" si="5"/>
        <v>0.27480266386211205</v>
      </c>
      <c r="AB19" s="596">
        <f t="shared" si="6"/>
        <v>0.72519733613788806</v>
      </c>
      <c r="AD19" s="1231">
        <f t="shared" si="7"/>
        <v>6.8002101602903472E-2</v>
      </c>
      <c r="AE19" s="1189">
        <f t="shared" si="8"/>
        <v>3.1189499999034445E-3</v>
      </c>
      <c r="AF19" s="1233">
        <f t="shared" si="9"/>
        <v>0.92887894839719309</v>
      </c>
      <c r="AH19" s="1231">
        <f t="shared" si="10"/>
        <v>0.58833375301692903</v>
      </c>
      <c r="AI19" s="1189">
        <f t="shared" si="11"/>
        <v>1.774366560153098E-2</v>
      </c>
      <c r="AJ19" s="1233">
        <f t="shared" si="12"/>
        <v>0.39392258138153996</v>
      </c>
    </row>
    <row r="20" spans="1:36" x14ac:dyDescent="0.25">
      <c r="A20" s="701" t="s">
        <v>40</v>
      </c>
      <c r="B20" s="564" t="s">
        <v>41</v>
      </c>
      <c r="C20" s="702" t="s">
        <v>266</v>
      </c>
      <c r="D20" s="747">
        <f>'Administration LASER'!D19+'Other Oper Exp. LASER'!D19</f>
        <v>738789.93342267338</v>
      </c>
      <c r="E20" s="748">
        <f>'Administration LASER'!E19+'Other Oper Exp. LASER'!E19</f>
        <v>323723.91657732654</v>
      </c>
      <c r="F20" s="748">
        <f>'Administration LASER'!K19+'Other Oper Exp. LASER'!K19</f>
        <v>453076.14</v>
      </c>
      <c r="G20" s="749">
        <f>'Administration LASER'!I19+'Other Oper Exp. LASER'!I19</f>
        <v>1515589.99</v>
      </c>
      <c r="H20" s="747">
        <f>'Client Services LASER'!D19</f>
        <v>29156.633018101849</v>
      </c>
      <c r="I20" s="748">
        <f>'Client Services LASER'!E19</f>
        <v>27666.57698189815</v>
      </c>
      <c r="J20" s="748">
        <f>'Client Services LASER'!K19</f>
        <v>11140.52</v>
      </c>
      <c r="K20" s="749">
        <f>'Client Services LASER'!I19</f>
        <v>67963.73</v>
      </c>
      <c r="L20" s="2207">
        <f>'Statewide Benefits'!D20</f>
        <v>17026641.160019405</v>
      </c>
      <c r="M20" s="2208">
        <f>'Statewide Benefits'!E20</f>
        <v>13567995.070966043</v>
      </c>
      <c r="N20" s="2208">
        <f>'Statewide Benefits'!I20</f>
        <v>343853.56</v>
      </c>
      <c r="O20" s="2209">
        <f t="shared" si="0"/>
        <v>30938489.790985446</v>
      </c>
      <c r="P20" s="2207">
        <f>'Other Benefits LASER'!D19+'FC &amp; Adoptions LASER'!D19</f>
        <v>91380.440000000017</v>
      </c>
      <c r="Q20" s="2208">
        <f>'Other Benefits LASER'!E19 + 'FC &amp; Adoptions LASER'!E19</f>
        <v>194597.02000000002</v>
      </c>
      <c r="R20" s="2208">
        <f>'Other Benefits LASER'!H19 + 'FC &amp; Adoptions LASER'!H19</f>
        <v>17781.59</v>
      </c>
      <c r="S20" s="2209">
        <f t="shared" si="13"/>
        <v>303759.05000000005</v>
      </c>
      <c r="T20" s="2207">
        <f t="shared" si="14"/>
        <v>17885968.166460183</v>
      </c>
      <c r="U20" s="2208">
        <f t="shared" si="15"/>
        <v>14113982.584525267</v>
      </c>
      <c r="V20" s="2208">
        <f t="shared" si="16"/>
        <v>825851.80999999994</v>
      </c>
      <c r="W20" s="2209">
        <f t="shared" si="17"/>
        <v>32825802.560985446</v>
      </c>
      <c r="Y20" s="594">
        <f t="shared" si="3"/>
        <v>0.48746028826877735</v>
      </c>
      <c r="Z20" s="595">
        <f t="shared" si="4"/>
        <v>0.21359597167656574</v>
      </c>
      <c r="AA20" s="595">
        <f t="shared" si="5"/>
        <v>0.2989437400546569</v>
      </c>
      <c r="AB20" s="596">
        <f t="shared" si="6"/>
        <v>0.70105625994534304</v>
      </c>
      <c r="AD20" s="1231">
        <f t="shared" si="7"/>
        <v>4.6170691095343663E-2</v>
      </c>
      <c r="AE20" s="1189">
        <f t="shared" si="8"/>
        <v>2.070436202549306E-3</v>
      </c>
      <c r="AF20" s="1233">
        <f t="shared" si="9"/>
        <v>0.95175887270210702</v>
      </c>
      <c r="AH20" s="1231">
        <f t="shared" si="10"/>
        <v>0.54861675486307893</v>
      </c>
      <c r="AI20" s="1189">
        <f t="shared" si="11"/>
        <v>1.3489732498134262E-2</v>
      </c>
      <c r="AJ20" s="1233">
        <f t="shared" si="12"/>
        <v>0.4378935126387869</v>
      </c>
    </row>
    <row r="21" spans="1:36" x14ac:dyDescent="0.25">
      <c r="A21" s="701" t="s">
        <v>42</v>
      </c>
      <c r="B21" s="564" t="s">
        <v>43</v>
      </c>
      <c r="C21" s="702" t="s">
        <v>265</v>
      </c>
      <c r="D21" s="747">
        <f>'Administration LASER'!D20+'Other Oper Exp. LASER'!D20</f>
        <v>2243153.9749013158</v>
      </c>
      <c r="E21" s="748">
        <f>'Administration LASER'!E20+'Other Oper Exp. LASER'!E20</f>
        <v>1033077.4450986846</v>
      </c>
      <c r="F21" s="748">
        <f>'Administration LASER'!K20+'Other Oper Exp. LASER'!K20</f>
        <v>1356530.1099999999</v>
      </c>
      <c r="G21" s="749">
        <f>'Administration LASER'!I20+'Other Oper Exp. LASER'!I20</f>
        <v>4632761.53</v>
      </c>
      <c r="H21" s="747">
        <f>'Client Services LASER'!D20</f>
        <v>146133.67398845038</v>
      </c>
      <c r="I21" s="748">
        <f>'Client Services LASER'!E20</f>
        <v>114071.25601154965</v>
      </c>
      <c r="J21" s="748">
        <f>'Client Services LASER'!K20</f>
        <v>114227.29999999999</v>
      </c>
      <c r="K21" s="749">
        <f>'Client Services LASER'!I20</f>
        <v>374432.23</v>
      </c>
      <c r="L21" s="2207">
        <f>'Statewide Benefits'!D21</f>
        <v>48993532.349046811</v>
      </c>
      <c r="M21" s="2208">
        <f>'Statewide Benefits'!E21</f>
        <v>38875904.290969931</v>
      </c>
      <c r="N21" s="2208">
        <f>'Statewide Benefits'!I21</f>
        <v>912876.73</v>
      </c>
      <c r="O21" s="2209">
        <f t="shared" si="0"/>
        <v>88782313.370016739</v>
      </c>
      <c r="P21" s="2207">
        <f>'Other Benefits LASER'!D20+'FC &amp; Adoptions LASER'!D20</f>
        <v>908986.83000000007</v>
      </c>
      <c r="Q21" s="2208">
        <f>'Other Benefits LASER'!E20 + 'FC &amp; Adoptions LASER'!E20</f>
        <v>1496426.64</v>
      </c>
      <c r="R21" s="2208">
        <f>'Other Benefits LASER'!H20 + 'FC &amp; Adoptions LASER'!H20</f>
        <v>33799.279999999999</v>
      </c>
      <c r="S21" s="2209">
        <f t="shared" si="13"/>
        <v>2439212.7499999995</v>
      </c>
      <c r="T21" s="2207">
        <f t="shared" si="14"/>
        <v>52291806.827936575</v>
      </c>
      <c r="U21" s="2208">
        <f t="shared" si="15"/>
        <v>41519479.632080168</v>
      </c>
      <c r="V21" s="2208">
        <f t="shared" si="16"/>
        <v>2417433.4199999995</v>
      </c>
      <c r="W21" s="2209">
        <f t="shared" si="17"/>
        <v>96228719.880016744</v>
      </c>
      <c r="Y21" s="594">
        <f t="shared" si="3"/>
        <v>0.48419370614600049</v>
      </c>
      <c r="Z21" s="595">
        <f t="shared" si="4"/>
        <v>0.22299387490784239</v>
      </c>
      <c r="AA21" s="595">
        <f t="shared" si="5"/>
        <v>0.29281241894615712</v>
      </c>
      <c r="AB21" s="596">
        <f t="shared" si="6"/>
        <v>0.70718758105384294</v>
      </c>
      <c r="AD21" s="1231">
        <f t="shared" si="7"/>
        <v>4.8143231415489908E-2</v>
      </c>
      <c r="AE21" s="1189">
        <f t="shared" si="8"/>
        <v>3.8910652710216105E-3</v>
      </c>
      <c r="AF21" s="1233">
        <f t="shared" si="9"/>
        <v>0.94796570331348839</v>
      </c>
      <c r="AH21" s="1231">
        <f t="shared" si="10"/>
        <v>0.56114476567466343</v>
      </c>
      <c r="AI21" s="1189">
        <f t="shared" si="11"/>
        <v>4.7251477147196887E-2</v>
      </c>
      <c r="AJ21" s="1233">
        <f t="shared" si="12"/>
        <v>0.39160375717813989</v>
      </c>
    </row>
    <row r="22" spans="1:36" x14ac:dyDescent="0.25">
      <c r="A22" s="701" t="s">
        <v>44</v>
      </c>
      <c r="B22" s="564" t="s">
        <v>45</v>
      </c>
      <c r="C22" s="702" t="s">
        <v>266</v>
      </c>
      <c r="D22" s="747">
        <f>'Administration LASER'!D21+'Other Oper Exp. LASER'!D21</f>
        <v>1110224.6651824827</v>
      </c>
      <c r="E22" s="748">
        <f>'Administration LASER'!E21+'Other Oper Exp. LASER'!E21</f>
        <v>456808.19481751736</v>
      </c>
      <c r="F22" s="748">
        <f>'Administration LASER'!K21+'Other Oper Exp. LASER'!K21</f>
        <v>756058.35000000009</v>
      </c>
      <c r="G22" s="749">
        <f>'Administration LASER'!I21+'Other Oper Exp. LASER'!I21</f>
        <v>2323091.21</v>
      </c>
      <c r="H22" s="747">
        <f>'Client Services LASER'!D21</f>
        <v>44590.11307105438</v>
      </c>
      <c r="I22" s="748">
        <f>'Client Services LASER'!E21</f>
        <v>63169.176928945628</v>
      </c>
      <c r="J22" s="748">
        <f>'Client Services LASER'!K21</f>
        <v>20153.369999999995</v>
      </c>
      <c r="K22" s="749">
        <f>'Client Services LASER'!I21</f>
        <v>127912.66</v>
      </c>
      <c r="L22" s="2207">
        <f>'Statewide Benefits'!D22</f>
        <v>23301105.696129151</v>
      </c>
      <c r="M22" s="2208">
        <f>'Statewide Benefits'!E22</f>
        <v>17185780.964822508</v>
      </c>
      <c r="N22" s="2208">
        <f>'Statewide Benefits'!I22</f>
        <v>660807.38</v>
      </c>
      <c r="O22" s="2209">
        <f t="shared" si="0"/>
        <v>41147694.040951662</v>
      </c>
      <c r="P22" s="2207">
        <f>'Other Benefits LASER'!D21+'FC &amp; Adoptions LASER'!D21</f>
        <v>311290.03999999998</v>
      </c>
      <c r="Q22" s="2208">
        <f>'Other Benefits LASER'!E21 + 'FC &amp; Adoptions LASER'!E21</f>
        <v>324653.28999999998</v>
      </c>
      <c r="R22" s="2208">
        <f>'Other Benefits LASER'!H21 + 'FC &amp; Adoptions LASER'!H21</f>
        <v>-714.90999999999985</v>
      </c>
      <c r="S22" s="2209">
        <f t="shared" si="13"/>
        <v>635228.41999999993</v>
      </c>
      <c r="T22" s="2207">
        <f t="shared" si="14"/>
        <v>24767210.514382686</v>
      </c>
      <c r="U22" s="2208">
        <f t="shared" si="15"/>
        <v>18030411.626568969</v>
      </c>
      <c r="V22" s="2208">
        <f t="shared" si="16"/>
        <v>1436304.1900000002</v>
      </c>
      <c r="W22" s="2209">
        <f t="shared" si="17"/>
        <v>44233926.330951661</v>
      </c>
      <c r="Y22" s="594">
        <f t="shared" si="3"/>
        <v>0.47790834057801918</v>
      </c>
      <c r="Z22" s="595">
        <f t="shared" si="4"/>
        <v>0.19663807983566747</v>
      </c>
      <c r="AA22" s="595">
        <f t="shared" si="5"/>
        <v>0.32545357958631338</v>
      </c>
      <c r="AB22" s="596">
        <f t="shared" si="6"/>
        <v>0.67454642041368673</v>
      </c>
      <c r="AD22" s="1231">
        <f t="shared" si="7"/>
        <v>5.2518313491300248E-2</v>
      </c>
      <c r="AE22" s="1189">
        <f t="shared" si="8"/>
        <v>2.8917319941932466E-3</v>
      </c>
      <c r="AF22" s="1233">
        <f t="shared" si="9"/>
        <v>0.94458995451450656</v>
      </c>
      <c r="AH22" s="1231">
        <f t="shared" si="10"/>
        <v>0.52639152295447944</v>
      </c>
      <c r="AI22" s="1189">
        <f t="shared" si="11"/>
        <v>1.4031407928984732E-2</v>
      </c>
      <c r="AJ22" s="1233">
        <f t="shared" si="12"/>
        <v>0.45957706911653573</v>
      </c>
    </row>
    <row r="23" spans="1:36" x14ac:dyDescent="0.25">
      <c r="A23" s="701" t="s">
        <v>46</v>
      </c>
      <c r="B23" s="564" t="s">
        <v>47</v>
      </c>
      <c r="C23" s="702" t="s">
        <v>268</v>
      </c>
      <c r="D23" s="747">
        <f>'Administration LASER'!D22+'Other Oper Exp. LASER'!D22</f>
        <v>1178664.7636073118</v>
      </c>
      <c r="E23" s="748">
        <f>'Administration LASER'!E22+'Other Oper Exp. LASER'!E22</f>
        <v>543486.52639268828</v>
      </c>
      <c r="F23" s="748">
        <f>'Administration LASER'!K22+'Other Oper Exp. LASER'!K22</f>
        <v>694647.38</v>
      </c>
      <c r="G23" s="749">
        <f>'Administration LASER'!I22+'Other Oper Exp. LASER'!I22</f>
        <v>2416798.67</v>
      </c>
      <c r="H23" s="747">
        <f>'Client Services LASER'!D22</f>
        <v>69972.167282915805</v>
      </c>
      <c r="I23" s="748">
        <f>'Client Services LASER'!E22</f>
        <v>68921.5727170842</v>
      </c>
      <c r="J23" s="748">
        <f>'Client Services LASER'!K22</f>
        <v>26955.15</v>
      </c>
      <c r="K23" s="749">
        <f>'Client Services LASER'!I22</f>
        <v>165848.88999999998</v>
      </c>
      <c r="L23" s="2207">
        <f>'Statewide Benefits'!D23</f>
        <v>30118268.55555905</v>
      </c>
      <c r="M23" s="2208">
        <f>'Statewide Benefits'!E23</f>
        <v>23619300.717248343</v>
      </c>
      <c r="N23" s="2208">
        <f>'Statewide Benefits'!I23</f>
        <v>627873.11</v>
      </c>
      <c r="O23" s="2209">
        <f t="shared" si="0"/>
        <v>54365442.382807389</v>
      </c>
      <c r="P23" s="2207">
        <f>'Other Benefits LASER'!D22+'FC &amp; Adoptions LASER'!D22</f>
        <v>501910.26999999996</v>
      </c>
      <c r="Q23" s="2208">
        <f>'Other Benefits LASER'!E22 + 'FC &amp; Adoptions LASER'!E22</f>
        <v>746242.49</v>
      </c>
      <c r="R23" s="2208">
        <f>'Other Benefits LASER'!H22 + 'FC &amp; Adoptions LASER'!H22</f>
        <v>36778.639999999999</v>
      </c>
      <c r="S23" s="2209">
        <f t="shared" si="13"/>
        <v>1284931.3999999999</v>
      </c>
      <c r="T23" s="2207">
        <f t="shared" si="14"/>
        <v>31868815.756449278</v>
      </c>
      <c r="U23" s="2208">
        <f t="shared" si="15"/>
        <v>24977951.306358114</v>
      </c>
      <c r="V23" s="2208">
        <f t="shared" si="16"/>
        <v>1386254.28</v>
      </c>
      <c r="W23" s="2209">
        <f t="shared" si="17"/>
        <v>58233021.34280739</v>
      </c>
      <c r="Y23" s="594">
        <f t="shared" si="3"/>
        <v>0.48769671145479065</v>
      </c>
      <c r="Z23" s="595">
        <f t="shared" si="4"/>
        <v>0.22487869309887046</v>
      </c>
      <c r="AA23" s="595">
        <f t="shared" si="5"/>
        <v>0.28742459544633897</v>
      </c>
      <c r="AB23" s="596">
        <f t="shared" si="6"/>
        <v>0.71257540455366108</v>
      </c>
      <c r="AD23" s="1231">
        <f t="shared" si="7"/>
        <v>4.1502202947237408E-2</v>
      </c>
      <c r="AE23" s="1189">
        <f t="shared" si="8"/>
        <v>2.8480213833260892E-3</v>
      </c>
      <c r="AF23" s="1233">
        <f t="shared" si="9"/>
        <v>0.95564977566943643</v>
      </c>
      <c r="AH23" s="1231">
        <f t="shared" si="10"/>
        <v>0.50109665306137052</v>
      </c>
      <c r="AI23" s="1189">
        <f t="shared" si="11"/>
        <v>1.9444592805873972E-2</v>
      </c>
      <c r="AJ23" s="1233">
        <f t="shared" si="12"/>
        <v>0.47945875413275552</v>
      </c>
    </row>
    <row r="24" spans="1:36" x14ac:dyDescent="0.25">
      <c r="A24" s="701" t="s">
        <v>48</v>
      </c>
      <c r="B24" s="564" t="s">
        <v>269</v>
      </c>
      <c r="C24" s="702" t="s">
        <v>266</v>
      </c>
      <c r="D24" s="747">
        <f>'Administration LASER'!D23+'Other Oper Exp. LASER'!D23</f>
        <v>459279.26390621049</v>
      </c>
      <c r="E24" s="748">
        <f>'Administration LASER'!E23+'Other Oper Exp. LASER'!E23</f>
        <v>209228.11609378952</v>
      </c>
      <c r="F24" s="748">
        <f>'Administration LASER'!K23+'Other Oper Exp. LASER'!K23</f>
        <v>279120.78999999998</v>
      </c>
      <c r="G24" s="749">
        <f>'Administration LASER'!I23+'Other Oper Exp. LASER'!I23</f>
        <v>947628.17</v>
      </c>
      <c r="H24" s="747">
        <f>'Client Services LASER'!D23</f>
        <v>34821.536697038944</v>
      </c>
      <c r="I24" s="748">
        <f>'Client Services LASER'!E23</f>
        <v>6067.6233029610576</v>
      </c>
      <c r="J24" s="748">
        <f>'Client Services LASER'!K23</f>
        <v>12708.04</v>
      </c>
      <c r="K24" s="749">
        <f>'Client Services LASER'!I23</f>
        <v>53597.200000000004</v>
      </c>
      <c r="L24" s="2207">
        <f>'Statewide Benefits'!D24</f>
        <v>6301511.8480570363</v>
      </c>
      <c r="M24" s="2208">
        <f>'Statewide Benefits'!E24</f>
        <v>4733059.1251444612</v>
      </c>
      <c r="N24" s="2208">
        <f>'Statewide Benefits'!I24</f>
        <v>75466.820000000007</v>
      </c>
      <c r="O24" s="2209">
        <f t="shared" si="0"/>
        <v>11110037.793201499</v>
      </c>
      <c r="P24" s="2207">
        <f>'Other Benefits LASER'!D23+'FC &amp; Adoptions LASER'!D23</f>
        <v>3857.6</v>
      </c>
      <c r="Q24" s="2208">
        <f>'Other Benefits LASER'!E23 + 'FC &amp; Adoptions LASER'!E23</f>
        <v>29476.400000000001</v>
      </c>
      <c r="R24" s="2208">
        <f>'Other Benefits LASER'!H23 + 'FC &amp; Adoptions LASER'!H23</f>
        <v>4612</v>
      </c>
      <c r="S24" s="2209">
        <f t="shared" si="13"/>
        <v>37946</v>
      </c>
      <c r="T24" s="2207">
        <f t="shared" si="14"/>
        <v>6799470.248660285</v>
      </c>
      <c r="U24" s="2208">
        <f t="shared" si="15"/>
        <v>4977831.2645412125</v>
      </c>
      <c r="V24" s="2208">
        <f t="shared" si="16"/>
        <v>371907.64999999997</v>
      </c>
      <c r="W24" s="2209">
        <f t="shared" si="17"/>
        <v>12149209.163201498</v>
      </c>
      <c r="Y24" s="594">
        <f t="shared" si="3"/>
        <v>0.48466189423876083</v>
      </c>
      <c r="Z24" s="595">
        <f t="shared" si="4"/>
        <v>0.22079136386773887</v>
      </c>
      <c r="AA24" s="595">
        <f t="shared" si="5"/>
        <v>0.29454674189350022</v>
      </c>
      <c r="AB24" s="596">
        <f t="shared" si="6"/>
        <v>0.70545325810649973</v>
      </c>
      <c r="AD24" s="1231">
        <f t="shared" si="7"/>
        <v>7.7999164988471217E-2</v>
      </c>
      <c r="AE24" s="1189">
        <f t="shared" si="8"/>
        <v>4.4115793283351738E-3</v>
      </c>
      <c r="AF24" s="1233">
        <f t="shared" si="9"/>
        <v>0.91758925568319372</v>
      </c>
      <c r="AH24" s="1231">
        <f t="shared" si="10"/>
        <v>0.75051102067946174</v>
      </c>
      <c r="AI24" s="1189">
        <f t="shared" si="11"/>
        <v>3.416988061417936E-2</v>
      </c>
      <c r="AJ24" s="1233">
        <f t="shared" si="12"/>
        <v>0.21531909870635899</v>
      </c>
    </row>
    <row r="25" spans="1:36" x14ac:dyDescent="0.25">
      <c r="A25" s="701" t="s">
        <v>50</v>
      </c>
      <c r="B25" s="564" t="s">
        <v>51</v>
      </c>
      <c r="C25" s="702" t="s">
        <v>265</v>
      </c>
      <c r="D25" s="747">
        <f>'Administration LASER'!D24+'Other Oper Exp. LASER'!D24</f>
        <v>760677.40056315693</v>
      </c>
      <c r="E25" s="748">
        <f>'Administration LASER'!E24+'Other Oper Exp. LASER'!E24</f>
        <v>332578.09943684301</v>
      </c>
      <c r="F25" s="748">
        <f>'Administration LASER'!K24+'Other Oper Exp. LASER'!K24</f>
        <v>659888.37000000011</v>
      </c>
      <c r="G25" s="749">
        <f>'Administration LASER'!I24+'Other Oper Exp. LASER'!I24</f>
        <v>1753143.8699999999</v>
      </c>
      <c r="H25" s="747">
        <f>'Client Services LASER'!D24</f>
        <v>47726.960855089754</v>
      </c>
      <c r="I25" s="748">
        <f>'Client Services LASER'!E24</f>
        <v>7128.7191449102502</v>
      </c>
      <c r="J25" s="748">
        <f>'Client Services LASER'!K24</f>
        <v>13099.199999999999</v>
      </c>
      <c r="K25" s="749">
        <f>'Client Services LASER'!I24</f>
        <v>67954.880000000005</v>
      </c>
      <c r="L25" s="2207">
        <f>'Statewide Benefits'!D25</f>
        <v>12781335.796900693</v>
      </c>
      <c r="M25" s="2208">
        <f>'Statewide Benefits'!E25</f>
        <v>10295987.935690857</v>
      </c>
      <c r="N25" s="2208">
        <f>'Statewide Benefits'!I25</f>
        <v>318775.02999999997</v>
      </c>
      <c r="O25" s="2209">
        <f t="shared" si="0"/>
        <v>23396098.762591552</v>
      </c>
      <c r="P25" s="2207">
        <f>'Other Benefits LASER'!D24+'FC &amp; Adoptions LASER'!D24</f>
        <v>450074.55000000005</v>
      </c>
      <c r="Q25" s="2208">
        <f>'Other Benefits LASER'!E24 + 'FC &amp; Adoptions LASER'!E24</f>
        <v>306723.84999999998</v>
      </c>
      <c r="R25" s="2208">
        <f>'Other Benefits LASER'!H24 + 'FC &amp; Adoptions LASER'!H24</f>
        <v>12098.84</v>
      </c>
      <c r="S25" s="2209">
        <f t="shared" si="13"/>
        <v>768897.24</v>
      </c>
      <c r="T25" s="2207">
        <f t="shared" si="14"/>
        <v>14039814.708318941</v>
      </c>
      <c r="U25" s="2208">
        <f t="shared" si="15"/>
        <v>10942418.60427261</v>
      </c>
      <c r="V25" s="2208">
        <f t="shared" si="16"/>
        <v>1003861.4400000001</v>
      </c>
      <c r="W25" s="2209">
        <f t="shared" si="17"/>
        <v>25986094.75259155</v>
      </c>
      <c r="Y25" s="594">
        <f t="shared" si="3"/>
        <v>0.43389331222608502</v>
      </c>
      <c r="Z25" s="595">
        <f t="shared" si="4"/>
        <v>0.18970382586846282</v>
      </c>
      <c r="AA25" s="595">
        <f t="shared" si="5"/>
        <v>0.37640286190545225</v>
      </c>
      <c r="AB25" s="596">
        <f t="shared" si="6"/>
        <v>0.62359713809454786</v>
      </c>
      <c r="AD25" s="1231">
        <f t="shared" si="7"/>
        <v>6.746469166265015E-2</v>
      </c>
      <c r="AE25" s="1189">
        <f t="shared" si="8"/>
        <v>2.6150478033342421E-3</v>
      </c>
      <c r="AF25" s="1233">
        <f t="shared" si="9"/>
        <v>0.92992026053401555</v>
      </c>
      <c r="AH25" s="1231">
        <f t="shared" si="10"/>
        <v>0.65735005221437737</v>
      </c>
      <c r="AI25" s="1189">
        <f t="shared" si="11"/>
        <v>1.3048812792331178E-2</v>
      </c>
      <c r="AJ25" s="1233">
        <f t="shared" si="12"/>
        <v>0.32960113499329147</v>
      </c>
    </row>
    <row r="26" spans="1:36" x14ac:dyDescent="0.25">
      <c r="A26" s="701" t="s">
        <v>56</v>
      </c>
      <c r="B26" s="564" t="s">
        <v>295</v>
      </c>
      <c r="C26" s="702" t="s">
        <v>266</v>
      </c>
      <c r="D26" s="747">
        <f>'Administration LASER'!D25+'Other Oper Exp. LASER'!D25</f>
        <v>6297160.8812821489</v>
      </c>
      <c r="E26" s="748">
        <f>'Administration LASER'!E25+'Other Oper Exp. LASER'!E25</f>
        <v>2357912.2787178513</v>
      </c>
      <c r="F26" s="748">
        <f>'Administration LASER'!K25+'Other Oper Exp. LASER'!K25</f>
        <v>4996799.9399999995</v>
      </c>
      <c r="G26" s="749">
        <f>'Administration LASER'!I25+'Other Oper Exp. LASER'!I25</f>
        <v>13651873.100000001</v>
      </c>
      <c r="H26" s="747">
        <f>'Client Services LASER'!D25</f>
        <v>265749.24784758687</v>
      </c>
      <c r="I26" s="748">
        <f>'Client Services LASER'!E25</f>
        <v>258893.46215241312</v>
      </c>
      <c r="J26" s="748">
        <f>'Client Services LASER'!K25</f>
        <v>157906.04</v>
      </c>
      <c r="K26" s="749">
        <f>'Client Services LASER'!I25</f>
        <v>682548.75</v>
      </c>
      <c r="L26" s="2207">
        <f>'Statewide Benefits'!D26</f>
        <v>218712257.09419501</v>
      </c>
      <c r="M26" s="2208">
        <f>'Statewide Benefits'!E26</f>
        <v>170880181.97330776</v>
      </c>
      <c r="N26" s="2208">
        <f>'Statewide Benefits'!I26</f>
        <v>5330798.29</v>
      </c>
      <c r="O26" s="2209">
        <f t="shared" si="0"/>
        <v>394923237.35750276</v>
      </c>
      <c r="P26" s="2207">
        <f>'Other Benefits LASER'!D25+'FC &amp; Adoptions LASER'!D25</f>
        <v>1533432.32</v>
      </c>
      <c r="Q26" s="2208">
        <f>'Other Benefits LASER'!E25 + 'FC &amp; Adoptions LASER'!E25</f>
        <v>2609948.31</v>
      </c>
      <c r="R26" s="2208">
        <f>'Other Benefits LASER'!H25 + 'FC &amp; Adoptions LASER'!H25</f>
        <v>173360.69</v>
      </c>
      <c r="S26" s="2209">
        <f t="shared" si="13"/>
        <v>4316741.32</v>
      </c>
      <c r="T26" s="2207">
        <f t="shared" si="14"/>
        <v>226808599.54332474</v>
      </c>
      <c r="U26" s="2208">
        <f t="shared" si="15"/>
        <v>176106936.02417803</v>
      </c>
      <c r="V26" s="2208">
        <f t="shared" si="16"/>
        <v>10658864.959999999</v>
      </c>
      <c r="W26" s="2209">
        <f t="shared" si="17"/>
        <v>413574400.52750278</v>
      </c>
      <c r="Y26" s="594">
        <f t="shared" si="3"/>
        <v>0.46126717082377128</v>
      </c>
      <c r="Z26" s="595">
        <f t="shared" si="4"/>
        <v>0.17271712544103937</v>
      </c>
      <c r="AA26" s="595">
        <f t="shared" si="5"/>
        <v>0.36601570373518921</v>
      </c>
      <c r="AB26" s="596">
        <f t="shared" si="6"/>
        <v>0.63398429626481068</v>
      </c>
      <c r="AD26" s="1231">
        <f t="shared" si="7"/>
        <v>3.3009473223167135E-2</v>
      </c>
      <c r="AE26" s="1189">
        <f t="shared" si="8"/>
        <v>1.6503650833548397E-3</v>
      </c>
      <c r="AF26" s="1233">
        <f t="shared" si="9"/>
        <v>0.96534016169347803</v>
      </c>
      <c r="AH26" s="1231">
        <f t="shared" si="10"/>
        <v>0.4687928741710975</v>
      </c>
      <c r="AI26" s="1189">
        <f t="shared" si="11"/>
        <v>1.4814526743005103E-2</v>
      </c>
      <c r="AJ26" s="1233">
        <f t="shared" si="12"/>
        <v>0.51639259908589752</v>
      </c>
    </row>
    <row r="27" spans="1:36" x14ac:dyDescent="0.25">
      <c r="A27" s="701" t="s">
        <v>58</v>
      </c>
      <c r="B27" s="564" t="s">
        <v>59</v>
      </c>
      <c r="C27" s="702" t="s">
        <v>267</v>
      </c>
      <c r="D27" s="747">
        <f>'Administration LASER'!D26+'Other Oper Exp. LASER'!D26</f>
        <v>582505.20753994549</v>
      </c>
      <c r="E27" s="748">
        <f>'Administration LASER'!E26+'Other Oper Exp. LASER'!E26</f>
        <v>152705.99246005452</v>
      </c>
      <c r="F27" s="748">
        <f>'Administration LASER'!K26+'Other Oper Exp. LASER'!K26</f>
        <v>659221.66</v>
      </c>
      <c r="G27" s="749">
        <f>'Administration LASER'!I26+'Other Oper Exp. LASER'!I26</f>
        <v>1394432.8599999999</v>
      </c>
      <c r="H27" s="747">
        <f>'Client Services LASER'!D26</f>
        <v>39595.769999999997</v>
      </c>
      <c r="I27" s="748">
        <f>'Client Services LASER'!E26</f>
        <v>3535.06</v>
      </c>
      <c r="J27" s="748">
        <f>'Client Services LASER'!K26</f>
        <v>14249.279999999999</v>
      </c>
      <c r="K27" s="749">
        <f>'Client Services LASER'!I26</f>
        <v>57380.109999999993</v>
      </c>
      <c r="L27" s="2207">
        <f>'Statewide Benefits'!D27</f>
        <v>6142344.3141608043</v>
      </c>
      <c r="M27" s="2208">
        <f>'Statewide Benefits'!E27</f>
        <v>5404319.2954232637</v>
      </c>
      <c r="N27" s="2208">
        <f>'Statewide Benefits'!I27</f>
        <v>415171.05</v>
      </c>
      <c r="O27" s="2209">
        <f t="shared" si="0"/>
        <v>11961834.659584068</v>
      </c>
      <c r="P27" s="2207">
        <f>'Other Benefits LASER'!D26+'FC &amp; Adoptions LASER'!D26</f>
        <v>63553.56</v>
      </c>
      <c r="Q27" s="2208">
        <f>'Other Benefits LASER'!E26 + 'FC &amp; Adoptions LASER'!E26</f>
        <v>155102.38</v>
      </c>
      <c r="R27" s="2208">
        <f>'Other Benefits LASER'!H26 + 'FC &amp; Adoptions LASER'!H26</f>
        <v>5735.8</v>
      </c>
      <c r="S27" s="2209">
        <f t="shared" si="13"/>
        <v>224391.74</v>
      </c>
      <c r="T27" s="2207">
        <f t="shared" si="14"/>
        <v>6827998.8517007492</v>
      </c>
      <c r="U27" s="2208">
        <f t="shared" si="15"/>
        <v>5715662.7278833184</v>
      </c>
      <c r="V27" s="2208">
        <f t="shared" si="16"/>
        <v>1094377.79</v>
      </c>
      <c r="W27" s="2209">
        <f t="shared" si="17"/>
        <v>13638039.369584069</v>
      </c>
      <c r="Y27" s="594">
        <f t="shared" si="3"/>
        <v>0.41773628852947825</v>
      </c>
      <c r="Z27" s="595">
        <f t="shared" si="4"/>
        <v>0.10951118324912003</v>
      </c>
      <c r="AA27" s="595">
        <f t="shared" si="5"/>
        <v>0.47275252822140185</v>
      </c>
      <c r="AB27" s="596">
        <f t="shared" si="6"/>
        <v>0.52724747177859821</v>
      </c>
      <c r="AD27" s="1231">
        <f t="shared" si="7"/>
        <v>0.10224584503766007</v>
      </c>
      <c r="AE27" s="1189">
        <f t="shared" si="8"/>
        <v>4.2073577033345938E-3</v>
      </c>
      <c r="AF27" s="1233">
        <f t="shared" si="9"/>
        <v>0.89354679725900532</v>
      </c>
      <c r="AH27" s="1231">
        <f t="shared" si="10"/>
        <v>0.6023711976099223</v>
      </c>
      <c r="AI27" s="1189">
        <f t="shared" si="11"/>
        <v>1.3020439678330824E-2</v>
      </c>
      <c r="AJ27" s="1233">
        <f t="shared" si="12"/>
        <v>0.38460836271174687</v>
      </c>
    </row>
    <row r="28" spans="1:36" x14ac:dyDescent="0.25">
      <c r="A28" s="701" t="s">
        <v>60</v>
      </c>
      <c r="B28" s="564" t="s">
        <v>61</v>
      </c>
      <c r="C28" s="702" t="s">
        <v>265</v>
      </c>
      <c r="D28" s="747">
        <f>'Administration LASER'!D27+'Other Oper Exp. LASER'!D27</f>
        <v>227521.08794683506</v>
      </c>
      <c r="E28" s="748">
        <f>'Administration LASER'!E27+'Other Oper Exp. LASER'!E27</f>
        <v>103753.38205316493</v>
      </c>
      <c r="F28" s="748">
        <f>'Administration LASER'!K27+'Other Oper Exp. LASER'!K27</f>
        <v>130336.4</v>
      </c>
      <c r="G28" s="749">
        <f>'Administration LASER'!I27+'Other Oper Exp. LASER'!I27</f>
        <v>461610.86999999994</v>
      </c>
      <c r="H28" s="747">
        <f>'Client Services LASER'!D27</f>
        <v>15411.597708528479</v>
      </c>
      <c r="I28" s="748">
        <f>'Client Services LASER'!E27</f>
        <v>4703.9922914715225</v>
      </c>
      <c r="J28" s="748">
        <f>'Client Services LASER'!K27</f>
        <v>3805.23</v>
      </c>
      <c r="K28" s="749">
        <f>'Client Services LASER'!I27</f>
        <v>23920.820000000003</v>
      </c>
      <c r="L28" s="2207">
        <f>'Statewide Benefits'!D28</f>
        <v>3671151.3031062912</v>
      </c>
      <c r="M28" s="2208">
        <f>'Statewide Benefits'!E28</f>
        <v>2967729.4877107046</v>
      </c>
      <c r="N28" s="2208">
        <f>'Statewide Benefits'!I28</f>
        <v>135241.07</v>
      </c>
      <c r="O28" s="2209">
        <f t="shared" si="0"/>
        <v>6774121.8608169965</v>
      </c>
      <c r="P28" s="2207">
        <f>'Other Benefits LASER'!D27+'FC &amp; Adoptions LASER'!D27</f>
        <v>66184.509999999995</v>
      </c>
      <c r="Q28" s="2208">
        <f>'Other Benefits LASER'!E27 + 'FC &amp; Adoptions LASER'!E27</f>
        <v>109697.10999999999</v>
      </c>
      <c r="R28" s="2208">
        <f>'Other Benefits LASER'!H27 + 'FC &amp; Adoptions LASER'!H27</f>
        <v>6694.4</v>
      </c>
      <c r="S28" s="2209">
        <f t="shared" si="13"/>
        <v>182576.02</v>
      </c>
      <c r="T28" s="2207">
        <f t="shared" si="14"/>
        <v>3980268.4987616544</v>
      </c>
      <c r="U28" s="2208">
        <f t="shared" si="15"/>
        <v>3185883.9720553407</v>
      </c>
      <c r="V28" s="2208">
        <f t="shared" si="16"/>
        <v>276077.10000000003</v>
      </c>
      <c r="W28" s="2209">
        <f t="shared" si="17"/>
        <v>7442229.5708169956</v>
      </c>
      <c r="Y28" s="594">
        <f t="shared" si="3"/>
        <v>0.49288503095006209</v>
      </c>
      <c r="Z28" s="595">
        <f t="shared" si="4"/>
        <v>0.22476373239036798</v>
      </c>
      <c r="AA28" s="595">
        <f t="shared" si="5"/>
        <v>0.28235123665957002</v>
      </c>
      <c r="AB28" s="596">
        <f t="shared" si="6"/>
        <v>0.71764876334043004</v>
      </c>
      <c r="AD28" s="1231">
        <f t="shared" si="7"/>
        <v>6.202588426055837E-2</v>
      </c>
      <c r="AE28" s="1189">
        <f t="shared" si="8"/>
        <v>3.2142007677107998E-3</v>
      </c>
      <c r="AF28" s="1233">
        <f t="shared" si="9"/>
        <v>0.93475991497173094</v>
      </c>
      <c r="AH28" s="1231">
        <f t="shared" si="10"/>
        <v>0.47210145281879584</v>
      </c>
      <c r="AI28" s="1189">
        <f t="shared" si="11"/>
        <v>1.3783214906270746E-2</v>
      </c>
      <c r="AJ28" s="1233">
        <f t="shared" si="12"/>
        <v>0.51411533227493333</v>
      </c>
    </row>
    <row r="29" spans="1:36" x14ac:dyDescent="0.25">
      <c r="A29" s="701" t="s">
        <v>62</v>
      </c>
      <c r="B29" s="564" t="s">
        <v>63</v>
      </c>
      <c r="C29" s="702" t="s">
        <v>267</v>
      </c>
      <c r="D29" s="747">
        <f>'Administration LASER'!D28+'Other Oper Exp. LASER'!D28</f>
        <v>1786351.9653846044</v>
      </c>
      <c r="E29" s="748">
        <f>'Administration LASER'!E28+'Other Oper Exp. LASER'!E28</f>
        <v>632498.43461539585</v>
      </c>
      <c r="F29" s="748">
        <f>'Administration LASER'!K28+'Other Oper Exp. LASER'!K28</f>
        <v>1526834.47</v>
      </c>
      <c r="G29" s="749">
        <f>'Administration LASER'!I28+'Other Oper Exp. LASER'!I28</f>
        <v>3945684.87</v>
      </c>
      <c r="H29" s="747">
        <f>'Client Services LASER'!D28</f>
        <v>70634.66300178942</v>
      </c>
      <c r="I29" s="748">
        <f>'Client Services LASER'!E28</f>
        <v>88044.556998210581</v>
      </c>
      <c r="J29" s="748">
        <f>'Client Services LASER'!K28</f>
        <v>31423.759999999998</v>
      </c>
      <c r="K29" s="749">
        <f>'Client Services LASER'!I28</f>
        <v>190102.98</v>
      </c>
      <c r="L29" s="2207">
        <f>'Statewide Benefits'!D29</f>
        <v>37446266.957392983</v>
      </c>
      <c r="M29" s="2208">
        <f>'Statewide Benefits'!E29</f>
        <v>30127700.15275652</v>
      </c>
      <c r="N29" s="2208">
        <f>'Statewide Benefits'!I29</f>
        <v>1578765.77</v>
      </c>
      <c r="O29" s="2209">
        <f t="shared" si="0"/>
        <v>69152732.880149499</v>
      </c>
      <c r="P29" s="2207">
        <f>'Other Benefits LASER'!D28+'FC &amp; Adoptions LASER'!D28</f>
        <v>1109333.92</v>
      </c>
      <c r="Q29" s="2208">
        <f>'Other Benefits LASER'!E28 + 'FC &amp; Adoptions LASER'!E28</f>
        <v>1330596.06</v>
      </c>
      <c r="R29" s="2208">
        <f>'Other Benefits LASER'!H28 + 'FC &amp; Adoptions LASER'!H28</f>
        <v>11272.04</v>
      </c>
      <c r="S29" s="2209">
        <f t="shared" si="13"/>
        <v>2451202.02</v>
      </c>
      <c r="T29" s="2207">
        <f t="shared" si="14"/>
        <v>40412587.505779378</v>
      </c>
      <c r="U29" s="2208">
        <f t="shared" si="15"/>
        <v>32178839.204370126</v>
      </c>
      <c r="V29" s="2208">
        <f t="shared" si="16"/>
        <v>3148296.04</v>
      </c>
      <c r="W29" s="2209">
        <f t="shared" si="17"/>
        <v>75739722.750149488</v>
      </c>
      <c r="Y29" s="594">
        <f t="shared" si="3"/>
        <v>0.45273558944523729</v>
      </c>
      <c r="Z29" s="595">
        <f t="shared" si="4"/>
        <v>0.16030130521178593</v>
      </c>
      <c r="AA29" s="595">
        <f t="shared" si="5"/>
        <v>0.38696310534297684</v>
      </c>
      <c r="AB29" s="596">
        <f t="shared" si="6"/>
        <v>0.61303689465702316</v>
      </c>
      <c r="AD29" s="1231">
        <f t="shared" si="7"/>
        <v>5.2095317050684771E-2</v>
      </c>
      <c r="AE29" s="1189">
        <f t="shared" si="8"/>
        <v>2.50995083025472E-3</v>
      </c>
      <c r="AF29" s="1233">
        <f t="shared" si="9"/>
        <v>0.94539473211906055</v>
      </c>
      <c r="AH29" s="1231">
        <f t="shared" si="10"/>
        <v>0.48497169599082557</v>
      </c>
      <c r="AI29" s="1189">
        <f t="shared" si="11"/>
        <v>9.9811960504197043E-3</v>
      </c>
      <c r="AJ29" s="1233">
        <f t="shared" si="12"/>
        <v>0.50504710795875474</v>
      </c>
    </row>
    <row r="30" spans="1:36" x14ac:dyDescent="0.25">
      <c r="A30" s="701" t="s">
        <v>64</v>
      </c>
      <c r="B30" s="564" t="s">
        <v>65</v>
      </c>
      <c r="C30" s="702" t="s">
        <v>266</v>
      </c>
      <c r="D30" s="747">
        <f>'Administration LASER'!D29+'Other Oper Exp. LASER'!D29</f>
        <v>508347.54479135456</v>
      </c>
      <c r="E30" s="748">
        <f>'Administration LASER'!E29+'Other Oper Exp. LASER'!E29</f>
        <v>225928.24520864547</v>
      </c>
      <c r="F30" s="748">
        <f>'Administration LASER'!K29+'Other Oper Exp. LASER'!K29</f>
        <v>295105.45</v>
      </c>
      <c r="G30" s="749">
        <f>'Administration LASER'!I29+'Other Oper Exp. LASER'!I29</f>
        <v>1029381.24</v>
      </c>
      <c r="H30" s="747">
        <f>'Client Services LASER'!D29</f>
        <v>20878.346572839459</v>
      </c>
      <c r="I30" s="748">
        <f>'Client Services LASER'!E29</f>
        <v>30282.833427160538</v>
      </c>
      <c r="J30" s="748">
        <f>'Client Services LASER'!K29</f>
        <v>9821.9699999999975</v>
      </c>
      <c r="K30" s="749">
        <f>'Client Services LASER'!I29</f>
        <v>60983.149999999994</v>
      </c>
      <c r="L30" s="2207">
        <f>'Statewide Benefits'!D30</f>
        <v>12011338.255874583</v>
      </c>
      <c r="M30" s="2208">
        <f>'Statewide Benefits'!E30</f>
        <v>9403645.9386454057</v>
      </c>
      <c r="N30" s="2208">
        <f>'Statewide Benefits'!I30</f>
        <v>279815.12</v>
      </c>
      <c r="O30" s="2209">
        <f t="shared" si="0"/>
        <v>21694799.31451999</v>
      </c>
      <c r="P30" s="2207">
        <f>'Other Benefits LASER'!D29+'FC &amp; Adoptions LASER'!D29</f>
        <v>89225.12</v>
      </c>
      <c r="Q30" s="2208">
        <f>'Other Benefits LASER'!E29 + 'FC &amp; Adoptions LASER'!E29</f>
        <v>159378.78</v>
      </c>
      <c r="R30" s="2208">
        <f>'Other Benefits LASER'!H29 + 'FC &amp; Adoptions LASER'!H29</f>
        <v>15937.550000000001</v>
      </c>
      <c r="S30" s="2209">
        <f t="shared" si="13"/>
        <v>264541.45</v>
      </c>
      <c r="T30" s="2207">
        <f t="shared" si="14"/>
        <v>12629789.267238777</v>
      </c>
      <c r="U30" s="2208">
        <f t="shared" si="15"/>
        <v>9819235.7972812112</v>
      </c>
      <c r="V30" s="2208">
        <f t="shared" si="16"/>
        <v>600680.09000000008</v>
      </c>
      <c r="W30" s="2209">
        <f t="shared" si="17"/>
        <v>23049705.15451999</v>
      </c>
      <c r="Y30" s="594">
        <f t="shared" si="3"/>
        <v>0.49383797279164965</v>
      </c>
      <c r="Z30" s="595">
        <f t="shared" si="4"/>
        <v>0.21947966062471225</v>
      </c>
      <c r="AA30" s="595">
        <f t="shared" si="5"/>
        <v>0.28668236658363816</v>
      </c>
      <c r="AB30" s="596">
        <f t="shared" si="6"/>
        <v>0.7133176334163619</v>
      </c>
      <c r="AD30" s="1231">
        <f t="shared" si="7"/>
        <v>4.465919338660785E-2</v>
      </c>
      <c r="AE30" s="1189">
        <f t="shared" si="8"/>
        <v>2.6457236477075434E-3</v>
      </c>
      <c r="AF30" s="1233">
        <f t="shared" si="9"/>
        <v>0.95269508296568461</v>
      </c>
      <c r="AH30" s="1231">
        <f t="shared" si="10"/>
        <v>0.49128555268079549</v>
      </c>
      <c r="AI30" s="1189">
        <f t="shared" si="11"/>
        <v>1.6351415942552711E-2</v>
      </c>
      <c r="AJ30" s="1233">
        <f t="shared" si="12"/>
        <v>0.49236303137665166</v>
      </c>
    </row>
    <row r="31" spans="1:36" x14ac:dyDescent="0.25">
      <c r="A31" s="701" t="s">
        <v>68</v>
      </c>
      <c r="B31" s="564" t="s">
        <v>69</v>
      </c>
      <c r="C31" s="702" t="s">
        <v>268</v>
      </c>
      <c r="D31" s="747">
        <f>'Administration LASER'!D30+'Other Oper Exp. LASER'!D30</f>
        <v>1462882.4522149409</v>
      </c>
      <c r="E31" s="748">
        <f>'Administration LASER'!E30+'Other Oper Exp. LASER'!E30</f>
        <v>619429.66778505885</v>
      </c>
      <c r="F31" s="748">
        <f>'Administration LASER'!K30+'Other Oper Exp. LASER'!K30</f>
        <v>986573.46</v>
      </c>
      <c r="G31" s="749">
        <f>'Administration LASER'!I30+'Other Oper Exp. LASER'!I30</f>
        <v>3068885.5799999996</v>
      </c>
      <c r="H31" s="747">
        <f>'Client Services LASER'!D30</f>
        <v>89834.055499952447</v>
      </c>
      <c r="I31" s="748">
        <f>'Client Services LASER'!E30</f>
        <v>17143.95450004757</v>
      </c>
      <c r="J31" s="748">
        <f>'Client Services LASER'!K30</f>
        <v>20719.509999999998</v>
      </c>
      <c r="K31" s="749">
        <f>'Client Services LASER'!I30</f>
        <v>127697.52</v>
      </c>
      <c r="L31" s="2207">
        <f>'Statewide Benefits'!D31</f>
        <v>20229527.900386378</v>
      </c>
      <c r="M31" s="2208">
        <f>'Statewide Benefits'!E31</f>
        <v>15542828.692342164</v>
      </c>
      <c r="N31" s="2208">
        <f>'Statewide Benefits'!I31</f>
        <v>430395.25</v>
      </c>
      <c r="O31" s="2209">
        <f t="shared" si="0"/>
        <v>36202751.84272854</v>
      </c>
      <c r="P31" s="2207">
        <f>'Other Benefits LASER'!D30+'FC &amp; Adoptions LASER'!D30</f>
        <v>742231.59</v>
      </c>
      <c r="Q31" s="2208">
        <f>'Other Benefits LASER'!E30 + 'FC &amp; Adoptions LASER'!E30</f>
        <v>1165115.6499999999</v>
      </c>
      <c r="R31" s="2208">
        <f>'Other Benefits LASER'!H30 + 'FC &amp; Adoptions LASER'!H30</f>
        <v>25071.559999999998</v>
      </c>
      <c r="S31" s="2209">
        <f t="shared" si="13"/>
        <v>1932418.7999999998</v>
      </c>
      <c r="T31" s="2207">
        <f t="shared" si="14"/>
        <v>22524475.998101272</v>
      </c>
      <c r="U31" s="2208">
        <f t="shared" si="15"/>
        <v>17344517.96462727</v>
      </c>
      <c r="V31" s="2208">
        <f t="shared" si="16"/>
        <v>1462759.78</v>
      </c>
      <c r="W31" s="2209">
        <f t="shared" si="17"/>
        <v>41331753.742728539</v>
      </c>
      <c r="Y31" s="594">
        <f t="shared" si="3"/>
        <v>0.47668197920071725</v>
      </c>
      <c r="Z31" s="595">
        <f t="shared" si="4"/>
        <v>0.20184189069214464</v>
      </c>
      <c r="AA31" s="595">
        <f t="shared" si="5"/>
        <v>0.32147613010713816</v>
      </c>
      <c r="AB31" s="596">
        <f t="shared" si="6"/>
        <v>0.67852386989286184</v>
      </c>
      <c r="AD31" s="1231">
        <f t="shared" si="7"/>
        <v>7.425006930754556E-2</v>
      </c>
      <c r="AE31" s="1189">
        <f t="shared" si="8"/>
        <v>3.0895741998962657E-3</v>
      </c>
      <c r="AF31" s="1233">
        <f t="shared" si="9"/>
        <v>0.92266035649255818</v>
      </c>
      <c r="AH31" s="1231">
        <f t="shared" si="10"/>
        <v>0.67446034098640584</v>
      </c>
      <c r="AI31" s="1189">
        <f t="shared" si="11"/>
        <v>1.4164670291932691E-2</v>
      </c>
      <c r="AJ31" s="1233">
        <f t="shared" si="12"/>
        <v>0.31137498872166147</v>
      </c>
    </row>
    <row r="32" spans="1:36" x14ac:dyDescent="0.25">
      <c r="A32" s="701" t="s">
        <v>70</v>
      </c>
      <c r="B32" s="564" t="s">
        <v>71</v>
      </c>
      <c r="C32" s="702" t="s">
        <v>264</v>
      </c>
      <c r="D32" s="747">
        <f>'Administration LASER'!D31+'Other Oper Exp. LASER'!D31</f>
        <v>1027612.2683578695</v>
      </c>
      <c r="E32" s="748">
        <f>'Administration LASER'!E31+'Other Oper Exp. LASER'!E31</f>
        <v>488132.83164213045</v>
      </c>
      <c r="F32" s="748">
        <f>'Administration LASER'!K31+'Other Oper Exp. LASER'!K31</f>
        <v>518324.78</v>
      </c>
      <c r="G32" s="749">
        <f>'Administration LASER'!I31+'Other Oper Exp. LASER'!I31</f>
        <v>2034069.88</v>
      </c>
      <c r="H32" s="747">
        <f>'Client Services LASER'!D31</f>
        <v>65997.093931842304</v>
      </c>
      <c r="I32" s="748">
        <f>'Client Services LASER'!E31</f>
        <v>18364.976068157688</v>
      </c>
      <c r="J32" s="748">
        <f>'Client Services LASER'!K31</f>
        <v>54574.460000000006</v>
      </c>
      <c r="K32" s="749">
        <f>'Client Services LASER'!I31</f>
        <v>138936.53</v>
      </c>
      <c r="L32" s="2207">
        <f>'Statewide Benefits'!D32</f>
        <v>25868452.639208566</v>
      </c>
      <c r="M32" s="2208">
        <f>'Statewide Benefits'!E32</f>
        <v>19663506.038466442</v>
      </c>
      <c r="N32" s="2208">
        <f>'Statewide Benefits'!I32</f>
        <v>631589.09</v>
      </c>
      <c r="O32" s="2209">
        <f t="shared" si="0"/>
        <v>46163547.767675012</v>
      </c>
      <c r="P32" s="2207">
        <f>'Other Benefits LASER'!D31+'FC &amp; Adoptions LASER'!D31</f>
        <v>198764.1</v>
      </c>
      <c r="Q32" s="2208">
        <f>'Other Benefits LASER'!E31 + 'FC &amp; Adoptions LASER'!E31</f>
        <v>396862.66000000003</v>
      </c>
      <c r="R32" s="2208">
        <f>'Other Benefits LASER'!H31 + 'FC &amp; Adoptions LASER'!H31</f>
        <v>49439.780000000006</v>
      </c>
      <c r="S32" s="2209">
        <f t="shared" si="13"/>
        <v>645066.54</v>
      </c>
      <c r="T32" s="2207">
        <f t="shared" si="14"/>
        <v>27160826.10149828</v>
      </c>
      <c r="U32" s="2208">
        <f t="shared" si="15"/>
        <v>20566866.506176732</v>
      </c>
      <c r="V32" s="2208">
        <f t="shared" si="16"/>
        <v>1253928.1100000001</v>
      </c>
      <c r="W32" s="2209">
        <f t="shared" si="17"/>
        <v>48981620.717675008</v>
      </c>
      <c r="Y32" s="594">
        <f t="shared" si="3"/>
        <v>0.50520008110924364</v>
      </c>
      <c r="Z32" s="595">
        <f t="shared" si="4"/>
        <v>0.23997839820632438</v>
      </c>
      <c r="AA32" s="595">
        <f t="shared" si="5"/>
        <v>0.25482152068443198</v>
      </c>
      <c r="AB32" s="596">
        <f t="shared" si="6"/>
        <v>0.74517847931556802</v>
      </c>
      <c r="AD32" s="1231">
        <f t="shared" si="7"/>
        <v>4.1527206535777329E-2</v>
      </c>
      <c r="AE32" s="1189">
        <f t="shared" si="8"/>
        <v>2.8365033243962215E-3</v>
      </c>
      <c r="AF32" s="1233">
        <f t="shared" si="9"/>
        <v>0.95563629013982654</v>
      </c>
      <c r="AH32" s="1231">
        <f t="shared" si="10"/>
        <v>0.41336084251273381</v>
      </c>
      <c r="AI32" s="1189">
        <f t="shared" si="11"/>
        <v>4.3522798129152718E-2</v>
      </c>
      <c r="AJ32" s="1233">
        <f t="shared" si="12"/>
        <v>0.54311635935811342</v>
      </c>
    </row>
    <row r="33" spans="1:36" x14ac:dyDescent="0.25">
      <c r="A33" s="701" t="s">
        <v>72</v>
      </c>
      <c r="B33" s="564" t="s">
        <v>73</v>
      </c>
      <c r="C33" s="702" t="s">
        <v>266</v>
      </c>
      <c r="D33" s="747">
        <f>'Administration LASER'!D32+'Other Oper Exp. LASER'!D32</f>
        <v>580399.74233729031</v>
      </c>
      <c r="E33" s="748">
        <f>'Administration LASER'!E32+'Other Oper Exp. LASER'!E32</f>
        <v>216909.48766270973</v>
      </c>
      <c r="F33" s="748">
        <f>'Administration LASER'!K32+'Other Oper Exp. LASER'!K32</f>
        <v>443576.19999999995</v>
      </c>
      <c r="G33" s="749">
        <f>'Administration LASER'!I32+'Other Oper Exp. LASER'!I32</f>
        <v>1240885.4300000002</v>
      </c>
      <c r="H33" s="747">
        <f>'Client Services LASER'!D32</f>
        <v>25622.763230464639</v>
      </c>
      <c r="I33" s="748">
        <f>'Client Services LASER'!E32</f>
        <v>8422.6267695353636</v>
      </c>
      <c r="J33" s="748">
        <f>'Client Services LASER'!K32</f>
        <v>5662.27</v>
      </c>
      <c r="K33" s="749">
        <f>'Client Services LASER'!I32</f>
        <v>39707.659999999996</v>
      </c>
      <c r="L33" s="2207">
        <f>'Statewide Benefits'!D33</f>
        <v>12099629.256786082</v>
      </c>
      <c r="M33" s="2208">
        <f>'Statewide Benefits'!E33</f>
        <v>8937938.0279151574</v>
      </c>
      <c r="N33" s="2208">
        <f>'Statewide Benefits'!I33</f>
        <v>461894.66</v>
      </c>
      <c r="O33" s="2209">
        <f t="shared" si="0"/>
        <v>21499461.944701239</v>
      </c>
      <c r="P33" s="2207">
        <f>'Other Benefits LASER'!D32+'FC &amp; Adoptions LASER'!D32</f>
        <v>254708.14</v>
      </c>
      <c r="Q33" s="2208">
        <f>'Other Benefits LASER'!E32 + 'FC &amp; Adoptions LASER'!E32</f>
        <v>303028.14</v>
      </c>
      <c r="R33" s="2208">
        <f>'Other Benefits LASER'!H32 + 'FC &amp; Adoptions LASER'!H32</f>
        <v>8142.53</v>
      </c>
      <c r="S33" s="2209">
        <f t="shared" si="13"/>
        <v>565878.81000000006</v>
      </c>
      <c r="T33" s="2207">
        <f t="shared" si="14"/>
        <v>12960359.902353838</v>
      </c>
      <c r="U33" s="2208">
        <f t="shared" si="15"/>
        <v>9466298.2823474035</v>
      </c>
      <c r="V33" s="2208">
        <f t="shared" si="16"/>
        <v>919275.65999999992</v>
      </c>
      <c r="W33" s="2209">
        <f t="shared" si="17"/>
        <v>23345933.844701238</v>
      </c>
      <c r="Y33" s="594">
        <f t="shared" si="3"/>
        <v>0.46773032248214103</v>
      </c>
      <c r="Z33" s="595">
        <f t="shared" si="4"/>
        <v>0.1748021875498286</v>
      </c>
      <c r="AA33" s="595">
        <f t="shared" si="5"/>
        <v>0.35746748996803024</v>
      </c>
      <c r="AB33" s="596">
        <f t="shared" si="6"/>
        <v>0.64253251003196954</v>
      </c>
      <c r="AD33" s="1231">
        <f t="shared" si="7"/>
        <v>5.3152100843532564E-2</v>
      </c>
      <c r="AE33" s="1189">
        <f t="shared" si="8"/>
        <v>1.7008383671494184E-3</v>
      </c>
      <c r="AF33" s="1233">
        <f t="shared" si="9"/>
        <v>0.94514706078931798</v>
      </c>
      <c r="AH33" s="1231">
        <f t="shared" si="10"/>
        <v>0.48252795032123441</v>
      </c>
      <c r="AI33" s="1189">
        <f t="shared" si="11"/>
        <v>6.1594908321623582E-3</v>
      </c>
      <c r="AJ33" s="1233">
        <f t="shared" si="12"/>
        <v>0.5113125588466032</v>
      </c>
    </row>
    <row r="34" spans="1:36" x14ac:dyDescent="0.25">
      <c r="A34" s="701" t="s">
        <v>74</v>
      </c>
      <c r="B34" s="564" t="s">
        <v>609</v>
      </c>
      <c r="C34" s="702" t="s">
        <v>267</v>
      </c>
      <c r="D34" s="747">
        <f>'Administration LASER'!D33+'Other Oper Exp. LASER'!D33</f>
        <v>31046341.026573326</v>
      </c>
      <c r="E34" s="748">
        <f>'Administration LASER'!E33+'Other Oper Exp. LASER'!E33</f>
        <v>6901847.653426677</v>
      </c>
      <c r="F34" s="748">
        <f>'Administration LASER'!K33+'Other Oper Exp. LASER'!K33</f>
        <v>37898916.549999997</v>
      </c>
      <c r="G34" s="749">
        <f>'Administration LASER'!I33+'Other Oper Exp. LASER'!I33</f>
        <v>75847105.229999989</v>
      </c>
      <c r="H34" s="747">
        <f>'Client Services LASER'!D33</f>
        <v>1161601.2307485263</v>
      </c>
      <c r="I34" s="748">
        <f>'Client Services LASER'!E33</f>
        <v>454814.61925147398</v>
      </c>
      <c r="J34" s="748">
        <f>'Client Services LASER'!K33</f>
        <v>1635323.8099999998</v>
      </c>
      <c r="K34" s="749">
        <f>'Client Services LASER'!I33</f>
        <v>3251739.66</v>
      </c>
      <c r="L34" s="2207">
        <f>'Statewide Benefits'!D34</f>
        <v>413885285.91725379</v>
      </c>
      <c r="M34" s="2208">
        <f>'Statewide Benefits'!E34</f>
        <v>334162505.79526722</v>
      </c>
      <c r="N34" s="2208">
        <f>'Statewide Benefits'!I34</f>
        <v>18437962.32</v>
      </c>
      <c r="O34" s="2209">
        <f t="shared" si="0"/>
        <v>766485754.03252113</v>
      </c>
      <c r="P34" s="2207">
        <f>'Other Benefits LASER'!D33+'FC &amp; Adoptions LASER'!D33</f>
        <v>4619962.2600000007</v>
      </c>
      <c r="Q34" s="2208">
        <f>'Other Benefits LASER'!E33 + 'FC &amp; Adoptions LASER'!E33</f>
        <v>6943811.5700000003</v>
      </c>
      <c r="R34" s="2208">
        <f>'Other Benefits LASER'!H33 + 'FC &amp; Adoptions LASER'!H33</f>
        <v>285658.06000000006</v>
      </c>
      <c r="S34" s="2209">
        <f t="shared" si="13"/>
        <v>11849431.890000002</v>
      </c>
      <c r="T34" s="2207">
        <f t="shared" si="14"/>
        <v>450713190.43457562</v>
      </c>
      <c r="U34" s="2208">
        <f t="shared" si="15"/>
        <v>348462979.63794535</v>
      </c>
      <c r="V34" s="2208">
        <f t="shared" si="16"/>
        <v>58257860.740000002</v>
      </c>
      <c r="W34" s="2209">
        <f t="shared" si="17"/>
        <v>857434030.8125211</v>
      </c>
      <c r="Y34" s="594">
        <f t="shared" si="3"/>
        <v>0.40932796225284934</v>
      </c>
      <c r="Z34" s="595">
        <f t="shared" si="4"/>
        <v>9.0996849945655836E-2</v>
      </c>
      <c r="AA34" s="595">
        <f t="shared" si="5"/>
        <v>0.499675187801495</v>
      </c>
      <c r="AB34" s="596">
        <f t="shared" si="6"/>
        <v>0.50032481219850522</v>
      </c>
      <c r="AD34" s="1231">
        <f t="shared" si="7"/>
        <v>8.8458239939608885E-2</v>
      </c>
      <c r="AE34" s="1189">
        <f t="shared" si="8"/>
        <v>3.7924079790938418E-3</v>
      </c>
      <c r="AF34" s="1233">
        <f t="shared" si="9"/>
        <v>0.90774935208129726</v>
      </c>
      <c r="AH34" s="1231">
        <f t="shared" si="10"/>
        <v>0.65053738789242055</v>
      </c>
      <c r="AI34" s="1189">
        <f t="shared" si="11"/>
        <v>2.8070440438901702E-2</v>
      </c>
      <c r="AJ34" s="1233">
        <f t="shared" si="12"/>
        <v>0.32139217166867767</v>
      </c>
    </row>
    <row r="35" spans="1:36" x14ac:dyDescent="0.25">
      <c r="A35" s="701" t="s">
        <v>76</v>
      </c>
      <c r="B35" s="564" t="s">
        <v>77</v>
      </c>
      <c r="C35" s="702" t="s">
        <v>267</v>
      </c>
      <c r="D35" s="747">
        <f>'Administration LASER'!D34+'Other Oper Exp. LASER'!D34</f>
        <v>1680460.8700510766</v>
      </c>
      <c r="E35" s="748">
        <f>'Administration LASER'!E34+'Other Oper Exp. LASER'!E34</f>
        <v>531596.76994892338</v>
      </c>
      <c r="F35" s="748">
        <f>'Administration LASER'!K34+'Other Oper Exp. LASER'!K34</f>
        <v>2119002.46</v>
      </c>
      <c r="G35" s="749">
        <f>'Administration LASER'!I34+'Other Oper Exp. LASER'!I34</f>
        <v>4331060.0999999996</v>
      </c>
      <c r="H35" s="747">
        <f>'Client Services LASER'!D34</f>
        <v>80218.292854152634</v>
      </c>
      <c r="I35" s="748">
        <f>'Client Services LASER'!E34</f>
        <v>20238.477145847359</v>
      </c>
      <c r="J35" s="748">
        <f>'Client Services LASER'!K34</f>
        <v>28969.38</v>
      </c>
      <c r="K35" s="749">
        <f>'Client Services LASER'!I34</f>
        <v>129426.15</v>
      </c>
      <c r="L35" s="2207">
        <f>'Statewide Benefits'!D35</f>
        <v>31374322.742710583</v>
      </c>
      <c r="M35" s="2208">
        <f>'Statewide Benefits'!E35</f>
        <v>27547084.399996843</v>
      </c>
      <c r="N35" s="2208">
        <f>'Statewide Benefits'!I35</f>
        <v>1928921.41</v>
      </c>
      <c r="O35" s="2209">
        <f t="shared" si="0"/>
        <v>60850328.552707419</v>
      </c>
      <c r="P35" s="2207">
        <f>'Other Benefits LASER'!D34+'FC &amp; Adoptions LASER'!D34</f>
        <v>875534.91999999993</v>
      </c>
      <c r="Q35" s="2208">
        <f>'Other Benefits LASER'!E34 + 'FC &amp; Adoptions LASER'!E34</f>
        <v>1075621.68</v>
      </c>
      <c r="R35" s="2208">
        <f>'Other Benefits LASER'!H34 + 'FC &amp; Adoptions LASER'!H34</f>
        <v>34333.629999999997</v>
      </c>
      <c r="S35" s="2209">
        <f t="shared" si="13"/>
        <v>1985490.2299999997</v>
      </c>
      <c r="T35" s="2207">
        <f t="shared" si="14"/>
        <v>34010536.825615816</v>
      </c>
      <c r="U35" s="2208">
        <f t="shared" si="15"/>
        <v>29174541.327091612</v>
      </c>
      <c r="V35" s="2208">
        <f t="shared" si="16"/>
        <v>4111226.8799999999</v>
      </c>
      <c r="W35" s="2209">
        <f t="shared" si="17"/>
        <v>67296305.032707423</v>
      </c>
      <c r="Y35" s="594">
        <f t="shared" si="3"/>
        <v>0.38800220529174295</v>
      </c>
      <c r="Z35" s="595">
        <f t="shared" si="4"/>
        <v>0.12274056643751571</v>
      </c>
      <c r="AA35" s="595">
        <f t="shared" si="5"/>
        <v>0.48925722827074142</v>
      </c>
      <c r="AB35" s="596">
        <f t="shared" si="6"/>
        <v>0.51074277172925864</v>
      </c>
      <c r="AD35" s="1231">
        <f t="shared" si="7"/>
        <v>6.4358066878932113E-2</v>
      </c>
      <c r="AE35" s="1189">
        <f t="shared" si="8"/>
        <v>1.9232281763032332E-3</v>
      </c>
      <c r="AF35" s="1233">
        <f t="shared" si="9"/>
        <v>0.9337187049447645</v>
      </c>
      <c r="AH35" s="1231">
        <f t="shared" si="10"/>
        <v>0.51541851662538263</v>
      </c>
      <c r="AI35" s="1189">
        <f t="shared" si="11"/>
        <v>7.0464075191102081E-3</v>
      </c>
      <c r="AJ35" s="1233">
        <f t="shared" si="12"/>
        <v>0.47753507585550714</v>
      </c>
    </row>
    <row r="36" spans="1:36" x14ac:dyDescent="0.25">
      <c r="A36" s="701" t="s">
        <v>78</v>
      </c>
      <c r="B36" s="564" t="s">
        <v>79</v>
      </c>
      <c r="C36" s="702" t="s">
        <v>268</v>
      </c>
      <c r="D36" s="747">
        <f>'Administration LASER'!D35+'Other Oper Exp. LASER'!D35</f>
        <v>486023.80319721089</v>
      </c>
      <c r="E36" s="748">
        <f>'Administration LASER'!E35+'Other Oper Exp. LASER'!E35</f>
        <v>209337.70680278912</v>
      </c>
      <c r="F36" s="748">
        <f>'Administration LASER'!K35+'Other Oper Exp. LASER'!K35</f>
        <v>303604.12</v>
      </c>
      <c r="G36" s="749">
        <f>'Administration LASER'!I35+'Other Oper Exp. LASER'!I35</f>
        <v>998965.63000000012</v>
      </c>
      <c r="H36" s="747">
        <f>'Client Services LASER'!D35</f>
        <v>11557.674521596191</v>
      </c>
      <c r="I36" s="748">
        <f>'Client Services LASER'!E35</f>
        <v>12233.43547840381</v>
      </c>
      <c r="J36" s="748">
        <f>'Client Services LASER'!K35</f>
        <v>4672.6499999999996</v>
      </c>
      <c r="K36" s="749">
        <f>'Client Services LASER'!I35</f>
        <v>28463.759999999998</v>
      </c>
      <c r="L36" s="2207">
        <f>'Statewide Benefits'!D36</f>
        <v>13830569.284607496</v>
      </c>
      <c r="M36" s="2208">
        <f>'Statewide Benefits'!E36</f>
        <v>11031848.486195691</v>
      </c>
      <c r="N36" s="2208">
        <f>'Statewide Benefits'!I36</f>
        <v>137985.08000000002</v>
      </c>
      <c r="O36" s="2209">
        <f t="shared" si="0"/>
        <v>25000402.850803185</v>
      </c>
      <c r="P36" s="2207">
        <f>'Other Benefits LASER'!D35+'FC &amp; Adoptions LASER'!D35</f>
        <v>69499.25</v>
      </c>
      <c r="Q36" s="2208">
        <f>'Other Benefits LASER'!E35 + 'FC &amp; Adoptions LASER'!E35</f>
        <v>114059.25</v>
      </c>
      <c r="R36" s="2208">
        <f>'Other Benefits LASER'!H35 + 'FC &amp; Adoptions LASER'!H35</f>
        <v>11139.99</v>
      </c>
      <c r="S36" s="2209">
        <f t="shared" si="13"/>
        <v>194698.49</v>
      </c>
      <c r="T36" s="2207">
        <f t="shared" si="14"/>
        <v>14397650.012326304</v>
      </c>
      <c r="U36" s="2208">
        <f t="shared" si="15"/>
        <v>11367478.878476884</v>
      </c>
      <c r="V36" s="2208">
        <f t="shared" si="16"/>
        <v>457401.84</v>
      </c>
      <c r="W36" s="2209">
        <f t="shared" si="17"/>
        <v>26222530.730803184</v>
      </c>
      <c r="Y36" s="594">
        <f t="shared" si="3"/>
        <v>0.48652705218417858</v>
      </c>
      <c r="Z36" s="595">
        <f t="shared" si="4"/>
        <v>0.20955446365335823</v>
      </c>
      <c r="AA36" s="595">
        <f t="shared" si="5"/>
        <v>0.30391848416246309</v>
      </c>
      <c r="AB36" s="596">
        <f t="shared" si="6"/>
        <v>0.69608151583753675</v>
      </c>
      <c r="AD36" s="1231">
        <f t="shared" si="7"/>
        <v>3.8095698704874864E-2</v>
      </c>
      <c r="AE36" s="1189">
        <f t="shared" si="8"/>
        <v>1.0854696021602552E-3</v>
      </c>
      <c r="AF36" s="1233">
        <f t="shared" si="9"/>
        <v>0.96081883169296489</v>
      </c>
      <c r="AH36" s="1231">
        <f t="shared" si="10"/>
        <v>0.66375797701207317</v>
      </c>
      <c r="AI36" s="1189">
        <f t="shared" si="11"/>
        <v>1.0215634462686026E-2</v>
      </c>
      <c r="AJ36" s="1233">
        <f t="shared" si="12"/>
        <v>0.32602638852524074</v>
      </c>
    </row>
    <row r="37" spans="1:36" x14ac:dyDescent="0.25">
      <c r="A37" s="701" t="s">
        <v>80</v>
      </c>
      <c r="B37" s="564" t="s">
        <v>81</v>
      </c>
      <c r="C37" s="702" t="s">
        <v>266</v>
      </c>
      <c r="D37" s="747">
        <f>'Administration LASER'!D36+'Other Oper Exp. LASER'!D36</f>
        <v>823862.00866693701</v>
      </c>
      <c r="E37" s="748">
        <f>'Administration LASER'!E36+'Other Oper Exp. LASER'!E36</f>
        <v>265443.26133306301</v>
      </c>
      <c r="F37" s="748">
        <f>'Administration LASER'!K36+'Other Oper Exp. LASER'!K36</f>
        <v>843090.53</v>
      </c>
      <c r="G37" s="749">
        <f>'Administration LASER'!I36+'Other Oper Exp. LASER'!I36</f>
        <v>1932395.7999999998</v>
      </c>
      <c r="H37" s="747">
        <f>'Client Services LASER'!D36</f>
        <v>36053.654018453955</v>
      </c>
      <c r="I37" s="748">
        <f>'Client Services LASER'!E36</f>
        <v>6081.6059815460485</v>
      </c>
      <c r="J37" s="748">
        <f>'Client Services LASER'!K36</f>
        <v>7627.2600000000011</v>
      </c>
      <c r="K37" s="749">
        <f>'Client Services LASER'!I36</f>
        <v>49762.52</v>
      </c>
      <c r="L37" s="2207">
        <f>'Statewide Benefits'!D37</f>
        <v>12913312.874247009</v>
      </c>
      <c r="M37" s="2208">
        <f>'Statewide Benefits'!E37</f>
        <v>11649003.463376369</v>
      </c>
      <c r="N37" s="2208">
        <f>'Statewide Benefits'!I37</f>
        <v>1241704.96</v>
      </c>
      <c r="O37" s="2209">
        <f t="shared" ref="O37:O68" si="18">SUM(L37:N37)</f>
        <v>25804021.297623381</v>
      </c>
      <c r="P37" s="2207">
        <f>'Other Benefits LASER'!D36+'FC &amp; Adoptions LASER'!D36</f>
        <v>154868.46</v>
      </c>
      <c r="Q37" s="2208">
        <f>'Other Benefits LASER'!E36 + 'FC &amp; Adoptions LASER'!E36</f>
        <v>240808.63999999998</v>
      </c>
      <c r="R37" s="2208">
        <f>'Other Benefits LASER'!H36 + 'FC &amp; Adoptions LASER'!H36</f>
        <v>5044.3899999999994</v>
      </c>
      <c r="S37" s="2209">
        <f t="shared" si="13"/>
        <v>400721.49</v>
      </c>
      <c r="T37" s="2207">
        <f t="shared" si="14"/>
        <v>13928096.9969324</v>
      </c>
      <c r="U37" s="2208">
        <f t="shared" si="15"/>
        <v>12161336.970690979</v>
      </c>
      <c r="V37" s="2208">
        <f t="shared" si="16"/>
        <v>2097467.14</v>
      </c>
      <c r="W37" s="2209">
        <f t="shared" si="17"/>
        <v>28186901.10762338</v>
      </c>
      <c r="Y37" s="594">
        <f t="shared" ref="Y37:Y68" si="19">D37/G37</f>
        <v>0.42634226832149869</v>
      </c>
      <c r="Z37" s="595">
        <f t="shared" ref="Z37:Z68" si="20">E37/G37</f>
        <v>0.1373648510998953</v>
      </c>
      <c r="AA37" s="595">
        <f t="shared" ref="AA37:AA68" si="21">F37/G37</f>
        <v>0.43629288057860616</v>
      </c>
      <c r="AB37" s="596">
        <f t="shared" si="6"/>
        <v>0.56370711942139395</v>
      </c>
      <c r="AD37" s="1231">
        <f t="shared" si="7"/>
        <v>6.8556518243056072E-2</v>
      </c>
      <c r="AE37" s="1189">
        <f t="shared" si="8"/>
        <v>1.7654484191077435E-3</v>
      </c>
      <c r="AF37" s="1233">
        <f t="shared" si="9"/>
        <v>0.92967803333783616</v>
      </c>
      <c r="AH37" s="1231">
        <f t="shared" si="10"/>
        <v>0.40195649024565888</v>
      </c>
      <c r="AI37" s="1189">
        <f t="shared" si="11"/>
        <v>3.63641453758365E-3</v>
      </c>
      <c r="AJ37" s="1233">
        <f t="shared" si="12"/>
        <v>0.59440709521675739</v>
      </c>
    </row>
    <row r="38" spans="1:36" x14ac:dyDescent="0.25">
      <c r="A38" s="701" t="s">
        <v>84</v>
      </c>
      <c r="B38" s="564" t="s">
        <v>308</v>
      </c>
      <c r="C38" s="702" t="s">
        <v>265</v>
      </c>
      <c r="D38" s="747">
        <f>'Administration LASER'!D37+'Other Oper Exp. LASER'!D37</f>
        <v>1823192.1106564607</v>
      </c>
      <c r="E38" s="748">
        <f>'Administration LASER'!E37+'Other Oper Exp. LASER'!E37</f>
        <v>686737.24934353924</v>
      </c>
      <c r="F38" s="748">
        <f>'Administration LASER'!K37+'Other Oper Exp. LASER'!K37</f>
        <v>1408432.78</v>
      </c>
      <c r="G38" s="749">
        <f>'Administration LASER'!I37+'Other Oper Exp. LASER'!I37</f>
        <v>3918362.1399999997</v>
      </c>
      <c r="H38" s="747">
        <f>'Client Services LASER'!D37</f>
        <v>98683.449814661493</v>
      </c>
      <c r="I38" s="748">
        <f>'Client Services LASER'!E37</f>
        <v>70861.160185338536</v>
      </c>
      <c r="J38" s="748">
        <f>'Client Services LASER'!K37</f>
        <v>29601.030000000002</v>
      </c>
      <c r="K38" s="749">
        <f>'Client Services LASER'!I37</f>
        <v>199145.64000000004</v>
      </c>
      <c r="L38" s="2207">
        <f>'Statewide Benefits'!D38</f>
        <v>43779016.683985367</v>
      </c>
      <c r="M38" s="2208">
        <f>'Statewide Benefits'!E38</f>
        <v>36056732.335423455</v>
      </c>
      <c r="N38" s="2208">
        <f>'Statewide Benefits'!I38</f>
        <v>1695051.21</v>
      </c>
      <c r="O38" s="2209">
        <f t="shared" si="18"/>
        <v>81530800.229408816</v>
      </c>
      <c r="P38" s="2207">
        <f>'Other Benefits LASER'!D37+'FC &amp; Adoptions LASER'!D37</f>
        <v>906994.94</v>
      </c>
      <c r="Q38" s="2208">
        <f>'Other Benefits LASER'!E37 + 'FC &amp; Adoptions LASER'!E37</f>
        <v>1244729.56</v>
      </c>
      <c r="R38" s="2208">
        <f>'Other Benefits LASER'!H37 + 'FC &amp; Adoptions LASER'!H37</f>
        <v>36516.21</v>
      </c>
      <c r="S38" s="2209">
        <f t="shared" si="13"/>
        <v>2188240.71</v>
      </c>
      <c r="T38" s="2207">
        <f t="shared" si="14"/>
        <v>46607887.18445649</v>
      </c>
      <c r="U38" s="2208">
        <f t="shared" si="15"/>
        <v>38059060.304952338</v>
      </c>
      <c r="V38" s="2208">
        <f t="shared" si="16"/>
        <v>3169601.23</v>
      </c>
      <c r="W38" s="2209">
        <f t="shared" si="17"/>
        <v>87836548.71940881</v>
      </c>
      <c r="Y38" s="594">
        <f t="shared" si="19"/>
        <v>0.46529443821557059</v>
      </c>
      <c r="Z38" s="595">
        <f t="shared" si="20"/>
        <v>0.17526130173959351</v>
      </c>
      <c r="AA38" s="595">
        <f t="shared" si="21"/>
        <v>0.35944426004483604</v>
      </c>
      <c r="AB38" s="596">
        <f t="shared" si="6"/>
        <v>0.64055573995516402</v>
      </c>
      <c r="AD38" s="1231">
        <f t="shared" si="7"/>
        <v>4.4609700598746069E-2</v>
      </c>
      <c r="AE38" s="1189">
        <f t="shared" si="8"/>
        <v>2.2672297910538899E-3</v>
      </c>
      <c r="AF38" s="1233">
        <f t="shared" si="9"/>
        <v>0.95312306961019999</v>
      </c>
      <c r="AH38" s="1231">
        <f t="shared" si="10"/>
        <v>0.44435645931396867</v>
      </c>
      <c r="AI38" s="1189">
        <f t="shared" si="11"/>
        <v>9.3390391573011863E-3</v>
      </c>
      <c r="AJ38" s="1233">
        <f t="shared" si="12"/>
        <v>0.54630450152873011</v>
      </c>
    </row>
    <row r="39" spans="1:36" x14ac:dyDescent="0.25">
      <c r="A39" s="701" t="s">
        <v>86</v>
      </c>
      <c r="B39" s="564" t="s">
        <v>87</v>
      </c>
      <c r="C39" s="702" t="s">
        <v>267</v>
      </c>
      <c r="D39" s="747">
        <f>'Administration LASER'!D38+'Other Oper Exp. LASER'!D38</f>
        <v>2311558.6046359986</v>
      </c>
      <c r="E39" s="748">
        <f>'Administration LASER'!E38+'Other Oper Exp. LASER'!E38</f>
        <v>609525.82536400121</v>
      </c>
      <c r="F39" s="748">
        <f>'Administration LASER'!K38+'Other Oper Exp. LASER'!K38</f>
        <v>2514216.58</v>
      </c>
      <c r="G39" s="749">
        <f>'Administration LASER'!I38+'Other Oper Exp. LASER'!I38</f>
        <v>5435301.0099999998</v>
      </c>
      <c r="H39" s="747">
        <f>'Client Services LASER'!D38</f>
        <v>156100.95845630975</v>
      </c>
      <c r="I39" s="748">
        <f>'Client Services LASER'!E38</f>
        <v>78918.301543690235</v>
      </c>
      <c r="J39" s="748">
        <f>'Client Services LASER'!K38</f>
        <v>72323.37</v>
      </c>
      <c r="K39" s="749">
        <f>'Client Services LASER'!I38</f>
        <v>307342.63</v>
      </c>
      <c r="L39" s="2207">
        <f>'Statewide Benefits'!D39</f>
        <v>40949160.436953634</v>
      </c>
      <c r="M39" s="2208">
        <f>'Statewide Benefits'!E39</f>
        <v>32354445.360342059</v>
      </c>
      <c r="N39" s="2208">
        <f>'Statewide Benefits'!I39</f>
        <v>1708250.1600000001</v>
      </c>
      <c r="O39" s="2209">
        <f t="shared" si="18"/>
        <v>75011855.957295686</v>
      </c>
      <c r="P39" s="2207">
        <f>'Other Benefits LASER'!D38+'FC &amp; Adoptions LASER'!D38</f>
        <v>690247.03</v>
      </c>
      <c r="Q39" s="2208">
        <f>'Other Benefits LASER'!E38 + 'FC &amp; Adoptions LASER'!E38</f>
        <v>943291.56</v>
      </c>
      <c r="R39" s="2208">
        <f>'Other Benefits LASER'!H38 + 'FC &amp; Adoptions LASER'!H38</f>
        <v>15079.649999999998</v>
      </c>
      <c r="S39" s="2209">
        <f t="shared" si="13"/>
        <v>1648618.24</v>
      </c>
      <c r="T39" s="2207">
        <f t="shared" si="14"/>
        <v>44107067.030045941</v>
      </c>
      <c r="U39" s="2208">
        <f t="shared" si="15"/>
        <v>33986181.047249749</v>
      </c>
      <c r="V39" s="2208">
        <f t="shared" si="16"/>
        <v>4309869.7600000007</v>
      </c>
      <c r="W39" s="2209">
        <f t="shared" si="17"/>
        <v>82403117.837295681</v>
      </c>
      <c r="Y39" s="594">
        <f t="shared" si="19"/>
        <v>0.42528621696997765</v>
      </c>
      <c r="Z39" s="595">
        <f t="shared" si="20"/>
        <v>0.11214205510285091</v>
      </c>
      <c r="AA39" s="595">
        <f t="shared" si="21"/>
        <v>0.46257172792717144</v>
      </c>
      <c r="AB39" s="596">
        <f t="shared" si="6"/>
        <v>0.53742827207282851</v>
      </c>
      <c r="AD39" s="1231">
        <f t="shared" si="7"/>
        <v>6.5959895118676934E-2</v>
      </c>
      <c r="AE39" s="1189">
        <f t="shared" si="8"/>
        <v>3.7297451609397312E-3</v>
      </c>
      <c r="AF39" s="1233">
        <f t="shared" si="9"/>
        <v>0.93031035972038334</v>
      </c>
      <c r="AH39" s="1231">
        <f t="shared" si="10"/>
        <v>0.58336254225928152</v>
      </c>
      <c r="AI39" s="1189">
        <f t="shared" si="11"/>
        <v>1.6780871355147397E-2</v>
      </c>
      <c r="AJ39" s="1233">
        <f t="shared" si="12"/>
        <v>0.39985658638557092</v>
      </c>
    </row>
    <row r="40" spans="1:36" x14ac:dyDescent="0.25">
      <c r="A40" s="701" t="s">
        <v>92</v>
      </c>
      <c r="B40" s="564" t="s">
        <v>93</v>
      </c>
      <c r="C40" s="702" t="s">
        <v>268</v>
      </c>
      <c r="D40" s="747">
        <f>'Administration LASER'!D39+'Other Oper Exp. LASER'!D39</f>
        <v>783165.66933104978</v>
      </c>
      <c r="E40" s="748">
        <f>'Administration LASER'!E39+'Other Oper Exp. LASER'!E39</f>
        <v>366792.12066895026</v>
      </c>
      <c r="F40" s="748">
        <f>'Administration LASER'!K39+'Other Oper Exp. LASER'!K39</f>
        <v>413451.94999999995</v>
      </c>
      <c r="G40" s="749">
        <f>'Administration LASER'!I39+'Other Oper Exp. LASER'!I39</f>
        <v>1563409.74</v>
      </c>
      <c r="H40" s="747">
        <f>'Client Services LASER'!D39</f>
        <v>39903.378175409838</v>
      </c>
      <c r="I40" s="748">
        <f>'Client Services LASER'!E39</f>
        <v>12865.271824590156</v>
      </c>
      <c r="J40" s="748">
        <f>'Client Services LASER'!K39</f>
        <v>8773.2199999999993</v>
      </c>
      <c r="K40" s="749">
        <f>'Client Services LASER'!I39</f>
        <v>61541.869999999995</v>
      </c>
      <c r="L40" s="2207">
        <f>'Statewide Benefits'!D40</f>
        <v>15663996.151195351</v>
      </c>
      <c r="M40" s="2208">
        <f>'Statewide Benefits'!E40</f>
        <v>13686296.5937414</v>
      </c>
      <c r="N40" s="2208">
        <f>'Statewide Benefits'!I40</f>
        <v>550859.40999999992</v>
      </c>
      <c r="O40" s="2209">
        <f t="shared" si="18"/>
        <v>29901152.154936749</v>
      </c>
      <c r="P40" s="2207">
        <f>'Other Benefits LASER'!D39+'FC &amp; Adoptions LASER'!D39</f>
        <v>762654.97</v>
      </c>
      <c r="Q40" s="2208">
        <f>'Other Benefits LASER'!E39 + 'FC &amp; Adoptions LASER'!E39</f>
        <v>865491.21000000008</v>
      </c>
      <c r="R40" s="2208">
        <f>'Other Benefits LASER'!H39 + 'FC &amp; Adoptions LASER'!H39</f>
        <v>6108.29</v>
      </c>
      <c r="S40" s="2209">
        <f t="shared" si="13"/>
        <v>1634254.4700000002</v>
      </c>
      <c r="T40" s="2207">
        <f t="shared" si="14"/>
        <v>17249720.168701809</v>
      </c>
      <c r="U40" s="2208">
        <f t="shared" si="15"/>
        <v>14931445.196234941</v>
      </c>
      <c r="V40" s="2208">
        <f t="shared" si="16"/>
        <v>979192.86999999988</v>
      </c>
      <c r="W40" s="2209">
        <f t="shared" si="17"/>
        <v>33160358.234936748</v>
      </c>
      <c r="Y40" s="594">
        <f t="shared" si="19"/>
        <v>0.50093436755168852</v>
      </c>
      <c r="Z40" s="595">
        <f t="shared" si="20"/>
        <v>0.23461035919409728</v>
      </c>
      <c r="AA40" s="595">
        <f t="shared" si="21"/>
        <v>0.2644552732542142</v>
      </c>
      <c r="AB40" s="596">
        <f t="shared" si="6"/>
        <v>0.73554472674578586</v>
      </c>
      <c r="AD40" s="1231">
        <f t="shared" si="7"/>
        <v>4.7146949647631942E-2</v>
      </c>
      <c r="AE40" s="1189">
        <f t="shared" si="8"/>
        <v>1.855886765878221E-3</v>
      </c>
      <c r="AF40" s="1233">
        <f t="shared" si="9"/>
        <v>0.95099716358648989</v>
      </c>
      <c r="AH40" s="1231">
        <f t="shared" si="10"/>
        <v>0.42223750056513382</v>
      </c>
      <c r="AI40" s="1189">
        <f t="shared" si="11"/>
        <v>8.9596444876074311E-3</v>
      </c>
      <c r="AJ40" s="1233">
        <f t="shared" si="12"/>
        <v>0.5688028549472588</v>
      </c>
    </row>
    <row r="41" spans="1:36" x14ac:dyDescent="0.25">
      <c r="A41" s="701" t="s">
        <v>94</v>
      </c>
      <c r="B41" s="564" t="s">
        <v>95</v>
      </c>
      <c r="C41" s="702" t="s">
        <v>264</v>
      </c>
      <c r="D41" s="747">
        <f>'Administration LASER'!D40+'Other Oper Exp. LASER'!D40</f>
        <v>1322161.4618227156</v>
      </c>
      <c r="E41" s="748">
        <f>'Administration LASER'!E40+'Other Oper Exp. LASER'!E40</f>
        <v>466842.85817728436</v>
      </c>
      <c r="F41" s="748">
        <f>'Administration LASER'!K40+'Other Oper Exp. LASER'!K40</f>
        <v>1198426.42</v>
      </c>
      <c r="G41" s="749">
        <f>'Administration LASER'!I40+'Other Oper Exp. LASER'!I40</f>
        <v>2987430.74</v>
      </c>
      <c r="H41" s="747">
        <f>'Client Services LASER'!D40</f>
        <v>46683.214225956079</v>
      </c>
      <c r="I41" s="748">
        <f>'Client Services LASER'!E40</f>
        <v>18123.675774043917</v>
      </c>
      <c r="J41" s="748">
        <f>'Client Services LASER'!K40</f>
        <v>12295.5</v>
      </c>
      <c r="K41" s="749">
        <f>'Client Services LASER'!I40</f>
        <v>77102.39</v>
      </c>
      <c r="L41" s="2207">
        <f>'Statewide Benefits'!D41</f>
        <v>24201381.293577719</v>
      </c>
      <c r="M41" s="2208">
        <f>'Statewide Benefits'!E41</f>
        <v>18509337.100469504</v>
      </c>
      <c r="N41" s="2208">
        <f>'Statewide Benefits'!I41</f>
        <v>354754.46</v>
      </c>
      <c r="O41" s="2209">
        <f t="shared" si="18"/>
        <v>43065472.854047224</v>
      </c>
      <c r="P41" s="2207">
        <f>'Other Benefits LASER'!D40+'FC &amp; Adoptions LASER'!D40</f>
        <v>301232.65999999997</v>
      </c>
      <c r="Q41" s="2208">
        <f>'Other Benefits LASER'!E40 + 'FC &amp; Adoptions LASER'!E40</f>
        <v>844473.27</v>
      </c>
      <c r="R41" s="2208">
        <f>'Other Benefits LASER'!H40 + 'FC &amp; Adoptions LASER'!H40</f>
        <v>35194.43</v>
      </c>
      <c r="S41" s="2209">
        <f t="shared" si="13"/>
        <v>1180900.3599999999</v>
      </c>
      <c r="T41" s="2207">
        <f t="shared" si="14"/>
        <v>25871458.62962639</v>
      </c>
      <c r="U41" s="2208">
        <f t="shared" si="15"/>
        <v>19838776.90442083</v>
      </c>
      <c r="V41" s="2208">
        <f t="shared" si="16"/>
        <v>1600670.8099999998</v>
      </c>
      <c r="W41" s="2209">
        <f t="shared" si="17"/>
        <v>47310906.344047226</v>
      </c>
      <c r="Y41" s="594">
        <f t="shared" si="19"/>
        <v>0.4425747663769154</v>
      </c>
      <c r="Z41" s="595">
        <f t="shared" si="20"/>
        <v>0.15626901468426488</v>
      </c>
      <c r="AA41" s="595">
        <f t="shared" si="21"/>
        <v>0.40115621893881959</v>
      </c>
      <c r="AB41" s="596">
        <f t="shared" si="6"/>
        <v>0.5988437810611803</v>
      </c>
      <c r="AD41" s="1231">
        <f t="shared" si="7"/>
        <v>6.3144652488271044E-2</v>
      </c>
      <c r="AE41" s="1189">
        <f t="shared" si="8"/>
        <v>1.6296958980093861E-3</v>
      </c>
      <c r="AF41" s="1233">
        <f t="shared" si="9"/>
        <v>0.93522565161371951</v>
      </c>
      <c r="AH41" s="1231">
        <f t="shared" si="10"/>
        <v>0.74870261424958451</v>
      </c>
      <c r="AI41" s="1189">
        <f t="shared" si="11"/>
        <v>7.6814669969523597E-3</v>
      </c>
      <c r="AJ41" s="1233">
        <f t="shared" si="12"/>
        <v>0.24361591875346317</v>
      </c>
    </row>
    <row r="42" spans="1:36" x14ac:dyDescent="0.25">
      <c r="A42" s="701" t="s">
        <v>96</v>
      </c>
      <c r="B42" s="564" t="s">
        <v>97</v>
      </c>
      <c r="C42" s="702" t="s">
        <v>266</v>
      </c>
      <c r="D42" s="747">
        <f>'Administration LASER'!D41+'Other Oper Exp. LASER'!D41</f>
        <v>770505.9915434916</v>
      </c>
      <c r="E42" s="748">
        <f>'Administration LASER'!E41+'Other Oper Exp. LASER'!E41</f>
        <v>257607.23845650835</v>
      </c>
      <c r="F42" s="748">
        <f>'Administration LASER'!K41+'Other Oper Exp. LASER'!K41</f>
        <v>750383.53</v>
      </c>
      <c r="G42" s="749">
        <f>'Administration LASER'!I41+'Other Oper Exp. LASER'!I41</f>
        <v>1778496.7599999998</v>
      </c>
      <c r="H42" s="747">
        <f>'Client Services LASER'!D41</f>
        <v>52912.487702750645</v>
      </c>
      <c r="I42" s="748">
        <f>'Client Services LASER'!E41</f>
        <v>14625.522297249358</v>
      </c>
      <c r="J42" s="748">
        <f>'Client Services LASER'!K41</f>
        <v>60194.509999999995</v>
      </c>
      <c r="K42" s="749">
        <f>'Client Services LASER'!I41</f>
        <v>127732.52000000002</v>
      </c>
      <c r="L42" s="2207">
        <f>'Statewide Benefits'!D42</f>
        <v>8954108.8130613621</v>
      </c>
      <c r="M42" s="2208">
        <f>'Statewide Benefits'!E42</f>
        <v>7536515.3237583274</v>
      </c>
      <c r="N42" s="2208">
        <f>'Statewide Benefits'!I42</f>
        <v>663309.75</v>
      </c>
      <c r="O42" s="2209">
        <f t="shared" si="18"/>
        <v>17153933.88681969</v>
      </c>
      <c r="P42" s="2207">
        <f>'Other Benefits LASER'!D41+'FC &amp; Adoptions LASER'!D41</f>
        <v>178802.65</v>
      </c>
      <c r="Q42" s="2208">
        <f>'Other Benefits LASER'!E41 + 'FC &amp; Adoptions LASER'!E41</f>
        <v>239797.31999999998</v>
      </c>
      <c r="R42" s="2208">
        <f>'Other Benefits LASER'!H41 + 'FC &amp; Adoptions LASER'!H41</f>
        <v>204377.14</v>
      </c>
      <c r="S42" s="2209">
        <f t="shared" si="13"/>
        <v>622977.11</v>
      </c>
      <c r="T42" s="2207">
        <f t="shared" si="14"/>
        <v>9956329.9423076045</v>
      </c>
      <c r="U42" s="2208">
        <f t="shared" si="15"/>
        <v>8048545.404512085</v>
      </c>
      <c r="V42" s="2208">
        <f t="shared" si="16"/>
        <v>1678264.9300000002</v>
      </c>
      <c r="W42" s="2209">
        <f t="shared" si="17"/>
        <v>19683140.276819691</v>
      </c>
      <c r="Y42" s="594">
        <f t="shared" si="19"/>
        <v>0.43323440833453736</v>
      </c>
      <c r="Z42" s="595">
        <f t="shared" si="20"/>
        <v>0.14484549213151696</v>
      </c>
      <c r="AA42" s="595">
        <f t="shared" si="21"/>
        <v>0.42192009953394582</v>
      </c>
      <c r="AB42" s="596">
        <f t="shared" si="6"/>
        <v>0.57807990046605429</v>
      </c>
      <c r="AD42" s="1231">
        <f t="shared" si="7"/>
        <v>9.0356352441103516E-2</v>
      </c>
      <c r="AE42" s="1189">
        <f t="shared" si="8"/>
        <v>6.489438077643901E-3</v>
      </c>
      <c r="AF42" s="1233">
        <f t="shared" si="9"/>
        <v>0.90315420948125247</v>
      </c>
      <c r="AH42" s="1231">
        <f t="shared" si="10"/>
        <v>0.44711863817591657</v>
      </c>
      <c r="AI42" s="1189">
        <f t="shared" si="11"/>
        <v>3.586710829976051E-2</v>
      </c>
      <c r="AJ42" s="1233">
        <f t="shared" si="12"/>
        <v>0.51701425352432284</v>
      </c>
    </row>
    <row r="43" spans="1:36" x14ac:dyDescent="0.25">
      <c r="A43" s="701" t="s">
        <v>98</v>
      </c>
      <c r="B43" s="564" t="s">
        <v>99</v>
      </c>
      <c r="C43" s="702" t="s">
        <v>268</v>
      </c>
      <c r="D43" s="747">
        <f>'Administration LASER'!D42+'Other Oper Exp. LASER'!D42</f>
        <v>748788.85650682449</v>
      </c>
      <c r="E43" s="748">
        <f>'Administration LASER'!E42+'Other Oper Exp. LASER'!E42</f>
        <v>342648.10349317559</v>
      </c>
      <c r="F43" s="748">
        <f>'Administration LASER'!K42+'Other Oper Exp. LASER'!K42</f>
        <v>447300.62</v>
      </c>
      <c r="G43" s="749">
        <f>'Administration LASER'!I42+'Other Oper Exp. LASER'!I42</f>
        <v>1538737.58</v>
      </c>
      <c r="H43" s="747">
        <f>'Client Services LASER'!D42</f>
        <v>22791.057222579457</v>
      </c>
      <c r="I43" s="748">
        <f>'Client Services LASER'!E42</f>
        <v>6447.1027774205413</v>
      </c>
      <c r="J43" s="748">
        <f>'Client Services LASER'!K42</f>
        <v>5054.0299999999988</v>
      </c>
      <c r="K43" s="749">
        <f>'Client Services LASER'!I42</f>
        <v>34292.189999999995</v>
      </c>
      <c r="L43" s="2207">
        <f>'Statewide Benefits'!D43</f>
        <v>16421450.810633868</v>
      </c>
      <c r="M43" s="2208">
        <f>'Statewide Benefits'!E43</f>
        <v>12564259.701902794</v>
      </c>
      <c r="N43" s="2208">
        <f>'Statewide Benefits'!I43</f>
        <v>158468.4</v>
      </c>
      <c r="O43" s="2209">
        <f t="shared" si="18"/>
        <v>29144178.912536658</v>
      </c>
      <c r="P43" s="2207">
        <f>'Other Benefits LASER'!D42+'FC &amp; Adoptions LASER'!D42</f>
        <v>232770.75999999998</v>
      </c>
      <c r="Q43" s="2208">
        <f>'Other Benefits LASER'!E42 + 'FC &amp; Adoptions LASER'!E42</f>
        <v>390838.83999999997</v>
      </c>
      <c r="R43" s="2208">
        <f>'Other Benefits LASER'!H42 + 'FC &amp; Adoptions LASER'!H42</f>
        <v>34196.159999999996</v>
      </c>
      <c r="S43" s="2209">
        <f t="shared" si="13"/>
        <v>657805.76</v>
      </c>
      <c r="T43" s="2207">
        <f t="shared" si="14"/>
        <v>17425801.484363273</v>
      </c>
      <c r="U43" s="2208">
        <f t="shared" si="15"/>
        <v>13304193.74817339</v>
      </c>
      <c r="V43" s="2208">
        <f t="shared" si="16"/>
        <v>645019.21000000008</v>
      </c>
      <c r="W43" s="2209">
        <f t="shared" si="17"/>
        <v>31375014.44253666</v>
      </c>
      <c r="Y43" s="594">
        <f t="shared" si="19"/>
        <v>0.48662544298607724</v>
      </c>
      <c r="Z43" s="595">
        <f t="shared" si="20"/>
        <v>0.22268131223075449</v>
      </c>
      <c r="AA43" s="595">
        <f t="shared" si="21"/>
        <v>0.29069324478316827</v>
      </c>
      <c r="AB43" s="596">
        <f t="shared" si="6"/>
        <v>0.70930675521683162</v>
      </c>
      <c r="AD43" s="1231">
        <f t="shared" si="7"/>
        <v>4.9043406268965965E-2</v>
      </c>
      <c r="AE43" s="1189">
        <f t="shared" si="8"/>
        <v>1.092977664211315E-3</v>
      </c>
      <c r="AF43" s="1233">
        <f t="shared" si="9"/>
        <v>0.94986361606682279</v>
      </c>
      <c r="AH43" s="1231">
        <f t="shared" si="10"/>
        <v>0.69346867979327309</v>
      </c>
      <c r="AI43" s="1189">
        <f t="shared" si="11"/>
        <v>7.8354720629173168E-3</v>
      </c>
      <c r="AJ43" s="1233">
        <f t="shared" si="12"/>
        <v>0.29869584814380951</v>
      </c>
    </row>
    <row r="44" spans="1:36" x14ac:dyDescent="0.25">
      <c r="A44" s="701" t="s">
        <v>100</v>
      </c>
      <c r="B44" s="564" t="s">
        <v>101</v>
      </c>
      <c r="C44" s="702" t="s">
        <v>267</v>
      </c>
      <c r="D44" s="747">
        <f>'Administration LASER'!D43+'Other Oper Exp. LASER'!D43</f>
        <v>636949.74075223855</v>
      </c>
      <c r="E44" s="748">
        <f>'Administration LASER'!E43+'Other Oper Exp. LASER'!E43</f>
        <v>216202.59924776139</v>
      </c>
      <c r="F44" s="748">
        <f>'Administration LASER'!K43+'Other Oper Exp. LASER'!K43</f>
        <v>509579.87</v>
      </c>
      <c r="G44" s="749">
        <f>'Administration LASER'!I43+'Other Oper Exp. LASER'!I43</f>
        <v>1362732.21</v>
      </c>
      <c r="H44" s="747">
        <f>'Client Services LASER'!D43</f>
        <v>16952.128400594636</v>
      </c>
      <c r="I44" s="748">
        <f>'Client Services LASER'!E43</f>
        <v>32679.711599405364</v>
      </c>
      <c r="J44" s="748">
        <f>'Client Services LASER'!K43</f>
        <v>8567.82</v>
      </c>
      <c r="K44" s="749">
        <f>'Client Services LASER'!I43</f>
        <v>58199.659999999996</v>
      </c>
      <c r="L44" s="2207">
        <f>'Statewide Benefits'!D44</f>
        <v>13139515.544211451</v>
      </c>
      <c r="M44" s="2208">
        <f>'Statewide Benefits'!E44</f>
        <v>10084023.323170615</v>
      </c>
      <c r="N44" s="2208">
        <f>'Statewide Benefits'!I44</f>
        <v>473063.64</v>
      </c>
      <c r="O44" s="2209">
        <f t="shared" si="18"/>
        <v>23696602.507382065</v>
      </c>
      <c r="P44" s="2207">
        <f>'Other Benefits LASER'!D43+'FC &amp; Adoptions LASER'!D43</f>
        <v>90941.119999999995</v>
      </c>
      <c r="Q44" s="2208">
        <f>'Other Benefits LASER'!E43 + 'FC &amp; Adoptions LASER'!E43</f>
        <v>111625.31999999999</v>
      </c>
      <c r="R44" s="2208">
        <f>'Other Benefits LASER'!H43 + 'FC &amp; Adoptions LASER'!H43</f>
        <v>3994.76</v>
      </c>
      <c r="S44" s="2209">
        <f t="shared" si="13"/>
        <v>206561.2</v>
      </c>
      <c r="T44" s="2207">
        <f t="shared" si="14"/>
        <v>13884358.533364283</v>
      </c>
      <c r="U44" s="2208">
        <f t="shared" si="15"/>
        <v>10444530.954017783</v>
      </c>
      <c r="V44" s="2208">
        <f t="shared" si="16"/>
        <v>995206.09000000008</v>
      </c>
      <c r="W44" s="2209">
        <f t="shared" si="17"/>
        <v>25324095.577382065</v>
      </c>
      <c r="Y44" s="594">
        <f t="shared" si="19"/>
        <v>0.46740638848790295</v>
      </c>
      <c r="Z44" s="595">
        <f t="shared" si="20"/>
        <v>0.15865376752763583</v>
      </c>
      <c r="AA44" s="595">
        <f t="shared" si="21"/>
        <v>0.37393984398446117</v>
      </c>
      <c r="AB44" s="596">
        <f t="shared" si="6"/>
        <v>0.62606015601553877</v>
      </c>
      <c r="AD44" s="1231">
        <f t="shared" si="7"/>
        <v>5.3811683257786673E-2</v>
      </c>
      <c r="AE44" s="1189">
        <f t="shared" si="8"/>
        <v>2.2981930320931333E-3</v>
      </c>
      <c r="AF44" s="1233">
        <f t="shared" si="9"/>
        <v>0.94389012371012015</v>
      </c>
      <c r="AH44" s="1231">
        <f t="shared" si="10"/>
        <v>0.51203451739327677</v>
      </c>
      <c r="AI44" s="1189">
        <f t="shared" si="11"/>
        <v>8.6090912084350272E-3</v>
      </c>
      <c r="AJ44" s="1233">
        <f t="shared" si="12"/>
        <v>0.47935639139828817</v>
      </c>
    </row>
    <row r="45" spans="1:36" x14ac:dyDescent="0.25">
      <c r="A45" s="701" t="s">
        <v>102</v>
      </c>
      <c r="B45" s="564" t="s">
        <v>282</v>
      </c>
      <c r="C45" s="702" t="s">
        <v>264</v>
      </c>
      <c r="D45" s="747">
        <f>'Administration LASER'!D44+'Other Oper Exp. LASER'!D44</f>
        <v>1127770.869727903</v>
      </c>
      <c r="E45" s="748">
        <f>'Administration LASER'!E44+'Other Oper Exp. LASER'!E44</f>
        <v>550946.91027209687</v>
      </c>
      <c r="F45" s="748">
        <f>'Administration LASER'!K44+'Other Oper Exp. LASER'!K44</f>
        <v>547817.62000000011</v>
      </c>
      <c r="G45" s="749">
        <f>'Administration LASER'!I44+'Other Oper Exp. LASER'!I44</f>
        <v>2226535.4000000004</v>
      </c>
      <c r="H45" s="747">
        <f>'Client Services LASER'!D44</f>
        <v>78937.418976043424</v>
      </c>
      <c r="I45" s="748">
        <f>'Client Services LASER'!E44</f>
        <v>79944.591023956571</v>
      </c>
      <c r="J45" s="748">
        <f>'Client Services LASER'!K44</f>
        <v>30947.690000000002</v>
      </c>
      <c r="K45" s="749">
        <f>'Client Services LASER'!I44</f>
        <v>189829.7</v>
      </c>
      <c r="L45" s="2207">
        <f>'Statewide Benefits'!D45</f>
        <v>25817563.685968306</v>
      </c>
      <c r="M45" s="2208">
        <f>'Statewide Benefits'!E45</f>
        <v>19860831.977832206</v>
      </c>
      <c r="N45" s="2208">
        <f>'Statewide Benefits'!I45</f>
        <v>138193.19999999998</v>
      </c>
      <c r="O45" s="2209">
        <f t="shared" si="18"/>
        <v>45816588.863800511</v>
      </c>
      <c r="P45" s="2207">
        <f>'Other Benefits LASER'!D44+'FC &amp; Adoptions LASER'!D44</f>
        <v>82266.39</v>
      </c>
      <c r="Q45" s="2208">
        <f>'Other Benefits LASER'!E44 + 'FC &amp; Adoptions LASER'!E44</f>
        <v>122295.53</v>
      </c>
      <c r="R45" s="2208">
        <f>'Other Benefits LASER'!H44 + 'FC &amp; Adoptions LASER'!H44</f>
        <v>10054.779999999999</v>
      </c>
      <c r="S45" s="2209">
        <f t="shared" si="13"/>
        <v>214616.69999999998</v>
      </c>
      <c r="T45" s="2207">
        <f t="shared" si="14"/>
        <v>27106538.364672251</v>
      </c>
      <c r="U45" s="2208">
        <f t="shared" si="15"/>
        <v>20614019.009128261</v>
      </c>
      <c r="V45" s="2208">
        <f t="shared" si="16"/>
        <v>727013.29</v>
      </c>
      <c r="W45" s="2209">
        <f t="shared" si="17"/>
        <v>48447570.663800515</v>
      </c>
      <c r="Y45" s="594">
        <f t="shared" si="19"/>
        <v>0.50651378357959309</v>
      </c>
      <c r="Z45" s="595">
        <f t="shared" si="20"/>
        <v>0.24744583457873465</v>
      </c>
      <c r="AA45" s="595">
        <f t="shared" si="21"/>
        <v>0.24604038184167204</v>
      </c>
      <c r="AB45" s="596">
        <f t="shared" si="6"/>
        <v>0.75395961815832779</v>
      </c>
      <c r="AD45" s="1231">
        <f t="shared" si="7"/>
        <v>4.595762737931549E-2</v>
      </c>
      <c r="AE45" s="1189">
        <f t="shared" si="8"/>
        <v>3.918250128934507E-3</v>
      </c>
      <c r="AF45" s="1233">
        <f t="shared" si="9"/>
        <v>0.95012412249174993</v>
      </c>
      <c r="AH45" s="1231">
        <f t="shared" si="10"/>
        <v>0.75351802716013638</v>
      </c>
      <c r="AI45" s="1189">
        <f t="shared" si="11"/>
        <v>4.2568258965389752E-2</v>
      </c>
      <c r="AJ45" s="1233">
        <f t="shared" si="12"/>
        <v>0.20391371387447399</v>
      </c>
    </row>
    <row r="46" spans="1:36" x14ac:dyDescent="0.25">
      <c r="A46" s="701" t="s">
        <v>104</v>
      </c>
      <c r="B46" s="564" t="s">
        <v>602</v>
      </c>
      <c r="C46" s="702" t="s">
        <v>265</v>
      </c>
      <c r="D46" s="747">
        <f>'Administration LASER'!D45+'Other Oper Exp. LASER'!D45</f>
        <v>1814811.1660332535</v>
      </c>
      <c r="E46" s="748">
        <f>'Administration LASER'!E45+'Other Oper Exp. LASER'!E45</f>
        <v>842834.0739667468</v>
      </c>
      <c r="F46" s="748">
        <f>'Administration LASER'!K45+'Other Oper Exp. LASER'!K45</f>
        <v>997859.29</v>
      </c>
      <c r="G46" s="749">
        <f>'Administration LASER'!I45+'Other Oper Exp. LASER'!I45</f>
        <v>3655504.5300000003</v>
      </c>
      <c r="H46" s="747">
        <f>'Client Services LASER'!D45</f>
        <v>51463.612436224939</v>
      </c>
      <c r="I46" s="748">
        <f>'Client Services LASER'!E45</f>
        <v>33780.427563775069</v>
      </c>
      <c r="J46" s="748">
        <f>'Client Services LASER'!K45</f>
        <v>16792.859999999997</v>
      </c>
      <c r="K46" s="749">
        <f>'Client Services LASER'!I45</f>
        <v>102036.90000000001</v>
      </c>
      <c r="L46" s="2207">
        <f>'Statewide Benefits'!D46</f>
        <v>42991037.627253167</v>
      </c>
      <c r="M46" s="2208">
        <f>'Statewide Benefits'!E46</f>
        <v>34189690.10146068</v>
      </c>
      <c r="N46" s="2208">
        <f>'Statewide Benefits'!I46</f>
        <v>743438.21000000008</v>
      </c>
      <c r="O46" s="2209">
        <f t="shared" si="18"/>
        <v>77924165.938713834</v>
      </c>
      <c r="P46" s="2207">
        <f>'Other Benefits LASER'!D45+'FC &amp; Adoptions LASER'!D45</f>
        <v>353921.86000000004</v>
      </c>
      <c r="Q46" s="2208">
        <f>'Other Benefits LASER'!E45 + 'FC &amp; Adoptions LASER'!E45</f>
        <v>571075.6</v>
      </c>
      <c r="R46" s="2208">
        <f>'Other Benefits LASER'!H45 + 'FC &amp; Adoptions LASER'!H45</f>
        <v>41006.519999999997</v>
      </c>
      <c r="S46" s="2209">
        <f t="shared" si="13"/>
        <v>966003.98</v>
      </c>
      <c r="T46" s="2207">
        <f t="shared" si="14"/>
        <v>45211234.265722647</v>
      </c>
      <c r="U46" s="2208">
        <f t="shared" si="15"/>
        <v>35637380.202991202</v>
      </c>
      <c r="V46" s="2208">
        <f t="shared" si="16"/>
        <v>1799096.8800000001</v>
      </c>
      <c r="W46" s="2209">
        <f t="shared" si="17"/>
        <v>82647711.348713845</v>
      </c>
      <c r="Y46" s="594">
        <f t="shared" si="19"/>
        <v>0.49645983232668939</v>
      </c>
      <c r="Z46" s="595">
        <f t="shared" si="20"/>
        <v>0.23056573095444824</v>
      </c>
      <c r="AA46" s="595">
        <f t="shared" si="21"/>
        <v>0.27297443671886246</v>
      </c>
      <c r="AB46" s="596">
        <f t="shared" si="6"/>
        <v>0.72702556328113754</v>
      </c>
      <c r="AD46" s="1231">
        <f t="shared" si="7"/>
        <v>4.4229954711950854E-2</v>
      </c>
      <c r="AE46" s="1189">
        <f t="shared" si="8"/>
        <v>1.2346004303673667E-3</v>
      </c>
      <c r="AF46" s="1233">
        <f t="shared" si="9"/>
        <v>0.95453544485768171</v>
      </c>
      <c r="AH46" s="1231">
        <f t="shared" si="10"/>
        <v>0.55464455588406114</v>
      </c>
      <c r="AI46" s="1189">
        <f t="shared" si="11"/>
        <v>9.3340498706217506E-3</v>
      </c>
      <c r="AJ46" s="1233">
        <f t="shared" si="12"/>
        <v>0.43602139424531716</v>
      </c>
    </row>
    <row r="47" spans="1:36" x14ac:dyDescent="0.25">
      <c r="A47" s="701" t="s">
        <v>108</v>
      </c>
      <c r="B47" s="564" t="s">
        <v>109</v>
      </c>
      <c r="C47" s="702" t="s">
        <v>266</v>
      </c>
      <c r="D47" s="747">
        <f>'Administration LASER'!D46+'Other Oper Exp. LASER'!D46</f>
        <v>1944453.3440335656</v>
      </c>
      <c r="E47" s="748">
        <f>'Administration LASER'!E46+'Other Oper Exp. LASER'!E46</f>
        <v>603523.64596643462</v>
      </c>
      <c r="F47" s="748">
        <f>'Administration LASER'!K46+'Other Oper Exp. LASER'!K46</f>
        <v>1941572.1</v>
      </c>
      <c r="G47" s="749">
        <f>'Administration LASER'!I46+'Other Oper Exp. LASER'!I46</f>
        <v>4489549.09</v>
      </c>
      <c r="H47" s="747">
        <f>'Client Services LASER'!D46</f>
        <v>49017.473432210558</v>
      </c>
      <c r="I47" s="748">
        <f>'Client Services LASER'!E46</f>
        <v>76314.876567789441</v>
      </c>
      <c r="J47" s="748">
        <f>'Client Services LASER'!K46</f>
        <v>23719.899999999998</v>
      </c>
      <c r="K47" s="749">
        <f>'Client Services LASER'!I46</f>
        <v>149052.25</v>
      </c>
      <c r="L47" s="2207">
        <f>'Statewide Benefits'!D47</f>
        <v>42240208.344677508</v>
      </c>
      <c r="M47" s="2208">
        <f>'Statewide Benefits'!E47</f>
        <v>34661932.544733584</v>
      </c>
      <c r="N47" s="2208">
        <f>'Statewide Benefits'!I47</f>
        <v>1888214.7899999998</v>
      </c>
      <c r="O47" s="2209">
        <f t="shared" si="18"/>
        <v>78790355.679411098</v>
      </c>
      <c r="P47" s="2207">
        <f>'Other Benefits LASER'!D46+'FC &amp; Adoptions LASER'!D46</f>
        <v>472759.55</v>
      </c>
      <c r="Q47" s="2208">
        <f>'Other Benefits LASER'!E46 + 'FC &amp; Adoptions LASER'!E46</f>
        <v>659961.89</v>
      </c>
      <c r="R47" s="2208">
        <f>'Other Benefits LASER'!H46 + 'FC &amp; Adoptions LASER'!H46</f>
        <v>19151.539999999997</v>
      </c>
      <c r="S47" s="2209">
        <f t="shared" si="13"/>
        <v>1151872.98</v>
      </c>
      <c r="T47" s="2207">
        <f t="shared" si="14"/>
        <v>44706438.71214328</v>
      </c>
      <c r="U47" s="2208">
        <f t="shared" si="15"/>
        <v>36001732.957267806</v>
      </c>
      <c r="V47" s="2208">
        <f t="shared" si="16"/>
        <v>3872658.33</v>
      </c>
      <c r="W47" s="2209">
        <f t="shared" si="17"/>
        <v>84580829.999411106</v>
      </c>
      <c r="Y47" s="594">
        <f t="shared" si="19"/>
        <v>0.43310660047456251</v>
      </c>
      <c r="Z47" s="595">
        <f t="shared" si="20"/>
        <v>0.13442856595793112</v>
      </c>
      <c r="AA47" s="595">
        <f t="shared" si="21"/>
        <v>0.43246483356750648</v>
      </c>
      <c r="AB47" s="596">
        <f t="shared" si="6"/>
        <v>0.56753516643249358</v>
      </c>
      <c r="AD47" s="1231">
        <f t="shared" si="7"/>
        <v>5.3079983845408685E-2</v>
      </c>
      <c r="AE47" s="1189">
        <f t="shared" si="8"/>
        <v>1.7622462442262363E-3</v>
      </c>
      <c r="AF47" s="1233">
        <f t="shared" si="9"/>
        <v>0.94515776991036504</v>
      </c>
      <c r="AH47" s="1231">
        <f t="shared" si="10"/>
        <v>0.50135383360814068</v>
      </c>
      <c r="AI47" s="1189">
        <f t="shared" si="11"/>
        <v>6.1249658448438429E-3</v>
      </c>
      <c r="AJ47" s="1233">
        <f t="shared" si="12"/>
        <v>0.49252120054701543</v>
      </c>
    </row>
    <row r="48" spans="1:36" x14ac:dyDescent="0.25">
      <c r="A48" s="701" t="s">
        <v>110</v>
      </c>
      <c r="B48" s="564" t="s">
        <v>111</v>
      </c>
      <c r="C48" s="702" t="s">
        <v>266</v>
      </c>
      <c r="D48" s="747">
        <f>'Administration LASER'!D47+'Other Oper Exp. LASER'!D47</f>
        <v>7032755.4433221957</v>
      </c>
      <c r="E48" s="748">
        <f>'Administration LASER'!E47+'Other Oper Exp. LASER'!E47</f>
        <v>2639627.026677805</v>
      </c>
      <c r="F48" s="748">
        <f>'Administration LASER'!K47+'Other Oper Exp. LASER'!K47</f>
        <v>5405089.25</v>
      </c>
      <c r="G48" s="749">
        <f>'Administration LASER'!I47+'Other Oper Exp. LASER'!I47</f>
        <v>15077471.720000001</v>
      </c>
      <c r="H48" s="747">
        <f>'Client Services LASER'!D47</f>
        <v>578570.73638471786</v>
      </c>
      <c r="I48" s="748">
        <f>'Client Services LASER'!E47</f>
        <v>1321933.1636152819</v>
      </c>
      <c r="J48" s="748">
        <f>'Client Services LASER'!K47</f>
        <v>368252.8</v>
      </c>
      <c r="K48" s="749">
        <f>'Client Services LASER'!I47</f>
        <v>2268756.7000000002</v>
      </c>
      <c r="L48" s="2207">
        <f>'Statewide Benefits'!D48</f>
        <v>223474603.16489151</v>
      </c>
      <c r="M48" s="2208">
        <f>'Statewide Benefits'!E48</f>
        <v>170522503.03248721</v>
      </c>
      <c r="N48" s="2208">
        <f>'Statewide Benefits'!I48</f>
        <v>5230639.6899999995</v>
      </c>
      <c r="O48" s="2209">
        <f t="shared" si="18"/>
        <v>399227745.88737875</v>
      </c>
      <c r="P48" s="2207">
        <f>'Other Benefits LASER'!D47+'FC &amp; Adoptions LASER'!D47</f>
        <v>2108031.6800000002</v>
      </c>
      <c r="Q48" s="2208">
        <f>'Other Benefits LASER'!E47 + 'FC &amp; Adoptions LASER'!E47</f>
        <v>2345897.9900000002</v>
      </c>
      <c r="R48" s="2208">
        <f>'Other Benefits LASER'!H47 + 'FC &amp; Adoptions LASER'!H47</f>
        <v>182620.93999999997</v>
      </c>
      <c r="S48" s="2209">
        <f t="shared" si="13"/>
        <v>4636550.6100000003</v>
      </c>
      <c r="T48" s="2207">
        <f t="shared" si="14"/>
        <v>233193961.02459842</v>
      </c>
      <c r="U48" s="2208">
        <f t="shared" si="15"/>
        <v>176829961.2127803</v>
      </c>
      <c r="V48" s="2208">
        <f t="shared" si="16"/>
        <v>11186602.679999998</v>
      </c>
      <c r="W48" s="2209">
        <f t="shared" si="17"/>
        <v>421210524.91737878</v>
      </c>
      <c r="Y48" s="594">
        <f t="shared" si="19"/>
        <v>0.46644129559157915</v>
      </c>
      <c r="Z48" s="595">
        <f t="shared" si="20"/>
        <v>0.17507093203009536</v>
      </c>
      <c r="AA48" s="595">
        <f t="shared" si="21"/>
        <v>0.35848777237832552</v>
      </c>
      <c r="AB48" s="596">
        <f t="shared" si="6"/>
        <v>0.64151222762167448</v>
      </c>
      <c r="AD48" s="1231">
        <f t="shared" si="7"/>
        <v>3.5795572114342283E-2</v>
      </c>
      <c r="AE48" s="1189">
        <f t="shared" si="8"/>
        <v>5.3862773263916447E-3</v>
      </c>
      <c r="AF48" s="1233">
        <f t="shared" si="9"/>
        <v>0.958818150559266</v>
      </c>
      <c r="AH48" s="1231">
        <f t="shared" si="10"/>
        <v>0.48317522348974684</v>
      </c>
      <c r="AI48" s="1189">
        <f t="shared" si="11"/>
        <v>3.2919091750561756E-2</v>
      </c>
      <c r="AJ48" s="1233">
        <f t="shared" si="12"/>
        <v>0.48390568475969159</v>
      </c>
    </row>
    <row r="49" spans="1:36" x14ac:dyDescent="0.25">
      <c r="A49" s="701" t="s">
        <v>112</v>
      </c>
      <c r="B49" s="564" t="s">
        <v>300</v>
      </c>
      <c r="C49" s="702" t="s">
        <v>265</v>
      </c>
      <c r="D49" s="747">
        <f>'Administration LASER'!D48+'Other Oper Exp. LASER'!D48</f>
        <v>2598101.4635155993</v>
      </c>
      <c r="E49" s="748">
        <f>'Administration LASER'!E48+'Other Oper Exp. LASER'!E48</f>
        <v>1325892.4164844009</v>
      </c>
      <c r="F49" s="748">
        <f>'Administration LASER'!K48+'Other Oper Exp. LASER'!K48</f>
        <v>854307.03000000014</v>
      </c>
      <c r="G49" s="749">
        <f>'Administration LASER'!I48+'Other Oper Exp. LASER'!I48</f>
        <v>4778300.91</v>
      </c>
      <c r="H49" s="747">
        <f>'Client Services LASER'!D48</f>
        <v>102603.35611194586</v>
      </c>
      <c r="I49" s="748">
        <f>'Client Services LASER'!E48</f>
        <v>153500.65388805413</v>
      </c>
      <c r="J49" s="748">
        <f>'Client Services LASER'!K48</f>
        <v>47736.509999999995</v>
      </c>
      <c r="K49" s="749">
        <f>'Client Services LASER'!I48</f>
        <v>303840.52</v>
      </c>
      <c r="L49" s="2207">
        <f>'Statewide Benefits'!D49</f>
        <v>97077211.508204296</v>
      </c>
      <c r="M49" s="2208">
        <f>'Statewide Benefits'!E49</f>
        <v>73565202.225092366</v>
      </c>
      <c r="N49" s="2208">
        <f>'Statewide Benefits'!I49</f>
        <v>376718.10999999993</v>
      </c>
      <c r="O49" s="2209">
        <f t="shared" si="18"/>
        <v>171019131.84329668</v>
      </c>
      <c r="P49" s="2207">
        <f>'Other Benefits LASER'!D48+'FC &amp; Adoptions LASER'!D48</f>
        <v>545197.12000000011</v>
      </c>
      <c r="Q49" s="2208">
        <f>'Other Benefits LASER'!E48 + 'FC &amp; Adoptions LASER'!E48</f>
        <v>857491.12000000011</v>
      </c>
      <c r="R49" s="2208">
        <f>'Other Benefits LASER'!H48 + 'FC &amp; Adoptions LASER'!H48</f>
        <v>60182.02</v>
      </c>
      <c r="S49" s="2209">
        <f t="shared" si="13"/>
        <v>1462870.2600000002</v>
      </c>
      <c r="T49" s="2207">
        <f t="shared" si="14"/>
        <v>100323113.44783184</v>
      </c>
      <c r="U49" s="2208">
        <f t="shared" si="15"/>
        <v>75902086.415464833</v>
      </c>
      <c r="V49" s="2208">
        <f t="shared" si="16"/>
        <v>1338943.6700000002</v>
      </c>
      <c r="W49" s="2209">
        <f t="shared" si="17"/>
        <v>177564143.53329667</v>
      </c>
      <c r="Y49" s="594">
        <f t="shared" si="19"/>
        <v>0.54372914398888272</v>
      </c>
      <c r="Z49" s="595">
        <f t="shared" si="20"/>
        <v>0.27748198396412854</v>
      </c>
      <c r="AA49" s="595">
        <f t="shared" si="21"/>
        <v>0.17878887204698879</v>
      </c>
      <c r="AB49" s="596">
        <f t="shared" si="6"/>
        <v>0.82121112795301121</v>
      </c>
      <c r="AD49" s="1231">
        <f t="shared" si="7"/>
        <v>2.6910280504374339E-2</v>
      </c>
      <c r="AE49" s="1189">
        <f t="shared" si="8"/>
        <v>1.7111592124061021E-3</v>
      </c>
      <c r="AF49" s="1233">
        <f t="shared" si="9"/>
        <v>0.97137856028321956</v>
      </c>
      <c r="AH49" s="1231">
        <f t="shared" si="10"/>
        <v>0.63804553480580706</v>
      </c>
      <c r="AI49" s="1189">
        <f t="shared" si="11"/>
        <v>3.5652366167129336E-2</v>
      </c>
      <c r="AJ49" s="1233">
        <f t="shared" si="12"/>
        <v>0.32630209902706353</v>
      </c>
    </row>
    <row r="50" spans="1:36" x14ac:dyDescent="0.25">
      <c r="A50" s="701" t="s">
        <v>114</v>
      </c>
      <c r="B50" s="564" t="s">
        <v>115</v>
      </c>
      <c r="C50" s="702" t="s">
        <v>265</v>
      </c>
      <c r="D50" s="747">
        <f>'Administration LASER'!D49+'Other Oper Exp. LASER'!D49</f>
        <v>173497.4564630455</v>
      </c>
      <c r="E50" s="748">
        <f>'Administration LASER'!E49+'Other Oper Exp. LASER'!E49</f>
        <v>66234.203536954505</v>
      </c>
      <c r="F50" s="748">
        <f>'Administration LASER'!K49+'Other Oper Exp. LASER'!K49</f>
        <v>145570.29999999999</v>
      </c>
      <c r="G50" s="749">
        <f>'Administration LASER'!I49+'Other Oper Exp. LASER'!I49</f>
        <v>385301.96</v>
      </c>
      <c r="H50" s="747">
        <f>'Client Services LASER'!D49</f>
        <v>21230.329999999998</v>
      </c>
      <c r="I50" s="748">
        <f>'Client Services LASER'!E49</f>
        <v>1730.88</v>
      </c>
      <c r="J50" s="748">
        <f>'Client Services LASER'!K49</f>
        <v>4473.3599999999997</v>
      </c>
      <c r="K50" s="749">
        <f>'Client Services LASER'!I49</f>
        <v>27434.57</v>
      </c>
      <c r="L50" s="2207">
        <f>'Statewide Benefits'!D50</f>
        <v>1078547.918475979</v>
      </c>
      <c r="M50" s="2208">
        <f>'Statewide Benefits'!E50</f>
        <v>931033.11111857335</v>
      </c>
      <c r="N50" s="2208">
        <f>'Statewide Benefits'!I50</f>
        <v>22052.94</v>
      </c>
      <c r="O50" s="2209">
        <f t="shared" si="18"/>
        <v>2031633.9695945522</v>
      </c>
      <c r="P50" s="2207">
        <f>'Other Benefits LASER'!D49+'FC &amp; Adoptions LASER'!D49</f>
        <v>36518.61</v>
      </c>
      <c r="Q50" s="2208">
        <f>'Other Benefits LASER'!E49 + 'FC &amp; Adoptions LASER'!E49</f>
        <v>47821.01</v>
      </c>
      <c r="R50" s="2208">
        <f>'Other Benefits LASER'!H49 + 'FC &amp; Adoptions LASER'!H49</f>
        <v>2825.58</v>
      </c>
      <c r="S50" s="2209">
        <f t="shared" si="13"/>
        <v>87165.2</v>
      </c>
      <c r="T50" s="2207">
        <f t="shared" si="14"/>
        <v>1309794.3149390246</v>
      </c>
      <c r="U50" s="2208">
        <f t="shared" si="15"/>
        <v>1046819.2046555278</v>
      </c>
      <c r="V50" s="2208">
        <f t="shared" si="16"/>
        <v>174922.17999999996</v>
      </c>
      <c r="W50" s="2209">
        <f t="shared" si="17"/>
        <v>2531535.6995945526</v>
      </c>
      <c r="Y50" s="594">
        <f t="shared" si="19"/>
        <v>0.45028957668174202</v>
      </c>
      <c r="Z50" s="595">
        <f t="shared" si="20"/>
        <v>0.17190206750299039</v>
      </c>
      <c r="AA50" s="595">
        <f t="shared" si="21"/>
        <v>0.37780835581526756</v>
      </c>
      <c r="AB50" s="596">
        <f t="shared" si="6"/>
        <v>0.62219164418473238</v>
      </c>
      <c r="AD50" s="1231">
        <f t="shared" si="7"/>
        <v>0.15220087951424485</v>
      </c>
      <c r="AE50" s="1189">
        <f t="shared" si="8"/>
        <v>1.0837125466725151E-2</v>
      </c>
      <c r="AF50" s="1233">
        <f t="shared" si="9"/>
        <v>0.8369619950190299</v>
      </c>
      <c r="AH50" s="1231">
        <f t="shared" si="10"/>
        <v>0.83220035332283204</v>
      </c>
      <c r="AI50" s="1189">
        <f t="shared" si="11"/>
        <v>2.5573429281523934E-2</v>
      </c>
      <c r="AJ50" s="1233">
        <f t="shared" si="12"/>
        <v>0.14222621739564417</v>
      </c>
    </row>
    <row r="51" spans="1:36" x14ac:dyDescent="0.25">
      <c r="A51" s="701" t="s">
        <v>118</v>
      </c>
      <c r="B51" s="564" t="s">
        <v>119</v>
      </c>
      <c r="C51" s="702" t="s">
        <v>264</v>
      </c>
      <c r="D51" s="747">
        <f>'Administration LASER'!D50+'Other Oper Exp. LASER'!D50</f>
        <v>1291624.7395419804</v>
      </c>
      <c r="E51" s="748">
        <f>'Administration LASER'!E50+'Other Oper Exp. LASER'!E50</f>
        <v>543132.75045801932</v>
      </c>
      <c r="F51" s="748">
        <f>'Administration LASER'!K50+'Other Oper Exp. LASER'!K50</f>
        <v>864423.78</v>
      </c>
      <c r="G51" s="749">
        <f>'Administration LASER'!I50+'Other Oper Exp. LASER'!I50</f>
        <v>2699181.2699999996</v>
      </c>
      <c r="H51" s="747">
        <f>'Client Services LASER'!D50</f>
        <v>54851.811299045956</v>
      </c>
      <c r="I51" s="748">
        <f>'Client Services LASER'!E50</f>
        <v>22157.088700954049</v>
      </c>
      <c r="J51" s="748">
        <f>'Client Services LASER'!K50</f>
        <v>31982.400000000001</v>
      </c>
      <c r="K51" s="749">
        <f>'Client Services LASER'!I50</f>
        <v>108991.30000000002</v>
      </c>
      <c r="L51" s="2207">
        <f>'Statewide Benefits'!D51</f>
        <v>23270896.34239978</v>
      </c>
      <c r="M51" s="2208">
        <f>'Statewide Benefits'!E51</f>
        <v>17659566.89073744</v>
      </c>
      <c r="N51" s="2208">
        <f>'Statewide Benefits'!I51</f>
        <v>118520.51999999999</v>
      </c>
      <c r="O51" s="2209">
        <f t="shared" si="18"/>
        <v>41048983.753137223</v>
      </c>
      <c r="P51" s="2207">
        <f>'Other Benefits LASER'!D50+'FC &amp; Adoptions LASER'!D50</f>
        <v>124432.62</v>
      </c>
      <c r="Q51" s="2208">
        <f>'Other Benefits LASER'!E50 + 'FC &amp; Adoptions LASER'!E50</f>
        <v>231472.25</v>
      </c>
      <c r="R51" s="2208">
        <f>'Other Benefits LASER'!H50 + 'FC &amp; Adoptions LASER'!H50</f>
        <v>16146.92</v>
      </c>
      <c r="S51" s="2209">
        <f t="shared" si="13"/>
        <v>372051.79</v>
      </c>
      <c r="T51" s="2207">
        <f t="shared" si="14"/>
        <v>24741805.513240807</v>
      </c>
      <c r="U51" s="2208">
        <f t="shared" si="15"/>
        <v>18456328.979896415</v>
      </c>
      <c r="V51" s="2208">
        <f t="shared" si="16"/>
        <v>1031073.6200000001</v>
      </c>
      <c r="W51" s="2209">
        <f t="shared" si="17"/>
        <v>44229208.113137223</v>
      </c>
      <c r="Y51" s="594">
        <f t="shared" si="19"/>
        <v>0.47852463778469412</v>
      </c>
      <c r="Z51" s="595">
        <f t="shared" si="20"/>
        <v>0.20122129495142035</v>
      </c>
      <c r="AA51" s="595">
        <f t="shared" si="21"/>
        <v>0.32025406726388561</v>
      </c>
      <c r="AB51" s="596">
        <f t="shared" si="6"/>
        <v>0.6797459327361145</v>
      </c>
      <c r="AD51" s="1231">
        <f t="shared" si="7"/>
        <v>6.1027121785575733E-2</v>
      </c>
      <c r="AE51" s="1189">
        <f t="shared" si="8"/>
        <v>2.4642381053082154E-3</v>
      </c>
      <c r="AF51" s="1233">
        <f t="shared" si="9"/>
        <v>0.93650864010911605</v>
      </c>
      <c r="AH51" s="1231">
        <f t="shared" si="10"/>
        <v>0.83837251116947398</v>
      </c>
      <c r="AI51" s="1189">
        <f t="shared" si="11"/>
        <v>3.1018541624602904E-2</v>
      </c>
      <c r="AJ51" s="1233">
        <f t="shared" si="12"/>
        <v>0.13060894720592306</v>
      </c>
    </row>
    <row r="52" spans="1:36" x14ac:dyDescent="0.25">
      <c r="A52" s="701" t="s">
        <v>120</v>
      </c>
      <c r="B52" s="564" t="s">
        <v>121</v>
      </c>
      <c r="C52" s="702" t="s">
        <v>264</v>
      </c>
      <c r="D52" s="747">
        <f>'Administration LASER'!D51+'Other Oper Exp. LASER'!D51</f>
        <v>1799862.9625024116</v>
      </c>
      <c r="E52" s="748">
        <f>'Administration LASER'!E51+'Other Oper Exp. LASER'!E51</f>
        <v>629377.66749758844</v>
      </c>
      <c r="F52" s="748">
        <f>'Administration LASER'!K51+'Other Oper Exp. LASER'!K51</f>
        <v>1892671.93</v>
      </c>
      <c r="G52" s="749">
        <f>'Administration LASER'!I51+'Other Oper Exp. LASER'!I51</f>
        <v>4321912.5599999996</v>
      </c>
      <c r="H52" s="747">
        <f>'Client Services LASER'!D51</f>
        <v>34674.444437158556</v>
      </c>
      <c r="I52" s="748">
        <f>'Client Services LASER'!E51</f>
        <v>48985.995562841432</v>
      </c>
      <c r="J52" s="748">
        <f>'Client Services LASER'!K51</f>
        <v>16292.490000000002</v>
      </c>
      <c r="K52" s="749">
        <f>'Client Services LASER'!I51</f>
        <v>99952.929999999978</v>
      </c>
      <c r="L52" s="2207">
        <f>'Statewide Benefits'!D52</f>
        <v>24540825.337580021</v>
      </c>
      <c r="M52" s="2208">
        <f>'Statewide Benefits'!E52</f>
        <v>17370326.283942945</v>
      </c>
      <c r="N52" s="2208">
        <f>'Statewide Benefits'!I52</f>
        <v>492019.95999999996</v>
      </c>
      <c r="O52" s="2209">
        <f t="shared" si="18"/>
        <v>42403171.581522964</v>
      </c>
      <c r="P52" s="2207">
        <f>'Other Benefits LASER'!D51+'FC &amp; Adoptions LASER'!D51</f>
        <v>367181.44000000006</v>
      </c>
      <c r="Q52" s="2208">
        <f>'Other Benefits LASER'!E51 + 'FC &amp; Adoptions LASER'!E51</f>
        <v>504240.42000000004</v>
      </c>
      <c r="R52" s="2208">
        <f>'Other Benefits LASER'!H51 + 'FC &amp; Adoptions LASER'!H51</f>
        <v>18212.419999999998</v>
      </c>
      <c r="S52" s="2209">
        <f t="shared" si="13"/>
        <v>889634.28000000014</v>
      </c>
      <c r="T52" s="2207">
        <f t="shared" si="14"/>
        <v>26742544.184519593</v>
      </c>
      <c r="U52" s="2208">
        <f t="shared" si="15"/>
        <v>18552930.367003378</v>
      </c>
      <c r="V52" s="2208">
        <f t="shared" si="16"/>
        <v>2419196.7999999998</v>
      </c>
      <c r="W52" s="2209">
        <f t="shared" si="17"/>
        <v>47714671.351522967</v>
      </c>
      <c r="Y52" s="594">
        <f t="shared" si="19"/>
        <v>0.41645057310053762</v>
      </c>
      <c r="Z52" s="595">
        <f t="shared" si="20"/>
        <v>0.145624803547064</v>
      </c>
      <c r="AA52" s="595">
        <f t="shared" si="21"/>
        <v>0.43792462335239846</v>
      </c>
      <c r="AB52" s="596">
        <f t="shared" si="6"/>
        <v>0.56207537664760165</v>
      </c>
      <c r="AD52" s="1231">
        <f t="shared" si="7"/>
        <v>9.0578273675190085E-2</v>
      </c>
      <c r="AE52" s="1189">
        <f t="shared" si="8"/>
        <v>2.0948049555581747E-3</v>
      </c>
      <c r="AF52" s="1233">
        <f t="shared" si="9"/>
        <v>0.90732692136925164</v>
      </c>
      <c r="AH52" s="1231">
        <f t="shared" si="10"/>
        <v>0.78235550328108905</v>
      </c>
      <c r="AI52" s="1189">
        <f t="shared" si="11"/>
        <v>6.7346691265464647E-3</v>
      </c>
      <c r="AJ52" s="1233">
        <f t="shared" si="12"/>
        <v>0.21090982759236454</v>
      </c>
    </row>
    <row r="53" spans="1:36" x14ac:dyDescent="0.25">
      <c r="A53" s="701" t="s">
        <v>122</v>
      </c>
      <c r="B53" s="564" t="s">
        <v>271</v>
      </c>
      <c r="C53" s="702" t="s">
        <v>266</v>
      </c>
      <c r="D53" s="747">
        <f>'Administration LASER'!D52+'Other Oper Exp. LASER'!D52</f>
        <v>483311.97551354172</v>
      </c>
      <c r="E53" s="748">
        <f>'Administration LASER'!E52+'Other Oper Exp. LASER'!E52</f>
        <v>203498.90448645825</v>
      </c>
      <c r="F53" s="748">
        <f>'Administration LASER'!K52+'Other Oper Exp. LASER'!K52</f>
        <v>325016.43</v>
      </c>
      <c r="G53" s="749">
        <f>'Administration LASER'!I52+'Other Oper Exp. LASER'!I52</f>
        <v>1011827.3099999999</v>
      </c>
      <c r="H53" s="747">
        <f>'Client Services LASER'!D52</f>
        <v>19262.915518721566</v>
      </c>
      <c r="I53" s="748">
        <f>'Client Services LASER'!E52</f>
        <v>6753.1344812784364</v>
      </c>
      <c r="J53" s="748">
        <f>'Client Services LASER'!K52</f>
        <v>4791.05</v>
      </c>
      <c r="K53" s="749">
        <f>'Client Services LASER'!I52</f>
        <v>30807.100000000002</v>
      </c>
      <c r="L53" s="2207">
        <f>'Statewide Benefits'!D53</f>
        <v>6601805.7300656382</v>
      </c>
      <c r="M53" s="2208">
        <f>'Statewide Benefits'!E53</f>
        <v>4863041.5627009971</v>
      </c>
      <c r="N53" s="2208">
        <f>'Statewide Benefits'!I53</f>
        <v>107184</v>
      </c>
      <c r="O53" s="2209">
        <f t="shared" si="18"/>
        <v>11572031.292766634</v>
      </c>
      <c r="P53" s="2207">
        <f>'Other Benefits LASER'!D52+'FC &amp; Adoptions LASER'!D52</f>
        <v>61082.239999999991</v>
      </c>
      <c r="Q53" s="2208">
        <f>'Other Benefits LASER'!E52 + 'FC &amp; Adoptions LASER'!E52</f>
        <v>124166.04000000001</v>
      </c>
      <c r="R53" s="2208">
        <f>'Other Benefits LASER'!H52 + 'FC &amp; Adoptions LASER'!H52</f>
        <v>2726.42</v>
      </c>
      <c r="S53" s="2209">
        <f t="shared" si="13"/>
        <v>187974.7</v>
      </c>
      <c r="T53" s="2207">
        <f t="shared" si="14"/>
        <v>7165462.8610979021</v>
      </c>
      <c r="U53" s="2208">
        <f t="shared" si="15"/>
        <v>5197459.6416687341</v>
      </c>
      <c r="V53" s="2208">
        <f t="shared" si="16"/>
        <v>439717.89999999997</v>
      </c>
      <c r="W53" s="2209">
        <f t="shared" si="17"/>
        <v>12802640.402766634</v>
      </c>
      <c r="Y53" s="594">
        <f t="shared" si="19"/>
        <v>0.47766251289811673</v>
      </c>
      <c r="Z53" s="595">
        <f t="shared" si="20"/>
        <v>0.2011201936093801</v>
      </c>
      <c r="AA53" s="595">
        <f t="shared" si="21"/>
        <v>0.32121729349250322</v>
      </c>
      <c r="AB53" s="596">
        <f t="shared" si="6"/>
        <v>0.67878270650749684</v>
      </c>
      <c r="AD53" s="1231">
        <f t="shared" si="7"/>
        <v>7.9032705611363219E-2</v>
      </c>
      <c r="AE53" s="1189">
        <f t="shared" si="8"/>
        <v>2.4063083106936776E-3</v>
      </c>
      <c r="AF53" s="1233">
        <f t="shared" si="9"/>
        <v>0.91856098607794312</v>
      </c>
      <c r="AH53" s="1231">
        <f t="shared" si="10"/>
        <v>0.73914759894923543</v>
      </c>
      <c r="AI53" s="1189">
        <f t="shared" si="11"/>
        <v>1.0895735652335283E-2</v>
      </c>
      <c r="AJ53" s="1233">
        <f t="shared" si="12"/>
        <v>0.24995666539842934</v>
      </c>
    </row>
    <row r="54" spans="1:36" x14ac:dyDescent="0.25">
      <c r="A54" s="701" t="s">
        <v>124</v>
      </c>
      <c r="B54" s="564" t="s">
        <v>125</v>
      </c>
      <c r="C54" s="702" t="s">
        <v>267</v>
      </c>
      <c r="D54" s="747">
        <f>'Administration LASER'!D53+'Other Oper Exp. LASER'!D53</f>
        <v>730180.88060386258</v>
      </c>
      <c r="E54" s="748">
        <f>'Administration LASER'!E53+'Other Oper Exp. LASER'!E53</f>
        <v>260149.55939613751</v>
      </c>
      <c r="F54" s="748">
        <f>'Administration LASER'!K53+'Other Oper Exp. LASER'!K53</f>
        <v>683523.58000000007</v>
      </c>
      <c r="G54" s="749">
        <f>'Administration LASER'!I53+'Other Oper Exp. LASER'!I53</f>
        <v>1673854.02</v>
      </c>
      <c r="H54" s="747">
        <f>'Client Services LASER'!D53</f>
        <v>25168.601681584089</v>
      </c>
      <c r="I54" s="748">
        <f>'Client Services LASER'!E53</f>
        <v>15587.49831841591</v>
      </c>
      <c r="J54" s="748">
        <f>'Client Services LASER'!K53</f>
        <v>6492.5099999999993</v>
      </c>
      <c r="K54" s="749">
        <f>'Client Services LASER'!I53</f>
        <v>47248.61</v>
      </c>
      <c r="L54" s="2207">
        <f>'Statewide Benefits'!D54</f>
        <v>13273687.761603592</v>
      </c>
      <c r="M54" s="2208">
        <f>'Statewide Benefits'!E54</f>
        <v>10433663.570162473</v>
      </c>
      <c r="N54" s="2208">
        <f>'Statewide Benefits'!I54</f>
        <v>959638.83</v>
      </c>
      <c r="O54" s="2209">
        <f t="shared" si="18"/>
        <v>24666990.161766063</v>
      </c>
      <c r="P54" s="2207">
        <f>'Other Benefits LASER'!D53+'FC &amp; Adoptions LASER'!D53</f>
        <v>133488.46</v>
      </c>
      <c r="Q54" s="2208">
        <f>'Other Benefits LASER'!E53 + 'FC &amp; Adoptions LASER'!E53</f>
        <v>181164.59999999998</v>
      </c>
      <c r="R54" s="2208">
        <f>'Other Benefits LASER'!H53 + 'FC &amp; Adoptions LASER'!H53</f>
        <v>1603.14</v>
      </c>
      <c r="S54" s="2209">
        <f t="shared" si="13"/>
        <v>316256.19999999995</v>
      </c>
      <c r="T54" s="2207">
        <f t="shared" si="14"/>
        <v>14162525.70388904</v>
      </c>
      <c r="U54" s="2208">
        <f t="shared" si="15"/>
        <v>10890565.227877026</v>
      </c>
      <c r="V54" s="2208">
        <f t="shared" si="16"/>
        <v>1651258.0599999998</v>
      </c>
      <c r="W54" s="2209">
        <f t="shared" si="17"/>
        <v>26704348.991766062</v>
      </c>
      <c r="Y54" s="594">
        <f t="shared" si="19"/>
        <v>0.43622733636226091</v>
      </c>
      <c r="Z54" s="595">
        <f t="shared" si="20"/>
        <v>0.15541950270916546</v>
      </c>
      <c r="AA54" s="595">
        <f t="shared" si="21"/>
        <v>0.40835316092857371</v>
      </c>
      <c r="AB54" s="596">
        <f t="shared" si="6"/>
        <v>0.59164683907142634</v>
      </c>
      <c r="AD54" s="1231">
        <f t="shared" si="7"/>
        <v>6.2680952099454332E-2</v>
      </c>
      <c r="AE54" s="1189">
        <f t="shared" si="8"/>
        <v>1.7693226678009823E-3</v>
      </c>
      <c r="AF54" s="1233">
        <f t="shared" si="9"/>
        <v>0.93554972523274471</v>
      </c>
      <c r="AH54" s="1231">
        <f t="shared" si="10"/>
        <v>0.41394110136849244</v>
      </c>
      <c r="AI54" s="1189">
        <f t="shared" si="11"/>
        <v>3.9318566596428907E-3</v>
      </c>
      <c r="AJ54" s="1233">
        <f t="shared" si="12"/>
        <v>0.58212704197186482</v>
      </c>
    </row>
    <row r="55" spans="1:36" x14ac:dyDescent="0.25">
      <c r="A55" s="701" t="s">
        <v>126</v>
      </c>
      <c r="B55" s="564" t="s">
        <v>127</v>
      </c>
      <c r="C55" s="702" t="s">
        <v>266</v>
      </c>
      <c r="D55" s="747">
        <f>'Administration LASER'!D54+'Other Oper Exp. LASER'!D54</f>
        <v>436782.84961622406</v>
      </c>
      <c r="E55" s="748">
        <f>'Administration LASER'!E54+'Other Oper Exp. LASER'!E54</f>
        <v>185637.09038377594</v>
      </c>
      <c r="F55" s="748">
        <f>'Administration LASER'!K54+'Other Oper Exp. LASER'!K54</f>
        <v>294145.31</v>
      </c>
      <c r="G55" s="749">
        <f>'Administration LASER'!I54+'Other Oper Exp. LASER'!I54</f>
        <v>916565.25</v>
      </c>
      <c r="H55" s="747">
        <f>'Client Services LASER'!D54</f>
        <v>30657.808723767936</v>
      </c>
      <c r="I55" s="748">
        <f>'Client Services LASER'!E54</f>
        <v>12715.711276232063</v>
      </c>
      <c r="J55" s="748">
        <f>'Client Services LASER'!K54</f>
        <v>8048.53</v>
      </c>
      <c r="K55" s="749">
        <f>'Client Services LASER'!I54</f>
        <v>51422.049999999996</v>
      </c>
      <c r="L55" s="2207">
        <f>'Statewide Benefits'!D55</f>
        <v>10457111.04536874</v>
      </c>
      <c r="M55" s="2208">
        <f>'Statewide Benefits'!E55</f>
        <v>8320568.213585875</v>
      </c>
      <c r="N55" s="2208">
        <f>'Statewide Benefits'!I55</f>
        <v>308269.42</v>
      </c>
      <c r="O55" s="2209">
        <f t="shared" si="18"/>
        <v>19085948.678954616</v>
      </c>
      <c r="P55" s="2207">
        <f>'Other Benefits LASER'!D54+'FC &amp; Adoptions LASER'!D54</f>
        <v>29834</v>
      </c>
      <c r="Q55" s="2208">
        <f>'Other Benefits LASER'!E54 + 'FC &amp; Adoptions LASER'!E54</f>
        <v>93883.07</v>
      </c>
      <c r="R55" s="2208">
        <f>'Other Benefits LASER'!H54 + 'FC &amp; Adoptions LASER'!H54</f>
        <v>9308.93</v>
      </c>
      <c r="S55" s="2209">
        <f t="shared" si="13"/>
        <v>133026</v>
      </c>
      <c r="T55" s="2207">
        <f t="shared" si="14"/>
        <v>10954385.703708733</v>
      </c>
      <c r="U55" s="2208">
        <f t="shared" si="15"/>
        <v>8612804.0852458831</v>
      </c>
      <c r="V55" s="2208">
        <f t="shared" si="16"/>
        <v>619772.19000000006</v>
      </c>
      <c r="W55" s="2209">
        <f t="shared" si="17"/>
        <v>20186961.978954617</v>
      </c>
      <c r="Y55" s="594">
        <f t="shared" si="19"/>
        <v>0.47654310439570347</v>
      </c>
      <c r="Z55" s="595">
        <f t="shared" si="20"/>
        <v>0.20253559731156723</v>
      </c>
      <c r="AA55" s="595">
        <f t="shared" si="21"/>
        <v>0.32092129829272931</v>
      </c>
      <c r="AB55" s="596">
        <f t="shared" si="6"/>
        <v>0.67907870170727069</v>
      </c>
      <c r="AD55" s="1231">
        <f t="shared" si="7"/>
        <v>4.5403823069342521E-2</v>
      </c>
      <c r="AE55" s="1189">
        <f t="shared" si="8"/>
        <v>2.5472901793548081E-3</v>
      </c>
      <c r="AF55" s="1233">
        <f t="shared" si="9"/>
        <v>0.95204888675130261</v>
      </c>
      <c r="AH55" s="1231">
        <f t="shared" si="10"/>
        <v>0.47460230508245288</v>
      </c>
      <c r="AI55" s="1189">
        <f t="shared" si="11"/>
        <v>1.2986271616995268E-2</v>
      </c>
      <c r="AJ55" s="1233">
        <f t="shared" si="12"/>
        <v>0.51241142330055167</v>
      </c>
    </row>
    <row r="56" spans="1:36" x14ac:dyDescent="0.25">
      <c r="A56" s="701" t="s">
        <v>128</v>
      </c>
      <c r="B56" s="564" t="s">
        <v>129</v>
      </c>
      <c r="C56" s="702" t="s">
        <v>266</v>
      </c>
      <c r="D56" s="747">
        <f>'Administration LASER'!D55+'Other Oper Exp. LASER'!D55</f>
        <v>678974.93464583426</v>
      </c>
      <c r="E56" s="748">
        <f>'Administration LASER'!E55+'Other Oper Exp. LASER'!E55</f>
        <v>302997.57535416575</v>
      </c>
      <c r="F56" s="748">
        <f>'Administration LASER'!K55+'Other Oper Exp. LASER'!K55</f>
        <v>411824.53</v>
      </c>
      <c r="G56" s="749">
        <f>'Administration LASER'!I55+'Other Oper Exp. LASER'!I55</f>
        <v>1393797.0399999998</v>
      </c>
      <c r="H56" s="747">
        <f>'Client Services LASER'!D55</f>
        <v>20759.502825627373</v>
      </c>
      <c r="I56" s="748">
        <f>'Client Services LASER'!E55</f>
        <v>6312.8471743726268</v>
      </c>
      <c r="J56" s="748">
        <f>'Client Services LASER'!K55</f>
        <v>5140.7199999999993</v>
      </c>
      <c r="K56" s="749">
        <f>'Client Services LASER'!I55</f>
        <v>32213.07</v>
      </c>
      <c r="L56" s="2207">
        <f>'Statewide Benefits'!D56</f>
        <v>8955628.2335359268</v>
      </c>
      <c r="M56" s="2208">
        <f>'Statewide Benefits'!E56</f>
        <v>6741917.7639773889</v>
      </c>
      <c r="N56" s="2208">
        <f>'Statewide Benefits'!I56</f>
        <v>463006.31999999995</v>
      </c>
      <c r="O56" s="2209">
        <f t="shared" si="18"/>
        <v>16160552.317513317</v>
      </c>
      <c r="P56" s="2207">
        <f>'Other Benefits LASER'!D55+'FC &amp; Adoptions LASER'!D55</f>
        <v>33373.589999999997</v>
      </c>
      <c r="Q56" s="2208">
        <f>'Other Benefits LASER'!E55 + 'FC &amp; Adoptions LASER'!E55</f>
        <v>97367.739999999991</v>
      </c>
      <c r="R56" s="2208">
        <f>'Other Benefits LASER'!H55 + 'FC &amp; Adoptions LASER'!H55</f>
        <v>8856.8799999999992</v>
      </c>
      <c r="S56" s="2209">
        <f t="shared" si="13"/>
        <v>139598.21</v>
      </c>
      <c r="T56" s="2207">
        <f t="shared" si="14"/>
        <v>9688736.2610073891</v>
      </c>
      <c r="U56" s="2208">
        <f t="shared" si="15"/>
        <v>7148595.926505927</v>
      </c>
      <c r="V56" s="2208">
        <f t="shared" si="16"/>
        <v>888828.45</v>
      </c>
      <c r="W56" s="2209">
        <f t="shared" si="17"/>
        <v>17726160.637513317</v>
      </c>
      <c r="Y56" s="594">
        <f t="shared" si="19"/>
        <v>0.48714046246348347</v>
      </c>
      <c r="Z56" s="595">
        <f t="shared" si="20"/>
        <v>0.21739002642319127</v>
      </c>
      <c r="AA56" s="595">
        <f t="shared" si="21"/>
        <v>0.29546951111332542</v>
      </c>
      <c r="AB56" s="596">
        <f t="shared" si="6"/>
        <v>0.70453048888667469</v>
      </c>
      <c r="AD56" s="1231">
        <f t="shared" si="7"/>
        <v>7.8629381088330591E-2</v>
      </c>
      <c r="AE56" s="1189">
        <f t="shared" si="8"/>
        <v>1.8172615412177012E-3</v>
      </c>
      <c r="AF56" s="1233">
        <f t="shared" si="9"/>
        <v>0.91955335737045174</v>
      </c>
      <c r="AH56" s="1231">
        <f t="shared" si="10"/>
        <v>0.46333410007296688</v>
      </c>
      <c r="AI56" s="1189">
        <f t="shared" si="11"/>
        <v>5.7837032556732398E-3</v>
      </c>
      <c r="AJ56" s="1233">
        <f t="shared" si="12"/>
        <v>0.53088219667135994</v>
      </c>
    </row>
    <row r="57" spans="1:36" x14ac:dyDescent="0.25">
      <c r="A57" s="701" t="s">
        <v>130</v>
      </c>
      <c r="B57" s="564" t="s">
        <v>131</v>
      </c>
      <c r="C57" s="702" t="s">
        <v>268</v>
      </c>
      <c r="D57" s="747">
        <f>'Administration LASER'!D56+'Other Oper Exp. LASER'!D56</f>
        <v>1789366.2491862809</v>
      </c>
      <c r="E57" s="748">
        <f>'Administration LASER'!E56+'Other Oper Exp. LASER'!E56</f>
        <v>922202.42081371916</v>
      </c>
      <c r="F57" s="748">
        <f>'Administration LASER'!K56+'Other Oper Exp. LASER'!K56</f>
        <v>662693.94999999995</v>
      </c>
      <c r="G57" s="749">
        <f>'Administration LASER'!I56+'Other Oper Exp. LASER'!I56</f>
        <v>3374262.62</v>
      </c>
      <c r="H57" s="747">
        <f>'Client Services LASER'!D56</f>
        <v>133039.7192386589</v>
      </c>
      <c r="I57" s="748">
        <f>'Client Services LASER'!E56</f>
        <v>115843.71076134109</v>
      </c>
      <c r="J57" s="748">
        <f>'Client Services LASER'!K56</f>
        <v>51328.110000000008</v>
      </c>
      <c r="K57" s="749">
        <f>'Client Services LASER'!I56</f>
        <v>300211.53999999998</v>
      </c>
      <c r="L57" s="2207">
        <f>'Statewide Benefits'!D57</f>
        <v>36667364.244143702</v>
      </c>
      <c r="M57" s="2208">
        <f>'Statewide Benefits'!E57</f>
        <v>27627370.734358795</v>
      </c>
      <c r="N57" s="2208">
        <f>'Statewide Benefits'!I57</f>
        <v>293987.51999999996</v>
      </c>
      <c r="O57" s="2209">
        <f t="shared" si="18"/>
        <v>64588722.4985025</v>
      </c>
      <c r="P57" s="2207">
        <f>'Other Benefits LASER'!D56+'FC &amp; Adoptions LASER'!D56</f>
        <v>1049553.0999999999</v>
      </c>
      <c r="Q57" s="2208">
        <f>'Other Benefits LASER'!E56 + 'FC &amp; Adoptions LASER'!E56</f>
        <v>1680686.8199999998</v>
      </c>
      <c r="R57" s="2208">
        <f>'Other Benefits LASER'!H56 + 'FC &amp; Adoptions LASER'!H56</f>
        <v>101950.05</v>
      </c>
      <c r="S57" s="2209">
        <f t="shared" si="13"/>
        <v>2832189.9699999997</v>
      </c>
      <c r="T57" s="2207">
        <f t="shared" si="14"/>
        <v>39639323.312568642</v>
      </c>
      <c r="U57" s="2208">
        <f t="shared" si="15"/>
        <v>30346103.685933854</v>
      </c>
      <c r="V57" s="2208">
        <f t="shared" si="16"/>
        <v>1109959.6299999999</v>
      </c>
      <c r="W57" s="2209">
        <f t="shared" si="17"/>
        <v>71095386.628502503</v>
      </c>
      <c r="Y57" s="594">
        <f t="shared" si="19"/>
        <v>0.53029845352887228</v>
      </c>
      <c r="Z57" s="595">
        <f t="shared" si="20"/>
        <v>0.27330487418128679</v>
      </c>
      <c r="AA57" s="595">
        <f t="shared" si="21"/>
        <v>0.1963966722898409</v>
      </c>
      <c r="AB57" s="596">
        <f t="shared" si="6"/>
        <v>0.80360332771015908</v>
      </c>
      <c r="AD57" s="1231">
        <f t="shared" si="7"/>
        <v>4.7461062946765678E-2</v>
      </c>
      <c r="AE57" s="1189">
        <f t="shared" si="8"/>
        <v>4.222658518881219E-3</v>
      </c>
      <c r="AF57" s="1233">
        <f t="shared" si="9"/>
        <v>0.94831627853435319</v>
      </c>
      <c r="AH57" s="1231">
        <f t="shared" si="10"/>
        <v>0.59704329066454431</v>
      </c>
      <c r="AI57" s="1189">
        <f t="shared" si="11"/>
        <v>4.6243222377376027E-2</v>
      </c>
      <c r="AJ57" s="1233">
        <f t="shared" si="12"/>
        <v>0.3567134869580797</v>
      </c>
    </row>
    <row r="58" spans="1:36" x14ac:dyDescent="0.25">
      <c r="A58" s="701" t="s">
        <v>132</v>
      </c>
      <c r="B58" s="564" t="s">
        <v>133</v>
      </c>
      <c r="C58" s="702" t="s">
        <v>267</v>
      </c>
      <c r="D58" s="747">
        <f>'Administration LASER'!D57+'Other Oper Exp. LASER'!D57</f>
        <v>5410978.1922108196</v>
      </c>
      <c r="E58" s="748">
        <f>'Administration LASER'!E57+'Other Oper Exp. LASER'!E57</f>
        <v>1030654.3677891796</v>
      </c>
      <c r="F58" s="748">
        <f>'Administration LASER'!K57+'Other Oper Exp. LASER'!K57</f>
        <v>7445483.3800000008</v>
      </c>
      <c r="G58" s="749">
        <f>'Administration LASER'!I57+'Other Oper Exp. LASER'!I57</f>
        <v>13887115.940000001</v>
      </c>
      <c r="H58" s="747">
        <f>'Client Services LASER'!D57</f>
        <v>300476.97894394188</v>
      </c>
      <c r="I58" s="748">
        <f>'Client Services LASER'!E57</f>
        <v>241149.94105605819</v>
      </c>
      <c r="J58" s="748">
        <f>'Client Services LASER'!K57</f>
        <v>878066.97</v>
      </c>
      <c r="K58" s="749">
        <f>'Client Services LASER'!I57</f>
        <v>1419693.8900000001</v>
      </c>
      <c r="L58" s="2207">
        <f>'Statewide Benefits'!D58</f>
        <v>93335213.089682072</v>
      </c>
      <c r="M58" s="2208">
        <f>'Statewide Benefits'!E58</f>
        <v>75063889.673671439</v>
      </c>
      <c r="N58" s="2208">
        <f>'Statewide Benefits'!I58</f>
        <v>3297835.02</v>
      </c>
      <c r="O58" s="2209">
        <f t="shared" si="18"/>
        <v>171696937.78335354</v>
      </c>
      <c r="P58" s="2207">
        <f>'Other Benefits LASER'!D57+'FC &amp; Adoptions LASER'!D57</f>
        <v>725396.19</v>
      </c>
      <c r="Q58" s="2208">
        <f>'Other Benefits LASER'!E57 + 'FC &amp; Adoptions LASER'!E57</f>
        <v>1031278.62</v>
      </c>
      <c r="R58" s="2208">
        <f>'Other Benefits LASER'!H57 + 'FC &amp; Adoptions LASER'!H57</f>
        <v>29740.34</v>
      </c>
      <c r="S58" s="2209">
        <f t="shared" si="13"/>
        <v>1786415.1500000001</v>
      </c>
      <c r="T58" s="2207">
        <f t="shared" si="14"/>
        <v>99772064.450836837</v>
      </c>
      <c r="U58" s="2208">
        <f t="shared" si="15"/>
        <v>77366972.602516681</v>
      </c>
      <c r="V58" s="2208">
        <f t="shared" si="16"/>
        <v>11651125.710000001</v>
      </c>
      <c r="W58" s="2209">
        <f t="shared" si="17"/>
        <v>188790162.76335356</v>
      </c>
      <c r="Y58" s="594">
        <f t="shared" si="19"/>
        <v>0.38964016831062903</v>
      </c>
      <c r="Z58" s="595">
        <f t="shared" si="20"/>
        <v>7.4216588400512734E-2</v>
      </c>
      <c r="AA58" s="595">
        <f t="shared" si="21"/>
        <v>0.53614324328885821</v>
      </c>
      <c r="AB58" s="596">
        <f t="shared" si="6"/>
        <v>0.46385675671114174</v>
      </c>
      <c r="AD58" s="1231">
        <f t="shared" si="7"/>
        <v>7.3558472203911138E-2</v>
      </c>
      <c r="AE58" s="1189">
        <f t="shared" si="8"/>
        <v>7.5199569152317076E-3</v>
      </c>
      <c r="AF58" s="1233">
        <f t="shared" si="9"/>
        <v>0.91892157088085713</v>
      </c>
      <c r="AH58" s="1231">
        <f t="shared" si="10"/>
        <v>0.63903553745108466</v>
      </c>
      <c r="AI58" s="1189">
        <f t="shared" si="11"/>
        <v>7.5363273202551331E-2</v>
      </c>
      <c r="AJ58" s="1233">
        <f t="shared" si="12"/>
        <v>0.28560118934636397</v>
      </c>
    </row>
    <row r="59" spans="1:36" x14ac:dyDescent="0.25">
      <c r="A59" s="701" t="s">
        <v>134</v>
      </c>
      <c r="B59" s="564" t="s">
        <v>135</v>
      </c>
      <c r="C59" s="702" t="s">
        <v>267</v>
      </c>
      <c r="D59" s="747">
        <f>'Administration LASER'!D58+'Other Oper Exp. LASER'!D58</f>
        <v>1196671.2772694821</v>
      </c>
      <c r="E59" s="748">
        <f>'Administration LASER'!E58+'Other Oper Exp. LASER'!E58</f>
        <v>453371.88273051789</v>
      </c>
      <c r="F59" s="748">
        <f>'Administration LASER'!K58+'Other Oper Exp. LASER'!K58</f>
        <v>915496.3</v>
      </c>
      <c r="G59" s="749">
        <f>'Administration LASER'!I58+'Other Oper Exp. LASER'!I58</f>
        <v>2565539.46</v>
      </c>
      <c r="H59" s="747">
        <f>'Client Services LASER'!D58</f>
        <v>31321.959848661303</v>
      </c>
      <c r="I59" s="748">
        <f>'Client Services LASER'!E58</f>
        <v>42741.860151338704</v>
      </c>
      <c r="J59" s="748">
        <f>'Client Services LASER'!K58</f>
        <v>13949.460000000001</v>
      </c>
      <c r="K59" s="749">
        <f>'Client Services LASER'!I58</f>
        <v>88013.280000000013</v>
      </c>
      <c r="L59" s="2207">
        <f>'Statewide Benefits'!D59</f>
        <v>25576654.814532664</v>
      </c>
      <c r="M59" s="2208">
        <f>'Statewide Benefits'!E59</f>
        <v>20341546.977479335</v>
      </c>
      <c r="N59" s="2208">
        <f>'Statewide Benefits'!I59</f>
        <v>1543819.97</v>
      </c>
      <c r="O59" s="2209">
        <f t="shared" si="18"/>
        <v>47462021.762011997</v>
      </c>
      <c r="P59" s="2207">
        <f>'Other Benefits LASER'!D58+'FC &amp; Adoptions LASER'!D58</f>
        <v>540225.43000000005</v>
      </c>
      <c r="Q59" s="2208">
        <f>'Other Benefits LASER'!E58 + 'FC &amp; Adoptions LASER'!E58</f>
        <v>1253691.0799999998</v>
      </c>
      <c r="R59" s="2208">
        <f>'Other Benefits LASER'!H58 + 'FC &amp; Adoptions LASER'!H58</f>
        <v>13032.66</v>
      </c>
      <c r="S59" s="2209">
        <f t="shared" si="13"/>
        <v>1806949.1699999997</v>
      </c>
      <c r="T59" s="2207">
        <f t="shared" si="14"/>
        <v>27344873.481650807</v>
      </c>
      <c r="U59" s="2208">
        <f t="shared" si="15"/>
        <v>22091351.80036119</v>
      </c>
      <c r="V59" s="2208">
        <f t="shared" si="16"/>
        <v>2486298.39</v>
      </c>
      <c r="W59" s="2209">
        <f t="shared" si="17"/>
        <v>51922523.672012001</v>
      </c>
      <c r="Y59" s="594">
        <f t="shared" si="19"/>
        <v>0.46644040987367319</v>
      </c>
      <c r="Z59" s="595">
        <f t="shared" si="20"/>
        <v>0.1767160044891759</v>
      </c>
      <c r="AA59" s="595">
        <f t="shared" si="21"/>
        <v>0.35684358563715096</v>
      </c>
      <c r="AB59" s="596">
        <f t="shared" si="6"/>
        <v>0.64315641436284909</v>
      </c>
      <c r="AD59" s="1231">
        <f t="shared" si="7"/>
        <v>4.9410916083474435E-2</v>
      </c>
      <c r="AE59" s="1189">
        <f t="shared" si="8"/>
        <v>1.6950886392959007E-3</v>
      </c>
      <c r="AF59" s="1233">
        <f t="shared" si="9"/>
        <v>0.94889399527722962</v>
      </c>
      <c r="AH59" s="1231">
        <f t="shared" si="10"/>
        <v>0.36821658401186513</v>
      </c>
      <c r="AI59" s="1189">
        <f t="shared" si="11"/>
        <v>5.6105333358640033E-3</v>
      </c>
      <c r="AJ59" s="1233">
        <f t="shared" si="12"/>
        <v>0.62617288265227078</v>
      </c>
    </row>
    <row r="60" spans="1:36" x14ac:dyDescent="0.25">
      <c r="A60" s="701" t="s">
        <v>136</v>
      </c>
      <c r="B60" s="564" t="s">
        <v>137</v>
      </c>
      <c r="C60" s="702" t="s">
        <v>266</v>
      </c>
      <c r="D60" s="747">
        <f>'Administration LASER'!D59+'Other Oper Exp. LASER'!D59</f>
        <v>415612.36529379163</v>
      </c>
      <c r="E60" s="748">
        <f>'Administration LASER'!E59+'Other Oper Exp. LASER'!E59</f>
        <v>203141.72470620836</v>
      </c>
      <c r="F60" s="748">
        <f>'Administration LASER'!K59+'Other Oper Exp. LASER'!K59</f>
        <v>198523.21000000002</v>
      </c>
      <c r="G60" s="749">
        <f>'Administration LASER'!I59+'Other Oper Exp. LASER'!I59</f>
        <v>817277.3</v>
      </c>
      <c r="H60" s="747">
        <f>'Client Services LASER'!D59</f>
        <v>6159.6097712778419</v>
      </c>
      <c r="I60" s="748">
        <f>'Client Services LASER'!E59</f>
        <v>12549.000228722158</v>
      </c>
      <c r="J60" s="748">
        <f>'Client Services LASER'!K59</f>
        <v>3876.69</v>
      </c>
      <c r="K60" s="749">
        <f>'Client Services LASER'!I59</f>
        <v>22585.3</v>
      </c>
      <c r="L60" s="2207">
        <f>'Statewide Benefits'!D60</f>
        <v>12965562.239225995</v>
      </c>
      <c r="M60" s="2208">
        <f>'Statewide Benefits'!E60</f>
        <v>10378126.0757</v>
      </c>
      <c r="N60" s="2208">
        <f>'Statewide Benefits'!I60</f>
        <v>174243.88</v>
      </c>
      <c r="O60" s="2209">
        <f t="shared" si="18"/>
        <v>23517932.194925994</v>
      </c>
      <c r="P60" s="2207">
        <f>'Other Benefits LASER'!D59+'FC &amp; Adoptions LASER'!D59</f>
        <v>118334.95</v>
      </c>
      <c r="Q60" s="2208">
        <f>'Other Benefits LASER'!E59 + 'FC &amp; Adoptions LASER'!E59</f>
        <v>215064.15</v>
      </c>
      <c r="R60" s="2208">
        <f>'Other Benefits LASER'!H59 + 'FC &amp; Adoptions LASER'!H59</f>
        <v>21453.78</v>
      </c>
      <c r="S60" s="2209">
        <f t="shared" si="13"/>
        <v>354852.88</v>
      </c>
      <c r="T60" s="2207">
        <f t="shared" si="14"/>
        <v>13505669.164291063</v>
      </c>
      <c r="U60" s="2208">
        <f t="shared" si="15"/>
        <v>10808880.95063493</v>
      </c>
      <c r="V60" s="2208">
        <f t="shared" si="16"/>
        <v>398097.56000000006</v>
      </c>
      <c r="W60" s="2209">
        <f t="shared" si="17"/>
        <v>24712647.674925994</v>
      </c>
      <c r="Y60" s="594">
        <f t="shared" si="19"/>
        <v>0.50853286307326973</v>
      </c>
      <c r="Z60" s="595">
        <f t="shared" si="20"/>
        <v>0.24855911782476811</v>
      </c>
      <c r="AA60" s="595">
        <f t="shared" si="21"/>
        <v>0.24290801910196211</v>
      </c>
      <c r="AB60" s="596">
        <f t="shared" si="6"/>
        <v>0.75709198089803786</v>
      </c>
      <c r="AD60" s="1231">
        <f t="shared" si="7"/>
        <v>3.3071215628150921E-2</v>
      </c>
      <c r="AE60" s="1189">
        <f t="shared" si="8"/>
        <v>9.1391664289033469E-4</v>
      </c>
      <c r="AF60" s="1233">
        <f t="shared" si="9"/>
        <v>0.96601486772895873</v>
      </c>
      <c r="AH60" s="1231">
        <f t="shared" si="10"/>
        <v>0.49867979597764928</v>
      </c>
      <c r="AI60" s="1189">
        <f t="shared" si="11"/>
        <v>9.7380400924838607E-3</v>
      </c>
      <c r="AJ60" s="1233">
        <f t="shared" si="12"/>
        <v>0.49158216392986676</v>
      </c>
    </row>
    <row r="61" spans="1:36" x14ac:dyDescent="0.25">
      <c r="A61" s="701" t="s">
        <v>140</v>
      </c>
      <c r="B61" s="564" t="s">
        <v>141</v>
      </c>
      <c r="C61" s="702" t="s">
        <v>267</v>
      </c>
      <c r="D61" s="747">
        <f>'Administration LASER'!D60+'Other Oper Exp. LASER'!D60</f>
        <v>537677.78468757053</v>
      </c>
      <c r="E61" s="748">
        <f>'Administration LASER'!E60+'Other Oper Exp. LASER'!E60</f>
        <v>207360.3053124295</v>
      </c>
      <c r="F61" s="748">
        <f>'Administration LASER'!K60+'Other Oper Exp. LASER'!K60</f>
        <v>498252.41999999993</v>
      </c>
      <c r="G61" s="749">
        <f>'Administration LASER'!I60+'Other Oper Exp. LASER'!I60</f>
        <v>1243290.51</v>
      </c>
      <c r="H61" s="747">
        <f>'Client Services LASER'!D60</f>
        <v>29925.442425721973</v>
      </c>
      <c r="I61" s="748">
        <f>'Client Services LASER'!E60</f>
        <v>12023.09757427803</v>
      </c>
      <c r="J61" s="748">
        <f>'Client Services LASER'!K60</f>
        <v>5963.15</v>
      </c>
      <c r="K61" s="749">
        <f>'Client Services LASER'!I60</f>
        <v>47911.69</v>
      </c>
      <c r="L61" s="2207">
        <f>'Statewide Benefits'!D61</f>
        <v>9074303.6279154494</v>
      </c>
      <c r="M61" s="2208">
        <f>'Statewide Benefits'!E61</f>
        <v>8933479.6435232684</v>
      </c>
      <c r="N61" s="2208">
        <f>'Statewide Benefits'!I61</f>
        <v>1160072.53</v>
      </c>
      <c r="O61" s="2209">
        <f t="shared" si="18"/>
        <v>19167855.801438719</v>
      </c>
      <c r="P61" s="2207">
        <f>'Other Benefits LASER'!D60+'FC &amp; Adoptions LASER'!D60</f>
        <v>377219.14</v>
      </c>
      <c r="Q61" s="2208">
        <f>'Other Benefits LASER'!E60 + 'FC &amp; Adoptions LASER'!E60</f>
        <v>582731.08000000007</v>
      </c>
      <c r="R61" s="2208">
        <f>'Other Benefits LASER'!H60 + 'FC &amp; Adoptions LASER'!H60</f>
        <v>5733.04</v>
      </c>
      <c r="S61" s="2209">
        <f t="shared" si="13"/>
        <v>965683.26000000013</v>
      </c>
      <c r="T61" s="2207">
        <f t="shared" si="14"/>
        <v>10019125.995028742</v>
      </c>
      <c r="U61" s="2208">
        <f t="shared" si="15"/>
        <v>9735594.1264099758</v>
      </c>
      <c r="V61" s="2208">
        <f t="shared" si="16"/>
        <v>1670021.1400000001</v>
      </c>
      <c r="W61" s="2209">
        <f t="shared" si="17"/>
        <v>21424741.26143872</v>
      </c>
      <c r="Y61" s="594">
        <f t="shared" si="19"/>
        <v>0.43246351545590944</v>
      </c>
      <c r="Z61" s="595">
        <f t="shared" si="20"/>
        <v>0.16678346986854223</v>
      </c>
      <c r="AA61" s="595">
        <f t="shared" si="21"/>
        <v>0.4007530146755483</v>
      </c>
      <c r="AB61" s="596">
        <f t="shared" si="6"/>
        <v>0.59924698532445175</v>
      </c>
      <c r="AD61" s="1231">
        <f t="shared" si="7"/>
        <v>5.8030596254515059E-2</v>
      </c>
      <c r="AE61" s="1189">
        <f t="shared" si="8"/>
        <v>2.2362785816337381E-3</v>
      </c>
      <c r="AF61" s="1233">
        <f t="shared" si="9"/>
        <v>0.93973312516385121</v>
      </c>
      <c r="AH61" s="1231">
        <f t="shared" si="10"/>
        <v>0.29835096578478038</v>
      </c>
      <c r="AI61" s="1189">
        <f t="shared" si="11"/>
        <v>3.5707033025941214E-3</v>
      </c>
      <c r="AJ61" s="1233">
        <f t="shared" si="12"/>
        <v>0.69807833091262539</v>
      </c>
    </row>
    <row r="62" spans="1:36" x14ac:dyDescent="0.25">
      <c r="A62" s="701" t="s">
        <v>146</v>
      </c>
      <c r="B62" s="564" t="s">
        <v>147</v>
      </c>
      <c r="C62" s="702" t="s">
        <v>264</v>
      </c>
      <c r="D62" s="747">
        <f>'Administration LASER'!D61+'Other Oper Exp. LASER'!D61</f>
        <v>448220.10518096236</v>
      </c>
      <c r="E62" s="748">
        <f>'Administration LASER'!E61+'Other Oper Exp. LASER'!E61</f>
        <v>172722.52481903764</v>
      </c>
      <c r="F62" s="748">
        <f>'Administration LASER'!K61+'Other Oper Exp. LASER'!K61</f>
        <v>355823.75</v>
      </c>
      <c r="G62" s="749">
        <f>'Administration LASER'!I61+'Other Oper Exp. LASER'!I61</f>
        <v>976766.38</v>
      </c>
      <c r="H62" s="747">
        <f>'Client Services LASER'!D61</f>
        <v>66692.445540273868</v>
      </c>
      <c r="I62" s="748">
        <f>'Client Services LASER'!E61</f>
        <v>6564.664459726132</v>
      </c>
      <c r="J62" s="748">
        <f>'Client Services LASER'!K61</f>
        <v>18983.810000000001</v>
      </c>
      <c r="K62" s="749">
        <f>'Client Services LASER'!I61</f>
        <v>92240.92</v>
      </c>
      <c r="L62" s="2207">
        <f>'Statewide Benefits'!D62</f>
        <v>7144212.9586734902</v>
      </c>
      <c r="M62" s="2208">
        <f>'Statewide Benefits'!E62</f>
        <v>5950827.8034775415</v>
      </c>
      <c r="N62" s="2208">
        <f>'Statewide Benefits'!I62</f>
        <v>49883.57</v>
      </c>
      <c r="O62" s="2209">
        <f t="shared" si="18"/>
        <v>13144924.332151033</v>
      </c>
      <c r="P62" s="2207">
        <f>'Other Benefits LASER'!D61+'FC &amp; Adoptions LASER'!D61</f>
        <v>158664.98000000001</v>
      </c>
      <c r="Q62" s="2208">
        <f>'Other Benefits LASER'!E61 + 'FC &amp; Adoptions LASER'!E61</f>
        <v>205542.54</v>
      </c>
      <c r="R62" s="2208">
        <f>'Other Benefits LASER'!H61 + 'FC &amp; Adoptions LASER'!H61</f>
        <v>1776.96</v>
      </c>
      <c r="S62" s="2209">
        <f t="shared" si="13"/>
        <v>365984.48000000004</v>
      </c>
      <c r="T62" s="2207">
        <f t="shared" si="14"/>
        <v>7817790.4893947272</v>
      </c>
      <c r="U62" s="2208">
        <f t="shared" si="15"/>
        <v>6335657.5327563053</v>
      </c>
      <c r="V62" s="2208">
        <f t="shared" si="16"/>
        <v>426468.09</v>
      </c>
      <c r="W62" s="2209">
        <f t="shared" si="17"/>
        <v>14579916.112151034</v>
      </c>
      <c r="Y62" s="594">
        <f t="shared" si="19"/>
        <v>0.45888158556497649</v>
      </c>
      <c r="Z62" s="595">
        <f t="shared" si="20"/>
        <v>0.17683094786599601</v>
      </c>
      <c r="AA62" s="595">
        <f t="shared" si="21"/>
        <v>0.3642874665690275</v>
      </c>
      <c r="AB62" s="596">
        <f t="shared" si="6"/>
        <v>0.63571253343097256</v>
      </c>
      <c r="AD62" s="1231">
        <f t="shared" si="7"/>
        <v>6.6993964333303263E-2</v>
      </c>
      <c r="AE62" s="1189">
        <f t="shared" si="8"/>
        <v>6.3265741236416019E-3</v>
      </c>
      <c r="AF62" s="1233">
        <f t="shared" si="9"/>
        <v>0.92667946154305503</v>
      </c>
      <c r="AH62" s="1231">
        <f t="shared" si="10"/>
        <v>0.83435023239370609</v>
      </c>
      <c r="AI62" s="1189">
        <f t="shared" si="11"/>
        <v>4.4514022139382103E-2</v>
      </c>
      <c r="AJ62" s="1233">
        <f t="shared" si="12"/>
        <v>0.12113574546691171</v>
      </c>
    </row>
    <row r="63" spans="1:36" x14ac:dyDescent="0.25">
      <c r="A63" s="701" t="s">
        <v>148</v>
      </c>
      <c r="B63" s="564" t="s">
        <v>149</v>
      </c>
      <c r="C63" s="702" t="s">
        <v>265</v>
      </c>
      <c r="D63" s="747">
        <f>'Administration LASER'!D62+'Other Oper Exp. LASER'!D62</f>
        <v>1194641.164862707</v>
      </c>
      <c r="E63" s="748">
        <f>'Administration LASER'!E62+'Other Oper Exp. LASER'!E62</f>
        <v>551350.90513729269</v>
      </c>
      <c r="F63" s="748">
        <f>'Administration LASER'!K62+'Other Oper Exp. LASER'!K62</f>
        <v>967462.53</v>
      </c>
      <c r="G63" s="749">
        <f>'Administration LASER'!I62+'Other Oper Exp. LASER'!I62</f>
        <v>2713454.5999999996</v>
      </c>
      <c r="H63" s="747">
        <f>'Client Services LASER'!D62</f>
        <v>30424.108625853256</v>
      </c>
      <c r="I63" s="748">
        <f>'Client Services LASER'!E62</f>
        <v>19059.491374146743</v>
      </c>
      <c r="J63" s="748">
        <f>'Client Services LASER'!K62</f>
        <v>9076.7999999999993</v>
      </c>
      <c r="K63" s="749">
        <f>'Client Services LASER'!I62</f>
        <v>58560.399999999994</v>
      </c>
      <c r="L63" s="2207">
        <f>'Statewide Benefits'!D63</f>
        <v>31434007.964890022</v>
      </c>
      <c r="M63" s="2208">
        <f>'Statewide Benefits'!E63</f>
        <v>24757515.78205898</v>
      </c>
      <c r="N63" s="2208">
        <f>'Statewide Benefits'!I63</f>
        <v>508694.12000000005</v>
      </c>
      <c r="O63" s="2209">
        <f t="shared" si="18"/>
        <v>56700217.866948999</v>
      </c>
      <c r="P63" s="2207">
        <f>'Other Benefits LASER'!D62+'FC &amp; Adoptions LASER'!D62</f>
        <v>203723.11</v>
      </c>
      <c r="Q63" s="2208">
        <f>'Other Benefits LASER'!E62 + 'FC &amp; Adoptions LASER'!E62</f>
        <v>404245.13</v>
      </c>
      <c r="R63" s="2208">
        <f>'Other Benefits LASER'!H62 + 'FC &amp; Adoptions LASER'!H62</f>
        <v>47499.91</v>
      </c>
      <c r="S63" s="2209">
        <f t="shared" si="13"/>
        <v>655468.15</v>
      </c>
      <c r="T63" s="2207">
        <f t="shared" si="14"/>
        <v>32862796.34837858</v>
      </c>
      <c r="U63" s="2208">
        <f t="shared" si="15"/>
        <v>25732171.308570419</v>
      </c>
      <c r="V63" s="2208">
        <f t="shared" si="16"/>
        <v>1532733.36</v>
      </c>
      <c r="W63" s="2209">
        <f t="shared" si="17"/>
        <v>60127701.016948998</v>
      </c>
      <c r="Y63" s="594">
        <f t="shared" si="19"/>
        <v>0.44026576485293217</v>
      </c>
      <c r="Z63" s="595">
        <f t="shared" si="20"/>
        <v>0.20319149807676634</v>
      </c>
      <c r="AA63" s="595">
        <f t="shared" si="21"/>
        <v>0.35654273707030149</v>
      </c>
      <c r="AB63" s="596">
        <f t="shared" si="6"/>
        <v>0.64345726292969863</v>
      </c>
      <c r="AD63" s="1231">
        <f t="shared" si="7"/>
        <v>4.5128194727337437E-2</v>
      </c>
      <c r="AE63" s="1189">
        <f t="shared" si="8"/>
        <v>9.7393379440023479E-4</v>
      </c>
      <c r="AF63" s="1233">
        <f t="shared" si="9"/>
        <v>0.95389787147826233</v>
      </c>
      <c r="AH63" s="1231">
        <f t="shared" si="10"/>
        <v>0.63120080455481176</v>
      </c>
      <c r="AI63" s="1189">
        <f t="shared" si="11"/>
        <v>5.9219693632818161E-3</v>
      </c>
      <c r="AJ63" s="1233">
        <f t="shared" si="12"/>
        <v>0.36287722608190637</v>
      </c>
    </row>
    <row r="64" spans="1:36" x14ac:dyDescent="0.25">
      <c r="A64" s="701" t="s">
        <v>150</v>
      </c>
      <c r="B64" s="564" t="s">
        <v>151</v>
      </c>
      <c r="C64" s="702" t="s">
        <v>266</v>
      </c>
      <c r="D64" s="747">
        <f>'Administration LASER'!D63+'Other Oper Exp. LASER'!D63</f>
        <v>435009.29348301247</v>
      </c>
      <c r="E64" s="748">
        <f>'Administration LASER'!E63+'Other Oper Exp. LASER'!E63</f>
        <v>206097.78651698749</v>
      </c>
      <c r="F64" s="748">
        <f>'Administration LASER'!K63+'Other Oper Exp. LASER'!K63</f>
        <v>249345.79</v>
      </c>
      <c r="G64" s="749">
        <f>'Administration LASER'!I63+'Other Oper Exp. LASER'!I63</f>
        <v>890452.87</v>
      </c>
      <c r="H64" s="747">
        <f>'Client Services LASER'!D63</f>
        <v>47105.447984587241</v>
      </c>
      <c r="I64" s="748">
        <f>'Client Services LASER'!E63</f>
        <v>40742.442015412758</v>
      </c>
      <c r="J64" s="748">
        <f>'Client Services LASER'!K63</f>
        <v>18038.379999999997</v>
      </c>
      <c r="K64" s="749">
        <f>'Client Services LASER'!I63</f>
        <v>105886.27</v>
      </c>
      <c r="L64" s="2207">
        <f>'Statewide Benefits'!D64</f>
        <v>9946200.4611794706</v>
      </c>
      <c r="M64" s="2208">
        <f>'Statewide Benefits'!E64</f>
        <v>7687102.6319688754</v>
      </c>
      <c r="N64" s="2208">
        <f>'Statewide Benefits'!I64</f>
        <v>233893.89</v>
      </c>
      <c r="O64" s="2209">
        <f t="shared" si="18"/>
        <v>17867196.983148348</v>
      </c>
      <c r="P64" s="2207">
        <f>'Other Benefits LASER'!D63+'FC &amp; Adoptions LASER'!D63</f>
        <v>140080.9</v>
      </c>
      <c r="Q64" s="2208">
        <f>'Other Benefits LASER'!E63 + 'FC &amp; Adoptions LASER'!E63</f>
        <v>246088.06999999998</v>
      </c>
      <c r="R64" s="2208">
        <f>'Other Benefits LASER'!H63 + 'FC &amp; Adoptions LASER'!H63</f>
        <v>6241.4500000000007</v>
      </c>
      <c r="S64" s="2209">
        <f t="shared" si="13"/>
        <v>392410.42</v>
      </c>
      <c r="T64" s="2207">
        <f t="shared" si="14"/>
        <v>10568396.10264707</v>
      </c>
      <c r="U64" s="2208">
        <f t="shared" si="15"/>
        <v>8180030.9305012757</v>
      </c>
      <c r="V64" s="2208">
        <f t="shared" si="16"/>
        <v>507519.51</v>
      </c>
      <c r="W64" s="2209">
        <f t="shared" si="17"/>
        <v>19255946.54314835</v>
      </c>
      <c r="Y64" s="594">
        <f t="shared" si="19"/>
        <v>0.48852590422108749</v>
      </c>
      <c r="Z64" s="595">
        <f t="shared" si="20"/>
        <v>0.23145277359484223</v>
      </c>
      <c r="AA64" s="595">
        <f t="shared" si="21"/>
        <v>0.28002132218407022</v>
      </c>
      <c r="AB64" s="596">
        <f t="shared" si="6"/>
        <v>0.71997867781592972</v>
      </c>
      <c r="AD64" s="1231">
        <f t="shared" si="7"/>
        <v>4.6243006959158853E-2</v>
      </c>
      <c r="AE64" s="1189">
        <f t="shared" si="8"/>
        <v>5.4988867861017433E-3</v>
      </c>
      <c r="AF64" s="1233">
        <f t="shared" si="9"/>
        <v>0.94825810625473939</v>
      </c>
      <c r="AH64" s="1231">
        <f t="shared" si="10"/>
        <v>0.49130286636665454</v>
      </c>
      <c r="AI64" s="1189">
        <f t="shared" si="11"/>
        <v>3.5542239548584049E-2</v>
      </c>
      <c r="AJ64" s="1233">
        <f t="shared" si="12"/>
        <v>0.47315489408476141</v>
      </c>
    </row>
    <row r="65" spans="1:36" x14ac:dyDescent="0.25">
      <c r="A65" s="701" t="s">
        <v>152</v>
      </c>
      <c r="B65" s="564" t="s">
        <v>153</v>
      </c>
      <c r="C65" s="702" t="s">
        <v>268</v>
      </c>
      <c r="D65" s="747">
        <f>'Administration LASER'!D64+'Other Oper Exp. LASER'!D64</f>
        <v>2250948.2778973295</v>
      </c>
      <c r="E65" s="748">
        <f>'Administration LASER'!E64+'Other Oper Exp. LASER'!E64</f>
        <v>1025317.132102671</v>
      </c>
      <c r="F65" s="748">
        <f>'Administration LASER'!K64+'Other Oper Exp. LASER'!K64</f>
        <v>1269001.3599999999</v>
      </c>
      <c r="G65" s="749">
        <f>'Administration LASER'!I64+'Other Oper Exp. LASER'!I64</f>
        <v>4545266.7700000005</v>
      </c>
      <c r="H65" s="747">
        <f>'Client Services LASER'!D64</f>
        <v>79137.225341918718</v>
      </c>
      <c r="I65" s="748">
        <f>'Client Services LASER'!E64</f>
        <v>42052.194658081287</v>
      </c>
      <c r="J65" s="748">
        <f>'Client Services LASER'!K64</f>
        <v>22405.57</v>
      </c>
      <c r="K65" s="749">
        <f>'Client Services LASER'!I64</f>
        <v>143594.99</v>
      </c>
      <c r="L65" s="2207">
        <f>'Statewide Benefits'!D65</f>
        <v>44867238.679373935</v>
      </c>
      <c r="M65" s="2208">
        <f>'Statewide Benefits'!E65</f>
        <v>33866357.042106338</v>
      </c>
      <c r="N65" s="2208">
        <f>'Statewide Benefits'!I65</f>
        <v>181768</v>
      </c>
      <c r="O65" s="2209">
        <f t="shared" si="18"/>
        <v>78915363.72148028</v>
      </c>
      <c r="P65" s="2207">
        <f>'Other Benefits LASER'!D64+'FC &amp; Adoptions LASER'!D64</f>
        <v>557924.08000000007</v>
      </c>
      <c r="Q65" s="2208">
        <f>'Other Benefits LASER'!E64 + 'FC &amp; Adoptions LASER'!E64</f>
        <v>855033.63000000012</v>
      </c>
      <c r="R65" s="2208">
        <f>'Other Benefits LASER'!H64 + 'FC &amp; Adoptions LASER'!H64</f>
        <v>35062.639999999999</v>
      </c>
      <c r="S65" s="2209">
        <f t="shared" si="13"/>
        <v>1448020.35</v>
      </c>
      <c r="T65" s="2207">
        <f t="shared" si="14"/>
        <v>47755248.262613185</v>
      </c>
      <c r="U65" s="2208">
        <f t="shared" si="15"/>
        <v>35788759.998867095</v>
      </c>
      <c r="V65" s="2208">
        <f t="shared" si="16"/>
        <v>1508237.5699999998</v>
      </c>
      <c r="W65" s="2209">
        <f t="shared" si="17"/>
        <v>85052245.83148028</v>
      </c>
      <c r="Y65" s="594">
        <f t="shared" si="19"/>
        <v>0.49522907934781774</v>
      </c>
      <c r="Z65" s="595">
        <f t="shared" si="20"/>
        <v>0.22557908787005496</v>
      </c>
      <c r="AA65" s="595">
        <f t="shared" si="21"/>
        <v>0.27919183278212728</v>
      </c>
      <c r="AB65" s="596">
        <f t="shared" si="6"/>
        <v>0.72080816721787278</v>
      </c>
      <c r="AD65" s="1231">
        <f t="shared" si="7"/>
        <v>5.3440878904077879E-2</v>
      </c>
      <c r="AE65" s="1189">
        <f t="shared" si="8"/>
        <v>1.6883150891102202E-3</v>
      </c>
      <c r="AF65" s="1233">
        <f t="shared" si="9"/>
        <v>0.94487080600681184</v>
      </c>
      <c r="AH65" s="1231">
        <f t="shared" si="10"/>
        <v>0.84138028732436365</v>
      </c>
      <c r="AI65" s="1189">
        <f t="shared" si="11"/>
        <v>1.4855464713029263E-2</v>
      </c>
      <c r="AJ65" s="1233">
        <f t="shared" si="12"/>
        <v>0.14376424796260714</v>
      </c>
    </row>
    <row r="66" spans="1:36" x14ac:dyDescent="0.25">
      <c r="A66" s="701" t="s">
        <v>154</v>
      </c>
      <c r="B66" s="564" t="s">
        <v>155</v>
      </c>
      <c r="C66" s="702" t="s">
        <v>265</v>
      </c>
      <c r="D66" s="747">
        <f>'Administration LASER'!D65+'Other Oper Exp. LASER'!D65</f>
        <v>484023.95405911427</v>
      </c>
      <c r="E66" s="748">
        <f>'Administration LASER'!E65+'Other Oper Exp. LASER'!E65</f>
        <v>239203.32594088578</v>
      </c>
      <c r="F66" s="748">
        <f>'Administration LASER'!K65+'Other Oper Exp. LASER'!K65</f>
        <v>225840.16999999998</v>
      </c>
      <c r="G66" s="749">
        <f>'Administration LASER'!I65+'Other Oper Exp. LASER'!I65</f>
        <v>949067.45</v>
      </c>
      <c r="H66" s="747">
        <f>'Client Services LASER'!D65</f>
        <v>10356.743067129337</v>
      </c>
      <c r="I66" s="748">
        <f>'Client Services LASER'!E65</f>
        <v>4441.5469328706622</v>
      </c>
      <c r="J66" s="748">
        <f>'Client Services LASER'!K65</f>
        <v>3022.72</v>
      </c>
      <c r="K66" s="749">
        <f>'Client Services LASER'!I65</f>
        <v>17821.010000000002</v>
      </c>
      <c r="L66" s="2207">
        <f>'Statewide Benefits'!D66</f>
        <v>13070598.977989709</v>
      </c>
      <c r="M66" s="2208">
        <f>'Statewide Benefits'!E66</f>
        <v>10469325.760008449</v>
      </c>
      <c r="N66" s="2208">
        <f>'Statewide Benefits'!I66</f>
        <v>345754.93</v>
      </c>
      <c r="O66" s="2209">
        <f t="shared" si="18"/>
        <v>23885679.667998157</v>
      </c>
      <c r="P66" s="2207">
        <f>'Other Benefits LASER'!D65+'FC &amp; Adoptions LASER'!D65</f>
        <v>89056.920000000013</v>
      </c>
      <c r="Q66" s="2208">
        <f>'Other Benefits LASER'!E65 + 'FC &amp; Adoptions LASER'!E65</f>
        <v>172115.32</v>
      </c>
      <c r="R66" s="2208">
        <f>'Other Benefits LASER'!H65 + 'FC &amp; Adoptions LASER'!H65</f>
        <v>17700.59</v>
      </c>
      <c r="S66" s="2209">
        <f t="shared" si="13"/>
        <v>278872.83</v>
      </c>
      <c r="T66" s="2207">
        <f t="shared" si="14"/>
        <v>13654036.595115952</v>
      </c>
      <c r="U66" s="2208">
        <f t="shared" si="15"/>
        <v>10885085.952882206</v>
      </c>
      <c r="V66" s="2208">
        <f t="shared" si="16"/>
        <v>592318.40999999992</v>
      </c>
      <c r="W66" s="2209">
        <f t="shared" si="17"/>
        <v>25131440.957998157</v>
      </c>
      <c r="Y66" s="594">
        <f t="shared" si="19"/>
        <v>0.50999953065413239</v>
      </c>
      <c r="Z66" s="595">
        <f t="shared" si="20"/>
        <v>0.25204038547617008</v>
      </c>
      <c r="AA66" s="595">
        <f t="shared" si="21"/>
        <v>0.23796008386969755</v>
      </c>
      <c r="AB66" s="596">
        <f t="shared" si="6"/>
        <v>0.76203991613030253</v>
      </c>
      <c r="AD66" s="1231">
        <f t="shared" si="7"/>
        <v>3.7764147769567366E-2</v>
      </c>
      <c r="AE66" s="1189">
        <f t="shared" si="8"/>
        <v>7.0911214481429936E-4</v>
      </c>
      <c r="AF66" s="1233">
        <f t="shared" si="9"/>
        <v>0.96152674008561834</v>
      </c>
      <c r="AH66" s="1231">
        <f t="shared" si="10"/>
        <v>0.38128169948322221</v>
      </c>
      <c r="AI66" s="1189">
        <f t="shared" si="11"/>
        <v>5.1032011650625556E-3</v>
      </c>
      <c r="AJ66" s="1233">
        <f t="shared" si="12"/>
        <v>0.61361509935171532</v>
      </c>
    </row>
    <row r="67" spans="1:36" x14ac:dyDescent="0.25">
      <c r="A67" s="701" t="s">
        <v>156</v>
      </c>
      <c r="B67" s="564" t="s">
        <v>157</v>
      </c>
      <c r="C67" s="702" t="s">
        <v>266</v>
      </c>
      <c r="D67" s="747">
        <f>'Administration LASER'!D66+'Other Oper Exp. LASER'!D66</f>
        <v>521790.51686099946</v>
      </c>
      <c r="E67" s="748">
        <f>'Administration LASER'!E66+'Other Oper Exp. LASER'!E66</f>
        <v>209721.58313900055</v>
      </c>
      <c r="F67" s="748">
        <f>'Administration LASER'!K66+'Other Oper Exp. LASER'!K66</f>
        <v>371446.73</v>
      </c>
      <c r="G67" s="749">
        <f>'Administration LASER'!I66+'Other Oper Exp. LASER'!I66</f>
        <v>1102958.83</v>
      </c>
      <c r="H67" s="747">
        <f>'Client Services LASER'!D66</f>
        <v>14213.627337015432</v>
      </c>
      <c r="I67" s="748">
        <f>'Client Services LASER'!E66</f>
        <v>10189.172662984567</v>
      </c>
      <c r="J67" s="748">
        <f>'Client Services LASER'!K66</f>
        <v>4669.0199999999995</v>
      </c>
      <c r="K67" s="749">
        <f>'Client Services LASER'!I66</f>
        <v>29071.82</v>
      </c>
      <c r="L67" s="2207">
        <f>'Statewide Benefits'!D67</f>
        <v>8615704.6314464211</v>
      </c>
      <c r="M67" s="2208">
        <f>'Statewide Benefits'!E67</f>
        <v>6949597.1210573623</v>
      </c>
      <c r="N67" s="2208">
        <f>'Statewide Benefits'!I67</f>
        <v>538318.27</v>
      </c>
      <c r="O67" s="2209">
        <f t="shared" si="18"/>
        <v>16103620.022503782</v>
      </c>
      <c r="P67" s="2207">
        <f>'Other Benefits LASER'!D66+'FC &amp; Adoptions LASER'!D66</f>
        <v>63139.119999999995</v>
      </c>
      <c r="Q67" s="2208">
        <f>'Other Benefits LASER'!E66 + 'FC &amp; Adoptions LASER'!E66</f>
        <v>90964.489999999991</v>
      </c>
      <c r="R67" s="2208">
        <f>'Other Benefits LASER'!H66 + 'FC &amp; Adoptions LASER'!H66</f>
        <v>3033.5899999999997</v>
      </c>
      <c r="S67" s="2209">
        <f t="shared" si="13"/>
        <v>157137.19999999998</v>
      </c>
      <c r="T67" s="2207">
        <f t="shared" si="14"/>
        <v>9214847.8956444357</v>
      </c>
      <c r="U67" s="2208">
        <f t="shared" si="15"/>
        <v>7260472.3668593476</v>
      </c>
      <c r="V67" s="2208">
        <f t="shared" si="16"/>
        <v>917467.61</v>
      </c>
      <c r="W67" s="2209">
        <f t="shared" si="17"/>
        <v>17392787.87250378</v>
      </c>
      <c r="Y67" s="594">
        <f t="shared" si="19"/>
        <v>0.47308249652527778</v>
      </c>
      <c r="Z67" s="595">
        <f t="shared" si="20"/>
        <v>0.19014452528477471</v>
      </c>
      <c r="AA67" s="595">
        <f t="shared" si="21"/>
        <v>0.33677297818994745</v>
      </c>
      <c r="AB67" s="596">
        <f t="shared" si="6"/>
        <v>0.66322702181005244</v>
      </c>
      <c r="AD67" s="1231">
        <f t="shared" si="7"/>
        <v>6.3414723279852411E-2</v>
      </c>
      <c r="AE67" s="1189">
        <f t="shared" si="8"/>
        <v>1.6714870676919815E-3</v>
      </c>
      <c r="AF67" s="1233">
        <f t="shared" si="9"/>
        <v>0.93491378965245575</v>
      </c>
      <c r="AH67" s="1231">
        <f t="shared" si="10"/>
        <v>0.40486086478845829</v>
      </c>
      <c r="AI67" s="1189">
        <f t="shared" si="11"/>
        <v>5.0890297914713304E-3</v>
      </c>
      <c r="AJ67" s="1233">
        <f t="shared" si="12"/>
        <v>0.5900501054200703</v>
      </c>
    </row>
    <row r="68" spans="1:36" x14ac:dyDescent="0.25">
      <c r="A68" s="701" t="s">
        <v>162</v>
      </c>
      <c r="B68" s="564" t="s">
        <v>163</v>
      </c>
      <c r="C68" s="702" t="s">
        <v>264</v>
      </c>
      <c r="D68" s="747">
        <f>'Administration LASER'!D67+'Other Oper Exp. LASER'!D67</f>
        <v>1139626.5799495419</v>
      </c>
      <c r="E68" s="748">
        <f>'Administration LASER'!E67+'Other Oper Exp. LASER'!E67</f>
        <v>529521.04005045816</v>
      </c>
      <c r="F68" s="748">
        <f>'Administration LASER'!K67+'Other Oper Exp. LASER'!K67</f>
        <v>616554.03</v>
      </c>
      <c r="G68" s="749">
        <f>'Administration LASER'!I67+'Other Oper Exp. LASER'!I67</f>
        <v>2285701.65</v>
      </c>
      <c r="H68" s="747">
        <f>'Client Services LASER'!D67</f>
        <v>48485.682842476192</v>
      </c>
      <c r="I68" s="748">
        <f>'Client Services LASER'!E67</f>
        <v>15055.527157523811</v>
      </c>
      <c r="J68" s="748">
        <f>'Client Services LASER'!K67</f>
        <v>13186.900000000001</v>
      </c>
      <c r="K68" s="749">
        <f>'Client Services LASER'!I67</f>
        <v>76728.11</v>
      </c>
      <c r="L68" s="2207">
        <f>'Statewide Benefits'!D68</f>
        <v>18746322.682105202</v>
      </c>
      <c r="M68" s="2208">
        <f>'Statewide Benefits'!E68</f>
        <v>14843584.857300328</v>
      </c>
      <c r="N68" s="2208">
        <f>'Statewide Benefits'!I68</f>
        <v>113071.59999999999</v>
      </c>
      <c r="O68" s="2209">
        <f t="shared" si="18"/>
        <v>33702979.139405534</v>
      </c>
      <c r="P68" s="2207">
        <f>'Other Benefits LASER'!D67+'FC &amp; Adoptions LASER'!D67</f>
        <v>24546.720000000001</v>
      </c>
      <c r="Q68" s="2208">
        <f>'Other Benefits LASER'!E67 + 'FC &amp; Adoptions LASER'!E67</f>
        <v>108627.52</v>
      </c>
      <c r="R68" s="2208">
        <f>'Other Benefits LASER'!H67 + 'FC &amp; Adoptions LASER'!H67</f>
        <v>21020.15</v>
      </c>
      <c r="S68" s="2209">
        <f t="shared" si="13"/>
        <v>154194.38999999998</v>
      </c>
      <c r="T68" s="2207">
        <f t="shared" si="14"/>
        <v>19958981.664897218</v>
      </c>
      <c r="U68" s="2208">
        <f t="shared" si="15"/>
        <v>15496788.94450831</v>
      </c>
      <c r="V68" s="2208">
        <f t="shared" si="16"/>
        <v>763832.68</v>
      </c>
      <c r="W68" s="2209">
        <f t="shared" si="17"/>
        <v>36219603.289405532</v>
      </c>
      <c r="Y68" s="594">
        <f t="shared" si="19"/>
        <v>0.49858938499236855</v>
      </c>
      <c r="Z68" s="595">
        <f t="shared" si="20"/>
        <v>0.23166673570474877</v>
      </c>
      <c r="AA68" s="595">
        <f t="shared" si="21"/>
        <v>0.26974387930288279</v>
      </c>
      <c r="AB68" s="596">
        <f t="shared" si="6"/>
        <v>0.73025612069711732</v>
      </c>
      <c r="AD68" s="1231">
        <f t="shared" si="7"/>
        <v>6.3106755525082811E-2</v>
      </c>
      <c r="AE68" s="1189">
        <f t="shared" si="8"/>
        <v>2.1184138707130307E-3</v>
      </c>
      <c r="AF68" s="1233">
        <f t="shared" si="9"/>
        <v>0.93477483060420419</v>
      </c>
      <c r="AH68" s="1231">
        <f t="shared" si="10"/>
        <v>0.80718467033905905</v>
      </c>
      <c r="AI68" s="1189">
        <f t="shared" si="11"/>
        <v>1.7264121247077307E-2</v>
      </c>
      <c r="AJ68" s="1233">
        <f t="shared" si="12"/>
        <v>0.17555120841386362</v>
      </c>
    </row>
    <row r="69" spans="1:36" x14ac:dyDescent="0.25">
      <c r="A69" s="701" t="s">
        <v>164</v>
      </c>
      <c r="B69" s="564" t="s">
        <v>165</v>
      </c>
      <c r="C69" s="702" t="s">
        <v>266</v>
      </c>
      <c r="D69" s="747">
        <f>'Administration LASER'!D68+'Other Oper Exp. LASER'!D68</f>
        <v>564797.9315365057</v>
      </c>
      <c r="E69" s="748">
        <f>'Administration LASER'!E68+'Other Oper Exp. LASER'!E68</f>
        <v>215300.28846349427</v>
      </c>
      <c r="F69" s="748">
        <f>'Administration LASER'!K68+'Other Oper Exp. LASER'!K68</f>
        <v>391278.31000000006</v>
      </c>
      <c r="G69" s="749">
        <f>'Administration LASER'!I68+'Other Oper Exp. LASER'!I68</f>
        <v>1171376.5299999998</v>
      </c>
      <c r="H69" s="747">
        <f>'Client Services LASER'!D68</f>
        <v>26339.988456167346</v>
      </c>
      <c r="I69" s="748">
        <f>'Client Services LASER'!E68</f>
        <v>8217.3315438326554</v>
      </c>
      <c r="J69" s="748">
        <f>'Client Services LASER'!K68</f>
        <v>6759.9800000000005</v>
      </c>
      <c r="K69" s="749">
        <f>'Client Services LASER'!I68</f>
        <v>41317.299999999996</v>
      </c>
      <c r="L69" s="2207">
        <f>'Statewide Benefits'!D69</f>
        <v>9150641.5959216151</v>
      </c>
      <c r="M69" s="2208">
        <f>'Statewide Benefits'!E69</f>
        <v>6675325.6809443608</v>
      </c>
      <c r="N69" s="2208">
        <f>'Statewide Benefits'!I69</f>
        <v>183332.02000000002</v>
      </c>
      <c r="O69" s="2209">
        <f t="shared" ref="O69:O100" si="22">SUM(L69:N69)</f>
        <v>16009299.296865975</v>
      </c>
      <c r="P69" s="2207">
        <f>'Other Benefits LASER'!D68+'FC &amp; Adoptions LASER'!D68</f>
        <v>163215.21</v>
      </c>
      <c r="Q69" s="2208">
        <f>'Other Benefits LASER'!E68 + 'FC &amp; Adoptions LASER'!E68</f>
        <v>250182.69</v>
      </c>
      <c r="R69" s="2208">
        <f>'Other Benefits LASER'!H68 + 'FC &amp; Adoptions LASER'!H68</f>
        <v>4035.1299999999997</v>
      </c>
      <c r="S69" s="2209">
        <f t="shared" si="13"/>
        <v>417433.03</v>
      </c>
      <c r="T69" s="2207">
        <f t="shared" si="14"/>
        <v>9904994.7259142883</v>
      </c>
      <c r="U69" s="2208">
        <f t="shared" si="15"/>
        <v>7149025.990951688</v>
      </c>
      <c r="V69" s="2208">
        <f t="shared" si="16"/>
        <v>585405.44000000006</v>
      </c>
      <c r="W69" s="2209">
        <f t="shared" si="17"/>
        <v>17639426.156865977</v>
      </c>
      <c r="Y69" s="594">
        <f t="shared" ref="Y69:Y100" si="23">D69/G69</f>
        <v>0.48216599622028095</v>
      </c>
      <c r="Z69" s="595">
        <f t="shared" ref="Z69:Z100" si="24">E69/G69</f>
        <v>0.18380109465185743</v>
      </c>
      <c r="AA69" s="595">
        <f t="shared" ref="AA69:AA100" si="25">F69/G69</f>
        <v>0.33403290912786182</v>
      </c>
      <c r="AB69" s="596">
        <f t="shared" si="6"/>
        <v>0.66596709087213835</v>
      </c>
      <c r="AD69" s="1231">
        <f t="shared" si="7"/>
        <v>6.6406725455978213E-2</v>
      </c>
      <c r="AE69" s="1189">
        <f t="shared" si="8"/>
        <v>2.3423267646333059E-3</v>
      </c>
      <c r="AF69" s="1233">
        <f t="shared" si="9"/>
        <v>0.93125094777938833</v>
      </c>
      <c r="AH69" s="1231">
        <f t="shared" si="10"/>
        <v>0.66838857869171842</v>
      </c>
      <c r="AI69" s="1189">
        <f t="shared" si="11"/>
        <v>1.1547518246499383E-2</v>
      </c>
      <c r="AJ69" s="1233">
        <f t="shared" si="12"/>
        <v>0.32006390306178228</v>
      </c>
    </row>
    <row r="70" spans="1:36" x14ac:dyDescent="0.25">
      <c r="A70" s="701" t="s">
        <v>168</v>
      </c>
      <c r="B70" s="564" t="s">
        <v>169</v>
      </c>
      <c r="C70" s="702" t="s">
        <v>266</v>
      </c>
      <c r="D70" s="747">
        <f>'Administration LASER'!D69+'Other Oper Exp. LASER'!D69</f>
        <v>693752.15054067527</v>
      </c>
      <c r="E70" s="748">
        <f>'Administration LASER'!E69+'Other Oper Exp. LASER'!E69</f>
        <v>335255.47945932474</v>
      </c>
      <c r="F70" s="748">
        <f>'Administration LASER'!K69+'Other Oper Exp. LASER'!K69</f>
        <v>292941.63</v>
      </c>
      <c r="G70" s="749">
        <f>'Administration LASER'!I69+'Other Oper Exp. LASER'!I69</f>
        <v>1321949.2599999998</v>
      </c>
      <c r="H70" s="747">
        <f>'Client Services LASER'!D69</f>
        <v>39028.978693476893</v>
      </c>
      <c r="I70" s="748">
        <f>'Client Services LASER'!E69</f>
        <v>53481.711306523095</v>
      </c>
      <c r="J70" s="748">
        <f>'Client Services LASER'!K69</f>
        <v>18081.309999999998</v>
      </c>
      <c r="K70" s="749">
        <f>'Client Services LASER'!I69</f>
        <v>110591.99999999999</v>
      </c>
      <c r="L70" s="2207">
        <f>'Statewide Benefits'!D70</f>
        <v>17371523.863729909</v>
      </c>
      <c r="M70" s="2208">
        <f>'Statewide Benefits'!E70</f>
        <v>12537318.179122396</v>
      </c>
      <c r="N70" s="2208">
        <f>'Statewide Benefits'!I70</f>
        <v>218601.61000000002</v>
      </c>
      <c r="O70" s="2209">
        <f t="shared" si="22"/>
        <v>30127443.652852304</v>
      </c>
      <c r="P70" s="2207">
        <f>'Other Benefits LASER'!D69+'FC &amp; Adoptions LASER'!D69</f>
        <v>35988.51</v>
      </c>
      <c r="Q70" s="2208">
        <f>'Other Benefits LASER'!E69 + 'FC &amp; Adoptions LASER'!E69</f>
        <v>133934.31</v>
      </c>
      <c r="R70" s="2208">
        <f>'Other Benefits LASER'!H69 + 'FC &amp; Adoptions LASER'!H69</f>
        <v>22833.190000000002</v>
      </c>
      <c r="S70" s="2209">
        <f t="shared" si="13"/>
        <v>192756.01</v>
      </c>
      <c r="T70" s="2207">
        <f t="shared" si="14"/>
        <v>18140293.502964064</v>
      </c>
      <c r="U70" s="2208">
        <f t="shared" si="15"/>
        <v>13059989.679888245</v>
      </c>
      <c r="V70" s="2208">
        <f t="shared" si="16"/>
        <v>552457.74</v>
      </c>
      <c r="W70" s="2209">
        <f t="shared" si="17"/>
        <v>31752740.922852304</v>
      </c>
      <c r="Y70" s="594">
        <f t="shared" si="23"/>
        <v>0.52479484011411703</v>
      </c>
      <c r="Z70" s="595">
        <f t="shared" si="24"/>
        <v>0.2536069194208897</v>
      </c>
      <c r="AA70" s="595">
        <f t="shared" si="25"/>
        <v>0.22159824046499338</v>
      </c>
      <c r="AB70" s="596">
        <f t="shared" ref="AB70:AB125" si="26">(D70+E70)/G70</f>
        <v>0.77840175953500679</v>
      </c>
      <c r="AD70" s="1231">
        <f t="shared" ref="AD70:AD125" si="27">G70/W70</f>
        <v>4.163260309438669E-2</v>
      </c>
      <c r="AE70" s="1189">
        <f t="shared" ref="AE70:AE125" si="28">K70/W70</f>
        <v>3.4829119246334865E-3</v>
      </c>
      <c r="AF70" s="1233">
        <f t="shared" ref="AF70:AF125" si="29">(O70+S70)/W70</f>
        <v>0.95488448498097989</v>
      </c>
      <c r="AH70" s="1231">
        <f t="shared" ref="AH70:AH125" si="30">F70/V70</f>
        <v>0.53025165327577817</v>
      </c>
      <c r="AI70" s="1189">
        <f t="shared" ref="AI70:AI125" si="31">J70/V70</f>
        <v>3.2728856328449664E-2</v>
      </c>
      <c r="AJ70" s="1233">
        <f t="shared" ref="AJ70:AJ125" si="32">(N70+R70)/V70</f>
        <v>0.4370194903957722</v>
      </c>
    </row>
    <row r="71" spans="1:36" x14ac:dyDescent="0.25">
      <c r="A71" s="701" t="s">
        <v>170</v>
      </c>
      <c r="B71" s="564" t="s">
        <v>171</v>
      </c>
      <c r="C71" s="702" t="s">
        <v>267</v>
      </c>
      <c r="D71" s="747">
        <f>'Administration LASER'!D70+'Other Oper Exp. LASER'!D70</f>
        <v>1007125.5434739183</v>
      </c>
      <c r="E71" s="748">
        <f>'Administration LASER'!E70+'Other Oper Exp. LASER'!E70</f>
        <v>370891.88652608171</v>
      </c>
      <c r="F71" s="748">
        <f>'Administration LASER'!K70+'Other Oper Exp. LASER'!K70</f>
        <v>777301.30999999994</v>
      </c>
      <c r="G71" s="749">
        <f>'Administration LASER'!I70+'Other Oper Exp. LASER'!I70</f>
        <v>2155318.7400000002</v>
      </c>
      <c r="H71" s="747">
        <f>'Client Services LASER'!D70</f>
        <v>40907.942676204235</v>
      </c>
      <c r="I71" s="748">
        <f>'Client Services LASER'!E70</f>
        <v>13429.787323795757</v>
      </c>
      <c r="J71" s="748">
        <f>'Client Services LASER'!K70</f>
        <v>18082.28</v>
      </c>
      <c r="K71" s="749">
        <f>'Client Services LASER'!I70</f>
        <v>72420.00999999998</v>
      </c>
      <c r="L71" s="2207">
        <f>'Statewide Benefits'!D71</f>
        <v>23020013.905074105</v>
      </c>
      <c r="M71" s="2208">
        <f>'Statewide Benefits'!E71</f>
        <v>19478493.241848316</v>
      </c>
      <c r="N71" s="2208">
        <f>'Statewide Benefits'!I71</f>
        <v>1343144.3199999998</v>
      </c>
      <c r="O71" s="2209">
        <f t="shared" si="22"/>
        <v>43841651.466922425</v>
      </c>
      <c r="P71" s="2207">
        <f>'Other Benefits LASER'!D70+'FC &amp; Adoptions LASER'!D70</f>
        <v>370050.51000000007</v>
      </c>
      <c r="Q71" s="2208">
        <f>'Other Benefits LASER'!E70 + 'FC &amp; Adoptions LASER'!E70</f>
        <v>626933.56000000006</v>
      </c>
      <c r="R71" s="2208">
        <f>'Other Benefits LASER'!H70 + 'FC &amp; Adoptions LASER'!H70</f>
        <v>63609.57</v>
      </c>
      <c r="S71" s="2209">
        <f t="shared" ref="S71:S125" si="33">SUM(P71:R71)</f>
        <v>1060593.6400000001</v>
      </c>
      <c r="T71" s="2207">
        <f t="shared" ref="T71:T125" si="34">D71+H71+L71+P71</f>
        <v>24438097.901224229</v>
      </c>
      <c r="U71" s="2208">
        <f t="shared" ref="U71:U125" si="35">E71+I71+M71+Q71</f>
        <v>20489748.475698192</v>
      </c>
      <c r="V71" s="2208">
        <f t="shared" ref="V71:V125" si="36">F71+J71+N71+R71</f>
        <v>2202137.4799999995</v>
      </c>
      <c r="W71" s="2209">
        <f t="shared" ref="W71:W125" si="37">G71+K71+O71+S71</f>
        <v>47129983.856922425</v>
      </c>
      <c r="Y71" s="594">
        <f t="shared" si="23"/>
        <v>0.46727452639970934</v>
      </c>
      <c r="Z71" s="595">
        <f t="shared" si="24"/>
        <v>0.17208215176845801</v>
      </c>
      <c r="AA71" s="595">
        <f t="shared" si="25"/>
        <v>0.36064332183183256</v>
      </c>
      <c r="AB71" s="596">
        <f t="shared" si="26"/>
        <v>0.63935667816816733</v>
      </c>
      <c r="AD71" s="1231">
        <f t="shared" si="27"/>
        <v>4.5731370215256889E-2</v>
      </c>
      <c r="AE71" s="1189">
        <f t="shared" si="28"/>
        <v>1.5366016296515868E-3</v>
      </c>
      <c r="AF71" s="1233">
        <f t="shared" si="29"/>
        <v>0.9527320281550915</v>
      </c>
      <c r="AH71" s="1231">
        <f t="shared" si="30"/>
        <v>0.35297583237173735</v>
      </c>
      <c r="AI71" s="1189">
        <f t="shared" si="31"/>
        <v>8.2112402900476507E-3</v>
      </c>
      <c r="AJ71" s="1233">
        <f t="shared" si="32"/>
        <v>0.63881292733821515</v>
      </c>
    </row>
    <row r="72" spans="1:36" x14ac:dyDescent="0.25">
      <c r="A72" s="701" t="s">
        <v>172</v>
      </c>
      <c r="B72" s="564" t="s">
        <v>173</v>
      </c>
      <c r="C72" s="702" t="s">
        <v>267</v>
      </c>
      <c r="D72" s="747">
        <f>'Administration LASER'!D71+'Other Oper Exp. LASER'!D71</f>
        <v>818603.68971454934</v>
      </c>
      <c r="E72" s="748">
        <f>'Administration LASER'!E71+'Other Oper Exp. LASER'!E71</f>
        <v>388400.45028545067</v>
      </c>
      <c r="F72" s="748">
        <f>'Administration LASER'!K71+'Other Oper Exp. LASER'!K71</f>
        <v>406781.74000000005</v>
      </c>
      <c r="G72" s="749">
        <f>'Administration LASER'!I71+'Other Oper Exp. LASER'!I71</f>
        <v>1613785.88</v>
      </c>
      <c r="H72" s="747">
        <f>'Client Services LASER'!D71</f>
        <v>27030.306746830131</v>
      </c>
      <c r="I72" s="748">
        <f>'Client Services LASER'!E71</f>
        <v>7011.6632531698697</v>
      </c>
      <c r="J72" s="748">
        <f>'Client Services LASER'!K71</f>
        <v>9408.85</v>
      </c>
      <c r="K72" s="749">
        <f>'Client Services LASER'!I71</f>
        <v>43450.82</v>
      </c>
      <c r="L72" s="2207">
        <f>'Statewide Benefits'!D72</f>
        <v>19192750.557678305</v>
      </c>
      <c r="M72" s="2208">
        <f>'Statewide Benefits'!E72</f>
        <v>14794126.322685272</v>
      </c>
      <c r="N72" s="2208">
        <f>'Statewide Benefits'!I72</f>
        <v>555621.62</v>
      </c>
      <c r="O72" s="2209">
        <f t="shared" si="22"/>
        <v>34542498.500363573</v>
      </c>
      <c r="P72" s="2207">
        <f>'Other Benefits LASER'!D71+'FC &amp; Adoptions LASER'!D71</f>
        <v>94019.93</v>
      </c>
      <c r="Q72" s="2208">
        <f>'Other Benefits LASER'!E71 + 'FC &amp; Adoptions LASER'!E71</f>
        <v>183557.36</v>
      </c>
      <c r="R72" s="2208">
        <f>'Other Benefits LASER'!H71 + 'FC &amp; Adoptions LASER'!H71</f>
        <v>19762</v>
      </c>
      <c r="S72" s="2209">
        <f t="shared" si="33"/>
        <v>297339.28999999998</v>
      </c>
      <c r="T72" s="2207">
        <f t="shared" si="34"/>
        <v>20132404.484139685</v>
      </c>
      <c r="U72" s="2208">
        <f t="shared" si="35"/>
        <v>15373095.796223892</v>
      </c>
      <c r="V72" s="2208">
        <f t="shared" si="36"/>
        <v>991574.21</v>
      </c>
      <c r="W72" s="2209">
        <f t="shared" si="37"/>
        <v>36497074.490363576</v>
      </c>
      <c r="Y72" s="594">
        <f t="shared" si="23"/>
        <v>0.50725669362936143</v>
      </c>
      <c r="Z72" s="595">
        <f t="shared" si="24"/>
        <v>0.24067656998303313</v>
      </c>
      <c r="AA72" s="595">
        <f t="shared" si="25"/>
        <v>0.25206673638760557</v>
      </c>
      <c r="AB72" s="596">
        <f t="shared" si="26"/>
        <v>0.74793326361239465</v>
      </c>
      <c r="AD72" s="1231">
        <f t="shared" si="27"/>
        <v>4.4216855803773866E-2</v>
      </c>
      <c r="AE72" s="1189">
        <f t="shared" si="28"/>
        <v>1.1905288466743393E-3</v>
      </c>
      <c r="AF72" s="1233">
        <f t="shared" si="29"/>
        <v>0.95459261534955175</v>
      </c>
      <c r="AH72" s="1231">
        <f t="shared" si="30"/>
        <v>0.41023832195070914</v>
      </c>
      <c r="AI72" s="1189">
        <f t="shared" si="31"/>
        <v>9.4888006415576303E-3</v>
      </c>
      <c r="AJ72" s="1233">
        <f t="shared" si="32"/>
        <v>0.58027287740773337</v>
      </c>
    </row>
    <row r="73" spans="1:36" x14ac:dyDescent="0.25">
      <c r="A73" s="701" t="s">
        <v>174</v>
      </c>
      <c r="B73" s="564" t="s">
        <v>175</v>
      </c>
      <c r="C73" s="702" t="s">
        <v>268</v>
      </c>
      <c r="D73" s="747">
        <f>'Administration LASER'!D72+'Other Oper Exp. LASER'!D72</f>
        <v>711111.55475029221</v>
      </c>
      <c r="E73" s="748">
        <f>'Administration LASER'!E72+'Other Oper Exp. LASER'!E72</f>
        <v>340804.24524970783</v>
      </c>
      <c r="F73" s="748">
        <f>'Administration LASER'!K72+'Other Oper Exp. LASER'!K72</f>
        <v>347363.55</v>
      </c>
      <c r="G73" s="749">
        <f>'Administration LASER'!I72+'Other Oper Exp. LASER'!I72</f>
        <v>1399279.35</v>
      </c>
      <c r="H73" s="747">
        <f>'Client Services LASER'!D72</f>
        <v>35416.377401755686</v>
      </c>
      <c r="I73" s="748">
        <f>'Client Services LASER'!E72</f>
        <v>15357.112598244315</v>
      </c>
      <c r="J73" s="748">
        <f>'Client Services LASER'!K72</f>
        <v>10259.390000000001</v>
      </c>
      <c r="K73" s="749">
        <f>'Client Services LASER'!I72</f>
        <v>61032.880000000005</v>
      </c>
      <c r="L73" s="2207">
        <f>'Statewide Benefits'!D73</f>
        <v>19429039.968214065</v>
      </c>
      <c r="M73" s="2208">
        <f>'Statewide Benefits'!E73</f>
        <v>14981998.045466473</v>
      </c>
      <c r="N73" s="2208">
        <f>'Statewide Benefits'!I73</f>
        <v>176391.16</v>
      </c>
      <c r="O73" s="2209">
        <f t="shared" si="22"/>
        <v>34587429.173680536</v>
      </c>
      <c r="P73" s="2207">
        <f>'Other Benefits LASER'!D72+'FC &amp; Adoptions LASER'!D72</f>
        <v>61544.44</v>
      </c>
      <c r="Q73" s="2208">
        <f>'Other Benefits LASER'!E72 + 'FC &amp; Adoptions LASER'!E72</f>
        <v>136056.5</v>
      </c>
      <c r="R73" s="2208">
        <f>'Other Benefits LASER'!H72 + 'FC &amp; Adoptions LASER'!H72</f>
        <v>18622.78</v>
      </c>
      <c r="S73" s="2209">
        <f t="shared" si="33"/>
        <v>216223.72</v>
      </c>
      <c r="T73" s="2207">
        <f t="shared" si="34"/>
        <v>20237112.340366114</v>
      </c>
      <c r="U73" s="2208">
        <f t="shared" si="35"/>
        <v>15474215.903314425</v>
      </c>
      <c r="V73" s="2208">
        <f t="shared" si="36"/>
        <v>552636.88</v>
      </c>
      <c r="W73" s="2209">
        <f t="shared" si="37"/>
        <v>36263965.123680532</v>
      </c>
      <c r="Y73" s="594">
        <f t="shared" si="23"/>
        <v>0.50819841995831083</v>
      </c>
      <c r="Z73" s="595">
        <f t="shared" si="24"/>
        <v>0.24355697470251941</v>
      </c>
      <c r="AA73" s="595">
        <f t="shared" si="25"/>
        <v>0.24824460533916975</v>
      </c>
      <c r="AB73" s="596">
        <f t="shared" si="26"/>
        <v>0.75175539466083019</v>
      </c>
      <c r="AD73" s="1231">
        <f t="shared" si="27"/>
        <v>3.8585944620994142E-2</v>
      </c>
      <c r="AE73" s="1189">
        <f t="shared" si="28"/>
        <v>1.6830172815312263E-3</v>
      </c>
      <c r="AF73" s="1233">
        <f t="shared" si="29"/>
        <v>0.95973103809747473</v>
      </c>
      <c r="AH73" s="1231">
        <f t="shared" si="30"/>
        <v>0.62855658493150146</v>
      </c>
      <c r="AI73" s="1189">
        <f t="shared" si="31"/>
        <v>1.8564432399082741E-2</v>
      </c>
      <c r="AJ73" s="1233">
        <f t="shared" si="32"/>
        <v>0.35287898266941575</v>
      </c>
    </row>
    <row r="74" spans="1:36" x14ac:dyDescent="0.25">
      <c r="A74" s="701" t="s">
        <v>178</v>
      </c>
      <c r="B74" s="564" t="s">
        <v>179</v>
      </c>
      <c r="C74" s="702" t="s">
        <v>265</v>
      </c>
      <c r="D74" s="747">
        <f>'Administration LASER'!D73+'Other Oper Exp. LASER'!D73</f>
        <v>2147465.3840315333</v>
      </c>
      <c r="E74" s="748">
        <f>'Administration LASER'!E73+'Other Oper Exp. LASER'!E73</f>
        <v>1019940.3959684669</v>
      </c>
      <c r="F74" s="748">
        <f>'Administration LASER'!K73+'Other Oper Exp. LASER'!K73</f>
        <v>935331.03</v>
      </c>
      <c r="G74" s="749">
        <f>'Administration LASER'!I73+'Other Oper Exp. LASER'!I73</f>
        <v>4102736.8100000005</v>
      </c>
      <c r="H74" s="747">
        <f>'Client Services LASER'!D73</f>
        <v>105950.23716224893</v>
      </c>
      <c r="I74" s="748">
        <f>'Client Services LASER'!E73</f>
        <v>30835.332837751066</v>
      </c>
      <c r="J74" s="748">
        <f>'Client Services LASER'!K73</f>
        <v>27842.86</v>
      </c>
      <c r="K74" s="749">
        <f>'Client Services LASER'!I73</f>
        <v>164628.43000000002</v>
      </c>
      <c r="L74" s="2207">
        <f>'Statewide Benefits'!D74</f>
        <v>62314346.577198073</v>
      </c>
      <c r="M74" s="2208">
        <f>'Statewide Benefits'!E74</f>
        <v>53095535.207816802</v>
      </c>
      <c r="N74" s="2208">
        <f>'Statewide Benefits'!I74</f>
        <v>1543068.9</v>
      </c>
      <c r="O74" s="2209">
        <f t="shared" si="22"/>
        <v>116952950.68501487</v>
      </c>
      <c r="P74" s="2207">
        <f>'Other Benefits LASER'!D73+'FC &amp; Adoptions LASER'!D73</f>
        <v>190829.82</v>
      </c>
      <c r="Q74" s="2208">
        <f>'Other Benefits LASER'!E73 + 'FC &amp; Adoptions LASER'!E73</f>
        <v>409719.73</v>
      </c>
      <c r="R74" s="2208">
        <f>'Other Benefits LASER'!H73 + 'FC &amp; Adoptions LASER'!H73</f>
        <v>31894.6</v>
      </c>
      <c r="S74" s="2209">
        <f t="shared" si="33"/>
        <v>632444.15</v>
      </c>
      <c r="T74" s="2207">
        <f t="shared" si="34"/>
        <v>64758592.018391855</v>
      </c>
      <c r="U74" s="2208">
        <f t="shared" si="35"/>
        <v>54556030.666623019</v>
      </c>
      <c r="V74" s="2208">
        <f t="shared" si="36"/>
        <v>2538137.39</v>
      </c>
      <c r="W74" s="2209">
        <f t="shared" si="37"/>
        <v>121852760.07501487</v>
      </c>
      <c r="Y74" s="594">
        <f t="shared" si="23"/>
        <v>0.52342265260528198</v>
      </c>
      <c r="Z74" s="595">
        <f t="shared" si="24"/>
        <v>0.24860000609409472</v>
      </c>
      <c r="AA74" s="595">
        <f t="shared" si="25"/>
        <v>0.22797734130062317</v>
      </c>
      <c r="AB74" s="596">
        <f t="shared" si="26"/>
        <v>0.77202265869937681</v>
      </c>
      <c r="AD74" s="1231">
        <f t="shared" si="27"/>
        <v>3.3669625599570152E-2</v>
      </c>
      <c r="AE74" s="1189">
        <f t="shared" si="28"/>
        <v>1.3510439147923414E-3</v>
      </c>
      <c r="AF74" s="1233">
        <f t="shared" si="29"/>
        <v>0.96497933048563755</v>
      </c>
      <c r="AH74" s="1231">
        <f t="shared" si="30"/>
        <v>0.36851079602117204</v>
      </c>
      <c r="AI74" s="1189">
        <f t="shared" si="31"/>
        <v>1.0969800180911404E-2</v>
      </c>
      <c r="AJ74" s="1233">
        <f t="shared" si="32"/>
        <v>0.62051940379791648</v>
      </c>
    </row>
    <row r="75" spans="1:36" x14ac:dyDescent="0.25">
      <c r="A75" s="701" t="s">
        <v>182</v>
      </c>
      <c r="B75" s="564" t="s">
        <v>183</v>
      </c>
      <c r="C75" s="702" t="s">
        <v>266</v>
      </c>
      <c r="D75" s="747">
        <f>'Administration LASER'!D74+'Other Oper Exp. LASER'!D74</f>
        <v>619774.19510735059</v>
      </c>
      <c r="E75" s="748">
        <f>'Administration LASER'!E74+'Other Oper Exp. LASER'!E74</f>
        <v>182109.55489264944</v>
      </c>
      <c r="F75" s="748">
        <f>'Administration LASER'!K74+'Other Oper Exp. LASER'!K74</f>
        <v>637558.87</v>
      </c>
      <c r="G75" s="749">
        <f>'Administration LASER'!I74+'Other Oper Exp. LASER'!I74</f>
        <v>1439442.62</v>
      </c>
      <c r="H75" s="747">
        <f>'Client Services LASER'!D74</f>
        <v>23144.742329093129</v>
      </c>
      <c r="I75" s="748">
        <f>'Client Services LASER'!E74</f>
        <v>18337.837670906873</v>
      </c>
      <c r="J75" s="748">
        <f>'Client Services LASER'!K74</f>
        <v>7497.1200000000008</v>
      </c>
      <c r="K75" s="749">
        <f>'Client Services LASER'!I74</f>
        <v>48979.700000000004</v>
      </c>
      <c r="L75" s="2207">
        <f>'Statewide Benefits'!D75</f>
        <v>9596118.9248235691</v>
      </c>
      <c r="M75" s="2208">
        <f>'Statewide Benefits'!E75</f>
        <v>8282593.9189286055</v>
      </c>
      <c r="N75" s="2208">
        <f>'Statewide Benefits'!I75</f>
        <v>764560.78</v>
      </c>
      <c r="O75" s="2209">
        <f t="shared" si="22"/>
        <v>18643273.623752177</v>
      </c>
      <c r="P75" s="2207">
        <f>'Other Benefits LASER'!D74+'FC &amp; Adoptions LASER'!D74</f>
        <v>152921.18</v>
      </c>
      <c r="Q75" s="2208">
        <f>'Other Benefits LASER'!E74 + 'FC &amp; Adoptions LASER'!E74</f>
        <v>183339.58</v>
      </c>
      <c r="R75" s="2208">
        <f>'Other Benefits LASER'!H74 + 'FC &amp; Adoptions LASER'!H74</f>
        <v>-36822.67</v>
      </c>
      <c r="S75" s="2209">
        <f t="shared" si="33"/>
        <v>299438.09000000003</v>
      </c>
      <c r="T75" s="2207">
        <f t="shared" si="34"/>
        <v>10391959.042260014</v>
      </c>
      <c r="U75" s="2208">
        <f t="shared" si="35"/>
        <v>8666380.8914921619</v>
      </c>
      <c r="V75" s="2208">
        <f t="shared" si="36"/>
        <v>1372794.1</v>
      </c>
      <c r="W75" s="2209">
        <f t="shared" si="37"/>
        <v>20431134.033752177</v>
      </c>
      <c r="Y75" s="594">
        <f t="shared" si="23"/>
        <v>0.43056540531455889</v>
      </c>
      <c r="Z75" s="595">
        <f t="shared" si="24"/>
        <v>0.12651393835528466</v>
      </c>
      <c r="AA75" s="595">
        <f t="shared" si="25"/>
        <v>0.44292065633015643</v>
      </c>
      <c r="AB75" s="596">
        <f t="shared" si="26"/>
        <v>0.55707934366984346</v>
      </c>
      <c r="AD75" s="1231">
        <f t="shared" si="27"/>
        <v>7.0453388324996785E-2</v>
      </c>
      <c r="AE75" s="1189">
        <f t="shared" si="28"/>
        <v>2.3973069688195316E-3</v>
      </c>
      <c r="AF75" s="1233">
        <f t="shared" si="29"/>
        <v>0.92714930470618362</v>
      </c>
      <c r="AH75" s="1231">
        <f t="shared" si="30"/>
        <v>0.4644242497837075</v>
      </c>
      <c r="AI75" s="1189">
        <f t="shared" si="31"/>
        <v>5.461212282308032E-3</v>
      </c>
      <c r="AJ75" s="1233">
        <f t="shared" si="32"/>
        <v>0.53011453793398433</v>
      </c>
    </row>
    <row r="76" spans="1:36" x14ac:dyDescent="0.25">
      <c r="A76" s="701" t="s">
        <v>184</v>
      </c>
      <c r="B76" s="564" t="s">
        <v>185</v>
      </c>
      <c r="C76" s="702" t="s">
        <v>266</v>
      </c>
      <c r="D76" s="747">
        <f>'Administration LASER'!D75+'Other Oper Exp. LASER'!D75</f>
        <v>1105429.0724054212</v>
      </c>
      <c r="E76" s="748">
        <f>'Administration LASER'!E75+'Other Oper Exp. LASER'!E75</f>
        <v>458644.88759457885</v>
      </c>
      <c r="F76" s="748">
        <f>'Administration LASER'!K75+'Other Oper Exp. LASER'!K75</f>
        <v>687596</v>
      </c>
      <c r="G76" s="749">
        <f>'Administration LASER'!I75+'Other Oper Exp. LASER'!I75</f>
        <v>2251669.96</v>
      </c>
      <c r="H76" s="747">
        <f>'Client Services LASER'!D75</f>
        <v>33222.916789949006</v>
      </c>
      <c r="I76" s="748">
        <f>'Client Services LASER'!E75</f>
        <v>89953.943210051002</v>
      </c>
      <c r="J76" s="748">
        <f>'Client Services LASER'!K75</f>
        <v>22474.06</v>
      </c>
      <c r="K76" s="749">
        <f>'Client Services LASER'!I75</f>
        <v>145650.92000000001</v>
      </c>
      <c r="L76" s="2207">
        <f>'Statewide Benefits'!D76</f>
        <v>22377835.175890345</v>
      </c>
      <c r="M76" s="2208">
        <f>'Statewide Benefits'!E76</f>
        <v>17756260.69039169</v>
      </c>
      <c r="N76" s="2208">
        <f>'Statewide Benefits'!I76</f>
        <v>301224.90000000002</v>
      </c>
      <c r="O76" s="2209">
        <f t="shared" si="22"/>
        <v>40435320.766282029</v>
      </c>
      <c r="P76" s="2207">
        <f>'Other Benefits LASER'!D75+'FC &amp; Adoptions LASER'!D75</f>
        <v>241653.53</v>
      </c>
      <c r="Q76" s="2208">
        <f>'Other Benefits LASER'!E75 + 'FC &amp; Adoptions LASER'!E75</f>
        <v>531999.53</v>
      </c>
      <c r="R76" s="2208">
        <f>'Other Benefits LASER'!H75 + 'FC &amp; Adoptions LASER'!H75</f>
        <v>22188.94</v>
      </c>
      <c r="S76" s="2209">
        <f t="shared" si="33"/>
        <v>795842</v>
      </c>
      <c r="T76" s="2207">
        <f t="shared" si="34"/>
        <v>23758140.695085716</v>
      </c>
      <c r="U76" s="2208">
        <f t="shared" si="35"/>
        <v>18836859.051196322</v>
      </c>
      <c r="V76" s="2208">
        <f t="shared" si="36"/>
        <v>1033483.9</v>
      </c>
      <c r="W76" s="2209">
        <f t="shared" si="37"/>
        <v>43628483.646282032</v>
      </c>
      <c r="Y76" s="594">
        <f t="shared" si="23"/>
        <v>0.49093743401249673</v>
      </c>
      <c r="Z76" s="595">
        <f t="shared" si="24"/>
        <v>0.20369099190477225</v>
      </c>
      <c r="AA76" s="595">
        <f t="shared" si="25"/>
        <v>0.30537157408273102</v>
      </c>
      <c r="AB76" s="596">
        <f t="shared" si="26"/>
        <v>0.69462842591726892</v>
      </c>
      <c r="AD76" s="1231">
        <f t="shared" si="27"/>
        <v>5.161008982699046E-2</v>
      </c>
      <c r="AE76" s="1189">
        <f t="shared" si="28"/>
        <v>3.3384364485565202E-3</v>
      </c>
      <c r="AF76" s="1233">
        <f t="shared" si="29"/>
        <v>0.94505147372445297</v>
      </c>
      <c r="AH76" s="1231">
        <f t="shared" si="30"/>
        <v>0.66531854052104733</v>
      </c>
      <c r="AI76" s="1189">
        <f t="shared" si="31"/>
        <v>2.1745921731339986E-2</v>
      </c>
      <c r="AJ76" s="1233">
        <f t="shared" si="32"/>
        <v>0.31293553774761274</v>
      </c>
    </row>
    <row r="77" spans="1:36" x14ac:dyDescent="0.25">
      <c r="A77" s="701" t="s">
        <v>186</v>
      </c>
      <c r="B77" s="564" t="s">
        <v>187</v>
      </c>
      <c r="C77" s="702" t="s">
        <v>264</v>
      </c>
      <c r="D77" s="747">
        <f>'Administration LASER'!D76+'Other Oper Exp. LASER'!D76</f>
        <v>923110.2909103178</v>
      </c>
      <c r="E77" s="748">
        <f>'Administration LASER'!E76+'Other Oper Exp. LASER'!E76</f>
        <v>330385.39908968221</v>
      </c>
      <c r="F77" s="748">
        <f>'Administration LASER'!K76+'Other Oper Exp. LASER'!K76</f>
        <v>771978.3600000001</v>
      </c>
      <c r="G77" s="749">
        <f>'Administration LASER'!I76+'Other Oper Exp. LASER'!I76</f>
        <v>2025474.0500000003</v>
      </c>
      <c r="H77" s="747">
        <f>'Client Services LASER'!D76</f>
        <v>21063.644499968992</v>
      </c>
      <c r="I77" s="748">
        <f>'Client Services LASER'!E76</f>
        <v>8594.2855000310101</v>
      </c>
      <c r="J77" s="748">
        <f>'Client Services LASER'!K76</f>
        <v>5763.18</v>
      </c>
      <c r="K77" s="749">
        <f>'Client Services LASER'!I76</f>
        <v>35421.11</v>
      </c>
      <c r="L77" s="2207">
        <f>'Statewide Benefits'!D77</f>
        <v>18557903.795341011</v>
      </c>
      <c r="M77" s="2208">
        <f>'Statewide Benefits'!E77</f>
        <v>13918042.097434536</v>
      </c>
      <c r="N77" s="2208">
        <f>'Statewide Benefits'!I77</f>
        <v>467788.58999999997</v>
      </c>
      <c r="O77" s="2209">
        <f t="shared" si="22"/>
        <v>32943734.482775547</v>
      </c>
      <c r="P77" s="2207">
        <f>'Other Benefits LASER'!D76+'FC &amp; Adoptions LASER'!D76</f>
        <v>149769.38</v>
      </c>
      <c r="Q77" s="2208">
        <f>'Other Benefits LASER'!E76 + 'FC &amp; Adoptions LASER'!E76</f>
        <v>247757.84</v>
      </c>
      <c r="R77" s="2208">
        <f>'Other Benefits LASER'!H76 + 'FC &amp; Adoptions LASER'!H76</f>
        <v>9125.3599999999988</v>
      </c>
      <c r="S77" s="2209">
        <f t="shared" si="33"/>
        <v>406652.57999999996</v>
      </c>
      <c r="T77" s="2207">
        <f t="shared" si="34"/>
        <v>19651847.110751297</v>
      </c>
      <c r="U77" s="2208">
        <f t="shared" si="35"/>
        <v>14504779.622024249</v>
      </c>
      <c r="V77" s="2208">
        <f t="shared" si="36"/>
        <v>1254655.4900000002</v>
      </c>
      <c r="W77" s="2209">
        <f t="shared" si="37"/>
        <v>35411282.222775549</v>
      </c>
      <c r="Y77" s="594">
        <f t="shared" si="23"/>
        <v>0.45575024321359126</v>
      </c>
      <c r="Z77" s="595">
        <f t="shared" si="24"/>
        <v>0.16311509845790528</v>
      </c>
      <c r="AA77" s="595">
        <f t="shared" si="25"/>
        <v>0.38113465832850341</v>
      </c>
      <c r="AB77" s="596">
        <f t="shared" si="26"/>
        <v>0.61886534167149654</v>
      </c>
      <c r="AD77" s="1231">
        <f t="shared" si="27"/>
        <v>5.7198551502810925E-2</v>
      </c>
      <c r="AE77" s="1189">
        <f t="shared" si="28"/>
        <v>1.0002775323740786E-3</v>
      </c>
      <c r="AF77" s="1233">
        <f t="shared" si="29"/>
        <v>0.94180117096481486</v>
      </c>
      <c r="AH77" s="1231">
        <f t="shared" si="30"/>
        <v>0.61529110273928656</v>
      </c>
      <c r="AI77" s="1189">
        <f t="shared" si="31"/>
        <v>4.5934362428047869E-3</v>
      </c>
      <c r="AJ77" s="1233">
        <f t="shared" si="32"/>
        <v>0.3801154610179085</v>
      </c>
    </row>
    <row r="78" spans="1:36" x14ac:dyDescent="0.25">
      <c r="A78" s="701" t="s">
        <v>188</v>
      </c>
      <c r="B78" s="564" t="s">
        <v>189</v>
      </c>
      <c r="C78" s="702" t="s">
        <v>267</v>
      </c>
      <c r="D78" s="747">
        <f>'Administration LASER'!D77+'Other Oper Exp. LASER'!D77</f>
        <v>10786877.6166257</v>
      </c>
      <c r="E78" s="748">
        <f>'Administration LASER'!E77+'Other Oper Exp. LASER'!E77</f>
        <v>2989629.4333743001</v>
      </c>
      <c r="F78" s="748">
        <f>'Administration LASER'!K77+'Other Oper Exp. LASER'!K77</f>
        <v>11943500.449999999</v>
      </c>
      <c r="G78" s="749">
        <f>'Administration LASER'!I77+'Other Oper Exp. LASER'!I77</f>
        <v>25720007.5</v>
      </c>
      <c r="H78" s="747">
        <f>'Client Services LASER'!D77</f>
        <v>284569.9773066733</v>
      </c>
      <c r="I78" s="748">
        <f>'Client Services LASER'!E77</f>
        <v>212374.50269332674</v>
      </c>
      <c r="J78" s="748">
        <f>'Client Services LASER'!K77</f>
        <v>120044.4</v>
      </c>
      <c r="K78" s="749">
        <f>'Client Services LASER'!I77</f>
        <v>616988.88</v>
      </c>
      <c r="L78" s="2207">
        <f>'Statewide Benefits'!D78</f>
        <v>215590494.65018713</v>
      </c>
      <c r="M78" s="2208">
        <f>'Statewide Benefits'!E78</f>
        <v>166034255.46880358</v>
      </c>
      <c r="N78" s="2208">
        <f>'Statewide Benefits'!I78</f>
        <v>4392289.54</v>
      </c>
      <c r="O78" s="2209">
        <f t="shared" si="22"/>
        <v>386017039.65899074</v>
      </c>
      <c r="P78" s="2207">
        <f>'Other Benefits LASER'!D77+'FC &amp; Adoptions LASER'!D77</f>
        <v>1331817.6200000001</v>
      </c>
      <c r="Q78" s="2208">
        <f>'Other Benefits LASER'!E77 + 'FC &amp; Adoptions LASER'!E77</f>
        <v>2018600.94</v>
      </c>
      <c r="R78" s="2208">
        <f>'Other Benefits LASER'!H77 + 'FC &amp; Adoptions LASER'!H77</f>
        <v>82302.75</v>
      </c>
      <c r="S78" s="2209">
        <f t="shared" si="33"/>
        <v>3432721.31</v>
      </c>
      <c r="T78" s="2207">
        <f t="shared" si="34"/>
        <v>227993759.8641195</v>
      </c>
      <c r="U78" s="2208">
        <f t="shared" si="35"/>
        <v>171254860.34487122</v>
      </c>
      <c r="V78" s="2208">
        <f t="shared" si="36"/>
        <v>16538137.140000001</v>
      </c>
      <c r="W78" s="2209">
        <f t="shared" si="37"/>
        <v>415786757.34899074</v>
      </c>
      <c r="Y78" s="594">
        <f t="shared" si="23"/>
        <v>0.41939636357515447</v>
      </c>
      <c r="Z78" s="595">
        <f t="shared" si="24"/>
        <v>0.11623750239475242</v>
      </c>
      <c r="AA78" s="595">
        <f t="shared" si="25"/>
        <v>0.46436613403009308</v>
      </c>
      <c r="AB78" s="596">
        <f t="shared" si="26"/>
        <v>0.53563386596990692</v>
      </c>
      <c r="AD78" s="1231">
        <f t="shared" si="27"/>
        <v>6.1858650006046019E-2</v>
      </c>
      <c r="AE78" s="1189">
        <f t="shared" si="28"/>
        <v>1.4839070006314084E-3</v>
      </c>
      <c r="AF78" s="1233">
        <f t="shared" si="29"/>
        <v>0.93665744299332254</v>
      </c>
      <c r="AH78" s="1231">
        <f t="shared" si="30"/>
        <v>0.72217930888436199</v>
      </c>
      <c r="AI78" s="1189">
        <f t="shared" si="31"/>
        <v>7.2586409813747612E-3</v>
      </c>
      <c r="AJ78" s="1233">
        <f t="shared" si="32"/>
        <v>0.27056205013426315</v>
      </c>
    </row>
    <row r="79" spans="1:36" x14ac:dyDescent="0.25">
      <c r="A79" s="701" t="s">
        <v>190</v>
      </c>
      <c r="B79" s="564" t="s">
        <v>191</v>
      </c>
      <c r="C79" s="702" t="s">
        <v>268</v>
      </c>
      <c r="D79" s="747">
        <f>'Administration LASER'!D78+'Other Oper Exp. LASER'!D78</f>
        <v>1899872.5189561623</v>
      </c>
      <c r="E79" s="748">
        <f>'Administration LASER'!E78+'Other Oper Exp. LASER'!E78</f>
        <v>949271.02104383789</v>
      </c>
      <c r="F79" s="748">
        <f>'Administration LASER'!K78+'Other Oper Exp. LASER'!K78</f>
        <v>794107.76</v>
      </c>
      <c r="G79" s="749">
        <f>'Administration LASER'!I78+'Other Oper Exp. LASER'!I78</f>
        <v>3643251.3</v>
      </c>
      <c r="H79" s="747">
        <f>'Client Services LASER'!D78</f>
        <v>64803.36880176056</v>
      </c>
      <c r="I79" s="748">
        <f>'Client Services LASER'!E78</f>
        <v>20144.451198239443</v>
      </c>
      <c r="J79" s="748">
        <f>'Client Services LASER'!K78</f>
        <v>17102.370000000003</v>
      </c>
      <c r="K79" s="749">
        <f>'Client Services LASER'!I78</f>
        <v>102050.19</v>
      </c>
      <c r="L79" s="2207">
        <f>'Statewide Benefits'!D79</f>
        <v>35049451.582916729</v>
      </c>
      <c r="M79" s="2208">
        <f>'Statewide Benefits'!E79</f>
        <v>28087684.256059259</v>
      </c>
      <c r="N79" s="2208">
        <f>'Statewide Benefits'!I79</f>
        <v>1123583.8400000001</v>
      </c>
      <c r="O79" s="2209">
        <f t="shared" si="22"/>
        <v>64260719.678975992</v>
      </c>
      <c r="P79" s="2207">
        <f>'Other Benefits LASER'!D78+'FC &amp; Adoptions LASER'!D78</f>
        <v>1106334.1200000001</v>
      </c>
      <c r="Q79" s="2208">
        <f>'Other Benefits LASER'!E78 + 'FC &amp; Adoptions LASER'!E78</f>
        <v>1323434.94</v>
      </c>
      <c r="R79" s="2208">
        <f>'Other Benefits LASER'!H78 + 'FC &amp; Adoptions LASER'!H78</f>
        <v>42259.77</v>
      </c>
      <c r="S79" s="2209">
        <f t="shared" si="33"/>
        <v>2472028.83</v>
      </c>
      <c r="T79" s="2207">
        <f t="shared" si="34"/>
        <v>38120461.590674646</v>
      </c>
      <c r="U79" s="2208">
        <f t="shared" si="35"/>
        <v>30380534.668301336</v>
      </c>
      <c r="V79" s="2208">
        <f t="shared" si="36"/>
        <v>1977053.7400000002</v>
      </c>
      <c r="W79" s="2209">
        <f t="shared" si="37"/>
        <v>70478049.998975992</v>
      </c>
      <c r="Y79" s="594">
        <f t="shared" si="23"/>
        <v>0.52147720882063842</v>
      </c>
      <c r="Z79" s="595">
        <f t="shared" si="24"/>
        <v>0.26055600969492221</v>
      </c>
      <c r="AA79" s="595">
        <f t="shared" si="25"/>
        <v>0.21796678148443949</v>
      </c>
      <c r="AB79" s="596">
        <f t="shared" si="26"/>
        <v>0.78203321851556062</v>
      </c>
      <c r="AD79" s="1231">
        <f t="shared" si="27"/>
        <v>5.1693418022390435E-2</v>
      </c>
      <c r="AE79" s="1189">
        <f t="shared" si="28"/>
        <v>1.4479712478066963E-3</v>
      </c>
      <c r="AF79" s="1233">
        <f t="shared" si="29"/>
        <v>0.94685861072980282</v>
      </c>
      <c r="AH79" s="1231">
        <f t="shared" si="30"/>
        <v>0.40166220266728808</v>
      </c>
      <c r="AI79" s="1189">
        <f t="shared" si="31"/>
        <v>8.6504325370538489E-3</v>
      </c>
      <c r="AJ79" s="1233">
        <f t="shared" si="32"/>
        <v>0.58968736479565798</v>
      </c>
    </row>
    <row r="80" spans="1:36" x14ac:dyDescent="0.25">
      <c r="A80" s="701" t="s">
        <v>194</v>
      </c>
      <c r="B80" s="564" t="s">
        <v>195</v>
      </c>
      <c r="C80" s="702" t="s">
        <v>267</v>
      </c>
      <c r="D80" s="747">
        <f>'Administration LASER'!D79+'Other Oper Exp. LASER'!D79</f>
        <v>440856.1231214655</v>
      </c>
      <c r="E80" s="748">
        <f>'Administration LASER'!E79+'Other Oper Exp. LASER'!E79</f>
        <v>139342.28687853453</v>
      </c>
      <c r="F80" s="748">
        <f>'Administration LASER'!K79+'Other Oper Exp. LASER'!K79</f>
        <v>427656.22000000003</v>
      </c>
      <c r="G80" s="749">
        <f>'Administration LASER'!I79+'Other Oper Exp. LASER'!I79</f>
        <v>1007854.6300000001</v>
      </c>
      <c r="H80" s="747">
        <f>'Client Services LASER'!D79</f>
        <v>18461.260000000002</v>
      </c>
      <c r="I80" s="748">
        <f>'Client Services LASER'!E79</f>
        <v>1949.42</v>
      </c>
      <c r="J80" s="748">
        <f>'Client Services LASER'!K79</f>
        <v>3163</v>
      </c>
      <c r="K80" s="749">
        <f>'Client Services LASER'!I79</f>
        <v>23573.68</v>
      </c>
      <c r="L80" s="2207">
        <f>'Statewide Benefits'!D80</f>
        <v>3226403.1381301163</v>
      </c>
      <c r="M80" s="2208">
        <f>'Statewide Benefits'!E80</f>
        <v>3020801.9953164952</v>
      </c>
      <c r="N80" s="2208">
        <f>'Statewide Benefits'!I80</f>
        <v>497368.32999999996</v>
      </c>
      <c r="O80" s="2209">
        <f t="shared" si="22"/>
        <v>6744573.4634466115</v>
      </c>
      <c r="P80" s="2207">
        <f>'Other Benefits LASER'!D79+'FC &amp; Adoptions LASER'!D79</f>
        <v>262191.54000000004</v>
      </c>
      <c r="Q80" s="2208">
        <f>'Other Benefits LASER'!E79 + 'FC &amp; Adoptions LASER'!E79</f>
        <v>277956.69</v>
      </c>
      <c r="R80" s="2208">
        <f>'Other Benefits LASER'!H79 + 'FC &amp; Adoptions LASER'!H79</f>
        <v>3209.5299999999997</v>
      </c>
      <c r="S80" s="2209">
        <f t="shared" si="33"/>
        <v>543357.76</v>
      </c>
      <c r="T80" s="2207">
        <f t="shared" si="34"/>
        <v>3947912.0612515816</v>
      </c>
      <c r="U80" s="2208">
        <f t="shared" si="35"/>
        <v>3440050.3921950296</v>
      </c>
      <c r="V80" s="2208">
        <f t="shared" si="36"/>
        <v>931397.08000000007</v>
      </c>
      <c r="W80" s="2209">
        <f t="shared" si="37"/>
        <v>8319359.5334466118</v>
      </c>
      <c r="Y80" s="594">
        <f t="shared" si="23"/>
        <v>0.43742034813241415</v>
      </c>
      <c r="Z80" s="595">
        <f t="shared" si="24"/>
        <v>0.13825633452567909</v>
      </c>
      <c r="AA80" s="595">
        <f t="shared" si="25"/>
        <v>0.4243233173419067</v>
      </c>
      <c r="AB80" s="596">
        <f t="shared" si="26"/>
        <v>0.57567668265809324</v>
      </c>
      <c r="AD80" s="1231">
        <f t="shared" si="27"/>
        <v>0.12114569949141961</v>
      </c>
      <c r="AE80" s="1189">
        <f t="shared" si="28"/>
        <v>2.8335931275990552E-3</v>
      </c>
      <c r="AF80" s="1233">
        <f t="shared" si="29"/>
        <v>0.87602070738098126</v>
      </c>
      <c r="AH80" s="1231">
        <f t="shared" si="30"/>
        <v>0.45915563746452803</v>
      </c>
      <c r="AI80" s="1189">
        <f t="shared" si="31"/>
        <v>3.3959737129517303E-3</v>
      </c>
      <c r="AJ80" s="1233">
        <f t="shared" si="32"/>
        <v>0.53744838882252022</v>
      </c>
    </row>
    <row r="81" spans="1:36" x14ac:dyDescent="0.25">
      <c r="A81" s="701" t="s">
        <v>198</v>
      </c>
      <c r="B81" s="564" t="s">
        <v>199</v>
      </c>
      <c r="C81" s="702" t="s">
        <v>266</v>
      </c>
      <c r="D81" s="747">
        <f>'Administration LASER'!D80+'Other Oper Exp. LASER'!D80</f>
        <v>376524.50462300313</v>
      </c>
      <c r="E81" s="748">
        <f>'Administration LASER'!E80+'Other Oper Exp. LASER'!E80</f>
        <v>178353.02537699678</v>
      </c>
      <c r="F81" s="748">
        <f>'Administration LASER'!K80+'Other Oper Exp. LASER'!K80</f>
        <v>179855.40000000002</v>
      </c>
      <c r="G81" s="749">
        <f>'Administration LASER'!I80+'Other Oper Exp. LASER'!I80</f>
        <v>734732.92999999993</v>
      </c>
      <c r="H81" s="747">
        <f>'Client Services LASER'!D80</f>
        <v>10078.464844997867</v>
      </c>
      <c r="I81" s="748">
        <f>'Client Services LASER'!E80</f>
        <v>2928.3151550021348</v>
      </c>
      <c r="J81" s="748">
        <f>'Client Services LASER'!K80</f>
        <v>2399.3199999999997</v>
      </c>
      <c r="K81" s="749">
        <f>'Client Services LASER'!I80</f>
        <v>15406.100000000002</v>
      </c>
      <c r="L81" s="2207">
        <f>'Statewide Benefits'!D81</f>
        <v>8249309.1000759574</v>
      </c>
      <c r="M81" s="2208">
        <f>'Statewide Benefits'!E81</f>
        <v>6027209.8576955637</v>
      </c>
      <c r="N81" s="2208">
        <f>'Statewide Benefits'!I81</f>
        <v>130176.09999999999</v>
      </c>
      <c r="O81" s="2209">
        <f t="shared" si="22"/>
        <v>14406695.057771521</v>
      </c>
      <c r="P81" s="2207">
        <f>'Other Benefits LASER'!D80+'FC &amp; Adoptions LASER'!D80</f>
        <v>77817.899999999994</v>
      </c>
      <c r="Q81" s="2208">
        <f>'Other Benefits LASER'!E80 + 'FC &amp; Adoptions LASER'!E80</f>
        <v>120608.64</v>
      </c>
      <c r="R81" s="2208">
        <f>'Other Benefits LASER'!H80 + 'FC &amp; Adoptions LASER'!H80</f>
        <v>5047.12</v>
      </c>
      <c r="S81" s="2209">
        <f t="shared" si="33"/>
        <v>203473.65999999997</v>
      </c>
      <c r="T81" s="2207">
        <f t="shared" si="34"/>
        <v>8713729.9695439581</v>
      </c>
      <c r="U81" s="2208">
        <f t="shared" si="35"/>
        <v>6329099.8382275626</v>
      </c>
      <c r="V81" s="2208">
        <f t="shared" si="36"/>
        <v>317477.94</v>
      </c>
      <c r="W81" s="2209">
        <f t="shared" si="37"/>
        <v>15360307.74777152</v>
      </c>
      <c r="Y81" s="594">
        <f t="shared" si="23"/>
        <v>0.51246444694265048</v>
      </c>
      <c r="Z81" s="595">
        <f t="shared" si="24"/>
        <v>0.24274538147758914</v>
      </c>
      <c r="AA81" s="595">
        <f t="shared" si="25"/>
        <v>0.24479017157976032</v>
      </c>
      <c r="AB81" s="596">
        <f t="shared" si="26"/>
        <v>0.75520982842023965</v>
      </c>
      <c r="AD81" s="1231">
        <f t="shared" si="27"/>
        <v>4.7833216760034984E-2</v>
      </c>
      <c r="AE81" s="1189">
        <f t="shared" si="28"/>
        <v>1.002981206690675E-3</v>
      </c>
      <c r="AF81" s="1233">
        <f t="shared" si="29"/>
        <v>0.95116380203327433</v>
      </c>
      <c r="AH81" s="1231">
        <f t="shared" si="30"/>
        <v>0.56651306229339915</v>
      </c>
      <c r="AI81" s="1189">
        <f t="shared" si="31"/>
        <v>7.5574384790325893E-3</v>
      </c>
      <c r="AJ81" s="1233">
        <f t="shared" si="32"/>
        <v>0.4259294992275684</v>
      </c>
    </row>
    <row r="82" spans="1:36" x14ac:dyDescent="0.25">
      <c r="A82" s="701" t="s">
        <v>202</v>
      </c>
      <c r="B82" s="564" t="s">
        <v>611</v>
      </c>
      <c r="C82" s="702" t="s">
        <v>265</v>
      </c>
      <c r="D82" s="747">
        <f>'Administration LASER'!D81+'Other Oper Exp. LASER'!D81</f>
        <v>2855905.5193938529</v>
      </c>
      <c r="E82" s="748">
        <f>'Administration LASER'!E81+'Other Oper Exp. LASER'!E81</f>
        <v>1040726.9806061471</v>
      </c>
      <c r="F82" s="748">
        <f>'Administration LASER'!K81+'Other Oper Exp. LASER'!K81</f>
        <v>2395834.79</v>
      </c>
      <c r="G82" s="749">
        <f>'Administration LASER'!I81+'Other Oper Exp. LASER'!I81</f>
        <v>6292467.2899999991</v>
      </c>
      <c r="H82" s="747">
        <f>'Client Services LASER'!D81</f>
        <v>179460.41331970919</v>
      </c>
      <c r="I82" s="748">
        <f>'Client Services LASER'!E81</f>
        <v>164127.51668029081</v>
      </c>
      <c r="J82" s="748">
        <f>'Client Services LASER'!K81</f>
        <v>68621.12999999999</v>
      </c>
      <c r="K82" s="749">
        <f>'Client Services LASER'!I81</f>
        <v>412209.06</v>
      </c>
      <c r="L82" s="2207">
        <f>'Statewide Benefits'!D82</f>
        <v>63676759.625820965</v>
      </c>
      <c r="M82" s="2208">
        <f>'Statewide Benefits'!E82</f>
        <v>55205091.59392444</v>
      </c>
      <c r="N82" s="2208">
        <f>'Statewide Benefits'!I82</f>
        <v>3899878.8400000003</v>
      </c>
      <c r="O82" s="2209">
        <f t="shared" si="22"/>
        <v>122781730.0597454</v>
      </c>
      <c r="P82" s="2207">
        <f>'Other Benefits LASER'!D81+'FC &amp; Adoptions LASER'!D81</f>
        <v>1438668.5300000003</v>
      </c>
      <c r="Q82" s="2208">
        <f>'Other Benefits LASER'!E81 + 'FC &amp; Adoptions LASER'!E81</f>
        <v>2456802.71</v>
      </c>
      <c r="R82" s="2208">
        <f>'Other Benefits LASER'!H81 + 'FC &amp; Adoptions LASER'!H81</f>
        <v>103032.19</v>
      </c>
      <c r="S82" s="2209">
        <f t="shared" si="33"/>
        <v>3998503.43</v>
      </c>
      <c r="T82" s="2207">
        <f t="shared" si="34"/>
        <v>68150794.088534519</v>
      </c>
      <c r="U82" s="2208">
        <f t="shared" si="35"/>
        <v>58866748.80121088</v>
      </c>
      <c r="V82" s="2208">
        <f t="shared" si="36"/>
        <v>6467366.9500000002</v>
      </c>
      <c r="W82" s="2209">
        <f t="shared" si="37"/>
        <v>133484909.8397454</v>
      </c>
      <c r="Y82" s="594">
        <f t="shared" si="23"/>
        <v>0.45386100360544795</v>
      </c>
      <c r="Z82" s="595">
        <f t="shared" si="24"/>
        <v>0.16539251340409386</v>
      </c>
      <c r="AA82" s="595">
        <f t="shared" si="25"/>
        <v>0.38074648299045832</v>
      </c>
      <c r="AB82" s="596">
        <f t="shared" si="26"/>
        <v>0.61925351700954179</v>
      </c>
      <c r="AD82" s="1231">
        <f t="shared" si="27"/>
        <v>4.7139914897904096E-2</v>
      </c>
      <c r="AE82" s="1189">
        <f t="shared" si="28"/>
        <v>3.0880573728886314E-3</v>
      </c>
      <c r="AF82" s="1233">
        <f t="shared" si="29"/>
        <v>0.94977202772920732</v>
      </c>
      <c r="AH82" s="1231">
        <f t="shared" si="30"/>
        <v>0.37044979951230383</v>
      </c>
      <c r="AI82" s="1189">
        <f t="shared" si="31"/>
        <v>1.0610365938799868E-2</v>
      </c>
      <c r="AJ82" s="1233">
        <f t="shared" si="32"/>
        <v>0.61893983454889634</v>
      </c>
    </row>
    <row r="83" spans="1:36" x14ac:dyDescent="0.25">
      <c r="A83" s="701" t="s">
        <v>204</v>
      </c>
      <c r="B83" s="564" t="s">
        <v>293</v>
      </c>
      <c r="C83" s="702" t="s">
        <v>265</v>
      </c>
      <c r="D83" s="747">
        <f>'Administration LASER'!D82+'Other Oper Exp. LASER'!D82</f>
        <v>937618.44929759449</v>
      </c>
      <c r="E83" s="748">
        <f>'Administration LASER'!E82+'Other Oper Exp. LASER'!E82</f>
        <v>476456.07070240553</v>
      </c>
      <c r="F83" s="748">
        <f>'Administration LASER'!K82+'Other Oper Exp. LASER'!K82</f>
        <v>373471.27</v>
      </c>
      <c r="G83" s="749">
        <f>'Administration LASER'!I82+'Other Oper Exp. LASER'!I82</f>
        <v>1787545.79</v>
      </c>
      <c r="H83" s="747">
        <f>'Client Services LASER'!D82</f>
        <v>29590.388242319357</v>
      </c>
      <c r="I83" s="748">
        <f>'Client Services LASER'!E82</f>
        <v>14529.391757680645</v>
      </c>
      <c r="J83" s="748">
        <f>'Client Services LASER'!K82</f>
        <v>8224.0399999999991</v>
      </c>
      <c r="K83" s="749">
        <f>'Client Services LASER'!I82</f>
        <v>52343.82</v>
      </c>
      <c r="L83" s="2207">
        <f>'Statewide Benefits'!D83</f>
        <v>26028574.008126505</v>
      </c>
      <c r="M83" s="2208">
        <f>'Statewide Benefits'!E83</f>
        <v>23210838.283091545</v>
      </c>
      <c r="N83" s="2208">
        <f>'Statewide Benefits'!I83</f>
        <v>1232144.98</v>
      </c>
      <c r="O83" s="2209">
        <f t="shared" si="22"/>
        <v>50471557.271218047</v>
      </c>
      <c r="P83" s="2207">
        <f>'Other Benefits LASER'!D82+'FC &amp; Adoptions LASER'!D82</f>
        <v>274380.03999999998</v>
      </c>
      <c r="Q83" s="2208">
        <f>'Other Benefits LASER'!E82 + 'FC &amp; Adoptions LASER'!E82</f>
        <v>377037.64</v>
      </c>
      <c r="R83" s="2208">
        <f>'Other Benefits LASER'!H82 + 'FC &amp; Adoptions LASER'!H82</f>
        <v>22363.34</v>
      </c>
      <c r="S83" s="2209">
        <f t="shared" si="33"/>
        <v>673781.0199999999</v>
      </c>
      <c r="T83" s="2207">
        <f t="shared" si="34"/>
        <v>27270162.885666419</v>
      </c>
      <c r="U83" s="2208">
        <f t="shared" si="35"/>
        <v>24078861.385551631</v>
      </c>
      <c r="V83" s="2208">
        <f t="shared" si="36"/>
        <v>1636203.6300000001</v>
      </c>
      <c r="W83" s="2209">
        <f t="shared" si="37"/>
        <v>52985227.901218049</v>
      </c>
      <c r="Y83" s="594">
        <f t="shared" si="23"/>
        <v>0.52452835308772394</v>
      </c>
      <c r="Z83" s="595">
        <f t="shared" si="24"/>
        <v>0.2665420227933884</v>
      </c>
      <c r="AA83" s="595">
        <f t="shared" si="25"/>
        <v>0.2089296241188876</v>
      </c>
      <c r="AB83" s="596">
        <f t="shared" si="26"/>
        <v>0.7910703758811124</v>
      </c>
      <c r="AD83" s="1231">
        <f t="shared" si="27"/>
        <v>3.3736682105672461E-2</v>
      </c>
      <c r="AE83" s="1189">
        <f t="shared" si="28"/>
        <v>9.8789459012210267E-4</v>
      </c>
      <c r="AF83" s="1233">
        <f t="shared" si="29"/>
        <v>0.96527542330420546</v>
      </c>
      <c r="AH83" s="1231">
        <f t="shared" si="30"/>
        <v>0.22825476190882182</v>
      </c>
      <c r="AI83" s="1189">
        <f t="shared" si="31"/>
        <v>5.0262937015975199E-3</v>
      </c>
      <c r="AJ83" s="1233">
        <f t="shared" si="32"/>
        <v>0.76671894438958066</v>
      </c>
    </row>
    <row r="84" spans="1:36" x14ac:dyDescent="0.25">
      <c r="A84" s="701" t="s">
        <v>206</v>
      </c>
      <c r="B84" s="564" t="s">
        <v>294</v>
      </c>
      <c r="C84" s="702" t="s">
        <v>267</v>
      </c>
      <c r="D84" s="747">
        <f>'Administration LASER'!D83+'Other Oper Exp. LASER'!D83</f>
        <v>3820635.1846559397</v>
      </c>
      <c r="E84" s="748">
        <f>'Administration LASER'!E83+'Other Oper Exp. LASER'!E83</f>
        <v>1301914.8753440604</v>
      </c>
      <c r="F84" s="748">
        <f>'Administration LASER'!K83+'Other Oper Exp. LASER'!K83</f>
        <v>3358620.74</v>
      </c>
      <c r="G84" s="749">
        <f>'Administration LASER'!I83+'Other Oper Exp. LASER'!I83</f>
        <v>8481170.7999999989</v>
      </c>
      <c r="H84" s="747">
        <f>'Client Services LASER'!D83</f>
        <v>160496.43419196206</v>
      </c>
      <c r="I84" s="748">
        <f>'Client Services LASER'!E83</f>
        <v>131396.9058080379</v>
      </c>
      <c r="J84" s="748">
        <f>'Client Services LASER'!K83</f>
        <v>51212.38</v>
      </c>
      <c r="K84" s="749">
        <f>'Client Services LASER'!I83</f>
        <v>343105.72</v>
      </c>
      <c r="L84" s="2207">
        <f>'Statewide Benefits'!D84</f>
        <v>70816052.969440445</v>
      </c>
      <c r="M84" s="2208">
        <f>'Statewide Benefits'!E84</f>
        <v>58080217.771527916</v>
      </c>
      <c r="N84" s="2208">
        <f>'Statewide Benefits'!I84</f>
        <v>4132765.23</v>
      </c>
      <c r="O84" s="2209">
        <f t="shared" si="22"/>
        <v>133029035.97096837</v>
      </c>
      <c r="P84" s="2207">
        <f>'Other Benefits LASER'!D83+'FC &amp; Adoptions LASER'!D83</f>
        <v>2601800.0100000007</v>
      </c>
      <c r="Q84" s="2208">
        <f>'Other Benefits LASER'!E83 + 'FC &amp; Adoptions LASER'!E83</f>
        <v>3786977.9800000004</v>
      </c>
      <c r="R84" s="2208">
        <f>'Other Benefits LASER'!H83 + 'FC &amp; Adoptions LASER'!H83</f>
        <v>57664.62</v>
      </c>
      <c r="S84" s="2209">
        <f t="shared" si="33"/>
        <v>6446442.6100000013</v>
      </c>
      <c r="T84" s="2207">
        <f t="shared" si="34"/>
        <v>77398984.598288357</v>
      </c>
      <c r="U84" s="2208">
        <f t="shared" si="35"/>
        <v>63300507.53268002</v>
      </c>
      <c r="V84" s="2208">
        <f t="shared" si="36"/>
        <v>7600262.9699999997</v>
      </c>
      <c r="W84" s="2209">
        <f t="shared" si="37"/>
        <v>148299755.10096839</v>
      </c>
      <c r="Y84" s="594">
        <f t="shared" si="23"/>
        <v>0.45048440536723305</v>
      </c>
      <c r="Z84" s="595">
        <f t="shared" si="24"/>
        <v>0.15350650352944908</v>
      </c>
      <c r="AA84" s="595">
        <f t="shared" si="25"/>
        <v>0.39600909110331806</v>
      </c>
      <c r="AB84" s="596">
        <f t="shared" si="26"/>
        <v>0.60399090889668217</v>
      </c>
      <c r="AD84" s="1231">
        <f t="shared" si="27"/>
        <v>5.7189378325174435E-2</v>
      </c>
      <c r="AE84" s="1189">
        <f t="shared" si="28"/>
        <v>2.3135959986339823E-3</v>
      </c>
      <c r="AF84" s="1233">
        <f t="shared" si="29"/>
        <v>0.94049702567619153</v>
      </c>
      <c r="AH84" s="1231">
        <f t="shared" si="30"/>
        <v>0.44190849096370155</v>
      </c>
      <c r="AI84" s="1189">
        <f t="shared" si="31"/>
        <v>6.7382379007341108E-3</v>
      </c>
      <c r="AJ84" s="1233">
        <f t="shared" si="32"/>
        <v>0.55135327113556443</v>
      </c>
    </row>
    <row r="85" spans="1:36" x14ac:dyDescent="0.25">
      <c r="A85" s="701" t="s">
        <v>208</v>
      </c>
      <c r="B85" s="564" t="s">
        <v>209</v>
      </c>
      <c r="C85" s="702" t="s">
        <v>268</v>
      </c>
      <c r="D85" s="747">
        <f>'Administration LASER'!D84+'Other Oper Exp. LASER'!D84</f>
        <v>1299786.0622842528</v>
      </c>
      <c r="E85" s="748">
        <f>'Administration LASER'!E84+'Other Oper Exp. LASER'!E84</f>
        <v>664477.46771574719</v>
      </c>
      <c r="F85" s="748">
        <f>'Administration LASER'!K84+'Other Oper Exp. LASER'!K84</f>
        <v>513698.76</v>
      </c>
      <c r="G85" s="749">
        <f>'Administration LASER'!I84+'Other Oper Exp. LASER'!I84</f>
        <v>2477962.2900000005</v>
      </c>
      <c r="H85" s="747">
        <f>'Client Services LASER'!D84</f>
        <v>60938.630566240128</v>
      </c>
      <c r="I85" s="748">
        <f>'Client Services LASER'!E84</f>
        <v>30782.289433759877</v>
      </c>
      <c r="J85" s="748">
        <f>'Client Services LASER'!K84</f>
        <v>16471.920000000002</v>
      </c>
      <c r="K85" s="749">
        <f>'Client Services LASER'!I84</f>
        <v>108192.84000000003</v>
      </c>
      <c r="L85" s="2207">
        <f>'Statewide Benefits'!D85</f>
        <v>31334543.548280779</v>
      </c>
      <c r="M85" s="2208">
        <f>'Statewide Benefits'!E85</f>
        <v>23417158.023221146</v>
      </c>
      <c r="N85" s="2208">
        <f>'Statewide Benefits'!I85</f>
        <v>482476.69</v>
      </c>
      <c r="O85" s="2209">
        <f t="shared" si="22"/>
        <v>55234178.261501923</v>
      </c>
      <c r="P85" s="2207">
        <f>'Other Benefits LASER'!D84+'FC &amp; Adoptions LASER'!D84</f>
        <v>1070427.03</v>
      </c>
      <c r="Q85" s="2208">
        <f>'Other Benefits LASER'!E84 + 'FC &amp; Adoptions LASER'!E84</f>
        <v>1683861.77</v>
      </c>
      <c r="R85" s="2208">
        <f>'Other Benefits LASER'!H84 + 'FC &amp; Adoptions LASER'!H84</f>
        <v>81166.27</v>
      </c>
      <c r="S85" s="2209">
        <f t="shared" si="33"/>
        <v>2835455.07</v>
      </c>
      <c r="T85" s="2207">
        <f t="shared" si="34"/>
        <v>33765695.27113127</v>
      </c>
      <c r="U85" s="2208">
        <f t="shared" si="35"/>
        <v>25796279.550370652</v>
      </c>
      <c r="V85" s="2208">
        <f t="shared" si="36"/>
        <v>1093813.6400000001</v>
      </c>
      <c r="W85" s="2209">
        <f t="shared" si="37"/>
        <v>60655788.461501926</v>
      </c>
      <c r="Y85" s="594">
        <f t="shared" si="23"/>
        <v>0.524538273858983</v>
      </c>
      <c r="Z85" s="595">
        <f t="shared" si="24"/>
        <v>0.26815479412148241</v>
      </c>
      <c r="AA85" s="595">
        <f t="shared" si="25"/>
        <v>0.20730693201953446</v>
      </c>
      <c r="AB85" s="596">
        <f t="shared" si="26"/>
        <v>0.79269306798046535</v>
      </c>
      <c r="AD85" s="1231">
        <f t="shared" si="27"/>
        <v>4.0852857622529409E-2</v>
      </c>
      <c r="AE85" s="1189">
        <f t="shared" si="28"/>
        <v>1.783718301983161E-3</v>
      </c>
      <c r="AF85" s="1233">
        <f t="shared" si="29"/>
        <v>0.95736342407548736</v>
      </c>
      <c r="AH85" s="1231">
        <f t="shared" si="30"/>
        <v>0.46964011163729863</v>
      </c>
      <c r="AI85" s="1189">
        <f t="shared" si="31"/>
        <v>1.5059164923194777E-2</v>
      </c>
      <c r="AJ85" s="1233">
        <f t="shared" si="32"/>
        <v>0.5153007234395065</v>
      </c>
    </row>
    <row r="86" spans="1:36" x14ac:dyDescent="0.25">
      <c r="A86" s="701" t="s">
        <v>210</v>
      </c>
      <c r="B86" s="564" t="s">
        <v>211</v>
      </c>
      <c r="C86" s="702" t="s">
        <v>268</v>
      </c>
      <c r="D86" s="747">
        <f>'Administration LASER'!D85+'Other Oper Exp. LASER'!D85</f>
        <v>1171809.8793902625</v>
      </c>
      <c r="E86" s="748">
        <f>'Administration LASER'!E85+'Other Oper Exp. LASER'!E85</f>
        <v>606886.5306097375</v>
      </c>
      <c r="F86" s="748">
        <f>'Administration LASER'!K85+'Other Oper Exp. LASER'!K85</f>
        <v>436361.4</v>
      </c>
      <c r="G86" s="749">
        <f>'Administration LASER'!I85+'Other Oper Exp. LASER'!I85</f>
        <v>2215057.81</v>
      </c>
      <c r="H86" s="747">
        <f>'Client Services LASER'!D85</f>
        <v>27726.382994397169</v>
      </c>
      <c r="I86" s="748">
        <f>'Client Services LASER'!E85</f>
        <v>47552.647005602827</v>
      </c>
      <c r="J86" s="748">
        <f>'Client Services LASER'!K85</f>
        <v>12726.63</v>
      </c>
      <c r="K86" s="749">
        <f>'Client Services LASER'!I85</f>
        <v>88005.66</v>
      </c>
      <c r="L86" s="2207">
        <f>'Statewide Benefits'!D86</f>
        <v>23597795.328660019</v>
      </c>
      <c r="M86" s="2208">
        <f>'Statewide Benefits'!E86</f>
        <v>18343962.763599619</v>
      </c>
      <c r="N86" s="2208">
        <f>'Statewide Benefits'!I86</f>
        <v>346265.22</v>
      </c>
      <c r="O86" s="2209">
        <f t="shared" si="22"/>
        <v>42288023.312259637</v>
      </c>
      <c r="P86" s="2207">
        <f>'Other Benefits LASER'!D85+'FC &amp; Adoptions LASER'!D85</f>
        <v>425065.97000000003</v>
      </c>
      <c r="Q86" s="2208">
        <f>'Other Benefits LASER'!E85 + 'FC &amp; Adoptions LASER'!E85</f>
        <v>605977.38</v>
      </c>
      <c r="R86" s="2208">
        <f>'Other Benefits LASER'!H85 + 'FC &amp; Adoptions LASER'!H85</f>
        <v>37182.039999999994</v>
      </c>
      <c r="S86" s="2209">
        <f t="shared" si="33"/>
        <v>1068225.3900000001</v>
      </c>
      <c r="T86" s="2207">
        <f t="shared" si="34"/>
        <v>25222397.561044678</v>
      </c>
      <c r="U86" s="2208">
        <f t="shared" si="35"/>
        <v>19604379.321214959</v>
      </c>
      <c r="V86" s="2208">
        <f t="shared" si="36"/>
        <v>832535.29</v>
      </c>
      <c r="W86" s="2209">
        <f t="shared" si="37"/>
        <v>45659312.172259636</v>
      </c>
      <c r="Y86" s="594">
        <f t="shared" si="23"/>
        <v>0.52901999853008919</v>
      </c>
      <c r="Z86" s="595">
        <f t="shared" si="24"/>
        <v>0.27398225358720435</v>
      </c>
      <c r="AA86" s="595">
        <f t="shared" si="25"/>
        <v>0.19699774788270652</v>
      </c>
      <c r="AB86" s="596">
        <f t="shared" si="26"/>
        <v>0.80300225211729359</v>
      </c>
      <c r="AD86" s="1231">
        <f t="shared" si="27"/>
        <v>4.8512728392473697E-2</v>
      </c>
      <c r="AE86" s="1189">
        <f t="shared" si="28"/>
        <v>1.9274416501934941E-3</v>
      </c>
      <c r="AF86" s="1233">
        <f t="shared" si="29"/>
        <v>0.94955982995733279</v>
      </c>
      <c r="AH86" s="1231">
        <f t="shared" si="30"/>
        <v>0.52413561952430865</v>
      </c>
      <c r="AI86" s="1189">
        <f t="shared" si="31"/>
        <v>1.5286595238503342E-2</v>
      </c>
      <c r="AJ86" s="1233">
        <f t="shared" si="32"/>
        <v>0.4605777852371879</v>
      </c>
    </row>
    <row r="87" spans="1:36" x14ac:dyDescent="0.25">
      <c r="A87" s="701" t="s">
        <v>212</v>
      </c>
      <c r="B87" s="564" t="s">
        <v>213</v>
      </c>
      <c r="C87" s="702" t="s">
        <v>267</v>
      </c>
      <c r="D87" s="747">
        <f>'Administration LASER'!D86+'Other Oper Exp. LASER'!D86</f>
        <v>1269562.4756204053</v>
      </c>
      <c r="E87" s="748">
        <f>'Administration LASER'!E86+'Other Oper Exp. LASER'!E86</f>
        <v>469991.6343795947</v>
      </c>
      <c r="F87" s="748">
        <f>'Administration LASER'!K86+'Other Oper Exp. LASER'!K86</f>
        <v>1168134.4000000001</v>
      </c>
      <c r="G87" s="749">
        <f>'Administration LASER'!I86+'Other Oper Exp. LASER'!I86</f>
        <v>2907688.5100000002</v>
      </c>
      <c r="H87" s="747">
        <f>'Client Services LASER'!D86</f>
        <v>34120.240791138523</v>
      </c>
      <c r="I87" s="748">
        <f>'Client Services LASER'!E86</f>
        <v>50055.069208861474</v>
      </c>
      <c r="J87" s="748">
        <f>'Client Services LASER'!K86</f>
        <v>15979.369999999999</v>
      </c>
      <c r="K87" s="749">
        <f>'Client Services LASER'!I86</f>
        <v>100154.68</v>
      </c>
      <c r="L87" s="2207">
        <f>'Statewide Benefits'!D87</f>
        <v>32631313.315000176</v>
      </c>
      <c r="M87" s="2208">
        <f>'Statewide Benefits'!E87</f>
        <v>26410508.54124967</v>
      </c>
      <c r="N87" s="2208">
        <f>'Statewide Benefits'!I87</f>
        <v>1155266.07</v>
      </c>
      <c r="O87" s="2209">
        <f t="shared" si="22"/>
        <v>60197087.926249847</v>
      </c>
      <c r="P87" s="2207">
        <f>'Other Benefits LASER'!D86+'FC &amp; Adoptions LASER'!D86</f>
        <v>360411.91</v>
      </c>
      <c r="Q87" s="2208">
        <f>'Other Benefits LASER'!E86 + 'FC &amp; Adoptions LASER'!E86</f>
        <v>708853.92999999993</v>
      </c>
      <c r="R87" s="2208">
        <f>'Other Benefits LASER'!H86 + 'FC &amp; Adoptions LASER'!H86</f>
        <v>46915.58</v>
      </c>
      <c r="S87" s="2209">
        <f t="shared" si="33"/>
        <v>1116181.42</v>
      </c>
      <c r="T87" s="2207">
        <f t="shared" si="34"/>
        <v>34295407.941411719</v>
      </c>
      <c r="U87" s="2208">
        <f t="shared" si="35"/>
        <v>27639409.174838126</v>
      </c>
      <c r="V87" s="2208">
        <f t="shared" si="36"/>
        <v>2386295.4200000004</v>
      </c>
      <c r="W87" s="2209">
        <f t="shared" si="37"/>
        <v>64321112.536249846</v>
      </c>
      <c r="Y87" s="594">
        <f t="shared" si="23"/>
        <v>0.43662258569106677</v>
      </c>
      <c r="Z87" s="595">
        <f t="shared" si="24"/>
        <v>0.16163754568731115</v>
      </c>
      <c r="AA87" s="595">
        <f t="shared" si="25"/>
        <v>0.40173986862162209</v>
      </c>
      <c r="AB87" s="596">
        <f t="shared" si="26"/>
        <v>0.59826013137837786</v>
      </c>
      <c r="AD87" s="1231">
        <f t="shared" si="27"/>
        <v>4.5205818048642994E-2</v>
      </c>
      <c r="AE87" s="1189">
        <f t="shared" si="28"/>
        <v>1.5571042858370213E-3</v>
      </c>
      <c r="AF87" s="1233">
        <f t="shared" si="29"/>
        <v>0.95323707766552002</v>
      </c>
      <c r="AH87" s="1231">
        <f t="shared" si="30"/>
        <v>0.48951793236061275</v>
      </c>
      <c r="AI87" s="1189">
        <f t="shared" si="31"/>
        <v>6.6963083724143413E-3</v>
      </c>
      <c r="AJ87" s="1233">
        <f t="shared" si="32"/>
        <v>0.50378575926697289</v>
      </c>
    </row>
    <row r="88" spans="1:36" x14ac:dyDescent="0.25">
      <c r="A88" s="701" t="s">
        <v>214</v>
      </c>
      <c r="B88" s="564" t="s">
        <v>215</v>
      </c>
      <c r="C88" s="702" t="s">
        <v>268</v>
      </c>
      <c r="D88" s="747">
        <f>'Administration LASER'!D87+'Other Oper Exp. LASER'!D87</f>
        <v>1837327.7903966533</v>
      </c>
      <c r="E88" s="748">
        <f>'Administration LASER'!E87+'Other Oper Exp. LASER'!E87</f>
        <v>928933.20960334688</v>
      </c>
      <c r="F88" s="748">
        <f>'Administration LASER'!K87+'Other Oper Exp. LASER'!K87</f>
        <v>656741.19999999995</v>
      </c>
      <c r="G88" s="749">
        <f>'Administration LASER'!I87+'Other Oper Exp. LASER'!I87</f>
        <v>3423002.2</v>
      </c>
      <c r="H88" s="747">
        <f>'Client Services LASER'!D87</f>
        <v>122135.54173009418</v>
      </c>
      <c r="I88" s="748">
        <f>'Client Services LASER'!E87</f>
        <v>49528.588269905813</v>
      </c>
      <c r="J88" s="748">
        <f>'Client Services LASER'!K87</f>
        <v>35088.890000000007</v>
      </c>
      <c r="K88" s="749">
        <f>'Client Services LASER'!I87</f>
        <v>206753.02000000002</v>
      </c>
      <c r="L88" s="2207">
        <f>'Statewide Benefits'!D88</f>
        <v>36385708.642150261</v>
      </c>
      <c r="M88" s="2208">
        <f>'Statewide Benefits'!E88</f>
        <v>27156894.275200531</v>
      </c>
      <c r="N88" s="2208">
        <f>'Statewide Benefits'!I88</f>
        <v>280374.56</v>
      </c>
      <c r="O88" s="2209">
        <f t="shared" si="22"/>
        <v>63822977.477350794</v>
      </c>
      <c r="P88" s="2207">
        <f>'Other Benefits LASER'!D87+'FC &amp; Adoptions LASER'!D87</f>
        <v>294812.51</v>
      </c>
      <c r="Q88" s="2208">
        <f>'Other Benefits LASER'!E87 + 'FC &amp; Adoptions LASER'!E87</f>
        <v>614783.01</v>
      </c>
      <c r="R88" s="2208">
        <f>'Other Benefits LASER'!H87 + 'FC &amp; Adoptions LASER'!H87</f>
        <v>73492.11</v>
      </c>
      <c r="S88" s="2209">
        <f t="shared" si="33"/>
        <v>983087.63</v>
      </c>
      <c r="T88" s="2207">
        <f t="shared" si="34"/>
        <v>38639984.484277003</v>
      </c>
      <c r="U88" s="2208">
        <f t="shared" si="35"/>
        <v>28750139.083073784</v>
      </c>
      <c r="V88" s="2208">
        <f t="shared" si="36"/>
        <v>1045696.7599999999</v>
      </c>
      <c r="W88" s="2209">
        <f t="shared" si="37"/>
        <v>68435820.327350795</v>
      </c>
      <c r="Y88" s="594">
        <f t="shared" si="23"/>
        <v>0.53675916141586277</v>
      </c>
      <c r="Z88" s="595">
        <f t="shared" si="24"/>
        <v>0.27137967063046203</v>
      </c>
      <c r="AA88" s="595">
        <f t="shared" si="25"/>
        <v>0.19186116795367525</v>
      </c>
      <c r="AB88" s="596">
        <f t="shared" si="26"/>
        <v>0.80813883204632464</v>
      </c>
      <c r="AD88" s="1231">
        <f t="shared" si="27"/>
        <v>5.0017698094750193E-2</v>
      </c>
      <c r="AE88" s="1189">
        <f t="shared" si="28"/>
        <v>3.0211228419712521E-3</v>
      </c>
      <c r="AF88" s="1233">
        <f t="shared" si="29"/>
        <v>0.94696117906327859</v>
      </c>
      <c r="AH88" s="1231">
        <f t="shared" si="30"/>
        <v>0.62804172789059809</v>
      </c>
      <c r="AI88" s="1189">
        <f t="shared" si="31"/>
        <v>3.3555511829261107E-2</v>
      </c>
      <c r="AJ88" s="1233">
        <f t="shared" si="32"/>
        <v>0.33840276028014088</v>
      </c>
    </row>
    <row r="89" spans="1:36" x14ac:dyDescent="0.25">
      <c r="A89" s="701" t="s">
        <v>216</v>
      </c>
      <c r="B89" s="564" t="s">
        <v>217</v>
      </c>
      <c r="C89" s="702" t="s">
        <v>264</v>
      </c>
      <c r="D89" s="747">
        <f>'Administration LASER'!D88+'Other Oper Exp. LASER'!D88</f>
        <v>1010286.7623887673</v>
      </c>
      <c r="E89" s="748">
        <f>'Administration LASER'!E88+'Other Oper Exp. LASER'!E88</f>
        <v>517603.39761123271</v>
      </c>
      <c r="F89" s="748">
        <f>'Administration LASER'!K88+'Other Oper Exp. LASER'!K88</f>
        <v>387562.98000000004</v>
      </c>
      <c r="G89" s="749">
        <f>'Administration LASER'!I88+'Other Oper Exp. LASER'!I88</f>
        <v>1915453.1400000001</v>
      </c>
      <c r="H89" s="747">
        <f>'Client Services LASER'!D88</f>
        <v>63327.812703365089</v>
      </c>
      <c r="I89" s="748">
        <f>'Client Services LASER'!E88</f>
        <v>39452.437296634911</v>
      </c>
      <c r="J89" s="748">
        <f>'Client Services LASER'!K88</f>
        <v>20888.870000000003</v>
      </c>
      <c r="K89" s="749">
        <f>'Client Services LASER'!I88</f>
        <v>123669.12</v>
      </c>
      <c r="L89" s="2207">
        <f>'Statewide Benefits'!D89</f>
        <v>17855686.48603043</v>
      </c>
      <c r="M89" s="2208">
        <f>'Statewide Benefits'!E89</f>
        <v>13405720.456476204</v>
      </c>
      <c r="N89" s="2208">
        <f>'Statewide Benefits'!I89</f>
        <v>125161.23000000001</v>
      </c>
      <c r="O89" s="2209">
        <f t="shared" si="22"/>
        <v>31386568.172506634</v>
      </c>
      <c r="P89" s="2207">
        <f>'Other Benefits LASER'!D88+'FC &amp; Adoptions LASER'!D88</f>
        <v>110019.79</v>
      </c>
      <c r="Q89" s="2208">
        <f>'Other Benefits LASER'!E88 + 'FC &amp; Adoptions LASER'!E88</f>
        <v>147681.88</v>
      </c>
      <c r="R89" s="2208">
        <f>'Other Benefits LASER'!H88 + 'FC &amp; Adoptions LASER'!H88</f>
        <v>9421.2799999999988</v>
      </c>
      <c r="S89" s="2209">
        <f t="shared" si="33"/>
        <v>267122.94999999995</v>
      </c>
      <c r="T89" s="2207">
        <f t="shared" si="34"/>
        <v>19039320.851122562</v>
      </c>
      <c r="U89" s="2208">
        <f t="shared" si="35"/>
        <v>14110458.171384072</v>
      </c>
      <c r="V89" s="2208">
        <f t="shared" si="36"/>
        <v>543034.3600000001</v>
      </c>
      <c r="W89" s="2209">
        <f t="shared" si="37"/>
        <v>33692813.382506639</v>
      </c>
      <c r="Y89" s="594">
        <f t="shared" si="23"/>
        <v>0.52744008260560593</v>
      </c>
      <c r="Z89" s="595">
        <f t="shared" si="24"/>
        <v>0.27022503803524667</v>
      </c>
      <c r="AA89" s="595">
        <f t="shared" si="25"/>
        <v>0.20233487935914737</v>
      </c>
      <c r="AB89" s="596">
        <f t="shared" si="26"/>
        <v>0.79766512064085271</v>
      </c>
      <c r="AD89" s="1231">
        <f t="shared" si="27"/>
        <v>5.6850495631050699E-2</v>
      </c>
      <c r="AE89" s="1189">
        <f t="shared" si="28"/>
        <v>3.6704895669000203E-3</v>
      </c>
      <c r="AF89" s="1233">
        <f t="shared" si="29"/>
        <v>0.93947901480204909</v>
      </c>
      <c r="AH89" s="1231">
        <f t="shared" si="30"/>
        <v>0.71369881640638722</v>
      </c>
      <c r="AI89" s="1189">
        <f t="shared" si="31"/>
        <v>3.8466939734715863E-2</v>
      </c>
      <c r="AJ89" s="1233">
        <f t="shared" si="32"/>
        <v>0.24783424385889685</v>
      </c>
    </row>
    <row r="90" spans="1:36" x14ac:dyDescent="0.25">
      <c r="A90" s="701" t="s">
        <v>218</v>
      </c>
      <c r="B90" s="564" t="s">
        <v>219</v>
      </c>
      <c r="C90" s="702" t="s">
        <v>267</v>
      </c>
      <c r="D90" s="747">
        <f>'Administration LASER'!D89+'Other Oper Exp. LASER'!D89</f>
        <v>3014256.0095544779</v>
      </c>
      <c r="E90" s="748">
        <f>'Administration LASER'!E89+'Other Oper Exp. LASER'!E89</f>
        <v>918214.24044552236</v>
      </c>
      <c r="F90" s="748">
        <f>'Administration LASER'!K89+'Other Oper Exp. LASER'!K89</f>
        <v>3107789.9000000004</v>
      </c>
      <c r="G90" s="749">
        <f>'Administration LASER'!I89+'Other Oper Exp. LASER'!I89</f>
        <v>7040260.1499999994</v>
      </c>
      <c r="H90" s="747">
        <f>'Client Services LASER'!D89</f>
        <v>178951.10340873426</v>
      </c>
      <c r="I90" s="748">
        <f>'Client Services LASER'!E89</f>
        <v>118547.49659126574</v>
      </c>
      <c r="J90" s="748">
        <f>'Client Services LASER'!K89</f>
        <v>63645.530000000006</v>
      </c>
      <c r="K90" s="749">
        <f>'Client Services LASER'!I89</f>
        <v>361144.13</v>
      </c>
      <c r="L90" s="2207">
        <f>'Statewide Benefits'!D90</f>
        <v>77300858.792098656</v>
      </c>
      <c r="M90" s="2208">
        <f>'Statewide Benefits'!E90</f>
        <v>62405603.217921473</v>
      </c>
      <c r="N90" s="2208">
        <f>'Statewide Benefits'!I90</f>
        <v>4379664.49</v>
      </c>
      <c r="O90" s="2209">
        <f t="shared" si="22"/>
        <v>144086126.50002015</v>
      </c>
      <c r="P90" s="2207">
        <f>'Other Benefits LASER'!D89+'FC &amp; Adoptions LASER'!D89</f>
        <v>1203539.74</v>
      </c>
      <c r="Q90" s="2208">
        <f>'Other Benefits LASER'!E89 + 'FC &amp; Adoptions LASER'!E89</f>
        <v>1696574.6099999999</v>
      </c>
      <c r="R90" s="2208">
        <f>'Other Benefits LASER'!H89 + 'FC &amp; Adoptions LASER'!H89</f>
        <v>25709.249999999996</v>
      </c>
      <c r="S90" s="2209">
        <f t="shared" si="33"/>
        <v>2925823.5999999996</v>
      </c>
      <c r="T90" s="2207">
        <f t="shared" si="34"/>
        <v>81697605.645061865</v>
      </c>
      <c r="U90" s="2208">
        <f t="shared" si="35"/>
        <v>65138939.564958259</v>
      </c>
      <c r="V90" s="2208">
        <f t="shared" si="36"/>
        <v>7576809.1699999999</v>
      </c>
      <c r="W90" s="2209">
        <f t="shared" si="37"/>
        <v>154413354.38002014</v>
      </c>
      <c r="Y90" s="594">
        <f t="shared" si="23"/>
        <v>0.4281455436777401</v>
      </c>
      <c r="Z90" s="595">
        <f t="shared" si="24"/>
        <v>0.13042333960422223</v>
      </c>
      <c r="AA90" s="595">
        <f t="shared" si="25"/>
        <v>0.44143111671803786</v>
      </c>
      <c r="AB90" s="596">
        <f t="shared" si="26"/>
        <v>0.5585688832819623</v>
      </c>
      <c r="AD90" s="1231">
        <f t="shared" si="27"/>
        <v>4.5593596345776637E-2</v>
      </c>
      <c r="AE90" s="1189">
        <f t="shared" si="28"/>
        <v>2.3388140970709279E-3</v>
      </c>
      <c r="AF90" s="1233">
        <f t="shared" si="29"/>
        <v>0.95206758955715243</v>
      </c>
      <c r="AH90" s="1231">
        <f t="shared" si="30"/>
        <v>0.41017133073710504</v>
      </c>
      <c r="AI90" s="1189">
        <f t="shared" si="31"/>
        <v>8.4000439462038091E-3</v>
      </c>
      <c r="AJ90" s="1233">
        <f t="shared" si="32"/>
        <v>0.58142862531669126</v>
      </c>
    </row>
    <row r="91" spans="1:36" x14ac:dyDescent="0.25">
      <c r="A91" s="701" t="s">
        <v>220</v>
      </c>
      <c r="B91" s="564" t="s">
        <v>221</v>
      </c>
      <c r="C91" s="702" t="s">
        <v>267</v>
      </c>
      <c r="D91" s="747">
        <f>'Administration LASER'!D90+'Other Oper Exp. LASER'!D90</f>
        <v>2281437.2714103987</v>
      </c>
      <c r="E91" s="748">
        <f>'Administration LASER'!E90+'Other Oper Exp. LASER'!E90</f>
        <v>883688.21858960122</v>
      </c>
      <c r="F91" s="748">
        <f>'Administration LASER'!K90+'Other Oper Exp. LASER'!K90</f>
        <v>1712856.7</v>
      </c>
      <c r="G91" s="749">
        <f>'Administration LASER'!I90+'Other Oper Exp. LASER'!I90</f>
        <v>4877982.1900000004</v>
      </c>
      <c r="H91" s="747">
        <f>'Client Services LASER'!D90</f>
        <v>40837.498098823846</v>
      </c>
      <c r="I91" s="748">
        <f>'Client Services LASER'!E90</f>
        <v>37034.681901176147</v>
      </c>
      <c r="J91" s="748">
        <f>'Client Services LASER'!K90</f>
        <v>42365.8</v>
      </c>
      <c r="K91" s="749">
        <f>'Client Services LASER'!I90</f>
        <v>120237.98</v>
      </c>
      <c r="L91" s="2207">
        <f>'Statewide Benefits'!D91</f>
        <v>63174741.10350012</v>
      </c>
      <c r="M91" s="2208">
        <f>'Statewide Benefits'!E91</f>
        <v>50366977.803278141</v>
      </c>
      <c r="N91" s="2208">
        <f>'Statewide Benefits'!I91</f>
        <v>2975046.7800000003</v>
      </c>
      <c r="O91" s="2209">
        <f t="shared" si="22"/>
        <v>116516765.68677826</v>
      </c>
      <c r="P91" s="2207">
        <f>'Other Benefits LASER'!D90+'FC &amp; Adoptions LASER'!D90</f>
        <v>566093.55999999994</v>
      </c>
      <c r="Q91" s="2208">
        <f>'Other Benefits LASER'!E90 + 'FC &amp; Adoptions LASER'!E90</f>
        <v>932794.2</v>
      </c>
      <c r="R91" s="2208">
        <f>'Other Benefits LASER'!H90 + 'FC &amp; Adoptions LASER'!H90</f>
        <v>13473.73</v>
      </c>
      <c r="S91" s="2209">
        <f t="shared" si="33"/>
        <v>1512361.4899999998</v>
      </c>
      <c r="T91" s="2207">
        <f t="shared" si="34"/>
        <v>66063109.433009341</v>
      </c>
      <c r="U91" s="2208">
        <f t="shared" si="35"/>
        <v>52220494.903768919</v>
      </c>
      <c r="V91" s="2208">
        <f t="shared" si="36"/>
        <v>4743743.0100000007</v>
      </c>
      <c r="W91" s="2209">
        <f t="shared" si="37"/>
        <v>123027347.34677826</v>
      </c>
      <c r="Y91" s="594">
        <f t="shared" si="23"/>
        <v>0.46770102524921242</v>
      </c>
      <c r="Z91" s="595">
        <f t="shared" si="24"/>
        <v>0.18115855781539891</v>
      </c>
      <c r="AA91" s="595">
        <f t="shared" si="25"/>
        <v>0.35114041693538856</v>
      </c>
      <c r="AB91" s="596">
        <f t="shared" si="26"/>
        <v>0.64885958306461133</v>
      </c>
      <c r="AD91" s="1231">
        <f t="shared" si="27"/>
        <v>3.9649576254378545E-2</v>
      </c>
      <c r="AE91" s="1189">
        <f t="shared" si="28"/>
        <v>9.7732725766316126E-4</v>
      </c>
      <c r="AF91" s="1233">
        <f t="shared" si="29"/>
        <v>0.95937309648795832</v>
      </c>
      <c r="AH91" s="1231">
        <f t="shared" si="30"/>
        <v>0.36107704325239148</v>
      </c>
      <c r="AI91" s="1189">
        <f t="shared" si="31"/>
        <v>8.930880089981939E-3</v>
      </c>
      <c r="AJ91" s="1233">
        <f t="shared" si="32"/>
        <v>0.62999207665762647</v>
      </c>
    </row>
    <row r="92" spans="1:36" x14ac:dyDescent="0.25">
      <c r="A92" s="701" t="s">
        <v>224</v>
      </c>
      <c r="B92" s="564" t="s">
        <v>225</v>
      </c>
      <c r="C92" s="702" t="s">
        <v>264</v>
      </c>
      <c r="D92" s="747">
        <f>'Administration LASER'!D91+'Other Oper Exp. LASER'!D91</f>
        <v>700074.00332090491</v>
      </c>
      <c r="E92" s="748">
        <f>'Administration LASER'!E91+'Other Oper Exp. LASER'!E91</f>
        <v>296925.04667909496</v>
      </c>
      <c r="F92" s="748">
        <f>'Administration LASER'!K91+'Other Oper Exp. LASER'!K91</f>
        <v>641607.1</v>
      </c>
      <c r="G92" s="749">
        <f>'Administration LASER'!I91+'Other Oper Exp. LASER'!I91</f>
        <v>1638606.15</v>
      </c>
      <c r="H92" s="747">
        <f>'Client Services LASER'!D91</f>
        <v>114031.68285065163</v>
      </c>
      <c r="I92" s="748">
        <f>'Client Services LASER'!E91</f>
        <v>15468.047149348342</v>
      </c>
      <c r="J92" s="748">
        <f>'Client Services LASER'!K91</f>
        <v>32467.920000000002</v>
      </c>
      <c r="K92" s="749">
        <f>'Client Services LASER'!I91</f>
        <v>161967.65</v>
      </c>
      <c r="L92" s="2207">
        <f>'Statewide Benefits'!D92</f>
        <v>6103005.7658379357</v>
      </c>
      <c r="M92" s="2208">
        <f>'Statewide Benefits'!E92</f>
        <v>4543955.5368195074</v>
      </c>
      <c r="N92" s="2208">
        <f>'Statewide Benefits'!I92</f>
        <v>18701.29</v>
      </c>
      <c r="O92" s="2209">
        <f t="shared" si="22"/>
        <v>10665662.592657443</v>
      </c>
      <c r="P92" s="2207">
        <f>'Other Benefits LASER'!D91+'FC &amp; Adoptions LASER'!D91</f>
        <v>4193</v>
      </c>
      <c r="Q92" s="2208">
        <f>'Other Benefits LASER'!E91 + 'FC &amp; Adoptions LASER'!E91</f>
        <v>42968.46</v>
      </c>
      <c r="R92" s="2208">
        <f>'Other Benefits LASER'!H91 + 'FC &amp; Adoptions LASER'!H91</f>
        <v>9693.86</v>
      </c>
      <c r="S92" s="2209">
        <f t="shared" si="33"/>
        <v>56855.32</v>
      </c>
      <c r="T92" s="2207">
        <f t="shared" si="34"/>
        <v>6921304.4520094926</v>
      </c>
      <c r="U92" s="2208">
        <f t="shared" si="35"/>
        <v>4899317.0906479508</v>
      </c>
      <c r="V92" s="2208">
        <f t="shared" si="36"/>
        <v>702470.17</v>
      </c>
      <c r="W92" s="2209">
        <f t="shared" si="37"/>
        <v>12523091.712657444</v>
      </c>
      <c r="Y92" s="594">
        <f t="shared" si="23"/>
        <v>0.42723750507155422</v>
      </c>
      <c r="Z92" s="595">
        <f t="shared" si="24"/>
        <v>0.18120586614367032</v>
      </c>
      <c r="AA92" s="595">
        <f t="shared" si="25"/>
        <v>0.39155662878477543</v>
      </c>
      <c r="AB92" s="596">
        <f t="shared" si="26"/>
        <v>0.60844337121522452</v>
      </c>
      <c r="AD92" s="1231">
        <f t="shared" si="27"/>
        <v>0.13084677391157443</v>
      </c>
      <c r="AE92" s="1189">
        <f t="shared" si="28"/>
        <v>1.2933519430852263E-2</v>
      </c>
      <c r="AF92" s="1233">
        <f t="shared" si="29"/>
        <v>0.8562197066575733</v>
      </c>
      <c r="AH92" s="1231">
        <f t="shared" si="30"/>
        <v>0.91335849890964049</v>
      </c>
      <c r="AI92" s="1189">
        <f t="shared" si="31"/>
        <v>4.6219642323032738E-2</v>
      </c>
      <c r="AJ92" s="1233">
        <f t="shared" si="32"/>
        <v>4.0421858767326735E-2</v>
      </c>
    </row>
    <row r="93" spans="1:36" x14ac:dyDescent="0.25">
      <c r="A93" s="701" t="s">
        <v>226</v>
      </c>
      <c r="B93" s="564" t="s">
        <v>227</v>
      </c>
      <c r="C93" s="702" t="s">
        <v>264</v>
      </c>
      <c r="D93" s="747">
        <f>'Administration LASER'!D92+'Other Oper Exp. LASER'!D92</f>
        <v>864009.89977106918</v>
      </c>
      <c r="E93" s="748">
        <f>'Administration LASER'!E92+'Other Oper Exp. LASER'!E92</f>
        <v>424616.51022893074</v>
      </c>
      <c r="F93" s="748">
        <f>'Administration LASER'!K92+'Other Oper Exp. LASER'!K92</f>
        <v>457189.69</v>
      </c>
      <c r="G93" s="749">
        <f>'Administration LASER'!I92+'Other Oper Exp. LASER'!I92</f>
        <v>1745816.1</v>
      </c>
      <c r="H93" s="747">
        <f>'Client Services LASER'!D92</f>
        <v>49367.050842845274</v>
      </c>
      <c r="I93" s="748">
        <f>'Client Services LASER'!E92</f>
        <v>9003.7491571547271</v>
      </c>
      <c r="J93" s="748">
        <f>'Client Services LASER'!K92</f>
        <v>11339.08</v>
      </c>
      <c r="K93" s="749">
        <f>'Client Services LASER'!I92</f>
        <v>69709.87999999999</v>
      </c>
      <c r="L93" s="2207">
        <f>'Statewide Benefits'!D93</f>
        <v>12050588.19021434</v>
      </c>
      <c r="M93" s="2208">
        <f>'Statewide Benefits'!E93</f>
        <v>9514999.4843437392</v>
      </c>
      <c r="N93" s="2208">
        <f>'Statewide Benefits'!I93</f>
        <v>114725.24</v>
      </c>
      <c r="O93" s="2209">
        <f t="shared" si="22"/>
        <v>21680312.914558079</v>
      </c>
      <c r="P93" s="2207">
        <f>'Other Benefits LASER'!D92+'FC &amp; Adoptions LASER'!D92</f>
        <v>43462.04</v>
      </c>
      <c r="Q93" s="2208">
        <f>'Other Benefits LASER'!E92 + 'FC &amp; Adoptions LASER'!E92</f>
        <v>126282.34</v>
      </c>
      <c r="R93" s="2208">
        <f>'Other Benefits LASER'!H92 + 'FC &amp; Adoptions LASER'!H92</f>
        <v>12829.4</v>
      </c>
      <c r="S93" s="2209">
        <f t="shared" si="33"/>
        <v>182573.78</v>
      </c>
      <c r="T93" s="2207">
        <f t="shared" si="34"/>
        <v>13007427.180828253</v>
      </c>
      <c r="U93" s="2208">
        <f t="shared" si="35"/>
        <v>10074902.083729824</v>
      </c>
      <c r="V93" s="2208">
        <f t="shared" si="36"/>
        <v>596083.41</v>
      </c>
      <c r="W93" s="2209">
        <f t="shared" si="37"/>
        <v>23678412.674558081</v>
      </c>
      <c r="Y93" s="594">
        <f t="shared" si="23"/>
        <v>0.49490315719454592</v>
      </c>
      <c r="Z93" s="595">
        <f t="shared" si="24"/>
        <v>0.24321949501378221</v>
      </c>
      <c r="AA93" s="595">
        <f t="shared" si="25"/>
        <v>0.26187734779167177</v>
      </c>
      <c r="AB93" s="596">
        <f t="shared" si="26"/>
        <v>0.73812265220832818</v>
      </c>
      <c r="AD93" s="1231">
        <f t="shared" si="27"/>
        <v>7.373028437315142E-2</v>
      </c>
      <c r="AE93" s="1189">
        <f t="shared" si="28"/>
        <v>2.9440267368471737E-3</v>
      </c>
      <c r="AF93" s="1233">
        <f t="shared" si="29"/>
        <v>0.92332568889000144</v>
      </c>
      <c r="AH93" s="1231">
        <f t="shared" si="30"/>
        <v>0.76698945538511121</v>
      </c>
      <c r="AI93" s="1189">
        <f t="shared" si="31"/>
        <v>1.9022639801366054E-2</v>
      </c>
      <c r="AJ93" s="1233">
        <f t="shared" si="32"/>
        <v>0.21398790481352264</v>
      </c>
    </row>
    <row r="94" spans="1:36" x14ac:dyDescent="0.25">
      <c r="A94" s="701" t="s">
        <v>228</v>
      </c>
      <c r="B94" s="564" t="s">
        <v>229</v>
      </c>
      <c r="C94" s="702" t="s">
        <v>268</v>
      </c>
      <c r="D94" s="747">
        <f>'Administration LASER'!D93+'Other Oper Exp. LASER'!D93</f>
        <v>2315528.1172586442</v>
      </c>
      <c r="E94" s="748">
        <f>'Administration LASER'!E93+'Other Oper Exp. LASER'!E93</f>
        <v>1096993.3427413555</v>
      </c>
      <c r="F94" s="748">
        <f>'Administration LASER'!K93+'Other Oper Exp. LASER'!K93</f>
        <v>1231813.78</v>
      </c>
      <c r="G94" s="749">
        <f>'Administration LASER'!I93+'Other Oper Exp. LASER'!I93</f>
        <v>4644335.2399999993</v>
      </c>
      <c r="H94" s="747">
        <f>'Client Services LASER'!D93</f>
        <v>114079.67207789041</v>
      </c>
      <c r="I94" s="748">
        <f>'Client Services LASER'!E93</f>
        <v>91581.417922109598</v>
      </c>
      <c r="J94" s="748">
        <f>'Client Services LASER'!K93</f>
        <v>37993.01</v>
      </c>
      <c r="K94" s="749">
        <f>'Client Services LASER'!I93</f>
        <v>243654.10000000003</v>
      </c>
      <c r="L94" s="2207">
        <f>'Statewide Benefits'!D94</f>
        <v>45638150.593360379</v>
      </c>
      <c r="M94" s="2208">
        <f>'Statewide Benefits'!E94</f>
        <v>32943344.381549586</v>
      </c>
      <c r="N94" s="2208">
        <f>'Statewide Benefits'!I94</f>
        <v>365629.93000000005</v>
      </c>
      <c r="O94" s="2209">
        <f t="shared" si="22"/>
        <v>78947124.904909968</v>
      </c>
      <c r="P94" s="2207">
        <f>'Other Benefits LASER'!D93+'FC &amp; Adoptions LASER'!D93</f>
        <v>794069.45</v>
      </c>
      <c r="Q94" s="2208">
        <f>'Other Benefits LASER'!E93 + 'FC &amp; Adoptions LASER'!E93</f>
        <v>1512284.05</v>
      </c>
      <c r="R94" s="2208">
        <f>'Other Benefits LASER'!H93 + 'FC &amp; Adoptions LASER'!H93</f>
        <v>105170.32999999999</v>
      </c>
      <c r="S94" s="2209">
        <f t="shared" si="33"/>
        <v>2411523.83</v>
      </c>
      <c r="T94" s="2207">
        <f t="shared" si="34"/>
        <v>48861827.832696915</v>
      </c>
      <c r="U94" s="2208">
        <f t="shared" si="35"/>
        <v>35644203.192213051</v>
      </c>
      <c r="V94" s="2208">
        <f t="shared" si="36"/>
        <v>1740607.0500000003</v>
      </c>
      <c r="W94" s="2209">
        <f t="shared" si="37"/>
        <v>86246638.07490997</v>
      </c>
      <c r="Y94" s="594">
        <f t="shared" si="23"/>
        <v>0.49857040837961658</v>
      </c>
      <c r="Z94" s="595">
        <f t="shared" si="24"/>
        <v>0.23620029262602407</v>
      </c>
      <c r="AA94" s="595">
        <f t="shared" si="25"/>
        <v>0.26522929899435949</v>
      </c>
      <c r="AB94" s="596">
        <f t="shared" si="26"/>
        <v>0.73477070100564068</v>
      </c>
      <c r="AD94" s="1231">
        <f t="shared" si="27"/>
        <v>5.384946409118159E-2</v>
      </c>
      <c r="AE94" s="1189">
        <f t="shared" si="28"/>
        <v>2.825085191012002E-3</v>
      </c>
      <c r="AF94" s="1233">
        <f t="shared" si="29"/>
        <v>0.94332545071780638</v>
      </c>
      <c r="AH94" s="1231">
        <f t="shared" si="30"/>
        <v>0.70769205490693599</v>
      </c>
      <c r="AI94" s="1189">
        <f t="shared" si="31"/>
        <v>2.182744807336038E-2</v>
      </c>
      <c r="AJ94" s="1233">
        <f t="shared" si="32"/>
        <v>0.2704804970197035</v>
      </c>
    </row>
    <row r="95" spans="1:36" x14ac:dyDescent="0.25">
      <c r="A95" s="701" t="s">
        <v>232</v>
      </c>
      <c r="B95" s="564" t="s">
        <v>233</v>
      </c>
      <c r="C95" s="702" t="s">
        <v>267</v>
      </c>
      <c r="D95" s="747">
        <f>'Administration LASER'!D94+'Other Oper Exp. LASER'!D94</f>
        <v>1340757.2156303551</v>
      </c>
      <c r="E95" s="748">
        <f>'Administration LASER'!E94+'Other Oper Exp. LASER'!E94</f>
        <v>491986.38436964498</v>
      </c>
      <c r="F95" s="748">
        <f>'Administration LASER'!K94+'Other Oper Exp. LASER'!K94</f>
        <v>1056249.71</v>
      </c>
      <c r="G95" s="749">
        <f>'Administration LASER'!I94+'Other Oper Exp. LASER'!I94</f>
        <v>2888993.31</v>
      </c>
      <c r="H95" s="747">
        <f>'Client Services LASER'!D94</f>
        <v>27011.162429700271</v>
      </c>
      <c r="I95" s="748">
        <f>'Client Services LASER'!E94</f>
        <v>34269.007570299727</v>
      </c>
      <c r="J95" s="748">
        <f>'Client Services LASER'!K94</f>
        <v>11239.11</v>
      </c>
      <c r="K95" s="749">
        <f>'Client Services LASER'!I94</f>
        <v>72519.28</v>
      </c>
      <c r="L95" s="2207">
        <f>'Statewide Benefits'!D95</f>
        <v>29065940.416141354</v>
      </c>
      <c r="M95" s="2208">
        <f>'Statewide Benefits'!E95</f>
        <v>22401661.780305531</v>
      </c>
      <c r="N95" s="2208">
        <f>'Statewide Benefits'!I95</f>
        <v>727698.04999999993</v>
      </c>
      <c r="O95" s="2209">
        <f t="shared" si="22"/>
        <v>52195300.246446878</v>
      </c>
      <c r="P95" s="2207">
        <f>'Other Benefits LASER'!D94+'FC &amp; Adoptions LASER'!D94</f>
        <v>325206.81000000006</v>
      </c>
      <c r="Q95" s="2208">
        <f>'Other Benefits LASER'!E94 + 'FC &amp; Adoptions LASER'!E94</f>
        <v>577734.12</v>
      </c>
      <c r="R95" s="2208">
        <f>'Other Benefits LASER'!H94 + 'FC &amp; Adoptions LASER'!H94</f>
        <v>18269.830000000002</v>
      </c>
      <c r="S95" s="2209">
        <f t="shared" si="33"/>
        <v>921210.76</v>
      </c>
      <c r="T95" s="2207">
        <f t="shared" si="34"/>
        <v>30758915.604201406</v>
      </c>
      <c r="U95" s="2208">
        <f t="shared" si="35"/>
        <v>23505651.292245477</v>
      </c>
      <c r="V95" s="2208">
        <f t="shared" si="36"/>
        <v>1813456.7000000002</v>
      </c>
      <c r="W95" s="2209">
        <f t="shared" si="37"/>
        <v>56078023.596446879</v>
      </c>
      <c r="Y95" s="594">
        <f t="shared" si="23"/>
        <v>0.46409149200499705</v>
      </c>
      <c r="Z95" s="595">
        <f t="shared" si="24"/>
        <v>0.17029682369518709</v>
      </c>
      <c r="AA95" s="595">
        <f t="shared" si="25"/>
        <v>0.36561168429981583</v>
      </c>
      <c r="AB95" s="596">
        <f t="shared" si="26"/>
        <v>0.63438831570018417</v>
      </c>
      <c r="AD95" s="1231">
        <f t="shared" si="27"/>
        <v>5.1517388180261178E-2</v>
      </c>
      <c r="AE95" s="1189">
        <f t="shared" si="28"/>
        <v>1.2931853754666711E-3</v>
      </c>
      <c r="AF95" s="1233">
        <f t="shared" si="29"/>
        <v>0.94718942644427206</v>
      </c>
      <c r="AH95" s="1231">
        <f t="shared" si="30"/>
        <v>0.58245102295522133</v>
      </c>
      <c r="AI95" s="1189">
        <f t="shared" si="31"/>
        <v>6.1976169599196936E-3</v>
      </c>
      <c r="AJ95" s="1233">
        <f t="shared" si="32"/>
        <v>0.41135136008485884</v>
      </c>
    </row>
    <row r="96" spans="1:36" x14ac:dyDescent="0.25">
      <c r="A96" s="701" t="s">
        <v>234</v>
      </c>
      <c r="B96" s="564" t="s">
        <v>235</v>
      </c>
      <c r="C96" s="702" t="s">
        <v>268</v>
      </c>
      <c r="D96" s="747">
        <f>'Administration LASER'!D95+'Other Oper Exp. LASER'!D95</f>
        <v>1813189.2304693258</v>
      </c>
      <c r="E96" s="748">
        <f>'Administration LASER'!E95+'Other Oper Exp. LASER'!E95</f>
        <v>856782.38953067397</v>
      </c>
      <c r="F96" s="748">
        <f>'Administration LASER'!K95+'Other Oper Exp. LASER'!K95</f>
        <v>874815.85</v>
      </c>
      <c r="G96" s="749">
        <f>'Administration LASER'!I95+'Other Oper Exp. LASER'!I95</f>
        <v>3544787.4699999997</v>
      </c>
      <c r="H96" s="747">
        <f>'Client Services LASER'!D95</f>
        <v>103873.61606830379</v>
      </c>
      <c r="I96" s="748">
        <f>'Client Services LASER'!E95</f>
        <v>36292.343931696203</v>
      </c>
      <c r="J96" s="748">
        <f>'Client Services LASER'!K95</f>
        <v>29570.46</v>
      </c>
      <c r="K96" s="749">
        <f>'Client Services LASER'!I95</f>
        <v>169736.41999999998</v>
      </c>
      <c r="L96" s="2207">
        <f>'Statewide Benefits'!D96</f>
        <v>43617959.90285442</v>
      </c>
      <c r="M96" s="2208">
        <f>'Statewide Benefits'!E96</f>
        <v>32673857.864247326</v>
      </c>
      <c r="N96" s="2208">
        <f>'Statewide Benefits'!I96</f>
        <v>617806.88</v>
      </c>
      <c r="O96" s="2209">
        <f t="shared" si="22"/>
        <v>76909624.647101745</v>
      </c>
      <c r="P96" s="2207">
        <f>'Other Benefits LASER'!D95+'FC &amp; Adoptions LASER'!D95</f>
        <v>694265.05</v>
      </c>
      <c r="Q96" s="2208">
        <f>'Other Benefits LASER'!E95 + 'FC &amp; Adoptions LASER'!E95</f>
        <v>1602699.53</v>
      </c>
      <c r="R96" s="2208">
        <f>'Other Benefits LASER'!H95 + 'FC &amp; Adoptions LASER'!H95</f>
        <v>193694.38999999998</v>
      </c>
      <c r="S96" s="2209">
        <f t="shared" si="33"/>
        <v>2490658.9700000002</v>
      </c>
      <c r="T96" s="2207">
        <f t="shared" si="34"/>
        <v>46229287.799392045</v>
      </c>
      <c r="U96" s="2208">
        <f t="shared" si="35"/>
        <v>35169632.127709694</v>
      </c>
      <c r="V96" s="2208">
        <f t="shared" si="36"/>
        <v>1715887.5799999998</v>
      </c>
      <c r="W96" s="2209">
        <f t="shared" si="37"/>
        <v>83114807.507101744</v>
      </c>
      <c r="Y96" s="594">
        <f t="shared" si="23"/>
        <v>0.51150858713380798</v>
      </c>
      <c r="Z96" s="595">
        <f t="shared" si="24"/>
        <v>0.24170204752237912</v>
      </c>
      <c r="AA96" s="595">
        <f t="shared" si="25"/>
        <v>0.24678936534381285</v>
      </c>
      <c r="AB96" s="596">
        <f t="shared" si="26"/>
        <v>0.75321063465618709</v>
      </c>
      <c r="AD96" s="1231">
        <f t="shared" si="27"/>
        <v>4.2649289294174393E-2</v>
      </c>
      <c r="AE96" s="1189">
        <f t="shared" si="28"/>
        <v>2.0421923011191101E-3</v>
      </c>
      <c r="AF96" s="1233">
        <f t="shared" si="29"/>
        <v>0.95530851840470654</v>
      </c>
      <c r="AH96" s="1231">
        <f t="shared" si="30"/>
        <v>0.50983284697474185</v>
      </c>
      <c r="AI96" s="1189">
        <f t="shared" si="31"/>
        <v>1.7233331801375939E-2</v>
      </c>
      <c r="AJ96" s="1233">
        <f t="shared" si="32"/>
        <v>0.47293382122388233</v>
      </c>
    </row>
    <row r="97" spans="1:36" x14ac:dyDescent="0.25">
      <c r="A97" s="701" t="s">
        <v>236</v>
      </c>
      <c r="B97" s="564" t="s">
        <v>237</v>
      </c>
      <c r="C97" s="702" t="s">
        <v>266</v>
      </c>
      <c r="D97" s="747">
        <f>'Administration LASER'!D96+'Other Oper Exp. LASER'!D96</f>
        <v>912680.11089700612</v>
      </c>
      <c r="E97" s="748">
        <f>'Administration LASER'!E96+'Other Oper Exp. LASER'!E96</f>
        <v>375202.12910299381</v>
      </c>
      <c r="F97" s="748">
        <f>'Administration LASER'!K96+'Other Oper Exp. LASER'!K96</f>
        <v>732561.58000000007</v>
      </c>
      <c r="G97" s="749">
        <f>'Administration LASER'!I96+'Other Oper Exp. LASER'!I96</f>
        <v>2020443.8199999998</v>
      </c>
      <c r="H97" s="747">
        <f>'Client Services LASER'!D96</f>
        <v>29966.772210144587</v>
      </c>
      <c r="I97" s="748">
        <f>'Client Services LASER'!E96</f>
        <v>29917.177789855414</v>
      </c>
      <c r="J97" s="748">
        <f>'Client Services LASER'!K96</f>
        <v>11275.390000000001</v>
      </c>
      <c r="K97" s="749">
        <f>'Client Services LASER'!I96</f>
        <v>71159.34</v>
      </c>
      <c r="L97" s="2207">
        <f>'Statewide Benefits'!D97</f>
        <v>16869150.931488361</v>
      </c>
      <c r="M97" s="2208">
        <f>'Statewide Benefits'!E97</f>
        <v>12537498.809147947</v>
      </c>
      <c r="N97" s="2208">
        <f>'Statewide Benefits'!I97</f>
        <v>491998.46</v>
      </c>
      <c r="O97" s="2209">
        <f t="shared" si="22"/>
        <v>29898648.200636309</v>
      </c>
      <c r="P97" s="2207">
        <f>'Other Benefits LASER'!D96+'FC &amp; Adoptions LASER'!D96</f>
        <v>102354.67</v>
      </c>
      <c r="Q97" s="2208">
        <f>'Other Benefits LASER'!E96 + 'FC &amp; Adoptions LASER'!E96</f>
        <v>155551.47</v>
      </c>
      <c r="R97" s="2208">
        <f>'Other Benefits LASER'!H96 + 'FC &amp; Adoptions LASER'!H96</f>
        <v>10313.16</v>
      </c>
      <c r="S97" s="2209">
        <f t="shared" si="33"/>
        <v>268219.3</v>
      </c>
      <c r="T97" s="2207">
        <f t="shared" si="34"/>
        <v>17914152.484595515</v>
      </c>
      <c r="U97" s="2208">
        <f t="shared" si="35"/>
        <v>13098169.586040797</v>
      </c>
      <c r="V97" s="2208">
        <f t="shared" si="36"/>
        <v>1246148.5900000001</v>
      </c>
      <c r="W97" s="2209">
        <f t="shared" si="37"/>
        <v>32258470.66063631</v>
      </c>
      <c r="Y97" s="594">
        <f t="shared" si="23"/>
        <v>0.45172258781093266</v>
      </c>
      <c r="Z97" s="595">
        <f t="shared" si="24"/>
        <v>0.18570282696748966</v>
      </c>
      <c r="AA97" s="595">
        <f t="shared" si="25"/>
        <v>0.36257458522157776</v>
      </c>
      <c r="AB97" s="596">
        <f t="shared" si="26"/>
        <v>0.63742541477842229</v>
      </c>
      <c r="AD97" s="1231">
        <f t="shared" si="27"/>
        <v>6.2632969840863056E-2</v>
      </c>
      <c r="AE97" s="1189">
        <f t="shared" si="28"/>
        <v>2.2059117665126273E-3</v>
      </c>
      <c r="AF97" s="1233">
        <f t="shared" si="29"/>
        <v>0.93516111839262428</v>
      </c>
      <c r="AH97" s="1231">
        <f t="shared" si="30"/>
        <v>0.58786053756237855</v>
      </c>
      <c r="AI97" s="1189">
        <f t="shared" si="31"/>
        <v>9.0481906335102471E-3</v>
      </c>
      <c r="AJ97" s="1233">
        <f t="shared" si="32"/>
        <v>0.40309127180411125</v>
      </c>
    </row>
    <row r="98" spans="1:36" x14ac:dyDescent="0.25">
      <c r="A98" s="701" t="s">
        <v>242</v>
      </c>
      <c r="B98" s="564" t="s">
        <v>243</v>
      </c>
      <c r="C98" s="702" t="s">
        <v>268</v>
      </c>
      <c r="D98" s="747">
        <f>'Administration LASER'!D97+'Other Oper Exp. LASER'!D97</f>
        <v>2506700.0423582657</v>
      </c>
      <c r="E98" s="748">
        <f>'Administration LASER'!E97+'Other Oper Exp. LASER'!E97</f>
        <v>1287213.7876417339</v>
      </c>
      <c r="F98" s="748">
        <f>'Administration LASER'!K97+'Other Oper Exp. LASER'!K97</f>
        <v>919018.41999999993</v>
      </c>
      <c r="G98" s="749">
        <f>'Administration LASER'!I97+'Other Oper Exp. LASER'!I97</f>
        <v>4712932.25</v>
      </c>
      <c r="H98" s="747">
        <f>'Client Services LASER'!D97</f>
        <v>231785.67882215942</v>
      </c>
      <c r="I98" s="748">
        <f>'Client Services LASER'!E97</f>
        <v>202713.85117784055</v>
      </c>
      <c r="J98" s="748">
        <f>'Client Services LASER'!K97</f>
        <v>83397.38</v>
      </c>
      <c r="K98" s="749">
        <f>'Client Services LASER'!I97</f>
        <v>517896.91</v>
      </c>
      <c r="L98" s="2207">
        <f>'Statewide Benefits'!D98</f>
        <v>49198397.737845264</v>
      </c>
      <c r="M98" s="2208">
        <f>'Statewide Benefits'!E98</f>
        <v>36665837.048275359</v>
      </c>
      <c r="N98" s="2208">
        <f>'Statewide Benefits'!I98</f>
        <v>462056.42</v>
      </c>
      <c r="O98" s="2209">
        <f t="shared" si="22"/>
        <v>86326291.206120625</v>
      </c>
      <c r="P98" s="2207">
        <f>'Other Benefits LASER'!D97+'FC &amp; Adoptions LASER'!D97</f>
        <v>1196833.98</v>
      </c>
      <c r="Q98" s="2208">
        <f>'Other Benefits LASER'!E97 + 'FC &amp; Adoptions LASER'!E97</f>
        <v>1679638.5400000003</v>
      </c>
      <c r="R98" s="2208">
        <f>'Other Benefits LASER'!H97 + 'FC &amp; Adoptions LASER'!H97</f>
        <v>46686.02</v>
      </c>
      <c r="S98" s="2209">
        <f t="shared" si="33"/>
        <v>2923158.5400000005</v>
      </c>
      <c r="T98" s="2207">
        <f t="shared" si="34"/>
        <v>53133717.439025685</v>
      </c>
      <c r="U98" s="2208">
        <f t="shared" si="35"/>
        <v>39835403.227094933</v>
      </c>
      <c r="V98" s="2208">
        <f t="shared" si="36"/>
        <v>1511158.24</v>
      </c>
      <c r="W98" s="2209">
        <f t="shared" si="37"/>
        <v>94480278.906120628</v>
      </c>
      <c r="Y98" s="594">
        <f t="shared" si="23"/>
        <v>0.5318769524765109</v>
      </c>
      <c r="Z98" s="595">
        <f t="shared" si="24"/>
        <v>0.27312376231203706</v>
      </c>
      <c r="AA98" s="595">
        <f t="shared" si="25"/>
        <v>0.19499928521145193</v>
      </c>
      <c r="AB98" s="596">
        <f t="shared" si="26"/>
        <v>0.80500071478854796</v>
      </c>
      <c r="AD98" s="1231">
        <f t="shared" si="27"/>
        <v>4.9882708905664402E-2</v>
      </c>
      <c r="AE98" s="1189">
        <f t="shared" si="28"/>
        <v>5.4815345170033105E-3</v>
      </c>
      <c r="AF98" s="1233">
        <f t="shared" si="29"/>
        <v>0.94463575657733234</v>
      </c>
      <c r="AH98" s="1231">
        <f t="shared" si="30"/>
        <v>0.60815498713093075</v>
      </c>
      <c r="AI98" s="1189">
        <f t="shared" si="31"/>
        <v>5.5187721439417227E-2</v>
      </c>
      <c r="AJ98" s="1233">
        <f t="shared" si="32"/>
        <v>0.33665729142965201</v>
      </c>
    </row>
    <row r="99" spans="1:36" x14ac:dyDescent="0.25">
      <c r="A99" s="701" t="s">
        <v>244</v>
      </c>
      <c r="B99" s="564" t="s">
        <v>245</v>
      </c>
      <c r="C99" s="702" t="s">
        <v>268</v>
      </c>
      <c r="D99" s="747">
        <f>'Administration LASER'!D98+'Other Oper Exp. LASER'!D98</f>
        <v>1567901.9980283612</v>
      </c>
      <c r="E99" s="748">
        <f>'Administration LASER'!E98+'Other Oper Exp. LASER'!E98</f>
        <v>662311.65197163878</v>
      </c>
      <c r="F99" s="748">
        <f>'Administration LASER'!K98+'Other Oper Exp. LASER'!K98</f>
        <v>1040868.33</v>
      </c>
      <c r="G99" s="749">
        <f>'Administration LASER'!I98+'Other Oper Exp. LASER'!I98</f>
        <v>3271081.9799999995</v>
      </c>
      <c r="H99" s="747">
        <f>'Client Services LASER'!D98</f>
        <v>100454.76698213126</v>
      </c>
      <c r="I99" s="748">
        <f>'Client Services LASER'!E98</f>
        <v>26712.163017868726</v>
      </c>
      <c r="J99" s="748">
        <f>'Client Services LASER'!K98</f>
        <v>23276.240000000002</v>
      </c>
      <c r="K99" s="749">
        <f>'Client Services LASER'!I98</f>
        <v>150443.16999999998</v>
      </c>
      <c r="L99" s="2207">
        <f>'Statewide Benefits'!D99</f>
        <v>26272494.101702582</v>
      </c>
      <c r="M99" s="2208">
        <f>'Statewide Benefits'!E99</f>
        <v>21107723.000878822</v>
      </c>
      <c r="N99" s="2208">
        <f>'Statewide Benefits'!I99</f>
        <v>596369.55000000005</v>
      </c>
      <c r="O99" s="2209">
        <f t="shared" si="22"/>
        <v>47976586.652581401</v>
      </c>
      <c r="P99" s="2207">
        <f>'Other Benefits LASER'!D98+'FC &amp; Adoptions LASER'!D98</f>
        <v>574935.53</v>
      </c>
      <c r="Q99" s="2208">
        <f>'Other Benefits LASER'!E98 + 'FC &amp; Adoptions LASER'!E98</f>
        <v>891542.22000000009</v>
      </c>
      <c r="R99" s="2208">
        <f>'Other Benefits LASER'!H98 + 'FC &amp; Adoptions LASER'!H98</f>
        <v>28351.439999999999</v>
      </c>
      <c r="S99" s="2209">
        <f t="shared" si="33"/>
        <v>1494829.19</v>
      </c>
      <c r="T99" s="2207">
        <f t="shared" si="34"/>
        <v>28515786.396713074</v>
      </c>
      <c r="U99" s="2208">
        <f t="shared" si="35"/>
        <v>22688289.035868328</v>
      </c>
      <c r="V99" s="2208">
        <f t="shared" si="36"/>
        <v>1688865.56</v>
      </c>
      <c r="W99" s="2209">
        <f t="shared" si="37"/>
        <v>52892940.992581397</v>
      </c>
      <c r="Y99" s="594">
        <f t="shared" si="23"/>
        <v>0.4793221348822207</v>
      </c>
      <c r="Z99" s="595">
        <f t="shared" si="24"/>
        <v>0.20247479458513568</v>
      </c>
      <c r="AA99" s="595">
        <f t="shared" si="25"/>
        <v>0.31820307053264379</v>
      </c>
      <c r="AB99" s="596">
        <f t="shared" si="26"/>
        <v>0.68179692946735626</v>
      </c>
      <c r="AD99" s="1231">
        <f t="shared" si="27"/>
        <v>6.1843450536410736E-2</v>
      </c>
      <c r="AE99" s="1189">
        <f t="shared" si="28"/>
        <v>2.8442958016099101E-3</v>
      </c>
      <c r="AF99" s="1233">
        <f t="shared" si="29"/>
        <v>0.93531225366197934</v>
      </c>
      <c r="AH99" s="1231">
        <f t="shared" si="30"/>
        <v>0.61631212966412785</v>
      </c>
      <c r="AI99" s="1189">
        <f t="shared" si="31"/>
        <v>1.3782174585880004E-2</v>
      </c>
      <c r="AJ99" s="1233">
        <f t="shared" si="32"/>
        <v>0.36990569574999205</v>
      </c>
    </row>
    <row r="100" spans="1:36" x14ac:dyDescent="0.25">
      <c r="A100" s="701" t="s">
        <v>246</v>
      </c>
      <c r="B100" s="564" t="s">
        <v>247</v>
      </c>
      <c r="C100" s="702" t="s">
        <v>264</v>
      </c>
      <c r="D100" s="747">
        <f>'Administration LASER'!D99+'Other Oper Exp. LASER'!D99</f>
        <v>2332590.3360825526</v>
      </c>
      <c r="E100" s="748">
        <f>'Administration LASER'!E99+'Other Oper Exp. LASER'!E99</f>
        <v>716180.01391744788</v>
      </c>
      <c r="F100" s="748">
        <f>'Administration LASER'!K99+'Other Oper Exp. LASER'!K99</f>
        <v>2307196.64</v>
      </c>
      <c r="G100" s="749">
        <f>'Administration LASER'!I99+'Other Oper Exp. LASER'!I99</f>
        <v>5355966.99</v>
      </c>
      <c r="H100" s="747">
        <f>'Client Services LASER'!D99</f>
        <v>113495.01682924567</v>
      </c>
      <c r="I100" s="748">
        <f>'Client Services LASER'!E99</f>
        <v>78734.693170754297</v>
      </c>
      <c r="J100" s="748">
        <f>'Client Services LASER'!K99</f>
        <v>41318.169999999991</v>
      </c>
      <c r="K100" s="749">
        <f>'Client Services LASER'!I99</f>
        <v>233547.87999999995</v>
      </c>
      <c r="L100" s="2207">
        <f>'Statewide Benefits'!D100</f>
        <v>21428929.98153647</v>
      </c>
      <c r="M100" s="2208">
        <f>'Statewide Benefits'!E100</f>
        <v>17066227.389844857</v>
      </c>
      <c r="N100" s="2208">
        <f>'Statewide Benefits'!I100</f>
        <v>676774.19000000006</v>
      </c>
      <c r="O100" s="2209">
        <f t="shared" si="22"/>
        <v>39171931.561381325</v>
      </c>
      <c r="P100" s="2207">
        <f>'Other Benefits LASER'!D99+'FC &amp; Adoptions LASER'!D99</f>
        <v>211665.02</v>
      </c>
      <c r="Q100" s="2208">
        <f>'Other Benefits LASER'!E99 + 'FC &amp; Adoptions LASER'!E99</f>
        <v>375332.62</v>
      </c>
      <c r="R100" s="2208">
        <f>'Other Benefits LASER'!H99 + 'FC &amp; Adoptions LASER'!H99</f>
        <v>7880.9699999999993</v>
      </c>
      <c r="S100" s="2209">
        <f t="shared" si="33"/>
        <v>594878.61</v>
      </c>
      <c r="T100" s="2207">
        <f t="shared" si="34"/>
        <v>24086680.35444827</v>
      </c>
      <c r="U100" s="2208">
        <f t="shared" si="35"/>
        <v>18236474.71693306</v>
      </c>
      <c r="V100" s="2208">
        <f t="shared" si="36"/>
        <v>3033169.97</v>
      </c>
      <c r="W100" s="2209">
        <f t="shared" si="37"/>
        <v>45356325.041381322</v>
      </c>
      <c r="Y100" s="594">
        <f t="shared" si="23"/>
        <v>0.43551245562896057</v>
      </c>
      <c r="Z100" s="595">
        <f t="shared" si="24"/>
        <v>0.13371628601419888</v>
      </c>
      <c r="AA100" s="595">
        <f t="shared" si="25"/>
        <v>0.4307712583568406</v>
      </c>
      <c r="AB100" s="596">
        <f t="shared" si="26"/>
        <v>0.56922874164315951</v>
      </c>
      <c r="AD100" s="1231">
        <f t="shared" si="27"/>
        <v>0.11808644075800734</v>
      </c>
      <c r="AE100" s="1189">
        <f t="shared" si="28"/>
        <v>5.1491799608306028E-3</v>
      </c>
      <c r="AF100" s="1233">
        <f t="shared" si="29"/>
        <v>0.87676437928116213</v>
      </c>
      <c r="AH100" s="1231">
        <f t="shared" si="30"/>
        <v>0.76065524280526886</v>
      </c>
      <c r="AI100" s="1189">
        <f t="shared" si="31"/>
        <v>1.3622108358141231E-2</v>
      </c>
      <c r="AJ100" s="1233">
        <f t="shared" si="32"/>
        <v>0.22572264883658993</v>
      </c>
    </row>
    <row r="101" spans="1:36" x14ac:dyDescent="0.25">
      <c r="A101" s="701" t="s">
        <v>14</v>
      </c>
      <c r="B101" s="564" t="s">
        <v>15</v>
      </c>
      <c r="C101" s="702" t="s">
        <v>267</v>
      </c>
      <c r="D101" s="747">
        <f>'Administration LASER'!D100+'Other Oper Exp. LASER'!D100</f>
        <v>9144061.7793751545</v>
      </c>
      <c r="E101" s="748">
        <f>'Administration LASER'!E100+'Other Oper Exp. LASER'!E100</f>
        <v>2318943.7706248458</v>
      </c>
      <c r="F101" s="748">
        <f>'Administration LASER'!K100+'Other Oper Exp. LASER'!K100</f>
        <v>11026805.210000001</v>
      </c>
      <c r="G101" s="749">
        <f>'Administration LASER'!I100+'Other Oper Exp. LASER'!I100</f>
        <v>22489810.759999998</v>
      </c>
      <c r="H101" s="747">
        <f>'Client Services LASER'!D100</f>
        <v>279508.28168591997</v>
      </c>
      <c r="I101" s="748">
        <f>'Client Services LASER'!E100</f>
        <v>103640.99831408</v>
      </c>
      <c r="J101" s="748">
        <f>'Client Services LASER'!K100</f>
        <v>175634.05</v>
      </c>
      <c r="K101" s="749">
        <f>'Client Services LASER'!I100</f>
        <v>558783.32999999996</v>
      </c>
      <c r="L101" s="2207">
        <f>'Statewide Benefits'!D101</f>
        <v>74705672.731427416</v>
      </c>
      <c r="M101" s="2208">
        <f>'Statewide Benefits'!E101</f>
        <v>59081685.416966677</v>
      </c>
      <c r="N101" s="2208">
        <f>'Statewide Benefits'!I101</f>
        <v>3633572.54</v>
      </c>
      <c r="O101" s="2209">
        <f t="shared" ref="O101:O125" si="38">SUM(L101:N101)</f>
        <v>137420930.6883941</v>
      </c>
      <c r="P101" s="2207">
        <f>'Other Benefits LASER'!D100+'FC &amp; Adoptions LASER'!D100</f>
        <v>2131491.7599999998</v>
      </c>
      <c r="Q101" s="2208">
        <f>'Other Benefits LASER'!E100 + 'FC &amp; Adoptions LASER'!E100</f>
        <v>2686014.64</v>
      </c>
      <c r="R101" s="2208">
        <f>'Other Benefits LASER'!H100 + 'FC &amp; Adoptions LASER'!H100</f>
        <v>141633.47</v>
      </c>
      <c r="S101" s="2209">
        <f t="shared" si="33"/>
        <v>4959139.87</v>
      </c>
      <c r="T101" s="2207">
        <f t="shared" si="34"/>
        <v>86260734.552488491</v>
      </c>
      <c r="U101" s="2208">
        <f t="shared" si="35"/>
        <v>64190284.825905606</v>
      </c>
      <c r="V101" s="2208">
        <f t="shared" si="36"/>
        <v>14977645.270000001</v>
      </c>
      <c r="W101" s="2209">
        <f t="shared" si="37"/>
        <v>165428664.64839411</v>
      </c>
      <c r="Y101" s="594">
        <f t="shared" ref="Y101:Y125" si="39">D101/G101</f>
        <v>0.4065868706925107</v>
      </c>
      <c r="Z101" s="595">
        <f t="shared" ref="Z101:Z125" si="40">E101/G101</f>
        <v>0.10311086186413274</v>
      </c>
      <c r="AA101" s="595">
        <f t="shared" ref="AA101:AA125" si="41">F101/G101</f>
        <v>0.49030226744335675</v>
      </c>
      <c r="AB101" s="596">
        <f t="shared" si="26"/>
        <v>0.50969773255664341</v>
      </c>
      <c r="AD101" s="1231">
        <f t="shared" si="27"/>
        <v>0.13594869309862567</v>
      </c>
      <c r="AE101" s="1189">
        <f t="shared" si="28"/>
        <v>3.3777902468574653E-3</v>
      </c>
      <c r="AF101" s="1233">
        <f t="shared" si="29"/>
        <v>0.86067351665451686</v>
      </c>
      <c r="AH101" s="1231">
        <f t="shared" si="30"/>
        <v>0.7362175436272701</v>
      </c>
      <c r="AI101" s="1189">
        <f t="shared" si="31"/>
        <v>1.1726412719347303E-2</v>
      </c>
      <c r="AJ101" s="1233">
        <f t="shared" si="32"/>
        <v>0.25205604365338263</v>
      </c>
    </row>
    <row r="102" spans="1:36" x14ac:dyDescent="0.25">
      <c r="A102" s="701" t="s">
        <v>34</v>
      </c>
      <c r="B102" s="564" t="s">
        <v>35</v>
      </c>
      <c r="C102" s="702" t="s">
        <v>268</v>
      </c>
      <c r="D102" s="747">
        <f>'Administration LASER'!D101+'Other Oper Exp. LASER'!D101</f>
        <v>1399307.4573045466</v>
      </c>
      <c r="E102" s="748">
        <f>'Administration LASER'!E101+'Other Oper Exp. LASER'!E101</f>
        <v>670966.14269545348</v>
      </c>
      <c r="F102" s="748">
        <f>'Administration LASER'!K101+'Other Oper Exp. LASER'!K101</f>
        <v>628051.63</v>
      </c>
      <c r="G102" s="749">
        <f>'Administration LASER'!I101+'Other Oper Exp. LASER'!I101</f>
        <v>2698325.23</v>
      </c>
      <c r="H102" s="747">
        <f>'Client Services LASER'!D101</f>
        <v>81680.103408415176</v>
      </c>
      <c r="I102" s="748">
        <f>'Client Services LASER'!E101</f>
        <v>123744.72659158483</v>
      </c>
      <c r="J102" s="748">
        <f>'Client Services LASER'!K101</f>
        <v>39064.05999999999</v>
      </c>
      <c r="K102" s="749">
        <f>'Client Services LASER'!I101</f>
        <v>244488.88999999998</v>
      </c>
      <c r="L102" s="2207">
        <f>'Statewide Benefits'!D102</f>
        <v>22342553.131787583</v>
      </c>
      <c r="M102" s="2208">
        <f>'Statewide Benefits'!E102</f>
        <v>16730015.225060487</v>
      </c>
      <c r="N102" s="2208">
        <f>'Statewide Benefits'!I102</f>
        <v>519574.66</v>
      </c>
      <c r="O102" s="2209">
        <f t="shared" si="38"/>
        <v>39592143.016848065</v>
      </c>
      <c r="P102" s="2207">
        <f>'Other Benefits LASER'!D101+'FC &amp; Adoptions LASER'!D101</f>
        <v>902771.01000000013</v>
      </c>
      <c r="Q102" s="2208">
        <f>'Other Benefits LASER'!E101 + 'FC &amp; Adoptions LASER'!E101</f>
        <v>1226749.3800000001</v>
      </c>
      <c r="R102" s="2208">
        <f>'Other Benefits LASER'!H101 + 'FC &amp; Adoptions LASER'!H101</f>
        <v>54526.39</v>
      </c>
      <c r="S102" s="2209">
        <f t="shared" si="33"/>
        <v>2184046.7800000003</v>
      </c>
      <c r="T102" s="2207">
        <f t="shared" si="34"/>
        <v>24726311.702500548</v>
      </c>
      <c r="U102" s="2208">
        <f t="shared" si="35"/>
        <v>18751475.474347524</v>
      </c>
      <c r="V102" s="2208">
        <f t="shared" si="36"/>
        <v>1241216.7399999998</v>
      </c>
      <c r="W102" s="2209">
        <f t="shared" si="37"/>
        <v>44719003.916848063</v>
      </c>
      <c r="Y102" s="594">
        <f t="shared" si="39"/>
        <v>0.51858369100471502</v>
      </c>
      <c r="Z102" s="595">
        <f t="shared" si="40"/>
        <v>0.24866021902610067</v>
      </c>
      <c r="AA102" s="595">
        <f t="shared" si="41"/>
        <v>0.23275608996918434</v>
      </c>
      <c r="AB102" s="596">
        <f t="shared" si="26"/>
        <v>0.76724391003081571</v>
      </c>
      <c r="AD102" s="1231">
        <f t="shared" si="27"/>
        <v>6.0339564696417471E-2</v>
      </c>
      <c r="AE102" s="1189">
        <f t="shared" si="28"/>
        <v>5.4672257560702915E-3</v>
      </c>
      <c r="AF102" s="1233">
        <f t="shared" si="29"/>
        <v>0.93419320954751228</v>
      </c>
      <c r="AH102" s="1231">
        <f t="shared" si="30"/>
        <v>0.50599674477480872</v>
      </c>
      <c r="AI102" s="1189">
        <f t="shared" si="31"/>
        <v>3.1472392162548497E-2</v>
      </c>
      <c r="AJ102" s="1233">
        <f t="shared" si="32"/>
        <v>0.46253086306264291</v>
      </c>
    </row>
    <row r="103" spans="1:36" x14ac:dyDescent="0.25">
      <c r="A103" s="701" t="s">
        <v>52</v>
      </c>
      <c r="B103" s="564" t="s">
        <v>53</v>
      </c>
      <c r="C103" s="702" t="s">
        <v>265</v>
      </c>
      <c r="D103" s="747">
        <f>'Administration LASER'!D102+'Other Oper Exp. LASER'!D102</f>
        <v>3981902.6658061524</v>
      </c>
      <c r="E103" s="748">
        <f>'Administration LASER'!E102+'Other Oper Exp. LASER'!E102</f>
        <v>1331758.214193847</v>
      </c>
      <c r="F103" s="748">
        <f>'Administration LASER'!K102+'Other Oper Exp. LASER'!K102</f>
        <v>3448777.2299999995</v>
      </c>
      <c r="G103" s="749">
        <f>'Administration LASER'!I102+'Other Oper Exp. LASER'!I102</f>
        <v>8762438.1099999994</v>
      </c>
      <c r="H103" s="747">
        <f>'Client Services LASER'!D102</f>
        <v>176947.59345002976</v>
      </c>
      <c r="I103" s="748">
        <f>'Client Services LASER'!E102</f>
        <v>95074.156549970183</v>
      </c>
      <c r="J103" s="748">
        <f>'Client Services LASER'!K102</f>
        <v>62946.16</v>
      </c>
      <c r="K103" s="749">
        <f>'Client Services LASER'!I102</f>
        <v>334967.90999999997</v>
      </c>
      <c r="L103" s="2207">
        <f>'Statewide Benefits'!D103</f>
        <v>35766887.198148496</v>
      </c>
      <c r="M103" s="2208">
        <f>'Statewide Benefits'!E103</f>
        <v>33783586.636316061</v>
      </c>
      <c r="N103" s="2208">
        <f>'Statewide Benefits'!I103</f>
        <v>2227870.41</v>
      </c>
      <c r="O103" s="2209">
        <f t="shared" si="38"/>
        <v>71778344.244464546</v>
      </c>
      <c r="P103" s="2207">
        <f>'Other Benefits LASER'!D102+'FC &amp; Adoptions LASER'!D102</f>
        <v>1635353.8499999999</v>
      </c>
      <c r="Q103" s="2208">
        <f>'Other Benefits LASER'!E102 + 'FC &amp; Adoptions LASER'!E102</f>
        <v>2074779.3499999999</v>
      </c>
      <c r="R103" s="2208">
        <f>'Other Benefits LASER'!H102 + 'FC &amp; Adoptions LASER'!H102</f>
        <v>63786.7</v>
      </c>
      <c r="S103" s="2209">
        <f t="shared" si="33"/>
        <v>3773919.9</v>
      </c>
      <c r="T103" s="2207">
        <f t="shared" si="34"/>
        <v>41561091.307404682</v>
      </c>
      <c r="U103" s="2208">
        <f t="shared" si="35"/>
        <v>37285198.357059881</v>
      </c>
      <c r="V103" s="2208">
        <f t="shared" si="36"/>
        <v>5803380.5</v>
      </c>
      <c r="W103" s="2209">
        <f t="shared" si="37"/>
        <v>84649670.164464548</v>
      </c>
      <c r="Y103" s="594">
        <f t="shared" si="39"/>
        <v>0.45442862087229652</v>
      </c>
      <c r="Z103" s="595">
        <f t="shared" si="40"/>
        <v>0.15198489250086664</v>
      </c>
      <c r="AA103" s="595">
        <f t="shared" si="41"/>
        <v>0.39358648662683676</v>
      </c>
      <c r="AB103" s="596">
        <f t="shared" si="26"/>
        <v>0.60641351337316318</v>
      </c>
      <c r="AD103" s="1231">
        <f t="shared" si="27"/>
        <v>0.10351414356341368</v>
      </c>
      <c r="AE103" s="1189">
        <f t="shared" si="28"/>
        <v>3.9571082716470833E-3</v>
      </c>
      <c r="AF103" s="1233">
        <f t="shared" si="29"/>
        <v>0.89252874816493932</v>
      </c>
      <c r="AH103" s="1231">
        <f t="shared" si="30"/>
        <v>0.59427039636639356</v>
      </c>
      <c r="AI103" s="1189">
        <f t="shared" si="31"/>
        <v>1.0846464401222701E-2</v>
      </c>
      <c r="AJ103" s="1233">
        <f t="shared" si="32"/>
        <v>0.39488313923238366</v>
      </c>
    </row>
    <row r="104" spans="1:36" x14ac:dyDescent="0.25">
      <c r="A104" s="701" t="s">
        <v>54</v>
      </c>
      <c r="B104" s="564" t="s">
        <v>55</v>
      </c>
      <c r="C104" s="702" t="s">
        <v>264</v>
      </c>
      <c r="D104" s="747">
        <f>'Administration LASER'!D103+'Other Oper Exp. LASER'!D103</f>
        <v>7536934.0763972001</v>
      </c>
      <c r="E104" s="748">
        <f>'Administration LASER'!E103+'Other Oper Exp. LASER'!E103</f>
        <v>2864046.9536027997</v>
      </c>
      <c r="F104" s="748">
        <f>'Administration LASER'!K103+'Other Oper Exp. LASER'!K103</f>
        <v>5959647.919999999</v>
      </c>
      <c r="G104" s="749">
        <f>'Administration LASER'!I103+'Other Oper Exp. LASER'!I103</f>
        <v>16360628.949999997</v>
      </c>
      <c r="H104" s="747">
        <f>'Client Services LASER'!D103</f>
        <v>281407.61464361491</v>
      </c>
      <c r="I104" s="748">
        <f>'Client Services LASER'!E103</f>
        <v>247842.61535638515</v>
      </c>
      <c r="J104" s="748">
        <f>'Client Services LASER'!K103</f>
        <v>98803.78</v>
      </c>
      <c r="K104" s="749">
        <f>'Client Services LASER'!I103</f>
        <v>628054.01000000013</v>
      </c>
      <c r="L104" s="2207">
        <f>'Statewide Benefits'!D104</f>
        <v>143687204.59409326</v>
      </c>
      <c r="M104" s="2208">
        <f>'Statewide Benefits'!E104</f>
        <v>108043253.48308927</v>
      </c>
      <c r="N104" s="2208">
        <f>'Statewide Benefits'!I104</f>
        <v>1581521.4500000002</v>
      </c>
      <c r="O104" s="2209">
        <f t="shared" si="38"/>
        <v>253311979.52718252</v>
      </c>
      <c r="P104" s="2207">
        <f>'Other Benefits LASER'!D103+'FC &amp; Adoptions LASER'!D103</f>
        <v>1248334.23</v>
      </c>
      <c r="Q104" s="2208">
        <f>'Other Benefits LASER'!E103 + 'FC &amp; Adoptions LASER'!E103</f>
        <v>1907048.7599999998</v>
      </c>
      <c r="R104" s="2208">
        <f>'Other Benefits LASER'!H103 + 'FC &amp; Adoptions LASER'!H103</f>
        <v>113728.6</v>
      </c>
      <c r="S104" s="2209">
        <f t="shared" si="33"/>
        <v>3269111.59</v>
      </c>
      <c r="T104" s="2207">
        <f t="shared" si="34"/>
        <v>152753880.51513407</v>
      </c>
      <c r="U104" s="2208">
        <f t="shared" si="35"/>
        <v>113062191.81204847</v>
      </c>
      <c r="V104" s="2208">
        <f t="shared" si="36"/>
        <v>7753701.7499999991</v>
      </c>
      <c r="W104" s="2209">
        <f t="shared" si="37"/>
        <v>273569774.07718247</v>
      </c>
      <c r="Y104" s="594">
        <f t="shared" si="39"/>
        <v>0.46067508158952541</v>
      </c>
      <c r="Z104" s="595">
        <f t="shared" si="40"/>
        <v>0.17505726475159747</v>
      </c>
      <c r="AA104" s="595">
        <f t="shared" si="41"/>
        <v>0.3642676536588772</v>
      </c>
      <c r="AB104" s="596">
        <f t="shared" si="26"/>
        <v>0.63573234634112286</v>
      </c>
      <c r="AD104" s="1231">
        <f t="shared" si="27"/>
        <v>5.9804227295169529E-2</v>
      </c>
      <c r="AE104" s="1189">
        <f t="shared" si="28"/>
        <v>2.2957726675711136E-3</v>
      </c>
      <c r="AF104" s="1233">
        <f t="shared" si="29"/>
        <v>0.93790000003725948</v>
      </c>
      <c r="AH104" s="1231">
        <f t="shared" si="30"/>
        <v>0.76861970090608656</v>
      </c>
      <c r="AI104" s="1189">
        <f t="shared" si="31"/>
        <v>1.2742788307533238E-2</v>
      </c>
      <c r="AJ104" s="1233">
        <f t="shared" si="32"/>
        <v>0.21863751078638025</v>
      </c>
    </row>
    <row r="105" spans="1:36" x14ac:dyDescent="0.25">
      <c r="A105" s="701" t="s">
        <v>66</v>
      </c>
      <c r="B105" s="564" t="s">
        <v>67</v>
      </c>
      <c r="C105" s="702" t="s">
        <v>265</v>
      </c>
      <c r="D105" s="747">
        <f>'Administration LASER'!D104+'Other Oper Exp. LASER'!D104</f>
        <v>3027335.8195134532</v>
      </c>
      <c r="E105" s="748">
        <f>'Administration LASER'!E104+'Other Oper Exp. LASER'!E104</f>
        <v>1436055.8704865468</v>
      </c>
      <c r="F105" s="748">
        <f>'Administration LASER'!K104+'Other Oper Exp. LASER'!K104</f>
        <v>1437861.5899999999</v>
      </c>
      <c r="G105" s="749">
        <f>'Administration LASER'!I104+'Other Oper Exp. LASER'!I104</f>
        <v>5901253.2799999993</v>
      </c>
      <c r="H105" s="747">
        <f>'Client Services LASER'!D104</f>
        <v>88183.060948172788</v>
      </c>
      <c r="I105" s="748">
        <f>'Client Services LASER'!E104</f>
        <v>36764.529051827209</v>
      </c>
      <c r="J105" s="748">
        <f>'Client Services LASER'!K104</f>
        <v>24676.94</v>
      </c>
      <c r="K105" s="749">
        <f>'Client Services LASER'!I104</f>
        <v>149624.53</v>
      </c>
      <c r="L105" s="2207">
        <f>'Statewide Benefits'!D105</f>
        <v>85959895.470375001</v>
      </c>
      <c r="M105" s="2208">
        <f>'Statewide Benefits'!E105</f>
        <v>69018089.930502579</v>
      </c>
      <c r="N105" s="2208">
        <f>'Statewide Benefits'!I105</f>
        <v>998426.05</v>
      </c>
      <c r="O105" s="2209">
        <f t="shared" si="38"/>
        <v>155976411.45087761</v>
      </c>
      <c r="P105" s="2207">
        <f>'Other Benefits LASER'!D104+'FC &amp; Adoptions LASER'!D104</f>
        <v>1023786.61</v>
      </c>
      <c r="Q105" s="2208">
        <f>'Other Benefits LASER'!E104 + 'FC &amp; Adoptions LASER'!E104</f>
        <v>1381618.69</v>
      </c>
      <c r="R105" s="2208">
        <f>'Other Benefits LASER'!H104 + 'FC &amp; Adoptions LASER'!H104</f>
        <v>46971.39</v>
      </c>
      <c r="S105" s="2209">
        <f t="shared" si="33"/>
        <v>2452376.69</v>
      </c>
      <c r="T105" s="2207">
        <f t="shared" si="34"/>
        <v>90099200.960836634</v>
      </c>
      <c r="U105" s="2208">
        <f t="shared" si="35"/>
        <v>71872529.020040944</v>
      </c>
      <c r="V105" s="2208">
        <f t="shared" si="36"/>
        <v>2507935.9700000002</v>
      </c>
      <c r="W105" s="2209">
        <f t="shared" si="37"/>
        <v>164479665.95087761</v>
      </c>
      <c r="Y105" s="594">
        <f t="shared" si="39"/>
        <v>0.51299879464137377</v>
      </c>
      <c r="Z105" s="595">
        <f t="shared" si="40"/>
        <v>0.24334760810106204</v>
      </c>
      <c r="AA105" s="595">
        <f t="shared" si="41"/>
        <v>0.24365359725756425</v>
      </c>
      <c r="AB105" s="596">
        <f t="shared" si="26"/>
        <v>0.75634640274243581</v>
      </c>
      <c r="AD105" s="1231">
        <f t="shared" si="27"/>
        <v>3.5878315084628319E-2</v>
      </c>
      <c r="AE105" s="1189">
        <f t="shared" si="28"/>
        <v>9.0968405811746875E-4</v>
      </c>
      <c r="AF105" s="1233">
        <f t="shared" si="29"/>
        <v>0.96321200085725422</v>
      </c>
      <c r="AH105" s="1231">
        <f t="shared" si="30"/>
        <v>0.57332468101249001</v>
      </c>
      <c r="AI105" s="1189">
        <f t="shared" si="31"/>
        <v>9.8395414776079777E-3</v>
      </c>
      <c r="AJ105" s="1233">
        <f t="shared" si="32"/>
        <v>0.41683577750990186</v>
      </c>
    </row>
    <row r="106" spans="1:36" x14ac:dyDescent="0.25">
      <c r="A106" s="701" t="s">
        <v>82</v>
      </c>
      <c r="B106" s="564" t="s">
        <v>311</v>
      </c>
      <c r="C106" s="702" t="s">
        <v>264</v>
      </c>
      <c r="D106" s="747">
        <f>'Administration LASER'!D105+'Other Oper Exp. LASER'!D105</f>
        <v>687061.57001223206</v>
      </c>
      <c r="E106" s="748">
        <f>'Administration LASER'!E105+'Other Oper Exp. LASER'!E105</f>
        <v>319102.40998776798</v>
      </c>
      <c r="F106" s="748">
        <f>'Administration LASER'!K105+'Other Oper Exp. LASER'!K105</f>
        <v>349404.39</v>
      </c>
      <c r="G106" s="749">
        <f>'Administration LASER'!I105+'Other Oper Exp. LASER'!I105</f>
        <v>1355568.3699999999</v>
      </c>
      <c r="H106" s="747">
        <f>'Client Services LASER'!D105</f>
        <v>22047.46686923852</v>
      </c>
      <c r="I106" s="748">
        <f>'Client Services LASER'!E105</f>
        <v>22907.94313076148</v>
      </c>
      <c r="J106" s="748">
        <f>'Client Services LASER'!K105</f>
        <v>8407.3700000000008</v>
      </c>
      <c r="K106" s="749">
        <f>'Client Services LASER'!I105</f>
        <v>53362.78</v>
      </c>
      <c r="L106" s="2207">
        <f>'Statewide Benefits'!D106</f>
        <v>17601296.326351393</v>
      </c>
      <c r="M106" s="2208">
        <f>'Statewide Benefits'!E106</f>
        <v>12956272.834272388</v>
      </c>
      <c r="N106" s="2208">
        <f>'Statewide Benefits'!I106</f>
        <v>49708.1</v>
      </c>
      <c r="O106" s="2209">
        <f t="shared" si="38"/>
        <v>30607277.260623783</v>
      </c>
      <c r="P106" s="2207">
        <f>'Other Benefits LASER'!D105+'FC &amp; Adoptions LASER'!D105</f>
        <v>41385.93</v>
      </c>
      <c r="Q106" s="2208">
        <f>'Other Benefits LASER'!E105 + 'FC &amp; Adoptions LASER'!E105</f>
        <v>95522.93</v>
      </c>
      <c r="R106" s="2208">
        <f>'Other Benefits LASER'!H105 + 'FC &amp; Adoptions LASER'!H105</f>
        <v>11880.93</v>
      </c>
      <c r="S106" s="2209">
        <f t="shared" si="33"/>
        <v>148789.78999999998</v>
      </c>
      <c r="T106" s="2207">
        <f t="shared" si="34"/>
        <v>18351791.293232862</v>
      </c>
      <c r="U106" s="2208">
        <f t="shared" si="35"/>
        <v>13393806.117390918</v>
      </c>
      <c r="V106" s="2208">
        <f t="shared" si="36"/>
        <v>419400.79</v>
      </c>
      <c r="W106" s="2209">
        <f t="shared" si="37"/>
        <v>32164998.20062378</v>
      </c>
      <c r="Y106" s="594">
        <f t="shared" si="39"/>
        <v>0.506843907852639</v>
      </c>
      <c r="Z106" s="595">
        <f t="shared" si="40"/>
        <v>0.2354011918910206</v>
      </c>
      <c r="AA106" s="595">
        <f t="shared" si="41"/>
        <v>0.25775490025634046</v>
      </c>
      <c r="AB106" s="596">
        <f t="shared" si="26"/>
        <v>0.7422450997436596</v>
      </c>
      <c r="AD106" s="1231">
        <f t="shared" si="27"/>
        <v>4.2144207860509417E-2</v>
      </c>
      <c r="AE106" s="1189">
        <f t="shared" si="28"/>
        <v>1.659032581539679E-3</v>
      </c>
      <c r="AF106" s="1233">
        <f t="shared" si="29"/>
        <v>0.95619675955795091</v>
      </c>
      <c r="AH106" s="1231">
        <f t="shared" si="30"/>
        <v>0.83310379553648439</v>
      </c>
      <c r="AI106" s="1189">
        <f t="shared" si="31"/>
        <v>2.004614726643696E-2</v>
      </c>
      <c r="AJ106" s="1233">
        <f t="shared" si="32"/>
        <v>0.14685005719707872</v>
      </c>
    </row>
    <row r="107" spans="1:36" x14ac:dyDescent="0.25">
      <c r="A107" s="701" t="s">
        <v>88</v>
      </c>
      <c r="B107" s="564" t="s">
        <v>89</v>
      </c>
      <c r="C107" s="702" t="s">
        <v>267</v>
      </c>
      <c r="D107" s="747">
        <f>'Administration LASER'!D106+'Other Oper Exp. LASER'!D106</f>
        <v>1543885.1529143217</v>
      </c>
      <c r="E107" s="748">
        <f>'Administration LASER'!E106+'Other Oper Exp. LASER'!E106</f>
        <v>551177.0570856781</v>
      </c>
      <c r="F107" s="748">
        <f>'Administration LASER'!K106+'Other Oper Exp. LASER'!K106</f>
        <v>1212108.6299999999</v>
      </c>
      <c r="G107" s="749">
        <f>'Administration LASER'!I106+'Other Oper Exp. LASER'!I106</f>
        <v>3307170.84</v>
      </c>
      <c r="H107" s="747">
        <f>'Client Services LASER'!D106</f>
        <v>67222.941444943848</v>
      </c>
      <c r="I107" s="748">
        <f>'Client Services LASER'!E106</f>
        <v>42731.828555056149</v>
      </c>
      <c r="J107" s="748">
        <f>'Client Services LASER'!K106</f>
        <v>28419.000000000004</v>
      </c>
      <c r="K107" s="749">
        <f>'Client Services LASER'!I106</f>
        <v>138373.76999999999</v>
      </c>
      <c r="L107" s="2207">
        <f>'Statewide Benefits'!D107</f>
        <v>25128713.441802781</v>
      </c>
      <c r="M107" s="2208">
        <f>'Statewide Benefits'!E107</f>
        <v>19870604.331230335</v>
      </c>
      <c r="N107" s="2208">
        <f>'Statewide Benefits'!I107</f>
        <v>744982.99</v>
      </c>
      <c r="O107" s="2209">
        <f t="shared" si="38"/>
        <v>45744300.763033114</v>
      </c>
      <c r="P107" s="2207">
        <f>'Other Benefits LASER'!D106+'FC &amp; Adoptions LASER'!D106</f>
        <v>776588.84</v>
      </c>
      <c r="Q107" s="2208">
        <f>'Other Benefits LASER'!E106 + 'FC &amp; Adoptions LASER'!E106</f>
        <v>1106725</v>
      </c>
      <c r="R107" s="2208">
        <f>'Other Benefits LASER'!H106 + 'FC &amp; Adoptions LASER'!H106</f>
        <v>23229.21</v>
      </c>
      <c r="S107" s="2209">
        <f t="shared" si="33"/>
        <v>1906543.0499999998</v>
      </c>
      <c r="T107" s="2207">
        <f t="shared" si="34"/>
        <v>27516410.376162048</v>
      </c>
      <c r="U107" s="2208">
        <f t="shared" si="35"/>
        <v>21571238.216871068</v>
      </c>
      <c r="V107" s="2208">
        <f t="shared" si="36"/>
        <v>2008739.8299999998</v>
      </c>
      <c r="W107" s="2209">
        <f t="shared" si="37"/>
        <v>51096388.423033111</v>
      </c>
      <c r="Y107" s="594">
        <f t="shared" si="39"/>
        <v>0.46682957355608573</v>
      </c>
      <c r="Z107" s="595">
        <f t="shared" si="40"/>
        <v>0.16666119887706743</v>
      </c>
      <c r="AA107" s="595">
        <f t="shared" si="41"/>
        <v>0.36650922756684684</v>
      </c>
      <c r="AB107" s="596">
        <f t="shared" si="26"/>
        <v>0.63349077243315322</v>
      </c>
      <c r="AD107" s="1231">
        <f t="shared" si="27"/>
        <v>6.4724160397003738E-2</v>
      </c>
      <c r="AE107" s="1189">
        <f t="shared" si="28"/>
        <v>2.7080929645043991E-3</v>
      </c>
      <c r="AF107" s="1233">
        <f t="shared" si="29"/>
        <v>0.93256774663849185</v>
      </c>
      <c r="AH107" s="1231">
        <f t="shared" si="30"/>
        <v>0.6034174321121516</v>
      </c>
      <c r="AI107" s="1189">
        <f t="shared" si="31"/>
        <v>1.4147675859048409E-2</v>
      </c>
      <c r="AJ107" s="1233">
        <f t="shared" si="32"/>
        <v>0.38243489202879999</v>
      </c>
    </row>
    <row r="108" spans="1:36" x14ac:dyDescent="0.25">
      <c r="A108" s="701" t="s">
        <v>90</v>
      </c>
      <c r="B108" s="564" t="s">
        <v>91</v>
      </c>
      <c r="C108" s="702" t="s">
        <v>268</v>
      </c>
      <c r="D108" s="747">
        <f>'Administration LASER'!D107+'Other Oper Exp. LASER'!D107</f>
        <v>482544.63791276101</v>
      </c>
      <c r="E108" s="748">
        <f>'Administration LASER'!E107+'Other Oper Exp. LASER'!E107</f>
        <v>240907.78208723903</v>
      </c>
      <c r="F108" s="748">
        <f>'Administration LASER'!K107+'Other Oper Exp. LASER'!K107</f>
        <v>203903.63999999998</v>
      </c>
      <c r="G108" s="749">
        <f>'Administration LASER'!I107+'Other Oper Exp. LASER'!I107</f>
        <v>927356.06</v>
      </c>
      <c r="H108" s="747">
        <f>'Client Services LASER'!D107</f>
        <v>28287.420919485601</v>
      </c>
      <c r="I108" s="748">
        <f>'Client Services LASER'!E107</f>
        <v>9462.309080514402</v>
      </c>
      <c r="J108" s="748">
        <f>'Client Services LASER'!K107</f>
        <v>7400.8200000000006</v>
      </c>
      <c r="K108" s="749">
        <f>'Client Services LASER'!I107</f>
        <v>45150.55</v>
      </c>
      <c r="L108" s="2207">
        <f>'Statewide Benefits'!D108</f>
        <v>12138857.210854392</v>
      </c>
      <c r="M108" s="2208">
        <f>'Statewide Benefits'!E108</f>
        <v>9325708.4601187985</v>
      </c>
      <c r="N108" s="2208">
        <f>'Statewide Benefits'!I108</f>
        <v>93247.3</v>
      </c>
      <c r="O108" s="2209">
        <f t="shared" si="38"/>
        <v>21557812.97097319</v>
      </c>
      <c r="P108" s="2207">
        <f>'Other Benefits LASER'!D107+'FC &amp; Adoptions LASER'!D107</f>
        <v>151207.53999999998</v>
      </c>
      <c r="Q108" s="2208">
        <f>'Other Benefits LASER'!E107 + 'FC &amp; Adoptions LASER'!E107</f>
        <v>213676.17</v>
      </c>
      <c r="R108" s="2208">
        <f>'Other Benefits LASER'!H107 + 'FC &amp; Adoptions LASER'!H107</f>
        <v>13966.88</v>
      </c>
      <c r="S108" s="2209">
        <f t="shared" si="33"/>
        <v>378850.58999999997</v>
      </c>
      <c r="T108" s="2207">
        <f t="shared" si="34"/>
        <v>12800896.809686638</v>
      </c>
      <c r="U108" s="2208">
        <f t="shared" si="35"/>
        <v>9789754.721286552</v>
      </c>
      <c r="V108" s="2208">
        <f t="shared" si="36"/>
        <v>318518.64</v>
      </c>
      <c r="W108" s="2209">
        <f t="shared" si="37"/>
        <v>22909170.170973189</v>
      </c>
      <c r="Y108" s="594">
        <f t="shared" si="39"/>
        <v>0.52034451353319566</v>
      </c>
      <c r="Z108" s="595">
        <f t="shared" si="40"/>
        <v>0.25977916409716351</v>
      </c>
      <c r="AA108" s="595">
        <f t="shared" si="41"/>
        <v>0.21987632236964083</v>
      </c>
      <c r="AB108" s="596">
        <f t="shared" si="26"/>
        <v>0.78012367763035917</v>
      </c>
      <c r="AD108" s="1231">
        <f t="shared" si="27"/>
        <v>4.0479687962464754E-2</v>
      </c>
      <c r="AE108" s="1189">
        <f t="shared" si="28"/>
        <v>1.9708505224343528E-3</v>
      </c>
      <c r="AF108" s="1233">
        <f t="shared" si="29"/>
        <v>0.9575494615151009</v>
      </c>
      <c r="AH108" s="1231">
        <f t="shared" si="30"/>
        <v>0.64016234654273285</v>
      </c>
      <c r="AI108" s="1189">
        <f t="shared" si="31"/>
        <v>2.3235123696371429E-2</v>
      </c>
      <c r="AJ108" s="1233">
        <f t="shared" si="32"/>
        <v>0.33660252976089561</v>
      </c>
    </row>
    <row r="109" spans="1:36" x14ac:dyDescent="0.25">
      <c r="A109" s="701" t="s">
        <v>106</v>
      </c>
      <c r="B109" s="564" t="s">
        <v>107</v>
      </c>
      <c r="C109" s="702" t="s">
        <v>264</v>
      </c>
      <c r="D109" s="747">
        <f>'Administration LASER'!D108+'Other Oper Exp. LASER'!D108</f>
        <v>6613432.6809571143</v>
      </c>
      <c r="E109" s="748">
        <f>'Administration LASER'!E108+'Other Oper Exp. LASER'!E108</f>
        <v>3204044.8190428866</v>
      </c>
      <c r="F109" s="748">
        <f>'Administration LASER'!K108+'Other Oper Exp. LASER'!K108</f>
        <v>2961032.48</v>
      </c>
      <c r="G109" s="749">
        <f>'Administration LASER'!I108+'Other Oper Exp. LASER'!I108</f>
        <v>12778509.98</v>
      </c>
      <c r="H109" s="747">
        <f>'Client Services LASER'!D108</f>
        <v>367337.45624984551</v>
      </c>
      <c r="I109" s="748">
        <f>'Client Services LASER'!E108</f>
        <v>315677.27375015448</v>
      </c>
      <c r="J109" s="748">
        <f>'Client Services LASER'!K108</f>
        <v>152029.26</v>
      </c>
      <c r="K109" s="749">
        <f>'Client Services LASER'!I108</f>
        <v>835043.99</v>
      </c>
      <c r="L109" s="2207">
        <f>'Statewide Benefits'!D109</f>
        <v>127196972.0274969</v>
      </c>
      <c r="M109" s="2208">
        <f>'Statewide Benefits'!E109</f>
        <v>98144168.703175157</v>
      </c>
      <c r="N109" s="2208">
        <f>'Statewide Benefits'!I109</f>
        <v>1575332.3</v>
      </c>
      <c r="O109" s="2209">
        <f t="shared" si="38"/>
        <v>226916473.03067207</v>
      </c>
      <c r="P109" s="2207">
        <f>'Other Benefits LASER'!D108+'FC &amp; Adoptions LASER'!D108</f>
        <v>1208147.0699999998</v>
      </c>
      <c r="Q109" s="2208">
        <f>'Other Benefits LASER'!E108 + 'FC &amp; Adoptions LASER'!E108</f>
        <v>2201441.94</v>
      </c>
      <c r="R109" s="2208">
        <f>'Other Benefits LASER'!H108 + 'FC &amp; Adoptions LASER'!H108</f>
        <v>124352.95</v>
      </c>
      <c r="S109" s="2209">
        <f t="shared" si="33"/>
        <v>3533941.96</v>
      </c>
      <c r="T109" s="2207">
        <f t="shared" si="34"/>
        <v>135385889.23470387</v>
      </c>
      <c r="U109" s="2208">
        <f t="shared" si="35"/>
        <v>103865332.7359682</v>
      </c>
      <c r="V109" s="2208">
        <f t="shared" si="36"/>
        <v>4812746.99</v>
      </c>
      <c r="W109" s="2209">
        <f t="shared" si="37"/>
        <v>244063968.96067208</v>
      </c>
      <c r="Y109" s="594">
        <f t="shared" si="39"/>
        <v>0.51754333574947164</v>
      </c>
      <c r="Z109" s="595">
        <f t="shared" si="40"/>
        <v>0.25073696573838622</v>
      </c>
      <c r="AA109" s="595">
        <f t="shared" si="41"/>
        <v>0.23171969851214216</v>
      </c>
      <c r="AB109" s="596">
        <f t="shared" si="26"/>
        <v>0.76828030148785775</v>
      </c>
      <c r="AD109" s="1231">
        <f t="shared" si="27"/>
        <v>5.23572161610594E-2</v>
      </c>
      <c r="AE109" s="1189">
        <f t="shared" si="28"/>
        <v>3.4214144494821236E-3</v>
      </c>
      <c r="AF109" s="1233">
        <f t="shared" si="29"/>
        <v>0.94422136938945844</v>
      </c>
      <c r="AH109" s="1231">
        <f t="shared" si="30"/>
        <v>0.6152479002433493</v>
      </c>
      <c r="AI109" s="1189">
        <f t="shared" si="31"/>
        <v>3.158887436133434E-2</v>
      </c>
      <c r="AJ109" s="1233">
        <f t="shared" si="32"/>
        <v>0.35316322539531625</v>
      </c>
    </row>
    <row r="110" spans="1:36" x14ac:dyDescent="0.25">
      <c r="A110" s="701" t="s">
        <v>116</v>
      </c>
      <c r="B110" s="564" t="s">
        <v>117</v>
      </c>
      <c r="C110" s="702" t="s">
        <v>266</v>
      </c>
      <c r="D110" s="747">
        <f>'Administration LASER'!D109+'Other Oper Exp. LASER'!D109</f>
        <v>1835572.710484138</v>
      </c>
      <c r="E110" s="748">
        <f>'Administration LASER'!E109+'Other Oper Exp. LASER'!E109</f>
        <v>819560.60951586207</v>
      </c>
      <c r="F110" s="748">
        <f>'Administration LASER'!K109+'Other Oper Exp. LASER'!K109</f>
        <v>1072256.82</v>
      </c>
      <c r="G110" s="749">
        <f>'Administration LASER'!I109+'Other Oper Exp. LASER'!I109</f>
        <v>3727390.1399999997</v>
      </c>
      <c r="H110" s="747">
        <f>'Client Services LASER'!D109</f>
        <v>75564.876896767571</v>
      </c>
      <c r="I110" s="748">
        <f>'Client Services LASER'!E109</f>
        <v>201326.54310323246</v>
      </c>
      <c r="J110" s="748">
        <f>'Client Services LASER'!K109</f>
        <v>52285.090000000004</v>
      </c>
      <c r="K110" s="749">
        <f>'Client Services LASER'!I109</f>
        <v>329176.51</v>
      </c>
      <c r="L110" s="2207">
        <f>'Statewide Benefits'!D110</f>
        <v>36353925.646319889</v>
      </c>
      <c r="M110" s="2208">
        <f>'Statewide Benefits'!E110</f>
        <v>26323784.453825224</v>
      </c>
      <c r="N110" s="2208">
        <f>'Statewide Benefits'!I110</f>
        <v>746138.64</v>
      </c>
      <c r="O110" s="2209">
        <f t="shared" si="38"/>
        <v>63423848.740145117</v>
      </c>
      <c r="P110" s="2207">
        <f>'Other Benefits LASER'!D109+'FC &amp; Adoptions LASER'!D109</f>
        <v>387025.08999999997</v>
      </c>
      <c r="Q110" s="2208">
        <f>'Other Benefits LASER'!E109 + 'FC &amp; Adoptions LASER'!E109</f>
        <v>494893.85</v>
      </c>
      <c r="R110" s="2208">
        <f>'Other Benefits LASER'!H109 + 'FC &amp; Adoptions LASER'!H109</f>
        <v>18323.900000000001</v>
      </c>
      <c r="S110" s="2209">
        <f t="shared" si="33"/>
        <v>900242.84</v>
      </c>
      <c r="T110" s="2207">
        <f t="shared" si="34"/>
        <v>38652088.323700801</v>
      </c>
      <c r="U110" s="2208">
        <f t="shared" si="35"/>
        <v>27839565.456444319</v>
      </c>
      <c r="V110" s="2208">
        <f t="shared" si="36"/>
        <v>1889004.4500000002</v>
      </c>
      <c r="W110" s="2209">
        <f t="shared" si="37"/>
        <v>68380658.230145127</v>
      </c>
      <c r="Y110" s="594">
        <f t="shared" si="39"/>
        <v>0.49245521438336426</v>
      </c>
      <c r="Z110" s="595">
        <f t="shared" si="40"/>
        <v>0.21987518846520909</v>
      </c>
      <c r="AA110" s="595">
        <f t="shared" si="41"/>
        <v>0.28766959715142676</v>
      </c>
      <c r="AB110" s="596">
        <f t="shared" si="26"/>
        <v>0.71233040284857341</v>
      </c>
      <c r="AD110" s="1231">
        <f t="shared" si="27"/>
        <v>5.4509421764483777E-2</v>
      </c>
      <c r="AE110" s="1189">
        <f t="shared" si="28"/>
        <v>4.8138833190535871E-3</v>
      </c>
      <c r="AF110" s="1233">
        <f t="shared" si="29"/>
        <v>0.94067669491646255</v>
      </c>
      <c r="AH110" s="1231">
        <f t="shared" si="30"/>
        <v>0.56763064798497431</v>
      </c>
      <c r="AI110" s="1189">
        <f t="shared" si="31"/>
        <v>2.767864840127825E-2</v>
      </c>
      <c r="AJ110" s="1233">
        <f t="shared" si="32"/>
        <v>0.40469070361374743</v>
      </c>
    </row>
    <row r="111" spans="1:36" x14ac:dyDescent="0.25">
      <c r="A111" s="701" t="s">
        <v>138</v>
      </c>
      <c r="B111" s="564" t="s">
        <v>139</v>
      </c>
      <c r="C111" s="702" t="s">
        <v>265</v>
      </c>
      <c r="D111" s="747">
        <f>'Administration LASER'!D110+'Other Oper Exp. LASER'!D110</f>
        <v>4745910.1779255206</v>
      </c>
      <c r="E111" s="748">
        <f>'Administration LASER'!E110+'Other Oper Exp. LASER'!E110</f>
        <v>1927368.3020744796</v>
      </c>
      <c r="F111" s="748">
        <f>'Administration LASER'!K110+'Other Oper Exp. LASER'!K110</f>
        <v>3563123.4399999995</v>
      </c>
      <c r="G111" s="749">
        <f>'Administration LASER'!I110+'Other Oper Exp. LASER'!I110</f>
        <v>10236401.920000002</v>
      </c>
      <c r="H111" s="747">
        <f>'Client Services LASER'!D110</f>
        <v>206605.53825078334</v>
      </c>
      <c r="I111" s="748">
        <f>'Client Services LASER'!E110</f>
        <v>148086.57174921664</v>
      </c>
      <c r="J111" s="748">
        <f>'Client Services LASER'!K110</f>
        <v>66192.569999999992</v>
      </c>
      <c r="K111" s="749">
        <f>'Client Services LASER'!I110</f>
        <v>420884.67999999993</v>
      </c>
      <c r="L111" s="2207">
        <f>'Statewide Benefits'!D111</f>
        <v>79946972.639855742</v>
      </c>
      <c r="M111" s="2208">
        <f>'Statewide Benefits'!E111</f>
        <v>63567140.472010747</v>
      </c>
      <c r="N111" s="2208">
        <f>'Statewide Benefits'!I111</f>
        <v>1887272.61</v>
      </c>
      <c r="O111" s="2209">
        <f t="shared" si="38"/>
        <v>145401385.72186649</v>
      </c>
      <c r="P111" s="2207">
        <f>'Other Benefits LASER'!D110+'FC &amp; Adoptions LASER'!D110</f>
        <v>3353449.3300000005</v>
      </c>
      <c r="Q111" s="2208">
        <f>'Other Benefits LASER'!E110 + 'FC &amp; Adoptions LASER'!E110</f>
        <v>4855863.01</v>
      </c>
      <c r="R111" s="2208">
        <f>'Other Benefits LASER'!H110 + 'FC &amp; Adoptions LASER'!H110</f>
        <v>100102.63</v>
      </c>
      <c r="S111" s="2209">
        <f t="shared" si="33"/>
        <v>8309414.9699999997</v>
      </c>
      <c r="T111" s="2207">
        <f t="shared" si="34"/>
        <v>88252937.686032042</v>
      </c>
      <c r="U111" s="2208">
        <f t="shared" si="35"/>
        <v>70498458.355834439</v>
      </c>
      <c r="V111" s="2208">
        <f t="shared" si="36"/>
        <v>5616691.2499999991</v>
      </c>
      <c r="W111" s="2209">
        <f t="shared" si="37"/>
        <v>164368087.29186648</v>
      </c>
      <c r="Y111" s="594">
        <f t="shared" si="39"/>
        <v>0.46363069904991772</v>
      </c>
      <c r="Z111" s="595">
        <f t="shared" si="40"/>
        <v>0.18828571964420085</v>
      </c>
      <c r="AA111" s="595">
        <f t="shared" si="41"/>
        <v>0.34808358130588124</v>
      </c>
      <c r="AB111" s="596">
        <f t="shared" si="26"/>
        <v>0.65191641869411854</v>
      </c>
      <c r="AD111" s="1231">
        <f t="shared" si="27"/>
        <v>6.2277307527606275E-2</v>
      </c>
      <c r="AE111" s="1189">
        <f t="shared" si="28"/>
        <v>2.560622849206975E-3</v>
      </c>
      <c r="AF111" s="1233">
        <f t="shared" si="29"/>
        <v>0.93516206962318682</v>
      </c>
      <c r="AH111" s="1231">
        <f t="shared" si="30"/>
        <v>0.63438121865787089</v>
      </c>
      <c r="AI111" s="1189">
        <f t="shared" si="31"/>
        <v>1.1784975718578087E-2</v>
      </c>
      <c r="AJ111" s="1233">
        <f t="shared" si="32"/>
        <v>0.35383380562355116</v>
      </c>
    </row>
    <row r="112" spans="1:36" x14ac:dyDescent="0.25">
      <c r="A112" s="701" t="s">
        <v>142</v>
      </c>
      <c r="B112" s="564" t="s">
        <v>143</v>
      </c>
      <c r="C112" s="702" t="s">
        <v>267</v>
      </c>
      <c r="D112" s="747">
        <f>'Administration LASER'!D111+'Other Oper Exp. LASER'!D111</f>
        <v>1478639.352817219</v>
      </c>
      <c r="E112" s="748">
        <f>'Administration LASER'!E111+'Other Oper Exp. LASER'!E111</f>
        <v>470097.64718278107</v>
      </c>
      <c r="F112" s="748">
        <f>'Administration LASER'!K111+'Other Oper Exp. LASER'!K111</f>
        <v>1363494.97</v>
      </c>
      <c r="G112" s="749">
        <f>'Administration LASER'!I111+'Other Oper Exp. LASER'!I111</f>
        <v>3312231.9699999997</v>
      </c>
      <c r="H112" s="747">
        <f>'Client Services LASER'!D111</f>
        <v>40179.772167355375</v>
      </c>
      <c r="I112" s="748">
        <f>'Client Services LASER'!E111</f>
        <v>43769.007832644624</v>
      </c>
      <c r="J112" s="748">
        <f>'Client Services LASER'!K111</f>
        <v>15908.02</v>
      </c>
      <c r="K112" s="749">
        <f>'Client Services LASER'!I111</f>
        <v>99856.8</v>
      </c>
      <c r="L112" s="2207">
        <f>'Statewide Benefits'!D112</f>
        <v>27148416.420312811</v>
      </c>
      <c r="M112" s="2208">
        <f>'Statewide Benefits'!E112</f>
        <v>19197909.898935378</v>
      </c>
      <c r="N112" s="2208">
        <f>'Statewide Benefits'!I112</f>
        <v>569148.22</v>
      </c>
      <c r="O112" s="2209">
        <f t="shared" si="38"/>
        <v>46915474.539248183</v>
      </c>
      <c r="P112" s="2207">
        <f>'Other Benefits LASER'!D111+'FC &amp; Adoptions LASER'!D111</f>
        <v>195897.27000000002</v>
      </c>
      <c r="Q112" s="2208">
        <f>'Other Benefits LASER'!E111 + 'FC &amp; Adoptions LASER'!E111</f>
        <v>238844.65000000002</v>
      </c>
      <c r="R112" s="2208">
        <f>'Other Benefits LASER'!H111 + 'FC &amp; Adoptions LASER'!H111</f>
        <v>5665.5499999999993</v>
      </c>
      <c r="S112" s="2209">
        <f t="shared" si="33"/>
        <v>440407.47000000003</v>
      </c>
      <c r="T112" s="2207">
        <f t="shared" si="34"/>
        <v>28863132.815297384</v>
      </c>
      <c r="U112" s="2208">
        <f t="shared" si="35"/>
        <v>19950621.2039508</v>
      </c>
      <c r="V112" s="2208">
        <f t="shared" si="36"/>
        <v>1954216.76</v>
      </c>
      <c r="W112" s="2209">
        <f t="shared" si="37"/>
        <v>50767970.779248178</v>
      </c>
      <c r="Y112" s="594">
        <f t="shared" si="39"/>
        <v>0.44641781318752838</v>
      </c>
      <c r="Z112" s="595">
        <f t="shared" si="40"/>
        <v>0.14192775489175086</v>
      </c>
      <c r="AA112" s="595">
        <f t="shared" si="41"/>
        <v>0.41165443192072082</v>
      </c>
      <c r="AB112" s="596">
        <f t="shared" si="26"/>
        <v>0.58834556807927918</v>
      </c>
      <c r="AD112" s="1231">
        <f t="shared" si="27"/>
        <v>6.5242551931067164E-2</v>
      </c>
      <c r="AE112" s="1189">
        <f t="shared" si="28"/>
        <v>1.9669251787549735E-3</v>
      </c>
      <c r="AF112" s="1233">
        <f t="shared" si="29"/>
        <v>0.93279052289017794</v>
      </c>
      <c r="AH112" s="1231">
        <f t="shared" si="30"/>
        <v>0.6977194126612648</v>
      </c>
      <c r="AI112" s="1189">
        <f t="shared" si="31"/>
        <v>8.1403559347224107E-3</v>
      </c>
      <c r="AJ112" s="1233">
        <f t="shared" si="32"/>
        <v>0.29414023140401274</v>
      </c>
    </row>
    <row r="113" spans="1:36" x14ac:dyDescent="0.25">
      <c r="A113" s="701" t="s">
        <v>144</v>
      </c>
      <c r="B113" s="564" t="s">
        <v>145</v>
      </c>
      <c r="C113" s="702" t="s">
        <v>267</v>
      </c>
      <c r="D113" s="747">
        <f>'Administration LASER'!D112+'Other Oper Exp. LASER'!D112</f>
        <v>654839.31880476233</v>
      </c>
      <c r="E113" s="748">
        <f>'Administration LASER'!E112+'Other Oper Exp. LASER'!E112</f>
        <v>193753.04119523775</v>
      </c>
      <c r="F113" s="748">
        <f>'Administration LASER'!K112+'Other Oper Exp. LASER'!K112</f>
        <v>689589.32000000007</v>
      </c>
      <c r="G113" s="749">
        <f>'Administration LASER'!I112+'Other Oper Exp. LASER'!I112</f>
        <v>1538181.6800000002</v>
      </c>
      <c r="H113" s="747">
        <f>'Client Services LASER'!D112</f>
        <v>48440.312319643941</v>
      </c>
      <c r="I113" s="748">
        <f>'Client Services LASER'!E112</f>
        <v>12320.277680356052</v>
      </c>
      <c r="J113" s="748">
        <f>'Client Services LASER'!K112</f>
        <v>13350.83</v>
      </c>
      <c r="K113" s="749">
        <f>'Client Services LASER'!I112</f>
        <v>74111.42</v>
      </c>
      <c r="L113" s="2207">
        <f>'Statewide Benefits'!D113</f>
        <v>9061601.3057392463</v>
      </c>
      <c r="M113" s="2208">
        <f>'Statewide Benefits'!E113</f>
        <v>6824226.1653710557</v>
      </c>
      <c r="N113" s="2208">
        <f>'Statewide Benefits'!I113</f>
        <v>481256.28</v>
      </c>
      <c r="O113" s="2209">
        <f t="shared" si="38"/>
        <v>16367083.751110302</v>
      </c>
      <c r="P113" s="2207">
        <f>'Other Benefits LASER'!D112+'FC &amp; Adoptions LASER'!D112</f>
        <v>32325.09</v>
      </c>
      <c r="Q113" s="2208">
        <f>'Other Benefits LASER'!E112 + 'FC &amp; Adoptions LASER'!E112</f>
        <v>33481.089999999997</v>
      </c>
      <c r="R113" s="2208">
        <f>'Other Benefits LASER'!H112 + 'FC &amp; Adoptions LASER'!H112</f>
        <v>-1189.3699999999999</v>
      </c>
      <c r="S113" s="2209">
        <f t="shared" si="33"/>
        <v>64616.80999999999</v>
      </c>
      <c r="T113" s="2207">
        <f t="shared" si="34"/>
        <v>9797206.0268636532</v>
      </c>
      <c r="U113" s="2208">
        <f t="shared" si="35"/>
        <v>7063780.5742466496</v>
      </c>
      <c r="V113" s="2208">
        <f t="shared" si="36"/>
        <v>1183007.06</v>
      </c>
      <c r="W113" s="2209">
        <f t="shared" si="37"/>
        <v>18043993.661110301</v>
      </c>
      <c r="Y113" s="594">
        <f t="shared" si="39"/>
        <v>0.42572299964251442</v>
      </c>
      <c r="Z113" s="595">
        <f t="shared" si="40"/>
        <v>0.12596239034340712</v>
      </c>
      <c r="AA113" s="595">
        <f t="shared" si="41"/>
        <v>0.44831461001407841</v>
      </c>
      <c r="AB113" s="596">
        <f t="shared" si="26"/>
        <v>0.55168538998592154</v>
      </c>
      <c r="AD113" s="1231">
        <f t="shared" si="27"/>
        <v>8.5246188226900055E-2</v>
      </c>
      <c r="AE113" s="1189">
        <f t="shared" si="28"/>
        <v>4.1072625823256751E-3</v>
      </c>
      <c r="AF113" s="1233">
        <f t="shared" si="29"/>
        <v>0.91064654919077437</v>
      </c>
      <c r="AH113" s="1231">
        <f t="shared" si="30"/>
        <v>0.58291226089555204</v>
      </c>
      <c r="AI113" s="1189">
        <f t="shared" si="31"/>
        <v>1.1285503232753319E-2</v>
      </c>
      <c r="AJ113" s="1233">
        <f t="shared" si="32"/>
        <v>0.40580223587169462</v>
      </c>
    </row>
    <row r="114" spans="1:36" x14ac:dyDescent="0.25">
      <c r="A114" s="701" t="s">
        <v>158</v>
      </c>
      <c r="B114" s="564" t="s">
        <v>159</v>
      </c>
      <c r="C114" s="702" t="s">
        <v>264</v>
      </c>
      <c r="D114" s="747">
        <f>'Administration LASER'!D113+'Other Oper Exp. LASER'!D113</f>
        <v>12521884.409815092</v>
      </c>
      <c r="E114" s="748">
        <f>'Administration LASER'!E113+'Other Oper Exp. LASER'!E113</f>
        <v>4887784.2501849066</v>
      </c>
      <c r="F114" s="748">
        <f>'Administration LASER'!K113+'Other Oper Exp. LASER'!K113</f>
        <v>8887159.4199999999</v>
      </c>
      <c r="G114" s="749">
        <f>'Administration LASER'!I113+'Other Oper Exp. LASER'!I113</f>
        <v>26296828.079999998</v>
      </c>
      <c r="H114" s="747">
        <f>'Client Services LASER'!D113</f>
        <v>528667.4723159204</v>
      </c>
      <c r="I114" s="748">
        <f>'Client Services LASER'!E113</f>
        <v>489270.17768407945</v>
      </c>
      <c r="J114" s="748">
        <f>'Client Services LASER'!K113</f>
        <v>204357.08999999997</v>
      </c>
      <c r="K114" s="749">
        <f>'Client Services LASER'!I113</f>
        <v>1222294.7399999998</v>
      </c>
      <c r="L114" s="2207">
        <f>'Statewide Benefits'!D114</f>
        <v>180950002.62215447</v>
      </c>
      <c r="M114" s="2208">
        <f>'Statewide Benefits'!E114</f>
        <v>129817909.88591486</v>
      </c>
      <c r="N114" s="2208">
        <f>'Statewide Benefits'!I114</f>
        <v>1906890.76</v>
      </c>
      <c r="O114" s="2209">
        <f t="shared" si="38"/>
        <v>312674803.26806933</v>
      </c>
      <c r="P114" s="2207">
        <f>'Other Benefits LASER'!D113+'FC &amp; Adoptions LASER'!D113</f>
        <v>2298295.9600000009</v>
      </c>
      <c r="Q114" s="2208">
        <f>'Other Benefits LASER'!E113 + 'FC &amp; Adoptions LASER'!E113</f>
        <v>2909760.1000000006</v>
      </c>
      <c r="R114" s="2208">
        <f>'Other Benefits LASER'!H113 + 'FC &amp; Adoptions LASER'!H113</f>
        <v>113704.58</v>
      </c>
      <c r="S114" s="2209">
        <f t="shared" si="33"/>
        <v>5321760.6400000015</v>
      </c>
      <c r="T114" s="2207">
        <f t="shared" si="34"/>
        <v>196298850.46428549</v>
      </c>
      <c r="U114" s="2208">
        <f t="shared" si="35"/>
        <v>138104724.41378385</v>
      </c>
      <c r="V114" s="2208">
        <f t="shared" si="36"/>
        <v>11112111.85</v>
      </c>
      <c r="W114" s="2209">
        <f t="shared" si="37"/>
        <v>345515686.72806931</v>
      </c>
      <c r="Y114" s="594">
        <f t="shared" si="39"/>
        <v>0.47617470714418925</v>
      </c>
      <c r="Z114" s="595">
        <f t="shared" si="40"/>
        <v>0.18586972677143149</v>
      </c>
      <c r="AA114" s="595">
        <f t="shared" si="41"/>
        <v>0.33795556608437927</v>
      </c>
      <c r="AB114" s="596">
        <f t="shared" si="26"/>
        <v>0.66204443391562062</v>
      </c>
      <c r="AD114" s="1231">
        <f t="shared" si="27"/>
        <v>7.6108926714798769E-2</v>
      </c>
      <c r="AE114" s="1189">
        <f t="shared" si="28"/>
        <v>3.5375955042005968E-3</v>
      </c>
      <c r="AF114" s="1233">
        <f t="shared" si="29"/>
        <v>0.92035347778100063</v>
      </c>
      <c r="AH114" s="1231">
        <f t="shared" si="30"/>
        <v>0.79977231510678148</v>
      </c>
      <c r="AI114" s="1189">
        <f t="shared" si="31"/>
        <v>1.8390481733676932E-2</v>
      </c>
      <c r="AJ114" s="1233">
        <f t="shared" si="32"/>
        <v>0.18183720315954163</v>
      </c>
    </row>
    <row r="115" spans="1:36" x14ac:dyDescent="0.25">
      <c r="A115" s="701" t="s">
        <v>160</v>
      </c>
      <c r="B115" s="564" t="s">
        <v>161</v>
      </c>
      <c r="C115" s="702" t="s">
        <v>264</v>
      </c>
      <c r="D115" s="747">
        <f>'Administration LASER'!D114+'Other Oper Exp. LASER'!D114</f>
        <v>15046339.245732989</v>
      </c>
      <c r="E115" s="748">
        <f>'Administration LASER'!E114+'Other Oper Exp. LASER'!E114</f>
        <v>7580023.1142670093</v>
      </c>
      <c r="F115" s="748">
        <f>'Administration LASER'!K114+'Other Oper Exp. LASER'!K114</f>
        <v>5871763.4199999999</v>
      </c>
      <c r="G115" s="749">
        <f>'Administration LASER'!I114+'Other Oper Exp. LASER'!I114</f>
        <v>28498125.780000005</v>
      </c>
      <c r="H115" s="747">
        <f>'Client Services LASER'!D114</f>
        <v>447819.23725838994</v>
      </c>
      <c r="I115" s="748">
        <f>'Client Services LASER'!E114</f>
        <v>335715.53274161008</v>
      </c>
      <c r="J115" s="748">
        <f>'Client Services LASER'!K114</f>
        <v>149765.06999999998</v>
      </c>
      <c r="K115" s="749">
        <f>'Client Services LASER'!I114</f>
        <v>933299.84</v>
      </c>
      <c r="L115" s="2207">
        <f>'Statewide Benefits'!D115</f>
        <v>259783361.62630874</v>
      </c>
      <c r="M115" s="2208">
        <f>'Statewide Benefits'!E115</f>
        <v>194678975.92033282</v>
      </c>
      <c r="N115" s="2208">
        <f>'Statewide Benefits'!I115</f>
        <v>2533879.54</v>
      </c>
      <c r="O115" s="2209">
        <f t="shared" si="38"/>
        <v>456996217.08664161</v>
      </c>
      <c r="P115" s="2207">
        <f>'Other Benefits LASER'!D114+'FC &amp; Adoptions LASER'!D114</f>
        <v>3463258.0299999993</v>
      </c>
      <c r="Q115" s="2208">
        <f>'Other Benefits LASER'!E114 + 'FC &amp; Adoptions LASER'!E114</f>
        <v>4521561.63</v>
      </c>
      <c r="R115" s="2208">
        <f>'Other Benefits LASER'!H114 + 'FC &amp; Adoptions LASER'!H114</f>
        <v>224840.02000000002</v>
      </c>
      <c r="S115" s="2209">
        <f t="shared" si="33"/>
        <v>8209659.6799999997</v>
      </c>
      <c r="T115" s="2207">
        <f t="shared" si="34"/>
        <v>278740778.13930011</v>
      </c>
      <c r="U115" s="2208">
        <f t="shared" si="35"/>
        <v>207116276.19734144</v>
      </c>
      <c r="V115" s="2208">
        <f t="shared" si="36"/>
        <v>8780248.0500000007</v>
      </c>
      <c r="W115" s="2209">
        <f t="shared" si="37"/>
        <v>494637302.38664162</v>
      </c>
      <c r="Y115" s="594">
        <f t="shared" si="39"/>
        <v>0.52797644876325567</v>
      </c>
      <c r="Z115" s="595">
        <f t="shared" si="40"/>
        <v>0.26598321492379234</v>
      </c>
      <c r="AA115" s="595">
        <f t="shared" si="41"/>
        <v>0.20604033631295171</v>
      </c>
      <c r="AB115" s="596">
        <f t="shared" si="26"/>
        <v>0.79395966368704807</v>
      </c>
      <c r="AD115" s="1231">
        <f t="shared" si="27"/>
        <v>5.7614186480670966E-2</v>
      </c>
      <c r="AE115" s="1189">
        <f t="shared" si="28"/>
        <v>1.8868367498706565E-3</v>
      </c>
      <c r="AF115" s="1233">
        <f t="shared" si="29"/>
        <v>0.94049897676945837</v>
      </c>
      <c r="AH115" s="1231">
        <f t="shared" si="30"/>
        <v>0.66874687213421036</v>
      </c>
      <c r="AI115" s="1189">
        <f t="shared" si="31"/>
        <v>1.705704316633742E-2</v>
      </c>
      <c r="AJ115" s="1233">
        <f t="shared" si="32"/>
        <v>0.3141960846994522</v>
      </c>
    </row>
    <row r="116" spans="1:36" x14ac:dyDescent="0.25">
      <c r="A116" s="701" t="s">
        <v>166</v>
      </c>
      <c r="B116" s="564" t="s">
        <v>167</v>
      </c>
      <c r="C116" s="702" t="s">
        <v>268</v>
      </c>
      <c r="D116" s="747">
        <f>'Administration LASER'!D115+'Other Oper Exp. LASER'!D115</f>
        <v>431145.67040186963</v>
      </c>
      <c r="E116" s="748">
        <f>'Administration LASER'!E115+'Other Oper Exp. LASER'!E115</f>
        <v>190632.31959813033</v>
      </c>
      <c r="F116" s="748">
        <f>'Administration LASER'!K115+'Other Oper Exp. LASER'!K115</f>
        <v>246812.78999999998</v>
      </c>
      <c r="G116" s="749">
        <f>'Administration LASER'!I115+'Other Oper Exp. LASER'!I115</f>
        <v>868590.77999999991</v>
      </c>
      <c r="H116" s="747">
        <f>'Client Services LASER'!D115</f>
        <v>22625.007820218732</v>
      </c>
      <c r="I116" s="748">
        <f>'Client Services LASER'!E115</f>
        <v>17288.602179781272</v>
      </c>
      <c r="J116" s="748">
        <f>'Client Services LASER'!K115</f>
        <v>7821.2300000000005</v>
      </c>
      <c r="K116" s="749">
        <f>'Client Services LASER'!I115</f>
        <v>47734.840000000004</v>
      </c>
      <c r="L116" s="2207">
        <f>'Statewide Benefits'!D116</f>
        <v>4903239.446104845</v>
      </c>
      <c r="M116" s="2208">
        <f>'Statewide Benefits'!E116</f>
        <v>3481941.6710679587</v>
      </c>
      <c r="N116" s="2208">
        <f>'Statewide Benefits'!I116</f>
        <v>47149.48</v>
      </c>
      <c r="O116" s="2209">
        <f t="shared" si="38"/>
        <v>8432330.5971728042</v>
      </c>
      <c r="P116" s="2207">
        <f>'Other Benefits LASER'!D115+'FC &amp; Adoptions LASER'!D115</f>
        <v>91061.4</v>
      </c>
      <c r="Q116" s="2208">
        <f>'Other Benefits LASER'!E115 + 'FC &amp; Adoptions LASER'!E115</f>
        <v>135372.12</v>
      </c>
      <c r="R116" s="2208">
        <f>'Other Benefits LASER'!H115 + 'FC &amp; Adoptions LASER'!H115</f>
        <v>9400.34</v>
      </c>
      <c r="S116" s="2209">
        <f t="shared" si="33"/>
        <v>235833.86</v>
      </c>
      <c r="T116" s="2207">
        <f t="shared" si="34"/>
        <v>5448071.5243269335</v>
      </c>
      <c r="U116" s="2208">
        <f t="shared" si="35"/>
        <v>3825234.7128458703</v>
      </c>
      <c r="V116" s="2208">
        <f t="shared" si="36"/>
        <v>311183.84000000003</v>
      </c>
      <c r="W116" s="2209">
        <f t="shared" si="37"/>
        <v>9584490.0771728028</v>
      </c>
      <c r="Y116" s="594">
        <f t="shared" si="39"/>
        <v>0.49637375888547847</v>
      </c>
      <c r="Z116" s="595">
        <f t="shared" si="40"/>
        <v>0.21947310976306972</v>
      </c>
      <c r="AA116" s="595">
        <f t="shared" si="41"/>
        <v>0.28415313135145182</v>
      </c>
      <c r="AB116" s="596">
        <f t="shared" si="26"/>
        <v>0.71584686864854818</v>
      </c>
      <c r="AD116" s="1231">
        <f t="shared" si="27"/>
        <v>9.0624620924665153E-2</v>
      </c>
      <c r="AE116" s="1189">
        <f t="shared" si="28"/>
        <v>4.9804256267831255E-3</v>
      </c>
      <c r="AF116" s="1233">
        <f t="shared" si="29"/>
        <v>0.90439495344855181</v>
      </c>
      <c r="AH116" s="1231">
        <f t="shared" si="30"/>
        <v>0.79314141119924464</v>
      </c>
      <c r="AI116" s="1189">
        <f t="shared" si="31"/>
        <v>2.5133792294612729E-2</v>
      </c>
      <c r="AJ116" s="1233">
        <f t="shared" si="32"/>
        <v>0.18172479650614248</v>
      </c>
    </row>
    <row r="117" spans="1:36" x14ac:dyDescent="0.25">
      <c r="A117" s="701" t="s">
        <v>176</v>
      </c>
      <c r="B117" s="564" t="s">
        <v>177</v>
      </c>
      <c r="C117" s="702" t="s">
        <v>266</v>
      </c>
      <c r="D117" s="747">
        <f>'Administration LASER'!D116+'Other Oper Exp. LASER'!D116</f>
        <v>2682514.6014173599</v>
      </c>
      <c r="E117" s="748">
        <f>'Administration LASER'!E116+'Other Oper Exp. LASER'!E116</f>
        <v>1289864.5985826405</v>
      </c>
      <c r="F117" s="748">
        <f>'Administration LASER'!K116+'Other Oper Exp. LASER'!K116</f>
        <v>1364889.78</v>
      </c>
      <c r="G117" s="749">
        <f>'Administration LASER'!I116+'Other Oper Exp. LASER'!I116</f>
        <v>5337268.9799999995</v>
      </c>
      <c r="H117" s="747">
        <f>'Client Services LASER'!D116</f>
        <v>65318.491051677585</v>
      </c>
      <c r="I117" s="748">
        <f>'Client Services LASER'!E116</f>
        <v>158326.79894832242</v>
      </c>
      <c r="J117" s="748">
        <f>'Client Services LASER'!K116</f>
        <v>42037.17</v>
      </c>
      <c r="K117" s="749">
        <f>'Client Services LASER'!I116</f>
        <v>265682.46000000002</v>
      </c>
      <c r="L117" s="2207">
        <f>'Statewide Benefits'!D117</f>
        <v>68667066.891816393</v>
      </c>
      <c r="M117" s="2208">
        <f>'Statewide Benefits'!E117</f>
        <v>54160064.435813703</v>
      </c>
      <c r="N117" s="2208">
        <f>'Statewide Benefits'!I117</f>
        <v>1563868.47</v>
      </c>
      <c r="O117" s="2209">
        <f t="shared" si="38"/>
        <v>124390999.7976301</v>
      </c>
      <c r="P117" s="2207">
        <f>'Other Benefits LASER'!D116+'FC &amp; Adoptions LASER'!D116</f>
        <v>1273097.58</v>
      </c>
      <c r="Q117" s="2208">
        <f>'Other Benefits LASER'!E116 + 'FC &amp; Adoptions LASER'!E116</f>
        <v>1910389.3100000003</v>
      </c>
      <c r="R117" s="2208">
        <f>'Other Benefits LASER'!H116 + 'FC &amp; Adoptions LASER'!H116</f>
        <v>61932.799999999996</v>
      </c>
      <c r="S117" s="2209">
        <f t="shared" si="33"/>
        <v>3245419.6900000004</v>
      </c>
      <c r="T117" s="2207">
        <f t="shared" si="34"/>
        <v>72687997.564285427</v>
      </c>
      <c r="U117" s="2208">
        <f t="shared" si="35"/>
        <v>57518645.143344671</v>
      </c>
      <c r="V117" s="2208">
        <f t="shared" si="36"/>
        <v>3032728.2199999997</v>
      </c>
      <c r="W117" s="2209">
        <f t="shared" si="37"/>
        <v>133239370.9276301</v>
      </c>
      <c r="Y117" s="594">
        <f t="shared" si="39"/>
        <v>0.50260060181890254</v>
      </c>
      <c r="Z117" s="595">
        <f t="shared" si="40"/>
        <v>0.24167127484413212</v>
      </c>
      <c r="AA117" s="595">
        <f t="shared" si="41"/>
        <v>0.25572812333696554</v>
      </c>
      <c r="AB117" s="596">
        <f t="shared" si="26"/>
        <v>0.74427187666303463</v>
      </c>
      <c r="AD117" s="1231">
        <f t="shared" si="27"/>
        <v>4.0057746766899514E-2</v>
      </c>
      <c r="AE117" s="1189">
        <f t="shared" si="28"/>
        <v>1.9940236744611121E-3</v>
      </c>
      <c r="AF117" s="1233">
        <f t="shared" si="29"/>
        <v>0.95794822955863934</v>
      </c>
      <c r="AH117" s="1231">
        <f t="shared" si="30"/>
        <v>0.45005344395812696</v>
      </c>
      <c r="AI117" s="1189">
        <f t="shared" si="31"/>
        <v>1.3861172828734386E-2</v>
      </c>
      <c r="AJ117" s="1233">
        <f t="shared" si="32"/>
        <v>0.5360853832131387</v>
      </c>
    </row>
    <row r="118" spans="1:36" x14ac:dyDescent="0.25">
      <c r="A118" s="701" t="s">
        <v>180</v>
      </c>
      <c r="B118" s="564" t="s">
        <v>181</v>
      </c>
      <c r="C118" s="702" t="s">
        <v>264</v>
      </c>
      <c r="D118" s="747">
        <f>'Administration LASER'!D117+'Other Oper Exp. LASER'!D117</f>
        <v>7272615.649556594</v>
      </c>
      <c r="E118" s="748">
        <f>'Administration LASER'!E117+'Other Oper Exp. LASER'!E117</f>
        <v>3515302.890443407</v>
      </c>
      <c r="F118" s="748">
        <f>'Administration LASER'!K117+'Other Oper Exp. LASER'!K117</f>
        <v>3335852.72</v>
      </c>
      <c r="G118" s="749">
        <f>'Administration LASER'!I117+'Other Oper Exp. LASER'!I117</f>
        <v>14123771.26</v>
      </c>
      <c r="H118" s="747">
        <f>'Client Services LASER'!D117</f>
        <v>206383.69877948414</v>
      </c>
      <c r="I118" s="748">
        <f>'Client Services LASER'!E117</f>
        <v>116259.65122051587</v>
      </c>
      <c r="J118" s="748">
        <f>'Client Services LASER'!K117</f>
        <v>60080.02</v>
      </c>
      <c r="K118" s="749">
        <f>'Client Services LASER'!I117</f>
        <v>382723.37</v>
      </c>
      <c r="L118" s="2207">
        <f>'Statewide Benefits'!D118</f>
        <v>134257463.84944791</v>
      </c>
      <c r="M118" s="2208">
        <f>'Statewide Benefits'!E118</f>
        <v>97884753.845499575</v>
      </c>
      <c r="N118" s="2208">
        <f>'Statewide Benefits'!I118</f>
        <v>786414</v>
      </c>
      <c r="O118" s="2209">
        <f t="shared" si="38"/>
        <v>232928631.69494748</v>
      </c>
      <c r="P118" s="2207">
        <f>'Other Benefits LASER'!D117+'FC &amp; Adoptions LASER'!D117</f>
        <v>1557226.78</v>
      </c>
      <c r="Q118" s="2208">
        <f>'Other Benefits LASER'!E117 + 'FC &amp; Adoptions LASER'!E117</f>
        <v>2270389.5099999998</v>
      </c>
      <c r="R118" s="2208">
        <f>'Other Benefits LASER'!H117 + 'FC &amp; Adoptions LASER'!H117</f>
        <v>115681.96</v>
      </c>
      <c r="S118" s="2209">
        <f t="shared" si="33"/>
        <v>3943298.25</v>
      </c>
      <c r="T118" s="2207">
        <f t="shared" si="34"/>
        <v>143293689.97778398</v>
      </c>
      <c r="U118" s="2208">
        <f t="shared" si="35"/>
        <v>103786705.89716351</v>
      </c>
      <c r="V118" s="2208">
        <f t="shared" si="36"/>
        <v>4298028.7</v>
      </c>
      <c r="W118" s="2209">
        <f t="shared" si="37"/>
        <v>251378424.57494748</v>
      </c>
      <c r="Y118" s="594">
        <f t="shared" si="39"/>
        <v>0.51492023735568437</v>
      </c>
      <c r="Z118" s="595">
        <f t="shared" si="40"/>
        <v>0.24889265237529817</v>
      </c>
      <c r="AA118" s="595">
        <f t="shared" si="41"/>
        <v>0.23618711026901751</v>
      </c>
      <c r="AB118" s="596">
        <f t="shared" si="26"/>
        <v>0.7638128897309826</v>
      </c>
      <c r="AD118" s="1231">
        <f t="shared" si="27"/>
        <v>5.6185296267496708E-2</v>
      </c>
      <c r="AE118" s="1189">
        <f t="shared" si="28"/>
        <v>1.5224988805110939E-3</v>
      </c>
      <c r="AF118" s="1233">
        <f t="shared" si="29"/>
        <v>0.94229220485199217</v>
      </c>
      <c r="AH118" s="1231">
        <f t="shared" si="30"/>
        <v>0.77613551533520475</v>
      </c>
      <c r="AI118" s="1189">
        <f t="shared" si="31"/>
        <v>1.3978506006718846E-2</v>
      </c>
      <c r="AJ118" s="1233">
        <f t="shared" si="32"/>
        <v>0.20988597865807643</v>
      </c>
    </row>
    <row r="119" spans="1:36" x14ac:dyDescent="0.25">
      <c r="A119" s="701" t="s">
        <v>192</v>
      </c>
      <c r="B119" s="564" t="s">
        <v>193</v>
      </c>
      <c r="C119" s="702" t="s">
        <v>268</v>
      </c>
      <c r="D119" s="747">
        <f>'Administration LASER'!D118+'Other Oper Exp. LASER'!D118</f>
        <v>568837.45159681339</v>
      </c>
      <c r="E119" s="748">
        <f>'Administration LASER'!E118+'Other Oper Exp. LASER'!E118</f>
        <v>242901.52840318656</v>
      </c>
      <c r="F119" s="748">
        <f>'Administration LASER'!K118+'Other Oper Exp. LASER'!K118</f>
        <v>377865.06000000006</v>
      </c>
      <c r="G119" s="749">
        <f>'Administration LASER'!I118+'Other Oper Exp. LASER'!I118</f>
        <v>1189604.04</v>
      </c>
      <c r="H119" s="747">
        <f>'Client Services LASER'!D118</f>
        <v>12910.90800669069</v>
      </c>
      <c r="I119" s="748">
        <f>'Client Services LASER'!E118</f>
        <v>11281.031993309311</v>
      </c>
      <c r="J119" s="748">
        <f>'Client Services LASER'!K118</f>
        <v>5300.9</v>
      </c>
      <c r="K119" s="749">
        <f>'Client Services LASER'!I118</f>
        <v>29492.840000000004</v>
      </c>
      <c r="L119" s="2207">
        <f>'Statewide Benefits'!D119</f>
        <v>9743168.1117830239</v>
      </c>
      <c r="M119" s="2208">
        <f>'Statewide Benefits'!E119</f>
        <v>7935356.844395279</v>
      </c>
      <c r="N119" s="2208">
        <f>'Statewide Benefits'!I119</f>
        <v>180446.61</v>
      </c>
      <c r="O119" s="2209">
        <f t="shared" si="38"/>
        <v>17858971.566178303</v>
      </c>
      <c r="P119" s="2207">
        <f>'Other Benefits LASER'!D118+'FC &amp; Adoptions LASER'!D118</f>
        <v>329606.82</v>
      </c>
      <c r="Q119" s="2208">
        <f>'Other Benefits LASER'!E118 + 'FC &amp; Adoptions LASER'!E118</f>
        <v>442653.42000000004</v>
      </c>
      <c r="R119" s="2208">
        <f>'Other Benefits LASER'!H118 + 'FC &amp; Adoptions LASER'!H118</f>
        <v>22210.53</v>
      </c>
      <c r="S119" s="2209">
        <f t="shared" si="33"/>
        <v>794470.77</v>
      </c>
      <c r="T119" s="2207">
        <f t="shared" si="34"/>
        <v>10654523.291386528</v>
      </c>
      <c r="U119" s="2208">
        <f t="shared" si="35"/>
        <v>8632192.824791776</v>
      </c>
      <c r="V119" s="2208">
        <f t="shared" si="36"/>
        <v>585823.10000000009</v>
      </c>
      <c r="W119" s="2209">
        <f t="shared" si="37"/>
        <v>19872539.216178302</v>
      </c>
      <c r="Y119" s="594">
        <f t="shared" si="39"/>
        <v>0.47817377250737431</v>
      </c>
      <c r="Z119" s="595">
        <f t="shared" si="40"/>
        <v>0.20418687246824294</v>
      </c>
      <c r="AA119" s="595">
        <f t="shared" si="41"/>
        <v>0.31763935502438279</v>
      </c>
      <c r="AB119" s="596">
        <f t="shared" si="26"/>
        <v>0.68236064497561721</v>
      </c>
      <c r="AD119" s="1231">
        <f t="shared" si="27"/>
        <v>5.9861702979131091E-2</v>
      </c>
      <c r="AE119" s="1189">
        <f t="shared" si="28"/>
        <v>1.4841002289224209E-3</v>
      </c>
      <c r="AF119" s="1233">
        <f t="shared" si="29"/>
        <v>0.9386541967919465</v>
      </c>
      <c r="AH119" s="1231">
        <f t="shared" si="30"/>
        <v>0.64501563697300435</v>
      </c>
      <c r="AI119" s="1189">
        <f t="shared" si="31"/>
        <v>9.0486360131582372E-3</v>
      </c>
      <c r="AJ119" s="1233">
        <f t="shared" si="32"/>
        <v>0.34593572701383735</v>
      </c>
    </row>
    <row r="120" spans="1:36" x14ac:dyDescent="0.25">
      <c r="A120" s="701" t="s">
        <v>196</v>
      </c>
      <c r="B120" s="564" t="s">
        <v>312</v>
      </c>
      <c r="C120" s="702" t="s">
        <v>266</v>
      </c>
      <c r="D120" s="747">
        <f>'Administration LASER'!D119+'Other Oper Exp. LASER'!D119</f>
        <v>18340483.266198389</v>
      </c>
      <c r="E120" s="748">
        <f>'Administration LASER'!E119+'Other Oper Exp. LASER'!E119</f>
        <v>8901000.1038016081</v>
      </c>
      <c r="F120" s="748">
        <f>'Administration LASER'!K119+'Other Oper Exp. LASER'!K119</f>
        <v>8533821.2400000002</v>
      </c>
      <c r="G120" s="749">
        <f>'Administration LASER'!I119+'Other Oper Exp. LASER'!I119</f>
        <v>35775304.609999999</v>
      </c>
      <c r="H120" s="747">
        <f>'Client Services LASER'!D119</f>
        <v>561955.50919488131</v>
      </c>
      <c r="I120" s="748">
        <f>'Client Services LASER'!E119</f>
        <v>116486.4508051187</v>
      </c>
      <c r="J120" s="748">
        <f>'Client Services LASER'!K119</f>
        <v>143858.73000000001</v>
      </c>
      <c r="K120" s="749">
        <f>'Client Services LASER'!I119</f>
        <v>822300.69</v>
      </c>
      <c r="L120" s="2207">
        <f>'Statewide Benefits'!D120</f>
        <v>314013522.3463437</v>
      </c>
      <c r="M120" s="2208">
        <f>'Statewide Benefits'!E120</f>
        <v>248287277.11658487</v>
      </c>
      <c r="N120" s="2208">
        <f>'Statewide Benefits'!I120</f>
        <v>7964649.8600000003</v>
      </c>
      <c r="O120" s="2209">
        <f t="shared" si="38"/>
        <v>570265449.32292855</v>
      </c>
      <c r="P120" s="2207">
        <f>'Other Benefits LASER'!D119+'FC &amp; Adoptions LASER'!D119</f>
        <v>5342078.9100000011</v>
      </c>
      <c r="Q120" s="2208">
        <f>'Other Benefits LASER'!E119 + 'FC &amp; Adoptions LASER'!E119</f>
        <v>8564711.8399999999</v>
      </c>
      <c r="R120" s="2208">
        <f>'Other Benefits LASER'!H119 + 'FC &amp; Adoptions LASER'!H119</f>
        <v>898122.07</v>
      </c>
      <c r="S120" s="2209">
        <f t="shared" si="33"/>
        <v>14804912.82</v>
      </c>
      <c r="T120" s="2207">
        <f t="shared" si="34"/>
        <v>338258040.03173697</v>
      </c>
      <c r="U120" s="2208">
        <f t="shared" si="35"/>
        <v>265869475.51119161</v>
      </c>
      <c r="V120" s="2208">
        <f t="shared" si="36"/>
        <v>17540451.900000002</v>
      </c>
      <c r="W120" s="2209">
        <f t="shared" si="37"/>
        <v>621667967.44292855</v>
      </c>
      <c r="Y120" s="594">
        <f t="shared" si="39"/>
        <v>0.51265764096588051</v>
      </c>
      <c r="Z120" s="595">
        <f t="shared" si="40"/>
        <v>0.2488029158894591</v>
      </c>
      <c r="AA120" s="595">
        <f t="shared" si="41"/>
        <v>0.23853944314466036</v>
      </c>
      <c r="AB120" s="596">
        <f t="shared" si="26"/>
        <v>0.76146055685533964</v>
      </c>
      <c r="AD120" s="1231">
        <f t="shared" si="27"/>
        <v>5.7547286467328408E-2</v>
      </c>
      <c r="AE120" s="1189">
        <f t="shared" si="28"/>
        <v>1.3227329266816217E-3</v>
      </c>
      <c r="AF120" s="1233">
        <f t="shared" si="29"/>
        <v>0.94112998060599007</v>
      </c>
      <c r="AH120" s="1231">
        <f t="shared" si="30"/>
        <v>0.48652231360128179</v>
      </c>
      <c r="AI120" s="1189">
        <f t="shared" si="31"/>
        <v>8.2015406912064794E-3</v>
      </c>
      <c r="AJ120" s="1233">
        <f t="shared" si="32"/>
        <v>0.50527614570751156</v>
      </c>
    </row>
    <row r="121" spans="1:36" x14ac:dyDescent="0.25">
      <c r="A121" s="701" t="s">
        <v>200</v>
      </c>
      <c r="B121" s="564" t="s">
        <v>313</v>
      </c>
      <c r="C121" s="702" t="s">
        <v>265</v>
      </c>
      <c r="D121" s="747">
        <f>'Administration LASER'!D120+'Other Oper Exp. LASER'!D120</f>
        <v>7846733.5906259203</v>
      </c>
      <c r="E121" s="748">
        <f>'Administration LASER'!E120+'Other Oper Exp. LASER'!E120</f>
        <v>3348695.0193740791</v>
      </c>
      <c r="F121" s="748">
        <f>'Administration LASER'!K120+'Other Oper Exp. LASER'!K120</f>
        <v>4887019.3</v>
      </c>
      <c r="G121" s="749">
        <f>'Administration LASER'!I120+'Other Oper Exp. LASER'!I120</f>
        <v>16082447.91</v>
      </c>
      <c r="H121" s="747">
        <f>'Client Services LASER'!D120</f>
        <v>329552.44528876367</v>
      </c>
      <c r="I121" s="748">
        <f>'Client Services LASER'!E120</f>
        <v>269703.53471123619</v>
      </c>
      <c r="J121" s="748">
        <f>'Client Services LASER'!K120</f>
        <v>113298.94</v>
      </c>
      <c r="K121" s="749">
        <f>'Client Services LASER'!I120</f>
        <v>712554.91999999993</v>
      </c>
      <c r="L121" s="2207">
        <f>'Statewide Benefits'!D121</f>
        <v>137958678.76176834</v>
      </c>
      <c r="M121" s="2208">
        <f>'Statewide Benefits'!E121</f>
        <v>108835040.25191802</v>
      </c>
      <c r="N121" s="2208">
        <f>'Statewide Benefits'!I121</f>
        <v>4062132.21</v>
      </c>
      <c r="O121" s="2209">
        <f t="shared" si="38"/>
        <v>250855851.22368637</v>
      </c>
      <c r="P121" s="2207">
        <f>'Other Benefits LASER'!D120+'FC &amp; Adoptions LASER'!D120</f>
        <v>5003866.6100000003</v>
      </c>
      <c r="Q121" s="2208">
        <f>'Other Benefits LASER'!E120 + 'FC &amp; Adoptions LASER'!E120</f>
        <v>6417707.0200000005</v>
      </c>
      <c r="R121" s="2208">
        <f>'Other Benefits LASER'!H120 + 'FC &amp; Adoptions LASER'!H120</f>
        <v>154349.79999999999</v>
      </c>
      <c r="S121" s="2209">
        <f t="shared" si="33"/>
        <v>11575923.430000002</v>
      </c>
      <c r="T121" s="2207">
        <f t="shared" si="34"/>
        <v>151138831.40768304</v>
      </c>
      <c r="U121" s="2208">
        <f t="shared" si="35"/>
        <v>118871145.82600333</v>
      </c>
      <c r="V121" s="2208">
        <f t="shared" si="36"/>
        <v>9216800.25</v>
      </c>
      <c r="W121" s="2209">
        <f t="shared" si="37"/>
        <v>279226777.48368639</v>
      </c>
      <c r="Y121" s="594">
        <f t="shared" si="39"/>
        <v>0.48790666909276004</v>
      </c>
      <c r="Z121" s="595">
        <f t="shared" si="40"/>
        <v>0.20822047974996855</v>
      </c>
      <c r="AA121" s="595">
        <f t="shared" si="41"/>
        <v>0.30387285115727136</v>
      </c>
      <c r="AB121" s="596">
        <f t="shared" si="26"/>
        <v>0.69612714884272864</v>
      </c>
      <c r="AD121" s="1231">
        <f t="shared" si="27"/>
        <v>5.7596366848948088E-2</v>
      </c>
      <c r="AE121" s="1189">
        <f t="shared" si="28"/>
        <v>2.5518860562777882E-3</v>
      </c>
      <c r="AF121" s="1233">
        <f t="shared" si="29"/>
        <v>0.93985174709477404</v>
      </c>
      <c r="AH121" s="1231">
        <f t="shared" si="30"/>
        <v>0.53022949043514311</v>
      </c>
      <c r="AI121" s="1189">
        <f t="shared" si="31"/>
        <v>1.2292654384041793E-2</v>
      </c>
      <c r="AJ121" s="1233">
        <f t="shared" si="32"/>
        <v>0.45747785518081502</v>
      </c>
    </row>
    <row r="122" spans="1:36" x14ac:dyDescent="0.25">
      <c r="A122" s="701" t="s">
        <v>222</v>
      </c>
      <c r="B122" s="564" t="s">
        <v>223</v>
      </c>
      <c r="C122" s="702" t="s">
        <v>264</v>
      </c>
      <c r="D122" s="747">
        <f>'Administration LASER'!D121+'Other Oper Exp. LASER'!D121</f>
        <v>4561886.0186645454</v>
      </c>
      <c r="E122" s="748">
        <f>'Administration LASER'!E121+'Other Oper Exp. LASER'!E121</f>
        <v>1781296.6513354555</v>
      </c>
      <c r="F122" s="748">
        <f>'Administration LASER'!K121+'Other Oper Exp. LASER'!K121</f>
        <v>3825989.42</v>
      </c>
      <c r="G122" s="749">
        <f>'Administration LASER'!I121+'Other Oper Exp. LASER'!I121</f>
        <v>10169172.09</v>
      </c>
      <c r="H122" s="747">
        <f>'Client Services LASER'!D121</f>
        <v>201200.09438073036</v>
      </c>
      <c r="I122" s="748">
        <f>'Client Services LASER'!E121</f>
        <v>34685.355619269627</v>
      </c>
      <c r="J122" s="748">
        <f>'Client Services LASER'!K121</f>
        <v>113485.59</v>
      </c>
      <c r="K122" s="749">
        <f>'Client Services LASER'!I121</f>
        <v>349371.04000000004</v>
      </c>
      <c r="L122" s="2207">
        <f>'Statewide Benefits'!D122</f>
        <v>82489900.134808362</v>
      </c>
      <c r="M122" s="2208">
        <f>'Statewide Benefits'!E122</f>
        <v>63850120.760735951</v>
      </c>
      <c r="N122" s="2208">
        <f>'Statewide Benefits'!I122</f>
        <v>323080.62</v>
      </c>
      <c r="O122" s="2209">
        <f t="shared" si="38"/>
        <v>146663101.51554433</v>
      </c>
      <c r="P122" s="2207">
        <f>'Other Benefits LASER'!D121+'FC &amp; Adoptions LASER'!D121</f>
        <v>191809.37999999998</v>
      </c>
      <c r="Q122" s="2208">
        <f>'Other Benefits LASER'!E121 + 'FC &amp; Adoptions LASER'!E121</f>
        <v>438650.74</v>
      </c>
      <c r="R122" s="2208">
        <f>'Other Benefits LASER'!H121 + 'FC &amp; Adoptions LASER'!H121</f>
        <v>48986.590000000004</v>
      </c>
      <c r="S122" s="2209">
        <f t="shared" si="33"/>
        <v>679446.71</v>
      </c>
      <c r="T122" s="2207">
        <f t="shared" si="34"/>
        <v>87444795.627853632</v>
      </c>
      <c r="U122" s="2208">
        <f t="shared" si="35"/>
        <v>66104753.507690676</v>
      </c>
      <c r="V122" s="2208">
        <f t="shared" si="36"/>
        <v>4311542.22</v>
      </c>
      <c r="W122" s="2209">
        <f t="shared" si="37"/>
        <v>157861091.35554433</v>
      </c>
      <c r="Y122" s="594">
        <f t="shared" si="39"/>
        <v>0.44859954952975384</v>
      </c>
      <c r="Z122" s="595">
        <f t="shared" si="40"/>
        <v>0.17516633955748659</v>
      </c>
      <c r="AA122" s="595">
        <f t="shared" si="41"/>
        <v>0.37623411091275966</v>
      </c>
      <c r="AB122" s="596">
        <f t="shared" si="26"/>
        <v>0.6237658890872404</v>
      </c>
      <c r="AD122" s="1231">
        <f t="shared" si="27"/>
        <v>6.4418483381040198E-2</v>
      </c>
      <c r="AE122" s="1189">
        <f t="shared" si="28"/>
        <v>2.2131548502545531E-3</v>
      </c>
      <c r="AF122" s="1233">
        <f t="shared" si="29"/>
        <v>0.9333683617687053</v>
      </c>
      <c r="AH122" s="1231">
        <f t="shared" si="30"/>
        <v>0.88738303483434289</v>
      </c>
      <c r="AI122" s="1189">
        <f t="shared" si="31"/>
        <v>2.6321344940929282E-2</v>
      </c>
      <c r="AJ122" s="1233">
        <f t="shared" si="32"/>
        <v>8.6295620224727851E-2</v>
      </c>
    </row>
    <row r="123" spans="1:36" x14ac:dyDescent="0.25">
      <c r="A123" s="701" t="s">
        <v>230</v>
      </c>
      <c r="B123" s="564" t="s">
        <v>231</v>
      </c>
      <c r="C123" s="702" t="s">
        <v>264</v>
      </c>
      <c r="D123" s="747">
        <f>'Administration LASER'!D122+'Other Oper Exp. LASER'!D122</f>
        <v>13071543.196519883</v>
      </c>
      <c r="E123" s="748">
        <f>'Administration LASER'!E122+'Other Oper Exp. LASER'!E122</f>
        <v>4539135.7734801155</v>
      </c>
      <c r="F123" s="748">
        <f>'Administration LASER'!K122+'Other Oper Exp. LASER'!K122</f>
        <v>11285364.630000001</v>
      </c>
      <c r="G123" s="749">
        <f>'Administration LASER'!I122+'Other Oper Exp. LASER'!I122</f>
        <v>28896043.599999998</v>
      </c>
      <c r="H123" s="747">
        <f>'Client Services LASER'!D122</f>
        <v>498448.90336106531</v>
      </c>
      <c r="I123" s="748">
        <f>'Client Services LASER'!E122</f>
        <v>64762.906638934634</v>
      </c>
      <c r="J123" s="748">
        <f>'Client Services LASER'!K122</f>
        <v>373581.5</v>
      </c>
      <c r="K123" s="749">
        <f>'Client Services LASER'!I122</f>
        <v>936793.30999999994</v>
      </c>
      <c r="L123" s="2207">
        <f>'Statewide Benefits'!D123</f>
        <v>228523913.62957785</v>
      </c>
      <c r="M123" s="2208">
        <f>'Statewide Benefits'!E123</f>
        <v>177802167.20046699</v>
      </c>
      <c r="N123" s="2208">
        <f>'Statewide Benefits'!I123</f>
        <v>4156398.84</v>
      </c>
      <c r="O123" s="2209">
        <f t="shared" si="38"/>
        <v>410482479.67004484</v>
      </c>
      <c r="P123" s="2207">
        <f>'Other Benefits LASER'!D122+'FC &amp; Adoptions LASER'!D122</f>
        <v>3333857.2500000005</v>
      </c>
      <c r="Q123" s="2208">
        <f>'Other Benefits LASER'!E122 + 'FC &amp; Adoptions LASER'!E122</f>
        <v>4972415.88</v>
      </c>
      <c r="R123" s="2208">
        <f>'Other Benefits LASER'!H122 + 'FC &amp; Adoptions LASER'!H122</f>
        <v>228769.97</v>
      </c>
      <c r="S123" s="2209">
        <f t="shared" si="33"/>
        <v>8535043.1000000015</v>
      </c>
      <c r="T123" s="2207">
        <f t="shared" si="34"/>
        <v>245427762.97945881</v>
      </c>
      <c r="U123" s="2208">
        <f t="shared" si="35"/>
        <v>187378481.76058602</v>
      </c>
      <c r="V123" s="2208">
        <f t="shared" si="36"/>
        <v>16044114.940000001</v>
      </c>
      <c r="W123" s="2209">
        <f t="shared" si="37"/>
        <v>448850359.68004489</v>
      </c>
      <c r="Y123" s="594">
        <f t="shared" si="39"/>
        <v>0.45236446128977614</v>
      </c>
      <c r="Z123" s="595">
        <f t="shared" si="40"/>
        <v>0.15708502645947406</v>
      </c>
      <c r="AA123" s="595">
        <f t="shared" si="41"/>
        <v>0.39055051225074983</v>
      </c>
      <c r="AB123" s="596">
        <f t="shared" si="26"/>
        <v>0.60944948774925023</v>
      </c>
      <c r="AD123" s="1231">
        <f t="shared" si="27"/>
        <v>6.4377900065843846E-2</v>
      </c>
      <c r="AE123" s="1189">
        <f t="shared" si="28"/>
        <v>2.0870949299623522E-3</v>
      </c>
      <c r="AF123" s="1233">
        <f t="shared" si="29"/>
        <v>0.93353500500419373</v>
      </c>
      <c r="AH123" s="1231">
        <f t="shared" si="30"/>
        <v>0.70339589763622079</v>
      </c>
      <c r="AI123" s="1189">
        <f t="shared" si="31"/>
        <v>2.3284643708741715E-2</v>
      </c>
      <c r="AJ123" s="1233">
        <f t="shared" si="32"/>
        <v>0.27331945865503748</v>
      </c>
    </row>
    <row r="124" spans="1:36" x14ac:dyDescent="0.25">
      <c r="A124" s="701" t="s">
        <v>238</v>
      </c>
      <c r="B124" s="564" t="s">
        <v>239</v>
      </c>
      <c r="C124" s="702" t="s">
        <v>264</v>
      </c>
      <c r="D124" s="747">
        <f>'Administration LASER'!D123+'Other Oper Exp. LASER'!D123</f>
        <v>500719.35874644946</v>
      </c>
      <c r="E124" s="748">
        <f>'Administration LASER'!E123+'Other Oper Exp. LASER'!E123</f>
        <v>162402.69125355053</v>
      </c>
      <c r="F124" s="748">
        <f>'Administration LASER'!K123+'Other Oper Exp. LASER'!K123</f>
        <v>785908.02</v>
      </c>
      <c r="G124" s="749">
        <f>'Administration LASER'!I123+'Other Oper Exp. LASER'!I123</f>
        <v>1449030.07</v>
      </c>
      <c r="H124" s="747">
        <f>'Client Services LASER'!D123</f>
        <v>24838.225158039004</v>
      </c>
      <c r="I124" s="748">
        <f>'Client Services LASER'!E123</f>
        <v>29603.404841960994</v>
      </c>
      <c r="J124" s="748">
        <f>'Client Services LASER'!K123</f>
        <v>11095.66</v>
      </c>
      <c r="K124" s="749">
        <f>'Client Services LASER'!I123</f>
        <v>65537.289999999994</v>
      </c>
      <c r="L124" s="2207">
        <f>'Statewide Benefits'!D124</f>
        <v>7245241.3559825188</v>
      </c>
      <c r="M124" s="2208">
        <f>'Statewide Benefits'!E124</f>
        <v>4256067.7646878595</v>
      </c>
      <c r="N124" s="2208">
        <f>'Statewide Benefits'!I124</f>
        <v>69638.64</v>
      </c>
      <c r="O124" s="2209">
        <f t="shared" si="38"/>
        <v>11570947.760670379</v>
      </c>
      <c r="P124" s="2207">
        <f>'Other Benefits LASER'!D123+'FC &amp; Adoptions LASER'!D123</f>
        <v>98434.84</v>
      </c>
      <c r="Q124" s="2208">
        <f>'Other Benefits LASER'!E123 + 'FC &amp; Adoptions LASER'!E123</f>
        <v>206752.48</v>
      </c>
      <c r="R124" s="2208">
        <f>'Other Benefits LASER'!H123 + 'FC &amp; Adoptions LASER'!H123</f>
        <v>54266.090000000004</v>
      </c>
      <c r="S124" s="2209">
        <f t="shared" si="33"/>
        <v>359453.41000000003</v>
      </c>
      <c r="T124" s="2207">
        <f t="shared" si="34"/>
        <v>7869233.7798870075</v>
      </c>
      <c r="U124" s="2208">
        <f t="shared" si="35"/>
        <v>4654826.3407833716</v>
      </c>
      <c r="V124" s="2208">
        <f t="shared" si="36"/>
        <v>920908.41</v>
      </c>
      <c r="W124" s="2209">
        <f t="shared" si="37"/>
        <v>13444968.530670378</v>
      </c>
      <c r="Y124" s="594">
        <f t="shared" si="39"/>
        <v>0.34555484327971842</v>
      </c>
      <c r="Z124" s="595">
        <f t="shared" si="40"/>
        <v>0.11207682615830776</v>
      </c>
      <c r="AA124" s="595">
        <f t="shared" si="41"/>
        <v>0.54236833056197375</v>
      </c>
      <c r="AB124" s="596">
        <f t="shared" si="26"/>
        <v>0.45763166943802625</v>
      </c>
      <c r="AD124" s="1231">
        <f t="shared" si="27"/>
        <v>0.10777489487569296</v>
      </c>
      <c r="AE124" s="1189">
        <f t="shared" si="28"/>
        <v>4.8744844475089484E-3</v>
      </c>
      <c r="AF124" s="1233">
        <f t="shared" si="29"/>
        <v>0.88735062067679815</v>
      </c>
      <c r="AH124" s="1231">
        <f t="shared" si="30"/>
        <v>0.85340519368261603</v>
      </c>
      <c r="AI124" s="1189">
        <f t="shared" si="31"/>
        <v>1.2048603183024465E-2</v>
      </c>
      <c r="AJ124" s="1233">
        <f t="shared" si="32"/>
        <v>0.13454620313435947</v>
      </c>
    </row>
    <row r="125" spans="1:36" x14ac:dyDescent="0.25">
      <c r="A125" s="703" t="s">
        <v>240</v>
      </c>
      <c r="B125" s="704" t="s">
        <v>241</v>
      </c>
      <c r="C125" s="705" t="s">
        <v>267</v>
      </c>
      <c r="D125" s="747">
        <f>'Administration LASER'!D124+'Other Oper Exp. LASER'!D124</f>
        <v>1639287.2053828621</v>
      </c>
      <c r="E125" s="748">
        <f>'Administration LASER'!E124+'Other Oper Exp. LASER'!E124</f>
        <v>556517.92461713811</v>
      </c>
      <c r="F125" s="748">
        <f>'Administration LASER'!K124+'Other Oper Exp. LASER'!K124</f>
        <v>1435660.42</v>
      </c>
      <c r="G125" s="749">
        <f>'Administration LASER'!I124+'Other Oper Exp. LASER'!I124</f>
        <v>3631465.55</v>
      </c>
      <c r="H125" s="747">
        <f>'Client Services LASER'!D124</f>
        <v>49704.469325800055</v>
      </c>
      <c r="I125" s="748">
        <f>'Client Services LASER'!E124</f>
        <v>39022.390674199938</v>
      </c>
      <c r="J125" s="748">
        <f>'Client Services LASER'!K124</f>
        <v>41449.11</v>
      </c>
      <c r="K125" s="749">
        <f>'Client Services LASER'!I124</f>
        <v>130175.96999999997</v>
      </c>
      <c r="L125" s="2210">
        <f>'Statewide Benefits'!D125</f>
        <v>28971034.485952929</v>
      </c>
      <c r="M125" s="2211">
        <f>'Statewide Benefits'!E125</f>
        <v>23175184.694313306</v>
      </c>
      <c r="N125" s="2211">
        <f>'Statewide Benefits'!I125</f>
        <v>1296849.04</v>
      </c>
      <c r="O125" s="2212">
        <f t="shared" si="38"/>
        <v>53443068.22026623</v>
      </c>
      <c r="P125" s="2210">
        <f>'Other Benefits LASER'!D124+'FC &amp; Adoptions LASER'!D124</f>
        <v>558546.46999999986</v>
      </c>
      <c r="Q125" s="2211">
        <f>'Other Benefits LASER'!E124 + 'FC &amp; Adoptions LASER'!E124</f>
        <v>758592.88</v>
      </c>
      <c r="R125" s="2211">
        <f>'Other Benefits LASER'!H124 + 'FC &amp; Adoptions LASER'!H124</f>
        <v>40464.630000000005</v>
      </c>
      <c r="S125" s="2212">
        <f t="shared" si="33"/>
        <v>1357603.98</v>
      </c>
      <c r="T125" s="2207">
        <f t="shared" si="34"/>
        <v>31218572.630661588</v>
      </c>
      <c r="U125" s="2208">
        <f t="shared" si="35"/>
        <v>24529317.889604643</v>
      </c>
      <c r="V125" s="2208">
        <f t="shared" si="36"/>
        <v>2814423.2</v>
      </c>
      <c r="W125" s="2209">
        <f t="shared" si="37"/>
        <v>58562313.72026623</v>
      </c>
      <c r="Y125" s="755">
        <f t="shared" si="39"/>
        <v>0.45141202162384886</v>
      </c>
      <c r="Z125" s="756">
        <f t="shared" si="40"/>
        <v>0.15324885144983355</v>
      </c>
      <c r="AA125" s="756">
        <f t="shared" si="41"/>
        <v>0.39533912692631767</v>
      </c>
      <c r="AB125" s="757">
        <f t="shared" si="26"/>
        <v>0.60466087307368244</v>
      </c>
      <c r="AD125" s="1232">
        <f t="shared" si="27"/>
        <v>6.2010281344865734E-2</v>
      </c>
      <c r="AE125" s="1230">
        <f t="shared" si="28"/>
        <v>2.2228624815236924E-3</v>
      </c>
      <c r="AF125" s="1234">
        <f t="shared" si="29"/>
        <v>0.93576685617361055</v>
      </c>
      <c r="AH125" s="1232">
        <f t="shared" si="30"/>
        <v>0.51010822395153643</v>
      </c>
      <c r="AI125" s="1230">
        <f t="shared" si="31"/>
        <v>1.4727390678132555E-2</v>
      </c>
      <c r="AJ125" s="1234">
        <f t="shared" si="32"/>
        <v>0.4751643853703309</v>
      </c>
    </row>
    <row r="126" spans="1:36" x14ac:dyDescent="0.25">
      <c r="A126" s="706"/>
      <c r="B126" s="706"/>
      <c r="C126" s="706"/>
    </row>
    <row r="127" spans="1:36" x14ac:dyDescent="0.25">
      <c r="A127" s="1526" t="s">
        <v>1308</v>
      </c>
      <c r="B127" s="706"/>
      <c r="C127" s="706"/>
      <c r="O127" s="740" t="s">
        <v>700</v>
      </c>
      <c r="P127" s="740"/>
      <c r="Q127" s="740"/>
      <c r="R127" s="740"/>
      <c r="S127" s="740"/>
      <c r="T127" s="740"/>
      <c r="U127" s="740"/>
      <c r="V127" s="740"/>
      <c r="W127" s="740"/>
      <c r="X127" s="740"/>
      <c r="Y127" s="744">
        <f>MIN(Y6:Y125)</f>
        <v>0.34555484327971842</v>
      </c>
      <c r="Z127" s="744">
        <f>MIN(Z6:Z125)</f>
        <v>7.2184798088424429E-2</v>
      </c>
      <c r="AA127" s="744">
        <f>MIN(AA6:AA125)</f>
        <v>0.17878887204698879</v>
      </c>
      <c r="AB127" s="744">
        <f>MIN(AB6:AB125)</f>
        <v>0.45511448299176904</v>
      </c>
      <c r="AD127" s="744">
        <f>MIN(AD6:AD125)</f>
        <v>2.6910280504374339E-2</v>
      </c>
      <c r="AE127" s="744">
        <f>MIN(AE6:AE125)</f>
        <v>7.0911214481429936E-4</v>
      </c>
      <c r="AF127" s="744">
        <f>MIN(AF6:AF125)</f>
        <v>0.8369619950190299</v>
      </c>
      <c r="AH127" s="744">
        <f>MIN(AH6:AH125)</f>
        <v>0.22825476190882182</v>
      </c>
      <c r="AI127" s="744">
        <f>MIN(AI6:AI125)</f>
        <v>3.3959737129517303E-3</v>
      </c>
      <c r="AJ127" s="744">
        <f>MIN(AJ6:AJ125)</f>
        <v>4.0421858767326735E-2</v>
      </c>
    </row>
    <row r="128" spans="1:36" x14ac:dyDescent="0.25">
      <c r="A128" s="692"/>
      <c r="B128" s="692"/>
      <c r="C128" s="692"/>
      <c r="O128" s="740" t="s">
        <v>701</v>
      </c>
      <c r="P128" s="740"/>
      <c r="Q128" s="740"/>
      <c r="R128" s="740"/>
      <c r="S128" s="740"/>
      <c r="T128" s="740"/>
      <c r="U128" s="740"/>
      <c r="V128" s="740"/>
      <c r="W128" s="740"/>
      <c r="X128" s="740"/>
      <c r="Y128" s="744">
        <f>MAX(Y6:Y125)</f>
        <v>0.54372914398888272</v>
      </c>
      <c r="Z128" s="744">
        <f>MAX(Z6:Z125)</f>
        <v>0.27748198396412854</v>
      </c>
      <c r="AA128" s="744">
        <f>MAX(AA6:AA125)</f>
        <v>0.54488551700823107</v>
      </c>
      <c r="AB128" s="744">
        <f>MAX(AB6:AB125)</f>
        <v>0.82121112795301121</v>
      </c>
      <c r="AD128" s="744">
        <f>MAX(AD6:AD125)</f>
        <v>0.15220087951424485</v>
      </c>
      <c r="AE128" s="744">
        <f>MAX(AE6:AE125)</f>
        <v>1.2933519430852263E-2</v>
      </c>
      <c r="AF128" s="744">
        <f>MAX(AF6:AF125)</f>
        <v>0.97137856028321956</v>
      </c>
      <c r="AH128" s="744">
        <f>MAX(AH6:AH125)</f>
        <v>0.91335849890964049</v>
      </c>
      <c r="AI128" s="744">
        <f>MAX(AI6:AI125)</f>
        <v>8.1719000396236627E-2</v>
      </c>
      <c r="AJ128" s="744">
        <f>MAX(AJ6:AJ125)</f>
        <v>0.76671894438958066</v>
      </c>
    </row>
    <row r="129" spans="1:3" x14ac:dyDescent="0.25">
      <c r="A129" s="134" t="s">
        <v>248</v>
      </c>
      <c r="B129" s="707"/>
      <c r="C129" s="707"/>
    </row>
    <row r="130" spans="1:3" x14ac:dyDescent="0.25">
      <c r="A130" s="134" t="s">
        <v>249</v>
      </c>
      <c r="B130" s="391" t="s">
        <v>250</v>
      </c>
      <c r="C130" s="708"/>
    </row>
  </sheetData>
  <autoFilter ref="A4:C4"/>
  <mergeCells count="8">
    <mergeCell ref="AH3:AJ3"/>
    <mergeCell ref="D3:G3"/>
    <mergeCell ref="H3:K3"/>
    <mergeCell ref="L3:O3"/>
    <mergeCell ref="AD3:AF3"/>
    <mergeCell ref="Y3:AB3"/>
    <mergeCell ref="T3:W3"/>
    <mergeCell ref="P3:S3"/>
  </mergeCells>
  <hyperlinks>
    <hyperlink ref="B130" r:id="rId1"/>
  </hyperlinks>
  <pageMargins left="0.7" right="0.7" top="0.75" bottom="0.75" header="0.3" footer="0.3"/>
  <pageSetup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
  <sheetViews>
    <sheetView zoomScaleNormal="130" workbookViewId="0">
      <pane ySplit="2" topLeftCell="A3" activePane="bottomLeft" state="frozen"/>
      <selection pane="bottomLeft" activeCell="F19" sqref="F19"/>
    </sheetView>
  </sheetViews>
  <sheetFormatPr defaultRowHeight="12.75" x14ac:dyDescent="0.25"/>
  <cols>
    <col min="1" max="1" width="4.5" style="50" bestFit="1" customWidth="1"/>
    <col min="2" max="2" width="21.75" style="50" bestFit="1" customWidth="1"/>
    <col min="3" max="3" width="7.375" style="50" bestFit="1" customWidth="1"/>
    <col min="4" max="4" width="8.75" style="50" customWidth="1"/>
    <col min="5" max="5" width="8.5" style="50" customWidth="1"/>
    <col min="6" max="6" width="8.875" style="50" customWidth="1"/>
    <col min="7" max="16384" width="9" style="50"/>
  </cols>
  <sheetData>
    <row r="1" spans="1:6" x14ac:dyDescent="0.25">
      <c r="B1" s="2" t="s">
        <v>586</v>
      </c>
    </row>
    <row r="2" spans="1:6" ht="12.75" customHeight="1" x14ac:dyDescent="0.25">
      <c r="A2" s="50" t="s">
        <v>4</v>
      </c>
      <c r="B2" s="51" t="s">
        <v>5</v>
      </c>
      <c r="C2" s="52" t="s">
        <v>277</v>
      </c>
      <c r="D2" s="52" t="s">
        <v>278</v>
      </c>
      <c r="E2" s="52" t="s">
        <v>279</v>
      </c>
      <c r="F2" s="52" t="s">
        <v>444</v>
      </c>
    </row>
    <row r="3" spans="1:6" x14ac:dyDescent="0.2">
      <c r="A3" s="47" t="s">
        <v>10</v>
      </c>
      <c r="B3" s="53" t="s">
        <v>11</v>
      </c>
      <c r="C3" s="54">
        <v>7463</v>
      </c>
      <c r="D3" s="55" t="e">
        <f t="shared" ref="D3:D34" si="0">VLOOKUP(B3,_med2008,2,FALSE)</f>
        <v>#NAME?</v>
      </c>
      <c r="E3" s="55" t="e">
        <f t="shared" ref="E3:E34" si="1">VLOOKUP(B3,_med2009,2,FALSE)</f>
        <v>#NAME?</v>
      </c>
      <c r="F3" s="55" t="e">
        <f t="shared" ref="F3:F34" si="2">VLOOKUP(B3,_med2010,2,FALSE)</f>
        <v>#NAME?</v>
      </c>
    </row>
    <row r="4" spans="1:6" x14ac:dyDescent="0.2">
      <c r="A4" s="47" t="s">
        <v>12</v>
      </c>
      <c r="B4" s="53" t="s">
        <v>13</v>
      </c>
      <c r="C4" s="54">
        <v>7239</v>
      </c>
      <c r="D4" s="55" t="e">
        <f t="shared" si="0"/>
        <v>#NAME?</v>
      </c>
      <c r="E4" s="55" t="e">
        <f t="shared" si="1"/>
        <v>#NAME?</v>
      </c>
      <c r="F4" s="55" t="e">
        <f t="shared" si="2"/>
        <v>#NAME?</v>
      </c>
    </row>
    <row r="5" spans="1:6" x14ac:dyDescent="0.2">
      <c r="A5" s="47" t="s">
        <v>14</v>
      </c>
      <c r="B5" s="53" t="s">
        <v>15</v>
      </c>
      <c r="C5" s="54">
        <v>11870</v>
      </c>
      <c r="D5" s="55" t="e">
        <f t="shared" si="0"/>
        <v>#NAME?</v>
      </c>
      <c r="E5" s="55" t="e">
        <f t="shared" si="1"/>
        <v>#NAME?</v>
      </c>
      <c r="F5" s="55" t="e">
        <f t="shared" si="2"/>
        <v>#NAME?</v>
      </c>
    </row>
    <row r="6" spans="1:6" x14ac:dyDescent="0.2">
      <c r="A6" s="47" t="s">
        <v>16</v>
      </c>
      <c r="B6" s="53" t="s">
        <v>297</v>
      </c>
      <c r="C6" s="54">
        <v>4496</v>
      </c>
      <c r="D6" s="55" t="e">
        <f t="shared" si="0"/>
        <v>#NAME?</v>
      </c>
      <c r="E6" s="55" t="e">
        <f t="shared" si="1"/>
        <v>#NAME?</v>
      </c>
      <c r="F6" s="55" t="e">
        <f t="shared" si="2"/>
        <v>#NAME?</v>
      </c>
    </row>
    <row r="7" spans="1:6" x14ac:dyDescent="0.2">
      <c r="A7" s="47" t="s">
        <v>18</v>
      </c>
      <c r="B7" s="53" t="s">
        <v>19</v>
      </c>
      <c r="C7" s="54">
        <v>2040</v>
      </c>
      <c r="D7" s="55" t="e">
        <f t="shared" si="0"/>
        <v>#NAME?</v>
      </c>
      <c r="E7" s="55" t="e">
        <f t="shared" si="1"/>
        <v>#NAME?</v>
      </c>
      <c r="F7" s="55" t="e">
        <f t="shared" si="2"/>
        <v>#NAME?</v>
      </c>
    </row>
    <row r="8" spans="1:6" x14ac:dyDescent="0.2">
      <c r="A8" s="47" t="s">
        <v>20</v>
      </c>
      <c r="B8" s="53" t="s">
        <v>21</v>
      </c>
      <c r="C8" s="54">
        <v>4940</v>
      </c>
      <c r="D8" s="55" t="e">
        <f t="shared" si="0"/>
        <v>#NAME?</v>
      </c>
      <c r="E8" s="55" t="e">
        <f t="shared" si="1"/>
        <v>#NAME?</v>
      </c>
      <c r="F8" s="55" t="e">
        <f t="shared" si="2"/>
        <v>#NAME?</v>
      </c>
    </row>
    <row r="9" spans="1:6" x14ac:dyDescent="0.2">
      <c r="A9" s="47" t="s">
        <v>22</v>
      </c>
      <c r="B9" s="53" t="s">
        <v>23</v>
      </c>
      <c r="C9" s="54">
        <v>2749</v>
      </c>
      <c r="D9" s="55" t="e">
        <f t="shared" si="0"/>
        <v>#NAME?</v>
      </c>
      <c r="E9" s="55" t="e">
        <f t="shared" si="1"/>
        <v>#NAME?</v>
      </c>
      <c r="F9" s="55" t="e">
        <f t="shared" si="2"/>
        <v>#NAME?</v>
      </c>
    </row>
    <row r="10" spans="1:6" x14ac:dyDescent="0.2">
      <c r="A10" s="47" t="s">
        <v>24</v>
      </c>
      <c r="B10" s="53" t="s">
        <v>25</v>
      </c>
      <c r="C10" s="54">
        <v>11149</v>
      </c>
      <c r="D10" s="55" t="e">
        <f t="shared" si="0"/>
        <v>#NAME?</v>
      </c>
      <c r="E10" s="55" t="e">
        <f t="shared" si="1"/>
        <v>#NAME?</v>
      </c>
      <c r="F10" s="55" t="e">
        <f t="shared" si="2"/>
        <v>#NAME?</v>
      </c>
    </row>
    <row r="11" spans="1:6" x14ac:dyDescent="0.2">
      <c r="A11" s="47" t="s">
        <v>26</v>
      </c>
      <c r="B11" s="53" t="s">
        <v>298</v>
      </c>
      <c r="C11" s="54">
        <v>16664</v>
      </c>
      <c r="D11" s="55" t="e">
        <f t="shared" si="0"/>
        <v>#NAME?</v>
      </c>
      <c r="E11" s="55" t="e">
        <f t="shared" si="1"/>
        <v>#NAME?</v>
      </c>
      <c r="F11" s="55" t="e">
        <f t="shared" si="2"/>
        <v>#NAME?</v>
      </c>
    </row>
    <row r="12" spans="1:6" x14ac:dyDescent="0.2">
      <c r="A12" s="47" t="s">
        <v>27</v>
      </c>
      <c r="B12" s="53" t="s">
        <v>28</v>
      </c>
      <c r="C12" s="54">
        <v>503</v>
      </c>
      <c r="D12" s="55" t="e">
        <f t="shared" si="0"/>
        <v>#NAME?</v>
      </c>
      <c r="E12" s="55" t="e">
        <f t="shared" si="1"/>
        <v>#NAME?</v>
      </c>
      <c r="F12" s="55" t="e">
        <f t="shared" si="2"/>
        <v>#NAME?</v>
      </c>
    </row>
    <row r="13" spans="1:6" x14ac:dyDescent="0.2">
      <c r="A13" s="47" t="s">
        <v>29</v>
      </c>
      <c r="B13" s="53" t="s">
        <v>299</v>
      </c>
      <c r="C13" s="54">
        <v>8194</v>
      </c>
      <c r="D13" s="55" t="e">
        <f t="shared" si="0"/>
        <v>#NAME?</v>
      </c>
      <c r="E13" s="55" t="e">
        <f t="shared" si="1"/>
        <v>#NAME?</v>
      </c>
      <c r="F13" s="55" t="e">
        <f t="shared" si="2"/>
        <v>#NAME?</v>
      </c>
    </row>
    <row r="14" spans="1:6" x14ac:dyDescent="0.2">
      <c r="A14" s="47" t="s">
        <v>30</v>
      </c>
      <c r="B14" s="53" t="s">
        <v>31</v>
      </c>
      <c r="C14" s="54">
        <v>1029</v>
      </c>
      <c r="D14" s="55" t="e">
        <f t="shared" si="0"/>
        <v>#NAME?</v>
      </c>
      <c r="E14" s="55" t="e">
        <f t="shared" si="1"/>
        <v>#NAME?</v>
      </c>
      <c r="F14" s="55" t="e">
        <f t="shared" si="2"/>
        <v>#NAME?</v>
      </c>
    </row>
    <row r="15" spans="1:6" x14ac:dyDescent="0.2">
      <c r="A15" s="47" t="s">
        <v>32</v>
      </c>
      <c r="B15" s="53" t="s">
        <v>33</v>
      </c>
      <c r="C15" s="54">
        <v>2263</v>
      </c>
      <c r="D15" s="55" t="e">
        <f t="shared" si="0"/>
        <v>#NAME?</v>
      </c>
      <c r="E15" s="55" t="e">
        <f t="shared" si="1"/>
        <v>#NAME?</v>
      </c>
      <c r="F15" s="55" t="e">
        <f t="shared" si="2"/>
        <v>#NAME?</v>
      </c>
    </row>
    <row r="16" spans="1:6" x14ac:dyDescent="0.2">
      <c r="A16" s="47" t="s">
        <v>34</v>
      </c>
      <c r="B16" s="53" t="s">
        <v>35</v>
      </c>
      <c r="C16" s="54">
        <v>4845</v>
      </c>
      <c r="D16" s="55" t="e">
        <f t="shared" si="0"/>
        <v>#NAME?</v>
      </c>
      <c r="E16" s="55" t="e">
        <f t="shared" si="1"/>
        <v>#NAME?</v>
      </c>
      <c r="F16" s="55" t="e">
        <f t="shared" si="2"/>
        <v>#NAME?</v>
      </c>
    </row>
    <row r="17" spans="1:6" x14ac:dyDescent="0.2">
      <c r="A17" s="47" t="s">
        <v>36</v>
      </c>
      <c r="B17" s="53" t="s">
        <v>37</v>
      </c>
      <c r="C17" s="54">
        <v>4116</v>
      </c>
      <c r="D17" s="55" t="e">
        <f t="shared" si="0"/>
        <v>#NAME?</v>
      </c>
      <c r="E17" s="55" t="e">
        <f t="shared" si="1"/>
        <v>#NAME?</v>
      </c>
      <c r="F17" s="55" t="e">
        <f t="shared" si="2"/>
        <v>#NAME?</v>
      </c>
    </row>
    <row r="18" spans="1:6" x14ac:dyDescent="0.2">
      <c r="A18" s="47" t="s">
        <v>38</v>
      </c>
      <c r="B18" s="53" t="s">
        <v>39</v>
      </c>
      <c r="C18" s="54">
        <v>6782</v>
      </c>
      <c r="D18" s="55" t="e">
        <f t="shared" si="0"/>
        <v>#NAME?</v>
      </c>
      <c r="E18" s="55" t="e">
        <f t="shared" si="1"/>
        <v>#NAME?</v>
      </c>
      <c r="F18" s="55" t="e">
        <f t="shared" si="2"/>
        <v>#NAME?</v>
      </c>
    </row>
    <row r="19" spans="1:6" x14ac:dyDescent="0.2">
      <c r="A19" s="47" t="s">
        <v>40</v>
      </c>
      <c r="B19" s="53" t="s">
        <v>41</v>
      </c>
      <c r="C19" s="54">
        <v>2983</v>
      </c>
      <c r="D19" s="55" t="e">
        <f t="shared" si="0"/>
        <v>#NAME?</v>
      </c>
      <c r="E19" s="55" t="e">
        <f t="shared" si="1"/>
        <v>#NAME?</v>
      </c>
      <c r="F19" s="55" t="e">
        <f t="shared" si="2"/>
        <v>#NAME?</v>
      </c>
    </row>
    <row r="20" spans="1:6" x14ac:dyDescent="0.2">
      <c r="A20" s="47" t="s">
        <v>42</v>
      </c>
      <c r="B20" s="53" t="s">
        <v>43</v>
      </c>
      <c r="C20" s="54">
        <v>8789</v>
      </c>
      <c r="D20" s="55" t="e">
        <f t="shared" si="0"/>
        <v>#NAME?</v>
      </c>
      <c r="E20" s="55" t="e">
        <f t="shared" si="1"/>
        <v>#NAME?</v>
      </c>
      <c r="F20" s="55" t="e">
        <f t="shared" si="2"/>
        <v>#NAME?</v>
      </c>
    </row>
    <row r="21" spans="1:6" x14ac:dyDescent="0.2">
      <c r="A21" s="47" t="s">
        <v>44</v>
      </c>
      <c r="B21" s="53" t="s">
        <v>45</v>
      </c>
      <c r="C21" s="54">
        <v>4089</v>
      </c>
      <c r="D21" s="55" t="e">
        <f t="shared" si="0"/>
        <v>#NAME?</v>
      </c>
      <c r="E21" s="55" t="e">
        <f t="shared" si="1"/>
        <v>#NAME?</v>
      </c>
      <c r="F21" s="55" t="e">
        <f t="shared" si="2"/>
        <v>#NAME?</v>
      </c>
    </row>
    <row r="22" spans="1:6" x14ac:dyDescent="0.2">
      <c r="A22" s="47" t="s">
        <v>46</v>
      </c>
      <c r="B22" s="53" t="s">
        <v>47</v>
      </c>
      <c r="C22" s="54">
        <v>6099</v>
      </c>
      <c r="D22" s="55" t="e">
        <f t="shared" si="0"/>
        <v>#NAME?</v>
      </c>
      <c r="E22" s="55" t="e">
        <f t="shared" si="1"/>
        <v>#NAME?</v>
      </c>
      <c r="F22" s="55" t="e">
        <f t="shared" si="2"/>
        <v>#NAME?</v>
      </c>
    </row>
    <row r="23" spans="1:6" x14ac:dyDescent="0.2">
      <c r="A23" s="47" t="s">
        <v>48</v>
      </c>
      <c r="B23" s="53" t="s">
        <v>269</v>
      </c>
      <c r="C23" s="54">
        <v>1026</v>
      </c>
      <c r="D23" s="55" t="e">
        <f t="shared" si="0"/>
        <v>#NAME?</v>
      </c>
      <c r="E23" s="55" t="e">
        <f t="shared" si="1"/>
        <v>#NAME?</v>
      </c>
      <c r="F23" s="55" t="e">
        <f t="shared" si="2"/>
        <v>#NAME?</v>
      </c>
    </row>
    <row r="24" spans="1:6" x14ac:dyDescent="0.2">
      <c r="A24" s="47" t="s">
        <v>50</v>
      </c>
      <c r="B24" s="53" t="s">
        <v>51</v>
      </c>
      <c r="C24" s="54">
        <v>3005</v>
      </c>
      <c r="D24" s="55" t="e">
        <f t="shared" si="0"/>
        <v>#NAME?</v>
      </c>
      <c r="E24" s="55" t="e">
        <f t="shared" si="1"/>
        <v>#NAME?</v>
      </c>
      <c r="F24" s="55" t="e">
        <f t="shared" si="2"/>
        <v>#NAME?</v>
      </c>
    </row>
    <row r="25" spans="1:6" x14ac:dyDescent="0.2">
      <c r="A25" s="47" t="s">
        <v>52</v>
      </c>
      <c r="B25" s="53" t="s">
        <v>53</v>
      </c>
      <c r="C25" s="54">
        <v>6733</v>
      </c>
      <c r="D25" s="55" t="e">
        <f t="shared" si="0"/>
        <v>#NAME?</v>
      </c>
      <c r="E25" s="55" t="e">
        <f t="shared" si="1"/>
        <v>#NAME?</v>
      </c>
      <c r="F25" s="55" t="e">
        <f t="shared" si="2"/>
        <v>#NAME?</v>
      </c>
    </row>
    <row r="26" spans="1:6" x14ac:dyDescent="0.2">
      <c r="A26" s="47" t="s">
        <v>54</v>
      </c>
      <c r="B26" s="53" t="s">
        <v>55</v>
      </c>
      <c r="C26" s="54">
        <v>24491</v>
      </c>
      <c r="D26" s="55" t="e">
        <f t="shared" si="0"/>
        <v>#NAME?</v>
      </c>
      <c r="E26" s="55" t="e">
        <f t="shared" si="1"/>
        <v>#NAME?</v>
      </c>
      <c r="F26" s="55" t="e">
        <f t="shared" si="2"/>
        <v>#NAME?</v>
      </c>
    </row>
    <row r="27" spans="1:6" x14ac:dyDescent="0.2">
      <c r="A27" s="47" t="s">
        <v>56</v>
      </c>
      <c r="B27" s="53" t="s">
        <v>295</v>
      </c>
      <c r="C27" s="54">
        <v>30326</v>
      </c>
      <c r="D27" s="55" t="e">
        <f t="shared" si="0"/>
        <v>#NAME?</v>
      </c>
      <c r="E27" s="55" t="e">
        <f t="shared" si="1"/>
        <v>#NAME?</v>
      </c>
      <c r="F27" s="55" t="e">
        <f t="shared" si="2"/>
        <v>#NAME?</v>
      </c>
    </row>
    <row r="28" spans="1:6" x14ac:dyDescent="0.2">
      <c r="A28" s="47" t="s">
        <v>58</v>
      </c>
      <c r="B28" s="53" t="s">
        <v>59</v>
      </c>
      <c r="C28" s="54">
        <v>986</v>
      </c>
      <c r="D28" s="55" t="e">
        <f t="shared" si="0"/>
        <v>#NAME?</v>
      </c>
      <c r="E28" s="55" t="e">
        <f t="shared" si="1"/>
        <v>#NAME?</v>
      </c>
      <c r="F28" s="55" t="e">
        <f t="shared" si="2"/>
        <v>#NAME?</v>
      </c>
    </row>
    <row r="29" spans="1:6" x14ac:dyDescent="0.2">
      <c r="A29" s="47" t="s">
        <v>60</v>
      </c>
      <c r="B29" s="53" t="s">
        <v>61</v>
      </c>
      <c r="C29" s="54">
        <v>739</v>
      </c>
      <c r="D29" s="55" t="e">
        <f t="shared" si="0"/>
        <v>#NAME?</v>
      </c>
      <c r="E29" s="55" t="e">
        <f t="shared" si="1"/>
        <v>#NAME?</v>
      </c>
      <c r="F29" s="55" t="e">
        <f t="shared" si="2"/>
        <v>#NAME?</v>
      </c>
    </row>
    <row r="30" spans="1:6" x14ac:dyDescent="0.2">
      <c r="A30" s="47" t="s">
        <v>62</v>
      </c>
      <c r="B30" s="53" t="s">
        <v>63</v>
      </c>
      <c r="C30" s="54">
        <v>5420</v>
      </c>
      <c r="D30" s="55" t="e">
        <f t="shared" si="0"/>
        <v>#NAME?</v>
      </c>
      <c r="E30" s="55" t="e">
        <f t="shared" si="1"/>
        <v>#NAME?</v>
      </c>
      <c r="F30" s="55" t="e">
        <f t="shared" si="2"/>
        <v>#NAME?</v>
      </c>
    </row>
    <row r="31" spans="1:6" x14ac:dyDescent="0.2">
      <c r="A31" s="47" t="s">
        <v>64</v>
      </c>
      <c r="B31" s="53" t="s">
        <v>65</v>
      </c>
      <c r="C31" s="54">
        <v>2244</v>
      </c>
      <c r="D31" s="55" t="e">
        <f t="shared" si="0"/>
        <v>#NAME?</v>
      </c>
      <c r="E31" s="55" t="e">
        <f t="shared" si="1"/>
        <v>#NAME?</v>
      </c>
      <c r="F31" s="55" t="e">
        <f t="shared" si="2"/>
        <v>#NAME?</v>
      </c>
    </row>
    <row r="32" spans="1:6" x14ac:dyDescent="0.2">
      <c r="A32" s="47" t="s">
        <v>66</v>
      </c>
      <c r="B32" s="53" t="s">
        <v>67</v>
      </c>
      <c r="C32" s="54">
        <v>13346</v>
      </c>
      <c r="D32" s="55" t="e">
        <f t="shared" si="0"/>
        <v>#NAME?</v>
      </c>
      <c r="E32" s="55" t="e">
        <f t="shared" si="1"/>
        <v>#NAME?</v>
      </c>
      <c r="F32" s="55" t="e">
        <f t="shared" si="2"/>
        <v>#NAME?</v>
      </c>
    </row>
    <row r="33" spans="1:6" x14ac:dyDescent="0.2">
      <c r="A33" s="47" t="s">
        <v>68</v>
      </c>
      <c r="B33" s="53" t="s">
        <v>69</v>
      </c>
      <c r="C33" s="54">
        <v>4742</v>
      </c>
      <c r="D33" s="55" t="e">
        <f t="shared" si="0"/>
        <v>#NAME?</v>
      </c>
      <c r="E33" s="55" t="e">
        <f t="shared" si="1"/>
        <v>#NAME?</v>
      </c>
      <c r="F33" s="55" t="e">
        <f t="shared" si="2"/>
        <v>#NAME?</v>
      </c>
    </row>
    <row r="34" spans="1:6" x14ac:dyDescent="0.2">
      <c r="A34" s="47" t="s">
        <v>70</v>
      </c>
      <c r="B34" s="53" t="s">
        <v>71</v>
      </c>
      <c r="C34" s="54">
        <v>4542</v>
      </c>
      <c r="D34" s="55" t="e">
        <f t="shared" si="0"/>
        <v>#NAME?</v>
      </c>
      <c r="E34" s="55" t="e">
        <f t="shared" si="1"/>
        <v>#NAME?</v>
      </c>
      <c r="F34" s="55" t="e">
        <f t="shared" si="2"/>
        <v>#NAME?</v>
      </c>
    </row>
    <row r="35" spans="1:6" x14ac:dyDescent="0.2">
      <c r="A35" s="47" t="s">
        <v>72</v>
      </c>
      <c r="B35" s="53" t="s">
        <v>73</v>
      </c>
      <c r="C35" s="54">
        <v>2202</v>
      </c>
      <c r="D35" s="55" t="e">
        <f t="shared" ref="D35:D66" si="3">VLOOKUP(B35,_med2008,2,FALSE)</f>
        <v>#NAME?</v>
      </c>
      <c r="E35" s="55" t="e">
        <f t="shared" ref="E35:E66" si="4">VLOOKUP(B35,_med2009,2,FALSE)</f>
        <v>#NAME?</v>
      </c>
      <c r="F35" s="55" t="e">
        <f t="shared" ref="F35:F66" si="5">VLOOKUP(B35,_med2010,2,FALSE)</f>
        <v>#NAME?</v>
      </c>
    </row>
    <row r="36" spans="1:6" x14ac:dyDescent="0.2">
      <c r="A36" s="47" t="s">
        <v>74</v>
      </c>
      <c r="B36" s="53" t="s">
        <v>296</v>
      </c>
      <c r="C36" s="54">
        <v>66005</v>
      </c>
      <c r="D36" s="55" t="e">
        <f t="shared" si="3"/>
        <v>#NAME?</v>
      </c>
      <c r="E36" s="55" t="e">
        <f t="shared" si="4"/>
        <v>#NAME?</v>
      </c>
      <c r="F36" s="55" t="e">
        <f t="shared" si="5"/>
        <v>#NAME?</v>
      </c>
    </row>
    <row r="37" spans="1:6" x14ac:dyDescent="0.2">
      <c r="A37" s="47" t="s">
        <v>76</v>
      </c>
      <c r="B37" s="53" t="s">
        <v>77</v>
      </c>
      <c r="C37" s="54">
        <v>4472</v>
      </c>
      <c r="D37" s="55" t="e">
        <f t="shared" si="3"/>
        <v>#NAME?</v>
      </c>
      <c r="E37" s="55" t="e">
        <f t="shared" si="4"/>
        <v>#NAME?</v>
      </c>
      <c r="F37" s="55" t="e">
        <f t="shared" si="5"/>
        <v>#NAME?</v>
      </c>
    </row>
    <row r="38" spans="1:6" x14ac:dyDescent="0.2">
      <c r="A38" s="47" t="s">
        <v>78</v>
      </c>
      <c r="B38" s="53" t="s">
        <v>79</v>
      </c>
      <c r="C38" s="54">
        <v>2221</v>
      </c>
      <c r="D38" s="55" t="e">
        <f t="shared" si="3"/>
        <v>#NAME?</v>
      </c>
      <c r="E38" s="55" t="e">
        <f t="shared" si="4"/>
        <v>#NAME?</v>
      </c>
      <c r="F38" s="55" t="e">
        <f t="shared" si="5"/>
        <v>#NAME?</v>
      </c>
    </row>
    <row r="39" spans="1:6" x14ac:dyDescent="0.2">
      <c r="A39" s="47" t="s">
        <v>80</v>
      </c>
      <c r="B39" s="53" t="s">
        <v>81</v>
      </c>
      <c r="C39" s="54">
        <v>2055</v>
      </c>
      <c r="D39" s="55" t="e">
        <f t="shared" si="3"/>
        <v>#NAME?</v>
      </c>
      <c r="E39" s="55" t="e">
        <f t="shared" si="4"/>
        <v>#NAME?</v>
      </c>
      <c r="F39" s="55" t="e">
        <f t="shared" si="5"/>
        <v>#NAME?</v>
      </c>
    </row>
    <row r="40" spans="1:6" x14ac:dyDescent="0.2">
      <c r="A40" s="47" t="s">
        <v>82</v>
      </c>
      <c r="B40" s="53" t="s">
        <v>83</v>
      </c>
      <c r="C40" s="54">
        <v>2567</v>
      </c>
      <c r="D40" s="55" t="e">
        <f t="shared" si="3"/>
        <v>#NAME?</v>
      </c>
      <c r="E40" s="55" t="e">
        <f t="shared" si="4"/>
        <v>#NAME?</v>
      </c>
      <c r="F40" s="55" t="e">
        <f t="shared" si="5"/>
        <v>#NAME?</v>
      </c>
    </row>
    <row r="41" spans="1:6" x14ac:dyDescent="0.2">
      <c r="A41" s="47" t="s">
        <v>84</v>
      </c>
      <c r="B41" s="53" t="s">
        <v>85</v>
      </c>
      <c r="C41" s="54">
        <v>7976</v>
      </c>
      <c r="D41" s="55" t="e">
        <f t="shared" si="3"/>
        <v>#NAME?</v>
      </c>
      <c r="E41" s="55" t="e">
        <f t="shared" si="4"/>
        <v>#NAME?</v>
      </c>
      <c r="F41" s="55" t="e">
        <f t="shared" si="5"/>
        <v>#NAME?</v>
      </c>
    </row>
    <row r="42" spans="1:6" x14ac:dyDescent="0.2">
      <c r="A42" s="47" t="s">
        <v>86</v>
      </c>
      <c r="B42" s="53" t="s">
        <v>87</v>
      </c>
      <c r="C42" s="54">
        <v>6545</v>
      </c>
      <c r="D42" s="55" t="e">
        <f t="shared" si="3"/>
        <v>#NAME?</v>
      </c>
      <c r="E42" s="55" t="e">
        <f t="shared" si="4"/>
        <v>#NAME?</v>
      </c>
      <c r="F42" s="55" t="e">
        <f t="shared" si="5"/>
        <v>#NAME?</v>
      </c>
    </row>
    <row r="43" spans="1:6" x14ac:dyDescent="0.2">
      <c r="A43" s="47" t="s">
        <v>88</v>
      </c>
      <c r="B43" s="53" t="s">
        <v>89</v>
      </c>
      <c r="C43" s="54">
        <v>4329</v>
      </c>
      <c r="D43" s="55" t="e">
        <f t="shared" si="3"/>
        <v>#NAME?</v>
      </c>
      <c r="E43" s="55" t="e">
        <f t="shared" si="4"/>
        <v>#NAME?</v>
      </c>
      <c r="F43" s="55" t="e">
        <f t="shared" si="5"/>
        <v>#NAME?</v>
      </c>
    </row>
    <row r="44" spans="1:6" x14ac:dyDescent="0.2">
      <c r="A44" s="47" t="s">
        <v>90</v>
      </c>
      <c r="B44" s="53" t="s">
        <v>91</v>
      </c>
      <c r="C44" s="54">
        <v>2240</v>
      </c>
      <c r="D44" s="55" t="e">
        <f t="shared" si="3"/>
        <v>#NAME?</v>
      </c>
      <c r="E44" s="55" t="e">
        <f t="shared" si="4"/>
        <v>#NAME?</v>
      </c>
      <c r="F44" s="55" t="e">
        <f t="shared" si="5"/>
        <v>#NAME?</v>
      </c>
    </row>
    <row r="45" spans="1:6" x14ac:dyDescent="0.2">
      <c r="A45" s="47" t="s">
        <v>92</v>
      </c>
      <c r="B45" s="53" t="s">
        <v>93</v>
      </c>
      <c r="C45" s="54">
        <v>2917</v>
      </c>
      <c r="D45" s="55" t="e">
        <f t="shared" si="3"/>
        <v>#NAME?</v>
      </c>
      <c r="E45" s="55" t="e">
        <f t="shared" si="4"/>
        <v>#NAME?</v>
      </c>
      <c r="F45" s="55" t="e">
        <f t="shared" si="5"/>
        <v>#NAME?</v>
      </c>
    </row>
    <row r="46" spans="1:6" x14ac:dyDescent="0.2">
      <c r="A46" s="47" t="s">
        <v>94</v>
      </c>
      <c r="B46" s="53" t="s">
        <v>95</v>
      </c>
      <c r="C46" s="54">
        <v>4114</v>
      </c>
      <c r="D46" s="55" t="e">
        <f t="shared" si="3"/>
        <v>#NAME?</v>
      </c>
      <c r="E46" s="55" t="e">
        <f t="shared" si="4"/>
        <v>#NAME?</v>
      </c>
      <c r="F46" s="55" t="e">
        <f t="shared" si="5"/>
        <v>#NAME?</v>
      </c>
    </row>
    <row r="47" spans="1:6" x14ac:dyDescent="0.2">
      <c r="A47" s="47" t="s">
        <v>96</v>
      </c>
      <c r="B47" s="53" t="s">
        <v>97</v>
      </c>
      <c r="C47" s="54">
        <v>1386</v>
      </c>
      <c r="D47" s="55" t="e">
        <f t="shared" si="3"/>
        <v>#NAME?</v>
      </c>
      <c r="E47" s="55" t="e">
        <f t="shared" si="4"/>
        <v>#NAME?</v>
      </c>
      <c r="F47" s="55" t="e">
        <f t="shared" si="5"/>
        <v>#NAME?</v>
      </c>
    </row>
    <row r="48" spans="1:6" x14ac:dyDescent="0.2">
      <c r="A48" s="47" t="s">
        <v>98</v>
      </c>
      <c r="B48" s="53" t="s">
        <v>99</v>
      </c>
      <c r="C48" s="54">
        <v>3759</v>
      </c>
      <c r="D48" s="55" t="e">
        <f t="shared" si="3"/>
        <v>#NAME?</v>
      </c>
      <c r="E48" s="55" t="e">
        <f t="shared" si="4"/>
        <v>#NAME?</v>
      </c>
      <c r="F48" s="55" t="e">
        <f t="shared" si="5"/>
        <v>#NAME?</v>
      </c>
    </row>
    <row r="49" spans="1:6" x14ac:dyDescent="0.2">
      <c r="A49" s="47" t="s">
        <v>100</v>
      </c>
      <c r="B49" s="53" t="s">
        <v>101</v>
      </c>
      <c r="C49" s="54">
        <v>2234</v>
      </c>
      <c r="D49" s="55" t="e">
        <f t="shared" si="3"/>
        <v>#NAME?</v>
      </c>
      <c r="E49" s="55" t="e">
        <f t="shared" si="4"/>
        <v>#NAME?</v>
      </c>
      <c r="F49" s="55" t="e">
        <f t="shared" si="5"/>
        <v>#NAME?</v>
      </c>
    </row>
    <row r="50" spans="1:6" x14ac:dyDescent="0.2">
      <c r="A50" s="47" t="s">
        <v>102</v>
      </c>
      <c r="B50" s="53" t="s">
        <v>282</v>
      </c>
      <c r="C50" s="54">
        <v>4134</v>
      </c>
      <c r="D50" s="55" t="e">
        <f t="shared" si="3"/>
        <v>#NAME?</v>
      </c>
      <c r="E50" s="55" t="e">
        <f t="shared" si="4"/>
        <v>#NAME?</v>
      </c>
      <c r="F50" s="55" t="e">
        <f t="shared" si="5"/>
        <v>#NAME?</v>
      </c>
    </row>
    <row r="51" spans="1:6" x14ac:dyDescent="0.2">
      <c r="A51" s="47" t="s">
        <v>104</v>
      </c>
      <c r="B51" s="53" t="s">
        <v>105</v>
      </c>
      <c r="C51" s="54">
        <v>8414</v>
      </c>
      <c r="D51" s="55" t="e">
        <f t="shared" si="3"/>
        <v>#NAME?</v>
      </c>
      <c r="E51" s="55" t="e">
        <f t="shared" si="4"/>
        <v>#NAME?</v>
      </c>
      <c r="F51" s="55" t="e">
        <f t="shared" si="5"/>
        <v>#NAME?</v>
      </c>
    </row>
    <row r="52" spans="1:6" x14ac:dyDescent="0.2">
      <c r="A52" s="47" t="s">
        <v>106</v>
      </c>
      <c r="B52" s="53" t="s">
        <v>107</v>
      </c>
      <c r="C52" s="54">
        <v>23189</v>
      </c>
      <c r="D52" s="55" t="e">
        <f t="shared" si="3"/>
        <v>#NAME?</v>
      </c>
      <c r="E52" s="55" t="e">
        <f t="shared" si="4"/>
        <v>#NAME?</v>
      </c>
      <c r="F52" s="55" t="e">
        <f t="shared" si="5"/>
        <v>#NAME?</v>
      </c>
    </row>
    <row r="53" spans="1:6" x14ac:dyDescent="0.2">
      <c r="A53" s="47" t="s">
        <v>108</v>
      </c>
      <c r="B53" s="53" t="s">
        <v>109</v>
      </c>
      <c r="C53" s="54">
        <v>6268</v>
      </c>
      <c r="D53" s="55" t="e">
        <f t="shared" si="3"/>
        <v>#NAME?</v>
      </c>
      <c r="E53" s="55" t="e">
        <f t="shared" si="4"/>
        <v>#NAME?</v>
      </c>
      <c r="F53" s="55" t="e">
        <f t="shared" si="5"/>
        <v>#NAME?</v>
      </c>
    </row>
    <row r="54" spans="1:6" x14ac:dyDescent="0.2">
      <c r="A54" s="47" t="s">
        <v>110</v>
      </c>
      <c r="B54" s="53" t="s">
        <v>111</v>
      </c>
      <c r="C54" s="54">
        <v>31176</v>
      </c>
      <c r="D54" s="55" t="e">
        <f t="shared" si="3"/>
        <v>#NAME?</v>
      </c>
      <c r="E54" s="55" t="e">
        <f t="shared" si="4"/>
        <v>#NAME?</v>
      </c>
      <c r="F54" s="55" t="e">
        <f t="shared" si="5"/>
        <v>#NAME?</v>
      </c>
    </row>
    <row r="55" spans="1:6" x14ac:dyDescent="0.2">
      <c r="A55" s="47" t="s">
        <v>112</v>
      </c>
      <c r="B55" s="53" t="s">
        <v>300</v>
      </c>
      <c r="C55" s="54">
        <v>16087</v>
      </c>
      <c r="D55" s="55" t="e">
        <f t="shared" si="3"/>
        <v>#NAME?</v>
      </c>
      <c r="E55" s="55" t="e">
        <f t="shared" si="4"/>
        <v>#NAME?</v>
      </c>
      <c r="F55" s="55" t="e">
        <f t="shared" si="5"/>
        <v>#NAME?</v>
      </c>
    </row>
    <row r="56" spans="1:6" x14ac:dyDescent="0.2">
      <c r="A56" s="47" t="s">
        <v>114</v>
      </c>
      <c r="B56" s="53" t="s">
        <v>115</v>
      </c>
      <c r="C56" s="54">
        <v>290</v>
      </c>
      <c r="D56" s="55" t="e">
        <f t="shared" si="3"/>
        <v>#NAME?</v>
      </c>
      <c r="E56" s="55" t="e">
        <f t="shared" si="4"/>
        <v>#NAME?</v>
      </c>
      <c r="F56" s="55" t="e">
        <f t="shared" si="5"/>
        <v>#NAME?</v>
      </c>
    </row>
    <row r="57" spans="1:6" x14ac:dyDescent="0.2">
      <c r="A57" s="47" t="s">
        <v>116</v>
      </c>
      <c r="B57" s="53" t="s">
        <v>117</v>
      </c>
      <c r="C57" s="54">
        <v>6343</v>
      </c>
      <c r="D57" s="55" t="e">
        <f t="shared" si="3"/>
        <v>#NAME?</v>
      </c>
      <c r="E57" s="55" t="e">
        <f t="shared" si="4"/>
        <v>#NAME?</v>
      </c>
      <c r="F57" s="55" t="e">
        <f t="shared" si="5"/>
        <v>#NAME?</v>
      </c>
    </row>
    <row r="58" spans="1:6" x14ac:dyDescent="0.2">
      <c r="A58" s="47" t="s">
        <v>118</v>
      </c>
      <c r="B58" s="53" t="s">
        <v>270</v>
      </c>
      <c r="C58" s="54">
        <v>4418</v>
      </c>
      <c r="D58" s="55" t="e">
        <f t="shared" si="3"/>
        <v>#NAME?</v>
      </c>
      <c r="E58" s="55" t="e">
        <f t="shared" si="4"/>
        <v>#NAME?</v>
      </c>
      <c r="F58" s="55" t="e">
        <f t="shared" si="5"/>
        <v>#NAME?</v>
      </c>
    </row>
    <row r="59" spans="1:6" x14ac:dyDescent="0.2">
      <c r="A59" s="47" t="s">
        <v>120</v>
      </c>
      <c r="B59" s="53" t="s">
        <v>121</v>
      </c>
      <c r="C59" s="54">
        <v>4708</v>
      </c>
      <c r="D59" s="55" t="e">
        <f t="shared" si="3"/>
        <v>#NAME?</v>
      </c>
      <c r="E59" s="55" t="e">
        <f t="shared" si="4"/>
        <v>#NAME?</v>
      </c>
      <c r="F59" s="55" t="e">
        <f t="shared" si="5"/>
        <v>#NAME?</v>
      </c>
    </row>
    <row r="60" spans="1:6" x14ac:dyDescent="0.2">
      <c r="A60" s="47" t="s">
        <v>122</v>
      </c>
      <c r="B60" s="53" t="s">
        <v>287</v>
      </c>
      <c r="C60" s="54">
        <v>1328</v>
      </c>
      <c r="D60" s="55" t="e">
        <f t="shared" si="3"/>
        <v>#NAME?</v>
      </c>
      <c r="E60" s="55" t="e">
        <f t="shared" si="4"/>
        <v>#NAME?</v>
      </c>
      <c r="F60" s="55" t="e">
        <f t="shared" si="5"/>
        <v>#NAME?</v>
      </c>
    </row>
    <row r="61" spans="1:6" x14ac:dyDescent="0.2">
      <c r="A61" s="47" t="s">
        <v>124</v>
      </c>
      <c r="B61" s="53" t="s">
        <v>125</v>
      </c>
      <c r="C61" s="54">
        <v>2080</v>
      </c>
      <c r="D61" s="55" t="e">
        <f t="shared" si="3"/>
        <v>#NAME?</v>
      </c>
      <c r="E61" s="55" t="e">
        <f t="shared" si="4"/>
        <v>#NAME?</v>
      </c>
      <c r="F61" s="55" t="e">
        <f t="shared" si="5"/>
        <v>#NAME?</v>
      </c>
    </row>
    <row r="62" spans="1:6" x14ac:dyDescent="0.2">
      <c r="A62" s="47" t="s">
        <v>126</v>
      </c>
      <c r="B62" s="53" t="s">
        <v>127</v>
      </c>
      <c r="C62" s="54">
        <v>1653</v>
      </c>
      <c r="D62" s="55" t="e">
        <f t="shared" si="3"/>
        <v>#NAME?</v>
      </c>
      <c r="E62" s="55" t="e">
        <f t="shared" si="4"/>
        <v>#NAME?</v>
      </c>
      <c r="F62" s="55" t="e">
        <f t="shared" si="5"/>
        <v>#NAME?</v>
      </c>
    </row>
    <row r="63" spans="1:6" x14ac:dyDescent="0.2">
      <c r="A63" s="47" t="s">
        <v>128</v>
      </c>
      <c r="B63" s="53" t="s">
        <v>129</v>
      </c>
      <c r="C63" s="54">
        <v>2006</v>
      </c>
      <c r="D63" s="55" t="e">
        <f t="shared" si="3"/>
        <v>#NAME?</v>
      </c>
      <c r="E63" s="55" t="e">
        <f t="shared" si="4"/>
        <v>#NAME?</v>
      </c>
      <c r="F63" s="55" t="e">
        <f t="shared" si="5"/>
        <v>#NAME?</v>
      </c>
    </row>
    <row r="64" spans="1:6" x14ac:dyDescent="0.2">
      <c r="A64" s="47" t="s">
        <v>130</v>
      </c>
      <c r="B64" s="53" t="s">
        <v>131</v>
      </c>
      <c r="C64" s="54">
        <v>7728</v>
      </c>
      <c r="D64" s="55" t="e">
        <f t="shared" si="3"/>
        <v>#NAME?</v>
      </c>
      <c r="E64" s="55" t="e">
        <f t="shared" si="4"/>
        <v>#NAME?</v>
      </c>
      <c r="F64" s="55" t="e">
        <f t="shared" si="5"/>
        <v>#NAME?</v>
      </c>
    </row>
    <row r="65" spans="1:6" x14ac:dyDescent="0.2">
      <c r="A65" s="47" t="s">
        <v>132</v>
      </c>
      <c r="B65" s="53" t="s">
        <v>133</v>
      </c>
      <c r="C65" s="54">
        <v>10860</v>
      </c>
      <c r="D65" s="55" t="e">
        <f t="shared" si="3"/>
        <v>#NAME?</v>
      </c>
      <c r="E65" s="55" t="e">
        <f t="shared" si="4"/>
        <v>#NAME?</v>
      </c>
      <c r="F65" s="55" t="e">
        <f t="shared" si="5"/>
        <v>#NAME?</v>
      </c>
    </row>
    <row r="66" spans="1:6" x14ac:dyDescent="0.2">
      <c r="A66" s="47" t="s">
        <v>134</v>
      </c>
      <c r="B66" s="53" t="s">
        <v>135</v>
      </c>
      <c r="C66" s="54">
        <v>4296</v>
      </c>
      <c r="D66" s="55" t="e">
        <f t="shared" si="3"/>
        <v>#NAME?</v>
      </c>
      <c r="E66" s="55" t="e">
        <f t="shared" si="4"/>
        <v>#NAME?</v>
      </c>
      <c r="F66" s="55" t="e">
        <f t="shared" si="5"/>
        <v>#NAME?</v>
      </c>
    </row>
    <row r="67" spans="1:6" x14ac:dyDescent="0.2">
      <c r="A67" s="47" t="s">
        <v>136</v>
      </c>
      <c r="B67" s="53" t="s">
        <v>137</v>
      </c>
      <c r="C67" s="54">
        <v>2847</v>
      </c>
      <c r="D67" s="55" t="e">
        <f t="shared" ref="D67:D98" si="6">VLOOKUP(B67,_med2008,2,FALSE)</f>
        <v>#NAME?</v>
      </c>
      <c r="E67" s="55" t="e">
        <f t="shared" ref="E67:E98" si="7">VLOOKUP(B67,_med2009,2,FALSE)</f>
        <v>#NAME?</v>
      </c>
      <c r="F67" s="55" t="e">
        <f t="shared" ref="F67:F98" si="8">VLOOKUP(B67,_med2010,2,FALSE)</f>
        <v>#NAME?</v>
      </c>
    </row>
    <row r="68" spans="1:6" x14ac:dyDescent="0.2">
      <c r="A68" s="47" t="s">
        <v>138</v>
      </c>
      <c r="B68" s="53" t="s">
        <v>139</v>
      </c>
      <c r="C68" s="54">
        <v>13893</v>
      </c>
      <c r="D68" s="55" t="e">
        <f t="shared" si="6"/>
        <v>#NAME?</v>
      </c>
      <c r="E68" s="55" t="e">
        <f t="shared" si="7"/>
        <v>#NAME?</v>
      </c>
      <c r="F68" s="55" t="e">
        <f t="shared" si="8"/>
        <v>#NAME?</v>
      </c>
    </row>
    <row r="69" spans="1:6" x14ac:dyDescent="0.2">
      <c r="A69" s="47" t="s">
        <v>140</v>
      </c>
      <c r="B69" s="53" t="s">
        <v>141</v>
      </c>
      <c r="C69" s="54">
        <v>1528</v>
      </c>
      <c r="D69" s="55" t="e">
        <f t="shared" si="6"/>
        <v>#NAME?</v>
      </c>
      <c r="E69" s="55" t="e">
        <f t="shared" si="7"/>
        <v>#NAME?</v>
      </c>
      <c r="F69" s="55" t="e">
        <f t="shared" si="8"/>
        <v>#NAME?</v>
      </c>
    </row>
    <row r="70" spans="1:6" x14ac:dyDescent="0.2">
      <c r="A70" s="47" t="s">
        <v>142</v>
      </c>
      <c r="B70" s="53" t="s">
        <v>143</v>
      </c>
      <c r="C70" s="54">
        <v>5337</v>
      </c>
      <c r="D70" s="55" t="e">
        <f t="shared" si="6"/>
        <v>#NAME?</v>
      </c>
      <c r="E70" s="55" t="e">
        <f t="shared" si="7"/>
        <v>#NAME?</v>
      </c>
      <c r="F70" s="55" t="e">
        <f t="shared" si="8"/>
        <v>#NAME?</v>
      </c>
    </row>
    <row r="71" spans="1:6" x14ac:dyDescent="0.2">
      <c r="A71" s="47" t="s">
        <v>144</v>
      </c>
      <c r="B71" s="53" t="s">
        <v>145</v>
      </c>
      <c r="C71" s="54">
        <v>2146</v>
      </c>
      <c r="D71" s="55" t="e">
        <f t="shared" si="6"/>
        <v>#NAME?</v>
      </c>
      <c r="E71" s="55" t="e">
        <f t="shared" si="7"/>
        <v>#NAME?</v>
      </c>
      <c r="F71" s="55" t="e">
        <f t="shared" si="8"/>
        <v>#NAME?</v>
      </c>
    </row>
    <row r="72" spans="1:6" x14ac:dyDescent="0.2">
      <c r="A72" s="47" t="s">
        <v>146</v>
      </c>
      <c r="B72" s="53" t="s">
        <v>147</v>
      </c>
      <c r="C72" s="54">
        <v>1054</v>
      </c>
      <c r="D72" s="55" t="e">
        <f t="shared" si="6"/>
        <v>#NAME?</v>
      </c>
      <c r="E72" s="55" t="e">
        <f t="shared" si="7"/>
        <v>#NAME?</v>
      </c>
      <c r="F72" s="55" t="e">
        <f t="shared" si="8"/>
        <v>#NAME?</v>
      </c>
    </row>
    <row r="73" spans="1:6" x14ac:dyDescent="0.2">
      <c r="A73" s="47" t="s">
        <v>148</v>
      </c>
      <c r="B73" s="53" t="s">
        <v>149</v>
      </c>
      <c r="C73" s="54">
        <v>6603</v>
      </c>
      <c r="D73" s="55" t="e">
        <f t="shared" si="6"/>
        <v>#NAME?</v>
      </c>
      <c r="E73" s="55" t="e">
        <f t="shared" si="7"/>
        <v>#NAME?</v>
      </c>
      <c r="F73" s="55" t="e">
        <f t="shared" si="8"/>
        <v>#NAME?</v>
      </c>
    </row>
    <row r="74" spans="1:6" x14ac:dyDescent="0.2">
      <c r="A74" s="47" t="s">
        <v>150</v>
      </c>
      <c r="B74" s="53" t="s">
        <v>151</v>
      </c>
      <c r="C74" s="54">
        <v>1464</v>
      </c>
      <c r="D74" s="55" t="e">
        <f t="shared" si="6"/>
        <v>#NAME?</v>
      </c>
      <c r="E74" s="55" t="e">
        <f t="shared" si="7"/>
        <v>#NAME?</v>
      </c>
      <c r="F74" s="55" t="e">
        <f t="shared" si="8"/>
        <v>#NAME?</v>
      </c>
    </row>
    <row r="75" spans="1:6" x14ac:dyDescent="0.2">
      <c r="A75" s="47" t="s">
        <v>152</v>
      </c>
      <c r="B75" s="53" t="s">
        <v>153</v>
      </c>
      <c r="C75" s="54">
        <v>9035</v>
      </c>
      <c r="D75" s="55" t="e">
        <f t="shared" si="6"/>
        <v>#NAME?</v>
      </c>
      <c r="E75" s="55" t="e">
        <f t="shared" si="7"/>
        <v>#NAME?</v>
      </c>
      <c r="F75" s="55" t="e">
        <f t="shared" si="8"/>
        <v>#NAME?</v>
      </c>
    </row>
    <row r="76" spans="1:6" x14ac:dyDescent="0.2">
      <c r="A76" s="47" t="s">
        <v>154</v>
      </c>
      <c r="B76" s="53" t="s">
        <v>155</v>
      </c>
      <c r="C76" s="54">
        <v>2369</v>
      </c>
      <c r="D76" s="55" t="e">
        <f t="shared" si="6"/>
        <v>#NAME?</v>
      </c>
      <c r="E76" s="55" t="e">
        <f t="shared" si="7"/>
        <v>#NAME?</v>
      </c>
      <c r="F76" s="55" t="e">
        <f t="shared" si="8"/>
        <v>#NAME?</v>
      </c>
    </row>
    <row r="77" spans="1:6" x14ac:dyDescent="0.2">
      <c r="A77" s="47" t="s">
        <v>156</v>
      </c>
      <c r="B77" s="53" t="s">
        <v>157</v>
      </c>
      <c r="C77" s="54">
        <v>1076</v>
      </c>
      <c r="D77" s="55" t="e">
        <f t="shared" si="6"/>
        <v>#NAME?</v>
      </c>
      <c r="E77" s="55" t="e">
        <f t="shared" si="7"/>
        <v>#NAME?</v>
      </c>
      <c r="F77" s="55" t="e">
        <f t="shared" si="8"/>
        <v>#NAME?</v>
      </c>
    </row>
    <row r="78" spans="1:6" x14ac:dyDescent="0.2">
      <c r="A78" s="47" t="s">
        <v>158</v>
      </c>
      <c r="B78" s="53" t="s">
        <v>159</v>
      </c>
      <c r="C78" s="54">
        <v>36304</v>
      </c>
      <c r="D78" s="55" t="e">
        <f t="shared" si="6"/>
        <v>#NAME?</v>
      </c>
      <c r="E78" s="55" t="e">
        <f t="shared" si="7"/>
        <v>#NAME?</v>
      </c>
      <c r="F78" s="55" t="e">
        <f t="shared" si="8"/>
        <v>#NAME?</v>
      </c>
    </row>
    <row r="79" spans="1:6" x14ac:dyDescent="0.2">
      <c r="A79" s="47" t="s">
        <v>160</v>
      </c>
      <c r="B79" s="53" t="s">
        <v>161</v>
      </c>
      <c r="C79" s="54">
        <v>50779</v>
      </c>
      <c r="D79" s="55" t="e">
        <f t="shared" si="6"/>
        <v>#NAME?</v>
      </c>
      <c r="E79" s="55" t="e">
        <f t="shared" si="7"/>
        <v>#NAME?</v>
      </c>
      <c r="F79" s="55" t="e">
        <f t="shared" si="8"/>
        <v>#NAME?</v>
      </c>
    </row>
    <row r="80" spans="1:6" x14ac:dyDescent="0.2">
      <c r="A80" s="47" t="s">
        <v>162</v>
      </c>
      <c r="B80" s="53" t="s">
        <v>163</v>
      </c>
      <c r="C80" s="54">
        <v>3609</v>
      </c>
      <c r="D80" s="55" t="e">
        <f t="shared" si="6"/>
        <v>#NAME?</v>
      </c>
      <c r="E80" s="55" t="e">
        <f t="shared" si="7"/>
        <v>#NAME?</v>
      </c>
      <c r="F80" s="55" t="e">
        <f t="shared" si="8"/>
        <v>#NAME?</v>
      </c>
    </row>
    <row r="81" spans="1:6" x14ac:dyDescent="0.2">
      <c r="A81" s="47" t="s">
        <v>164</v>
      </c>
      <c r="B81" s="53" t="s">
        <v>165</v>
      </c>
      <c r="C81" s="54">
        <v>1857</v>
      </c>
      <c r="D81" s="55" t="e">
        <f t="shared" si="6"/>
        <v>#NAME?</v>
      </c>
      <c r="E81" s="55" t="e">
        <f t="shared" si="7"/>
        <v>#NAME?</v>
      </c>
      <c r="F81" s="55" t="e">
        <f t="shared" si="8"/>
        <v>#NAME?</v>
      </c>
    </row>
    <row r="82" spans="1:6" x14ac:dyDescent="0.2">
      <c r="A82" s="47" t="s">
        <v>166</v>
      </c>
      <c r="B82" s="53" t="s">
        <v>167</v>
      </c>
      <c r="C82" s="54">
        <v>1354</v>
      </c>
      <c r="D82" s="55" t="e">
        <f t="shared" si="6"/>
        <v>#NAME?</v>
      </c>
      <c r="E82" s="55" t="e">
        <f t="shared" si="7"/>
        <v>#NAME?</v>
      </c>
      <c r="F82" s="55" t="e">
        <f t="shared" si="8"/>
        <v>#NAME?</v>
      </c>
    </row>
    <row r="83" spans="1:6" x14ac:dyDescent="0.2">
      <c r="A83" s="47" t="s">
        <v>168</v>
      </c>
      <c r="B83" s="53" t="s">
        <v>169</v>
      </c>
      <c r="C83" s="54">
        <v>3392</v>
      </c>
      <c r="D83" s="55" t="e">
        <f t="shared" si="6"/>
        <v>#NAME?</v>
      </c>
      <c r="E83" s="55" t="e">
        <f t="shared" si="7"/>
        <v>#NAME?</v>
      </c>
      <c r="F83" s="55" t="e">
        <f t="shared" si="8"/>
        <v>#NAME?</v>
      </c>
    </row>
    <row r="84" spans="1:6" x14ac:dyDescent="0.2">
      <c r="A84" s="47" t="s">
        <v>170</v>
      </c>
      <c r="B84" s="53" t="s">
        <v>171</v>
      </c>
      <c r="C84" s="54">
        <v>3601</v>
      </c>
      <c r="D84" s="55" t="e">
        <f t="shared" si="6"/>
        <v>#NAME?</v>
      </c>
      <c r="E84" s="55" t="e">
        <f t="shared" si="7"/>
        <v>#NAME?</v>
      </c>
      <c r="F84" s="55" t="e">
        <f t="shared" si="8"/>
        <v>#NAME?</v>
      </c>
    </row>
    <row r="85" spans="1:6" x14ac:dyDescent="0.2">
      <c r="A85" s="47" t="s">
        <v>172</v>
      </c>
      <c r="B85" s="53" t="s">
        <v>173</v>
      </c>
      <c r="C85" s="54">
        <v>4183</v>
      </c>
      <c r="D85" s="55" t="e">
        <f t="shared" si="6"/>
        <v>#NAME?</v>
      </c>
      <c r="E85" s="55" t="e">
        <f t="shared" si="7"/>
        <v>#NAME?</v>
      </c>
      <c r="F85" s="55" t="e">
        <f t="shared" si="8"/>
        <v>#NAME?</v>
      </c>
    </row>
    <row r="86" spans="1:6" x14ac:dyDescent="0.2">
      <c r="A86" s="47" t="s">
        <v>174</v>
      </c>
      <c r="B86" s="53" t="s">
        <v>175</v>
      </c>
      <c r="C86" s="54">
        <v>4149</v>
      </c>
      <c r="D86" s="55" t="e">
        <f t="shared" si="6"/>
        <v>#NAME?</v>
      </c>
      <c r="E86" s="55" t="e">
        <f t="shared" si="7"/>
        <v>#NAME?</v>
      </c>
      <c r="F86" s="55" t="e">
        <f t="shared" si="8"/>
        <v>#NAME?</v>
      </c>
    </row>
    <row r="87" spans="1:6" x14ac:dyDescent="0.2">
      <c r="A87" s="47" t="s">
        <v>176</v>
      </c>
      <c r="B87" s="53" t="s">
        <v>177</v>
      </c>
      <c r="C87" s="54">
        <v>10541</v>
      </c>
      <c r="D87" s="55" t="e">
        <f t="shared" si="6"/>
        <v>#NAME?</v>
      </c>
      <c r="E87" s="55" t="e">
        <f t="shared" si="7"/>
        <v>#NAME?</v>
      </c>
      <c r="F87" s="55" t="e">
        <f t="shared" si="8"/>
        <v>#NAME?</v>
      </c>
    </row>
    <row r="88" spans="1:6" x14ac:dyDescent="0.2">
      <c r="A88" s="47" t="s">
        <v>178</v>
      </c>
      <c r="B88" s="53" t="s">
        <v>179</v>
      </c>
      <c r="C88" s="54">
        <v>11152</v>
      </c>
      <c r="D88" s="55" t="e">
        <f t="shared" si="6"/>
        <v>#NAME?</v>
      </c>
      <c r="E88" s="55" t="e">
        <f t="shared" si="7"/>
        <v>#NAME?</v>
      </c>
      <c r="F88" s="55" t="e">
        <f t="shared" si="8"/>
        <v>#NAME?</v>
      </c>
    </row>
    <row r="89" spans="1:6" x14ac:dyDescent="0.2">
      <c r="A89" s="47" t="s">
        <v>180</v>
      </c>
      <c r="B89" s="53" t="s">
        <v>181</v>
      </c>
      <c r="C89" s="54">
        <v>23485</v>
      </c>
      <c r="D89" s="55" t="e">
        <f t="shared" si="6"/>
        <v>#NAME?</v>
      </c>
      <c r="E89" s="55" t="e">
        <f t="shared" si="7"/>
        <v>#NAME?</v>
      </c>
      <c r="F89" s="55" t="e">
        <f t="shared" si="8"/>
        <v>#NAME?</v>
      </c>
    </row>
    <row r="90" spans="1:6" x14ac:dyDescent="0.2">
      <c r="A90" s="47" t="s">
        <v>182</v>
      </c>
      <c r="B90" s="53" t="s">
        <v>183</v>
      </c>
      <c r="C90" s="54">
        <v>1544</v>
      </c>
      <c r="D90" s="55" t="e">
        <f t="shared" si="6"/>
        <v>#NAME?</v>
      </c>
      <c r="E90" s="55" t="e">
        <f t="shared" si="7"/>
        <v>#NAME?</v>
      </c>
      <c r="F90" s="55" t="e">
        <f t="shared" si="8"/>
        <v>#NAME?</v>
      </c>
    </row>
    <row r="91" spans="1:6" x14ac:dyDescent="0.2">
      <c r="A91" s="47" t="s">
        <v>184</v>
      </c>
      <c r="B91" s="53" t="s">
        <v>185</v>
      </c>
      <c r="C91" s="54">
        <v>4112</v>
      </c>
      <c r="D91" s="55" t="e">
        <f t="shared" si="6"/>
        <v>#NAME?</v>
      </c>
      <c r="E91" s="55" t="e">
        <f t="shared" si="7"/>
        <v>#NAME?</v>
      </c>
      <c r="F91" s="55" t="e">
        <f t="shared" si="8"/>
        <v>#NAME?</v>
      </c>
    </row>
    <row r="92" spans="1:6" x14ac:dyDescent="0.2">
      <c r="A92" s="47" t="s">
        <v>186</v>
      </c>
      <c r="B92" s="53" t="s">
        <v>187</v>
      </c>
      <c r="C92" s="54">
        <v>2880</v>
      </c>
      <c r="D92" s="55" t="e">
        <f t="shared" si="6"/>
        <v>#NAME?</v>
      </c>
      <c r="E92" s="55" t="e">
        <f t="shared" si="7"/>
        <v>#NAME?</v>
      </c>
      <c r="F92" s="55" t="e">
        <f t="shared" si="8"/>
        <v>#NAME?</v>
      </c>
    </row>
    <row r="93" spans="1:6" x14ac:dyDescent="0.2">
      <c r="A93" s="47" t="s">
        <v>188</v>
      </c>
      <c r="B93" s="53" t="s">
        <v>189</v>
      </c>
      <c r="C93" s="54">
        <v>36640</v>
      </c>
      <c r="D93" s="55" t="e">
        <f t="shared" si="6"/>
        <v>#NAME?</v>
      </c>
      <c r="E93" s="55" t="e">
        <f t="shared" si="7"/>
        <v>#NAME?</v>
      </c>
      <c r="F93" s="55" t="e">
        <f t="shared" si="8"/>
        <v>#NAME?</v>
      </c>
    </row>
    <row r="94" spans="1:6" x14ac:dyDescent="0.2">
      <c r="A94" s="47" t="s">
        <v>190</v>
      </c>
      <c r="B94" s="53" t="s">
        <v>191</v>
      </c>
      <c r="C94" s="54">
        <v>6339</v>
      </c>
      <c r="D94" s="55" t="e">
        <f t="shared" si="6"/>
        <v>#NAME?</v>
      </c>
      <c r="E94" s="55" t="e">
        <f t="shared" si="7"/>
        <v>#NAME?</v>
      </c>
      <c r="F94" s="55" t="e">
        <f t="shared" si="8"/>
        <v>#NAME?</v>
      </c>
    </row>
    <row r="95" spans="1:6" x14ac:dyDescent="0.2">
      <c r="A95" s="47" t="s">
        <v>192</v>
      </c>
      <c r="B95" s="53" t="s">
        <v>193</v>
      </c>
      <c r="C95" s="54">
        <v>1886</v>
      </c>
      <c r="D95" s="55" t="e">
        <f t="shared" si="6"/>
        <v>#NAME?</v>
      </c>
      <c r="E95" s="55" t="e">
        <f t="shared" si="7"/>
        <v>#NAME?</v>
      </c>
      <c r="F95" s="55" t="e">
        <f t="shared" si="8"/>
        <v>#NAME?</v>
      </c>
    </row>
    <row r="96" spans="1:6" x14ac:dyDescent="0.2">
      <c r="A96" s="47" t="s">
        <v>194</v>
      </c>
      <c r="B96" s="53" t="s">
        <v>195</v>
      </c>
      <c r="C96" s="54">
        <v>600</v>
      </c>
      <c r="D96" s="55" t="e">
        <f t="shared" si="6"/>
        <v>#NAME?</v>
      </c>
      <c r="E96" s="55" t="e">
        <f t="shared" si="7"/>
        <v>#NAME?</v>
      </c>
      <c r="F96" s="55" t="e">
        <f t="shared" si="8"/>
        <v>#NAME?</v>
      </c>
    </row>
    <row r="97" spans="1:6" x14ac:dyDescent="0.2">
      <c r="A97" s="47" t="s">
        <v>196</v>
      </c>
      <c r="B97" s="53" t="s">
        <v>197</v>
      </c>
      <c r="C97" s="54">
        <v>52734</v>
      </c>
      <c r="D97" s="55" t="e">
        <f t="shared" si="6"/>
        <v>#NAME?</v>
      </c>
      <c r="E97" s="55" t="e">
        <f t="shared" si="7"/>
        <v>#NAME?</v>
      </c>
      <c r="F97" s="55" t="e">
        <f t="shared" si="8"/>
        <v>#NAME?</v>
      </c>
    </row>
    <row r="98" spans="1:6" x14ac:dyDescent="0.2">
      <c r="A98" s="47" t="s">
        <v>198</v>
      </c>
      <c r="B98" s="53" t="s">
        <v>272</v>
      </c>
      <c r="C98" s="54">
        <v>1523</v>
      </c>
      <c r="D98" s="55" t="e">
        <f t="shared" si="6"/>
        <v>#NAME?</v>
      </c>
      <c r="E98" s="55" t="e">
        <f t="shared" si="7"/>
        <v>#NAME?</v>
      </c>
      <c r="F98" s="55" t="e">
        <f t="shared" si="8"/>
        <v>#NAME?</v>
      </c>
    </row>
    <row r="99" spans="1:6" x14ac:dyDescent="0.2">
      <c r="A99" s="47" t="s">
        <v>200</v>
      </c>
      <c r="B99" s="53" t="s">
        <v>201</v>
      </c>
      <c r="C99" s="54">
        <v>23966</v>
      </c>
      <c r="D99" s="55" t="e">
        <f t="shared" ref="D99:D122" si="9">VLOOKUP(B99,_med2008,2,FALSE)</f>
        <v>#NAME?</v>
      </c>
      <c r="E99" s="55" t="e">
        <f t="shared" ref="E99:E122" si="10">VLOOKUP(B99,_med2009,2,FALSE)</f>
        <v>#NAME?</v>
      </c>
      <c r="F99" s="55" t="e">
        <f t="shared" ref="F99:F122" si="11">VLOOKUP(B99,_med2010,2,FALSE)</f>
        <v>#NAME?</v>
      </c>
    </row>
    <row r="100" spans="1:6" x14ac:dyDescent="0.2">
      <c r="A100" s="47" t="s">
        <v>202</v>
      </c>
      <c r="B100" s="53" t="s">
        <v>301</v>
      </c>
      <c r="C100" s="54">
        <v>10237</v>
      </c>
      <c r="D100" s="55" t="e">
        <f t="shared" si="9"/>
        <v>#NAME?</v>
      </c>
      <c r="E100" s="55" t="e">
        <f t="shared" si="10"/>
        <v>#NAME?</v>
      </c>
      <c r="F100" s="55" t="e">
        <f t="shared" si="11"/>
        <v>#NAME?</v>
      </c>
    </row>
    <row r="101" spans="1:6" x14ac:dyDescent="0.2">
      <c r="A101" s="47" t="s">
        <v>204</v>
      </c>
      <c r="B101" s="53" t="s">
        <v>293</v>
      </c>
      <c r="C101" s="54">
        <v>4580</v>
      </c>
      <c r="D101" s="55" t="e">
        <f t="shared" si="9"/>
        <v>#NAME?</v>
      </c>
      <c r="E101" s="55" t="e">
        <f t="shared" si="10"/>
        <v>#NAME?</v>
      </c>
      <c r="F101" s="55" t="e">
        <f t="shared" si="11"/>
        <v>#NAME?</v>
      </c>
    </row>
    <row r="102" spans="1:6" x14ac:dyDescent="0.2">
      <c r="A102" s="47" t="s">
        <v>206</v>
      </c>
      <c r="B102" s="53" t="s">
        <v>294</v>
      </c>
      <c r="C102" s="54">
        <v>14124</v>
      </c>
      <c r="D102" s="55" t="e">
        <f t="shared" si="9"/>
        <v>#NAME?</v>
      </c>
      <c r="E102" s="55" t="e">
        <f t="shared" si="10"/>
        <v>#NAME?</v>
      </c>
      <c r="F102" s="55" t="e">
        <f t="shared" si="11"/>
        <v>#NAME?</v>
      </c>
    </row>
    <row r="103" spans="1:6" x14ac:dyDescent="0.2">
      <c r="A103" s="47" t="s">
        <v>208</v>
      </c>
      <c r="B103" s="53" t="s">
        <v>209</v>
      </c>
      <c r="C103" s="54">
        <v>7462</v>
      </c>
      <c r="D103" s="55" t="e">
        <f t="shared" si="9"/>
        <v>#NAME?</v>
      </c>
      <c r="E103" s="55" t="e">
        <f t="shared" si="10"/>
        <v>#NAME?</v>
      </c>
      <c r="F103" s="55" t="e">
        <f t="shared" si="11"/>
        <v>#NAME?</v>
      </c>
    </row>
    <row r="104" spans="1:6" x14ac:dyDescent="0.2">
      <c r="A104" s="47" t="s">
        <v>210</v>
      </c>
      <c r="B104" s="53" t="s">
        <v>211</v>
      </c>
      <c r="C104" s="54">
        <v>5195</v>
      </c>
      <c r="D104" s="55" t="e">
        <f t="shared" si="9"/>
        <v>#NAME?</v>
      </c>
      <c r="E104" s="55" t="e">
        <f t="shared" si="10"/>
        <v>#NAME?</v>
      </c>
      <c r="F104" s="55" t="e">
        <f t="shared" si="11"/>
        <v>#NAME?</v>
      </c>
    </row>
    <row r="105" spans="1:6" x14ac:dyDescent="0.2">
      <c r="A105" s="47" t="s">
        <v>212</v>
      </c>
      <c r="B105" s="53" t="s">
        <v>213</v>
      </c>
      <c r="C105" s="54">
        <v>5195</v>
      </c>
      <c r="D105" s="55" t="e">
        <f t="shared" si="9"/>
        <v>#NAME?</v>
      </c>
      <c r="E105" s="55" t="e">
        <f t="shared" si="10"/>
        <v>#NAME?</v>
      </c>
      <c r="F105" s="55" t="e">
        <f t="shared" si="11"/>
        <v>#NAME?</v>
      </c>
    </row>
    <row r="106" spans="1:6" x14ac:dyDescent="0.2">
      <c r="A106" s="47" t="s">
        <v>214</v>
      </c>
      <c r="B106" s="53" t="s">
        <v>215</v>
      </c>
      <c r="C106" s="54">
        <v>7096</v>
      </c>
      <c r="D106" s="55" t="e">
        <f t="shared" si="9"/>
        <v>#NAME?</v>
      </c>
      <c r="E106" s="55" t="e">
        <f t="shared" si="10"/>
        <v>#NAME?</v>
      </c>
      <c r="F106" s="55" t="e">
        <f t="shared" si="11"/>
        <v>#NAME?</v>
      </c>
    </row>
    <row r="107" spans="1:6" x14ac:dyDescent="0.2">
      <c r="A107" s="47" t="s">
        <v>216</v>
      </c>
      <c r="B107" s="53" t="s">
        <v>217</v>
      </c>
      <c r="C107" s="54">
        <v>3525</v>
      </c>
      <c r="D107" s="55" t="e">
        <f t="shared" si="9"/>
        <v>#NAME?</v>
      </c>
      <c r="E107" s="55" t="e">
        <f t="shared" si="10"/>
        <v>#NAME?</v>
      </c>
      <c r="F107" s="55" t="e">
        <f t="shared" si="11"/>
        <v>#NAME?</v>
      </c>
    </row>
    <row r="108" spans="1:6" x14ac:dyDescent="0.2">
      <c r="A108" s="47" t="s">
        <v>218</v>
      </c>
      <c r="B108" s="53" t="s">
        <v>219</v>
      </c>
      <c r="C108" s="54">
        <v>10432</v>
      </c>
      <c r="D108" s="55" t="e">
        <f t="shared" si="9"/>
        <v>#NAME?</v>
      </c>
      <c r="E108" s="55" t="e">
        <f t="shared" si="10"/>
        <v>#NAME?</v>
      </c>
      <c r="F108" s="55" t="e">
        <f t="shared" si="11"/>
        <v>#NAME?</v>
      </c>
    </row>
    <row r="109" spans="1:6" x14ac:dyDescent="0.2">
      <c r="A109" s="47" t="s">
        <v>220</v>
      </c>
      <c r="B109" s="53" t="s">
        <v>221</v>
      </c>
      <c r="C109" s="54">
        <v>9491</v>
      </c>
      <c r="D109" s="55" t="e">
        <f t="shared" si="9"/>
        <v>#NAME?</v>
      </c>
      <c r="E109" s="55" t="e">
        <f t="shared" si="10"/>
        <v>#NAME?</v>
      </c>
      <c r="F109" s="55" t="e">
        <f t="shared" si="11"/>
        <v>#NAME?</v>
      </c>
    </row>
    <row r="110" spans="1:6" x14ac:dyDescent="0.2">
      <c r="A110" s="47" t="s">
        <v>222</v>
      </c>
      <c r="B110" s="53" t="s">
        <v>223</v>
      </c>
      <c r="C110" s="54">
        <v>12754</v>
      </c>
      <c r="D110" s="55" t="e">
        <f t="shared" si="9"/>
        <v>#NAME?</v>
      </c>
      <c r="E110" s="55" t="e">
        <f t="shared" si="10"/>
        <v>#NAME?</v>
      </c>
      <c r="F110" s="55" t="e">
        <f t="shared" si="11"/>
        <v>#NAME?</v>
      </c>
    </row>
    <row r="111" spans="1:6" x14ac:dyDescent="0.2">
      <c r="A111" s="47" t="s">
        <v>224</v>
      </c>
      <c r="B111" s="53" t="s">
        <v>225</v>
      </c>
      <c r="C111" s="54">
        <v>1157</v>
      </c>
      <c r="D111" s="55" t="e">
        <f t="shared" si="9"/>
        <v>#NAME?</v>
      </c>
      <c r="E111" s="55" t="e">
        <f t="shared" si="10"/>
        <v>#NAME?</v>
      </c>
      <c r="F111" s="55" t="e">
        <f t="shared" si="11"/>
        <v>#NAME?</v>
      </c>
    </row>
    <row r="112" spans="1:6" x14ac:dyDescent="0.2">
      <c r="A112" s="47" t="s">
        <v>226</v>
      </c>
      <c r="B112" s="53" t="s">
        <v>227</v>
      </c>
      <c r="C112" s="54">
        <v>2285</v>
      </c>
      <c r="D112" s="55" t="e">
        <f t="shared" si="9"/>
        <v>#NAME?</v>
      </c>
      <c r="E112" s="55" t="e">
        <f t="shared" si="10"/>
        <v>#NAME?</v>
      </c>
      <c r="F112" s="55" t="e">
        <f t="shared" si="11"/>
        <v>#NAME?</v>
      </c>
    </row>
    <row r="113" spans="1:6" x14ac:dyDescent="0.2">
      <c r="A113" s="47" t="s">
        <v>228</v>
      </c>
      <c r="B113" s="53" t="s">
        <v>229</v>
      </c>
      <c r="C113" s="54">
        <v>10374</v>
      </c>
      <c r="D113" s="55" t="e">
        <f t="shared" si="9"/>
        <v>#NAME?</v>
      </c>
      <c r="E113" s="55" t="e">
        <f t="shared" si="10"/>
        <v>#NAME?</v>
      </c>
      <c r="F113" s="55" t="e">
        <f t="shared" si="11"/>
        <v>#NAME?</v>
      </c>
    </row>
    <row r="114" spans="1:6" x14ac:dyDescent="0.2">
      <c r="A114" s="47" t="s">
        <v>230</v>
      </c>
      <c r="B114" s="53" t="s">
        <v>231</v>
      </c>
      <c r="C114" s="54">
        <v>37990</v>
      </c>
      <c r="D114" s="55" t="e">
        <f t="shared" si="9"/>
        <v>#NAME?</v>
      </c>
      <c r="E114" s="55" t="e">
        <f t="shared" si="10"/>
        <v>#NAME?</v>
      </c>
      <c r="F114" s="55" t="e">
        <f t="shared" si="11"/>
        <v>#NAME?</v>
      </c>
    </row>
    <row r="115" spans="1:6" x14ac:dyDescent="0.2">
      <c r="A115" s="47" t="s">
        <v>232</v>
      </c>
      <c r="B115" s="53" t="s">
        <v>233</v>
      </c>
      <c r="C115" s="54">
        <v>4412</v>
      </c>
      <c r="D115" s="55" t="e">
        <f t="shared" si="9"/>
        <v>#NAME?</v>
      </c>
      <c r="E115" s="55" t="e">
        <f t="shared" si="10"/>
        <v>#NAME?</v>
      </c>
      <c r="F115" s="55" t="e">
        <f t="shared" si="11"/>
        <v>#NAME?</v>
      </c>
    </row>
    <row r="116" spans="1:6" x14ac:dyDescent="0.2">
      <c r="A116" s="47" t="s">
        <v>234</v>
      </c>
      <c r="B116" s="53" t="s">
        <v>235</v>
      </c>
      <c r="C116" s="54">
        <v>8608</v>
      </c>
      <c r="D116" s="55" t="e">
        <f t="shared" si="9"/>
        <v>#NAME?</v>
      </c>
      <c r="E116" s="55" t="e">
        <f t="shared" si="10"/>
        <v>#NAME?</v>
      </c>
      <c r="F116" s="55" t="e">
        <f t="shared" si="11"/>
        <v>#NAME?</v>
      </c>
    </row>
    <row r="117" spans="1:6" x14ac:dyDescent="0.2">
      <c r="A117" s="47" t="s">
        <v>236</v>
      </c>
      <c r="B117" s="53" t="s">
        <v>237</v>
      </c>
      <c r="C117" s="54">
        <v>3160</v>
      </c>
      <c r="D117" s="55" t="e">
        <f t="shared" si="9"/>
        <v>#NAME?</v>
      </c>
      <c r="E117" s="55" t="e">
        <f t="shared" si="10"/>
        <v>#NAME?</v>
      </c>
      <c r="F117" s="55" t="e">
        <f t="shared" si="11"/>
        <v>#NAME?</v>
      </c>
    </row>
    <row r="118" spans="1:6" x14ac:dyDescent="0.2">
      <c r="A118" s="47" t="s">
        <v>238</v>
      </c>
      <c r="B118" s="53" t="s">
        <v>239</v>
      </c>
      <c r="C118" s="54">
        <v>969</v>
      </c>
      <c r="D118" s="55" t="e">
        <f t="shared" si="9"/>
        <v>#NAME?</v>
      </c>
      <c r="E118" s="55" t="e">
        <f t="shared" si="10"/>
        <v>#NAME?</v>
      </c>
      <c r="F118" s="55" t="e">
        <f t="shared" si="11"/>
        <v>#NAME?</v>
      </c>
    </row>
    <row r="119" spans="1:6" x14ac:dyDescent="0.2">
      <c r="A119" s="47" t="s">
        <v>240</v>
      </c>
      <c r="B119" s="53" t="s">
        <v>241</v>
      </c>
      <c r="C119" s="54">
        <v>4206</v>
      </c>
      <c r="D119" s="55" t="e">
        <f t="shared" si="9"/>
        <v>#NAME?</v>
      </c>
      <c r="E119" s="55" t="e">
        <f t="shared" si="10"/>
        <v>#NAME?</v>
      </c>
      <c r="F119" s="55" t="e">
        <f t="shared" si="11"/>
        <v>#NAME?</v>
      </c>
    </row>
    <row r="120" spans="1:6" x14ac:dyDescent="0.2">
      <c r="A120" s="47" t="s">
        <v>242</v>
      </c>
      <c r="B120" s="53" t="s">
        <v>243</v>
      </c>
      <c r="C120" s="54">
        <v>11327</v>
      </c>
      <c r="D120" s="55" t="e">
        <f t="shared" si="9"/>
        <v>#NAME?</v>
      </c>
      <c r="E120" s="55" t="e">
        <f t="shared" si="10"/>
        <v>#NAME?</v>
      </c>
      <c r="F120" s="55" t="e">
        <f t="shared" si="11"/>
        <v>#NAME?</v>
      </c>
    </row>
    <row r="121" spans="1:6" x14ac:dyDescent="0.2">
      <c r="A121" s="47" t="s">
        <v>244</v>
      </c>
      <c r="B121" s="53" t="s">
        <v>245</v>
      </c>
      <c r="C121" s="54">
        <v>5359</v>
      </c>
      <c r="D121" s="55" t="e">
        <f t="shared" si="9"/>
        <v>#NAME?</v>
      </c>
      <c r="E121" s="55" t="e">
        <f t="shared" si="10"/>
        <v>#NAME?</v>
      </c>
      <c r="F121" s="55" t="e">
        <f t="shared" si="11"/>
        <v>#NAME?</v>
      </c>
    </row>
    <row r="122" spans="1:6" x14ac:dyDescent="0.2">
      <c r="A122" s="47" t="s">
        <v>246</v>
      </c>
      <c r="B122" s="53" t="s">
        <v>247</v>
      </c>
      <c r="C122" s="54">
        <v>3577</v>
      </c>
      <c r="D122" s="55" t="e">
        <f t="shared" si="9"/>
        <v>#NAME?</v>
      </c>
      <c r="E122" s="55" t="e">
        <f t="shared" si="10"/>
        <v>#NAME?</v>
      </c>
      <c r="F122" s="55" t="e">
        <f t="shared" si="11"/>
        <v>#NAME?</v>
      </c>
    </row>
    <row r="123" spans="1:6" x14ac:dyDescent="0.25">
      <c r="B123" s="56"/>
      <c r="C123" s="54">
        <f>SUM(C3:C122)</f>
        <v>983399</v>
      </c>
      <c r="D123" s="54" t="e">
        <f>SUM(D3:D122)</f>
        <v>#NAME?</v>
      </c>
      <c r="E123" s="54" t="e">
        <f>SUM(E3:E122)</f>
        <v>#NAME?</v>
      </c>
      <c r="F123" s="54" t="e">
        <f>SUM(F3:F122)</f>
        <v>#NAME?</v>
      </c>
    </row>
    <row r="124" spans="1:6" x14ac:dyDescent="0.25">
      <c r="B124" s="56"/>
      <c r="C124" s="3"/>
      <c r="D124" s="57"/>
    </row>
    <row r="125" spans="1:6" x14ac:dyDescent="0.25">
      <c r="B125" s="58"/>
      <c r="C125" s="59">
        <v>983399</v>
      </c>
      <c r="D125" s="50" t="e">
        <f>VLOOKUP(B125,_med2008,2,FALSE)</f>
        <v>#NAME?</v>
      </c>
    </row>
    <row r="126" spans="1:6" s="62" customFormat="1" x14ac:dyDescent="0.25">
      <c r="B126" s="60">
        <v>40714</v>
      </c>
      <c r="C126" s="4" t="s">
        <v>543</v>
      </c>
      <c r="D126" s="61">
        <v>0.47415509</v>
      </c>
    </row>
  </sheetData>
  <pageMargins left="0.75" right="0.75" top="1" bottom="1" header="0.5" footer="0.5"/>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134"/>
  <sheetViews>
    <sheetView workbookViewId="0">
      <pane xSplit="3" ySplit="5" topLeftCell="D6" activePane="bottomRight" state="frozen"/>
      <selection pane="topRight" activeCell="E1" sqref="E1"/>
      <selection pane="bottomLeft" activeCell="A6" sqref="A6"/>
      <selection pane="bottomRight" activeCell="A6" sqref="A6:XFD125"/>
    </sheetView>
  </sheetViews>
  <sheetFormatPr defaultRowHeight="12.75" x14ac:dyDescent="0.2"/>
  <cols>
    <col min="1" max="1" width="9" style="219"/>
    <col min="2" max="2" width="26.75" style="219" customWidth="1"/>
    <col min="3" max="12" width="12.125" style="219" customWidth="1"/>
    <col min="13" max="16384" width="9" style="219"/>
  </cols>
  <sheetData>
    <row r="1" spans="1:12" ht="15" x14ac:dyDescent="0.25">
      <c r="A1" s="1171" t="s">
        <v>1321</v>
      </c>
    </row>
    <row r="3" spans="1:12" x14ac:dyDescent="0.2">
      <c r="D3" s="2711" t="s">
        <v>1324</v>
      </c>
      <c r="E3" s="2711"/>
      <c r="F3" s="2711"/>
      <c r="G3" s="2711" t="s">
        <v>1323</v>
      </c>
      <c r="H3" s="2711"/>
      <c r="I3" s="2711"/>
      <c r="J3" s="2711" t="s">
        <v>1322</v>
      </c>
      <c r="K3" s="2711"/>
      <c r="L3" s="2711"/>
    </row>
    <row r="4" spans="1:12" ht="25.5" x14ac:dyDescent="0.2">
      <c r="A4" s="65" t="s">
        <v>4</v>
      </c>
      <c r="B4" s="65" t="s">
        <v>606</v>
      </c>
      <c r="C4" s="65" t="s">
        <v>251</v>
      </c>
      <c r="D4" s="908" t="s">
        <v>898</v>
      </c>
      <c r="E4" s="908" t="s">
        <v>899</v>
      </c>
      <c r="F4" s="908" t="s">
        <v>900</v>
      </c>
      <c r="G4" s="908" t="s">
        <v>898</v>
      </c>
      <c r="H4" s="908" t="s">
        <v>899</v>
      </c>
      <c r="I4" s="908" t="s">
        <v>900</v>
      </c>
      <c r="J4" s="908" t="s">
        <v>898</v>
      </c>
      <c r="K4" s="908" t="s">
        <v>899</v>
      </c>
      <c r="L4" s="908" t="s">
        <v>900</v>
      </c>
    </row>
    <row r="5" spans="1:12" x14ac:dyDescent="0.2">
      <c r="A5" s="1173">
        <v>999</v>
      </c>
      <c r="B5" s="1172" t="s">
        <v>811</v>
      </c>
      <c r="C5" s="1172"/>
      <c r="D5" s="1174">
        <v>8158203</v>
      </c>
      <c r="E5" s="1174">
        <v>897244</v>
      </c>
      <c r="F5" s="1175">
        <f t="shared" ref="F5" si="0">E5/D5</f>
        <v>0.10998059253980319</v>
      </c>
      <c r="G5" s="1174">
        <v>1837698</v>
      </c>
      <c r="H5" s="1174">
        <v>262642</v>
      </c>
      <c r="I5" s="1175">
        <f t="shared" ref="I5" si="1">H5/G5</f>
        <v>0.14291902151496055</v>
      </c>
      <c r="J5" s="1174">
        <v>1330310</v>
      </c>
      <c r="K5" s="1174">
        <v>180953</v>
      </c>
      <c r="L5" s="1175">
        <f t="shared" ref="L5" si="2">K5/J5</f>
        <v>0.13602318256646947</v>
      </c>
    </row>
    <row r="6" spans="1:12" x14ac:dyDescent="0.2">
      <c r="A6" s="219" t="s">
        <v>10</v>
      </c>
      <c r="B6" s="219" t="s">
        <v>11</v>
      </c>
      <c r="C6" s="234" t="s">
        <v>264</v>
      </c>
      <c r="D6" s="909">
        <v>32526</v>
      </c>
      <c r="E6" s="909">
        <v>6493</v>
      </c>
      <c r="F6" s="241">
        <f t="shared" ref="F6:F37" si="3">E6/D6</f>
        <v>0.19962491545225358</v>
      </c>
      <c r="G6" s="909">
        <v>6664</v>
      </c>
      <c r="H6" s="909">
        <v>2118</v>
      </c>
      <c r="I6" s="241">
        <f t="shared" ref="I6:I37" si="4">H6/G6</f>
        <v>0.31782713085234093</v>
      </c>
      <c r="J6" s="909">
        <v>4832</v>
      </c>
      <c r="K6" s="909">
        <v>1423</v>
      </c>
      <c r="L6" s="241">
        <f t="shared" ref="L6:L37" si="5">K6/J6</f>
        <v>0.29449503311258279</v>
      </c>
    </row>
    <row r="7" spans="1:12" x14ac:dyDescent="0.2">
      <c r="A7" s="219" t="s">
        <v>12</v>
      </c>
      <c r="B7" s="219" t="s">
        <v>13</v>
      </c>
      <c r="C7" s="234" t="s">
        <v>265</v>
      </c>
      <c r="D7" s="909">
        <v>100338</v>
      </c>
      <c r="E7" s="909">
        <v>8524</v>
      </c>
      <c r="F7" s="241">
        <f t="shared" si="3"/>
        <v>8.495285933544619E-2</v>
      </c>
      <c r="G7" s="909">
        <v>21444</v>
      </c>
      <c r="H7" s="909">
        <v>2012</v>
      </c>
      <c r="I7" s="241">
        <f t="shared" si="4"/>
        <v>9.3825778772617052E-2</v>
      </c>
      <c r="J7" s="909">
        <v>15829</v>
      </c>
      <c r="K7" s="909">
        <v>1403</v>
      </c>
      <c r="L7" s="241">
        <f t="shared" si="5"/>
        <v>8.8634784256743954E-2</v>
      </c>
    </row>
    <row r="8" spans="1:12" x14ac:dyDescent="0.2">
      <c r="A8" s="219" t="s">
        <v>16</v>
      </c>
      <c r="B8" s="219" t="s">
        <v>297</v>
      </c>
      <c r="C8" s="234" t="s">
        <v>265</v>
      </c>
      <c r="D8" s="909">
        <v>20718</v>
      </c>
      <c r="E8" s="909">
        <v>3150</v>
      </c>
      <c r="F8" s="241">
        <f t="shared" si="3"/>
        <v>0.15204170286707211</v>
      </c>
      <c r="G8" s="909">
        <v>3906</v>
      </c>
      <c r="H8" s="219">
        <v>897</v>
      </c>
      <c r="I8" s="241">
        <f t="shared" si="4"/>
        <v>0.22964669738863286</v>
      </c>
      <c r="J8" s="909">
        <v>2990</v>
      </c>
      <c r="K8" s="219">
        <v>588</v>
      </c>
      <c r="L8" s="241">
        <f t="shared" si="5"/>
        <v>0.19665551839464884</v>
      </c>
    </row>
    <row r="9" spans="1:12" x14ac:dyDescent="0.2">
      <c r="A9" s="219" t="s">
        <v>18</v>
      </c>
      <c r="B9" s="219" t="s">
        <v>19</v>
      </c>
      <c r="C9" s="234" t="s">
        <v>266</v>
      </c>
      <c r="D9" s="909">
        <v>12766</v>
      </c>
      <c r="E9" s="909">
        <v>1328</v>
      </c>
      <c r="F9" s="241">
        <f t="shared" si="3"/>
        <v>0.10402631991226696</v>
      </c>
      <c r="G9" s="909">
        <v>2663</v>
      </c>
      <c r="H9" s="219">
        <v>412</v>
      </c>
      <c r="I9" s="241">
        <f t="shared" si="4"/>
        <v>0.15471273000375516</v>
      </c>
      <c r="J9" s="909">
        <v>1966</v>
      </c>
      <c r="K9" s="219">
        <v>291</v>
      </c>
      <c r="L9" s="241">
        <f t="shared" si="5"/>
        <v>0.14801627670396744</v>
      </c>
    </row>
    <row r="10" spans="1:12" x14ac:dyDescent="0.2">
      <c r="A10" s="219" t="s">
        <v>20</v>
      </c>
      <c r="B10" s="219" t="s">
        <v>21</v>
      </c>
      <c r="C10" s="234" t="s">
        <v>265</v>
      </c>
      <c r="D10" s="909">
        <v>30432</v>
      </c>
      <c r="E10" s="909">
        <v>4340</v>
      </c>
      <c r="F10" s="241">
        <f t="shared" si="3"/>
        <v>0.1426130389064143</v>
      </c>
      <c r="G10" s="909">
        <v>6158</v>
      </c>
      <c r="H10" s="909">
        <v>1289</v>
      </c>
      <c r="I10" s="241">
        <f t="shared" si="4"/>
        <v>0.20932120818447547</v>
      </c>
      <c r="J10" s="909">
        <v>4535</v>
      </c>
      <c r="K10" s="219">
        <v>828</v>
      </c>
      <c r="L10" s="241">
        <f t="shared" si="5"/>
        <v>0.18257993384785007</v>
      </c>
    </row>
    <row r="11" spans="1:12" x14ac:dyDescent="0.2">
      <c r="A11" s="219" t="s">
        <v>22</v>
      </c>
      <c r="B11" s="219" t="s">
        <v>23</v>
      </c>
      <c r="C11" s="234" t="s">
        <v>265</v>
      </c>
      <c r="D11" s="909">
        <v>15354</v>
      </c>
      <c r="E11" s="909">
        <v>2130</v>
      </c>
      <c r="F11" s="241">
        <f t="shared" si="3"/>
        <v>0.13872606486908948</v>
      </c>
      <c r="G11" s="909">
        <v>3315</v>
      </c>
      <c r="H11" s="219">
        <v>649</v>
      </c>
      <c r="I11" s="241">
        <f t="shared" si="4"/>
        <v>0.19577677224736048</v>
      </c>
      <c r="J11" s="909">
        <v>2398</v>
      </c>
      <c r="K11" s="219">
        <v>456</v>
      </c>
      <c r="L11" s="241">
        <f t="shared" si="5"/>
        <v>0.19015846538782319</v>
      </c>
    </row>
    <row r="12" spans="1:12" x14ac:dyDescent="0.2">
      <c r="A12" s="219" t="s">
        <v>24</v>
      </c>
      <c r="B12" s="219" t="s">
        <v>25</v>
      </c>
      <c r="C12" s="234" t="s">
        <v>267</v>
      </c>
      <c r="D12" s="909">
        <v>227236</v>
      </c>
      <c r="E12" s="909">
        <v>17151</v>
      </c>
      <c r="F12" s="241">
        <f t="shared" si="3"/>
        <v>7.5476597018078115E-2</v>
      </c>
      <c r="G12" s="909">
        <v>40261</v>
      </c>
      <c r="H12" s="909">
        <v>3387</v>
      </c>
      <c r="I12" s="241">
        <f t="shared" si="4"/>
        <v>8.4126077345321779E-2</v>
      </c>
      <c r="J12" s="909">
        <v>26410</v>
      </c>
      <c r="K12" s="909">
        <v>2298</v>
      </c>
      <c r="L12" s="241">
        <f t="shared" si="5"/>
        <v>8.7012495266944337E-2</v>
      </c>
    </row>
    <row r="13" spans="1:12" x14ac:dyDescent="0.2">
      <c r="A13" s="219" t="s">
        <v>26</v>
      </c>
      <c r="B13" s="219" t="s">
        <v>298</v>
      </c>
      <c r="C13" s="234" t="s">
        <v>265</v>
      </c>
      <c r="D13" s="909">
        <v>116940</v>
      </c>
      <c r="E13" s="909">
        <v>12747</v>
      </c>
      <c r="F13" s="241">
        <f t="shared" si="3"/>
        <v>0.10900461775269368</v>
      </c>
      <c r="G13" s="909">
        <v>23611</v>
      </c>
      <c r="H13" s="909">
        <v>3876</v>
      </c>
      <c r="I13" s="241">
        <f t="shared" si="4"/>
        <v>0.16416077252128244</v>
      </c>
      <c r="J13" s="909">
        <v>17241</v>
      </c>
      <c r="K13" s="909">
        <v>2709</v>
      </c>
      <c r="L13" s="241">
        <f t="shared" si="5"/>
        <v>0.15712545676004872</v>
      </c>
    </row>
    <row r="14" spans="1:12" x14ac:dyDescent="0.2">
      <c r="A14" s="219" t="s">
        <v>27</v>
      </c>
      <c r="B14" s="219" t="s">
        <v>28</v>
      </c>
      <c r="C14" s="234" t="s">
        <v>265</v>
      </c>
      <c r="D14" s="909">
        <v>4410</v>
      </c>
      <c r="E14" s="219">
        <v>516</v>
      </c>
      <c r="F14" s="241">
        <f t="shared" si="3"/>
        <v>0.11700680272108843</v>
      </c>
      <c r="G14" s="219">
        <v>690</v>
      </c>
      <c r="H14" s="219">
        <v>122</v>
      </c>
      <c r="I14" s="241">
        <f t="shared" si="4"/>
        <v>0.17681159420289855</v>
      </c>
      <c r="J14" s="219">
        <v>483</v>
      </c>
      <c r="K14" s="219">
        <v>85</v>
      </c>
      <c r="L14" s="241">
        <f t="shared" si="5"/>
        <v>0.17598343685300208</v>
      </c>
    </row>
    <row r="15" spans="1:12" x14ac:dyDescent="0.2">
      <c r="A15" s="219" t="s">
        <v>29</v>
      </c>
      <c r="B15" s="234" t="s">
        <v>901</v>
      </c>
      <c r="C15" s="234" t="s">
        <v>265</v>
      </c>
      <c r="D15" s="909">
        <v>77406</v>
      </c>
      <c r="E15" s="909">
        <v>7445</v>
      </c>
      <c r="F15" s="241">
        <f t="shared" si="3"/>
        <v>9.6181174585949408E-2</v>
      </c>
      <c r="G15" s="909">
        <v>15447</v>
      </c>
      <c r="H15" s="909">
        <v>1959</v>
      </c>
      <c r="I15" s="241">
        <f t="shared" si="4"/>
        <v>0.12682074189162945</v>
      </c>
      <c r="J15" s="909">
        <v>11788</v>
      </c>
      <c r="K15" s="909">
        <v>1339</v>
      </c>
      <c r="L15" s="241">
        <f t="shared" si="5"/>
        <v>0.11359009161859518</v>
      </c>
    </row>
    <row r="16" spans="1:12" x14ac:dyDescent="0.2">
      <c r="A16" s="219" t="s">
        <v>30</v>
      </c>
      <c r="B16" s="219" t="s">
        <v>31</v>
      </c>
      <c r="C16" s="234" t="s">
        <v>268</v>
      </c>
      <c r="D16" s="909">
        <v>5802</v>
      </c>
      <c r="E16" s="219">
        <v>800</v>
      </c>
      <c r="F16" s="241">
        <f t="shared" si="3"/>
        <v>0.13788348845225784</v>
      </c>
      <c r="G16" s="909">
        <v>1030</v>
      </c>
      <c r="H16" s="219">
        <v>172</v>
      </c>
      <c r="I16" s="241">
        <f t="shared" si="4"/>
        <v>0.16699029126213591</v>
      </c>
      <c r="J16" s="219">
        <v>768</v>
      </c>
      <c r="K16" s="219">
        <v>117</v>
      </c>
      <c r="L16" s="241">
        <f t="shared" si="5"/>
        <v>0.15234375</v>
      </c>
    </row>
    <row r="17" spans="1:12" x14ac:dyDescent="0.2">
      <c r="A17" s="219" t="s">
        <v>32</v>
      </c>
      <c r="B17" s="219" t="s">
        <v>33</v>
      </c>
      <c r="C17" s="234" t="s">
        <v>265</v>
      </c>
      <c r="D17" s="909">
        <v>32888</v>
      </c>
      <c r="E17" s="909">
        <v>2560</v>
      </c>
      <c r="F17" s="241">
        <f t="shared" si="3"/>
        <v>7.783994162004379E-2</v>
      </c>
      <c r="G17" s="909">
        <v>6325</v>
      </c>
      <c r="H17" s="219">
        <v>595</v>
      </c>
      <c r="I17" s="241">
        <f t="shared" si="4"/>
        <v>9.4071146245059287E-2</v>
      </c>
      <c r="J17" s="909">
        <v>4969</v>
      </c>
      <c r="K17" s="219">
        <v>414</v>
      </c>
      <c r="L17" s="241">
        <f t="shared" si="5"/>
        <v>8.3316562688669757E-2</v>
      </c>
    </row>
    <row r="18" spans="1:12" x14ac:dyDescent="0.2">
      <c r="A18" s="219" t="s">
        <v>36</v>
      </c>
      <c r="B18" s="219" t="s">
        <v>37</v>
      </c>
      <c r="C18" s="234" t="s">
        <v>264</v>
      </c>
      <c r="D18" s="909">
        <v>14361</v>
      </c>
      <c r="E18" s="909">
        <v>3275</v>
      </c>
      <c r="F18" s="241">
        <f t="shared" si="3"/>
        <v>0.22804818605946661</v>
      </c>
      <c r="G18" s="909">
        <v>2737</v>
      </c>
      <c r="H18" s="219">
        <v>821</v>
      </c>
      <c r="I18" s="241">
        <f t="shared" si="4"/>
        <v>0.29996346364632809</v>
      </c>
      <c r="J18" s="909">
        <v>2034</v>
      </c>
      <c r="K18" s="219">
        <v>604</v>
      </c>
      <c r="L18" s="241">
        <f t="shared" si="5"/>
        <v>0.29695181907571289</v>
      </c>
    </row>
    <row r="19" spans="1:12" x14ac:dyDescent="0.2">
      <c r="A19" s="219" t="s">
        <v>38</v>
      </c>
      <c r="B19" s="219" t="s">
        <v>39</v>
      </c>
      <c r="C19" s="234" t="s">
        <v>268</v>
      </c>
      <c r="D19" s="909">
        <v>21030</v>
      </c>
      <c r="E19" s="909">
        <v>5274</v>
      </c>
      <c r="F19" s="241">
        <f t="shared" si="3"/>
        <v>0.25078459343794579</v>
      </c>
      <c r="G19" s="909">
        <v>3714</v>
      </c>
      <c r="H19" s="909">
        <v>1139</v>
      </c>
      <c r="I19" s="241">
        <f t="shared" si="4"/>
        <v>0.30667743672590198</v>
      </c>
      <c r="J19" s="909">
        <v>2797</v>
      </c>
      <c r="K19" s="219">
        <v>820</v>
      </c>
      <c r="L19" s="241">
        <f t="shared" si="5"/>
        <v>0.29317125491598139</v>
      </c>
    </row>
    <row r="20" spans="1:12" x14ac:dyDescent="0.2">
      <c r="A20" s="219" t="s">
        <v>40</v>
      </c>
      <c r="B20" s="219" t="s">
        <v>41</v>
      </c>
      <c r="C20" s="234" t="s">
        <v>266</v>
      </c>
      <c r="D20" s="909">
        <v>14846</v>
      </c>
      <c r="E20" s="909">
        <v>2613</v>
      </c>
      <c r="F20" s="241">
        <f t="shared" si="3"/>
        <v>0.17600700525394045</v>
      </c>
      <c r="G20" s="909">
        <v>3098</v>
      </c>
      <c r="H20" s="219">
        <v>754</v>
      </c>
      <c r="I20" s="241">
        <f t="shared" si="4"/>
        <v>0.24338282763072949</v>
      </c>
      <c r="J20" s="909">
        <v>2282</v>
      </c>
      <c r="K20" s="219">
        <v>530</v>
      </c>
      <c r="L20" s="241">
        <f t="shared" si="5"/>
        <v>0.2322524101665206</v>
      </c>
    </row>
    <row r="21" spans="1:12" x14ac:dyDescent="0.2">
      <c r="A21" s="219" t="s">
        <v>42</v>
      </c>
      <c r="B21" s="219" t="s">
        <v>43</v>
      </c>
      <c r="C21" s="234" t="s">
        <v>265</v>
      </c>
      <c r="D21" s="909">
        <v>54397</v>
      </c>
      <c r="E21" s="909">
        <v>7220</v>
      </c>
      <c r="F21" s="241">
        <f t="shared" si="3"/>
        <v>0.13272790778903248</v>
      </c>
      <c r="G21" s="909">
        <v>10762</v>
      </c>
      <c r="H21" s="909">
        <v>1979</v>
      </c>
      <c r="I21" s="241">
        <f t="shared" si="4"/>
        <v>0.18388775320572384</v>
      </c>
      <c r="J21" s="909">
        <v>8152</v>
      </c>
      <c r="K21" s="909">
        <v>1303</v>
      </c>
      <c r="L21" s="241">
        <f t="shared" si="5"/>
        <v>0.15983807654563298</v>
      </c>
    </row>
    <row r="22" spans="1:12" x14ac:dyDescent="0.2">
      <c r="A22" s="219" t="s">
        <v>44</v>
      </c>
      <c r="B22" s="219" t="s">
        <v>45</v>
      </c>
      <c r="C22" s="234" t="s">
        <v>266</v>
      </c>
      <c r="D22" s="909">
        <v>29533</v>
      </c>
      <c r="E22" s="909">
        <v>2937</v>
      </c>
      <c r="F22" s="241">
        <f t="shared" si="3"/>
        <v>9.9448075034706943E-2</v>
      </c>
      <c r="G22" s="909">
        <v>6915</v>
      </c>
      <c r="H22" s="909">
        <v>1040</v>
      </c>
      <c r="I22" s="241">
        <f t="shared" si="4"/>
        <v>0.15039768618944324</v>
      </c>
      <c r="J22" s="909">
        <v>4907</v>
      </c>
      <c r="K22" s="219">
        <v>730</v>
      </c>
      <c r="L22" s="241">
        <f t="shared" si="5"/>
        <v>0.14876706745465662</v>
      </c>
    </row>
    <row r="23" spans="1:12" x14ac:dyDescent="0.2">
      <c r="A23" s="219" t="s">
        <v>46</v>
      </c>
      <c r="B23" s="219" t="s">
        <v>47</v>
      </c>
      <c r="C23" s="234" t="s">
        <v>268</v>
      </c>
      <c r="D23" s="909">
        <v>29299</v>
      </c>
      <c r="E23" s="909">
        <v>4775</v>
      </c>
      <c r="F23" s="241">
        <f t="shared" si="3"/>
        <v>0.16297484555786887</v>
      </c>
      <c r="G23" s="909">
        <v>5481</v>
      </c>
      <c r="H23" s="909">
        <v>1241</v>
      </c>
      <c r="I23" s="241">
        <f t="shared" si="4"/>
        <v>0.22641853676336435</v>
      </c>
      <c r="J23" s="909">
        <v>4115</v>
      </c>
      <c r="K23" s="219">
        <v>866</v>
      </c>
      <c r="L23" s="241">
        <f t="shared" si="5"/>
        <v>0.21044957472660997</v>
      </c>
    </row>
    <row r="24" spans="1:12" x14ac:dyDescent="0.2">
      <c r="A24" s="219" t="s">
        <v>48</v>
      </c>
      <c r="B24" s="219" t="s">
        <v>269</v>
      </c>
      <c r="C24" s="234" t="s">
        <v>266</v>
      </c>
      <c r="D24" s="909">
        <v>7048</v>
      </c>
      <c r="E24" s="219">
        <v>877</v>
      </c>
      <c r="F24" s="241">
        <f t="shared" si="3"/>
        <v>0.12443246311010216</v>
      </c>
      <c r="G24" s="909">
        <v>1076</v>
      </c>
      <c r="H24" s="219">
        <v>215</v>
      </c>
      <c r="I24" s="241">
        <f t="shared" si="4"/>
        <v>0.19981412639405205</v>
      </c>
      <c r="J24" s="219">
        <v>774</v>
      </c>
      <c r="K24" s="219">
        <v>155</v>
      </c>
      <c r="L24" s="241">
        <f t="shared" si="5"/>
        <v>0.20025839793281655</v>
      </c>
    </row>
    <row r="25" spans="1:12" x14ac:dyDescent="0.2">
      <c r="A25" s="219" t="s">
        <v>50</v>
      </c>
      <c r="B25" s="219" t="s">
        <v>51</v>
      </c>
      <c r="C25" s="234" t="s">
        <v>265</v>
      </c>
      <c r="D25" s="909">
        <v>11933</v>
      </c>
      <c r="E25" s="909">
        <v>2488</v>
      </c>
      <c r="F25" s="241">
        <f t="shared" si="3"/>
        <v>0.20849744406268331</v>
      </c>
      <c r="G25" s="909">
        <v>2567</v>
      </c>
      <c r="H25" s="219">
        <v>753</v>
      </c>
      <c r="I25" s="241">
        <f t="shared" si="4"/>
        <v>0.29333852746396571</v>
      </c>
      <c r="J25" s="909">
        <v>1847</v>
      </c>
      <c r="K25" s="219">
        <v>537</v>
      </c>
      <c r="L25" s="241">
        <f t="shared" si="5"/>
        <v>0.29074174336762315</v>
      </c>
    </row>
    <row r="26" spans="1:12" x14ac:dyDescent="0.2">
      <c r="A26" s="219" t="s">
        <v>56</v>
      </c>
      <c r="B26" s="219" t="s">
        <v>295</v>
      </c>
      <c r="C26" s="234" t="s">
        <v>266</v>
      </c>
      <c r="D26" s="909">
        <v>351387</v>
      </c>
      <c r="E26" s="909">
        <v>25287</v>
      </c>
      <c r="F26" s="241">
        <f t="shared" si="3"/>
        <v>7.196339079134971E-2</v>
      </c>
      <c r="G26" s="909">
        <v>83913</v>
      </c>
      <c r="H26" s="909">
        <v>8073</v>
      </c>
      <c r="I26" s="241">
        <f t="shared" si="4"/>
        <v>9.6206785599370778E-2</v>
      </c>
      <c r="J26" s="909">
        <v>62806</v>
      </c>
      <c r="K26" s="909">
        <v>5787</v>
      </c>
      <c r="L26" s="241">
        <f t="shared" si="5"/>
        <v>9.2140878260038847E-2</v>
      </c>
    </row>
    <row r="27" spans="1:12" x14ac:dyDescent="0.2">
      <c r="A27" s="219" t="s">
        <v>58</v>
      </c>
      <c r="B27" s="219" t="s">
        <v>59</v>
      </c>
      <c r="C27" s="234" t="s">
        <v>267</v>
      </c>
      <c r="D27" s="909">
        <v>14170</v>
      </c>
      <c r="E27" s="909">
        <v>1115</v>
      </c>
      <c r="F27" s="241">
        <f t="shared" si="3"/>
        <v>7.8687367678193371E-2</v>
      </c>
      <c r="G27" s="909">
        <v>2914</v>
      </c>
      <c r="H27" s="219">
        <v>266</v>
      </c>
      <c r="I27" s="241">
        <f t="shared" si="4"/>
        <v>9.1283459162663005E-2</v>
      </c>
      <c r="J27" s="909">
        <v>2264</v>
      </c>
      <c r="K27" s="219">
        <v>181</v>
      </c>
      <c r="L27" s="241">
        <f t="shared" si="5"/>
        <v>7.9946996466431094E-2</v>
      </c>
    </row>
    <row r="28" spans="1:12" x14ac:dyDescent="0.2">
      <c r="A28" s="219" t="s">
        <v>60</v>
      </c>
      <c r="B28" s="219" t="s">
        <v>61</v>
      </c>
      <c r="C28" s="234" t="s">
        <v>265</v>
      </c>
      <c r="D28" s="909">
        <v>5132</v>
      </c>
      <c r="E28" s="219">
        <v>648</v>
      </c>
      <c r="F28" s="241">
        <f t="shared" si="3"/>
        <v>0.12626656274356976</v>
      </c>
      <c r="G28" s="909">
        <v>947</v>
      </c>
      <c r="H28" s="219">
        <v>211</v>
      </c>
      <c r="I28" s="241">
        <f t="shared" si="4"/>
        <v>0.22280887011615627</v>
      </c>
      <c r="J28" s="219">
        <v>734</v>
      </c>
      <c r="K28" s="219">
        <v>151</v>
      </c>
      <c r="L28" s="241">
        <f t="shared" si="5"/>
        <v>0.20572207084468666</v>
      </c>
    </row>
    <row r="29" spans="1:12" x14ac:dyDescent="0.2">
      <c r="A29" s="219" t="s">
        <v>62</v>
      </c>
      <c r="B29" s="219" t="s">
        <v>63</v>
      </c>
      <c r="C29" s="234" t="s">
        <v>267</v>
      </c>
      <c r="D29" s="909">
        <v>48484</v>
      </c>
      <c r="E29" s="909">
        <v>4766</v>
      </c>
      <c r="F29" s="241">
        <f t="shared" si="3"/>
        <v>9.8300470258229522E-2</v>
      </c>
      <c r="G29" s="909">
        <v>12225</v>
      </c>
      <c r="H29" s="909">
        <v>1640</v>
      </c>
      <c r="I29" s="241">
        <f t="shared" si="4"/>
        <v>0.1341513292433538</v>
      </c>
      <c r="J29" s="909">
        <v>8991</v>
      </c>
      <c r="K29" s="909">
        <v>1158</v>
      </c>
      <c r="L29" s="241">
        <f t="shared" si="5"/>
        <v>0.12879546212879547</v>
      </c>
    </row>
    <row r="30" spans="1:12" x14ac:dyDescent="0.2">
      <c r="A30" s="219" t="s">
        <v>64</v>
      </c>
      <c r="B30" s="219" t="s">
        <v>65</v>
      </c>
      <c r="C30" s="234" t="s">
        <v>266</v>
      </c>
      <c r="D30" s="909">
        <v>9622</v>
      </c>
      <c r="E30" s="909">
        <v>1747</v>
      </c>
      <c r="F30" s="241">
        <f t="shared" si="3"/>
        <v>0.18156308459779671</v>
      </c>
      <c r="G30" s="909">
        <v>1901</v>
      </c>
      <c r="H30" s="219">
        <v>501</v>
      </c>
      <c r="I30" s="241">
        <f t="shared" si="4"/>
        <v>0.26354550236717517</v>
      </c>
      <c r="J30" s="909">
        <v>1407</v>
      </c>
      <c r="K30" s="219">
        <v>355</v>
      </c>
      <c r="L30" s="241">
        <f t="shared" si="5"/>
        <v>0.25230987917555081</v>
      </c>
    </row>
    <row r="31" spans="1:12" x14ac:dyDescent="0.2">
      <c r="A31" s="219" t="s">
        <v>68</v>
      </c>
      <c r="B31" s="219" t="s">
        <v>69</v>
      </c>
      <c r="C31" s="234" t="s">
        <v>268</v>
      </c>
      <c r="D31" s="909">
        <v>14373</v>
      </c>
      <c r="E31" s="909">
        <v>3684</v>
      </c>
      <c r="F31" s="241">
        <f t="shared" si="3"/>
        <v>0.25631392193696512</v>
      </c>
      <c r="G31" s="909">
        <v>2933</v>
      </c>
      <c r="H31" s="219">
        <v>876</v>
      </c>
      <c r="I31" s="241">
        <f t="shared" si="4"/>
        <v>0.29867030344357315</v>
      </c>
      <c r="J31" s="909">
        <v>2164</v>
      </c>
      <c r="K31" s="219">
        <v>591</v>
      </c>
      <c r="L31" s="241">
        <f t="shared" si="5"/>
        <v>0.27310536044362294</v>
      </c>
    </row>
    <row r="32" spans="1:12" x14ac:dyDescent="0.2">
      <c r="A32" s="219" t="s">
        <v>70</v>
      </c>
      <c r="B32" s="219" t="s">
        <v>71</v>
      </c>
      <c r="C32" s="234" t="s">
        <v>264</v>
      </c>
      <c r="D32" s="909">
        <v>27460</v>
      </c>
      <c r="E32" s="909">
        <v>3565</v>
      </c>
      <c r="F32" s="241">
        <f t="shared" si="3"/>
        <v>0.12982520029133285</v>
      </c>
      <c r="G32" s="909">
        <v>5549</v>
      </c>
      <c r="H32" s="219">
        <v>1020</v>
      </c>
      <c r="I32" s="241">
        <f t="shared" si="4"/>
        <v>0.18381690394665706</v>
      </c>
      <c r="J32" s="909">
        <v>4189</v>
      </c>
      <c r="K32" s="219">
        <v>708</v>
      </c>
      <c r="L32" s="241">
        <f t="shared" si="5"/>
        <v>0.16901408450704225</v>
      </c>
    </row>
    <row r="33" spans="1:12" x14ac:dyDescent="0.2">
      <c r="A33" s="219" t="s">
        <v>72</v>
      </c>
      <c r="B33" s="219" t="s">
        <v>73</v>
      </c>
      <c r="C33" s="234" t="s">
        <v>266</v>
      </c>
      <c r="D33" s="909">
        <v>10972</v>
      </c>
      <c r="E33" s="909">
        <v>1439</v>
      </c>
      <c r="F33" s="241">
        <f t="shared" si="3"/>
        <v>0.13115202333211812</v>
      </c>
      <c r="G33" s="909">
        <v>2122</v>
      </c>
      <c r="H33" s="219">
        <v>509</v>
      </c>
      <c r="I33" s="241">
        <f t="shared" si="4"/>
        <v>0.23986804901036757</v>
      </c>
      <c r="J33" s="909">
        <v>1458</v>
      </c>
      <c r="K33" s="219">
        <v>365</v>
      </c>
      <c r="L33" s="241">
        <f t="shared" si="5"/>
        <v>0.2503429355281207</v>
      </c>
    </row>
    <row r="34" spans="1:12" x14ac:dyDescent="0.2">
      <c r="A34" s="219" t="s">
        <v>74</v>
      </c>
      <c r="B34" s="219" t="s">
        <v>296</v>
      </c>
      <c r="C34" s="234" t="s">
        <v>267</v>
      </c>
      <c r="D34" s="909">
        <v>1163824</v>
      </c>
      <c r="E34" s="909">
        <v>69856</v>
      </c>
      <c r="F34" s="241">
        <f t="shared" si="3"/>
        <v>6.002282132006214E-2</v>
      </c>
      <c r="G34" s="909">
        <v>276487</v>
      </c>
      <c r="H34" s="909">
        <v>19682</v>
      </c>
      <c r="I34" s="241">
        <f t="shared" si="4"/>
        <v>7.1185987044598845E-2</v>
      </c>
      <c r="J34" s="909">
        <v>200450</v>
      </c>
      <c r="K34" s="909">
        <v>13438</v>
      </c>
      <c r="L34" s="241">
        <f t="shared" si="5"/>
        <v>6.7039161885757051E-2</v>
      </c>
    </row>
    <row r="35" spans="1:12" x14ac:dyDescent="0.2">
      <c r="A35" s="219" t="s">
        <v>76</v>
      </c>
      <c r="B35" s="219" t="s">
        <v>77</v>
      </c>
      <c r="C35" s="234" t="s">
        <v>267</v>
      </c>
      <c r="D35" s="909">
        <v>68459</v>
      </c>
      <c r="E35" s="909">
        <v>3978</v>
      </c>
      <c r="F35" s="241">
        <f t="shared" si="3"/>
        <v>5.810777253538614E-2</v>
      </c>
      <c r="G35" s="909">
        <v>15903</v>
      </c>
      <c r="H35" s="909">
        <v>1138</v>
      </c>
      <c r="I35" s="241">
        <f t="shared" si="4"/>
        <v>7.1558825378859339E-2</v>
      </c>
      <c r="J35" s="909">
        <v>11946</v>
      </c>
      <c r="K35" s="219">
        <v>768</v>
      </c>
      <c r="L35" s="241">
        <f t="shared" si="5"/>
        <v>6.4289301858362638E-2</v>
      </c>
    </row>
    <row r="36" spans="1:12" x14ac:dyDescent="0.2">
      <c r="A36" s="219" t="s">
        <v>78</v>
      </c>
      <c r="B36" s="219" t="s">
        <v>79</v>
      </c>
      <c r="C36" s="234" t="s">
        <v>268</v>
      </c>
      <c r="D36" s="909">
        <v>15595</v>
      </c>
      <c r="E36" s="909">
        <v>2129</v>
      </c>
      <c r="F36" s="241">
        <f t="shared" si="3"/>
        <v>0.13651811478037831</v>
      </c>
      <c r="G36" s="909">
        <v>3123</v>
      </c>
      <c r="H36" s="219">
        <v>538</v>
      </c>
      <c r="I36" s="241">
        <f t="shared" si="4"/>
        <v>0.1722702529618956</v>
      </c>
      <c r="J36" s="909">
        <v>2368</v>
      </c>
      <c r="K36" s="219">
        <v>376</v>
      </c>
      <c r="L36" s="241">
        <f t="shared" si="5"/>
        <v>0.15878378378378377</v>
      </c>
    </row>
    <row r="37" spans="1:12" x14ac:dyDescent="0.2">
      <c r="A37" s="219" t="s">
        <v>80</v>
      </c>
      <c r="B37" s="219" t="s">
        <v>81</v>
      </c>
      <c r="C37" s="234" t="s">
        <v>266</v>
      </c>
      <c r="D37" s="909">
        <v>25011</v>
      </c>
      <c r="E37" s="909">
        <v>1867</v>
      </c>
      <c r="F37" s="241">
        <f t="shared" si="3"/>
        <v>7.4647155251689259E-2</v>
      </c>
      <c r="G37" s="909">
        <v>5308</v>
      </c>
      <c r="H37" s="219">
        <v>519</v>
      </c>
      <c r="I37" s="241">
        <f t="shared" si="4"/>
        <v>9.7776940467219298E-2</v>
      </c>
      <c r="J37" s="909">
        <v>3996</v>
      </c>
      <c r="K37" s="219">
        <v>353</v>
      </c>
      <c r="L37" s="241">
        <f t="shared" si="5"/>
        <v>8.8338338338338332E-2</v>
      </c>
    </row>
    <row r="38" spans="1:12" x14ac:dyDescent="0.2">
      <c r="A38" s="219" t="s">
        <v>84</v>
      </c>
      <c r="B38" s="219" t="s">
        <v>85</v>
      </c>
      <c r="C38" s="234" t="s">
        <v>265</v>
      </c>
      <c r="D38" s="909">
        <v>54614</v>
      </c>
      <c r="E38" s="909">
        <v>7192</v>
      </c>
      <c r="F38" s="241">
        <f t="shared" ref="F38:F69" si="6">E38/D38</f>
        <v>0.13168784560735342</v>
      </c>
      <c r="G38" s="909">
        <v>10653</v>
      </c>
      <c r="H38" s="909">
        <v>1961</v>
      </c>
      <c r="I38" s="241">
        <f t="shared" ref="I38:I69" si="7">H38/G38</f>
        <v>0.18407960199004975</v>
      </c>
      <c r="J38" s="909">
        <v>8055</v>
      </c>
      <c r="K38" s="909">
        <v>1310</v>
      </c>
      <c r="L38" s="241">
        <f t="shared" ref="L38:L69" si="8">K38/J38</f>
        <v>0.16263190564866542</v>
      </c>
    </row>
    <row r="39" spans="1:12" x14ac:dyDescent="0.2">
      <c r="A39" s="219" t="s">
        <v>86</v>
      </c>
      <c r="B39" s="219" t="s">
        <v>87</v>
      </c>
      <c r="C39" s="234" t="s">
        <v>267</v>
      </c>
      <c r="D39" s="909">
        <v>83156</v>
      </c>
      <c r="E39" s="909">
        <v>5677</v>
      </c>
      <c r="F39" s="241">
        <f t="shared" si="6"/>
        <v>6.8269277021501762E-2</v>
      </c>
      <c r="G39" s="909">
        <v>19078</v>
      </c>
      <c r="H39" s="909">
        <v>1895</v>
      </c>
      <c r="I39" s="241">
        <f t="shared" si="7"/>
        <v>9.9329070133137645E-2</v>
      </c>
      <c r="J39" s="909">
        <v>14158</v>
      </c>
      <c r="K39" s="909">
        <v>1313</v>
      </c>
      <c r="L39" s="241">
        <f t="shared" si="8"/>
        <v>9.2739087441729054E-2</v>
      </c>
    </row>
    <row r="40" spans="1:12" x14ac:dyDescent="0.2">
      <c r="A40" s="219" t="s">
        <v>92</v>
      </c>
      <c r="B40" s="219" t="s">
        <v>93</v>
      </c>
      <c r="C40" s="234" t="s">
        <v>268</v>
      </c>
      <c r="D40" s="909">
        <v>16666</v>
      </c>
      <c r="E40" s="909">
        <v>2032</v>
      </c>
      <c r="F40" s="241">
        <f t="shared" si="6"/>
        <v>0.1219248769950798</v>
      </c>
      <c r="G40" s="909">
        <v>3429</v>
      </c>
      <c r="H40" s="219">
        <v>607</v>
      </c>
      <c r="I40" s="241">
        <f t="shared" si="7"/>
        <v>0.17701953922426364</v>
      </c>
      <c r="J40" s="909">
        <v>2549</v>
      </c>
      <c r="K40" s="219">
        <v>411</v>
      </c>
      <c r="L40" s="241">
        <f t="shared" si="8"/>
        <v>0.16123970184386033</v>
      </c>
    </row>
    <row r="41" spans="1:12" x14ac:dyDescent="0.2">
      <c r="A41" s="219" t="s">
        <v>94</v>
      </c>
      <c r="B41" s="219" t="s">
        <v>95</v>
      </c>
      <c r="C41" s="234" t="s">
        <v>264</v>
      </c>
      <c r="D41" s="909">
        <v>36741</v>
      </c>
      <c r="E41" s="909">
        <v>3449</v>
      </c>
      <c r="F41" s="241">
        <f t="shared" si="6"/>
        <v>9.3873329522876345E-2</v>
      </c>
      <c r="G41" s="909">
        <v>7447</v>
      </c>
      <c r="H41" s="909">
        <v>1017</v>
      </c>
      <c r="I41" s="241">
        <f t="shared" si="7"/>
        <v>0.13656505975560629</v>
      </c>
      <c r="J41" s="909">
        <v>5508</v>
      </c>
      <c r="K41" s="219">
        <v>712</v>
      </c>
      <c r="L41" s="241">
        <f t="shared" si="8"/>
        <v>0.12926652142338416</v>
      </c>
    </row>
    <row r="42" spans="1:12" x14ac:dyDescent="0.2">
      <c r="A42" s="219" t="s">
        <v>96</v>
      </c>
      <c r="B42" s="219" t="s">
        <v>828</v>
      </c>
      <c r="C42" s="234" t="s">
        <v>266</v>
      </c>
      <c r="D42" s="909">
        <v>21715</v>
      </c>
      <c r="E42" s="909">
        <v>1393</v>
      </c>
      <c r="F42" s="241">
        <f t="shared" si="6"/>
        <v>6.4149205618236241E-2</v>
      </c>
      <c r="G42" s="909">
        <v>4151</v>
      </c>
      <c r="H42" s="219">
        <v>355</v>
      </c>
      <c r="I42" s="241">
        <f t="shared" si="7"/>
        <v>8.5521561069621777E-2</v>
      </c>
      <c r="J42" s="909">
        <v>3167</v>
      </c>
      <c r="K42" s="219">
        <v>249</v>
      </c>
      <c r="L42" s="241">
        <f t="shared" si="8"/>
        <v>7.86233028102305E-2</v>
      </c>
    </row>
    <row r="43" spans="1:12" x14ac:dyDescent="0.2">
      <c r="A43" s="219" t="s">
        <v>98</v>
      </c>
      <c r="B43" s="219" t="s">
        <v>99</v>
      </c>
      <c r="C43" s="234" t="s">
        <v>268</v>
      </c>
      <c r="D43" s="909">
        <v>14871</v>
      </c>
      <c r="E43" s="909">
        <v>2593</v>
      </c>
      <c r="F43" s="241">
        <f t="shared" si="6"/>
        <v>0.17436621612534464</v>
      </c>
      <c r="G43" s="909">
        <v>2692</v>
      </c>
      <c r="H43" s="219">
        <v>696</v>
      </c>
      <c r="I43" s="241">
        <f t="shared" si="7"/>
        <v>0.25854383358098071</v>
      </c>
      <c r="J43" s="909">
        <v>1937</v>
      </c>
      <c r="K43" s="219">
        <v>499</v>
      </c>
      <c r="L43" s="241">
        <f t="shared" si="8"/>
        <v>0.25761486835312336</v>
      </c>
    </row>
    <row r="44" spans="1:12" x14ac:dyDescent="0.2">
      <c r="A44" s="219" t="s">
        <v>100</v>
      </c>
      <c r="B44" s="219" t="s">
        <v>101</v>
      </c>
      <c r="C44" s="234" t="s">
        <v>267</v>
      </c>
      <c r="D44" s="909">
        <v>19173</v>
      </c>
      <c r="E44" s="909">
        <v>1618</v>
      </c>
      <c r="F44" s="241">
        <f t="shared" si="6"/>
        <v>8.4389506076253062E-2</v>
      </c>
      <c r="G44" s="909">
        <v>4590</v>
      </c>
      <c r="H44" s="219">
        <v>586</v>
      </c>
      <c r="I44" s="241">
        <f t="shared" si="7"/>
        <v>0.12766884531590414</v>
      </c>
      <c r="J44" s="909">
        <v>3414</v>
      </c>
      <c r="K44" s="219">
        <v>417</v>
      </c>
      <c r="L44" s="241">
        <f t="shared" si="8"/>
        <v>0.12214411247803164</v>
      </c>
    </row>
    <row r="45" spans="1:12" x14ac:dyDescent="0.2">
      <c r="A45" s="219" t="s">
        <v>102</v>
      </c>
      <c r="B45" s="219" t="s">
        <v>282</v>
      </c>
      <c r="C45" s="234" t="s">
        <v>264</v>
      </c>
      <c r="D45" s="909">
        <v>13408</v>
      </c>
      <c r="E45" s="909">
        <v>3291</v>
      </c>
      <c r="F45" s="241">
        <f t="shared" si="6"/>
        <v>0.24545047732696898</v>
      </c>
      <c r="G45" s="909">
        <v>3132</v>
      </c>
      <c r="H45" s="219">
        <v>983</v>
      </c>
      <c r="I45" s="241">
        <f t="shared" si="7"/>
        <v>0.31385696040868455</v>
      </c>
      <c r="J45" s="909">
        <v>2335</v>
      </c>
      <c r="K45" s="219">
        <v>705</v>
      </c>
      <c r="L45" s="241">
        <f t="shared" si="8"/>
        <v>0.30192719486081371</v>
      </c>
    </row>
    <row r="46" spans="1:12" x14ac:dyDescent="0.2">
      <c r="A46" s="219" t="s">
        <v>104</v>
      </c>
      <c r="B46" s="219" t="s">
        <v>105</v>
      </c>
      <c r="C46" s="234" t="s">
        <v>265</v>
      </c>
      <c r="D46" s="909">
        <v>34159</v>
      </c>
      <c r="E46" s="909">
        <v>6380</v>
      </c>
      <c r="F46" s="241">
        <f t="shared" si="6"/>
        <v>0.18677361749465735</v>
      </c>
      <c r="G46" s="909">
        <v>7061</v>
      </c>
      <c r="H46" s="909">
        <v>1823</v>
      </c>
      <c r="I46" s="241">
        <f t="shared" si="7"/>
        <v>0.25817872822546384</v>
      </c>
      <c r="J46" s="909">
        <v>5239</v>
      </c>
      <c r="K46" s="909">
        <v>1243</v>
      </c>
      <c r="L46" s="241">
        <f t="shared" si="8"/>
        <v>0.23725901889673601</v>
      </c>
    </row>
    <row r="47" spans="1:12" x14ac:dyDescent="0.2">
      <c r="A47" s="219" t="s">
        <v>108</v>
      </c>
      <c r="B47" s="219" t="s">
        <v>109</v>
      </c>
      <c r="C47" s="234" t="s">
        <v>266</v>
      </c>
      <c r="D47" s="909">
        <v>102238</v>
      </c>
      <c r="E47" s="909">
        <v>5900</v>
      </c>
      <c r="F47" s="241">
        <f t="shared" si="6"/>
        <v>5.7708484125276314E-2</v>
      </c>
      <c r="G47" s="909">
        <v>22982</v>
      </c>
      <c r="H47" s="909">
        <v>1497</v>
      </c>
      <c r="I47" s="241">
        <f t="shared" si="7"/>
        <v>6.5137934035331996E-2</v>
      </c>
      <c r="J47" s="909">
        <v>17781</v>
      </c>
      <c r="K47" s="909">
        <v>1074</v>
      </c>
      <c r="L47" s="241">
        <f t="shared" si="8"/>
        <v>6.0401552218660365E-2</v>
      </c>
    </row>
    <row r="48" spans="1:12" x14ac:dyDescent="0.2">
      <c r="A48" s="219" t="s">
        <v>110</v>
      </c>
      <c r="B48" s="219" t="s">
        <v>111</v>
      </c>
      <c r="C48" s="234" t="s">
        <v>266</v>
      </c>
      <c r="D48" s="909">
        <v>323260</v>
      </c>
      <c r="E48" s="909">
        <v>29583</v>
      </c>
      <c r="F48" s="241">
        <f t="shared" si="6"/>
        <v>9.1514570314916791E-2</v>
      </c>
      <c r="G48" s="909">
        <v>74675</v>
      </c>
      <c r="H48" s="909">
        <v>8841</v>
      </c>
      <c r="I48" s="241">
        <f t="shared" si="7"/>
        <v>0.118393036491463</v>
      </c>
      <c r="J48" s="909">
        <v>54438</v>
      </c>
      <c r="K48" s="909">
        <v>6171</v>
      </c>
      <c r="L48" s="241">
        <f t="shared" si="8"/>
        <v>0.1133583158822881</v>
      </c>
    </row>
    <row r="49" spans="1:12" x14ac:dyDescent="0.2">
      <c r="A49" s="219" t="s">
        <v>112</v>
      </c>
      <c r="B49" s="219" t="s">
        <v>300</v>
      </c>
      <c r="C49" s="234" t="s">
        <v>265</v>
      </c>
      <c r="D49" s="909">
        <v>63859</v>
      </c>
      <c r="E49" s="909">
        <v>12368</v>
      </c>
      <c r="F49" s="241">
        <f t="shared" si="6"/>
        <v>0.19367669396639473</v>
      </c>
      <c r="G49" s="909">
        <v>13162</v>
      </c>
      <c r="H49" s="909">
        <v>3924</v>
      </c>
      <c r="I49" s="241">
        <f t="shared" si="7"/>
        <v>0.29813098313326242</v>
      </c>
      <c r="J49" s="909">
        <v>9745</v>
      </c>
      <c r="K49" s="909">
        <v>2603</v>
      </c>
      <c r="L49" s="241">
        <f t="shared" si="8"/>
        <v>0.26711133914828117</v>
      </c>
    </row>
    <row r="50" spans="1:12" x14ac:dyDescent="0.2">
      <c r="A50" s="219" t="s">
        <v>114</v>
      </c>
      <c r="B50" s="219" t="s">
        <v>115</v>
      </c>
      <c r="C50" s="234" t="s">
        <v>265</v>
      </c>
      <c r="D50" s="909">
        <v>2208</v>
      </c>
      <c r="E50" s="219">
        <v>293</v>
      </c>
      <c r="F50" s="241">
        <f t="shared" si="6"/>
        <v>0.13269927536231885</v>
      </c>
      <c r="G50" s="219">
        <v>297</v>
      </c>
      <c r="H50" s="219">
        <v>57</v>
      </c>
      <c r="I50" s="241">
        <f t="shared" si="7"/>
        <v>0.19191919191919191</v>
      </c>
      <c r="J50" s="219">
        <v>220</v>
      </c>
      <c r="K50" s="219">
        <v>39</v>
      </c>
      <c r="L50" s="241">
        <f t="shared" si="8"/>
        <v>0.17727272727272728</v>
      </c>
    </row>
    <row r="51" spans="1:12" x14ac:dyDescent="0.2">
      <c r="A51" s="219" t="s">
        <v>118</v>
      </c>
      <c r="B51" s="219" t="s">
        <v>270</v>
      </c>
      <c r="C51" s="234" t="s">
        <v>264</v>
      </c>
      <c r="D51" s="909">
        <v>36274</v>
      </c>
      <c r="E51" s="909">
        <v>3430</v>
      </c>
      <c r="F51" s="241">
        <f t="shared" si="6"/>
        <v>9.4558085681204163E-2</v>
      </c>
      <c r="G51" s="909">
        <v>7615</v>
      </c>
      <c r="H51" s="909">
        <v>944</v>
      </c>
      <c r="I51" s="241">
        <f t="shared" si="7"/>
        <v>0.12396585686145765</v>
      </c>
      <c r="J51" s="909">
        <v>5686</v>
      </c>
      <c r="K51" s="219">
        <v>667</v>
      </c>
      <c r="L51" s="241">
        <f t="shared" si="8"/>
        <v>0.11730566303200844</v>
      </c>
    </row>
    <row r="52" spans="1:12" x14ac:dyDescent="0.2">
      <c r="A52" s="219" t="s">
        <v>120</v>
      </c>
      <c r="B52" s="219" t="s">
        <v>121</v>
      </c>
      <c r="C52" s="234" t="s">
        <v>264</v>
      </c>
      <c r="D52" s="909">
        <v>73296</v>
      </c>
      <c r="E52" s="909">
        <v>4739</v>
      </c>
      <c r="F52" s="241">
        <f t="shared" si="6"/>
        <v>6.4655642872735217E-2</v>
      </c>
      <c r="G52" s="909">
        <v>14851</v>
      </c>
      <c r="H52" s="909">
        <v>1393</v>
      </c>
      <c r="I52" s="241">
        <f t="shared" si="7"/>
        <v>9.3798397414315532E-2</v>
      </c>
      <c r="J52" s="909">
        <v>11196</v>
      </c>
      <c r="K52" s="909">
        <v>980</v>
      </c>
      <c r="L52" s="241">
        <f t="shared" si="8"/>
        <v>8.7531261164701682E-2</v>
      </c>
    </row>
    <row r="53" spans="1:12" x14ac:dyDescent="0.2">
      <c r="A53" s="219" t="s">
        <v>122</v>
      </c>
      <c r="B53" s="219" t="s">
        <v>287</v>
      </c>
      <c r="C53" s="234" t="s">
        <v>266</v>
      </c>
      <c r="D53" s="909">
        <v>7138</v>
      </c>
      <c r="E53" s="219">
        <v>960</v>
      </c>
      <c r="F53" s="241">
        <f t="shared" si="6"/>
        <v>0.13449145418884842</v>
      </c>
      <c r="G53" s="909">
        <v>1306</v>
      </c>
      <c r="H53" s="219">
        <v>244</v>
      </c>
      <c r="I53" s="241">
        <f t="shared" si="7"/>
        <v>0.18683001531393567</v>
      </c>
      <c r="J53" s="909">
        <v>966</v>
      </c>
      <c r="K53" s="219">
        <v>172</v>
      </c>
      <c r="L53" s="241">
        <f t="shared" si="8"/>
        <v>0.17805383022774326</v>
      </c>
    </row>
    <row r="54" spans="1:12" x14ac:dyDescent="0.2">
      <c r="A54" s="219" t="s">
        <v>124</v>
      </c>
      <c r="B54" s="219" t="s">
        <v>125</v>
      </c>
      <c r="C54" s="234" t="s">
        <v>267</v>
      </c>
      <c r="D54" s="909">
        <v>25578</v>
      </c>
      <c r="E54" s="909">
        <v>1728</v>
      </c>
      <c r="F54" s="241">
        <f t="shared" si="6"/>
        <v>6.755805770584096E-2</v>
      </c>
      <c r="G54" s="909">
        <v>6493</v>
      </c>
      <c r="H54" s="219">
        <v>578</v>
      </c>
      <c r="I54" s="241">
        <f t="shared" si="7"/>
        <v>8.9018943477591247E-2</v>
      </c>
      <c r="J54" s="909">
        <v>4886</v>
      </c>
      <c r="K54" s="219">
        <v>399</v>
      </c>
      <c r="L54" s="241">
        <f t="shared" si="8"/>
        <v>8.1661891117478513E-2</v>
      </c>
    </row>
    <row r="55" spans="1:12" x14ac:dyDescent="0.2">
      <c r="A55" s="219" t="s">
        <v>126</v>
      </c>
      <c r="B55" s="219" t="s">
        <v>127</v>
      </c>
      <c r="C55" s="234" t="s">
        <v>266</v>
      </c>
      <c r="D55" s="909">
        <v>16211</v>
      </c>
      <c r="E55" s="909">
        <v>1248</v>
      </c>
      <c r="F55" s="241">
        <f t="shared" si="6"/>
        <v>7.6984763432237369E-2</v>
      </c>
      <c r="G55" s="909">
        <v>3725</v>
      </c>
      <c r="H55" s="219">
        <v>427</v>
      </c>
      <c r="I55" s="241">
        <f t="shared" si="7"/>
        <v>0.11463087248322147</v>
      </c>
      <c r="J55" s="909">
        <v>2817</v>
      </c>
      <c r="K55" s="219">
        <v>299</v>
      </c>
      <c r="L55" s="241">
        <f t="shared" si="8"/>
        <v>0.10614128505502307</v>
      </c>
    </row>
    <row r="56" spans="1:12" x14ac:dyDescent="0.2">
      <c r="A56" s="219" t="s">
        <v>128</v>
      </c>
      <c r="B56" s="219" t="s">
        <v>129</v>
      </c>
      <c r="C56" s="234" t="s">
        <v>266</v>
      </c>
      <c r="D56" s="909">
        <v>10779</v>
      </c>
      <c r="E56" s="909">
        <v>1514</v>
      </c>
      <c r="F56" s="241">
        <f t="shared" si="6"/>
        <v>0.14045829854346414</v>
      </c>
      <c r="G56" s="909">
        <v>1621</v>
      </c>
      <c r="H56" s="219">
        <v>437</v>
      </c>
      <c r="I56" s="241">
        <f t="shared" si="7"/>
        <v>0.26958667489204197</v>
      </c>
      <c r="J56" s="909">
        <v>1187</v>
      </c>
      <c r="K56" s="219">
        <v>322</v>
      </c>
      <c r="L56" s="241">
        <f t="shared" si="8"/>
        <v>0.27127211457455769</v>
      </c>
    </row>
    <row r="57" spans="1:12" x14ac:dyDescent="0.2">
      <c r="A57" s="219" t="s">
        <v>130</v>
      </c>
      <c r="B57" s="219" t="s">
        <v>131</v>
      </c>
      <c r="C57" s="234" t="s">
        <v>268</v>
      </c>
      <c r="D57" s="909">
        <v>22518</v>
      </c>
      <c r="E57" s="909">
        <v>6727</v>
      </c>
      <c r="F57" s="241">
        <f t="shared" si="6"/>
        <v>0.29873878674837906</v>
      </c>
      <c r="G57" s="909">
        <v>4467</v>
      </c>
      <c r="H57" s="909">
        <v>1673</v>
      </c>
      <c r="I57" s="241">
        <f t="shared" si="7"/>
        <v>0.37452428923214687</v>
      </c>
      <c r="J57" s="909">
        <v>3326</v>
      </c>
      <c r="K57" s="909">
        <v>1118</v>
      </c>
      <c r="L57" s="241">
        <f t="shared" si="8"/>
        <v>0.33613950691521349</v>
      </c>
    </row>
    <row r="58" spans="1:12" x14ac:dyDescent="0.2">
      <c r="A58" s="219" t="s">
        <v>132</v>
      </c>
      <c r="B58" s="219" t="s">
        <v>133</v>
      </c>
      <c r="C58" s="234" t="s">
        <v>267</v>
      </c>
      <c r="D58" s="909">
        <v>383873</v>
      </c>
      <c r="E58" s="909">
        <v>13511</v>
      </c>
      <c r="F58" s="241">
        <f t="shared" si="6"/>
        <v>3.5196536354471404E-2</v>
      </c>
      <c r="G58" s="909">
        <v>109642</v>
      </c>
      <c r="H58" s="909">
        <v>3879</v>
      </c>
      <c r="I58" s="241">
        <f t="shared" si="7"/>
        <v>3.5378778205432226E-2</v>
      </c>
      <c r="J58" s="909">
        <v>81822</v>
      </c>
      <c r="K58" s="909">
        <v>2610</v>
      </c>
      <c r="L58" s="241">
        <f t="shared" si="8"/>
        <v>3.18985114028012E-2</v>
      </c>
    </row>
    <row r="59" spans="1:12" x14ac:dyDescent="0.2">
      <c r="A59" s="219" t="s">
        <v>134</v>
      </c>
      <c r="B59" s="219" t="s">
        <v>135</v>
      </c>
      <c r="C59" s="234" t="s">
        <v>267</v>
      </c>
      <c r="D59" s="909">
        <v>35001</v>
      </c>
      <c r="E59" s="909">
        <v>4261</v>
      </c>
      <c r="F59" s="241">
        <f t="shared" si="6"/>
        <v>0.1217393788748893</v>
      </c>
      <c r="G59" s="909">
        <v>7142</v>
      </c>
      <c r="H59" s="909">
        <v>1144</v>
      </c>
      <c r="I59" s="241">
        <f t="shared" si="7"/>
        <v>0.16017922150658079</v>
      </c>
      <c r="J59" s="909">
        <v>5240</v>
      </c>
      <c r="K59" s="219">
        <v>796</v>
      </c>
      <c r="L59" s="241">
        <f t="shared" si="8"/>
        <v>0.15190839694656488</v>
      </c>
    </row>
    <row r="60" spans="1:12" x14ac:dyDescent="0.2">
      <c r="A60" s="219" t="s">
        <v>136</v>
      </c>
      <c r="B60" s="219" t="s">
        <v>137</v>
      </c>
      <c r="C60" s="234" t="s">
        <v>266</v>
      </c>
      <c r="D60" s="909">
        <v>11262</v>
      </c>
      <c r="E60" s="909">
        <v>2231</v>
      </c>
      <c r="F60" s="241">
        <f t="shared" si="6"/>
        <v>0.19809980465281476</v>
      </c>
      <c r="G60" s="909">
        <v>2242</v>
      </c>
      <c r="H60" s="219">
        <v>586</v>
      </c>
      <c r="I60" s="241">
        <f t="shared" si="7"/>
        <v>0.26137377341659235</v>
      </c>
      <c r="J60" s="909">
        <v>1625</v>
      </c>
      <c r="K60" s="219">
        <v>414</v>
      </c>
      <c r="L60" s="241">
        <f t="shared" si="8"/>
        <v>0.25476923076923075</v>
      </c>
    </row>
    <row r="61" spans="1:12" x14ac:dyDescent="0.2">
      <c r="A61" s="219" t="s">
        <v>140</v>
      </c>
      <c r="B61" s="219" t="s">
        <v>141</v>
      </c>
      <c r="C61" s="234" t="s">
        <v>267</v>
      </c>
      <c r="D61" s="909">
        <v>12922</v>
      </c>
      <c r="E61" s="909">
        <v>1444</v>
      </c>
      <c r="F61" s="241">
        <f t="shared" si="6"/>
        <v>0.11174740752205541</v>
      </c>
      <c r="G61" s="909">
        <v>2605</v>
      </c>
      <c r="H61" s="219">
        <v>466</v>
      </c>
      <c r="I61" s="241">
        <f t="shared" si="7"/>
        <v>0.17888675623800385</v>
      </c>
      <c r="J61" s="909">
        <v>2008</v>
      </c>
      <c r="K61" s="219">
        <v>323</v>
      </c>
      <c r="L61" s="241">
        <f t="shared" si="8"/>
        <v>0.16085657370517928</v>
      </c>
    </row>
    <row r="62" spans="1:12" x14ac:dyDescent="0.2">
      <c r="A62" s="219" t="s">
        <v>146</v>
      </c>
      <c r="B62" s="219" t="s">
        <v>147</v>
      </c>
      <c r="C62" s="234" t="s">
        <v>264</v>
      </c>
      <c r="D62" s="909">
        <v>8693</v>
      </c>
      <c r="E62" s="219">
        <v>880</v>
      </c>
      <c r="F62" s="241">
        <f t="shared" si="6"/>
        <v>0.10123087541700218</v>
      </c>
      <c r="G62" s="909">
        <v>1382</v>
      </c>
      <c r="H62" s="219">
        <v>244</v>
      </c>
      <c r="I62" s="241">
        <f t="shared" si="7"/>
        <v>0.17655571635311143</v>
      </c>
      <c r="J62" s="909">
        <v>1064</v>
      </c>
      <c r="K62" s="219">
        <v>176</v>
      </c>
      <c r="L62" s="241">
        <f t="shared" si="8"/>
        <v>0.16541353383458646</v>
      </c>
    </row>
    <row r="63" spans="1:12" x14ac:dyDescent="0.2">
      <c r="A63" s="219" t="s">
        <v>148</v>
      </c>
      <c r="B63" s="219" t="s">
        <v>149</v>
      </c>
      <c r="C63" s="234" t="s">
        <v>265</v>
      </c>
      <c r="D63" s="909">
        <v>29963</v>
      </c>
      <c r="E63" s="909">
        <v>4759</v>
      </c>
      <c r="F63" s="241">
        <f t="shared" si="6"/>
        <v>0.15882922270800653</v>
      </c>
      <c r="G63" s="909">
        <v>5753</v>
      </c>
      <c r="H63" s="909">
        <v>1495</v>
      </c>
      <c r="I63" s="241">
        <f t="shared" si="7"/>
        <v>0.25986441856422737</v>
      </c>
      <c r="J63" s="909">
        <v>4314</v>
      </c>
      <c r="K63" s="909">
        <v>1045</v>
      </c>
      <c r="L63" s="241">
        <f t="shared" si="8"/>
        <v>0.24223458507185908</v>
      </c>
    </row>
    <row r="64" spans="1:12" x14ac:dyDescent="0.2">
      <c r="A64" s="219" t="s">
        <v>150</v>
      </c>
      <c r="B64" s="219" t="s">
        <v>151</v>
      </c>
      <c r="C64" s="234" t="s">
        <v>266</v>
      </c>
      <c r="D64" s="909">
        <v>10375</v>
      </c>
      <c r="E64" s="909">
        <v>1469</v>
      </c>
      <c r="F64" s="241">
        <f t="shared" si="6"/>
        <v>0.14159036144578313</v>
      </c>
      <c r="G64" s="909">
        <v>1668</v>
      </c>
      <c r="H64" s="219">
        <v>416</v>
      </c>
      <c r="I64" s="241">
        <f t="shared" si="7"/>
        <v>0.24940047961630696</v>
      </c>
      <c r="J64" s="909">
        <v>1219</v>
      </c>
      <c r="K64" s="219">
        <v>292</v>
      </c>
      <c r="L64" s="241">
        <f t="shared" si="8"/>
        <v>0.23954060705496308</v>
      </c>
    </row>
    <row r="65" spans="1:12" x14ac:dyDescent="0.2">
      <c r="A65" s="219" t="s">
        <v>152</v>
      </c>
      <c r="B65" s="219" t="s">
        <v>153</v>
      </c>
      <c r="C65" s="234" t="s">
        <v>268</v>
      </c>
      <c r="D65" s="909">
        <v>88633</v>
      </c>
      <c r="E65" s="909">
        <v>18030</v>
      </c>
      <c r="F65" s="241">
        <f t="shared" si="6"/>
        <v>0.20342310426139248</v>
      </c>
      <c r="G65" s="909">
        <v>15482</v>
      </c>
      <c r="H65" s="909">
        <v>2082</v>
      </c>
      <c r="I65" s="241">
        <f t="shared" si="7"/>
        <v>0.13447874951556646</v>
      </c>
      <c r="J65" s="909">
        <v>10903</v>
      </c>
      <c r="K65" s="909">
        <v>1446</v>
      </c>
      <c r="L65" s="241">
        <f t="shared" si="8"/>
        <v>0.13262404842703843</v>
      </c>
    </row>
    <row r="66" spans="1:12" x14ac:dyDescent="0.2">
      <c r="A66" s="219" t="s">
        <v>154</v>
      </c>
      <c r="B66" s="219" t="s">
        <v>155</v>
      </c>
      <c r="C66" s="234" t="s">
        <v>265</v>
      </c>
      <c r="D66" s="909">
        <v>14761</v>
      </c>
      <c r="E66" s="909">
        <v>1865</v>
      </c>
      <c r="F66" s="241">
        <f t="shared" si="6"/>
        <v>0.12634645349231083</v>
      </c>
      <c r="G66" s="909">
        <v>2756</v>
      </c>
      <c r="H66" s="219">
        <v>567</v>
      </c>
      <c r="I66" s="241">
        <f t="shared" si="7"/>
        <v>0.20573294629898403</v>
      </c>
      <c r="J66" s="909">
        <v>2105</v>
      </c>
      <c r="K66" s="219">
        <v>406</v>
      </c>
      <c r="L66" s="241">
        <f t="shared" si="8"/>
        <v>0.19287410926365794</v>
      </c>
    </row>
    <row r="67" spans="1:12" x14ac:dyDescent="0.2">
      <c r="A67" s="219" t="s">
        <v>156</v>
      </c>
      <c r="B67" s="219" t="s">
        <v>157</v>
      </c>
      <c r="C67" s="234" t="s">
        <v>266</v>
      </c>
      <c r="D67" s="909">
        <v>20544</v>
      </c>
      <c r="E67" s="909">
        <v>1202</v>
      </c>
      <c r="F67" s="241">
        <f t="shared" si="6"/>
        <v>5.8508566978193149E-2</v>
      </c>
      <c r="G67" s="909">
        <v>4205</v>
      </c>
      <c r="H67" s="219">
        <v>351</v>
      </c>
      <c r="I67" s="241">
        <f t="shared" si="7"/>
        <v>8.3472057074910816E-2</v>
      </c>
      <c r="J67" s="909">
        <v>3154</v>
      </c>
      <c r="K67" s="219">
        <v>247</v>
      </c>
      <c r="L67" s="241">
        <f t="shared" si="8"/>
        <v>7.8313253012048195E-2</v>
      </c>
    </row>
    <row r="68" spans="1:12" x14ac:dyDescent="0.2">
      <c r="A68" s="219" t="s">
        <v>162</v>
      </c>
      <c r="B68" s="219" t="s">
        <v>163</v>
      </c>
      <c r="C68" s="234" t="s">
        <v>264</v>
      </c>
      <c r="D68" s="909">
        <v>11906</v>
      </c>
      <c r="E68" s="909">
        <v>2418</v>
      </c>
      <c r="F68" s="241">
        <f t="shared" si="6"/>
        <v>0.20309087854863095</v>
      </c>
      <c r="G68" s="909">
        <v>2427</v>
      </c>
      <c r="H68" s="219">
        <v>713</v>
      </c>
      <c r="I68" s="241">
        <f t="shared" si="7"/>
        <v>0.29377832715286362</v>
      </c>
      <c r="J68" s="909">
        <v>1728</v>
      </c>
      <c r="K68" s="219">
        <v>496</v>
      </c>
      <c r="L68" s="241">
        <f t="shared" si="8"/>
        <v>0.28703703703703703</v>
      </c>
    </row>
    <row r="69" spans="1:12" x14ac:dyDescent="0.2">
      <c r="A69" s="219" t="s">
        <v>164</v>
      </c>
      <c r="B69" s="219" t="s">
        <v>165</v>
      </c>
      <c r="C69" s="234" t="s">
        <v>266</v>
      </c>
      <c r="D69" s="909">
        <v>12184</v>
      </c>
      <c r="E69" s="909">
        <v>1632</v>
      </c>
      <c r="F69" s="241">
        <f t="shared" si="6"/>
        <v>0.133946158896914</v>
      </c>
      <c r="G69" s="909">
        <v>1821</v>
      </c>
      <c r="H69" s="219">
        <v>478</v>
      </c>
      <c r="I69" s="241">
        <f t="shared" si="7"/>
        <v>0.2624931356397584</v>
      </c>
      <c r="J69" s="909">
        <v>1343</v>
      </c>
      <c r="K69" s="219">
        <v>332</v>
      </c>
      <c r="L69" s="241">
        <f t="shared" si="8"/>
        <v>0.24720774385703648</v>
      </c>
    </row>
    <row r="70" spans="1:12" x14ac:dyDescent="0.2">
      <c r="A70" s="219" t="s">
        <v>168</v>
      </c>
      <c r="B70" s="219" t="s">
        <v>169</v>
      </c>
      <c r="C70" s="234" t="s">
        <v>266</v>
      </c>
      <c r="D70" s="909">
        <v>13273</v>
      </c>
      <c r="E70" s="909">
        <v>3042</v>
      </c>
      <c r="F70" s="241">
        <f t="shared" ref="F70:F101" si="9">E70/D70</f>
        <v>0.22918707149853085</v>
      </c>
      <c r="G70" s="909">
        <v>2997</v>
      </c>
      <c r="H70" s="219">
        <v>872</v>
      </c>
      <c r="I70" s="241">
        <f t="shared" ref="I70:I101" si="10">H70/G70</f>
        <v>0.29095762429095762</v>
      </c>
      <c r="J70" s="909">
        <v>2152</v>
      </c>
      <c r="K70" s="219">
        <v>637</v>
      </c>
      <c r="L70" s="241">
        <f t="shared" ref="L70:L101" si="11">K70/J70</f>
        <v>0.29600371747211895</v>
      </c>
    </row>
    <row r="71" spans="1:12" x14ac:dyDescent="0.2">
      <c r="A71" s="219" t="s">
        <v>170</v>
      </c>
      <c r="B71" s="219" t="s">
        <v>171</v>
      </c>
      <c r="C71" s="234" t="s">
        <v>267</v>
      </c>
      <c r="D71" s="909">
        <v>34851</v>
      </c>
      <c r="E71" s="909">
        <v>3212</v>
      </c>
      <c r="F71" s="241">
        <f t="shared" si="9"/>
        <v>9.2163782961751456E-2</v>
      </c>
      <c r="G71" s="909">
        <v>7527</v>
      </c>
      <c r="H71" s="909">
        <v>1031</v>
      </c>
      <c r="I71" s="241">
        <f t="shared" si="10"/>
        <v>0.13697356184402817</v>
      </c>
      <c r="J71" s="909">
        <v>5531</v>
      </c>
      <c r="K71" s="219">
        <v>722</v>
      </c>
      <c r="L71" s="241">
        <f t="shared" si="11"/>
        <v>0.13053697342252757</v>
      </c>
    </row>
    <row r="72" spans="1:12" x14ac:dyDescent="0.2">
      <c r="A72" s="219" t="s">
        <v>172</v>
      </c>
      <c r="B72" s="219" t="s">
        <v>173</v>
      </c>
      <c r="C72" s="234" t="s">
        <v>267</v>
      </c>
      <c r="D72" s="909">
        <v>23391</v>
      </c>
      <c r="E72" s="909">
        <v>3833</v>
      </c>
      <c r="F72" s="241">
        <f t="shared" si="9"/>
        <v>0.16386644435894146</v>
      </c>
      <c r="G72" s="909">
        <v>4636</v>
      </c>
      <c r="H72" s="909">
        <v>1106</v>
      </c>
      <c r="I72" s="241">
        <f t="shared" si="10"/>
        <v>0.23856773080241589</v>
      </c>
      <c r="J72" s="909">
        <v>3461</v>
      </c>
      <c r="K72" s="219">
        <v>746</v>
      </c>
      <c r="L72" s="241">
        <f t="shared" si="11"/>
        <v>0.21554464027737649</v>
      </c>
    </row>
    <row r="73" spans="1:12" x14ac:dyDescent="0.2">
      <c r="A73" s="219" t="s">
        <v>174</v>
      </c>
      <c r="B73" s="219" t="s">
        <v>175</v>
      </c>
      <c r="C73" s="234" t="s">
        <v>268</v>
      </c>
      <c r="D73" s="909">
        <v>17612</v>
      </c>
      <c r="E73" s="909">
        <v>3151</v>
      </c>
      <c r="F73" s="241">
        <f t="shared" si="9"/>
        <v>0.17891210538269361</v>
      </c>
      <c r="G73" s="909">
        <v>3121</v>
      </c>
      <c r="H73" s="219">
        <v>859</v>
      </c>
      <c r="I73" s="241">
        <f t="shared" si="10"/>
        <v>0.27523229734059595</v>
      </c>
      <c r="J73" s="909">
        <v>2416</v>
      </c>
      <c r="K73" s="219">
        <v>547</v>
      </c>
      <c r="L73" s="241">
        <f t="shared" si="11"/>
        <v>0.22640728476821192</v>
      </c>
    </row>
    <row r="74" spans="1:12" x14ac:dyDescent="0.2">
      <c r="A74" s="219" t="s">
        <v>178</v>
      </c>
      <c r="B74" s="219" t="s">
        <v>179</v>
      </c>
      <c r="C74" s="234" t="s">
        <v>265</v>
      </c>
      <c r="D74" s="909">
        <v>60540</v>
      </c>
      <c r="E74" s="909">
        <v>8211</v>
      </c>
      <c r="F74" s="241">
        <f t="shared" si="9"/>
        <v>0.13562933597621407</v>
      </c>
      <c r="G74" s="909">
        <v>11827</v>
      </c>
      <c r="H74" s="909">
        <v>2242</v>
      </c>
      <c r="I74" s="241">
        <f t="shared" si="10"/>
        <v>0.18956624672359854</v>
      </c>
      <c r="J74" s="909">
        <v>9205</v>
      </c>
      <c r="K74" s="909">
        <v>1588</v>
      </c>
      <c r="L74" s="241">
        <f t="shared" si="11"/>
        <v>0.17251493753394895</v>
      </c>
    </row>
    <row r="75" spans="1:12" x14ac:dyDescent="0.2">
      <c r="A75" s="219" t="s">
        <v>182</v>
      </c>
      <c r="B75" s="219" t="s">
        <v>183</v>
      </c>
      <c r="C75" s="234" t="s">
        <v>266</v>
      </c>
      <c r="D75" s="909">
        <v>27029</v>
      </c>
      <c r="E75" s="909">
        <v>1779</v>
      </c>
      <c r="F75" s="241">
        <f t="shared" si="9"/>
        <v>6.5818195271745164E-2</v>
      </c>
      <c r="G75" s="909">
        <v>5144</v>
      </c>
      <c r="H75" s="219">
        <v>421</v>
      </c>
      <c r="I75" s="241">
        <f t="shared" si="10"/>
        <v>8.184292379471228E-2</v>
      </c>
      <c r="J75" s="909">
        <v>3932</v>
      </c>
      <c r="K75" s="219">
        <v>296</v>
      </c>
      <c r="L75" s="241">
        <f t="shared" si="11"/>
        <v>7.5279755849440494E-2</v>
      </c>
    </row>
    <row r="76" spans="1:12" x14ac:dyDescent="0.2">
      <c r="A76" s="219" t="s">
        <v>184</v>
      </c>
      <c r="B76" s="219" t="s">
        <v>185</v>
      </c>
      <c r="C76" s="234" t="s">
        <v>266</v>
      </c>
      <c r="D76" s="909">
        <v>18889</v>
      </c>
      <c r="E76" s="909">
        <v>4274</v>
      </c>
      <c r="F76" s="241">
        <f t="shared" si="9"/>
        <v>0.22626925723966329</v>
      </c>
      <c r="G76" s="909">
        <v>3635</v>
      </c>
      <c r="H76" s="909">
        <v>1019</v>
      </c>
      <c r="I76" s="241">
        <f t="shared" si="10"/>
        <v>0.28033012379642364</v>
      </c>
      <c r="J76" s="909">
        <v>2577</v>
      </c>
      <c r="K76" s="219">
        <v>727</v>
      </c>
      <c r="L76" s="241">
        <f t="shared" si="11"/>
        <v>0.28211098176173843</v>
      </c>
    </row>
    <row r="77" spans="1:12" x14ac:dyDescent="0.2">
      <c r="A77" s="219" t="s">
        <v>186</v>
      </c>
      <c r="B77" s="219" t="s">
        <v>187</v>
      </c>
      <c r="C77" s="234" t="s">
        <v>264</v>
      </c>
      <c r="D77" s="909">
        <v>33360</v>
      </c>
      <c r="E77" s="909">
        <v>3176</v>
      </c>
      <c r="F77" s="241">
        <f t="shared" si="9"/>
        <v>9.5203836930455629E-2</v>
      </c>
      <c r="G77" s="909">
        <v>8117</v>
      </c>
      <c r="H77" s="909">
        <v>938</v>
      </c>
      <c r="I77" s="241">
        <f t="shared" si="10"/>
        <v>0.11555993593692251</v>
      </c>
      <c r="J77" s="909">
        <v>6004</v>
      </c>
      <c r="K77" s="219">
        <v>659</v>
      </c>
      <c r="L77" s="241">
        <f t="shared" si="11"/>
        <v>0.1097601598934044</v>
      </c>
    </row>
    <row r="78" spans="1:12" x14ac:dyDescent="0.2">
      <c r="A78" s="219" t="s">
        <v>188</v>
      </c>
      <c r="B78" s="219" t="s">
        <v>189</v>
      </c>
      <c r="C78" s="234" t="s">
        <v>267</v>
      </c>
      <c r="D78" s="909">
        <v>450623</v>
      </c>
      <c r="E78" s="909">
        <v>33308</v>
      </c>
      <c r="F78" s="241">
        <f t="shared" si="9"/>
        <v>7.3915445949274669E-2</v>
      </c>
      <c r="G78" s="909">
        <v>123530</v>
      </c>
      <c r="H78" s="909">
        <v>11947</v>
      </c>
      <c r="I78" s="241">
        <f t="shared" si="10"/>
        <v>9.6713348984052455E-2</v>
      </c>
      <c r="J78" s="909">
        <v>89588</v>
      </c>
      <c r="K78" s="909">
        <v>7807</v>
      </c>
      <c r="L78" s="241">
        <f t="shared" si="11"/>
        <v>8.7143367415278838E-2</v>
      </c>
    </row>
    <row r="79" spans="1:12" x14ac:dyDescent="0.2">
      <c r="A79" s="219" t="s">
        <v>190</v>
      </c>
      <c r="B79" s="219" t="s">
        <v>191</v>
      </c>
      <c r="C79" s="234" t="s">
        <v>268</v>
      </c>
      <c r="D79" s="909">
        <v>32972</v>
      </c>
      <c r="E79" s="909">
        <v>4758</v>
      </c>
      <c r="F79" s="241">
        <f t="shared" si="9"/>
        <v>0.14430425815843745</v>
      </c>
      <c r="G79" s="909">
        <v>6075</v>
      </c>
      <c r="H79" s="909">
        <v>1216</v>
      </c>
      <c r="I79" s="241">
        <f t="shared" si="10"/>
        <v>0.20016460905349795</v>
      </c>
      <c r="J79" s="909">
        <v>4431</v>
      </c>
      <c r="K79" s="219">
        <v>860</v>
      </c>
      <c r="L79" s="241">
        <f t="shared" si="11"/>
        <v>0.19408711351839314</v>
      </c>
    </row>
    <row r="80" spans="1:12" x14ac:dyDescent="0.2">
      <c r="A80" s="219" t="s">
        <v>194</v>
      </c>
      <c r="B80" s="219" t="s">
        <v>195</v>
      </c>
      <c r="C80" s="234" t="s">
        <v>267</v>
      </c>
      <c r="D80" s="909">
        <v>7338</v>
      </c>
      <c r="E80" s="219">
        <v>729</v>
      </c>
      <c r="F80" s="241">
        <f t="shared" si="9"/>
        <v>9.9345870809484871E-2</v>
      </c>
      <c r="G80" s="909">
        <v>1285</v>
      </c>
      <c r="H80" s="219">
        <v>216</v>
      </c>
      <c r="I80" s="241">
        <f t="shared" si="10"/>
        <v>0.1680933852140078</v>
      </c>
      <c r="J80" s="909">
        <v>970</v>
      </c>
      <c r="K80" s="219">
        <v>154</v>
      </c>
      <c r="L80" s="241">
        <f t="shared" si="11"/>
        <v>0.15876288659793814</v>
      </c>
    </row>
    <row r="81" spans="1:12" x14ac:dyDescent="0.2">
      <c r="A81" s="219" t="s">
        <v>198</v>
      </c>
      <c r="B81" s="219" t="s">
        <v>272</v>
      </c>
      <c r="C81" s="234" t="s">
        <v>266</v>
      </c>
      <c r="D81" s="909">
        <v>7260</v>
      </c>
      <c r="E81" s="909">
        <v>1399</v>
      </c>
      <c r="F81" s="241">
        <f t="shared" si="9"/>
        <v>0.19269972451790635</v>
      </c>
      <c r="G81" s="909">
        <v>1441</v>
      </c>
      <c r="H81" s="219">
        <v>341</v>
      </c>
      <c r="I81" s="241">
        <f t="shared" si="10"/>
        <v>0.23664122137404581</v>
      </c>
      <c r="J81" s="909">
        <v>1106</v>
      </c>
      <c r="K81" s="219">
        <v>241</v>
      </c>
      <c r="L81" s="241">
        <f t="shared" si="11"/>
        <v>0.21790235081374321</v>
      </c>
    </row>
    <row r="82" spans="1:12" x14ac:dyDescent="0.2">
      <c r="A82" s="219" t="s">
        <v>202</v>
      </c>
      <c r="B82" s="219" t="s">
        <v>301</v>
      </c>
      <c r="C82" s="234" t="s">
        <v>265</v>
      </c>
      <c r="D82" s="909">
        <v>115156</v>
      </c>
      <c r="E82" s="909">
        <v>8934</v>
      </c>
      <c r="F82" s="241">
        <f t="shared" si="9"/>
        <v>7.7581715238459137E-2</v>
      </c>
      <c r="G82" s="909">
        <v>23778</v>
      </c>
      <c r="H82" s="909">
        <v>2350</v>
      </c>
      <c r="I82" s="241">
        <f t="shared" si="10"/>
        <v>9.8830852048111706E-2</v>
      </c>
      <c r="J82" s="909">
        <v>18017</v>
      </c>
      <c r="K82" s="909">
        <v>1661</v>
      </c>
      <c r="L82" s="241">
        <f t="shared" si="11"/>
        <v>9.2190708775045788E-2</v>
      </c>
    </row>
    <row r="83" spans="1:12" x14ac:dyDescent="0.2">
      <c r="A83" s="219" t="s">
        <v>204</v>
      </c>
      <c r="B83" s="219" t="s">
        <v>293</v>
      </c>
      <c r="C83" s="234" t="s">
        <v>265</v>
      </c>
      <c r="D83" s="909">
        <v>32514</v>
      </c>
      <c r="E83" s="909">
        <v>4675</v>
      </c>
      <c r="F83" s="241">
        <f t="shared" si="9"/>
        <v>0.14378421603001784</v>
      </c>
      <c r="G83" s="909">
        <v>5804</v>
      </c>
      <c r="H83" s="219">
        <v>1103</v>
      </c>
      <c r="I83" s="241">
        <f t="shared" si="10"/>
        <v>0.19004135079255685</v>
      </c>
      <c r="J83" s="909">
        <v>4367</v>
      </c>
      <c r="K83" s="219">
        <v>760</v>
      </c>
      <c r="L83" s="241">
        <f t="shared" si="11"/>
        <v>0.17403251660178612</v>
      </c>
    </row>
    <row r="84" spans="1:12" x14ac:dyDescent="0.2">
      <c r="A84" s="219" t="s">
        <v>206</v>
      </c>
      <c r="B84" s="219" t="s">
        <v>294</v>
      </c>
      <c r="C84" s="234" t="s">
        <v>267</v>
      </c>
      <c r="D84" s="909">
        <v>123347</v>
      </c>
      <c r="E84" s="909">
        <v>20494</v>
      </c>
      <c r="F84" s="241">
        <f t="shared" si="9"/>
        <v>0.16614915644482639</v>
      </c>
      <c r="G84" s="909">
        <v>25757</v>
      </c>
      <c r="H84" s="909">
        <v>4063</v>
      </c>
      <c r="I84" s="241">
        <f t="shared" si="10"/>
        <v>0.15774352603175837</v>
      </c>
      <c r="J84" s="909">
        <v>18722</v>
      </c>
      <c r="K84" s="909">
        <v>2702</v>
      </c>
      <c r="L84" s="241">
        <f t="shared" si="11"/>
        <v>0.14432218780044867</v>
      </c>
    </row>
    <row r="85" spans="1:12" x14ac:dyDescent="0.2">
      <c r="A85" s="219" t="s">
        <v>208</v>
      </c>
      <c r="B85" s="219" t="s">
        <v>209</v>
      </c>
      <c r="C85" s="234" t="s">
        <v>268</v>
      </c>
      <c r="D85" s="909">
        <v>27085</v>
      </c>
      <c r="E85" s="909">
        <v>4584</v>
      </c>
      <c r="F85" s="241">
        <f t="shared" si="9"/>
        <v>0.16924496954033597</v>
      </c>
      <c r="G85" s="909">
        <v>5233</v>
      </c>
      <c r="H85" s="909">
        <v>1241</v>
      </c>
      <c r="I85" s="241">
        <f t="shared" si="10"/>
        <v>0.23714886298490351</v>
      </c>
      <c r="J85" s="909">
        <v>3902</v>
      </c>
      <c r="K85" s="219">
        <v>870</v>
      </c>
      <c r="L85" s="241">
        <f t="shared" si="11"/>
        <v>0.22296258329062019</v>
      </c>
    </row>
    <row r="86" spans="1:12" x14ac:dyDescent="0.2">
      <c r="A86" s="219" t="s">
        <v>210</v>
      </c>
      <c r="B86" s="219" t="s">
        <v>211</v>
      </c>
      <c r="C86" s="234" t="s">
        <v>268</v>
      </c>
      <c r="D86" s="909">
        <v>21066</v>
      </c>
      <c r="E86" s="909">
        <v>4103</v>
      </c>
      <c r="F86" s="241">
        <f t="shared" si="9"/>
        <v>0.19476882179815816</v>
      </c>
      <c r="G86" s="909">
        <v>3924</v>
      </c>
      <c r="H86" s="909">
        <v>940</v>
      </c>
      <c r="I86" s="241">
        <f t="shared" si="10"/>
        <v>0.23955147808358818</v>
      </c>
      <c r="J86" s="909">
        <v>3030</v>
      </c>
      <c r="K86" s="219">
        <v>655</v>
      </c>
      <c r="L86" s="241">
        <f t="shared" si="11"/>
        <v>0.21617161716171618</v>
      </c>
    </row>
    <row r="87" spans="1:12" x14ac:dyDescent="0.2">
      <c r="A87" s="219" t="s">
        <v>212</v>
      </c>
      <c r="B87" s="219" t="s">
        <v>213</v>
      </c>
      <c r="C87" s="234" t="s">
        <v>267</v>
      </c>
      <c r="D87" s="909">
        <v>42646</v>
      </c>
      <c r="E87" s="909">
        <v>4592</v>
      </c>
      <c r="F87" s="241">
        <f t="shared" si="9"/>
        <v>0.10767715612249683</v>
      </c>
      <c r="G87" s="909">
        <v>9019</v>
      </c>
      <c r="H87" s="909">
        <v>1349</v>
      </c>
      <c r="I87" s="241">
        <f t="shared" si="10"/>
        <v>0.14957312340614259</v>
      </c>
      <c r="J87" s="909">
        <v>6607</v>
      </c>
      <c r="K87" s="909">
        <v>950</v>
      </c>
      <c r="L87" s="241">
        <f t="shared" si="11"/>
        <v>0.14378689268957168</v>
      </c>
    </row>
    <row r="88" spans="1:12" x14ac:dyDescent="0.2">
      <c r="A88" s="219" t="s">
        <v>214</v>
      </c>
      <c r="B88" s="219" t="s">
        <v>215</v>
      </c>
      <c r="C88" s="234" t="s">
        <v>268</v>
      </c>
      <c r="D88" s="909">
        <v>30266</v>
      </c>
      <c r="E88" s="909">
        <v>5485</v>
      </c>
      <c r="F88" s="241">
        <f t="shared" si="9"/>
        <v>0.18122645873257121</v>
      </c>
      <c r="G88" s="909">
        <v>5947</v>
      </c>
      <c r="H88" s="909">
        <v>1442</v>
      </c>
      <c r="I88" s="241">
        <f t="shared" si="10"/>
        <v>0.24247519757861105</v>
      </c>
      <c r="J88" s="909">
        <v>4472</v>
      </c>
      <c r="K88" s="909">
        <v>1003</v>
      </c>
      <c r="L88" s="241">
        <f t="shared" si="11"/>
        <v>0.22428443649373883</v>
      </c>
    </row>
    <row r="89" spans="1:12" x14ac:dyDescent="0.2">
      <c r="A89" s="219" t="s">
        <v>216</v>
      </c>
      <c r="B89" s="219" t="s">
        <v>217</v>
      </c>
      <c r="C89" s="234" t="s">
        <v>264</v>
      </c>
      <c r="D89" s="909">
        <v>16351</v>
      </c>
      <c r="E89" s="909">
        <v>2544</v>
      </c>
      <c r="F89" s="241">
        <f t="shared" si="9"/>
        <v>0.15558681426212465</v>
      </c>
      <c r="G89" s="909">
        <v>3436</v>
      </c>
      <c r="H89" s="219">
        <v>726</v>
      </c>
      <c r="I89" s="241">
        <f t="shared" si="10"/>
        <v>0.21129220023282888</v>
      </c>
      <c r="J89" s="909">
        <v>2601</v>
      </c>
      <c r="K89" s="219">
        <v>517</v>
      </c>
      <c r="L89" s="241">
        <f t="shared" si="11"/>
        <v>0.19876970396001539</v>
      </c>
    </row>
    <row r="90" spans="1:12" x14ac:dyDescent="0.2">
      <c r="A90" s="219" t="s">
        <v>218</v>
      </c>
      <c r="B90" s="219" t="s">
        <v>219</v>
      </c>
      <c r="C90" s="234" t="s">
        <v>267</v>
      </c>
      <c r="D90" s="909">
        <v>131017</v>
      </c>
      <c r="E90" s="909">
        <v>9648</v>
      </c>
      <c r="F90" s="241">
        <f t="shared" si="9"/>
        <v>7.36392987169604E-2</v>
      </c>
      <c r="G90" s="909">
        <v>32660</v>
      </c>
      <c r="H90" s="909">
        <v>3487</v>
      </c>
      <c r="I90" s="241">
        <f t="shared" si="10"/>
        <v>0.10676668707899571</v>
      </c>
      <c r="J90" s="909">
        <v>24456</v>
      </c>
      <c r="K90" s="909">
        <v>2496</v>
      </c>
      <c r="L90" s="241">
        <f t="shared" si="11"/>
        <v>0.10206084396467124</v>
      </c>
    </row>
    <row r="91" spans="1:12" x14ac:dyDescent="0.2">
      <c r="A91" s="219" t="s">
        <v>220</v>
      </c>
      <c r="B91" s="219" t="s">
        <v>221</v>
      </c>
      <c r="C91" s="234" t="s">
        <v>267</v>
      </c>
      <c r="D91" s="909">
        <v>140320</v>
      </c>
      <c r="E91" s="909">
        <v>7935</v>
      </c>
      <c r="F91" s="241">
        <f t="shared" si="9"/>
        <v>5.6549315849486886E-2</v>
      </c>
      <c r="G91" s="909">
        <v>37260</v>
      </c>
      <c r="H91" s="909">
        <v>2594</v>
      </c>
      <c r="I91" s="241">
        <f t="shared" si="10"/>
        <v>6.9618894256575414E-2</v>
      </c>
      <c r="J91" s="909">
        <v>28221</v>
      </c>
      <c r="K91" s="909">
        <v>1756</v>
      </c>
      <c r="L91" s="241">
        <f t="shared" si="11"/>
        <v>6.2223167145033842E-2</v>
      </c>
    </row>
    <row r="92" spans="1:12" x14ac:dyDescent="0.2">
      <c r="A92" s="219" t="s">
        <v>224</v>
      </c>
      <c r="B92" s="219" t="s">
        <v>225</v>
      </c>
      <c r="C92" s="234" t="s">
        <v>264</v>
      </c>
      <c r="D92" s="909">
        <v>6532</v>
      </c>
      <c r="E92" s="219">
        <v>876</v>
      </c>
      <c r="F92" s="241">
        <f t="shared" si="9"/>
        <v>0.13410900183710961</v>
      </c>
      <c r="G92" s="909">
        <v>1139</v>
      </c>
      <c r="H92" s="219">
        <v>248</v>
      </c>
      <c r="I92" s="241">
        <f t="shared" si="10"/>
        <v>0.21773485513608429</v>
      </c>
      <c r="J92" s="909">
        <v>853</v>
      </c>
      <c r="K92" s="219">
        <v>180</v>
      </c>
      <c r="L92" s="241">
        <f t="shared" si="11"/>
        <v>0.21101992966002345</v>
      </c>
    </row>
    <row r="93" spans="1:12" x14ac:dyDescent="0.2">
      <c r="A93" s="219" t="s">
        <v>226</v>
      </c>
      <c r="B93" s="219" t="s">
        <v>227</v>
      </c>
      <c r="C93" s="234" t="s">
        <v>264</v>
      </c>
      <c r="D93" s="909">
        <v>8971</v>
      </c>
      <c r="E93" s="909">
        <v>2070</v>
      </c>
      <c r="F93" s="241">
        <f t="shared" si="9"/>
        <v>0.23074350685542303</v>
      </c>
      <c r="G93" s="909">
        <v>1814</v>
      </c>
      <c r="H93" s="219">
        <v>548</v>
      </c>
      <c r="I93" s="241">
        <f t="shared" si="10"/>
        <v>0.30209481808158767</v>
      </c>
      <c r="J93" s="909">
        <v>1295</v>
      </c>
      <c r="K93" s="219">
        <v>384</v>
      </c>
      <c r="L93" s="241">
        <f t="shared" si="11"/>
        <v>0.29652509652509651</v>
      </c>
    </row>
    <row r="94" spans="1:12" x14ac:dyDescent="0.2">
      <c r="A94" s="219" t="s">
        <v>228</v>
      </c>
      <c r="B94" s="219" t="s">
        <v>229</v>
      </c>
      <c r="C94" s="234" t="s">
        <v>268</v>
      </c>
      <c r="D94" s="909">
        <v>40518</v>
      </c>
      <c r="E94" s="909">
        <v>7281</v>
      </c>
      <c r="F94" s="241">
        <f t="shared" si="9"/>
        <v>0.17969791203909374</v>
      </c>
      <c r="G94" s="909">
        <v>8072</v>
      </c>
      <c r="H94" s="909">
        <v>2004</v>
      </c>
      <c r="I94" s="241">
        <f t="shared" si="10"/>
        <v>0.24826560951437066</v>
      </c>
      <c r="J94" s="909">
        <v>5963</v>
      </c>
      <c r="K94" s="909">
        <v>1421</v>
      </c>
      <c r="L94" s="241">
        <f t="shared" si="11"/>
        <v>0.23830286768405165</v>
      </c>
    </row>
    <row r="95" spans="1:12" x14ac:dyDescent="0.2">
      <c r="A95" s="219" t="s">
        <v>232</v>
      </c>
      <c r="B95" s="219" t="s">
        <v>233</v>
      </c>
      <c r="C95" s="234" t="s">
        <v>267</v>
      </c>
      <c r="D95" s="909">
        <v>38106</v>
      </c>
      <c r="E95" s="909">
        <v>3922</v>
      </c>
      <c r="F95" s="241">
        <f t="shared" si="9"/>
        <v>0.10292342413268252</v>
      </c>
      <c r="G95" s="909">
        <v>8636</v>
      </c>
      <c r="H95" s="909">
        <v>1247</v>
      </c>
      <c r="I95" s="241">
        <f t="shared" si="10"/>
        <v>0.14439555349698935</v>
      </c>
      <c r="J95" s="909">
        <v>6252</v>
      </c>
      <c r="K95" s="219">
        <v>852</v>
      </c>
      <c r="L95" s="241">
        <f t="shared" si="11"/>
        <v>0.1362763915547025</v>
      </c>
    </row>
    <row r="96" spans="1:12" x14ac:dyDescent="0.2">
      <c r="A96" s="219" t="s">
        <v>234</v>
      </c>
      <c r="B96" s="219" t="s">
        <v>235</v>
      </c>
      <c r="C96" s="234" t="s">
        <v>268</v>
      </c>
      <c r="D96" s="909">
        <v>52766</v>
      </c>
      <c r="E96" s="909">
        <v>7744</v>
      </c>
      <c r="F96" s="241">
        <f t="shared" si="9"/>
        <v>0.14676117196679681</v>
      </c>
      <c r="G96" s="909">
        <v>10046</v>
      </c>
      <c r="H96" s="909">
        <v>1900</v>
      </c>
      <c r="I96" s="241">
        <f t="shared" si="10"/>
        <v>0.18913000199084212</v>
      </c>
      <c r="J96" s="909">
        <v>7515</v>
      </c>
      <c r="K96" s="909">
        <v>1318</v>
      </c>
      <c r="L96" s="241">
        <f t="shared" si="11"/>
        <v>0.17538256819693945</v>
      </c>
    </row>
    <row r="97" spans="1:12" x14ac:dyDescent="0.2">
      <c r="A97" s="219" t="s">
        <v>236</v>
      </c>
      <c r="B97" s="219" t="s">
        <v>237</v>
      </c>
      <c r="C97" s="234" t="s">
        <v>266</v>
      </c>
      <c r="D97" s="909">
        <v>17473</v>
      </c>
      <c r="E97" s="909">
        <v>2581</v>
      </c>
      <c r="F97" s="241">
        <f t="shared" si="9"/>
        <v>0.14771361529216506</v>
      </c>
      <c r="G97" s="909">
        <v>3252</v>
      </c>
      <c r="H97" s="219">
        <v>905</v>
      </c>
      <c r="I97" s="241">
        <f t="shared" si="10"/>
        <v>0.27829028290282903</v>
      </c>
      <c r="J97" s="909">
        <v>2312</v>
      </c>
      <c r="K97" s="219">
        <v>648</v>
      </c>
      <c r="L97" s="241">
        <f t="shared" si="11"/>
        <v>0.28027681660899656</v>
      </c>
    </row>
    <row r="98" spans="1:12" x14ac:dyDescent="0.2">
      <c r="A98" s="219" t="s">
        <v>242</v>
      </c>
      <c r="B98" s="219" t="s">
        <v>243</v>
      </c>
      <c r="C98" s="234" t="s">
        <v>268</v>
      </c>
      <c r="D98" s="909">
        <v>36339</v>
      </c>
      <c r="E98" s="909">
        <v>8525</v>
      </c>
      <c r="F98" s="241">
        <f t="shared" si="9"/>
        <v>0.23459643908748176</v>
      </c>
      <c r="G98" s="909">
        <v>7709</v>
      </c>
      <c r="H98" s="909">
        <v>2204</v>
      </c>
      <c r="I98" s="241">
        <f t="shared" si="10"/>
        <v>0.28589959787261643</v>
      </c>
      <c r="J98" s="909">
        <v>5644</v>
      </c>
      <c r="K98" s="909">
        <v>1533</v>
      </c>
      <c r="L98" s="241">
        <f t="shared" si="11"/>
        <v>0.27161587526576897</v>
      </c>
    </row>
    <row r="99" spans="1:12" x14ac:dyDescent="0.2">
      <c r="A99" s="219" t="s">
        <v>244</v>
      </c>
      <c r="B99" s="219" t="s">
        <v>245</v>
      </c>
      <c r="C99" s="234" t="s">
        <v>268</v>
      </c>
      <c r="D99" s="909">
        <v>28704</v>
      </c>
      <c r="E99" s="909">
        <v>4135</v>
      </c>
      <c r="F99" s="241">
        <f t="shared" si="9"/>
        <v>0.14405657748049053</v>
      </c>
      <c r="G99" s="909">
        <v>5725</v>
      </c>
      <c r="H99" s="909">
        <v>1195</v>
      </c>
      <c r="I99" s="241">
        <f t="shared" si="10"/>
        <v>0.20873362445414848</v>
      </c>
      <c r="J99" s="909">
        <v>4197</v>
      </c>
      <c r="K99" s="219">
        <v>850</v>
      </c>
      <c r="L99" s="241">
        <f t="shared" si="11"/>
        <v>0.20252561353347628</v>
      </c>
    </row>
    <row r="100" spans="1:12" x14ac:dyDescent="0.2">
      <c r="A100" s="219" t="s">
        <v>246</v>
      </c>
      <c r="B100" s="219" t="s">
        <v>247</v>
      </c>
      <c r="C100" s="234" t="s">
        <v>264</v>
      </c>
      <c r="D100" s="909">
        <v>79150</v>
      </c>
      <c r="E100" s="909">
        <v>4067</v>
      </c>
      <c r="F100" s="241">
        <f t="shared" si="9"/>
        <v>5.1383449147188884E-2</v>
      </c>
      <c r="G100" s="909">
        <v>19004</v>
      </c>
      <c r="H100" s="909">
        <v>1254</v>
      </c>
      <c r="I100" s="241">
        <f t="shared" si="10"/>
        <v>6.5986108187749942E-2</v>
      </c>
      <c r="J100" s="909">
        <v>14528</v>
      </c>
      <c r="K100" s="219">
        <v>845</v>
      </c>
      <c r="L100" s="241">
        <f t="shared" si="11"/>
        <v>5.8163546255506605E-2</v>
      </c>
    </row>
    <row r="101" spans="1:12" x14ac:dyDescent="0.2">
      <c r="A101" s="219" t="s">
        <v>14</v>
      </c>
      <c r="B101" s="219" t="s">
        <v>15</v>
      </c>
      <c r="C101" s="234" t="s">
        <v>267</v>
      </c>
      <c r="D101" s="909">
        <v>153877</v>
      </c>
      <c r="E101" s="909">
        <v>16096</v>
      </c>
      <c r="F101" s="241">
        <f t="shared" si="9"/>
        <v>0.10460302709306785</v>
      </c>
      <c r="G101" s="909">
        <v>27620</v>
      </c>
      <c r="H101" s="909">
        <v>4535</v>
      </c>
      <c r="I101" s="241">
        <f t="shared" si="10"/>
        <v>0.16419261404779145</v>
      </c>
      <c r="J101" s="909">
        <v>16417</v>
      </c>
      <c r="K101" s="909">
        <v>3166</v>
      </c>
      <c r="L101" s="241">
        <f t="shared" si="11"/>
        <v>0.19284887616495097</v>
      </c>
    </row>
    <row r="102" spans="1:12" x14ac:dyDescent="0.2">
      <c r="A102" s="219" t="s">
        <v>34</v>
      </c>
      <c r="B102" s="219" t="s">
        <v>35</v>
      </c>
      <c r="C102" s="234" t="s">
        <v>268</v>
      </c>
      <c r="D102" s="909">
        <v>16730</v>
      </c>
      <c r="E102" s="909">
        <v>3953</v>
      </c>
      <c r="F102" s="241">
        <f t="shared" ref="F102:F125" si="12">E102/D102</f>
        <v>0.23628212791392708</v>
      </c>
      <c r="G102" s="909">
        <v>3284</v>
      </c>
      <c r="H102" s="909">
        <v>1254</v>
      </c>
      <c r="I102" s="241">
        <f t="shared" ref="I102:I125" si="13">H102/G102</f>
        <v>0.38185140073081608</v>
      </c>
      <c r="J102" s="909">
        <v>2530</v>
      </c>
      <c r="K102" s="219">
        <v>912</v>
      </c>
      <c r="L102" s="241">
        <f t="shared" ref="L102:L125" si="14">K102/J102</f>
        <v>0.36047430830039523</v>
      </c>
    </row>
    <row r="103" spans="1:12" x14ac:dyDescent="0.2">
      <c r="A103" s="219" t="s">
        <v>52</v>
      </c>
      <c r="B103" s="219" t="s">
        <v>53</v>
      </c>
      <c r="C103" s="234" t="s">
        <v>265</v>
      </c>
      <c r="D103" s="909">
        <v>44795</v>
      </c>
      <c r="E103" s="909">
        <v>10235</v>
      </c>
      <c r="F103" s="241">
        <f t="shared" si="12"/>
        <v>0.22848532202254715</v>
      </c>
      <c r="G103" s="909">
        <v>7399</v>
      </c>
      <c r="H103" s="909">
        <v>1464</v>
      </c>
      <c r="I103" s="241">
        <f t="shared" si="13"/>
        <v>0.19786457629409379</v>
      </c>
      <c r="J103" s="909">
        <v>4670</v>
      </c>
      <c r="K103" s="909">
        <v>1015</v>
      </c>
      <c r="L103" s="241">
        <f t="shared" si="14"/>
        <v>0.21734475374732334</v>
      </c>
    </row>
    <row r="104" spans="1:12" x14ac:dyDescent="0.2">
      <c r="A104" s="219" t="s">
        <v>54</v>
      </c>
      <c r="B104" s="219" t="s">
        <v>55</v>
      </c>
      <c r="C104" s="234" t="s">
        <v>264</v>
      </c>
      <c r="D104" s="909">
        <v>233129</v>
      </c>
      <c r="E104" s="909">
        <v>20071</v>
      </c>
      <c r="F104" s="241">
        <f t="shared" si="12"/>
        <v>8.6093965143761608E-2</v>
      </c>
      <c r="G104" s="909">
        <v>56684</v>
      </c>
      <c r="H104" s="909">
        <v>7328</v>
      </c>
      <c r="I104" s="241">
        <f t="shared" si="13"/>
        <v>0.1292781031684426</v>
      </c>
      <c r="J104" s="909">
        <v>41624</v>
      </c>
      <c r="K104" s="909">
        <v>5082</v>
      </c>
      <c r="L104" s="241">
        <f t="shared" si="14"/>
        <v>0.12209302325581395</v>
      </c>
    </row>
    <row r="105" spans="1:12" x14ac:dyDescent="0.2">
      <c r="A105" s="219" t="s">
        <v>66</v>
      </c>
      <c r="B105" s="219" t="s">
        <v>67</v>
      </c>
      <c r="C105" s="234" t="s">
        <v>265</v>
      </c>
      <c r="D105" s="909">
        <v>40306</v>
      </c>
      <c r="E105" s="909">
        <v>9003</v>
      </c>
      <c r="F105" s="241">
        <f t="shared" si="12"/>
        <v>0.22336624820126036</v>
      </c>
      <c r="G105" s="909">
        <v>9161</v>
      </c>
      <c r="H105" s="909">
        <v>3440</v>
      </c>
      <c r="I105" s="241">
        <f t="shared" si="13"/>
        <v>0.3755048575483026</v>
      </c>
      <c r="J105" s="909">
        <v>6479</v>
      </c>
      <c r="K105" s="909">
        <v>2398</v>
      </c>
      <c r="L105" s="241">
        <f t="shared" si="14"/>
        <v>0.37011884550084889</v>
      </c>
    </row>
    <row r="106" spans="1:12" x14ac:dyDescent="0.2">
      <c r="A106" s="219" t="s">
        <v>82</v>
      </c>
      <c r="B106" s="219" t="s">
        <v>83</v>
      </c>
      <c r="C106" s="234" t="s">
        <v>264</v>
      </c>
      <c r="D106" s="909">
        <v>8170</v>
      </c>
      <c r="E106" s="909">
        <v>1491</v>
      </c>
      <c r="F106" s="241">
        <f t="shared" si="12"/>
        <v>0.1824969400244798</v>
      </c>
      <c r="G106" s="909">
        <v>1952</v>
      </c>
      <c r="H106" s="219">
        <v>660</v>
      </c>
      <c r="I106" s="241">
        <f t="shared" si="13"/>
        <v>0.33811475409836067</v>
      </c>
      <c r="J106" s="909">
        <v>1409</v>
      </c>
      <c r="K106" s="219">
        <v>474</v>
      </c>
      <c r="L106" s="241">
        <f t="shared" si="14"/>
        <v>0.33640880056777855</v>
      </c>
    </row>
    <row r="107" spans="1:12" x14ac:dyDescent="0.2">
      <c r="A107" s="219" t="s">
        <v>88</v>
      </c>
      <c r="B107" s="219" t="s">
        <v>89</v>
      </c>
      <c r="C107" s="234" t="s">
        <v>267</v>
      </c>
      <c r="D107" s="909">
        <v>25704</v>
      </c>
      <c r="E107" s="909">
        <v>3755</v>
      </c>
      <c r="F107" s="241">
        <f t="shared" si="12"/>
        <v>0.14608621226268284</v>
      </c>
      <c r="G107" s="909">
        <v>5761</v>
      </c>
      <c r="H107" s="909">
        <v>1164</v>
      </c>
      <c r="I107" s="241">
        <f t="shared" si="13"/>
        <v>0.20204825551119598</v>
      </c>
      <c r="J107" s="909">
        <v>3803</v>
      </c>
      <c r="K107" s="219">
        <v>795</v>
      </c>
      <c r="L107" s="241">
        <f t="shared" si="14"/>
        <v>0.20904549040231396</v>
      </c>
    </row>
    <row r="108" spans="1:12" x14ac:dyDescent="0.2">
      <c r="A108" s="219" t="s">
        <v>90</v>
      </c>
      <c r="B108" s="219" t="s">
        <v>91</v>
      </c>
      <c r="C108" s="234" t="s">
        <v>268</v>
      </c>
      <c r="D108" s="909">
        <v>6469</v>
      </c>
      <c r="E108" s="909">
        <v>1327</v>
      </c>
      <c r="F108" s="241">
        <f t="shared" si="12"/>
        <v>0.20513216880507035</v>
      </c>
      <c r="G108" s="909">
        <v>1494</v>
      </c>
      <c r="H108" s="219">
        <v>512</v>
      </c>
      <c r="I108" s="241">
        <f t="shared" si="13"/>
        <v>0.34270414993306558</v>
      </c>
      <c r="J108" s="909">
        <v>1099</v>
      </c>
      <c r="K108" s="219">
        <v>362</v>
      </c>
      <c r="L108" s="241">
        <f t="shared" si="14"/>
        <v>0.3293903548680619</v>
      </c>
    </row>
    <row r="109" spans="1:12" x14ac:dyDescent="0.2">
      <c r="A109" s="219" t="s">
        <v>106</v>
      </c>
      <c r="B109" s="219" t="s">
        <v>107</v>
      </c>
      <c r="C109" s="234" t="s">
        <v>264</v>
      </c>
      <c r="D109" s="909">
        <v>130575</v>
      </c>
      <c r="E109" s="909">
        <v>21458</v>
      </c>
      <c r="F109" s="241">
        <f t="shared" si="12"/>
        <v>0.16433467355925713</v>
      </c>
      <c r="G109" s="909">
        <v>28393</v>
      </c>
      <c r="H109" s="909">
        <v>6664</v>
      </c>
      <c r="I109" s="241">
        <f t="shared" si="13"/>
        <v>0.23470573732962349</v>
      </c>
      <c r="J109" s="909">
        <v>20162</v>
      </c>
      <c r="K109" s="909">
        <v>4315</v>
      </c>
      <c r="L109" s="241">
        <f t="shared" si="14"/>
        <v>0.21401646662037496</v>
      </c>
    </row>
    <row r="110" spans="1:12" x14ac:dyDescent="0.2">
      <c r="A110" s="219" t="s">
        <v>116</v>
      </c>
      <c r="B110" s="219" t="s">
        <v>117</v>
      </c>
      <c r="C110" s="234" t="s">
        <v>266</v>
      </c>
      <c r="D110" s="909">
        <v>22366</v>
      </c>
      <c r="E110" s="909">
        <v>4630</v>
      </c>
      <c r="F110" s="241">
        <f t="shared" si="12"/>
        <v>0.20701064115174819</v>
      </c>
      <c r="G110" s="909">
        <v>5777</v>
      </c>
      <c r="H110" s="909">
        <v>1789</v>
      </c>
      <c r="I110" s="241">
        <f t="shared" si="13"/>
        <v>0.30967630257919337</v>
      </c>
      <c r="J110" s="909">
        <v>3996</v>
      </c>
      <c r="K110" s="909">
        <v>1219</v>
      </c>
      <c r="L110" s="241">
        <f t="shared" si="14"/>
        <v>0.30505505505505504</v>
      </c>
    </row>
    <row r="111" spans="1:12" x14ac:dyDescent="0.2">
      <c r="A111" s="219" t="s">
        <v>138</v>
      </c>
      <c r="B111" s="219" t="s">
        <v>139</v>
      </c>
      <c r="C111" s="234" t="s">
        <v>265</v>
      </c>
      <c r="D111" s="909">
        <v>69350</v>
      </c>
      <c r="E111" s="909">
        <v>12336</v>
      </c>
      <c r="F111" s="241">
        <f t="shared" si="12"/>
        <v>0.17788031723143474</v>
      </c>
      <c r="G111" s="909">
        <v>15055</v>
      </c>
      <c r="H111" s="909">
        <v>3690</v>
      </c>
      <c r="I111" s="241">
        <f t="shared" si="13"/>
        <v>0.24510129525074725</v>
      </c>
      <c r="J111" s="909">
        <v>10122</v>
      </c>
      <c r="K111" s="909">
        <v>2527</v>
      </c>
      <c r="L111" s="241">
        <f t="shared" si="14"/>
        <v>0.24965421853388658</v>
      </c>
    </row>
    <row r="112" spans="1:12" x14ac:dyDescent="0.2">
      <c r="A112" s="219" t="s">
        <v>142</v>
      </c>
      <c r="B112" s="219" t="s">
        <v>143</v>
      </c>
      <c r="C112" s="234" t="s">
        <v>267</v>
      </c>
      <c r="D112" s="909">
        <v>41157</v>
      </c>
      <c r="E112" s="909">
        <v>3980</v>
      </c>
      <c r="F112" s="241">
        <f t="shared" si="12"/>
        <v>9.6702869499720581E-2</v>
      </c>
      <c r="G112" s="909">
        <v>10696</v>
      </c>
      <c r="H112" s="909">
        <v>1684</v>
      </c>
      <c r="I112" s="241">
        <f t="shared" si="13"/>
        <v>0.15744203440538518</v>
      </c>
      <c r="J112" s="909">
        <v>7317</v>
      </c>
      <c r="K112" s="909">
        <v>1111</v>
      </c>
      <c r="L112" s="241">
        <f t="shared" si="14"/>
        <v>0.15183818504851715</v>
      </c>
    </row>
    <row r="113" spans="1:12" x14ac:dyDescent="0.2">
      <c r="A113" s="219" t="s">
        <v>144</v>
      </c>
      <c r="B113" s="219" t="s">
        <v>145</v>
      </c>
      <c r="C113" s="234" t="s">
        <v>267</v>
      </c>
      <c r="D113" s="909">
        <v>15819</v>
      </c>
      <c r="E113" s="909">
        <v>1231</v>
      </c>
      <c r="F113" s="241">
        <f t="shared" si="12"/>
        <v>7.7817814021113846E-2</v>
      </c>
      <c r="G113" s="909">
        <v>3997</v>
      </c>
      <c r="H113" s="219">
        <v>512</v>
      </c>
      <c r="I113" s="241">
        <f t="shared" si="13"/>
        <v>0.12809607205404053</v>
      </c>
      <c r="J113" s="909">
        <v>3088</v>
      </c>
      <c r="K113" s="219">
        <v>344</v>
      </c>
      <c r="L113" s="241">
        <f t="shared" si="14"/>
        <v>0.11139896373056994</v>
      </c>
    </row>
    <row r="114" spans="1:12" x14ac:dyDescent="0.2">
      <c r="A114" s="219" t="s">
        <v>158</v>
      </c>
      <c r="B114" s="219" t="s">
        <v>159</v>
      </c>
      <c r="C114" s="234" t="s">
        <v>264</v>
      </c>
      <c r="D114" s="909">
        <v>173205</v>
      </c>
      <c r="E114" s="909">
        <v>25395</v>
      </c>
      <c r="F114" s="241">
        <f t="shared" si="12"/>
        <v>0.1466181692214428</v>
      </c>
      <c r="G114" s="909">
        <v>41363</v>
      </c>
      <c r="H114" s="909">
        <v>8730</v>
      </c>
      <c r="I114" s="241">
        <f t="shared" si="13"/>
        <v>0.21105819210405435</v>
      </c>
      <c r="J114" s="909">
        <v>28311</v>
      </c>
      <c r="K114" s="909">
        <v>6455</v>
      </c>
      <c r="L114" s="241">
        <f t="shared" si="14"/>
        <v>0.22800324962028892</v>
      </c>
    </row>
    <row r="115" spans="1:12" x14ac:dyDescent="0.2">
      <c r="A115" s="219" t="s">
        <v>160</v>
      </c>
      <c r="B115" s="219" t="s">
        <v>161</v>
      </c>
      <c r="C115" s="234" t="s">
        <v>264</v>
      </c>
      <c r="D115" s="909">
        <v>212078</v>
      </c>
      <c r="E115" s="909">
        <v>45219</v>
      </c>
      <c r="F115" s="241">
        <f t="shared" si="12"/>
        <v>0.21321872141381945</v>
      </c>
      <c r="G115" s="909">
        <v>48044</v>
      </c>
      <c r="H115" s="909">
        <v>14999</v>
      </c>
      <c r="I115" s="241">
        <f t="shared" si="13"/>
        <v>0.31219298975938725</v>
      </c>
      <c r="J115" s="909">
        <v>31879</v>
      </c>
      <c r="K115" s="909">
        <v>10118</v>
      </c>
      <c r="L115" s="241">
        <f t="shared" si="14"/>
        <v>0.31738762194548137</v>
      </c>
    </row>
    <row r="116" spans="1:12" x14ac:dyDescent="0.2">
      <c r="A116" s="219" t="s">
        <v>166</v>
      </c>
      <c r="B116" s="219" t="s">
        <v>167</v>
      </c>
      <c r="C116" s="234" t="s">
        <v>268</v>
      </c>
      <c r="D116" s="909">
        <v>3802</v>
      </c>
      <c r="E116" s="219">
        <v>875</v>
      </c>
      <c r="F116" s="241">
        <f t="shared" si="12"/>
        <v>0.23014203051025775</v>
      </c>
      <c r="G116" s="219">
        <v>778</v>
      </c>
      <c r="H116" s="219">
        <v>263</v>
      </c>
      <c r="I116" s="241">
        <f t="shared" si="13"/>
        <v>0.33804627249357327</v>
      </c>
      <c r="J116" s="219">
        <v>585</v>
      </c>
      <c r="K116" s="219">
        <v>181</v>
      </c>
      <c r="L116" s="241">
        <f t="shared" si="14"/>
        <v>0.30940170940170941</v>
      </c>
    </row>
    <row r="117" spans="1:12" x14ac:dyDescent="0.2">
      <c r="A117" s="219" t="s">
        <v>176</v>
      </c>
      <c r="B117" s="219" t="s">
        <v>177</v>
      </c>
      <c r="C117" s="234" t="s">
        <v>266</v>
      </c>
      <c r="D117" s="909">
        <v>31331</v>
      </c>
      <c r="E117" s="909">
        <v>7884</v>
      </c>
      <c r="F117" s="241">
        <f t="shared" si="12"/>
        <v>0.25163576010979544</v>
      </c>
      <c r="G117" s="909">
        <v>6626</v>
      </c>
      <c r="H117" s="909">
        <v>2434</v>
      </c>
      <c r="I117" s="241">
        <f t="shared" si="13"/>
        <v>0.36734077875037729</v>
      </c>
      <c r="J117" s="909">
        <v>4156</v>
      </c>
      <c r="K117" s="909">
        <v>1771</v>
      </c>
      <c r="L117" s="241">
        <f t="shared" si="14"/>
        <v>0.42613089509143409</v>
      </c>
    </row>
    <row r="118" spans="1:12" x14ac:dyDescent="0.2">
      <c r="A118" s="219" t="s">
        <v>180</v>
      </c>
      <c r="B118" s="219" t="s">
        <v>181</v>
      </c>
      <c r="C118" s="234" t="s">
        <v>264</v>
      </c>
      <c r="D118" s="909">
        <v>91935</v>
      </c>
      <c r="E118" s="909">
        <v>16775</v>
      </c>
      <c r="F118" s="241">
        <f t="shared" si="12"/>
        <v>0.1824658726273998</v>
      </c>
      <c r="G118" s="909">
        <v>21742</v>
      </c>
      <c r="H118" s="909">
        <v>6539</v>
      </c>
      <c r="I118" s="241">
        <f t="shared" si="13"/>
        <v>0.30075430043234291</v>
      </c>
      <c r="J118" s="909">
        <v>14753</v>
      </c>
      <c r="K118" s="909">
        <v>4503</v>
      </c>
      <c r="L118" s="241">
        <f t="shared" si="14"/>
        <v>0.30522605571748118</v>
      </c>
    </row>
    <row r="119" spans="1:12" x14ac:dyDescent="0.2">
      <c r="A119" s="219" t="s">
        <v>192</v>
      </c>
      <c r="B119" s="219" t="s">
        <v>193</v>
      </c>
      <c r="C119" s="234" t="s">
        <v>268</v>
      </c>
      <c r="D119" s="909">
        <v>14478</v>
      </c>
      <c r="E119" s="909">
        <v>3931</v>
      </c>
      <c r="F119" s="241">
        <f t="shared" si="12"/>
        <v>0.27151540267992819</v>
      </c>
      <c r="G119" s="909">
        <v>2234</v>
      </c>
      <c r="H119" s="219">
        <v>427</v>
      </c>
      <c r="I119" s="241">
        <f t="shared" si="13"/>
        <v>0.19113697403760072</v>
      </c>
      <c r="J119" s="909">
        <v>1579</v>
      </c>
      <c r="K119" s="219">
        <v>288</v>
      </c>
      <c r="L119" s="241">
        <f t="shared" si="14"/>
        <v>0.1823939202026599</v>
      </c>
    </row>
    <row r="120" spans="1:12" x14ac:dyDescent="0.2">
      <c r="A120" s="219" t="s">
        <v>196</v>
      </c>
      <c r="B120" s="219" t="s">
        <v>197</v>
      </c>
      <c r="C120" s="234" t="s">
        <v>266</v>
      </c>
      <c r="D120" s="909">
        <v>210366</v>
      </c>
      <c r="E120" s="909">
        <v>55062</v>
      </c>
      <c r="F120" s="241">
        <f t="shared" si="12"/>
        <v>0.26174381791734408</v>
      </c>
      <c r="G120" s="909">
        <v>39257</v>
      </c>
      <c r="H120" s="909">
        <v>15255</v>
      </c>
      <c r="I120" s="241">
        <f t="shared" si="13"/>
        <v>0.38859311715108136</v>
      </c>
      <c r="J120" s="909">
        <v>26052</v>
      </c>
      <c r="K120" s="909">
        <v>10496</v>
      </c>
      <c r="L120" s="241">
        <f t="shared" si="14"/>
        <v>0.40288653462306157</v>
      </c>
    </row>
    <row r="121" spans="1:12" x14ac:dyDescent="0.2">
      <c r="A121" s="219" t="s">
        <v>200</v>
      </c>
      <c r="B121" s="219" t="s">
        <v>201</v>
      </c>
      <c r="C121" s="234" t="s">
        <v>265</v>
      </c>
      <c r="D121" s="909">
        <v>98006</v>
      </c>
      <c r="E121" s="909">
        <v>21886</v>
      </c>
      <c r="F121" s="241">
        <f t="shared" si="12"/>
        <v>0.2233128583964247</v>
      </c>
      <c r="G121" s="909">
        <v>21636</v>
      </c>
      <c r="H121" s="909">
        <v>6624</v>
      </c>
      <c r="I121" s="241">
        <f t="shared" si="13"/>
        <v>0.30615640599001664</v>
      </c>
      <c r="J121" s="909">
        <v>14718</v>
      </c>
      <c r="K121" s="909">
        <v>4655</v>
      </c>
      <c r="L121" s="241">
        <f t="shared" si="14"/>
        <v>0.31627938578611225</v>
      </c>
    </row>
    <row r="122" spans="1:12" x14ac:dyDescent="0.2">
      <c r="A122" s="219" t="s">
        <v>222</v>
      </c>
      <c r="B122" s="219" t="s">
        <v>223</v>
      </c>
      <c r="C122" s="234" t="s">
        <v>264</v>
      </c>
      <c r="D122" s="909">
        <v>87934</v>
      </c>
      <c r="E122" s="909">
        <v>10303</v>
      </c>
      <c r="F122" s="241">
        <f t="shared" si="12"/>
        <v>0.11716742102031069</v>
      </c>
      <c r="G122" s="909">
        <v>21722</v>
      </c>
      <c r="H122" s="909">
        <v>3649</v>
      </c>
      <c r="I122" s="241">
        <f t="shared" si="13"/>
        <v>0.16798637326213056</v>
      </c>
      <c r="J122" s="909">
        <v>15782</v>
      </c>
      <c r="K122" s="909">
        <v>2540</v>
      </c>
      <c r="L122" s="241">
        <f t="shared" si="14"/>
        <v>0.16094284628057282</v>
      </c>
    </row>
    <row r="123" spans="1:12" x14ac:dyDescent="0.2">
      <c r="A123" s="219" t="s">
        <v>230</v>
      </c>
      <c r="B123" s="219" t="s">
        <v>231</v>
      </c>
      <c r="C123" s="234" t="s">
        <v>264</v>
      </c>
      <c r="D123" s="909">
        <v>442150</v>
      </c>
      <c r="E123" s="909">
        <v>36494</v>
      </c>
      <c r="F123" s="241">
        <f t="shared" si="12"/>
        <v>8.2537600361868149E-2</v>
      </c>
      <c r="G123" s="909">
        <v>100136</v>
      </c>
      <c r="H123" s="909">
        <v>11559</v>
      </c>
      <c r="I123" s="241">
        <f t="shared" si="13"/>
        <v>0.11543301110489734</v>
      </c>
      <c r="J123" s="909">
        <v>71088</v>
      </c>
      <c r="K123" s="909">
        <v>7721</v>
      </c>
      <c r="L123" s="241">
        <f t="shared" si="14"/>
        <v>0.10861186135494036</v>
      </c>
    </row>
    <row r="124" spans="1:12" x14ac:dyDescent="0.2">
      <c r="A124" s="219" t="s">
        <v>238</v>
      </c>
      <c r="B124" s="219" t="s">
        <v>239</v>
      </c>
      <c r="C124" s="234" t="s">
        <v>264</v>
      </c>
      <c r="D124" s="909">
        <v>10780</v>
      </c>
      <c r="E124" s="909">
        <v>2275</v>
      </c>
      <c r="F124" s="241">
        <f t="shared" si="12"/>
        <v>0.21103896103896103</v>
      </c>
      <c r="G124" s="909">
        <v>1644</v>
      </c>
      <c r="H124" s="219">
        <v>379</v>
      </c>
      <c r="I124" s="241">
        <f t="shared" si="13"/>
        <v>0.23053527980535279</v>
      </c>
      <c r="J124" s="909">
        <v>1140</v>
      </c>
      <c r="K124" s="219">
        <v>256</v>
      </c>
      <c r="L124" s="241">
        <f t="shared" si="14"/>
        <v>0.22456140350877193</v>
      </c>
    </row>
    <row r="125" spans="1:12" x14ac:dyDescent="0.2">
      <c r="A125" s="219" t="s">
        <v>240</v>
      </c>
      <c r="B125" s="219" t="s">
        <v>241</v>
      </c>
      <c r="C125" s="234" t="s">
        <v>267</v>
      </c>
      <c r="D125" s="909">
        <v>26498</v>
      </c>
      <c r="E125" s="909">
        <v>3966</v>
      </c>
      <c r="F125" s="241">
        <f t="shared" si="12"/>
        <v>0.14967167333383652</v>
      </c>
      <c r="G125" s="909">
        <v>5954</v>
      </c>
      <c r="H125" s="909">
        <v>1312</v>
      </c>
      <c r="I125" s="241">
        <f t="shared" si="13"/>
        <v>0.22035606315082298</v>
      </c>
      <c r="J125" s="909">
        <v>4199</v>
      </c>
      <c r="K125" s="219">
        <v>851</v>
      </c>
      <c r="L125" s="241">
        <f t="shared" si="14"/>
        <v>0.20266730173850916</v>
      </c>
    </row>
    <row r="127" spans="1:12" x14ac:dyDescent="0.2">
      <c r="A127" s="219" t="s">
        <v>266</v>
      </c>
      <c r="D127" s="240">
        <v>1344878</v>
      </c>
      <c r="E127" s="240">
        <v>165878</v>
      </c>
      <c r="F127" s="241">
        <f t="shared" ref="F127:F131" si="15">E127/D127</f>
        <v>0.12334055579762625</v>
      </c>
      <c r="G127" s="1176">
        <v>293521</v>
      </c>
      <c r="H127" s="240">
        <v>48691</v>
      </c>
      <c r="I127" s="241">
        <f t="shared" ref="I127:I131" si="16">H127/G127</f>
        <v>0.16588591616954154</v>
      </c>
      <c r="J127" s="1176">
        <v>213576</v>
      </c>
      <c r="K127" s="240">
        <v>34173</v>
      </c>
      <c r="L127" s="241">
        <f t="shared" ref="L127:L131" si="17">K127/J127</f>
        <v>0.16000393302618271</v>
      </c>
    </row>
    <row r="128" spans="1:12" x14ac:dyDescent="0.2">
      <c r="A128" s="219" t="s">
        <v>264</v>
      </c>
      <c r="D128" s="240">
        <v>1788985</v>
      </c>
      <c r="E128" s="240">
        <v>223754</v>
      </c>
      <c r="F128" s="241">
        <f t="shared" si="15"/>
        <v>0.12507315600745675</v>
      </c>
      <c r="G128" s="1176">
        <v>406994</v>
      </c>
      <c r="H128" s="240">
        <v>73474</v>
      </c>
      <c r="I128" s="241">
        <f t="shared" si="16"/>
        <v>0.18052845987901542</v>
      </c>
      <c r="J128" s="1176">
        <v>290001</v>
      </c>
      <c r="K128" s="240">
        <v>50520</v>
      </c>
      <c r="L128" s="241">
        <f t="shared" si="17"/>
        <v>0.17420629584035918</v>
      </c>
    </row>
    <row r="129" spans="1:12" x14ac:dyDescent="0.2">
      <c r="A129" s="219" t="s">
        <v>267</v>
      </c>
      <c r="D129" s="240">
        <v>3336570</v>
      </c>
      <c r="E129" s="240">
        <v>241806</v>
      </c>
      <c r="F129" s="241">
        <f t="shared" si="15"/>
        <v>7.2471430241235757E-2</v>
      </c>
      <c r="G129" s="1176">
        <v>801678</v>
      </c>
      <c r="H129" s="240">
        <v>70908</v>
      </c>
      <c r="I129" s="241">
        <f t="shared" si="16"/>
        <v>8.844947722152785E-2</v>
      </c>
      <c r="J129" s="1176">
        <v>580221</v>
      </c>
      <c r="K129" s="240">
        <v>48153</v>
      </c>
      <c r="L129" s="241">
        <f t="shared" si="17"/>
        <v>8.2990791439813444E-2</v>
      </c>
    </row>
    <row r="130" spans="1:12" x14ac:dyDescent="0.2">
      <c r="A130" s="219" t="s">
        <v>265</v>
      </c>
      <c r="D130" s="240">
        <v>1130179</v>
      </c>
      <c r="E130" s="240">
        <v>159905</v>
      </c>
      <c r="F130" s="241">
        <f t="shared" si="15"/>
        <v>0.14148643710421094</v>
      </c>
      <c r="G130" s="1176">
        <v>229514</v>
      </c>
      <c r="H130" s="240">
        <v>45082</v>
      </c>
      <c r="I130" s="241">
        <f t="shared" si="16"/>
        <v>0.19642374757095427</v>
      </c>
      <c r="J130" s="1176">
        <v>168222</v>
      </c>
      <c r="K130" s="240">
        <v>31063</v>
      </c>
      <c r="L130" s="241">
        <f t="shared" si="17"/>
        <v>0.18465480139339682</v>
      </c>
    </row>
    <row r="131" spans="1:12" x14ac:dyDescent="0.2">
      <c r="A131" s="219" t="s">
        <v>268</v>
      </c>
      <c r="D131" s="240">
        <v>557594</v>
      </c>
      <c r="E131" s="240">
        <v>105896</v>
      </c>
      <c r="F131" s="241">
        <f t="shared" si="15"/>
        <v>0.1899159603582535</v>
      </c>
      <c r="G131" s="1176">
        <v>105993</v>
      </c>
      <c r="H131" s="240">
        <v>24481</v>
      </c>
      <c r="I131" s="241">
        <f t="shared" si="16"/>
        <v>0.23096808279792061</v>
      </c>
      <c r="J131" s="1176">
        <v>78290</v>
      </c>
      <c r="K131" s="240">
        <v>17044</v>
      </c>
      <c r="L131" s="241">
        <f t="shared" si="17"/>
        <v>0.21770341039724103</v>
      </c>
    </row>
    <row r="134" spans="1:12" x14ac:dyDescent="0.2">
      <c r="B134" s="219" t="s">
        <v>1209</v>
      </c>
    </row>
  </sheetData>
  <autoFilter ref="A4:C125"/>
  <sortState ref="A6:L125">
    <sortCondition ref="A6:A125"/>
  </sortState>
  <mergeCells count="3">
    <mergeCell ref="D3:F3"/>
    <mergeCell ref="G3:I3"/>
    <mergeCell ref="J3:L3"/>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33"/>
  <sheetViews>
    <sheetView workbookViewId="0">
      <pane xSplit="3" ySplit="6" topLeftCell="O7" activePane="bottomRight" state="frozen"/>
      <selection pane="topRight" activeCell="E1" sqref="E1"/>
      <selection pane="bottomLeft" activeCell="A7" sqref="A7"/>
      <selection pane="bottomRight" activeCell="K131" sqref="K131"/>
    </sheetView>
  </sheetViews>
  <sheetFormatPr defaultRowHeight="15.75" x14ac:dyDescent="0.25"/>
  <cols>
    <col min="1" max="1" width="6.125" style="265" bestFit="1" customWidth="1"/>
    <col min="2" max="2" width="26.375" style="709" customWidth="1"/>
    <col min="3" max="3" width="10.375" style="709" customWidth="1"/>
    <col min="4" max="15" width="8.625" style="265" customWidth="1"/>
    <col min="16" max="19" width="9.875" style="265" customWidth="1"/>
    <col min="20" max="20" width="16.125" style="265" customWidth="1"/>
    <col min="21" max="21" width="2.375" style="265" customWidth="1"/>
    <col min="22" max="22" width="2.5" style="265" customWidth="1"/>
    <col min="23" max="16384" width="9" style="265"/>
  </cols>
  <sheetData>
    <row r="1" spans="1:26" x14ac:dyDescent="0.25">
      <c r="A1" s="64" t="s">
        <v>1256</v>
      </c>
      <c r="B1" s="265"/>
      <c r="C1" s="265"/>
    </row>
    <row r="3" spans="1:26" x14ac:dyDescent="0.25">
      <c r="B3" s="265"/>
      <c r="C3" s="265"/>
    </row>
    <row r="4" spans="1:26" ht="15.75" customHeight="1" x14ac:dyDescent="0.25">
      <c r="D4" s="2797" t="s">
        <v>636</v>
      </c>
      <c r="E4" s="2799"/>
      <c r="F4" s="2799"/>
      <c r="G4" s="2800"/>
      <c r="H4" s="2797" t="s">
        <v>652</v>
      </c>
      <c r="I4" s="2799"/>
      <c r="J4" s="2799"/>
      <c r="K4" s="2800"/>
      <c r="L4" s="2797" t="s">
        <v>653</v>
      </c>
      <c r="M4" s="2799"/>
      <c r="N4" s="2799"/>
      <c r="O4" s="2800"/>
      <c r="P4" s="2801" t="s">
        <v>706</v>
      </c>
      <c r="Q4" s="2804" t="s">
        <v>823</v>
      </c>
      <c r="R4" s="2805"/>
      <c r="S4" s="2806"/>
      <c r="T4" s="2803" t="s">
        <v>707</v>
      </c>
      <c r="W4" s="2797" t="s">
        <v>654</v>
      </c>
      <c r="X4" s="2798"/>
      <c r="Y4" s="2799"/>
      <c r="Z4" s="2800"/>
    </row>
    <row r="5" spans="1:26" x14ac:dyDescent="0.25">
      <c r="A5" s="710" t="s">
        <v>4</v>
      </c>
      <c r="B5" s="711" t="s">
        <v>644</v>
      </c>
      <c r="C5" s="711" t="s">
        <v>251</v>
      </c>
      <c r="D5" s="694" t="s">
        <v>820</v>
      </c>
      <c r="E5" s="695" t="s">
        <v>821</v>
      </c>
      <c r="F5" s="695" t="s">
        <v>787</v>
      </c>
      <c r="G5" s="696" t="s">
        <v>634</v>
      </c>
      <c r="H5" s="694" t="s">
        <v>820</v>
      </c>
      <c r="I5" s="695" t="s">
        <v>821</v>
      </c>
      <c r="J5" s="695" t="s">
        <v>787</v>
      </c>
      <c r="K5" s="373" t="s">
        <v>634</v>
      </c>
      <c r="L5" s="694" t="s">
        <v>820</v>
      </c>
      <c r="M5" s="695" t="s">
        <v>821</v>
      </c>
      <c r="N5" s="695" t="s">
        <v>787</v>
      </c>
      <c r="O5" s="373" t="s">
        <v>634</v>
      </c>
      <c r="P5" s="2802"/>
      <c r="Q5" s="896" t="s">
        <v>820</v>
      </c>
      <c r="R5" s="896" t="s">
        <v>821</v>
      </c>
      <c r="S5" s="896" t="s">
        <v>787</v>
      </c>
      <c r="T5" s="2803"/>
      <c r="W5" s="697" t="s">
        <v>820</v>
      </c>
      <c r="X5" s="698" t="s">
        <v>821</v>
      </c>
      <c r="Y5" s="699" t="s">
        <v>787</v>
      </c>
      <c r="Z5" s="700" t="s">
        <v>281</v>
      </c>
    </row>
    <row r="6" spans="1:26" x14ac:dyDescent="0.25">
      <c r="A6" s="712" t="s">
        <v>8</v>
      </c>
      <c r="B6" s="713" t="s">
        <v>9</v>
      </c>
      <c r="C6" s="713"/>
      <c r="D6" s="731">
        <f>SUM(D7:D126)</f>
        <v>5615</v>
      </c>
      <c r="E6" s="732">
        <f t="shared" ref="E6:J6" si="0">SUM(E7:E126)</f>
        <v>2778</v>
      </c>
      <c r="F6" s="732">
        <f t="shared" si="0"/>
        <v>375</v>
      </c>
      <c r="G6" s="733">
        <f t="shared" ref="G6:G37" si="1">SUM(D6:F6)</f>
        <v>8768</v>
      </c>
      <c r="H6" s="732">
        <f t="shared" si="0"/>
        <v>1368</v>
      </c>
      <c r="I6" s="732">
        <f t="shared" si="0"/>
        <v>676</v>
      </c>
      <c r="J6" s="732">
        <f t="shared" si="0"/>
        <v>127</v>
      </c>
      <c r="K6" s="733">
        <f t="shared" ref="K6:K37" si="2">SUM(H6:J6)</f>
        <v>2171</v>
      </c>
      <c r="L6" s="734">
        <f>SUM(L7:L126)</f>
        <v>23</v>
      </c>
      <c r="M6" s="735">
        <f>SUM(M7:M126)</f>
        <v>16</v>
      </c>
      <c r="N6" s="735">
        <f>SUM(N7:N126)</f>
        <v>1</v>
      </c>
      <c r="O6" s="736">
        <f t="shared" ref="O6:O37" si="3">SUM(L6:N6)</f>
        <v>40</v>
      </c>
      <c r="P6" s="737">
        <f t="shared" ref="P6:P37" si="4">G6+K6+O6</f>
        <v>10979</v>
      </c>
      <c r="Q6" s="737">
        <f>D6+H6</f>
        <v>6983</v>
      </c>
      <c r="R6" s="737">
        <f>E6+I6</f>
        <v>3454</v>
      </c>
      <c r="S6" s="737">
        <f>F6+J6</f>
        <v>502</v>
      </c>
      <c r="T6" s="737">
        <f>G6+K6</f>
        <v>10939</v>
      </c>
      <c r="W6" s="729">
        <f>IF((D6+H6)=0,"NA",(H6/(D6+H6)))</f>
        <v>0.19590433910926536</v>
      </c>
      <c r="X6" s="729">
        <f>IF((E6+I6)=0,"NA",(I6/(E6+I6)))</f>
        <v>0.19571511291256513</v>
      </c>
      <c r="Y6" s="729">
        <f>IF((F6+J6)=0,"NA",(J6/(F6+J6)))</f>
        <v>0.25298804780876494</v>
      </c>
      <c r="Z6" s="730">
        <f>IF((G6+K6)=0,"NA",(K6/(G6+K6)))</f>
        <v>0.19846421062254319</v>
      </c>
    </row>
    <row r="7" spans="1:26" x14ac:dyDescent="0.25">
      <c r="A7" s="497" t="s">
        <v>10</v>
      </c>
      <c r="B7" s="432" t="s">
        <v>11</v>
      </c>
      <c r="C7" s="458" t="s">
        <v>264</v>
      </c>
      <c r="D7" s="714">
        <v>34</v>
      </c>
      <c r="E7" s="715">
        <v>18</v>
      </c>
      <c r="F7" s="715"/>
      <c r="G7" s="311">
        <f t="shared" si="1"/>
        <v>52</v>
      </c>
      <c r="H7" s="714">
        <v>12</v>
      </c>
      <c r="I7" s="715">
        <v>8</v>
      </c>
      <c r="J7" s="715">
        <v>2</v>
      </c>
      <c r="K7" s="311">
        <f t="shared" si="2"/>
        <v>22</v>
      </c>
      <c r="L7" s="714"/>
      <c r="M7" s="715"/>
      <c r="N7" s="715"/>
      <c r="O7" s="311">
        <f t="shared" si="3"/>
        <v>0</v>
      </c>
      <c r="P7" s="716">
        <f t="shared" si="4"/>
        <v>74</v>
      </c>
      <c r="Q7" s="897">
        <f t="shared" ref="Q7:Q70" si="5">D7+H7</f>
        <v>46</v>
      </c>
      <c r="R7" s="897">
        <f t="shared" ref="R7:R70" si="6">E7+I7</f>
        <v>26</v>
      </c>
      <c r="S7" s="897">
        <f t="shared" ref="S7:S70" si="7">F7+J7</f>
        <v>2</v>
      </c>
      <c r="T7" s="716">
        <f t="shared" ref="T7:T38" si="8">G7+K7</f>
        <v>74</v>
      </c>
      <c r="W7" s="717">
        <f t="shared" ref="W7:W70" si="9">IF((D7+H7)=0,"NA",(H7/(D7+H7)))</f>
        <v>0.2608695652173913</v>
      </c>
      <c r="X7" s="718">
        <f t="shared" ref="X7:X70" si="10">IF((E7+I7)=0,"NA",(I7/(E7+I7)))</f>
        <v>0.30769230769230771</v>
      </c>
      <c r="Y7" s="719">
        <f t="shared" ref="Y7:Y70" si="11">IF((F7+J7)=0,"NA",(J7/(F7+J7)))</f>
        <v>1</v>
      </c>
      <c r="Z7" s="720">
        <f t="shared" ref="Z7:Z70" si="12">IF((G7+K7)=0,"NA",(K7/(G7+K7)))</f>
        <v>0.29729729729729731</v>
      </c>
    </row>
    <row r="8" spans="1:26" x14ac:dyDescent="0.25">
      <c r="A8" s="497" t="s">
        <v>12</v>
      </c>
      <c r="B8" s="432" t="s">
        <v>13</v>
      </c>
      <c r="C8" s="458" t="s">
        <v>265</v>
      </c>
      <c r="D8" s="714">
        <v>75</v>
      </c>
      <c r="E8" s="715">
        <v>41</v>
      </c>
      <c r="F8" s="715">
        <v>8</v>
      </c>
      <c r="G8" s="311">
        <f t="shared" si="1"/>
        <v>124</v>
      </c>
      <c r="H8" s="714">
        <v>11</v>
      </c>
      <c r="I8" s="715">
        <v>1</v>
      </c>
      <c r="J8" s="715">
        <v>3</v>
      </c>
      <c r="K8" s="311">
        <f t="shared" si="2"/>
        <v>15</v>
      </c>
      <c r="L8" s="714"/>
      <c r="M8" s="715"/>
      <c r="N8" s="715"/>
      <c r="O8" s="311">
        <f t="shared" si="3"/>
        <v>0</v>
      </c>
      <c r="P8" s="716">
        <f t="shared" si="4"/>
        <v>139</v>
      </c>
      <c r="Q8" s="897">
        <f t="shared" si="5"/>
        <v>86</v>
      </c>
      <c r="R8" s="897">
        <f t="shared" si="6"/>
        <v>42</v>
      </c>
      <c r="S8" s="897">
        <f t="shared" si="7"/>
        <v>11</v>
      </c>
      <c r="T8" s="716">
        <f t="shared" si="8"/>
        <v>139</v>
      </c>
      <c r="W8" s="717">
        <f t="shared" si="9"/>
        <v>0.12790697674418605</v>
      </c>
      <c r="X8" s="718">
        <f t="shared" si="10"/>
        <v>2.3809523809523808E-2</v>
      </c>
      <c r="Y8" s="719">
        <f t="shared" si="11"/>
        <v>0.27272727272727271</v>
      </c>
      <c r="Z8" s="720">
        <f t="shared" si="12"/>
        <v>0.1079136690647482</v>
      </c>
    </row>
    <row r="9" spans="1:26" x14ac:dyDescent="0.25">
      <c r="A9" s="497" t="s">
        <v>16</v>
      </c>
      <c r="B9" s="432" t="s">
        <v>297</v>
      </c>
      <c r="C9" s="458" t="s">
        <v>265</v>
      </c>
      <c r="D9" s="714">
        <v>22</v>
      </c>
      <c r="E9" s="715">
        <v>9</v>
      </c>
      <c r="F9" s="715"/>
      <c r="G9" s="311">
        <f t="shared" si="1"/>
        <v>31</v>
      </c>
      <c r="H9" s="714">
        <v>18</v>
      </c>
      <c r="I9" s="715">
        <v>10</v>
      </c>
      <c r="J9" s="715"/>
      <c r="K9" s="311">
        <f t="shared" si="2"/>
        <v>28</v>
      </c>
      <c r="L9" s="714">
        <v>1</v>
      </c>
      <c r="M9" s="715"/>
      <c r="N9" s="715"/>
      <c r="O9" s="311">
        <f t="shared" si="3"/>
        <v>1</v>
      </c>
      <c r="P9" s="716">
        <f t="shared" si="4"/>
        <v>60</v>
      </c>
      <c r="Q9" s="897">
        <f t="shared" si="5"/>
        <v>40</v>
      </c>
      <c r="R9" s="897">
        <f t="shared" si="6"/>
        <v>19</v>
      </c>
      <c r="S9" s="897">
        <f t="shared" si="7"/>
        <v>0</v>
      </c>
      <c r="T9" s="716">
        <f t="shared" si="8"/>
        <v>59</v>
      </c>
      <c r="W9" s="717">
        <f t="shared" si="9"/>
        <v>0.45</v>
      </c>
      <c r="X9" s="718">
        <f t="shared" si="10"/>
        <v>0.52631578947368418</v>
      </c>
      <c r="Y9" s="719" t="str">
        <f t="shared" si="11"/>
        <v>NA</v>
      </c>
      <c r="Z9" s="720">
        <f t="shared" si="12"/>
        <v>0.47457627118644069</v>
      </c>
    </row>
    <row r="10" spans="1:26" x14ac:dyDescent="0.25">
      <c r="A10" s="497" t="s">
        <v>18</v>
      </c>
      <c r="B10" s="432" t="s">
        <v>19</v>
      </c>
      <c r="C10" s="458" t="s">
        <v>266</v>
      </c>
      <c r="D10" s="714">
        <v>10</v>
      </c>
      <c r="E10" s="715">
        <v>6</v>
      </c>
      <c r="F10" s="715"/>
      <c r="G10" s="311">
        <f t="shared" si="1"/>
        <v>16</v>
      </c>
      <c r="H10" s="714"/>
      <c r="I10" s="715"/>
      <c r="J10" s="715"/>
      <c r="K10" s="311">
        <f t="shared" si="2"/>
        <v>0</v>
      </c>
      <c r="L10" s="714"/>
      <c r="M10" s="715"/>
      <c r="N10" s="715"/>
      <c r="O10" s="311">
        <f t="shared" si="3"/>
        <v>0</v>
      </c>
      <c r="P10" s="716">
        <f t="shared" si="4"/>
        <v>16</v>
      </c>
      <c r="Q10" s="897">
        <f t="shared" si="5"/>
        <v>10</v>
      </c>
      <c r="R10" s="897">
        <f t="shared" si="6"/>
        <v>6</v>
      </c>
      <c r="S10" s="897">
        <f t="shared" si="7"/>
        <v>0</v>
      </c>
      <c r="T10" s="716">
        <f t="shared" si="8"/>
        <v>16</v>
      </c>
      <c r="W10" s="717">
        <f t="shared" si="9"/>
        <v>0</v>
      </c>
      <c r="X10" s="718">
        <f t="shared" si="10"/>
        <v>0</v>
      </c>
      <c r="Y10" s="719" t="str">
        <f t="shared" si="11"/>
        <v>NA</v>
      </c>
      <c r="Z10" s="720">
        <f t="shared" si="12"/>
        <v>0</v>
      </c>
    </row>
    <row r="11" spans="1:26" x14ac:dyDescent="0.25">
      <c r="A11" s="497" t="s">
        <v>20</v>
      </c>
      <c r="B11" s="432" t="s">
        <v>21</v>
      </c>
      <c r="C11" s="458" t="s">
        <v>265</v>
      </c>
      <c r="D11" s="714">
        <v>27</v>
      </c>
      <c r="E11" s="715">
        <v>11</v>
      </c>
      <c r="F11" s="715"/>
      <c r="G11" s="311">
        <f t="shared" si="1"/>
        <v>38</v>
      </c>
      <c r="H11" s="714">
        <v>2</v>
      </c>
      <c r="I11" s="715">
        <v>3</v>
      </c>
      <c r="J11" s="715"/>
      <c r="K11" s="311">
        <f t="shared" si="2"/>
        <v>5</v>
      </c>
      <c r="L11" s="714"/>
      <c r="M11" s="715"/>
      <c r="N11" s="715"/>
      <c r="O11" s="311">
        <f t="shared" si="3"/>
        <v>0</v>
      </c>
      <c r="P11" s="716">
        <f t="shared" si="4"/>
        <v>43</v>
      </c>
      <c r="Q11" s="897">
        <f t="shared" si="5"/>
        <v>29</v>
      </c>
      <c r="R11" s="897">
        <f t="shared" si="6"/>
        <v>14</v>
      </c>
      <c r="S11" s="897">
        <f t="shared" si="7"/>
        <v>0</v>
      </c>
      <c r="T11" s="716">
        <f t="shared" si="8"/>
        <v>43</v>
      </c>
      <c r="W11" s="717">
        <f t="shared" si="9"/>
        <v>6.8965517241379309E-2</v>
      </c>
      <c r="X11" s="718">
        <f t="shared" si="10"/>
        <v>0.21428571428571427</v>
      </c>
      <c r="Y11" s="719" t="str">
        <f t="shared" si="11"/>
        <v>NA</v>
      </c>
      <c r="Z11" s="720">
        <f t="shared" si="12"/>
        <v>0.11627906976744186</v>
      </c>
    </row>
    <row r="12" spans="1:26" x14ac:dyDescent="0.25">
      <c r="A12" s="497" t="s">
        <v>22</v>
      </c>
      <c r="B12" s="432" t="s">
        <v>23</v>
      </c>
      <c r="C12" s="458" t="s">
        <v>265</v>
      </c>
      <c r="D12" s="714">
        <v>9</v>
      </c>
      <c r="E12" s="715">
        <v>4</v>
      </c>
      <c r="F12" s="715"/>
      <c r="G12" s="311">
        <f t="shared" si="1"/>
        <v>13</v>
      </c>
      <c r="H12" s="714">
        <v>6</v>
      </c>
      <c r="I12" s="715">
        <v>4</v>
      </c>
      <c r="J12" s="715"/>
      <c r="K12" s="311">
        <f t="shared" si="2"/>
        <v>10</v>
      </c>
      <c r="L12" s="714">
        <v>1</v>
      </c>
      <c r="M12" s="715"/>
      <c r="N12" s="715"/>
      <c r="O12" s="311">
        <f t="shared" si="3"/>
        <v>1</v>
      </c>
      <c r="P12" s="716">
        <f t="shared" si="4"/>
        <v>24</v>
      </c>
      <c r="Q12" s="897">
        <f t="shared" si="5"/>
        <v>15</v>
      </c>
      <c r="R12" s="897">
        <f t="shared" si="6"/>
        <v>8</v>
      </c>
      <c r="S12" s="897">
        <f t="shared" si="7"/>
        <v>0</v>
      </c>
      <c r="T12" s="716">
        <f t="shared" si="8"/>
        <v>23</v>
      </c>
      <c r="W12" s="717">
        <f t="shared" si="9"/>
        <v>0.4</v>
      </c>
      <c r="X12" s="718">
        <f t="shared" si="10"/>
        <v>0.5</v>
      </c>
      <c r="Y12" s="719" t="str">
        <f t="shared" si="11"/>
        <v>NA</v>
      </c>
      <c r="Z12" s="720">
        <f t="shared" si="12"/>
        <v>0.43478260869565216</v>
      </c>
    </row>
    <row r="13" spans="1:26" x14ac:dyDescent="0.25">
      <c r="A13" s="497" t="s">
        <v>24</v>
      </c>
      <c r="B13" s="432" t="s">
        <v>25</v>
      </c>
      <c r="C13" s="458" t="s">
        <v>267</v>
      </c>
      <c r="D13" s="714">
        <v>104</v>
      </c>
      <c r="E13" s="715">
        <v>54</v>
      </c>
      <c r="F13" s="715">
        <v>1</v>
      </c>
      <c r="G13" s="311">
        <f t="shared" si="1"/>
        <v>159</v>
      </c>
      <c r="H13" s="714">
        <v>10</v>
      </c>
      <c r="I13" s="715">
        <v>6</v>
      </c>
      <c r="J13" s="715">
        <v>2</v>
      </c>
      <c r="K13" s="311">
        <f t="shared" si="2"/>
        <v>18</v>
      </c>
      <c r="L13" s="714"/>
      <c r="M13" s="715"/>
      <c r="N13" s="715"/>
      <c r="O13" s="311">
        <f t="shared" si="3"/>
        <v>0</v>
      </c>
      <c r="P13" s="716">
        <f t="shared" si="4"/>
        <v>177</v>
      </c>
      <c r="Q13" s="897">
        <f t="shared" si="5"/>
        <v>114</v>
      </c>
      <c r="R13" s="897">
        <f t="shared" si="6"/>
        <v>60</v>
      </c>
      <c r="S13" s="897">
        <f t="shared" si="7"/>
        <v>3</v>
      </c>
      <c r="T13" s="716">
        <f t="shared" si="8"/>
        <v>177</v>
      </c>
      <c r="W13" s="717">
        <f t="shared" si="9"/>
        <v>8.771929824561403E-2</v>
      </c>
      <c r="X13" s="718">
        <f t="shared" si="10"/>
        <v>0.1</v>
      </c>
      <c r="Y13" s="719">
        <f t="shared" si="11"/>
        <v>0.66666666666666663</v>
      </c>
      <c r="Z13" s="720">
        <f t="shared" si="12"/>
        <v>0.10169491525423729</v>
      </c>
    </row>
    <row r="14" spans="1:26" x14ac:dyDescent="0.25">
      <c r="A14" s="497" t="s">
        <v>26</v>
      </c>
      <c r="B14" s="432" t="s">
        <v>298</v>
      </c>
      <c r="C14" s="458" t="s">
        <v>265</v>
      </c>
      <c r="D14" s="714">
        <v>107</v>
      </c>
      <c r="E14" s="715">
        <v>47</v>
      </c>
      <c r="F14" s="715">
        <v>1</v>
      </c>
      <c r="G14" s="311">
        <f t="shared" si="1"/>
        <v>155</v>
      </c>
      <c r="H14" s="714">
        <v>19</v>
      </c>
      <c r="I14" s="715">
        <v>12</v>
      </c>
      <c r="J14" s="715"/>
      <c r="K14" s="311">
        <f t="shared" si="2"/>
        <v>31</v>
      </c>
      <c r="L14" s="714"/>
      <c r="M14" s="715"/>
      <c r="N14" s="715"/>
      <c r="O14" s="311">
        <f t="shared" si="3"/>
        <v>0</v>
      </c>
      <c r="P14" s="716">
        <f t="shared" si="4"/>
        <v>186</v>
      </c>
      <c r="Q14" s="897">
        <f t="shared" si="5"/>
        <v>126</v>
      </c>
      <c r="R14" s="897">
        <f t="shared" si="6"/>
        <v>59</v>
      </c>
      <c r="S14" s="897">
        <f t="shared" si="7"/>
        <v>1</v>
      </c>
      <c r="T14" s="716">
        <f t="shared" si="8"/>
        <v>186</v>
      </c>
      <c r="W14" s="717">
        <f t="shared" si="9"/>
        <v>0.15079365079365079</v>
      </c>
      <c r="X14" s="718">
        <f t="shared" si="10"/>
        <v>0.20338983050847459</v>
      </c>
      <c r="Y14" s="719">
        <f t="shared" si="11"/>
        <v>0</v>
      </c>
      <c r="Z14" s="720">
        <f t="shared" si="12"/>
        <v>0.16666666666666666</v>
      </c>
    </row>
    <row r="15" spans="1:26" x14ac:dyDescent="0.25">
      <c r="A15" s="497" t="s">
        <v>27</v>
      </c>
      <c r="B15" s="432" t="s">
        <v>28</v>
      </c>
      <c r="C15" s="458" t="s">
        <v>265</v>
      </c>
      <c r="D15" s="714">
        <v>4</v>
      </c>
      <c r="E15" s="715">
        <v>4</v>
      </c>
      <c r="F15" s="715"/>
      <c r="G15" s="311">
        <f t="shared" si="1"/>
        <v>8</v>
      </c>
      <c r="H15" s="714"/>
      <c r="I15" s="715"/>
      <c r="J15" s="715"/>
      <c r="K15" s="311">
        <f t="shared" si="2"/>
        <v>0</v>
      </c>
      <c r="L15" s="714"/>
      <c r="M15" s="715"/>
      <c r="N15" s="715"/>
      <c r="O15" s="311">
        <f t="shared" si="3"/>
        <v>0</v>
      </c>
      <c r="P15" s="716">
        <f t="shared" si="4"/>
        <v>8</v>
      </c>
      <c r="Q15" s="897">
        <f t="shared" si="5"/>
        <v>4</v>
      </c>
      <c r="R15" s="897">
        <f t="shared" si="6"/>
        <v>4</v>
      </c>
      <c r="S15" s="897">
        <f t="shared" si="7"/>
        <v>0</v>
      </c>
      <c r="T15" s="716">
        <f t="shared" si="8"/>
        <v>8</v>
      </c>
      <c r="W15" s="717">
        <f t="shared" si="9"/>
        <v>0</v>
      </c>
      <c r="X15" s="718">
        <f t="shared" si="10"/>
        <v>0</v>
      </c>
      <c r="Y15" s="719" t="str">
        <f t="shared" si="11"/>
        <v>NA</v>
      </c>
      <c r="Z15" s="720">
        <f t="shared" si="12"/>
        <v>0</v>
      </c>
    </row>
    <row r="16" spans="1:26" x14ac:dyDescent="0.25">
      <c r="A16" s="497" t="s">
        <v>29</v>
      </c>
      <c r="B16" s="432" t="s">
        <v>901</v>
      </c>
      <c r="C16" s="458" t="s">
        <v>265</v>
      </c>
      <c r="D16" s="714">
        <v>60</v>
      </c>
      <c r="E16" s="715">
        <v>24</v>
      </c>
      <c r="F16" s="715">
        <v>9</v>
      </c>
      <c r="G16" s="311">
        <f t="shared" si="1"/>
        <v>93</v>
      </c>
      <c r="H16" s="714">
        <v>16</v>
      </c>
      <c r="I16" s="715">
        <v>1</v>
      </c>
      <c r="J16" s="715">
        <v>2</v>
      </c>
      <c r="K16" s="311">
        <f t="shared" si="2"/>
        <v>19</v>
      </c>
      <c r="L16" s="714"/>
      <c r="M16" s="715"/>
      <c r="N16" s="715"/>
      <c r="O16" s="311">
        <f t="shared" si="3"/>
        <v>0</v>
      </c>
      <c r="P16" s="716">
        <f t="shared" si="4"/>
        <v>112</v>
      </c>
      <c r="Q16" s="897">
        <f t="shared" si="5"/>
        <v>76</v>
      </c>
      <c r="R16" s="897">
        <f t="shared" si="6"/>
        <v>25</v>
      </c>
      <c r="S16" s="897">
        <f t="shared" si="7"/>
        <v>11</v>
      </c>
      <c r="T16" s="716">
        <f t="shared" si="8"/>
        <v>112</v>
      </c>
      <c r="W16" s="717">
        <f t="shared" si="9"/>
        <v>0.21052631578947367</v>
      </c>
      <c r="X16" s="718">
        <f t="shared" si="10"/>
        <v>0.04</v>
      </c>
      <c r="Y16" s="719">
        <f t="shared" si="11"/>
        <v>0.18181818181818182</v>
      </c>
      <c r="Z16" s="720">
        <f t="shared" si="12"/>
        <v>0.16964285714285715</v>
      </c>
    </row>
    <row r="17" spans="1:26" x14ac:dyDescent="0.25">
      <c r="A17" s="497" t="s">
        <v>30</v>
      </c>
      <c r="B17" s="432" t="s">
        <v>31</v>
      </c>
      <c r="C17" s="458" t="s">
        <v>268</v>
      </c>
      <c r="D17" s="714">
        <v>9</v>
      </c>
      <c r="E17" s="715">
        <v>3</v>
      </c>
      <c r="F17" s="715"/>
      <c r="G17" s="311">
        <f t="shared" si="1"/>
        <v>12</v>
      </c>
      <c r="H17" s="714">
        <v>1</v>
      </c>
      <c r="I17" s="715">
        <v>1</v>
      </c>
      <c r="J17" s="715"/>
      <c r="K17" s="311">
        <f t="shared" si="2"/>
        <v>2</v>
      </c>
      <c r="L17" s="714"/>
      <c r="M17" s="715"/>
      <c r="N17" s="715"/>
      <c r="O17" s="311">
        <f t="shared" si="3"/>
        <v>0</v>
      </c>
      <c r="P17" s="716">
        <f t="shared" si="4"/>
        <v>14</v>
      </c>
      <c r="Q17" s="897">
        <f t="shared" si="5"/>
        <v>10</v>
      </c>
      <c r="R17" s="897">
        <f t="shared" si="6"/>
        <v>4</v>
      </c>
      <c r="S17" s="897">
        <f t="shared" si="7"/>
        <v>0</v>
      </c>
      <c r="T17" s="716">
        <f t="shared" si="8"/>
        <v>14</v>
      </c>
      <c r="W17" s="717">
        <f t="shared" si="9"/>
        <v>0.1</v>
      </c>
      <c r="X17" s="718">
        <f t="shared" si="10"/>
        <v>0.25</v>
      </c>
      <c r="Y17" s="719" t="str">
        <f t="shared" si="11"/>
        <v>NA</v>
      </c>
      <c r="Z17" s="720">
        <f t="shared" si="12"/>
        <v>0.14285714285714285</v>
      </c>
    </row>
    <row r="18" spans="1:26" x14ac:dyDescent="0.25">
      <c r="A18" s="497" t="s">
        <v>32</v>
      </c>
      <c r="B18" s="432" t="s">
        <v>33</v>
      </c>
      <c r="C18" s="458" t="s">
        <v>265</v>
      </c>
      <c r="D18" s="714">
        <v>15</v>
      </c>
      <c r="E18" s="715">
        <v>4</v>
      </c>
      <c r="F18" s="715"/>
      <c r="G18" s="311">
        <f t="shared" si="1"/>
        <v>19</v>
      </c>
      <c r="H18" s="714">
        <v>8</v>
      </c>
      <c r="I18" s="715"/>
      <c r="J18" s="715"/>
      <c r="K18" s="311">
        <f t="shared" si="2"/>
        <v>8</v>
      </c>
      <c r="L18" s="714"/>
      <c r="M18" s="715"/>
      <c r="N18" s="715"/>
      <c r="O18" s="311">
        <f t="shared" si="3"/>
        <v>0</v>
      </c>
      <c r="P18" s="716">
        <f t="shared" si="4"/>
        <v>27</v>
      </c>
      <c r="Q18" s="897">
        <f t="shared" si="5"/>
        <v>23</v>
      </c>
      <c r="R18" s="897">
        <f t="shared" si="6"/>
        <v>4</v>
      </c>
      <c r="S18" s="897">
        <f t="shared" si="7"/>
        <v>0</v>
      </c>
      <c r="T18" s="716">
        <f t="shared" si="8"/>
        <v>27</v>
      </c>
      <c r="W18" s="717">
        <f t="shared" si="9"/>
        <v>0.34782608695652173</v>
      </c>
      <c r="X18" s="718">
        <f t="shared" si="10"/>
        <v>0</v>
      </c>
      <c r="Y18" s="719" t="str">
        <f t="shared" si="11"/>
        <v>NA</v>
      </c>
      <c r="Z18" s="720">
        <f t="shared" si="12"/>
        <v>0.29629629629629628</v>
      </c>
    </row>
    <row r="19" spans="1:26" x14ac:dyDescent="0.25">
      <c r="A19" s="497" t="s">
        <v>36</v>
      </c>
      <c r="B19" s="432" t="s">
        <v>37</v>
      </c>
      <c r="C19" s="458" t="s">
        <v>264</v>
      </c>
      <c r="D19" s="714">
        <v>15</v>
      </c>
      <c r="E19" s="715">
        <v>10</v>
      </c>
      <c r="F19" s="715">
        <v>1</v>
      </c>
      <c r="G19" s="311">
        <f t="shared" si="1"/>
        <v>26</v>
      </c>
      <c r="H19" s="714">
        <v>6</v>
      </c>
      <c r="I19" s="715">
        <v>3</v>
      </c>
      <c r="J19" s="715"/>
      <c r="K19" s="311">
        <f t="shared" si="2"/>
        <v>9</v>
      </c>
      <c r="L19" s="714"/>
      <c r="M19" s="715"/>
      <c r="N19" s="715"/>
      <c r="O19" s="311">
        <f t="shared" si="3"/>
        <v>0</v>
      </c>
      <c r="P19" s="716">
        <f t="shared" si="4"/>
        <v>35</v>
      </c>
      <c r="Q19" s="897">
        <f t="shared" si="5"/>
        <v>21</v>
      </c>
      <c r="R19" s="897">
        <f t="shared" si="6"/>
        <v>13</v>
      </c>
      <c r="S19" s="897">
        <f t="shared" si="7"/>
        <v>1</v>
      </c>
      <c r="T19" s="716">
        <f t="shared" si="8"/>
        <v>35</v>
      </c>
      <c r="W19" s="717">
        <f t="shared" si="9"/>
        <v>0.2857142857142857</v>
      </c>
      <c r="X19" s="718">
        <f t="shared" si="10"/>
        <v>0.23076923076923078</v>
      </c>
      <c r="Y19" s="719">
        <f t="shared" si="11"/>
        <v>0</v>
      </c>
      <c r="Z19" s="720">
        <f t="shared" si="12"/>
        <v>0.25714285714285712</v>
      </c>
    </row>
    <row r="20" spans="1:26" x14ac:dyDescent="0.25">
      <c r="A20" s="497" t="s">
        <v>38</v>
      </c>
      <c r="B20" s="432" t="s">
        <v>39</v>
      </c>
      <c r="C20" s="458" t="s">
        <v>268</v>
      </c>
      <c r="D20" s="714">
        <v>38</v>
      </c>
      <c r="E20" s="715">
        <v>14</v>
      </c>
      <c r="F20" s="715"/>
      <c r="G20" s="311">
        <f t="shared" si="1"/>
        <v>52</v>
      </c>
      <c r="H20" s="714">
        <v>9</v>
      </c>
      <c r="I20" s="715">
        <v>8</v>
      </c>
      <c r="J20" s="715"/>
      <c r="K20" s="311">
        <f t="shared" si="2"/>
        <v>17</v>
      </c>
      <c r="L20" s="714"/>
      <c r="M20" s="715"/>
      <c r="N20" s="715"/>
      <c r="O20" s="311">
        <f t="shared" si="3"/>
        <v>0</v>
      </c>
      <c r="P20" s="716">
        <f t="shared" si="4"/>
        <v>69</v>
      </c>
      <c r="Q20" s="897">
        <f t="shared" si="5"/>
        <v>47</v>
      </c>
      <c r="R20" s="897">
        <f t="shared" si="6"/>
        <v>22</v>
      </c>
      <c r="S20" s="897">
        <f t="shared" si="7"/>
        <v>0</v>
      </c>
      <c r="T20" s="716">
        <f t="shared" si="8"/>
        <v>69</v>
      </c>
      <c r="W20" s="717">
        <f t="shared" si="9"/>
        <v>0.19148936170212766</v>
      </c>
      <c r="X20" s="718">
        <f t="shared" si="10"/>
        <v>0.36363636363636365</v>
      </c>
      <c r="Y20" s="719" t="str">
        <f t="shared" si="11"/>
        <v>NA</v>
      </c>
      <c r="Z20" s="720">
        <f t="shared" si="12"/>
        <v>0.24637681159420291</v>
      </c>
    </row>
    <row r="21" spans="1:26" x14ac:dyDescent="0.25">
      <c r="A21" s="497" t="s">
        <v>40</v>
      </c>
      <c r="B21" s="432" t="s">
        <v>41</v>
      </c>
      <c r="C21" s="458" t="s">
        <v>266</v>
      </c>
      <c r="D21" s="714">
        <v>16</v>
      </c>
      <c r="E21" s="715">
        <v>6</v>
      </c>
      <c r="F21" s="715"/>
      <c r="G21" s="311">
        <f t="shared" si="1"/>
        <v>22</v>
      </c>
      <c r="H21" s="714">
        <v>7</v>
      </c>
      <c r="I21" s="715">
        <v>4</v>
      </c>
      <c r="J21" s="715"/>
      <c r="K21" s="311">
        <f t="shared" si="2"/>
        <v>11</v>
      </c>
      <c r="L21" s="714"/>
      <c r="M21" s="715"/>
      <c r="N21" s="715"/>
      <c r="O21" s="311">
        <f t="shared" si="3"/>
        <v>0</v>
      </c>
      <c r="P21" s="716">
        <f t="shared" si="4"/>
        <v>33</v>
      </c>
      <c r="Q21" s="897">
        <f t="shared" si="5"/>
        <v>23</v>
      </c>
      <c r="R21" s="897">
        <f t="shared" si="6"/>
        <v>10</v>
      </c>
      <c r="S21" s="897">
        <f t="shared" si="7"/>
        <v>0</v>
      </c>
      <c r="T21" s="716">
        <f t="shared" si="8"/>
        <v>33</v>
      </c>
      <c r="W21" s="717">
        <f t="shared" si="9"/>
        <v>0.30434782608695654</v>
      </c>
      <c r="X21" s="718">
        <f t="shared" si="10"/>
        <v>0.4</v>
      </c>
      <c r="Y21" s="719" t="str">
        <f t="shared" si="11"/>
        <v>NA</v>
      </c>
      <c r="Z21" s="720">
        <f t="shared" si="12"/>
        <v>0.33333333333333331</v>
      </c>
    </row>
    <row r="22" spans="1:26" x14ac:dyDescent="0.25">
      <c r="A22" s="497" t="s">
        <v>42</v>
      </c>
      <c r="B22" s="432" t="s">
        <v>43</v>
      </c>
      <c r="C22" s="458" t="s">
        <v>265</v>
      </c>
      <c r="D22" s="714">
        <v>44</v>
      </c>
      <c r="E22" s="715">
        <v>23</v>
      </c>
      <c r="F22" s="715">
        <v>2</v>
      </c>
      <c r="G22" s="311">
        <f t="shared" si="1"/>
        <v>69</v>
      </c>
      <c r="H22" s="714">
        <v>15</v>
      </c>
      <c r="I22" s="715">
        <v>8</v>
      </c>
      <c r="J22" s="715">
        <v>1</v>
      </c>
      <c r="K22" s="311">
        <f t="shared" si="2"/>
        <v>24</v>
      </c>
      <c r="L22" s="714"/>
      <c r="M22" s="715"/>
      <c r="N22" s="715"/>
      <c r="O22" s="311">
        <f t="shared" si="3"/>
        <v>0</v>
      </c>
      <c r="P22" s="716">
        <f t="shared" si="4"/>
        <v>93</v>
      </c>
      <c r="Q22" s="897">
        <f t="shared" si="5"/>
        <v>59</v>
      </c>
      <c r="R22" s="897">
        <f t="shared" si="6"/>
        <v>31</v>
      </c>
      <c r="S22" s="897">
        <f t="shared" si="7"/>
        <v>3</v>
      </c>
      <c r="T22" s="716">
        <f t="shared" si="8"/>
        <v>93</v>
      </c>
      <c r="W22" s="717">
        <f t="shared" si="9"/>
        <v>0.25423728813559321</v>
      </c>
      <c r="X22" s="718">
        <f t="shared" si="10"/>
        <v>0.25806451612903225</v>
      </c>
      <c r="Y22" s="719">
        <f t="shared" si="11"/>
        <v>0.33333333333333331</v>
      </c>
      <c r="Z22" s="720">
        <f t="shared" si="12"/>
        <v>0.25806451612903225</v>
      </c>
    </row>
    <row r="23" spans="1:26" x14ac:dyDescent="0.25">
      <c r="A23" s="497" t="s">
        <v>44</v>
      </c>
      <c r="B23" s="432" t="s">
        <v>45</v>
      </c>
      <c r="C23" s="458" t="s">
        <v>266</v>
      </c>
      <c r="D23" s="714">
        <v>21</v>
      </c>
      <c r="E23" s="715">
        <v>10</v>
      </c>
      <c r="F23" s="715"/>
      <c r="G23" s="311">
        <f t="shared" si="1"/>
        <v>31</v>
      </c>
      <c r="H23" s="714">
        <v>2</v>
      </c>
      <c r="I23" s="715"/>
      <c r="J23" s="715"/>
      <c r="K23" s="311">
        <f t="shared" si="2"/>
        <v>2</v>
      </c>
      <c r="L23" s="714"/>
      <c r="M23" s="715"/>
      <c r="N23" s="715"/>
      <c r="O23" s="311">
        <f t="shared" si="3"/>
        <v>0</v>
      </c>
      <c r="P23" s="716">
        <f t="shared" si="4"/>
        <v>33</v>
      </c>
      <c r="Q23" s="897">
        <f t="shared" si="5"/>
        <v>23</v>
      </c>
      <c r="R23" s="897">
        <f t="shared" si="6"/>
        <v>10</v>
      </c>
      <c r="S23" s="897">
        <f t="shared" si="7"/>
        <v>0</v>
      </c>
      <c r="T23" s="716">
        <f t="shared" si="8"/>
        <v>33</v>
      </c>
      <c r="W23" s="717">
        <f t="shared" si="9"/>
        <v>8.6956521739130432E-2</v>
      </c>
      <c r="X23" s="718">
        <f t="shared" si="10"/>
        <v>0</v>
      </c>
      <c r="Y23" s="719" t="str">
        <f t="shared" si="11"/>
        <v>NA</v>
      </c>
      <c r="Z23" s="720">
        <f t="shared" si="12"/>
        <v>6.0606060606060608E-2</v>
      </c>
    </row>
    <row r="24" spans="1:26" x14ac:dyDescent="0.25">
      <c r="A24" s="497" t="s">
        <v>46</v>
      </c>
      <c r="B24" s="432" t="s">
        <v>47</v>
      </c>
      <c r="C24" s="458" t="s">
        <v>268</v>
      </c>
      <c r="D24" s="714">
        <v>26</v>
      </c>
      <c r="E24" s="715">
        <v>12</v>
      </c>
      <c r="F24" s="715"/>
      <c r="G24" s="311">
        <f t="shared" si="1"/>
        <v>38</v>
      </c>
      <c r="H24" s="714">
        <v>5</v>
      </c>
      <c r="I24" s="715">
        <v>4</v>
      </c>
      <c r="J24" s="715"/>
      <c r="K24" s="311">
        <f t="shared" si="2"/>
        <v>9</v>
      </c>
      <c r="L24" s="714"/>
      <c r="M24" s="715"/>
      <c r="N24" s="715"/>
      <c r="O24" s="311">
        <f t="shared" si="3"/>
        <v>0</v>
      </c>
      <c r="P24" s="716">
        <f t="shared" si="4"/>
        <v>47</v>
      </c>
      <c r="Q24" s="897">
        <f t="shared" si="5"/>
        <v>31</v>
      </c>
      <c r="R24" s="897">
        <f t="shared" si="6"/>
        <v>16</v>
      </c>
      <c r="S24" s="897">
        <f t="shared" si="7"/>
        <v>0</v>
      </c>
      <c r="T24" s="716">
        <f t="shared" si="8"/>
        <v>47</v>
      </c>
      <c r="W24" s="717">
        <f t="shared" si="9"/>
        <v>0.16129032258064516</v>
      </c>
      <c r="X24" s="718">
        <f t="shared" si="10"/>
        <v>0.25</v>
      </c>
      <c r="Y24" s="719" t="str">
        <f t="shared" si="11"/>
        <v>NA</v>
      </c>
      <c r="Z24" s="720">
        <f t="shared" si="12"/>
        <v>0.19148936170212766</v>
      </c>
    </row>
    <row r="25" spans="1:26" x14ac:dyDescent="0.25">
      <c r="A25" s="497" t="s">
        <v>48</v>
      </c>
      <c r="B25" s="432" t="s">
        <v>269</v>
      </c>
      <c r="C25" s="458" t="s">
        <v>266</v>
      </c>
      <c r="D25" s="714">
        <v>3</v>
      </c>
      <c r="E25" s="715">
        <v>6</v>
      </c>
      <c r="F25" s="715"/>
      <c r="G25" s="311">
        <f t="shared" si="1"/>
        <v>9</v>
      </c>
      <c r="H25" s="714">
        <v>6</v>
      </c>
      <c r="I25" s="715"/>
      <c r="J25" s="715"/>
      <c r="K25" s="311">
        <f t="shared" si="2"/>
        <v>6</v>
      </c>
      <c r="L25" s="714"/>
      <c r="M25" s="715"/>
      <c r="N25" s="715"/>
      <c r="O25" s="311">
        <f t="shared" si="3"/>
        <v>0</v>
      </c>
      <c r="P25" s="716">
        <f t="shared" si="4"/>
        <v>15</v>
      </c>
      <c r="Q25" s="897">
        <f t="shared" si="5"/>
        <v>9</v>
      </c>
      <c r="R25" s="897">
        <f t="shared" si="6"/>
        <v>6</v>
      </c>
      <c r="S25" s="897">
        <f t="shared" si="7"/>
        <v>0</v>
      </c>
      <c r="T25" s="716">
        <f t="shared" si="8"/>
        <v>15</v>
      </c>
      <c r="W25" s="717">
        <f t="shared" si="9"/>
        <v>0.66666666666666663</v>
      </c>
      <c r="X25" s="718">
        <f t="shared" si="10"/>
        <v>0</v>
      </c>
      <c r="Y25" s="719" t="str">
        <f t="shared" si="11"/>
        <v>NA</v>
      </c>
      <c r="Z25" s="720">
        <f t="shared" si="12"/>
        <v>0.4</v>
      </c>
    </row>
    <row r="26" spans="1:26" x14ac:dyDescent="0.25">
      <c r="A26" s="497" t="s">
        <v>50</v>
      </c>
      <c r="B26" s="432" t="s">
        <v>51</v>
      </c>
      <c r="C26" s="458" t="s">
        <v>265</v>
      </c>
      <c r="D26" s="714">
        <v>17</v>
      </c>
      <c r="E26" s="715">
        <v>6</v>
      </c>
      <c r="F26" s="715">
        <v>1</v>
      </c>
      <c r="G26" s="311">
        <f t="shared" si="1"/>
        <v>24</v>
      </c>
      <c r="H26" s="714">
        <v>5</v>
      </c>
      <c r="I26" s="715">
        <v>3</v>
      </c>
      <c r="J26" s="715">
        <v>1</v>
      </c>
      <c r="K26" s="311">
        <f t="shared" si="2"/>
        <v>9</v>
      </c>
      <c r="L26" s="714"/>
      <c r="M26" s="715"/>
      <c r="N26" s="715"/>
      <c r="O26" s="311">
        <f t="shared" si="3"/>
        <v>0</v>
      </c>
      <c r="P26" s="716">
        <f t="shared" si="4"/>
        <v>33</v>
      </c>
      <c r="Q26" s="897">
        <f t="shared" si="5"/>
        <v>22</v>
      </c>
      <c r="R26" s="897">
        <f t="shared" si="6"/>
        <v>9</v>
      </c>
      <c r="S26" s="897">
        <f t="shared" si="7"/>
        <v>2</v>
      </c>
      <c r="T26" s="716">
        <f t="shared" si="8"/>
        <v>33</v>
      </c>
      <c r="W26" s="717">
        <f t="shared" si="9"/>
        <v>0.22727272727272727</v>
      </c>
      <c r="X26" s="718">
        <f t="shared" si="10"/>
        <v>0.33333333333333331</v>
      </c>
      <c r="Y26" s="719">
        <f t="shared" si="11"/>
        <v>0.5</v>
      </c>
      <c r="Z26" s="720">
        <f t="shared" si="12"/>
        <v>0.27272727272727271</v>
      </c>
    </row>
    <row r="27" spans="1:26" x14ac:dyDescent="0.25">
      <c r="A27" s="497" t="s">
        <v>56</v>
      </c>
      <c r="B27" s="432" t="s">
        <v>295</v>
      </c>
      <c r="C27" s="458" t="s">
        <v>266</v>
      </c>
      <c r="D27" s="714">
        <v>128</v>
      </c>
      <c r="E27" s="715">
        <v>69</v>
      </c>
      <c r="F27" s="715">
        <v>8</v>
      </c>
      <c r="G27" s="311">
        <f t="shared" si="1"/>
        <v>205</v>
      </c>
      <c r="H27" s="714">
        <v>18</v>
      </c>
      <c r="I27" s="715">
        <v>14</v>
      </c>
      <c r="J27" s="715">
        <v>4</v>
      </c>
      <c r="K27" s="311">
        <f t="shared" si="2"/>
        <v>36</v>
      </c>
      <c r="L27" s="714"/>
      <c r="M27" s="715"/>
      <c r="N27" s="715"/>
      <c r="O27" s="311">
        <f t="shared" si="3"/>
        <v>0</v>
      </c>
      <c r="P27" s="716">
        <f t="shared" si="4"/>
        <v>241</v>
      </c>
      <c r="Q27" s="897">
        <f t="shared" si="5"/>
        <v>146</v>
      </c>
      <c r="R27" s="897">
        <f t="shared" si="6"/>
        <v>83</v>
      </c>
      <c r="S27" s="897">
        <f t="shared" si="7"/>
        <v>12</v>
      </c>
      <c r="T27" s="716">
        <f t="shared" si="8"/>
        <v>241</v>
      </c>
      <c r="W27" s="717">
        <f t="shared" si="9"/>
        <v>0.12328767123287671</v>
      </c>
      <c r="X27" s="718">
        <f t="shared" si="10"/>
        <v>0.16867469879518071</v>
      </c>
      <c r="Y27" s="719">
        <f t="shared" si="11"/>
        <v>0.33333333333333331</v>
      </c>
      <c r="Z27" s="720">
        <f t="shared" si="12"/>
        <v>0.14937759336099585</v>
      </c>
    </row>
    <row r="28" spans="1:26" x14ac:dyDescent="0.25">
      <c r="A28" s="497" t="s">
        <v>58</v>
      </c>
      <c r="B28" s="432" t="s">
        <v>59</v>
      </c>
      <c r="C28" s="458" t="s">
        <v>267</v>
      </c>
      <c r="D28" s="714">
        <v>9</v>
      </c>
      <c r="E28" s="715">
        <v>6</v>
      </c>
      <c r="F28" s="715"/>
      <c r="G28" s="311">
        <f t="shared" si="1"/>
        <v>15</v>
      </c>
      <c r="H28" s="714">
        <v>4</v>
      </c>
      <c r="I28" s="715">
        <v>1</v>
      </c>
      <c r="J28" s="715"/>
      <c r="K28" s="311">
        <f t="shared" si="2"/>
        <v>5</v>
      </c>
      <c r="L28" s="714"/>
      <c r="M28" s="715"/>
      <c r="N28" s="715"/>
      <c r="O28" s="311">
        <f t="shared" si="3"/>
        <v>0</v>
      </c>
      <c r="P28" s="716">
        <f t="shared" si="4"/>
        <v>20</v>
      </c>
      <c r="Q28" s="897">
        <f t="shared" si="5"/>
        <v>13</v>
      </c>
      <c r="R28" s="897">
        <f t="shared" si="6"/>
        <v>7</v>
      </c>
      <c r="S28" s="897">
        <f t="shared" si="7"/>
        <v>0</v>
      </c>
      <c r="T28" s="716">
        <f t="shared" si="8"/>
        <v>20</v>
      </c>
      <c r="W28" s="717">
        <f t="shared" si="9"/>
        <v>0.30769230769230771</v>
      </c>
      <c r="X28" s="718">
        <f t="shared" si="10"/>
        <v>0.14285714285714285</v>
      </c>
      <c r="Y28" s="719" t="str">
        <f t="shared" si="11"/>
        <v>NA</v>
      </c>
      <c r="Z28" s="720">
        <f t="shared" si="12"/>
        <v>0.25</v>
      </c>
    </row>
    <row r="29" spans="1:26" x14ac:dyDescent="0.25">
      <c r="A29" s="497" t="s">
        <v>60</v>
      </c>
      <c r="B29" s="432" t="s">
        <v>61</v>
      </c>
      <c r="C29" s="458" t="s">
        <v>265</v>
      </c>
      <c r="D29" s="714">
        <v>7</v>
      </c>
      <c r="E29" s="715">
        <v>3</v>
      </c>
      <c r="F29" s="715"/>
      <c r="G29" s="311">
        <f t="shared" si="1"/>
        <v>10</v>
      </c>
      <c r="H29" s="714">
        <v>2</v>
      </c>
      <c r="I29" s="715">
        <v>2</v>
      </c>
      <c r="J29" s="715"/>
      <c r="K29" s="311">
        <f t="shared" si="2"/>
        <v>4</v>
      </c>
      <c r="L29" s="714"/>
      <c r="M29" s="715"/>
      <c r="N29" s="715"/>
      <c r="O29" s="311">
        <f t="shared" si="3"/>
        <v>0</v>
      </c>
      <c r="P29" s="716">
        <f t="shared" si="4"/>
        <v>14</v>
      </c>
      <c r="Q29" s="897">
        <f t="shared" si="5"/>
        <v>9</v>
      </c>
      <c r="R29" s="897">
        <f t="shared" si="6"/>
        <v>5</v>
      </c>
      <c r="S29" s="897">
        <f t="shared" si="7"/>
        <v>0</v>
      </c>
      <c r="T29" s="716">
        <f t="shared" si="8"/>
        <v>14</v>
      </c>
      <c r="W29" s="717">
        <f t="shared" si="9"/>
        <v>0.22222222222222221</v>
      </c>
      <c r="X29" s="718">
        <f t="shared" si="10"/>
        <v>0.4</v>
      </c>
      <c r="Y29" s="719" t="str">
        <f t="shared" si="11"/>
        <v>NA</v>
      </c>
      <c r="Z29" s="720">
        <f t="shared" si="12"/>
        <v>0.2857142857142857</v>
      </c>
    </row>
    <row r="30" spans="1:26" x14ac:dyDescent="0.25">
      <c r="A30" s="497" t="s">
        <v>62</v>
      </c>
      <c r="B30" s="432" t="s">
        <v>63</v>
      </c>
      <c r="C30" s="458" t="s">
        <v>267</v>
      </c>
      <c r="D30" s="714">
        <v>36</v>
      </c>
      <c r="E30" s="715">
        <v>22</v>
      </c>
      <c r="F30" s="715"/>
      <c r="G30" s="311">
        <f t="shared" si="1"/>
        <v>58</v>
      </c>
      <c r="H30" s="714">
        <v>2</v>
      </c>
      <c r="I30" s="715">
        <v>4</v>
      </c>
      <c r="J30" s="715"/>
      <c r="K30" s="311">
        <f t="shared" si="2"/>
        <v>6</v>
      </c>
      <c r="L30" s="714"/>
      <c r="M30" s="715"/>
      <c r="N30" s="715"/>
      <c r="O30" s="311">
        <f t="shared" si="3"/>
        <v>0</v>
      </c>
      <c r="P30" s="716">
        <f t="shared" si="4"/>
        <v>64</v>
      </c>
      <c r="Q30" s="897">
        <f t="shared" si="5"/>
        <v>38</v>
      </c>
      <c r="R30" s="897">
        <f t="shared" si="6"/>
        <v>26</v>
      </c>
      <c r="S30" s="897">
        <f t="shared" si="7"/>
        <v>0</v>
      </c>
      <c r="T30" s="716">
        <f t="shared" si="8"/>
        <v>64</v>
      </c>
      <c r="W30" s="717">
        <f t="shared" si="9"/>
        <v>5.2631578947368418E-2</v>
      </c>
      <c r="X30" s="718">
        <f t="shared" si="10"/>
        <v>0.15384615384615385</v>
      </c>
      <c r="Y30" s="719" t="str">
        <f t="shared" si="11"/>
        <v>NA</v>
      </c>
      <c r="Z30" s="720">
        <f t="shared" si="12"/>
        <v>9.375E-2</v>
      </c>
    </row>
    <row r="31" spans="1:26" x14ac:dyDescent="0.25">
      <c r="A31" s="497" t="s">
        <v>64</v>
      </c>
      <c r="B31" s="432" t="s">
        <v>65</v>
      </c>
      <c r="C31" s="458" t="s">
        <v>266</v>
      </c>
      <c r="D31" s="714">
        <v>12</v>
      </c>
      <c r="E31" s="715">
        <v>7</v>
      </c>
      <c r="F31" s="715"/>
      <c r="G31" s="311">
        <f t="shared" si="1"/>
        <v>19</v>
      </c>
      <c r="H31" s="714">
        <v>1</v>
      </c>
      <c r="I31" s="715"/>
      <c r="J31" s="715"/>
      <c r="K31" s="311">
        <f t="shared" si="2"/>
        <v>1</v>
      </c>
      <c r="L31" s="714"/>
      <c r="M31" s="715"/>
      <c r="N31" s="715"/>
      <c r="O31" s="311">
        <f t="shared" si="3"/>
        <v>0</v>
      </c>
      <c r="P31" s="716">
        <f t="shared" si="4"/>
        <v>20</v>
      </c>
      <c r="Q31" s="897">
        <f t="shared" si="5"/>
        <v>13</v>
      </c>
      <c r="R31" s="897">
        <f t="shared" si="6"/>
        <v>7</v>
      </c>
      <c r="S31" s="897">
        <f t="shared" si="7"/>
        <v>0</v>
      </c>
      <c r="T31" s="716">
        <f t="shared" si="8"/>
        <v>20</v>
      </c>
      <c r="W31" s="717">
        <f t="shared" si="9"/>
        <v>7.6923076923076927E-2</v>
      </c>
      <c r="X31" s="718">
        <f t="shared" si="10"/>
        <v>0</v>
      </c>
      <c r="Y31" s="719" t="str">
        <f t="shared" si="11"/>
        <v>NA</v>
      </c>
      <c r="Z31" s="720">
        <f t="shared" si="12"/>
        <v>0.05</v>
      </c>
    </row>
    <row r="32" spans="1:26" x14ac:dyDescent="0.25">
      <c r="A32" s="497" t="s">
        <v>68</v>
      </c>
      <c r="B32" s="432" t="s">
        <v>69</v>
      </c>
      <c r="C32" s="458" t="s">
        <v>268</v>
      </c>
      <c r="D32" s="714">
        <v>34</v>
      </c>
      <c r="E32" s="715">
        <v>10</v>
      </c>
      <c r="F32" s="715"/>
      <c r="G32" s="311">
        <f t="shared" si="1"/>
        <v>44</v>
      </c>
      <c r="H32" s="714">
        <v>5</v>
      </c>
      <c r="I32" s="715">
        <v>4</v>
      </c>
      <c r="J32" s="715">
        <v>1</v>
      </c>
      <c r="K32" s="311">
        <f t="shared" si="2"/>
        <v>10</v>
      </c>
      <c r="L32" s="714"/>
      <c r="M32" s="715"/>
      <c r="N32" s="715"/>
      <c r="O32" s="311">
        <f t="shared" si="3"/>
        <v>0</v>
      </c>
      <c r="P32" s="716">
        <f t="shared" si="4"/>
        <v>54</v>
      </c>
      <c r="Q32" s="897">
        <f t="shared" si="5"/>
        <v>39</v>
      </c>
      <c r="R32" s="897">
        <f t="shared" si="6"/>
        <v>14</v>
      </c>
      <c r="S32" s="897">
        <f t="shared" si="7"/>
        <v>1</v>
      </c>
      <c r="T32" s="716">
        <f t="shared" si="8"/>
        <v>54</v>
      </c>
      <c r="W32" s="717">
        <f t="shared" si="9"/>
        <v>0.12820512820512819</v>
      </c>
      <c r="X32" s="718">
        <f t="shared" si="10"/>
        <v>0.2857142857142857</v>
      </c>
      <c r="Y32" s="719">
        <f t="shared" si="11"/>
        <v>1</v>
      </c>
      <c r="Z32" s="720">
        <f t="shared" si="12"/>
        <v>0.18518518518518517</v>
      </c>
    </row>
    <row r="33" spans="1:26" x14ac:dyDescent="0.25">
      <c r="A33" s="497" t="s">
        <v>70</v>
      </c>
      <c r="B33" s="432" t="s">
        <v>71</v>
      </c>
      <c r="C33" s="458" t="s">
        <v>264</v>
      </c>
      <c r="D33" s="714">
        <v>17</v>
      </c>
      <c r="E33" s="715">
        <v>9</v>
      </c>
      <c r="F33" s="715"/>
      <c r="G33" s="311">
        <f t="shared" si="1"/>
        <v>26</v>
      </c>
      <c r="H33" s="714">
        <v>8</v>
      </c>
      <c r="I33" s="715"/>
      <c r="J33" s="715"/>
      <c r="K33" s="311">
        <f t="shared" si="2"/>
        <v>8</v>
      </c>
      <c r="L33" s="714"/>
      <c r="M33" s="715"/>
      <c r="N33" s="715"/>
      <c r="O33" s="311">
        <f t="shared" si="3"/>
        <v>0</v>
      </c>
      <c r="P33" s="716">
        <f t="shared" si="4"/>
        <v>34</v>
      </c>
      <c r="Q33" s="897">
        <f t="shared" si="5"/>
        <v>25</v>
      </c>
      <c r="R33" s="897">
        <f t="shared" si="6"/>
        <v>9</v>
      </c>
      <c r="S33" s="897">
        <f t="shared" si="7"/>
        <v>0</v>
      </c>
      <c r="T33" s="716">
        <f t="shared" si="8"/>
        <v>34</v>
      </c>
      <c r="W33" s="717">
        <f t="shared" si="9"/>
        <v>0.32</v>
      </c>
      <c r="X33" s="718">
        <f t="shared" si="10"/>
        <v>0</v>
      </c>
      <c r="Y33" s="719" t="str">
        <f t="shared" si="11"/>
        <v>NA</v>
      </c>
      <c r="Z33" s="720">
        <f t="shared" si="12"/>
        <v>0.23529411764705882</v>
      </c>
    </row>
    <row r="34" spans="1:26" x14ac:dyDescent="0.25">
      <c r="A34" s="497" t="s">
        <v>72</v>
      </c>
      <c r="B34" s="432" t="s">
        <v>73</v>
      </c>
      <c r="C34" s="458" t="s">
        <v>266</v>
      </c>
      <c r="D34" s="714">
        <v>12</v>
      </c>
      <c r="E34" s="715">
        <v>7</v>
      </c>
      <c r="F34" s="715"/>
      <c r="G34" s="311">
        <f t="shared" si="1"/>
        <v>19</v>
      </c>
      <c r="H34" s="714">
        <v>5</v>
      </c>
      <c r="I34" s="715">
        <v>2</v>
      </c>
      <c r="J34" s="715"/>
      <c r="K34" s="311">
        <f t="shared" si="2"/>
        <v>7</v>
      </c>
      <c r="L34" s="714"/>
      <c r="M34" s="715"/>
      <c r="N34" s="715"/>
      <c r="O34" s="311">
        <f t="shared" si="3"/>
        <v>0</v>
      </c>
      <c r="P34" s="716">
        <f t="shared" si="4"/>
        <v>26</v>
      </c>
      <c r="Q34" s="897">
        <f t="shared" si="5"/>
        <v>17</v>
      </c>
      <c r="R34" s="897">
        <f t="shared" si="6"/>
        <v>9</v>
      </c>
      <c r="S34" s="897">
        <f t="shared" si="7"/>
        <v>0</v>
      </c>
      <c r="T34" s="716">
        <f t="shared" si="8"/>
        <v>26</v>
      </c>
      <c r="W34" s="717">
        <f t="shared" si="9"/>
        <v>0.29411764705882354</v>
      </c>
      <c r="X34" s="718">
        <f t="shared" si="10"/>
        <v>0.22222222222222221</v>
      </c>
      <c r="Y34" s="719" t="str">
        <f t="shared" si="11"/>
        <v>NA</v>
      </c>
      <c r="Z34" s="720">
        <f t="shared" si="12"/>
        <v>0.26923076923076922</v>
      </c>
    </row>
    <row r="35" spans="1:26" x14ac:dyDescent="0.25">
      <c r="A35" s="497" t="s">
        <v>74</v>
      </c>
      <c r="B35" s="432" t="s">
        <v>609</v>
      </c>
      <c r="C35" s="458" t="s">
        <v>267</v>
      </c>
      <c r="D35" s="714">
        <v>481</v>
      </c>
      <c r="E35" s="715">
        <v>320</v>
      </c>
      <c r="F35" s="715">
        <v>228</v>
      </c>
      <c r="G35" s="311">
        <f t="shared" si="1"/>
        <v>1029</v>
      </c>
      <c r="H35" s="714">
        <v>78</v>
      </c>
      <c r="I35" s="715">
        <v>20</v>
      </c>
      <c r="J35" s="715">
        <v>29</v>
      </c>
      <c r="K35" s="311">
        <f t="shared" si="2"/>
        <v>127</v>
      </c>
      <c r="L35" s="714"/>
      <c r="M35" s="715">
        <v>1</v>
      </c>
      <c r="N35" s="715"/>
      <c r="O35" s="311">
        <f t="shared" si="3"/>
        <v>1</v>
      </c>
      <c r="P35" s="721">
        <f t="shared" si="4"/>
        <v>1157</v>
      </c>
      <c r="Q35" s="898">
        <f t="shared" si="5"/>
        <v>559</v>
      </c>
      <c r="R35" s="898">
        <f t="shared" si="6"/>
        <v>340</v>
      </c>
      <c r="S35" s="898">
        <f t="shared" si="7"/>
        <v>257</v>
      </c>
      <c r="T35" s="721">
        <f t="shared" si="8"/>
        <v>1156</v>
      </c>
      <c r="W35" s="717">
        <f t="shared" si="9"/>
        <v>0.13953488372093023</v>
      </c>
      <c r="X35" s="718">
        <f t="shared" si="10"/>
        <v>5.8823529411764705E-2</v>
      </c>
      <c r="Y35" s="719">
        <f t="shared" si="11"/>
        <v>0.11284046692607004</v>
      </c>
      <c r="Z35" s="720">
        <f t="shared" si="12"/>
        <v>0.10986159169550173</v>
      </c>
    </row>
    <row r="36" spans="1:26" x14ac:dyDescent="0.25">
      <c r="A36" s="497" t="s">
        <v>76</v>
      </c>
      <c r="B36" s="432" t="s">
        <v>77</v>
      </c>
      <c r="C36" s="458" t="s">
        <v>267</v>
      </c>
      <c r="D36" s="714">
        <v>36</v>
      </c>
      <c r="E36" s="715">
        <v>13</v>
      </c>
      <c r="F36" s="715">
        <v>5</v>
      </c>
      <c r="G36" s="311">
        <f t="shared" si="1"/>
        <v>54</v>
      </c>
      <c r="H36" s="714">
        <v>2</v>
      </c>
      <c r="I36" s="715"/>
      <c r="J36" s="715">
        <v>5</v>
      </c>
      <c r="K36" s="311">
        <f t="shared" si="2"/>
        <v>7</v>
      </c>
      <c r="L36" s="714"/>
      <c r="M36" s="715"/>
      <c r="N36" s="715"/>
      <c r="O36" s="311">
        <f t="shared" si="3"/>
        <v>0</v>
      </c>
      <c r="P36" s="716">
        <f t="shared" si="4"/>
        <v>61</v>
      </c>
      <c r="Q36" s="897">
        <f t="shared" si="5"/>
        <v>38</v>
      </c>
      <c r="R36" s="897">
        <f t="shared" si="6"/>
        <v>13</v>
      </c>
      <c r="S36" s="897">
        <f t="shared" si="7"/>
        <v>10</v>
      </c>
      <c r="T36" s="716">
        <f t="shared" si="8"/>
        <v>61</v>
      </c>
      <c r="W36" s="717">
        <f t="shared" si="9"/>
        <v>5.2631578947368418E-2</v>
      </c>
      <c r="X36" s="718">
        <f t="shared" si="10"/>
        <v>0</v>
      </c>
      <c r="Y36" s="719">
        <f t="shared" si="11"/>
        <v>0.5</v>
      </c>
      <c r="Z36" s="720">
        <f t="shared" si="12"/>
        <v>0.11475409836065574</v>
      </c>
    </row>
    <row r="37" spans="1:26" x14ac:dyDescent="0.25">
      <c r="A37" s="497" t="s">
        <v>78</v>
      </c>
      <c r="B37" s="432" t="s">
        <v>79</v>
      </c>
      <c r="C37" s="458" t="s">
        <v>268</v>
      </c>
      <c r="D37" s="714">
        <v>10</v>
      </c>
      <c r="E37" s="715">
        <v>5</v>
      </c>
      <c r="F37" s="715"/>
      <c r="G37" s="311">
        <f t="shared" si="1"/>
        <v>15</v>
      </c>
      <c r="H37" s="714">
        <v>3</v>
      </c>
      <c r="I37" s="715"/>
      <c r="J37" s="715"/>
      <c r="K37" s="311">
        <f t="shared" si="2"/>
        <v>3</v>
      </c>
      <c r="L37" s="714"/>
      <c r="M37" s="715"/>
      <c r="N37" s="715"/>
      <c r="O37" s="311">
        <f t="shared" si="3"/>
        <v>0</v>
      </c>
      <c r="P37" s="716">
        <f t="shared" si="4"/>
        <v>18</v>
      </c>
      <c r="Q37" s="897">
        <f t="shared" si="5"/>
        <v>13</v>
      </c>
      <c r="R37" s="897">
        <f t="shared" si="6"/>
        <v>5</v>
      </c>
      <c r="S37" s="897">
        <f t="shared" si="7"/>
        <v>0</v>
      </c>
      <c r="T37" s="716">
        <f t="shared" si="8"/>
        <v>18</v>
      </c>
      <c r="W37" s="717">
        <f t="shared" si="9"/>
        <v>0.23076923076923078</v>
      </c>
      <c r="X37" s="718">
        <f t="shared" si="10"/>
        <v>0</v>
      </c>
      <c r="Y37" s="719" t="str">
        <f t="shared" si="11"/>
        <v>NA</v>
      </c>
      <c r="Z37" s="720">
        <f t="shared" si="12"/>
        <v>0.16666666666666666</v>
      </c>
    </row>
    <row r="38" spans="1:26" x14ac:dyDescent="0.25">
      <c r="A38" s="497" t="s">
        <v>80</v>
      </c>
      <c r="B38" s="432" t="s">
        <v>81</v>
      </c>
      <c r="C38" s="458" t="s">
        <v>266</v>
      </c>
      <c r="D38" s="714">
        <v>18</v>
      </c>
      <c r="E38" s="715">
        <v>11</v>
      </c>
      <c r="F38" s="715"/>
      <c r="G38" s="311">
        <f t="shared" ref="G38:G69" si="13">SUM(D38:F38)</f>
        <v>29</v>
      </c>
      <c r="H38" s="714">
        <v>6</v>
      </c>
      <c r="I38" s="715"/>
      <c r="J38" s="715"/>
      <c r="K38" s="311">
        <f t="shared" ref="K38:K69" si="14">SUM(H38:J38)</f>
        <v>6</v>
      </c>
      <c r="L38" s="714">
        <v>1</v>
      </c>
      <c r="M38" s="715"/>
      <c r="N38" s="715"/>
      <c r="O38" s="311">
        <f t="shared" ref="O38:O69" si="15">SUM(L38:N38)</f>
        <v>1</v>
      </c>
      <c r="P38" s="716">
        <f t="shared" ref="P38:P69" si="16">G38+K38+O38</f>
        <v>36</v>
      </c>
      <c r="Q38" s="897">
        <f t="shared" si="5"/>
        <v>24</v>
      </c>
      <c r="R38" s="897">
        <f t="shared" si="6"/>
        <v>11</v>
      </c>
      <c r="S38" s="897">
        <f t="shared" si="7"/>
        <v>0</v>
      </c>
      <c r="T38" s="716">
        <f t="shared" si="8"/>
        <v>35</v>
      </c>
      <c r="W38" s="717">
        <f t="shared" si="9"/>
        <v>0.25</v>
      </c>
      <c r="X38" s="718">
        <f t="shared" si="10"/>
        <v>0</v>
      </c>
      <c r="Y38" s="719" t="str">
        <f t="shared" si="11"/>
        <v>NA</v>
      </c>
      <c r="Z38" s="720">
        <f t="shared" si="12"/>
        <v>0.17142857142857143</v>
      </c>
    </row>
    <row r="39" spans="1:26" x14ac:dyDescent="0.25">
      <c r="A39" s="497" t="s">
        <v>84</v>
      </c>
      <c r="B39" s="432" t="s">
        <v>308</v>
      </c>
      <c r="C39" s="458" t="s">
        <v>265</v>
      </c>
      <c r="D39" s="714">
        <v>49</v>
      </c>
      <c r="E39" s="715">
        <v>22</v>
      </c>
      <c r="F39" s="715"/>
      <c r="G39" s="311">
        <f t="shared" si="13"/>
        <v>71</v>
      </c>
      <c r="H39" s="714">
        <v>11</v>
      </c>
      <c r="I39" s="715">
        <v>5</v>
      </c>
      <c r="J39" s="715"/>
      <c r="K39" s="311">
        <f t="shared" si="14"/>
        <v>16</v>
      </c>
      <c r="L39" s="714"/>
      <c r="M39" s="715"/>
      <c r="N39" s="715"/>
      <c r="O39" s="311">
        <f t="shared" si="15"/>
        <v>0</v>
      </c>
      <c r="P39" s="716">
        <f t="shared" si="16"/>
        <v>87</v>
      </c>
      <c r="Q39" s="897">
        <f t="shared" si="5"/>
        <v>60</v>
      </c>
      <c r="R39" s="897">
        <f t="shared" si="6"/>
        <v>27</v>
      </c>
      <c r="S39" s="897">
        <f t="shared" si="7"/>
        <v>0</v>
      </c>
      <c r="T39" s="716">
        <f t="shared" ref="T39:T70" si="17">G39+K39</f>
        <v>87</v>
      </c>
      <c r="W39" s="717">
        <f t="shared" si="9"/>
        <v>0.18333333333333332</v>
      </c>
      <c r="X39" s="718">
        <f t="shared" si="10"/>
        <v>0.18518518518518517</v>
      </c>
      <c r="Y39" s="719" t="str">
        <f t="shared" si="11"/>
        <v>NA</v>
      </c>
      <c r="Z39" s="720">
        <f t="shared" si="12"/>
        <v>0.18390804597701149</v>
      </c>
    </row>
    <row r="40" spans="1:26" x14ac:dyDescent="0.25">
      <c r="A40" s="497" t="s">
        <v>86</v>
      </c>
      <c r="B40" s="432" t="s">
        <v>87</v>
      </c>
      <c r="C40" s="458" t="s">
        <v>267</v>
      </c>
      <c r="D40" s="714">
        <v>55</v>
      </c>
      <c r="E40" s="715">
        <v>19</v>
      </c>
      <c r="F40" s="715"/>
      <c r="G40" s="311">
        <f t="shared" si="13"/>
        <v>74</v>
      </c>
      <c r="H40" s="714"/>
      <c r="I40" s="715"/>
      <c r="J40" s="715"/>
      <c r="K40" s="311">
        <f t="shared" si="14"/>
        <v>0</v>
      </c>
      <c r="L40" s="714"/>
      <c r="M40" s="715"/>
      <c r="N40" s="715"/>
      <c r="O40" s="311">
        <f t="shared" si="15"/>
        <v>0</v>
      </c>
      <c r="P40" s="716">
        <f t="shared" si="16"/>
        <v>74</v>
      </c>
      <c r="Q40" s="897">
        <f t="shared" si="5"/>
        <v>55</v>
      </c>
      <c r="R40" s="897">
        <f t="shared" si="6"/>
        <v>19</v>
      </c>
      <c r="S40" s="897">
        <f t="shared" si="7"/>
        <v>0</v>
      </c>
      <c r="T40" s="716">
        <f t="shared" si="17"/>
        <v>74</v>
      </c>
      <c r="W40" s="717">
        <f t="shared" si="9"/>
        <v>0</v>
      </c>
      <c r="X40" s="718">
        <f t="shared" si="10"/>
        <v>0</v>
      </c>
      <c r="Y40" s="719" t="str">
        <f t="shared" si="11"/>
        <v>NA</v>
      </c>
      <c r="Z40" s="720">
        <f t="shared" si="12"/>
        <v>0</v>
      </c>
    </row>
    <row r="41" spans="1:26" x14ac:dyDescent="0.25">
      <c r="A41" s="497" t="s">
        <v>92</v>
      </c>
      <c r="B41" s="432" t="s">
        <v>93</v>
      </c>
      <c r="C41" s="458" t="s">
        <v>268</v>
      </c>
      <c r="D41" s="714">
        <v>20</v>
      </c>
      <c r="E41" s="715">
        <v>6</v>
      </c>
      <c r="F41" s="715"/>
      <c r="G41" s="311">
        <f t="shared" si="13"/>
        <v>26</v>
      </c>
      <c r="H41" s="714">
        <v>4</v>
      </c>
      <c r="I41" s="715">
        <v>2</v>
      </c>
      <c r="J41" s="715"/>
      <c r="K41" s="311">
        <f t="shared" si="14"/>
        <v>6</v>
      </c>
      <c r="L41" s="714">
        <v>1</v>
      </c>
      <c r="M41" s="715"/>
      <c r="N41" s="715"/>
      <c r="O41" s="311">
        <f t="shared" si="15"/>
        <v>1</v>
      </c>
      <c r="P41" s="716">
        <f t="shared" si="16"/>
        <v>33</v>
      </c>
      <c r="Q41" s="897">
        <f t="shared" si="5"/>
        <v>24</v>
      </c>
      <c r="R41" s="897">
        <f t="shared" si="6"/>
        <v>8</v>
      </c>
      <c r="S41" s="897">
        <f t="shared" si="7"/>
        <v>0</v>
      </c>
      <c r="T41" s="716">
        <f t="shared" si="17"/>
        <v>32</v>
      </c>
      <c r="W41" s="717">
        <f t="shared" si="9"/>
        <v>0.16666666666666666</v>
      </c>
      <c r="X41" s="718">
        <f t="shared" si="10"/>
        <v>0.25</v>
      </c>
      <c r="Y41" s="719" t="str">
        <f t="shared" si="11"/>
        <v>NA</v>
      </c>
      <c r="Z41" s="720">
        <f t="shared" si="12"/>
        <v>0.1875</v>
      </c>
    </row>
    <row r="42" spans="1:26" x14ac:dyDescent="0.25">
      <c r="A42" s="497" t="s">
        <v>94</v>
      </c>
      <c r="B42" s="432" t="s">
        <v>95</v>
      </c>
      <c r="C42" s="458" t="s">
        <v>264</v>
      </c>
      <c r="D42" s="714">
        <v>31</v>
      </c>
      <c r="E42" s="715">
        <v>14</v>
      </c>
      <c r="F42" s="715"/>
      <c r="G42" s="311">
        <f t="shared" si="13"/>
        <v>45</v>
      </c>
      <c r="H42" s="714">
        <v>1</v>
      </c>
      <c r="I42" s="715">
        <v>4</v>
      </c>
      <c r="J42" s="715"/>
      <c r="K42" s="311">
        <f t="shared" si="14"/>
        <v>5</v>
      </c>
      <c r="L42" s="714"/>
      <c r="M42" s="715"/>
      <c r="N42" s="715"/>
      <c r="O42" s="311">
        <f t="shared" si="15"/>
        <v>0</v>
      </c>
      <c r="P42" s="716">
        <f t="shared" si="16"/>
        <v>50</v>
      </c>
      <c r="Q42" s="897">
        <f t="shared" si="5"/>
        <v>32</v>
      </c>
      <c r="R42" s="897">
        <f t="shared" si="6"/>
        <v>18</v>
      </c>
      <c r="S42" s="897">
        <f t="shared" si="7"/>
        <v>0</v>
      </c>
      <c r="T42" s="716">
        <f t="shared" si="17"/>
        <v>50</v>
      </c>
      <c r="W42" s="717">
        <f t="shared" si="9"/>
        <v>3.125E-2</v>
      </c>
      <c r="X42" s="718">
        <f t="shared" si="10"/>
        <v>0.22222222222222221</v>
      </c>
      <c r="Y42" s="719" t="str">
        <f t="shared" si="11"/>
        <v>NA</v>
      </c>
      <c r="Z42" s="720">
        <f t="shared" si="12"/>
        <v>0.1</v>
      </c>
    </row>
    <row r="43" spans="1:26" x14ac:dyDescent="0.25">
      <c r="A43" s="497" t="s">
        <v>96</v>
      </c>
      <c r="B43" s="432" t="s">
        <v>97</v>
      </c>
      <c r="C43" s="458" t="s">
        <v>266</v>
      </c>
      <c r="D43" s="714">
        <v>15</v>
      </c>
      <c r="E43" s="715">
        <v>8</v>
      </c>
      <c r="F43" s="715"/>
      <c r="G43" s="311">
        <f t="shared" si="13"/>
        <v>23</v>
      </c>
      <c r="H43" s="714">
        <v>6</v>
      </c>
      <c r="I43" s="715"/>
      <c r="J43" s="715"/>
      <c r="K43" s="311">
        <f t="shared" si="14"/>
        <v>6</v>
      </c>
      <c r="L43" s="714"/>
      <c r="M43" s="715"/>
      <c r="N43" s="715"/>
      <c r="O43" s="311">
        <f t="shared" si="15"/>
        <v>0</v>
      </c>
      <c r="P43" s="716">
        <f t="shared" si="16"/>
        <v>29</v>
      </c>
      <c r="Q43" s="897">
        <f t="shared" si="5"/>
        <v>21</v>
      </c>
      <c r="R43" s="897">
        <f t="shared" si="6"/>
        <v>8</v>
      </c>
      <c r="S43" s="897">
        <f t="shared" si="7"/>
        <v>0</v>
      </c>
      <c r="T43" s="716">
        <f t="shared" si="17"/>
        <v>29</v>
      </c>
      <c r="W43" s="717">
        <f t="shared" si="9"/>
        <v>0.2857142857142857</v>
      </c>
      <c r="X43" s="718">
        <f t="shared" si="10"/>
        <v>0</v>
      </c>
      <c r="Y43" s="719" t="str">
        <f t="shared" si="11"/>
        <v>NA</v>
      </c>
      <c r="Z43" s="720">
        <f t="shared" si="12"/>
        <v>0.20689655172413793</v>
      </c>
    </row>
    <row r="44" spans="1:26" x14ac:dyDescent="0.25">
      <c r="A44" s="497" t="s">
        <v>98</v>
      </c>
      <c r="B44" s="432" t="s">
        <v>99</v>
      </c>
      <c r="C44" s="458" t="s">
        <v>268</v>
      </c>
      <c r="D44" s="714">
        <v>15</v>
      </c>
      <c r="E44" s="715">
        <v>6</v>
      </c>
      <c r="F44" s="715"/>
      <c r="G44" s="311">
        <f t="shared" si="13"/>
        <v>21</v>
      </c>
      <c r="H44" s="714">
        <v>2</v>
      </c>
      <c r="I44" s="715">
        <v>2</v>
      </c>
      <c r="J44" s="715">
        <v>1</v>
      </c>
      <c r="K44" s="311">
        <f t="shared" si="14"/>
        <v>5</v>
      </c>
      <c r="L44" s="714"/>
      <c r="M44" s="715"/>
      <c r="N44" s="715"/>
      <c r="O44" s="311">
        <f t="shared" si="15"/>
        <v>0</v>
      </c>
      <c r="P44" s="716">
        <f t="shared" si="16"/>
        <v>26</v>
      </c>
      <c r="Q44" s="897">
        <f t="shared" si="5"/>
        <v>17</v>
      </c>
      <c r="R44" s="897">
        <f t="shared" si="6"/>
        <v>8</v>
      </c>
      <c r="S44" s="897">
        <f t="shared" si="7"/>
        <v>1</v>
      </c>
      <c r="T44" s="716">
        <f t="shared" si="17"/>
        <v>26</v>
      </c>
      <c r="W44" s="717">
        <f t="shared" si="9"/>
        <v>0.11764705882352941</v>
      </c>
      <c r="X44" s="718">
        <f t="shared" si="10"/>
        <v>0.25</v>
      </c>
      <c r="Y44" s="719">
        <f t="shared" si="11"/>
        <v>1</v>
      </c>
      <c r="Z44" s="720">
        <f t="shared" si="12"/>
        <v>0.19230769230769232</v>
      </c>
    </row>
    <row r="45" spans="1:26" x14ac:dyDescent="0.25">
      <c r="A45" s="497" t="s">
        <v>100</v>
      </c>
      <c r="B45" s="432" t="s">
        <v>101</v>
      </c>
      <c r="C45" s="458" t="s">
        <v>267</v>
      </c>
      <c r="D45" s="714">
        <v>13</v>
      </c>
      <c r="E45" s="715">
        <v>9</v>
      </c>
      <c r="F45" s="715"/>
      <c r="G45" s="311">
        <f t="shared" si="13"/>
        <v>22</v>
      </c>
      <c r="H45" s="714"/>
      <c r="I45" s="715">
        <v>1</v>
      </c>
      <c r="J45" s="715"/>
      <c r="K45" s="311">
        <f t="shared" si="14"/>
        <v>1</v>
      </c>
      <c r="L45" s="714"/>
      <c r="M45" s="715"/>
      <c r="N45" s="715"/>
      <c r="O45" s="311">
        <f t="shared" si="15"/>
        <v>0</v>
      </c>
      <c r="P45" s="716">
        <f t="shared" si="16"/>
        <v>23</v>
      </c>
      <c r="Q45" s="897">
        <f t="shared" si="5"/>
        <v>13</v>
      </c>
      <c r="R45" s="897">
        <f t="shared" si="6"/>
        <v>10</v>
      </c>
      <c r="S45" s="897">
        <f t="shared" si="7"/>
        <v>0</v>
      </c>
      <c r="T45" s="716">
        <f t="shared" si="17"/>
        <v>23</v>
      </c>
      <c r="W45" s="717">
        <f t="shared" si="9"/>
        <v>0</v>
      </c>
      <c r="X45" s="718">
        <f t="shared" si="10"/>
        <v>0.1</v>
      </c>
      <c r="Y45" s="719" t="str">
        <f t="shared" si="11"/>
        <v>NA</v>
      </c>
      <c r="Z45" s="720">
        <f t="shared" si="12"/>
        <v>4.3478260869565216E-2</v>
      </c>
    </row>
    <row r="46" spans="1:26" x14ac:dyDescent="0.25">
      <c r="A46" s="497" t="s">
        <v>102</v>
      </c>
      <c r="B46" s="432" t="s">
        <v>282</v>
      </c>
      <c r="C46" s="458" t="s">
        <v>264</v>
      </c>
      <c r="D46" s="714">
        <v>21</v>
      </c>
      <c r="E46" s="715">
        <v>11</v>
      </c>
      <c r="F46" s="715">
        <v>1</v>
      </c>
      <c r="G46" s="311">
        <f t="shared" si="13"/>
        <v>33</v>
      </c>
      <c r="H46" s="714">
        <v>4</v>
      </c>
      <c r="I46" s="715">
        <v>3</v>
      </c>
      <c r="J46" s="715"/>
      <c r="K46" s="311">
        <f t="shared" si="14"/>
        <v>7</v>
      </c>
      <c r="L46" s="714"/>
      <c r="M46" s="715"/>
      <c r="N46" s="715"/>
      <c r="O46" s="311">
        <f t="shared" si="15"/>
        <v>0</v>
      </c>
      <c r="P46" s="716">
        <f t="shared" si="16"/>
        <v>40</v>
      </c>
      <c r="Q46" s="897">
        <f t="shared" si="5"/>
        <v>25</v>
      </c>
      <c r="R46" s="897">
        <f t="shared" si="6"/>
        <v>14</v>
      </c>
      <c r="S46" s="897">
        <f t="shared" si="7"/>
        <v>1</v>
      </c>
      <c r="T46" s="716">
        <f t="shared" si="17"/>
        <v>40</v>
      </c>
      <c r="W46" s="717">
        <f t="shared" si="9"/>
        <v>0.16</v>
      </c>
      <c r="X46" s="718">
        <f t="shared" si="10"/>
        <v>0.21428571428571427</v>
      </c>
      <c r="Y46" s="719">
        <f t="shared" si="11"/>
        <v>0</v>
      </c>
      <c r="Z46" s="720">
        <f t="shared" si="12"/>
        <v>0.17499999999999999</v>
      </c>
    </row>
    <row r="47" spans="1:26" x14ac:dyDescent="0.25">
      <c r="A47" s="497" t="s">
        <v>104</v>
      </c>
      <c r="B47" s="432" t="s">
        <v>602</v>
      </c>
      <c r="C47" s="458" t="s">
        <v>265</v>
      </c>
      <c r="D47" s="714">
        <v>40</v>
      </c>
      <c r="E47" s="715">
        <v>16</v>
      </c>
      <c r="F47" s="715">
        <v>1</v>
      </c>
      <c r="G47" s="311">
        <f t="shared" si="13"/>
        <v>57</v>
      </c>
      <c r="H47" s="714">
        <v>7</v>
      </c>
      <c r="I47" s="715">
        <v>3</v>
      </c>
      <c r="J47" s="715"/>
      <c r="K47" s="311">
        <f t="shared" si="14"/>
        <v>10</v>
      </c>
      <c r="L47" s="714"/>
      <c r="M47" s="715"/>
      <c r="N47" s="715"/>
      <c r="O47" s="311">
        <f t="shared" si="15"/>
        <v>0</v>
      </c>
      <c r="P47" s="716">
        <f t="shared" si="16"/>
        <v>67</v>
      </c>
      <c r="Q47" s="897">
        <f t="shared" si="5"/>
        <v>47</v>
      </c>
      <c r="R47" s="897">
        <f t="shared" si="6"/>
        <v>19</v>
      </c>
      <c r="S47" s="897">
        <f t="shared" si="7"/>
        <v>1</v>
      </c>
      <c r="T47" s="716">
        <f t="shared" si="17"/>
        <v>67</v>
      </c>
      <c r="W47" s="717">
        <f t="shared" si="9"/>
        <v>0.14893617021276595</v>
      </c>
      <c r="X47" s="718">
        <f t="shared" si="10"/>
        <v>0.15789473684210525</v>
      </c>
      <c r="Y47" s="719">
        <f t="shared" si="11"/>
        <v>0</v>
      </c>
      <c r="Z47" s="720">
        <f t="shared" si="12"/>
        <v>0.14925373134328357</v>
      </c>
    </row>
    <row r="48" spans="1:26" x14ac:dyDescent="0.25">
      <c r="A48" s="497" t="s">
        <v>108</v>
      </c>
      <c r="B48" s="432" t="s">
        <v>109</v>
      </c>
      <c r="C48" s="458" t="s">
        <v>266</v>
      </c>
      <c r="D48" s="714">
        <v>35</v>
      </c>
      <c r="E48" s="715">
        <v>19</v>
      </c>
      <c r="F48" s="715">
        <v>1</v>
      </c>
      <c r="G48" s="311">
        <f t="shared" si="13"/>
        <v>55</v>
      </c>
      <c r="H48" s="714">
        <v>6</v>
      </c>
      <c r="I48" s="715"/>
      <c r="J48" s="715"/>
      <c r="K48" s="311">
        <f t="shared" si="14"/>
        <v>6</v>
      </c>
      <c r="L48" s="714">
        <v>1</v>
      </c>
      <c r="M48" s="715"/>
      <c r="N48" s="715"/>
      <c r="O48" s="311">
        <f t="shared" si="15"/>
        <v>1</v>
      </c>
      <c r="P48" s="716">
        <f t="shared" si="16"/>
        <v>62</v>
      </c>
      <c r="Q48" s="897">
        <f t="shared" si="5"/>
        <v>41</v>
      </c>
      <c r="R48" s="897">
        <f t="shared" si="6"/>
        <v>19</v>
      </c>
      <c r="S48" s="897">
        <f t="shared" si="7"/>
        <v>1</v>
      </c>
      <c r="T48" s="716">
        <f t="shared" si="17"/>
        <v>61</v>
      </c>
      <c r="W48" s="717">
        <f t="shared" si="9"/>
        <v>0.14634146341463414</v>
      </c>
      <c r="X48" s="718">
        <f t="shared" si="10"/>
        <v>0</v>
      </c>
      <c r="Y48" s="719">
        <f t="shared" si="11"/>
        <v>0</v>
      </c>
      <c r="Z48" s="720">
        <f t="shared" si="12"/>
        <v>9.8360655737704916E-2</v>
      </c>
    </row>
    <row r="49" spans="1:26" x14ac:dyDescent="0.25">
      <c r="A49" s="497" t="s">
        <v>110</v>
      </c>
      <c r="B49" s="432" t="s">
        <v>111</v>
      </c>
      <c r="C49" s="458" t="s">
        <v>266</v>
      </c>
      <c r="D49" s="714">
        <v>136</v>
      </c>
      <c r="E49" s="715">
        <v>64</v>
      </c>
      <c r="F49" s="715">
        <v>6</v>
      </c>
      <c r="G49" s="311">
        <f t="shared" si="13"/>
        <v>206</v>
      </c>
      <c r="H49" s="714">
        <v>13</v>
      </c>
      <c r="I49" s="715">
        <v>17</v>
      </c>
      <c r="J49" s="715">
        <v>4</v>
      </c>
      <c r="K49" s="311">
        <f t="shared" si="14"/>
        <v>34</v>
      </c>
      <c r="L49" s="714"/>
      <c r="M49" s="715">
        <v>3</v>
      </c>
      <c r="N49" s="715"/>
      <c r="O49" s="311">
        <f t="shared" si="15"/>
        <v>3</v>
      </c>
      <c r="P49" s="716">
        <f t="shared" si="16"/>
        <v>243</v>
      </c>
      <c r="Q49" s="897">
        <f t="shared" si="5"/>
        <v>149</v>
      </c>
      <c r="R49" s="897">
        <f t="shared" si="6"/>
        <v>81</v>
      </c>
      <c r="S49" s="897">
        <f t="shared" si="7"/>
        <v>10</v>
      </c>
      <c r="T49" s="716">
        <f t="shared" si="17"/>
        <v>240</v>
      </c>
      <c r="W49" s="717">
        <f t="shared" si="9"/>
        <v>8.7248322147651006E-2</v>
      </c>
      <c r="X49" s="718">
        <f t="shared" si="10"/>
        <v>0.20987654320987653</v>
      </c>
      <c r="Y49" s="719">
        <f t="shared" si="11"/>
        <v>0.4</v>
      </c>
      <c r="Z49" s="720">
        <f t="shared" si="12"/>
        <v>0.14166666666666666</v>
      </c>
    </row>
    <row r="50" spans="1:26" x14ac:dyDescent="0.25">
      <c r="A50" s="497" t="s">
        <v>112</v>
      </c>
      <c r="B50" s="432" t="s">
        <v>300</v>
      </c>
      <c r="C50" s="458" t="s">
        <v>265</v>
      </c>
      <c r="D50" s="714">
        <v>64</v>
      </c>
      <c r="E50" s="715">
        <v>20</v>
      </c>
      <c r="F50" s="715">
        <v>3</v>
      </c>
      <c r="G50" s="311">
        <f t="shared" si="13"/>
        <v>87</v>
      </c>
      <c r="H50" s="714">
        <v>10</v>
      </c>
      <c r="I50" s="715">
        <v>5</v>
      </c>
      <c r="J50" s="715">
        <v>1</v>
      </c>
      <c r="K50" s="311">
        <f t="shared" si="14"/>
        <v>16</v>
      </c>
      <c r="L50" s="714"/>
      <c r="M50" s="715"/>
      <c r="N50" s="715"/>
      <c r="O50" s="311">
        <f t="shared" si="15"/>
        <v>0</v>
      </c>
      <c r="P50" s="716">
        <f t="shared" si="16"/>
        <v>103</v>
      </c>
      <c r="Q50" s="897">
        <f t="shared" si="5"/>
        <v>74</v>
      </c>
      <c r="R50" s="897">
        <f t="shared" si="6"/>
        <v>25</v>
      </c>
      <c r="S50" s="897">
        <f t="shared" si="7"/>
        <v>4</v>
      </c>
      <c r="T50" s="716">
        <f t="shared" si="17"/>
        <v>103</v>
      </c>
      <c r="W50" s="717">
        <f t="shared" si="9"/>
        <v>0.13513513513513514</v>
      </c>
      <c r="X50" s="718">
        <f t="shared" si="10"/>
        <v>0.2</v>
      </c>
      <c r="Y50" s="719">
        <f t="shared" si="11"/>
        <v>0.25</v>
      </c>
      <c r="Z50" s="720">
        <f t="shared" si="12"/>
        <v>0.1553398058252427</v>
      </c>
    </row>
    <row r="51" spans="1:26" x14ac:dyDescent="0.25">
      <c r="A51" s="497" t="s">
        <v>114</v>
      </c>
      <c r="B51" s="432" t="s">
        <v>115</v>
      </c>
      <c r="C51" s="458" t="s">
        <v>265</v>
      </c>
      <c r="D51" s="714">
        <v>3</v>
      </c>
      <c r="E51" s="715">
        <v>2</v>
      </c>
      <c r="F51" s="715"/>
      <c r="G51" s="311">
        <f t="shared" si="13"/>
        <v>5</v>
      </c>
      <c r="H51" s="714">
        <v>1</v>
      </c>
      <c r="I51" s="715"/>
      <c r="J51" s="715"/>
      <c r="K51" s="311">
        <f t="shared" si="14"/>
        <v>1</v>
      </c>
      <c r="L51" s="714"/>
      <c r="M51" s="715"/>
      <c r="N51" s="715"/>
      <c r="O51" s="311">
        <f t="shared" si="15"/>
        <v>0</v>
      </c>
      <c r="P51" s="716">
        <f t="shared" si="16"/>
        <v>6</v>
      </c>
      <c r="Q51" s="897">
        <f t="shared" si="5"/>
        <v>4</v>
      </c>
      <c r="R51" s="897">
        <f t="shared" si="6"/>
        <v>2</v>
      </c>
      <c r="S51" s="897">
        <f t="shared" si="7"/>
        <v>0</v>
      </c>
      <c r="T51" s="716">
        <f t="shared" si="17"/>
        <v>6</v>
      </c>
      <c r="W51" s="717">
        <f t="shared" si="9"/>
        <v>0.25</v>
      </c>
      <c r="X51" s="718">
        <f t="shared" si="10"/>
        <v>0</v>
      </c>
      <c r="Y51" s="719" t="str">
        <f t="shared" si="11"/>
        <v>NA</v>
      </c>
      <c r="Z51" s="720">
        <f t="shared" si="12"/>
        <v>0.16666666666666666</v>
      </c>
    </row>
    <row r="52" spans="1:26" x14ac:dyDescent="0.25">
      <c r="A52" s="497" t="s">
        <v>118</v>
      </c>
      <c r="B52" s="432" t="s">
        <v>119</v>
      </c>
      <c r="C52" s="458" t="s">
        <v>264</v>
      </c>
      <c r="D52" s="714">
        <v>26</v>
      </c>
      <c r="E52" s="715">
        <v>14</v>
      </c>
      <c r="F52" s="715"/>
      <c r="G52" s="311">
        <f t="shared" si="13"/>
        <v>40</v>
      </c>
      <c r="H52" s="714">
        <v>3</v>
      </c>
      <c r="I52" s="715">
        <v>2</v>
      </c>
      <c r="J52" s="715">
        <v>3</v>
      </c>
      <c r="K52" s="311">
        <f t="shared" si="14"/>
        <v>8</v>
      </c>
      <c r="L52" s="714"/>
      <c r="M52" s="715"/>
      <c r="N52" s="715"/>
      <c r="O52" s="311">
        <f t="shared" si="15"/>
        <v>0</v>
      </c>
      <c r="P52" s="716">
        <f t="shared" si="16"/>
        <v>48</v>
      </c>
      <c r="Q52" s="897">
        <f t="shared" si="5"/>
        <v>29</v>
      </c>
      <c r="R52" s="897">
        <f t="shared" si="6"/>
        <v>16</v>
      </c>
      <c r="S52" s="897">
        <f t="shared" si="7"/>
        <v>3</v>
      </c>
      <c r="T52" s="716">
        <f t="shared" si="17"/>
        <v>48</v>
      </c>
      <c r="W52" s="717">
        <f t="shared" si="9"/>
        <v>0.10344827586206896</v>
      </c>
      <c r="X52" s="718">
        <f t="shared" si="10"/>
        <v>0.125</v>
      </c>
      <c r="Y52" s="719">
        <f t="shared" si="11"/>
        <v>1</v>
      </c>
      <c r="Z52" s="720">
        <f t="shared" si="12"/>
        <v>0.16666666666666666</v>
      </c>
    </row>
    <row r="53" spans="1:26" x14ac:dyDescent="0.25">
      <c r="A53" s="497" t="s">
        <v>120</v>
      </c>
      <c r="B53" s="432" t="s">
        <v>121</v>
      </c>
      <c r="C53" s="458" t="s">
        <v>264</v>
      </c>
      <c r="D53" s="714">
        <v>31</v>
      </c>
      <c r="E53" s="715">
        <v>24</v>
      </c>
      <c r="F53" s="715"/>
      <c r="G53" s="311">
        <f t="shared" si="13"/>
        <v>55</v>
      </c>
      <c r="H53" s="714">
        <v>8</v>
      </c>
      <c r="I53" s="715"/>
      <c r="J53" s="715"/>
      <c r="K53" s="311">
        <f t="shared" si="14"/>
        <v>8</v>
      </c>
      <c r="L53" s="714"/>
      <c r="M53" s="715"/>
      <c r="N53" s="715"/>
      <c r="O53" s="311">
        <f t="shared" si="15"/>
        <v>0</v>
      </c>
      <c r="P53" s="716">
        <f t="shared" si="16"/>
        <v>63</v>
      </c>
      <c r="Q53" s="897">
        <f t="shared" si="5"/>
        <v>39</v>
      </c>
      <c r="R53" s="897">
        <f t="shared" si="6"/>
        <v>24</v>
      </c>
      <c r="S53" s="897">
        <f t="shared" si="7"/>
        <v>0</v>
      </c>
      <c r="T53" s="716">
        <f t="shared" si="17"/>
        <v>63</v>
      </c>
      <c r="W53" s="717">
        <f t="shared" si="9"/>
        <v>0.20512820512820512</v>
      </c>
      <c r="X53" s="718">
        <f t="shared" si="10"/>
        <v>0</v>
      </c>
      <c r="Y53" s="719" t="str">
        <f t="shared" si="11"/>
        <v>NA</v>
      </c>
      <c r="Z53" s="720">
        <f t="shared" si="12"/>
        <v>0.12698412698412698</v>
      </c>
    </row>
    <row r="54" spans="1:26" x14ac:dyDescent="0.25">
      <c r="A54" s="497" t="s">
        <v>122</v>
      </c>
      <c r="B54" s="432" t="s">
        <v>271</v>
      </c>
      <c r="C54" s="458" t="s">
        <v>266</v>
      </c>
      <c r="D54" s="714">
        <v>6</v>
      </c>
      <c r="E54" s="715">
        <v>5</v>
      </c>
      <c r="F54" s="715"/>
      <c r="G54" s="311">
        <f t="shared" si="13"/>
        <v>11</v>
      </c>
      <c r="H54" s="714">
        <v>6</v>
      </c>
      <c r="I54" s="715">
        <v>4</v>
      </c>
      <c r="J54" s="715"/>
      <c r="K54" s="311">
        <f t="shared" si="14"/>
        <v>10</v>
      </c>
      <c r="L54" s="714"/>
      <c r="M54" s="715"/>
      <c r="N54" s="715"/>
      <c r="O54" s="311">
        <f t="shared" si="15"/>
        <v>0</v>
      </c>
      <c r="P54" s="716">
        <f t="shared" si="16"/>
        <v>21</v>
      </c>
      <c r="Q54" s="897">
        <f t="shared" si="5"/>
        <v>12</v>
      </c>
      <c r="R54" s="897">
        <f t="shared" si="6"/>
        <v>9</v>
      </c>
      <c r="S54" s="897">
        <f t="shared" si="7"/>
        <v>0</v>
      </c>
      <c r="T54" s="716">
        <f t="shared" si="17"/>
        <v>21</v>
      </c>
      <c r="W54" s="717">
        <f t="shared" si="9"/>
        <v>0.5</v>
      </c>
      <c r="X54" s="718">
        <f t="shared" si="10"/>
        <v>0.44444444444444442</v>
      </c>
      <c r="Y54" s="719" t="str">
        <f t="shared" si="11"/>
        <v>NA</v>
      </c>
      <c r="Z54" s="720">
        <f t="shared" si="12"/>
        <v>0.47619047619047616</v>
      </c>
    </row>
    <row r="55" spans="1:26" x14ac:dyDescent="0.25">
      <c r="A55" s="497" t="s">
        <v>124</v>
      </c>
      <c r="B55" s="432" t="s">
        <v>125</v>
      </c>
      <c r="C55" s="458" t="s">
        <v>267</v>
      </c>
      <c r="D55" s="714">
        <v>14</v>
      </c>
      <c r="E55" s="715">
        <v>5</v>
      </c>
      <c r="F55" s="715"/>
      <c r="G55" s="311">
        <f t="shared" si="13"/>
        <v>19</v>
      </c>
      <c r="H55" s="714"/>
      <c r="I55" s="715">
        <v>1</v>
      </c>
      <c r="J55" s="715"/>
      <c r="K55" s="311">
        <f t="shared" si="14"/>
        <v>1</v>
      </c>
      <c r="L55" s="714"/>
      <c r="M55" s="715"/>
      <c r="N55" s="715"/>
      <c r="O55" s="311">
        <f t="shared" si="15"/>
        <v>0</v>
      </c>
      <c r="P55" s="716">
        <f t="shared" si="16"/>
        <v>20</v>
      </c>
      <c r="Q55" s="897">
        <f t="shared" si="5"/>
        <v>14</v>
      </c>
      <c r="R55" s="897">
        <f t="shared" si="6"/>
        <v>6</v>
      </c>
      <c r="S55" s="897">
        <f t="shared" si="7"/>
        <v>0</v>
      </c>
      <c r="T55" s="716">
        <f t="shared" si="17"/>
        <v>20</v>
      </c>
      <c r="W55" s="717">
        <f t="shared" si="9"/>
        <v>0</v>
      </c>
      <c r="X55" s="718">
        <f t="shared" si="10"/>
        <v>0.16666666666666666</v>
      </c>
      <c r="Y55" s="719" t="str">
        <f t="shared" si="11"/>
        <v>NA</v>
      </c>
      <c r="Z55" s="720">
        <f t="shared" si="12"/>
        <v>0.05</v>
      </c>
    </row>
    <row r="56" spans="1:26" x14ac:dyDescent="0.25">
      <c r="A56" s="497" t="s">
        <v>126</v>
      </c>
      <c r="B56" s="432" t="s">
        <v>127</v>
      </c>
      <c r="C56" s="458" t="s">
        <v>266</v>
      </c>
      <c r="D56" s="714">
        <v>7</v>
      </c>
      <c r="E56" s="715">
        <v>6</v>
      </c>
      <c r="F56" s="715"/>
      <c r="G56" s="311">
        <f t="shared" si="13"/>
        <v>13</v>
      </c>
      <c r="H56" s="714">
        <v>3</v>
      </c>
      <c r="I56" s="715">
        <v>3</v>
      </c>
      <c r="J56" s="715"/>
      <c r="K56" s="311">
        <f t="shared" si="14"/>
        <v>6</v>
      </c>
      <c r="L56" s="714"/>
      <c r="M56" s="715"/>
      <c r="N56" s="715"/>
      <c r="O56" s="311">
        <f t="shared" si="15"/>
        <v>0</v>
      </c>
      <c r="P56" s="716">
        <f t="shared" si="16"/>
        <v>19</v>
      </c>
      <c r="Q56" s="897">
        <f t="shared" si="5"/>
        <v>10</v>
      </c>
      <c r="R56" s="897">
        <f t="shared" si="6"/>
        <v>9</v>
      </c>
      <c r="S56" s="897">
        <f t="shared" si="7"/>
        <v>0</v>
      </c>
      <c r="T56" s="716">
        <f t="shared" si="17"/>
        <v>19</v>
      </c>
      <c r="W56" s="717">
        <f t="shared" si="9"/>
        <v>0.3</v>
      </c>
      <c r="X56" s="718">
        <f t="shared" si="10"/>
        <v>0.33333333333333331</v>
      </c>
      <c r="Y56" s="719" t="str">
        <f t="shared" si="11"/>
        <v>NA</v>
      </c>
      <c r="Z56" s="720">
        <f t="shared" si="12"/>
        <v>0.31578947368421051</v>
      </c>
    </row>
    <row r="57" spans="1:26" x14ac:dyDescent="0.25">
      <c r="A57" s="497" t="s">
        <v>128</v>
      </c>
      <c r="B57" s="432" t="s">
        <v>129</v>
      </c>
      <c r="C57" s="458" t="s">
        <v>266</v>
      </c>
      <c r="D57" s="714">
        <v>12</v>
      </c>
      <c r="E57" s="715">
        <v>7</v>
      </c>
      <c r="F57" s="715"/>
      <c r="G57" s="311">
        <f t="shared" si="13"/>
        <v>19</v>
      </c>
      <c r="H57" s="714">
        <v>6</v>
      </c>
      <c r="I57" s="715">
        <v>2</v>
      </c>
      <c r="J57" s="715"/>
      <c r="K57" s="311">
        <f t="shared" si="14"/>
        <v>8</v>
      </c>
      <c r="L57" s="714"/>
      <c r="M57" s="715"/>
      <c r="N57" s="715"/>
      <c r="O57" s="311">
        <f t="shared" si="15"/>
        <v>0</v>
      </c>
      <c r="P57" s="716">
        <f t="shared" si="16"/>
        <v>27</v>
      </c>
      <c r="Q57" s="897">
        <f t="shared" si="5"/>
        <v>18</v>
      </c>
      <c r="R57" s="897">
        <f t="shared" si="6"/>
        <v>9</v>
      </c>
      <c r="S57" s="897">
        <f t="shared" si="7"/>
        <v>0</v>
      </c>
      <c r="T57" s="716">
        <f t="shared" si="17"/>
        <v>27</v>
      </c>
      <c r="W57" s="717">
        <f t="shared" si="9"/>
        <v>0.33333333333333331</v>
      </c>
      <c r="X57" s="718">
        <f t="shared" si="10"/>
        <v>0.22222222222222221</v>
      </c>
      <c r="Y57" s="719" t="str">
        <f t="shared" si="11"/>
        <v>NA</v>
      </c>
      <c r="Z57" s="720">
        <f t="shared" si="12"/>
        <v>0.29629629629629628</v>
      </c>
    </row>
    <row r="58" spans="1:26" x14ac:dyDescent="0.25">
      <c r="A58" s="497" t="s">
        <v>130</v>
      </c>
      <c r="B58" s="432" t="s">
        <v>131</v>
      </c>
      <c r="C58" s="458" t="s">
        <v>268</v>
      </c>
      <c r="D58" s="714">
        <v>32</v>
      </c>
      <c r="E58" s="715">
        <v>15</v>
      </c>
      <c r="F58" s="715"/>
      <c r="G58" s="311">
        <f t="shared" si="13"/>
        <v>47</v>
      </c>
      <c r="H58" s="714">
        <v>11</v>
      </c>
      <c r="I58" s="715">
        <v>2</v>
      </c>
      <c r="J58" s="715"/>
      <c r="K58" s="311">
        <f t="shared" si="14"/>
        <v>13</v>
      </c>
      <c r="L58" s="714">
        <v>2</v>
      </c>
      <c r="M58" s="715"/>
      <c r="N58" s="715"/>
      <c r="O58" s="311">
        <f t="shared" si="15"/>
        <v>2</v>
      </c>
      <c r="P58" s="716">
        <f t="shared" si="16"/>
        <v>62</v>
      </c>
      <c r="Q58" s="897">
        <f t="shared" si="5"/>
        <v>43</v>
      </c>
      <c r="R58" s="897">
        <f t="shared" si="6"/>
        <v>17</v>
      </c>
      <c r="S58" s="897">
        <f t="shared" si="7"/>
        <v>0</v>
      </c>
      <c r="T58" s="716">
        <f t="shared" si="17"/>
        <v>60</v>
      </c>
      <c r="W58" s="717">
        <f t="shared" si="9"/>
        <v>0.2558139534883721</v>
      </c>
      <c r="X58" s="718">
        <f t="shared" si="10"/>
        <v>0.11764705882352941</v>
      </c>
      <c r="Y58" s="719" t="str">
        <f t="shared" si="11"/>
        <v>NA</v>
      </c>
      <c r="Z58" s="720">
        <f t="shared" si="12"/>
        <v>0.21666666666666667</v>
      </c>
    </row>
    <row r="59" spans="1:26" x14ac:dyDescent="0.25">
      <c r="A59" s="497" t="s">
        <v>132</v>
      </c>
      <c r="B59" s="432" t="s">
        <v>133</v>
      </c>
      <c r="C59" s="458" t="s">
        <v>267</v>
      </c>
      <c r="D59" s="714">
        <v>87</v>
      </c>
      <c r="E59" s="715">
        <v>47</v>
      </c>
      <c r="F59" s="715"/>
      <c r="G59" s="311">
        <f t="shared" si="13"/>
        <v>134</v>
      </c>
      <c r="H59" s="714">
        <v>18</v>
      </c>
      <c r="I59" s="715">
        <v>4</v>
      </c>
      <c r="J59" s="715"/>
      <c r="K59" s="311">
        <f t="shared" si="14"/>
        <v>22</v>
      </c>
      <c r="L59" s="714"/>
      <c r="M59" s="715"/>
      <c r="N59" s="715"/>
      <c r="O59" s="311">
        <f t="shared" si="15"/>
        <v>0</v>
      </c>
      <c r="P59" s="716">
        <f t="shared" si="16"/>
        <v>156</v>
      </c>
      <c r="Q59" s="897">
        <f t="shared" si="5"/>
        <v>105</v>
      </c>
      <c r="R59" s="897">
        <f t="shared" si="6"/>
        <v>51</v>
      </c>
      <c r="S59" s="897">
        <f t="shared" si="7"/>
        <v>0</v>
      </c>
      <c r="T59" s="716">
        <f t="shared" si="17"/>
        <v>156</v>
      </c>
      <c r="W59" s="717">
        <f t="shared" si="9"/>
        <v>0.17142857142857143</v>
      </c>
      <c r="X59" s="718">
        <f t="shared" si="10"/>
        <v>7.8431372549019607E-2</v>
      </c>
      <c r="Y59" s="719" t="str">
        <f t="shared" si="11"/>
        <v>NA</v>
      </c>
      <c r="Z59" s="720">
        <f t="shared" si="12"/>
        <v>0.14102564102564102</v>
      </c>
    </row>
    <row r="60" spans="1:26" x14ac:dyDescent="0.25">
      <c r="A60" s="497" t="s">
        <v>134</v>
      </c>
      <c r="B60" s="432" t="s">
        <v>135</v>
      </c>
      <c r="C60" s="458" t="s">
        <v>267</v>
      </c>
      <c r="D60" s="714">
        <v>32</v>
      </c>
      <c r="E60" s="715">
        <v>8</v>
      </c>
      <c r="F60" s="715"/>
      <c r="G60" s="311">
        <f t="shared" si="13"/>
        <v>40</v>
      </c>
      <c r="H60" s="714">
        <v>5</v>
      </c>
      <c r="I60" s="715">
        <v>1</v>
      </c>
      <c r="J60" s="715"/>
      <c r="K60" s="311">
        <f t="shared" si="14"/>
        <v>6</v>
      </c>
      <c r="L60" s="714">
        <v>1</v>
      </c>
      <c r="M60" s="715"/>
      <c r="N60" s="715"/>
      <c r="O60" s="311">
        <f t="shared" si="15"/>
        <v>1</v>
      </c>
      <c r="P60" s="716">
        <f t="shared" si="16"/>
        <v>47</v>
      </c>
      <c r="Q60" s="897">
        <f t="shared" si="5"/>
        <v>37</v>
      </c>
      <c r="R60" s="897">
        <f t="shared" si="6"/>
        <v>9</v>
      </c>
      <c r="S60" s="897">
        <f t="shared" si="7"/>
        <v>0</v>
      </c>
      <c r="T60" s="716">
        <f t="shared" si="17"/>
        <v>46</v>
      </c>
      <c r="W60" s="717">
        <f t="shared" si="9"/>
        <v>0.13513513513513514</v>
      </c>
      <c r="X60" s="718">
        <f t="shared" si="10"/>
        <v>0.1111111111111111</v>
      </c>
      <c r="Y60" s="719" t="str">
        <f t="shared" si="11"/>
        <v>NA</v>
      </c>
      <c r="Z60" s="720">
        <f t="shared" si="12"/>
        <v>0.13043478260869565</v>
      </c>
    </row>
    <row r="61" spans="1:26" x14ac:dyDescent="0.25">
      <c r="A61" s="497" t="s">
        <v>136</v>
      </c>
      <c r="B61" s="432" t="s">
        <v>137</v>
      </c>
      <c r="C61" s="458" t="s">
        <v>266</v>
      </c>
      <c r="D61" s="714">
        <v>8</v>
      </c>
      <c r="E61" s="715">
        <v>5</v>
      </c>
      <c r="F61" s="715"/>
      <c r="G61" s="311">
        <f t="shared" si="13"/>
        <v>13</v>
      </c>
      <c r="H61" s="714">
        <v>2</v>
      </c>
      <c r="I61" s="715">
        <v>3</v>
      </c>
      <c r="J61" s="715"/>
      <c r="K61" s="311">
        <f t="shared" si="14"/>
        <v>5</v>
      </c>
      <c r="L61" s="714"/>
      <c r="M61" s="715"/>
      <c r="N61" s="715"/>
      <c r="O61" s="311">
        <f t="shared" si="15"/>
        <v>0</v>
      </c>
      <c r="P61" s="716">
        <f t="shared" si="16"/>
        <v>18</v>
      </c>
      <c r="Q61" s="897">
        <f t="shared" si="5"/>
        <v>10</v>
      </c>
      <c r="R61" s="897">
        <f t="shared" si="6"/>
        <v>8</v>
      </c>
      <c r="S61" s="897">
        <f t="shared" si="7"/>
        <v>0</v>
      </c>
      <c r="T61" s="716">
        <f t="shared" si="17"/>
        <v>18</v>
      </c>
      <c r="W61" s="717">
        <f t="shared" si="9"/>
        <v>0.2</v>
      </c>
      <c r="X61" s="718">
        <f t="shared" si="10"/>
        <v>0.375</v>
      </c>
      <c r="Y61" s="719" t="str">
        <f t="shared" si="11"/>
        <v>NA</v>
      </c>
      <c r="Z61" s="720">
        <f t="shared" si="12"/>
        <v>0.27777777777777779</v>
      </c>
    </row>
    <row r="62" spans="1:26" x14ac:dyDescent="0.25">
      <c r="A62" s="497" t="s">
        <v>140</v>
      </c>
      <c r="B62" s="432" t="s">
        <v>141</v>
      </c>
      <c r="C62" s="458" t="s">
        <v>267</v>
      </c>
      <c r="D62" s="714">
        <v>15</v>
      </c>
      <c r="E62" s="715">
        <v>6</v>
      </c>
      <c r="F62" s="715">
        <v>1</v>
      </c>
      <c r="G62" s="311">
        <f t="shared" si="13"/>
        <v>22</v>
      </c>
      <c r="H62" s="714">
        <v>2</v>
      </c>
      <c r="I62" s="715">
        <v>1</v>
      </c>
      <c r="J62" s="715"/>
      <c r="K62" s="311">
        <f t="shared" si="14"/>
        <v>3</v>
      </c>
      <c r="L62" s="714"/>
      <c r="M62" s="715"/>
      <c r="N62" s="715"/>
      <c r="O62" s="311">
        <f t="shared" si="15"/>
        <v>0</v>
      </c>
      <c r="P62" s="716">
        <f t="shared" si="16"/>
        <v>25</v>
      </c>
      <c r="Q62" s="897">
        <f t="shared" si="5"/>
        <v>17</v>
      </c>
      <c r="R62" s="897">
        <f t="shared" si="6"/>
        <v>7</v>
      </c>
      <c r="S62" s="897">
        <f t="shared" si="7"/>
        <v>1</v>
      </c>
      <c r="T62" s="716">
        <f t="shared" si="17"/>
        <v>25</v>
      </c>
      <c r="W62" s="717">
        <f t="shared" si="9"/>
        <v>0.11764705882352941</v>
      </c>
      <c r="X62" s="718">
        <f t="shared" si="10"/>
        <v>0.14285714285714285</v>
      </c>
      <c r="Y62" s="719">
        <f t="shared" si="11"/>
        <v>0</v>
      </c>
      <c r="Z62" s="720">
        <f t="shared" si="12"/>
        <v>0.12</v>
      </c>
    </row>
    <row r="63" spans="1:26" x14ac:dyDescent="0.25">
      <c r="A63" s="497" t="s">
        <v>146</v>
      </c>
      <c r="B63" s="432" t="s">
        <v>147</v>
      </c>
      <c r="C63" s="458" t="s">
        <v>264</v>
      </c>
      <c r="D63" s="714">
        <v>9</v>
      </c>
      <c r="E63" s="715">
        <v>5</v>
      </c>
      <c r="F63" s="715"/>
      <c r="G63" s="311">
        <f t="shared" si="13"/>
        <v>14</v>
      </c>
      <c r="H63" s="714"/>
      <c r="I63" s="715">
        <v>1</v>
      </c>
      <c r="J63" s="715"/>
      <c r="K63" s="311">
        <f t="shared" si="14"/>
        <v>1</v>
      </c>
      <c r="L63" s="714"/>
      <c r="M63" s="715"/>
      <c r="N63" s="715"/>
      <c r="O63" s="311">
        <f t="shared" si="15"/>
        <v>0</v>
      </c>
      <c r="P63" s="716">
        <f t="shared" si="16"/>
        <v>15</v>
      </c>
      <c r="Q63" s="897">
        <f t="shared" si="5"/>
        <v>9</v>
      </c>
      <c r="R63" s="897">
        <f t="shared" si="6"/>
        <v>6</v>
      </c>
      <c r="S63" s="897">
        <f t="shared" si="7"/>
        <v>0</v>
      </c>
      <c r="T63" s="716">
        <f t="shared" si="17"/>
        <v>15</v>
      </c>
      <c r="W63" s="717">
        <f t="shared" si="9"/>
        <v>0</v>
      </c>
      <c r="X63" s="718">
        <f t="shared" si="10"/>
        <v>0.16666666666666666</v>
      </c>
      <c r="Y63" s="719" t="str">
        <f t="shared" si="11"/>
        <v>NA</v>
      </c>
      <c r="Z63" s="720">
        <f t="shared" si="12"/>
        <v>6.6666666666666666E-2</v>
      </c>
    </row>
    <row r="64" spans="1:26" x14ac:dyDescent="0.25">
      <c r="A64" s="497" t="s">
        <v>148</v>
      </c>
      <c r="B64" s="432" t="s">
        <v>149</v>
      </c>
      <c r="C64" s="458" t="s">
        <v>265</v>
      </c>
      <c r="D64" s="714">
        <v>25</v>
      </c>
      <c r="E64" s="715">
        <v>13</v>
      </c>
      <c r="F64" s="715"/>
      <c r="G64" s="311">
        <f t="shared" si="13"/>
        <v>38</v>
      </c>
      <c r="H64" s="714">
        <v>4</v>
      </c>
      <c r="I64" s="715">
        <v>2</v>
      </c>
      <c r="J64" s="715"/>
      <c r="K64" s="311">
        <f t="shared" si="14"/>
        <v>6</v>
      </c>
      <c r="L64" s="714"/>
      <c r="M64" s="715"/>
      <c r="N64" s="715"/>
      <c r="O64" s="311">
        <f t="shared" si="15"/>
        <v>0</v>
      </c>
      <c r="P64" s="716">
        <f t="shared" si="16"/>
        <v>44</v>
      </c>
      <c r="Q64" s="897">
        <f t="shared" si="5"/>
        <v>29</v>
      </c>
      <c r="R64" s="897">
        <f t="shared" si="6"/>
        <v>15</v>
      </c>
      <c r="S64" s="897">
        <f t="shared" si="7"/>
        <v>0</v>
      </c>
      <c r="T64" s="716">
        <f t="shared" si="17"/>
        <v>44</v>
      </c>
      <c r="W64" s="717">
        <f t="shared" si="9"/>
        <v>0.13793103448275862</v>
      </c>
      <c r="X64" s="718">
        <f t="shared" si="10"/>
        <v>0.13333333333333333</v>
      </c>
      <c r="Y64" s="719" t="str">
        <f t="shared" si="11"/>
        <v>NA</v>
      </c>
      <c r="Z64" s="720">
        <f t="shared" si="12"/>
        <v>0.13636363636363635</v>
      </c>
    </row>
    <row r="65" spans="1:26" x14ac:dyDescent="0.25">
      <c r="A65" s="497" t="s">
        <v>150</v>
      </c>
      <c r="B65" s="432" t="s">
        <v>151</v>
      </c>
      <c r="C65" s="458" t="s">
        <v>266</v>
      </c>
      <c r="D65" s="714">
        <v>11</v>
      </c>
      <c r="E65" s="715">
        <v>7</v>
      </c>
      <c r="F65" s="715"/>
      <c r="G65" s="311">
        <f t="shared" si="13"/>
        <v>18</v>
      </c>
      <c r="H65" s="714"/>
      <c r="I65" s="715"/>
      <c r="J65" s="715"/>
      <c r="K65" s="311">
        <f t="shared" si="14"/>
        <v>0</v>
      </c>
      <c r="L65" s="714"/>
      <c r="M65" s="715"/>
      <c r="N65" s="715"/>
      <c r="O65" s="311">
        <f t="shared" si="15"/>
        <v>0</v>
      </c>
      <c r="P65" s="716">
        <f t="shared" si="16"/>
        <v>18</v>
      </c>
      <c r="Q65" s="897">
        <f t="shared" si="5"/>
        <v>11</v>
      </c>
      <c r="R65" s="897">
        <f t="shared" si="6"/>
        <v>7</v>
      </c>
      <c r="S65" s="897">
        <f t="shared" si="7"/>
        <v>0</v>
      </c>
      <c r="T65" s="716">
        <f t="shared" si="17"/>
        <v>18</v>
      </c>
      <c r="W65" s="717">
        <f t="shared" si="9"/>
        <v>0</v>
      </c>
      <c r="X65" s="718">
        <f t="shared" si="10"/>
        <v>0</v>
      </c>
      <c r="Y65" s="719" t="str">
        <f t="shared" si="11"/>
        <v>NA</v>
      </c>
      <c r="Z65" s="720">
        <f t="shared" si="12"/>
        <v>0</v>
      </c>
    </row>
    <row r="66" spans="1:26" x14ac:dyDescent="0.25">
      <c r="A66" s="497" t="s">
        <v>152</v>
      </c>
      <c r="B66" s="432" t="s">
        <v>153</v>
      </c>
      <c r="C66" s="458" t="s">
        <v>268</v>
      </c>
      <c r="D66" s="714">
        <v>44</v>
      </c>
      <c r="E66" s="715">
        <v>17</v>
      </c>
      <c r="F66" s="715"/>
      <c r="G66" s="311">
        <f t="shared" si="13"/>
        <v>61</v>
      </c>
      <c r="H66" s="714">
        <v>3</v>
      </c>
      <c r="I66" s="715"/>
      <c r="J66" s="715"/>
      <c r="K66" s="311">
        <f t="shared" si="14"/>
        <v>3</v>
      </c>
      <c r="L66" s="714"/>
      <c r="M66" s="715"/>
      <c r="N66" s="715"/>
      <c r="O66" s="311">
        <f t="shared" si="15"/>
        <v>0</v>
      </c>
      <c r="P66" s="716">
        <f t="shared" si="16"/>
        <v>64</v>
      </c>
      <c r="Q66" s="897">
        <f t="shared" si="5"/>
        <v>47</v>
      </c>
      <c r="R66" s="897">
        <f t="shared" si="6"/>
        <v>17</v>
      </c>
      <c r="S66" s="897">
        <f t="shared" si="7"/>
        <v>0</v>
      </c>
      <c r="T66" s="716">
        <f t="shared" si="17"/>
        <v>64</v>
      </c>
      <c r="W66" s="717">
        <f t="shared" si="9"/>
        <v>6.3829787234042548E-2</v>
      </c>
      <c r="X66" s="718">
        <f t="shared" si="10"/>
        <v>0</v>
      </c>
      <c r="Y66" s="719" t="str">
        <f t="shared" si="11"/>
        <v>NA</v>
      </c>
      <c r="Z66" s="720">
        <f t="shared" si="12"/>
        <v>4.6875E-2</v>
      </c>
    </row>
    <row r="67" spans="1:26" x14ac:dyDescent="0.25">
      <c r="A67" s="497" t="s">
        <v>154</v>
      </c>
      <c r="B67" s="432" t="s">
        <v>155</v>
      </c>
      <c r="C67" s="458" t="s">
        <v>265</v>
      </c>
      <c r="D67" s="714">
        <v>11</v>
      </c>
      <c r="E67" s="715">
        <v>5</v>
      </c>
      <c r="F67" s="715"/>
      <c r="G67" s="311">
        <f t="shared" si="13"/>
        <v>16</v>
      </c>
      <c r="H67" s="714">
        <v>1</v>
      </c>
      <c r="I67" s="715">
        <v>1</v>
      </c>
      <c r="J67" s="715"/>
      <c r="K67" s="311">
        <f t="shared" si="14"/>
        <v>2</v>
      </c>
      <c r="L67" s="714"/>
      <c r="M67" s="715"/>
      <c r="N67" s="715"/>
      <c r="O67" s="311">
        <f t="shared" si="15"/>
        <v>0</v>
      </c>
      <c r="P67" s="716">
        <f t="shared" si="16"/>
        <v>18</v>
      </c>
      <c r="Q67" s="897">
        <f t="shared" si="5"/>
        <v>12</v>
      </c>
      <c r="R67" s="897">
        <f t="shared" si="6"/>
        <v>6</v>
      </c>
      <c r="S67" s="897">
        <f t="shared" si="7"/>
        <v>0</v>
      </c>
      <c r="T67" s="716">
        <f t="shared" si="17"/>
        <v>18</v>
      </c>
      <c r="W67" s="717">
        <f t="shared" si="9"/>
        <v>8.3333333333333329E-2</v>
      </c>
      <c r="X67" s="718">
        <f t="shared" si="10"/>
        <v>0.16666666666666666</v>
      </c>
      <c r="Y67" s="719" t="str">
        <f t="shared" si="11"/>
        <v>NA</v>
      </c>
      <c r="Z67" s="720">
        <f t="shared" si="12"/>
        <v>0.1111111111111111</v>
      </c>
    </row>
    <row r="68" spans="1:26" x14ac:dyDescent="0.25">
      <c r="A68" s="497" t="s">
        <v>156</v>
      </c>
      <c r="B68" s="432" t="s">
        <v>157</v>
      </c>
      <c r="C68" s="458" t="s">
        <v>266</v>
      </c>
      <c r="D68" s="714">
        <v>10</v>
      </c>
      <c r="E68" s="715">
        <v>7</v>
      </c>
      <c r="F68" s="715"/>
      <c r="G68" s="311">
        <f t="shared" si="13"/>
        <v>17</v>
      </c>
      <c r="H68" s="714">
        <v>1</v>
      </c>
      <c r="I68" s="715">
        <v>1</v>
      </c>
      <c r="J68" s="715">
        <v>2</v>
      </c>
      <c r="K68" s="311">
        <f t="shared" si="14"/>
        <v>4</v>
      </c>
      <c r="L68" s="714"/>
      <c r="M68" s="715"/>
      <c r="N68" s="715"/>
      <c r="O68" s="311">
        <f t="shared" si="15"/>
        <v>0</v>
      </c>
      <c r="P68" s="716">
        <f t="shared" si="16"/>
        <v>21</v>
      </c>
      <c r="Q68" s="897">
        <f t="shared" si="5"/>
        <v>11</v>
      </c>
      <c r="R68" s="897">
        <f t="shared" si="6"/>
        <v>8</v>
      </c>
      <c r="S68" s="897">
        <f t="shared" si="7"/>
        <v>2</v>
      </c>
      <c r="T68" s="716">
        <f t="shared" si="17"/>
        <v>21</v>
      </c>
      <c r="W68" s="717">
        <f t="shared" si="9"/>
        <v>9.0909090909090912E-2</v>
      </c>
      <c r="X68" s="718">
        <f t="shared" si="10"/>
        <v>0.125</v>
      </c>
      <c r="Y68" s="719">
        <f t="shared" si="11"/>
        <v>1</v>
      </c>
      <c r="Z68" s="720">
        <f t="shared" si="12"/>
        <v>0.19047619047619047</v>
      </c>
    </row>
    <row r="69" spans="1:26" x14ac:dyDescent="0.25">
      <c r="A69" s="497" t="s">
        <v>162</v>
      </c>
      <c r="B69" s="432" t="s">
        <v>163</v>
      </c>
      <c r="C69" s="458" t="s">
        <v>264</v>
      </c>
      <c r="D69" s="714">
        <v>22</v>
      </c>
      <c r="E69" s="715">
        <v>9</v>
      </c>
      <c r="F69" s="715"/>
      <c r="G69" s="311">
        <f t="shared" si="13"/>
        <v>31</v>
      </c>
      <c r="H69" s="714">
        <v>8</v>
      </c>
      <c r="I69" s="715">
        <v>3</v>
      </c>
      <c r="J69" s="715">
        <v>1</v>
      </c>
      <c r="K69" s="311">
        <f t="shared" si="14"/>
        <v>12</v>
      </c>
      <c r="L69" s="714"/>
      <c r="M69" s="715"/>
      <c r="N69" s="715"/>
      <c r="O69" s="311">
        <f t="shared" si="15"/>
        <v>0</v>
      </c>
      <c r="P69" s="716">
        <f t="shared" si="16"/>
        <v>43</v>
      </c>
      <c r="Q69" s="897">
        <f t="shared" si="5"/>
        <v>30</v>
      </c>
      <c r="R69" s="897">
        <f t="shared" si="6"/>
        <v>12</v>
      </c>
      <c r="S69" s="897">
        <f t="shared" si="7"/>
        <v>1</v>
      </c>
      <c r="T69" s="716">
        <f t="shared" si="17"/>
        <v>43</v>
      </c>
      <c r="W69" s="717">
        <f t="shared" si="9"/>
        <v>0.26666666666666666</v>
      </c>
      <c r="X69" s="718">
        <f t="shared" si="10"/>
        <v>0.25</v>
      </c>
      <c r="Y69" s="719">
        <f t="shared" si="11"/>
        <v>1</v>
      </c>
      <c r="Z69" s="720">
        <f t="shared" si="12"/>
        <v>0.27906976744186046</v>
      </c>
    </row>
    <row r="70" spans="1:26" x14ac:dyDescent="0.25">
      <c r="A70" s="497" t="s">
        <v>164</v>
      </c>
      <c r="B70" s="432" t="s">
        <v>165</v>
      </c>
      <c r="C70" s="458" t="s">
        <v>266</v>
      </c>
      <c r="D70" s="714">
        <v>10</v>
      </c>
      <c r="E70" s="715">
        <v>7</v>
      </c>
      <c r="F70" s="715"/>
      <c r="G70" s="311">
        <f t="shared" ref="G70:G101" si="18">SUM(D70:F70)</f>
        <v>17</v>
      </c>
      <c r="H70" s="714">
        <v>2</v>
      </c>
      <c r="I70" s="715">
        <v>1</v>
      </c>
      <c r="J70" s="715"/>
      <c r="K70" s="311">
        <f t="shared" ref="K70:K101" si="19">SUM(H70:J70)</f>
        <v>3</v>
      </c>
      <c r="L70" s="714">
        <v>1</v>
      </c>
      <c r="M70" s="715"/>
      <c r="N70" s="715"/>
      <c r="O70" s="311">
        <f t="shared" ref="O70:O101" si="20">SUM(L70:N70)</f>
        <v>1</v>
      </c>
      <c r="P70" s="716">
        <f t="shared" ref="P70:P101" si="21">G70+K70+O70</f>
        <v>21</v>
      </c>
      <c r="Q70" s="897">
        <f t="shared" si="5"/>
        <v>12</v>
      </c>
      <c r="R70" s="897">
        <f t="shared" si="6"/>
        <v>8</v>
      </c>
      <c r="S70" s="897">
        <f t="shared" si="7"/>
        <v>0</v>
      </c>
      <c r="T70" s="716">
        <f t="shared" si="17"/>
        <v>20</v>
      </c>
      <c r="W70" s="717">
        <f t="shared" si="9"/>
        <v>0.16666666666666666</v>
      </c>
      <c r="X70" s="718">
        <f t="shared" si="10"/>
        <v>0.125</v>
      </c>
      <c r="Y70" s="719" t="str">
        <f t="shared" si="11"/>
        <v>NA</v>
      </c>
      <c r="Z70" s="720">
        <f t="shared" si="12"/>
        <v>0.15</v>
      </c>
    </row>
    <row r="71" spans="1:26" x14ac:dyDescent="0.25">
      <c r="A71" s="497" t="s">
        <v>168</v>
      </c>
      <c r="B71" s="432" t="s">
        <v>169</v>
      </c>
      <c r="C71" s="458" t="s">
        <v>266</v>
      </c>
      <c r="D71" s="714">
        <v>19</v>
      </c>
      <c r="E71" s="715">
        <v>6</v>
      </c>
      <c r="F71" s="715"/>
      <c r="G71" s="311">
        <f t="shared" si="18"/>
        <v>25</v>
      </c>
      <c r="H71" s="714"/>
      <c r="I71" s="715">
        <v>1</v>
      </c>
      <c r="J71" s="715"/>
      <c r="K71" s="311">
        <f t="shared" si="19"/>
        <v>1</v>
      </c>
      <c r="L71" s="714"/>
      <c r="M71" s="715"/>
      <c r="N71" s="715"/>
      <c r="O71" s="311">
        <f t="shared" si="20"/>
        <v>0</v>
      </c>
      <c r="P71" s="716">
        <f t="shared" si="21"/>
        <v>26</v>
      </c>
      <c r="Q71" s="897">
        <f t="shared" ref="Q71:Q126" si="22">D71+H71</f>
        <v>19</v>
      </c>
      <c r="R71" s="897">
        <f t="shared" ref="R71:R126" si="23">E71+I71</f>
        <v>7</v>
      </c>
      <c r="S71" s="897">
        <f t="shared" ref="S71:S126" si="24">F71+J71</f>
        <v>0</v>
      </c>
      <c r="T71" s="716">
        <f t="shared" ref="T71:T102" si="25">G71+K71</f>
        <v>26</v>
      </c>
      <c r="W71" s="717">
        <f t="shared" ref="W71:W126" si="26">IF((D71+H71)=0,"NA",(H71/(D71+H71)))</f>
        <v>0</v>
      </c>
      <c r="X71" s="718">
        <f t="shared" ref="X71:X126" si="27">IF((E71+I71)=0,"NA",(I71/(E71+I71)))</f>
        <v>0.14285714285714285</v>
      </c>
      <c r="Y71" s="719" t="str">
        <f t="shared" ref="Y71:Y126" si="28">IF((F71+J71)=0,"NA",(J71/(F71+J71)))</f>
        <v>NA</v>
      </c>
      <c r="Z71" s="720">
        <f t="shared" ref="Z71:Z126" si="29">IF((G71+K71)=0,"NA",(K71/(G71+K71)))</f>
        <v>3.8461538461538464E-2</v>
      </c>
    </row>
    <row r="72" spans="1:26" x14ac:dyDescent="0.25">
      <c r="A72" s="497" t="s">
        <v>170</v>
      </c>
      <c r="B72" s="432" t="s">
        <v>171</v>
      </c>
      <c r="C72" s="458" t="s">
        <v>267</v>
      </c>
      <c r="D72" s="714">
        <v>23</v>
      </c>
      <c r="E72" s="715">
        <v>11</v>
      </c>
      <c r="F72" s="715"/>
      <c r="G72" s="311">
        <f t="shared" si="18"/>
        <v>34</v>
      </c>
      <c r="H72" s="714">
        <v>5</v>
      </c>
      <c r="I72" s="715">
        <v>1</v>
      </c>
      <c r="J72" s="715"/>
      <c r="K72" s="311">
        <f t="shared" si="19"/>
        <v>6</v>
      </c>
      <c r="L72" s="714"/>
      <c r="M72" s="715"/>
      <c r="N72" s="715"/>
      <c r="O72" s="311">
        <f t="shared" si="20"/>
        <v>0</v>
      </c>
      <c r="P72" s="716">
        <f t="shared" si="21"/>
        <v>40</v>
      </c>
      <c r="Q72" s="897">
        <f t="shared" si="22"/>
        <v>28</v>
      </c>
      <c r="R72" s="897">
        <f t="shared" si="23"/>
        <v>12</v>
      </c>
      <c r="S72" s="897">
        <f t="shared" si="24"/>
        <v>0</v>
      </c>
      <c r="T72" s="716">
        <f t="shared" si="25"/>
        <v>40</v>
      </c>
      <c r="W72" s="717">
        <f t="shared" si="26"/>
        <v>0.17857142857142858</v>
      </c>
      <c r="X72" s="718">
        <f t="shared" si="27"/>
        <v>8.3333333333333329E-2</v>
      </c>
      <c r="Y72" s="719" t="str">
        <f t="shared" si="28"/>
        <v>NA</v>
      </c>
      <c r="Z72" s="720">
        <f t="shared" si="29"/>
        <v>0.15</v>
      </c>
    </row>
    <row r="73" spans="1:26" x14ac:dyDescent="0.25">
      <c r="A73" s="497" t="s">
        <v>172</v>
      </c>
      <c r="B73" s="432" t="s">
        <v>173</v>
      </c>
      <c r="C73" s="458" t="s">
        <v>267</v>
      </c>
      <c r="D73" s="714">
        <v>21</v>
      </c>
      <c r="E73" s="715">
        <v>6</v>
      </c>
      <c r="F73" s="715"/>
      <c r="G73" s="311">
        <f t="shared" si="18"/>
        <v>27</v>
      </c>
      <c r="H73" s="714">
        <v>2</v>
      </c>
      <c r="I73" s="715"/>
      <c r="J73" s="715"/>
      <c r="K73" s="311">
        <f t="shared" si="19"/>
        <v>2</v>
      </c>
      <c r="L73" s="714"/>
      <c r="M73" s="715"/>
      <c r="N73" s="715"/>
      <c r="O73" s="311">
        <f t="shared" si="20"/>
        <v>0</v>
      </c>
      <c r="P73" s="716">
        <f t="shared" si="21"/>
        <v>29</v>
      </c>
      <c r="Q73" s="897">
        <f t="shared" si="22"/>
        <v>23</v>
      </c>
      <c r="R73" s="897">
        <f t="shared" si="23"/>
        <v>6</v>
      </c>
      <c r="S73" s="897">
        <f t="shared" si="24"/>
        <v>0</v>
      </c>
      <c r="T73" s="716">
        <f t="shared" si="25"/>
        <v>29</v>
      </c>
      <c r="W73" s="717">
        <f t="shared" si="26"/>
        <v>8.6956521739130432E-2</v>
      </c>
      <c r="X73" s="718">
        <f t="shared" si="27"/>
        <v>0</v>
      </c>
      <c r="Y73" s="719" t="str">
        <f t="shared" si="28"/>
        <v>NA</v>
      </c>
      <c r="Z73" s="720">
        <f t="shared" si="29"/>
        <v>6.8965517241379309E-2</v>
      </c>
    </row>
    <row r="74" spans="1:26" x14ac:dyDescent="0.25">
      <c r="A74" s="497" t="s">
        <v>174</v>
      </c>
      <c r="B74" s="432" t="s">
        <v>175</v>
      </c>
      <c r="C74" s="458" t="s">
        <v>268</v>
      </c>
      <c r="D74" s="714">
        <v>18</v>
      </c>
      <c r="E74" s="715">
        <v>8</v>
      </c>
      <c r="F74" s="715"/>
      <c r="G74" s="311">
        <f t="shared" si="18"/>
        <v>26</v>
      </c>
      <c r="H74" s="714">
        <v>1</v>
      </c>
      <c r="I74" s="715"/>
      <c r="J74" s="715"/>
      <c r="K74" s="311">
        <f t="shared" si="19"/>
        <v>1</v>
      </c>
      <c r="L74" s="714"/>
      <c r="M74" s="715"/>
      <c r="N74" s="715"/>
      <c r="O74" s="311">
        <f t="shared" si="20"/>
        <v>0</v>
      </c>
      <c r="P74" s="716">
        <f t="shared" si="21"/>
        <v>27</v>
      </c>
      <c r="Q74" s="897">
        <f t="shared" si="22"/>
        <v>19</v>
      </c>
      <c r="R74" s="897">
        <f t="shared" si="23"/>
        <v>8</v>
      </c>
      <c r="S74" s="897">
        <f t="shared" si="24"/>
        <v>0</v>
      </c>
      <c r="T74" s="716">
        <f t="shared" si="25"/>
        <v>27</v>
      </c>
      <c r="W74" s="717">
        <f t="shared" si="26"/>
        <v>5.2631578947368418E-2</v>
      </c>
      <c r="X74" s="718">
        <f t="shared" si="27"/>
        <v>0</v>
      </c>
      <c r="Y74" s="719" t="str">
        <f t="shared" si="28"/>
        <v>NA</v>
      </c>
      <c r="Z74" s="720">
        <f t="shared" si="29"/>
        <v>3.7037037037037035E-2</v>
      </c>
    </row>
    <row r="75" spans="1:26" x14ac:dyDescent="0.25">
      <c r="A75" s="497" t="s">
        <v>178</v>
      </c>
      <c r="B75" s="432" t="s">
        <v>179</v>
      </c>
      <c r="C75" s="458" t="s">
        <v>265</v>
      </c>
      <c r="D75" s="714">
        <v>48</v>
      </c>
      <c r="E75" s="715">
        <v>20</v>
      </c>
      <c r="F75" s="715">
        <v>1</v>
      </c>
      <c r="G75" s="311">
        <f t="shared" si="18"/>
        <v>69</v>
      </c>
      <c r="H75" s="714">
        <v>6</v>
      </c>
      <c r="I75" s="715">
        <v>1</v>
      </c>
      <c r="J75" s="715">
        <v>2</v>
      </c>
      <c r="K75" s="311">
        <f t="shared" si="19"/>
        <v>9</v>
      </c>
      <c r="L75" s="714">
        <v>1</v>
      </c>
      <c r="M75" s="715"/>
      <c r="N75" s="715"/>
      <c r="O75" s="311">
        <f t="shared" si="20"/>
        <v>1</v>
      </c>
      <c r="P75" s="716">
        <f t="shared" si="21"/>
        <v>79</v>
      </c>
      <c r="Q75" s="897">
        <f t="shared" si="22"/>
        <v>54</v>
      </c>
      <c r="R75" s="897">
        <f t="shared" si="23"/>
        <v>21</v>
      </c>
      <c r="S75" s="897">
        <f t="shared" si="24"/>
        <v>3</v>
      </c>
      <c r="T75" s="716">
        <f t="shared" si="25"/>
        <v>78</v>
      </c>
      <c r="W75" s="717">
        <f t="shared" si="26"/>
        <v>0.1111111111111111</v>
      </c>
      <c r="X75" s="718">
        <f t="shared" si="27"/>
        <v>4.7619047619047616E-2</v>
      </c>
      <c r="Y75" s="719">
        <f t="shared" si="28"/>
        <v>0.66666666666666663</v>
      </c>
      <c r="Z75" s="720">
        <f t="shared" si="29"/>
        <v>0.11538461538461539</v>
      </c>
    </row>
    <row r="76" spans="1:26" x14ac:dyDescent="0.25">
      <c r="A76" s="497" t="s">
        <v>182</v>
      </c>
      <c r="B76" s="432" t="s">
        <v>183</v>
      </c>
      <c r="C76" s="458" t="s">
        <v>266</v>
      </c>
      <c r="D76" s="714">
        <v>12</v>
      </c>
      <c r="E76" s="715">
        <v>10</v>
      </c>
      <c r="F76" s="715"/>
      <c r="G76" s="311">
        <f t="shared" si="18"/>
        <v>22</v>
      </c>
      <c r="H76" s="714">
        <v>3</v>
      </c>
      <c r="I76" s="715">
        <v>1</v>
      </c>
      <c r="J76" s="715">
        <v>2</v>
      </c>
      <c r="K76" s="311">
        <f t="shared" si="19"/>
        <v>6</v>
      </c>
      <c r="L76" s="714"/>
      <c r="M76" s="715"/>
      <c r="N76" s="715"/>
      <c r="O76" s="311">
        <f t="shared" si="20"/>
        <v>0</v>
      </c>
      <c r="P76" s="716">
        <f t="shared" si="21"/>
        <v>28</v>
      </c>
      <c r="Q76" s="897">
        <f t="shared" si="22"/>
        <v>15</v>
      </c>
      <c r="R76" s="897">
        <f t="shared" si="23"/>
        <v>11</v>
      </c>
      <c r="S76" s="897">
        <f t="shared" si="24"/>
        <v>2</v>
      </c>
      <c r="T76" s="716">
        <f t="shared" si="25"/>
        <v>28</v>
      </c>
      <c r="W76" s="717">
        <f t="shared" si="26"/>
        <v>0.2</v>
      </c>
      <c r="X76" s="718">
        <f t="shared" si="27"/>
        <v>9.0909090909090912E-2</v>
      </c>
      <c r="Y76" s="719">
        <f t="shared" si="28"/>
        <v>1</v>
      </c>
      <c r="Z76" s="720">
        <f t="shared" si="29"/>
        <v>0.21428571428571427</v>
      </c>
    </row>
    <row r="77" spans="1:26" x14ac:dyDescent="0.25">
      <c r="A77" s="497" t="s">
        <v>184</v>
      </c>
      <c r="B77" s="432" t="s">
        <v>185</v>
      </c>
      <c r="C77" s="458" t="s">
        <v>266</v>
      </c>
      <c r="D77" s="714">
        <v>26</v>
      </c>
      <c r="E77" s="715">
        <v>8</v>
      </c>
      <c r="F77" s="715">
        <v>1</v>
      </c>
      <c r="G77" s="311">
        <f t="shared" si="18"/>
        <v>35</v>
      </c>
      <c r="H77" s="714">
        <v>5</v>
      </c>
      <c r="I77" s="715"/>
      <c r="J77" s="715">
        <v>2</v>
      </c>
      <c r="K77" s="311">
        <f t="shared" si="19"/>
        <v>7</v>
      </c>
      <c r="L77" s="714"/>
      <c r="M77" s="715"/>
      <c r="N77" s="715"/>
      <c r="O77" s="311">
        <f t="shared" si="20"/>
        <v>0</v>
      </c>
      <c r="P77" s="716">
        <f t="shared" si="21"/>
        <v>42</v>
      </c>
      <c r="Q77" s="897">
        <f t="shared" si="22"/>
        <v>31</v>
      </c>
      <c r="R77" s="897">
        <f t="shared" si="23"/>
        <v>8</v>
      </c>
      <c r="S77" s="897">
        <f t="shared" si="24"/>
        <v>3</v>
      </c>
      <c r="T77" s="716">
        <f t="shared" si="25"/>
        <v>42</v>
      </c>
      <c r="W77" s="717">
        <f t="shared" si="26"/>
        <v>0.16129032258064516</v>
      </c>
      <c r="X77" s="718">
        <f t="shared" si="27"/>
        <v>0</v>
      </c>
      <c r="Y77" s="719">
        <f t="shared" si="28"/>
        <v>0.66666666666666663</v>
      </c>
      <c r="Z77" s="720">
        <f t="shared" si="29"/>
        <v>0.16666666666666666</v>
      </c>
    </row>
    <row r="78" spans="1:26" x14ac:dyDescent="0.25">
      <c r="A78" s="497" t="s">
        <v>186</v>
      </c>
      <c r="B78" s="432" t="s">
        <v>187</v>
      </c>
      <c r="C78" s="458" t="s">
        <v>264</v>
      </c>
      <c r="D78" s="714">
        <v>17</v>
      </c>
      <c r="E78" s="715">
        <v>10</v>
      </c>
      <c r="F78" s="715"/>
      <c r="G78" s="311">
        <f t="shared" si="18"/>
        <v>27</v>
      </c>
      <c r="H78" s="714"/>
      <c r="I78" s="715">
        <v>2</v>
      </c>
      <c r="J78" s="715">
        <v>3</v>
      </c>
      <c r="K78" s="311">
        <f t="shared" si="19"/>
        <v>5</v>
      </c>
      <c r="L78" s="714"/>
      <c r="M78" s="715"/>
      <c r="N78" s="715"/>
      <c r="O78" s="311">
        <f t="shared" si="20"/>
        <v>0</v>
      </c>
      <c r="P78" s="716">
        <f t="shared" si="21"/>
        <v>32</v>
      </c>
      <c r="Q78" s="897">
        <f t="shared" si="22"/>
        <v>17</v>
      </c>
      <c r="R78" s="897">
        <f t="shared" si="23"/>
        <v>12</v>
      </c>
      <c r="S78" s="897">
        <f t="shared" si="24"/>
        <v>3</v>
      </c>
      <c r="T78" s="716">
        <f t="shared" si="25"/>
        <v>32</v>
      </c>
      <c r="W78" s="717">
        <f t="shared" si="26"/>
        <v>0</v>
      </c>
      <c r="X78" s="718">
        <f t="shared" si="27"/>
        <v>0.16666666666666666</v>
      </c>
      <c r="Y78" s="719">
        <f t="shared" si="28"/>
        <v>1</v>
      </c>
      <c r="Z78" s="720">
        <f t="shared" si="29"/>
        <v>0.15625</v>
      </c>
    </row>
    <row r="79" spans="1:26" x14ac:dyDescent="0.25">
      <c r="A79" s="497" t="s">
        <v>188</v>
      </c>
      <c r="B79" s="432" t="s">
        <v>189</v>
      </c>
      <c r="C79" s="458" t="s">
        <v>267</v>
      </c>
      <c r="D79" s="714">
        <v>175</v>
      </c>
      <c r="E79" s="715">
        <v>69</v>
      </c>
      <c r="F79" s="715">
        <v>5</v>
      </c>
      <c r="G79" s="311">
        <f t="shared" si="18"/>
        <v>249</v>
      </c>
      <c r="H79" s="714">
        <v>51</v>
      </c>
      <c r="I79" s="715">
        <v>37</v>
      </c>
      <c r="J79" s="715">
        <v>6</v>
      </c>
      <c r="K79" s="311">
        <f t="shared" si="19"/>
        <v>94</v>
      </c>
      <c r="L79" s="714">
        <v>1</v>
      </c>
      <c r="M79" s="715"/>
      <c r="N79" s="715"/>
      <c r="O79" s="311">
        <f t="shared" si="20"/>
        <v>1</v>
      </c>
      <c r="P79" s="716">
        <f t="shared" si="21"/>
        <v>344</v>
      </c>
      <c r="Q79" s="897">
        <f t="shared" si="22"/>
        <v>226</v>
      </c>
      <c r="R79" s="897">
        <f t="shared" si="23"/>
        <v>106</v>
      </c>
      <c r="S79" s="897">
        <f t="shared" si="24"/>
        <v>11</v>
      </c>
      <c r="T79" s="716">
        <f t="shared" si="25"/>
        <v>343</v>
      </c>
      <c r="W79" s="717">
        <f t="shared" si="26"/>
        <v>0.22566371681415928</v>
      </c>
      <c r="X79" s="718">
        <f t="shared" si="27"/>
        <v>0.34905660377358488</v>
      </c>
      <c r="Y79" s="719">
        <f t="shared" si="28"/>
        <v>0.54545454545454541</v>
      </c>
      <c r="Z79" s="720">
        <f t="shared" si="29"/>
        <v>0.27405247813411077</v>
      </c>
    </row>
    <row r="80" spans="1:26" x14ac:dyDescent="0.25">
      <c r="A80" s="497" t="s">
        <v>190</v>
      </c>
      <c r="B80" s="432" t="s">
        <v>191</v>
      </c>
      <c r="C80" s="458" t="s">
        <v>268</v>
      </c>
      <c r="D80" s="714">
        <v>35</v>
      </c>
      <c r="E80" s="715">
        <v>18</v>
      </c>
      <c r="F80" s="715"/>
      <c r="G80" s="311">
        <f t="shared" si="18"/>
        <v>53</v>
      </c>
      <c r="H80" s="714">
        <v>14</v>
      </c>
      <c r="I80" s="715">
        <v>7</v>
      </c>
      <c r="J80" s="715"/>
      <c r="K80" s="311">
        <f t="shared" si="19"/>
        <v>21</v>
      </c>
      <c r="L80" s="714"/>
      <c r="M80" s="715"/>
      <c r="N80" s="715"/>
      <c r="O80" s="311">
        <f t="shared" si="20"/>
        <v>0</v>
      </c>
      <c r="P80" s="716">
        <f t="shared" si="21"/>
        <v>74</v>
      </c>
      <c r="Q80" s="897">
        <f t="shared" si="22"/>
        <v>49</v>
      </c>
      <c r="R80" s="897">
        <f t="shared" si="23"/>
        <v>25</v>
      </c>
      <c r="S80" s="897">
        <f t="shared" si="24"/>
        <v>0</v>
      </c>
      <c r="T80" s="716">
        <f t="shared" si="25"/>
        <v>74</v>
      </c>
      <c r="W80" s="717">
        <f t="shared" si="26"/>
        <v>0.2857142857142857</v>
      </c>
      <c r="X80" s="718">
        <f t="shared" si="27"/>
        <v>0.28000000000000003</v>
      </c>
      <c r="Y80" s="719" t="str">
        <f t="shared" si="28"/>
        <v>NA</v>
      </c>
      <c r="Z80" s="720">
        <f t="shared" si="29"/>
        <v>0.28378378378378377</v>
      </c>
    </row>
    <row r="81" spans="1:26" x14ac:dyDescent="0.25">
      <c r="A81" s="497" t="s">
        <v>194</v>
      </c>
      <c r="B81" s="432" t="s">
        <v>195</v>
      </c>
      <c r="C81" s="458" t="s">
        <v>267</v>
      </c>
      <c r="D81" s="714">
        <v>7</v>
      </c>
      <c r="E81" s="715">
        <v>3</v>
      </c>
      <c r="F81" s="715"/>
      <c r="G81" s="311">
        <f t="shared" si="18"/>
        <v>10</v>
      </c>
      <c r="H81" s="714">
        <v>3</v>
      </c>
      <c r="I81" s="715">
        <v>1</v>
      </c>
      <c r="J81" s="715"/>
      <c r="K81" s="311">
        <f t="shared" si="19"/>
        <v>4</v>
      </c>
      <c r="L81" s="714"/>
      <c r="M81" s="715"/>
      <c r="N81" s="715"/>
      <c r="O81" s="311">
        <f t="shared" si="20"/>
        <v>0</v>
      </c>
      <c r="P81" s="716">
        <f t="shared" si="21"/>
        <v>14</v>
      </c>
      <c r="Q81" s="897">
        <f t="shared" si="22"/>
        <v>10</v>
      </c>
      <c r="R81" s="897">
        <f t="shared" si="23"/>
        <v>4</v>
      </c>
      <c r="S81" s="897">
        <f t="shared" si="24"/>
        <v>0</v>
      </c>
      <c r="T81" s="716">
        <f t="shared" si="25"/>
        <v>14</v>
      </c>
      <c r="W81" s="717">
        <f t="shared" si="26"/>
        <v>0.3</v>
      </c>
      <c r="X81" s="718">
        <f t="shared" si="27"/>
        <v>0.25</v>
      </c>
      <c r="Y81" s="719" t="str">
        <f t="shared" si="28"/>
        <v>NA</v>
      </c>
      <c r="Z81" s="720">
        <f t="shared" si="29"/>
        <v>0.2857142857142857</v>
      </c>
    </row>
    <row r="82" spans="1:26" x14ac:dyDescent="0.25">
      <c r="A82" s="497" t="s">
        <v>198</v>
      </c>
      <c r="B82" s="432" t="s">
        <v>199</v>
      </c>
      <c r="C82" s="458" t="s">
        <v>266</v>
      </c>
      <c r="D82" s="714">
        <v>8</v>
      </c>
      <c r="E82" s="715">
        <v>4</v>
      </c>
      <c r="F82" s="715"/>
      <c r="G82" s="311">
        <f t="shared" si="18"/>
        <v>12</v>
      </c>
      <c r="H82" s="714"/>
      <c r="I82" s="715">
        <v>2</v>
      </c>
      <c r="J82" s="715"/>
      <c r="K82" s="311">
        <f t="shared" si="19"/>
        <v>2</v>
      </c>
      <c r="L82" s="714"/>
      <c r="M82" s="715"/>
      <c r="N82" s="715"/>
      <c r="O82" s="311">
        <f t="shared" si="20"/>
        <v>0</v>
      </c>
      <c r="P82" s="716">
        <f t="shared" si="21"/>
        <v>14</v>
      </c>
      <c r="Q82" s="897">
        <f t="shared" si="22"/>
        <v>8</v>
      </c>
      <c r="R82" s="897">
        <f t="shared" si="23"/>
        <v>6</v>
      </c>
      <c r="S82" s="897">
        <f t="shared" si="24"/>
        <v>0</v>
      </c>
      <c r="T82" s="716">
        <f t="shared" si="25"/>
        <v>14</v>
      </c>
      <c r="W82" s="717">
        <f t="shared" si="26"/>
        <v>0</v>
      </c>
      <c r="X82" s="718">
        <f t="shared" si="27"/>
        <v>0.33333333333333331</v>
      </c>
      <c r="Y82" s="719" t="str">
        <f t="shared" si="28"/>
        <v>NA</v>
      </c>
      <c r="Z82" s="720">
        <f t="shared" si="29"/>
        <v>0.14285714285714285</v>
      </c>
    </row>
    <row r="83" spans="1:26" x14ac:dyDescent="0.25">
      <c r="A83" s="497" t="s">
        <v>202</v>
      </c>
      <c r="B83" s="432" t="s">
        <v>611</v>
      </c>
      <c r="C83" s="458" t="s">
        <v>265</v>
      </c>
      <c r="D83" s="714">
        <v>76</v>
      </c>
      <c r="E83" s="715">
        <v>29</v>
      </c>
      <c r="F83" s="715"/>
      <c r="G83" s="311">
        <f t="shared" si="18"/>
        <v>105</v>
      </c>
      <c r="H83" s="714">
        <v>9</v>
      </c>
      <c r="I83" s="715"/>
      <c r="J83" s="715">
        <v>1</v>
      </c>
      <c r="K83" s="311">
        <f t="shared" si="19"/>
        <v>10</v>
      </c>
      <c r="L83" s="714"/>
      <c r="M83" s="715"/>
      <c r="N83" s="715"/>
      <c r="O83" s="311">
        <f t="shared" si="20"/>
        <v>0</v>
      </c>
      <c r="P83" s="716">
        <f t="shared" si="21"/>
        <v>115</v>
      </c>
      <c r="Q83" s="897">
        <f t="shared" si="22"/>
        <v>85</v>
      </c>
      <c r="R83" s="897">
        <f t="shared" si="23"/>
        <v>29</v>
      </c>
      <c r="S83" s="897">
        <f t="shared" si="24"/>
        <v>1</v>
      </c>
      <c r="T83" s="716">
        <f t="shared" si="25"/>
        <v>115</v>
      </c>
      <c r="W83" s="717">
        <f t="shared" si="26"/>
        <v>0.10588235294117647</v>
      </c>
      <c r="X83" s="718">
        <f t="shared" si="27"/>
        <v>0</v>
      </c>
      <c r="Y83" s="719">
        <f t="shared" si="28"/>
        <v>1</v>
      </c>
      <c r="Z83" s="720">
        <f t="shared" si="29"/>
        <v>8.6956521739130432E-2</v>
      </c>
    </row>
    <row r="84" spans="1:26" x14ac:dyDescent="0.25">
      <c r="A84" s="497" t="s">
        <v>204</v>
      </c>
      <c r="B84" s="432" t="s">
        <v>293</v>
      </c>
      <c r="C84" s="458" t="s">
        <v>265</v>
      </c>
      <c r="D84" s="714">
        <v>24</v>
      </c>
      <c r="E84" s="715">
        <v>7</v>
      </c>
      <c r="F84" s="715"/>
      <c r="G84" s="311">
        <f t="shared" si="18"/>
        <v>31</v>
      </c>
      <c r="H84" s="714">
        <v>9</v>
      </c>
      <c r="I84" s="715">
        <v>6</v>
      </c>
      <c r="J84" s="715"/>
      <c r="K84" s="311">
        <f t="shared" si="19"/>
        <v>15</v>
      </c>
      <c r="L84" s="714"/>
      <c r="M84" s="715"/>
      <c r="N84" s="715"/>
      <c r="O84" s="311">
        <f t="shared" si="20"/>
        <v>0</v>
      </c>
      <c r="P84" s="716">
        <f t="shared" si="21"/>
        <v>46</v>
      </c>
      <c r="Q84" s="897">
        <f t="shared" si="22"/>
        <v>33</v>
      </c>
      <c r="R84" s="897">
        <f t="shared" si="23"/>
        <v>13</v>
      </c>
      <c r="S84" s="897">
        <f t="shared" si="24"/>
        <v>0</v>
      </c>
      <c r="T84" s="716">
        <f t="shared" si="25"/>
        <v>46</v>
      </c>
      <c r="W84" s="717">
        <f t="shared" si="26"/>
        <v>0.27272727272727271</v>
      </c>
      <c r="X84" s="718">
        <f t="shared" si="27"/>
        <v>0.46153846153846156</v>
      </c>
      <c r="Y84" s="719" t="str">
        <f t="shared" si="28"/>
        <v>NA</v>
      </c>
      <c r="Z84" s="720">
        <f t="shared" si="29"/>
        <v>0.32608695652173914</v>
      </c>
    </row>
    <row r="85" spans="1:26" x14ac:dyDescent="0.25">
      <c r="A85" s="497" t="s">
        <v>206</v>
      </c>
      <c r="B85" s="432" t="s">
        <v>294</v>
      </c>
      <c r="C85" s="458" t="s">
        <v>267</v>
      </c>
      <c r="D85" s="714">
        <v>95</v>
      </c>
      <c r="E85" s="715">
        <v>27</v>
      </c>
      <c r="F85" s="715"/>
      <c r="G85" s="311">
        <f t="shared" si="18"/>
        <v>122</v>
      </c>
      <c r="H85" s="714">
        <v>18</v>
      </c>
      <c r="I85" s="715">
        <v>2</v>
      </c>
      <c r="J85" s="715"/>
      <c r="K85" s="311">
        <f t="shared" si="19"/>
        <v>20</v>
      </c>
      <c r="L85" s="714"/>
      <c r="M85" s="715"/>
      <c r="N85" s="715"/>
      <c r="O85" s="311">
        <f t="shared" si="20"/>
        <v>0</v>
      </c>
      <c r="P85" s="716">
        <f t="shared" si="21"/>
        <v>142</v>
      </c>
      <c r="Q85" s="897">
        <f t="shared" si="22"/>
        <v>113</v>
      </c>
      <c r="R85" s="897">
        <f t="shared" si="23"/>
        <v>29</v>
      </c>
      <c r="S85" s="897">
        <f t="shared" si="24"/>
        <v>0</v>
      </c>
      <c r="T85" s="716">
        <f t="shared" si="25"/>
        <v>142</v>
      </c>
      <c r="W85" s="717">
        <f t="shared" si="26"/>
        <v>0.15929203539823009</v>
      </c>
      <c r="X85" s="718">
        <f t="shared" si="27"/>
        <v>6.8965517241379309E-2</v>
      </c>
      <c r="Y85" s="719" t="str">
        <f t="shared" si="28"/>
        <v>NA</v>
      </c>
      <c r="Z85" s="720">
        <f t="shared" si="29"/>
        <v>0.14084507042253522</v>
      </c>
    </row>
    <row r="86" spans="1:26" x14ac:dyDescent="0.25">
      <c r="A86" s="497" t="s">
        <v>208</v>
      </c>
      <c r="B86" s="432" t="s">
        <v>209</v>
      </c>
      <c r="C86" s="458" t="s">
        <v>268</v>
      </c>
      <c r="D86" s="714">
        <v>28</v>
      </c>
      <c r="E86" s="715">
        <v>11</v>
      </c>
      <c r="F86" s="715">
        <v>1</v>
      </c>
      <c r="G86" s="311">
        <f t="shared" si="18"/>
        <v>40</v>
      </c>
      <c r="H86" s="714">
        <v>8</v>
      </c>
      <c r="I86" s="715">
        <v>3</v>
      </c>
      <c r="J86" s="715"/>
      <c r="K86" s="311">
        <f t="shared" si="19"/>
        <v>11</v>
      </c>
      <c r="L86" s="714"/>
      <c r="M86" s="715"/>
      <c r="N86" s="715"/>
      <c r="O86" s="311">
        <f t="shared" si="20"/>
        <v>0</v>
      </c>
      <c r="P86" s="716">
        <f t="shared" si="21"/>
        <v>51</v>
      </c>
      <c r="Q86" s="897">
        <f t="shared" si="22"/>
        <v>36</v>
      </c>
      <c r="R86" s="897">
        <f t="shared" si="23"/>
        <v>14</v>
      </c>
      <c r="S86" s="897">
        <f t="shared" si="24"/>
        <v>1</v>
      </c>
      <c r="T86" s="716">
        <f t="shared" si="25"/>
        <v>51</v>
      </c>
      <c r="W86" s="717">
        <f t="shared" si="26"/>
        <v>0.22222222222222221</v>
      </c>
      <c r="X86" s="718">
        <f t="shared" si="27"/>
        <v>0.21428571428571427</v>
      </c>
      <c r="Y86" s="719">
        <f t="shared" si="28"/>
        <v>0</v>
      </c>
      <c r="Z86" s="720">
        <f t="shared" si="29"/>
        <v>0.21568627450980393</v>
      </c>
    </row>
    <row r="87" spans="1:26" x14ac:dyDescent="0.25">
      <c r="A87" s="497" t="s">
        <v>210</v>
      </c>
      <c r="B87" s="432" t="s">
        <v>211</v>
      </c>
      <c r="C87" s="458" t="s">
        <v>268</v>
      </c>
      <c r="D87" s="714">
        <v>28</v>
      </c>
      <c r="E87" s="715">
        <v>8</v>
      </c>
      <c r="F87" s="715"/>
      <c r="G87" s="311">
        <f t="shared" si="18"/>
        <v>36</v>
      </c>
      <c r="H87" s="714">
        <v>6</v>
      </c>
      <c r="I87" s="715">
        <v>4</v>
      </c>
      <c r="J87" s="715"/>
      <c r="K87" s="311">
        <f t="shared" si="19"/>
        <v>10</v>
      </c>
      <c r="L87" s="714"/>
      <c r="M87" s="715"/>
      <c r="N87" s="715"/>
      <c r="O87" s="311">
        <f t="shared" si="20"/>
        <v>0</v>
      </c>
      <c r="P87" s="716">
        <f t="shared" si="21"/>
        <v>46</v>
      </c>
      <c r="Q87" s="897">
        <f t="shared" si="22"/>
        <v>34</v>
      </c>
      <c r="R87" s="897">
        <f t="shared" si="23"/>
        <v>12</v>
      </c>
      <c r="S87" s="897">
        <f t="shared" si="24"/>
        <v>0</v>
      </c>
      <c r="T87" s="716">
        <f t="shared" si="25"/>
        <v>46</v>
      </c>
      <c r="W87" s="717">
        <f t="shared" si="26"/>
        <v>0.17647058823529413</v>
      </c>
      <c r="X87" s="718">
        <f t="shared" si="27"/>
        <v>0.33333333333333331</v>
      </c>
      <c r="Y87" s="719" t="str">
        <f t="shared" si="28"/>
        <v>NA</v>
      </c>
      <c r="Z87" s="720">
        <f t="shared" si="29"/>
        <v>0.21739130434782608</v>
      </c>
    </row>
    <row r="88" spans="1:26" x14ac:dyDescent="0.25">
      <c r="A88" s="497" t="s">
        <v>212</v>
      </c>
      <c r="B88" s="432" t="s">
        <v>213</v>
      </c>
      <c r="C88" s="458" t="s">
        <v>267</v>
      </c>
      <c r="D88" s="714">
        <v>24</v>
      </c>
      <c r="E88" s="715">
        <v>12</v>
      </c>
      <c r="F88" s="715">
        <v>2</v>
      </c>
      <c r="G88" s="311">
        <f t="shared" si="18"/>
        <v>38</v>
      </c>
      <c r="H88" s="714">
        <v>7</v>
      </c>
      <c r="I88" s="715">
        <v>3</v>
      </c>
      <c r="J88" s="715"/>
      <c r="K88" s="311">
        <f t="shared" si="19"/>
        <v>10</v>
      </c>
      <c r="L88" s="714">
        <v>1</v>
      </c>
      <c r="M88" s="715"/>
      <c r="N88" s="715"/>
      <c r="O88" s="311">
        <f t="shared" si="20"/>
        <v>1</v>
      </c>
      <c r="P88" s="716">
        <f t="shared" si="21"/>
        <v>49</v>
      </c>
      <c r="Q88" s="897">
        <f t="shared" si="22"/>
        <v>31</v>
      </c>
      <c r="R88" s="897">
        <f t="shared" si="23"/>
        <v>15</v>
      </c>
      <c r="S88" s="897">
        <f t="shared" si="24"/>
        <v>2</v>
      </c>
      <c r="T88" s="716">
        <f t="shared" si="25"/>
        <v>48</v>
      </c>
      <c r="W88" s="717">
        <f t="shared" si="26"/>
        <v>0.22580645161290322</v>
      </c>
      <c r="X88" s="718">
        <f t="shared" si="27"/>
        <v>0.2</v>
      </c>
      <c r="Y88" s="719">
        <f t="shared" si="28"/>
        <v>0</v>
      </c>
      <c r="Z88" s="720">
        <f t="shared" si="29"/>
        <v>0.20833333333333334</v>
      </c>
    </row>
    <row r="89" spans="1:26" x14ac:dyDescent="0.25">
      <c r="A89" s="497" t="s">
        <v>214</v>
      </c>
      <c r="B89" s="432" t="s">
        <v>215</v>
      </c>
      <c r="C89" s="458" t="s">
        <v>268</v>
      </c>
      <c r="D89" s="714">
        <v>47</v>
      </c>
      <c r="E89" s="715">
        <v>14</v>
      </c>
      <c r="F89" s="715"/>
      <c r="G89" s="311">
        <f t="shared" si="18"/>
        <v>61</v>
      </c>
      <c r="H89" s="714">
        <v>11</v>
      </c>
      <c r="I89" s="715">
        <v>11</v>
      </c>
      <c r="J89" s="715"/>
      <c r="K89" s="311">
        <f t="shared" si="19"/>
        <v>22</v>
      </c>
      <c r="L89" s="714">
        <v>1</v>
      </c>
      <c r="M89" s="715"/>
      <c r="N89" s="715"/>
      <c r="O89" s="311">
        <f t="shared" si="20"/>
        <v>1</v>
      </c>
      <c r="P89" s="716">
        <f t="shared" si="21"/>
        <v>84</v>
      </c>
      <c r="Q89" s="897">
        <f t="shared" si="22"/>
        <v>58</v>
      </c>
      <c r="R89" s="897">
        <f t="shared" si="23"/>
        <v>25</v>
      </c>
      <c r="S89" s="897">
        <f t="shared" si="24"/>
        <v>0</v>
      </c>
      <c r="T89" s="716">
        <f t="shared" si="25"/>
        <v>83</v>
      </c>
      <c r="W89" s="717">
        <f t="shared" si="26"/>
        <v>0.18965517241379309</v>
      </c>
      <c r="X89" s="718">
        <f t="shared" si="27"/>
        <v>0.44</v>
      </c>
      <c r="Y89" s="719" t="str">
        <f t="shared" si="28"/>
        <v>NA</v>
      </c>
      <c r="Z89" s="720">
        <f t="shared" si="29"/>
        <v>0.26506024096385544</v>
      </c>
    </row>
    <row r="90" spans="1:26" x14ac:dyDescent="0.25">
      <c r="A90" s="497" t="s">
        <v>216</v>
      </c>
      <c r="B90" s="432" t="s">
        <v>217</v>
      </c>
      <c r="C90" s="458" t="s">
        <v>264</v>
      </c>
      <c r="D90" s="714">
        <v>18</v>
      </c>
      <c r="E90" s="715">
        <v>11</v>
      </c>
      <c r="F90" s="715"/>
      <c r="G90" s="311">
        <f t="shared" si="18"/>
        <v>29</v>
      </c>
      <c r="H90" s="714">
        <v>3</v>
      </c>
      <c r="I90" s="715">
        <v>1</v>
      </c>
      <c r="J90" s="715">
        <v>3</v>
      </c>
      <c r="K90" s="311">
        <f t="shared" si="19"/>
        <v>7</v>
      </c>
      <c r="L90" s="714"/>
      <c r="M90" s="715"/>
      <c r="N90" s="715"/>
      <c r="O90" s="311">
        <f t="shared" si="20"/>
        <v>0</v>
      </c>
      <c r="P90" s="716">
        <f t="shared" si="21"/>
        <v>36</v>
      </c>
      <c r="Q90" s="897">
        <f t="shared" si="22"/>
        <v>21</v>
      </c>
      <c r="R90" s="897">
        <f t="shared" si="23"/>
        <v>12</v>
      </c>
      <c r="S90" s="897">
        <f t="shared" si="24"/>
        <v>3</v>
      </c>
      <c r="T90" s="716">
        <f t="shared" si="25"/>
        <v>36</v>
      </c>
      <c r="W90" s="717">
        <f t="shared" si="26"/>
        <v>0.14285714285714285</v>
      </c>
      <c r="X90" s="718">
        <f t="shared" si="27"/>
        <v>8.3333333333333329E-2</v>
      </c>
      <c r="Y90" s="719">
        <f t="shared" si="28"/>
        <v>1</v>
      </c>
      <c r="Z90" s="720">
        <f t="shared" si="29"/>
        <v>0.19444444444444445</v>
      </c>
    </row>
    <row r="91" spans="1:26" x14ac:dyDescent="0.25">
      <c r="A91" s="497" t="s">
        <v>218</v>
      </c>
      <c r="B91" s="432" t="s">
        <v>219</v>
      </c>
      <c r="C91" s="458" t="s">
        <v>267</v>
      </c>
      <c r="D91" s="714">
        <v>68</v>
      </c>
      <c r="E91" s="715">
        <v>30</v>
      </c>
      <c r="F91" s="715">
        <v>1</v>
      </c>
      <c r="G91" s="311">
        <f t="shared" si="18"/>
        <v>99</v>
      </c>
      <c r="H91" s="714">
        <v>10</v>
      </c>
      <c r="I91" s="715">
        <v>3</v>
      </c>
      <c r="J91" s="715">
        <v>3</v>
      </c>
      <c r="K91" s="311">
        <f t="shared" si="19"/>
        <v>16</v>
      </c>
      <c r="L91" s="714"/>
      <c r="M91" s="715"/>
      <c r="N91" s="715"/>
      <c r="O91" s="311">
        <f t="shared" si="20"/>
        <v>0</v>
      </c>
      <c r="P91" s="716">
        <f t="shared" si="21"/>
        <v>115</v>
      </c>
      <c r="Q91" s="897">
        <f t="shared" si="22"/>
        <v>78</v>
      </c>
      <c r="R91" s="897">
        <f t="shared" si="23"/>
        <v>33</v>
      </c>
      <c r="S91" s="897">
        <f t="shared" si="24"/>
        <v>4</v>
      </c>
      <c r="T91" s="716">
        <f t="shared" si="25"/>
        <v>115</v>
      </c>
      <c r="W91" s="717">
        <f t="shared" si="26"/>
        <v>0.12820512820512819</v>
      </c>
      <c r="X91" s="718">
        <f t="shared" si="27"/>
        <v>9.0909090909090912E-2</v>
      </c>
      <c r="Y91" s="719">
        <f t="shared" si="28"/>
        <v>0.75</v>
      </c>
      <c r="Z91" s="720">
        <f t="shared" si="29"/>
        <v>0.1391304347826087</v>
      </c>
    </row>
    <row r="92" spans="1:26" x14ac:dyDescent="0.25">
      <c r="A92" s="497" t="s">
        <v>220</v>
      </c>
      <c r="B92" s="432" t="s">
        <v>221</v>
      </c>
      <c r="C92" s="458" t="s">
        <v>267</v>
      </c>
      <c r="D92" s="714">
        <v>40</v>
      </c>
      <c r="E92" s="715">
        <v>17</v>
      </c>
      <c r="F92" s="715"/>
      <c r="G92" s="311">
        <f t="shared" si="18"/>
        <v>57</v>
      </c>
      <c r="H92" s="714">
        <v>7</v>
      </c>
      <c r="I92" s="715">
        <v>3</v>
      </c>
      <c r="J92" s="715">
        <v>1</v>
      </c>
      <c r="K92" s="311">
        <f t="shared" si="19"/>
        <v>11</v>
      </c>
      <c r="L92" s="714"/>
      <c r="M92" s="715"/>
      <c r="N92" s="715"/>
      <c r="O92" s="311">
        <f t="shared" si="20"/>
        <v>0</v>
      </c>
      <c r="P92" s="716">
        <f t="shared" si="21"/>
        <v>68</v>
      </c>
      <c r="Q92" s="897">
        <f t="shared" si="22"/>
        <v>47</v>
      </c>
      <c r="R92" s="897">
        <f t="shared" si="23"/>
        <v>20</v>
      </c>
      <c r="S92" s="897">
        <f t="shared" si="24"/>
        <v>1</v>
      </c>
      <c r="T92" s="716">
        <f t="shared" si="25"/>
        <v>68</v>
      </c>
      <c r="W92" s="717">
        <f t="shared" si="26"/>
        <v>0.14893617021276595</v>
      </c>
      <c r="X92" s="718">
        <f t="shared" si="27"/>
        <v>0.15</v>
      </c>
      <c r="Y92" s="719">
        <f t="shared" si="28"/>
        <v>1</v>
      </c>
      <c r="Z92" s="720">
        <f t="shared" si="29"/>
        <v>0.16176470588235295</v>
      </c>
    </row>
    <row r="93" spans="1:26" x14ac:dyDescent="0.25">
      <c r="A93" s="497" t="s">
        <v>224</v>
      </c>
      <c r="B93" s="432" t="s">
        <v>225</v>
      </c>
      <c r="C93" s="458" t="s">
        <v>264</v>
      </c>
      <c r="D93" s="714">
        <v>15</v>
      </c>
      <c r="E93" s="715">
        <v>8</v>
      </c>
      <c r="F93" s="715"/>
      <c r="G93" s="311">
        <f t="shared" si="18"/>
        <v>23</v>
      </c>
      <c r="H93" s="714">
        <v>3</v>
      </c>
      <c r="I93" s="715">
        <v>1</v>
      </c>
      <c r="J93" s="715"/>
      <c r="K93" s="311">
        <f t="shared" si="19"/>
        <v>4</v>
      </c>
      <c r="L93" s="714"/>
      <c r="M93" s="715"/>
      <c r="N93" s="715"/>
      <c r="O93" s="311">
        <f t="shared" si="20"/>
        <v>0</v>
      </c>
      <c r="P93" s="716">
        <f t="shared" si="21"/>
        <v>27</v>
      </c>
      <c r="Q93" s="897">
        <f t="shared" si="22"/>
        <v>18</v>
      </c>
      <c r="R93" s="897">
        <f t="shared" si="23"/>
        <v>9</v>
      </c>
      <c r="S93" s="897">
        <f t="shared" si="24"/>
        <v>0</v>
      </c>
      <c r="T93" s="716">
        <f t="shared" si="25"/>
        <v>27</v>
      </c>
      <c r="W93" s="717">
        <f t="shared" si="26"/>
        <v>0.16666666666666666</v>
      </c>
      <c r="X93" s="718">
        <f t="shared" si="27"/>
        <v>0.1111111111111111</v>
      </c>
      <c r="Y93" s="719" t="str">
        <f t="shared" si="28"/>
        <v>NA</v>
      </c>
      <c r="Z93" s="720">
        <f t="shared" si="29"/>
        <v>0.14814814814814814</v>
      </c>
    </row>
    <row r="94" spans="1:26" x14ac:dyDescent="0.25">
      <c r="A94" s="497" t="s">
        <v>226</v>
      </c>
      <c r="B94" s="432" t="s">
        <v>227</v>
      </c>
      <c r="C94" s="458" t="s">
        <v>264</v>
      </c>
      <c r="D94" s="714">
        <v>17</v>
      </c>
      <c r="E94" s="715">
        <v>8</v>
      </c>
      <c r="F94" s="715">
        <v>1</v>
      </c>
      <c r="G94" s="311">
        <f t="shared" si="18"/>
        <v>26</v>
      </c>
      <c r="H94" s="714">
        <v>4</v>
      </c>
      <c r="I94" s="715">
        <v>5</v>
      </c>
      <c r="J94" s="715"/>
      <c r="K94" s="311">
        <f t="shared" si="19"/>
        <v>9</v>
      </c>
      <c r="L94" s="714"/>
      <c r="M94" s="715"/>
      <c r="N94" s="715"/>
      <c r="O94" s="311">
        <f t="shared" si="20"/>
        <v>0</v>
      </c>
      <c r="P94" s="716">
        <f t="shared" si="21"/>
        <v>35</v>
      </c>
      <c r="Q94" s="897">
        <f t="shared" si="22"/>
        <v>21</v>
      </c>
      <c r="R94" s="897">
        <f t="shared" si="23"/>
        <v>13</v>
      </c>
      <c r="S94" s="897">
        <f t="shared" si="24"/>
        <v>1</v>
      </c>
      <c r="T94" s="716">
        <f t="shared" si="25"/>
        <v>35</v>
      </c>
      <c r="W94" s="717">
        <f t="shared" si="26"/>
        <v>0.19047619047619047</v>
      </c>
      <c r="X94" s="718">
        <f t="shared" si="27"/>
        <v>0.38461538461538464</v>
      </c>
      <c r="Y94" s="719">
        <f t="shared" si="28"/>
        <v>0</v>
      </c>
      <c r="Z94" s="720">
        <f t="shared" si="29"/>
        <v>0.25714285714285712</v>
      </c>
    </row>
    <row r="95" spans="1:26" x14ac:dyDescent="0.25">
      <c r="A95" s="497" t="s">
        <v>228</v>
      </c>
      <c r="B95" s="432" t="s">
        <v>229</v>
      </c>
      <c r="C95" s="458" t="s">
        <v>268</v>
      </c>
      <c r="D95" s="714">
        <v>55</v>
      </c>
      <c r="E95" s="715">
        <v>23</v>
      </c>
      <c r="F95" s="715"/>
      <c r="G95" s="311">
        <f t="shared" si="18"/>
        <v>78</v>
      </c>
      <c r="H95" s="714">
        <v>7</v>
      </c>
      <c r="I95" s="715">
        <v>2</v>
      </c>
      <c r="J95" s="715"/>
      <c r="K95" s="311">
        <f t="shared" si="19"/>
        <v>9</v>
      </c>
      <c r="L95" s="714"/>
      <c r="M95" s="715"/>
      <c r="N95" s="715"/>
      <c r="O95" s="311">
        <f t="shared" si="20"/>
        <v>0</v>
      </c>
      <c r="P95" s="716">
        <f t="shared" si="21"/>
        <v>87</v>
      </c>
      <c r="Q95" s="897">
        <f t="shared" si="22"/>
        <v>62</v>
      </c>
      <c r="R95" s="897">
        <f t="shared" si="23"/>
        <v>25</v>
      </c>
      <c r="S95" s="897">
        <f t="shared" si="24"/>
        <v>0</v>
      </c>
      <c r="T95" s="716">
        <f t="shared" si="25"/>
        <v>87</v>
      </c>
      <c r="W95" s="717">
        <f t="shared" si="26"/>
        <v>0.11290322580645161</v>
      </c>
      <c r="X95" s="718">
        <f t="shared" si="27"/>
        <v>0.08</v>
      </c>
      <c r="Y95" s="719" t="str">
        <f t="shared" si="28"/>
        <v>NA</v>
      </c>
      <c r="Z95" s="720">
        <f t="shared" si="29"/>
        <v>0.10344827586206896</v>
      </c>
    </row>
    <row r="96" spans="1:26" x14ac:dyDescent="0.25">
      <c r="A96" s="497" t="s">
        <v>232</v>
      </c>
      <c r="B96" s="432" t="s">
        <v>233</v>
      </c>
      <c r="C96" s="458" t="s">
        <v>267</v>
      </c>
      <c r="D96" s="714">
        <v>31</v>
      </c>
      <c r="E96" s="715">
        <v>9</v>
      </c>
      <c r="F96" s="715">
        <v>1</v>
      </c>
      <c r="G96" s="311">
        <f t="shared" si="18"/>
        <v>41</v>
      </c>
      <c r="H96" s="714">
        <v>6</v>
      </c>
      <c r="I96" s="715">
        <v>4</v>
      </c>
      <c r="J96" s="715"/>
      <c r="K96" s="311">
        <f t="shared" si="19"/>
        <v>10</v>
      </c>
      <c r="L96" s="714">
        <v>1</v>
      </c>
      <c r="M96" s="715"/>
      <c r="N96" s="715"/>
      <c r="O96" s="311">
        <f t="shared" si="20"/>
        <v>1</v>
      </c>
      <c r="P96" s="716">
        <f t="shared" si="21"/>
        <v>52</v>
      </c>
      <c r="Q96" s="897">
        <f t="shared" si="22"/>
        <v>37</v>
      </c>
      <c r="R96" s="897">
        <f t="shared" si="23"/>
        <v>13</v>
      </c>
      <c r="S96" s="897">
        <f t="shared" si="24"/>
        <v>1</v>
      </c>
      <c r="T96" s="716">
        <f t="shared" si="25"/>
        <v>51</v>
      </c>
      <c r="W96" s="717">
        <f t="shared" si="26"/>
        <v>0.16216216216216217</v>
      </c>
      <c r="X96" s="718">
        <f t="shared" si="27"/>
        <v>0.30769230769230771</v>
      </c>
      <c r="Y96" s="719">
        <f t="shared" si="28"/>
        <v>0</v>
      </c>
      <c r="Z96" s="720">
        <f t="shared" si="29"/>
        <v>0.19607843137254902</v>
      </c>
    </row>
    <row r="97" spans="1:26" x14ac:dyDescent="0.25">
      <c r="A97" s="497" t="s">
        <v>234</v>
      </c>
      <c r="B97" s="432" t="s">
        <v>235</v>
      </c>
      <c r="C97" s="458" t="s">
        <v>268</v>
      </c>
      <c r="D97" s="714">
        <v>41</v>
      </c>
      <c r="E97" s="715">
        <v>14</v>
      </c>
      <c r="F97" s="715">
        <v>3</v>
      </c>
      <c r="G97" s="311">
        <f t="shared" si="18"/>
        <v>58</v>
      </c>
      <c r="H97" s="714">
        <v>9</v>
      </c>
      <c r="I97" s="715">
        <v>8</v>
      </c>
      <c r="J97" s="715">
        <v>1</v>
      </c>
      <c r="K97" s="311">
        <f t="shared" si="19"/>
        <v>18</v>
      </c>
      <c r="L97" s="714"/>
      <c r="M97" s="715"/>
      <c r="N97" s="715"/>
      <c r="O97" s="311">
        <f t="shared" si="20"/>
        <v>0</v>
      </c>
      <c r="P97" s="716">
        <f t="shared" si="21"/>
        <v>76</v>
      </c>
      <c r="Q97" s="897">
        <f t="shared" si="22"/>
        <v>50</v>
      </c>
      <c r="R97" s="897">
        <f t="shared" si="23"/>
        <v>22</v>
      </c>
      <c r="S97" s="897">
        <f t="shared" si="24"/>
        <v>4</v>
      </c>
      <c r="T97" s="716">
        <f t="shared" si="25"/>
        <v>76</v>
      </c>
      <c r="W97" s="717">
        <f t="shared" si="26"/>
        <v>0.18</v>
      </c>
      <c r="X97" s="718">
        <f t="shared" si="27"/>
        <v>0.36363636363636365</v>
      </c>
      <c r="Y97" s="719">
        <f t="shared" si="28"/>
        <v>0.25</v>
      </c>
      <c r="Z97" s="720">
        <f t="shared" si="29"/>
        <v>0.23684210526315788</v>
      </c>
    </row>
    <row r="98" spans="1:26" x14ac:dyDescent="0.25">
      <c r="A98" s="497" t="s">
        <v>236</v>
      </c>
      <c r="B98" s="432" t="s">
        <v>237</v>
      </c>
      <c r="C98" s="458" t="s">
        <v>266</v>
      </c>
      <c r="D98" s="714">
        <v>18</v>
      </c>
      <c r="E98" s="715">
        <v>7</v>
      </c>
      <c r="F98" s="715"/>
      <c r="G98" s="311">
        <f t="shared" si="18"/>
        <v>25</v>
      </c>
      <c r="H98" s="714"/>
      <c r="I98" s="715">
        <v>3</v>
      </c>
      <c r="J98" s="715"/>
      <c r="K98" s="311">
        <f t="shared" si="19"/>
        <v>3</v>
      </c>
      <c r="L98" s="714"/>
      <c r="M98" s="715"/>
      <c r="N98" s="715"/>
      <c r="O98" s="311">
        <f t="shared" si="20"/>
        <v>0</v>
      </c>
      <c r="P98" s="716">
        <f t="shared" si="21"/>
        <v>28</v>
      </c>
      <c r="Q98" s="897">
        <f t="shared" si="22"/>
        <v>18</v>
      </c>
      <c r="R98" s="897">
        <f t="shared" si="23"/>
        <v>10</v>
      </c>
      <c r="S98" s="897">
        <f t="shared" si="24"/>
        <v>0</v>
      </c>
      <c r="T98" s="716">
        <f t="shared" si="25"/>
        <v>28</v>
      </c>
      <c r="W98" s="717">
        <f t="shared" si="26"/>
        <v>0</v>
      </c>
      <c r="X98" s="718">
        <f t="shared" si="27"/>
        <v>0.3</v>
      </c>
      <c r="Y98" s="719" t="str">
        <f t="shared" si="28"/>
        <v>NA</v>
      </c>
      <c r="Z98" s="720">
        <f t="shared" si="29"/>
        <v>0.10714285714285714</v>
      </c>
    </row>
    <row r="99" spans="1:26" x14ac:dyDescent="0.25">
      <c r="A99" s="497" t="s">
        <v>242</v>
      </c>
      <c r="B99" s="432" t="s">
        <v>243</v>
      </c>
      <c r="C99" s="458" t="s">
        <v>268</v>
      </c>
      <c r="D99" s="714">
        <v>57</v>
      </c>
      <c r="E99" s="715">
        <v>20</v>
      </c>
      <c r="F99" s="715"/>
      <c r="G99" s="311">
        <f t="shared" si="18"/>
        <v>77</v>
      </c>
      <c r="H99" s="714">
        <v>8</v>
      </c>
      <c r="I99" s="715">
        <v>6</v>
      </c>
      <c r="J99" s="715">
        <v>2</v>
      </c>
      <c r="K99" s="311">
        <f t="shared" si="19"/>
        <v>16</v>
      </c>
      <c r="L99" s="714"/>
      <c r="M99" s="715"/>
      <c r="N99" s="715"/>
      <c r="O99" s="311">
        <f t="shared" si="20"/>
        <v>0</v>
      </c>
      <c r="P99" s="716">
        <f t="shared" si="21"/>
        <v>93</v>
      </c>
      <c r="Q99" s="897">
        <f t="shared" si="22"/>
        <v>65</v>
      </c>
      <c r="R99" s="897">
        <f t="shared" si="23"/>
        <v>26</v>
      </c>
      <c r="S99" s="897">
        <f t="shared" si="24"/>
        <v>2</v>
      </c>
      <c r="T99" s="716">
        <f t="shared" si="25"/>
        <v>93</v>
      </c>
      <c r="W99" s="717">
        <f t="shared" si="26"/>
        <v>0.12307692307692308</v>
      </c>
      <c r="X99" s="718">
        <f t="shared" si="27"/>
        <v>0.23076923076923078</v>
      </c>
      <c r="Y99" s="719">
        <f t="shared" si="28"/>
        <v>1</v>
      </c>
      <c r="Z99" s="720">
        <f t="shared" si="29"/>
        <v>0.17204301075268819</v>
      </c>
    </row>
    <row r="100" spans="1:26" x14ac:dyDescent="0.25">
      <c r="A100" s="497" t="s">
        <v>244</v>
      </c>
      <c r="B100" s="432" t="s">
        <v>245</v>
      </c>
      <c r="C100" s="458" t="s">
        <v>268</v>
      </c>
      <c r="D100" s="714">
        <v>39</v>
      </c>
      <c r="E100" s="715">
        <v>13</v>
      </c>
      <c r="F100" s="715">
        <v>1</v>
      </c>
      <c r="G100" s="311">
        <f t="shared" si="18"/>
        <v>53</v>
      </c>
      <c r="H100" s="714">
        <v>3</v>
      </c>
      <c r="I100" s="715">
        <v>1</v>
      </c>
      <c r="J100" s="715"/>
      <c r="K100" s="311">
        <f t="shared" si="19"/>
        <v>4</v>
      </c>
      <c r="L100" s="714"/>
      <c r="M100" s="715"/>
      <c r="N100" s="715"/>
      <c r="O100" s="311">
        <f t="shared" si="20"/>
        <v>0</v>
      </c>
      <c r="P100" s="716">
        <f t="shared" si="21"/>
        <v>57</v>
      </c>
      <c r="Q100" s="897">
        <f t="shared" si="22"/>
        <v>42</v>
      </c>
      <c r="R100" s="897">
        <f t="shared" si="23"/>
        <v>14</v>
      </c>
      <c r="S100" s="897">
        <f t="shared" si="24"/>
        <v>1</v>
      </c>
      <c r="T100" s="716">
        <f t="shared" si="25"/>
        <v>57</v>
      </c>
      <c r="W100" s="717">
        <f t="shared" si="26"/>
        <v>7.1428571428571425E-2</v>
      </c>
      <c r="X100" s="718">
        <f t="shared" si="27"/>
        <v>7.1428571428571425E-2</v>
      </c>
      <c r="Y100" s="719">
        <f t="shared" si="28"/>
        <v>0</v>
      </c>
      <c r="Z100" s="720">
        <f t="shared" si="29"/>
        <v>7.0175438596491224E-2</v>
      </c>
    </row>
    <row r="101" spans="1:26" x14ac:dyDescent="0.25">
      <c r="A101" s="497" t="s">
        <v>246</v>
      </c>
      <c r="B101" s="432" t="s">
        <v>247</v>
      </c>
      <c r="C101" s="458" t="s">
        <v>264</v>
      </c>
      <c r="D101" s="714">
        <v>32</v>
      </c>
      <c r="E101" s="715">
        <v>28</v>
      </c>
      <c r="F101" s="715"/>
      <c r="G101" s="311">
        <f t="shared" si="18"/>
        <v>60</v>
      </c>
      <c r="H101" s="714">
        <v>22</v>
      </c>
      <c r="I101" s="715">
        <v>6</v>
      </c>
      <c r="J101" s="715"/>
      <c r="K101" s="311">
        <f t="shared" si="19"/>
        <v>28</v>
      </c>
      <c r="L101" s="714"/>
      <c r="M101" s="715"/>
      <c r="N101" s="715"/>
      <c r="O101" s="311">
        <f t="shared" si="20"/>
        <v>0</v>
      </c>
      <c r="P101" s="716">
        <f t="shared" si="21"/>
        <v>88</v>
      </c>
      <c r="Q101" s="897">
        <f t="shared" si="22"/>
        <v>54</v>
      </c>
      <c r="R101" s="897">
        <f t="shared" si="23"/>
        <v>34</v>
      </c>
      <c r="S101" s="897">
        <f t="shared" si="24"/>
        <v>0</v>
      </c>
      <c r="T101" s="716">
        <f t="shared" si="25"/>
        <v>88</v>
      </c>
      <c r="W101" s="717">
        <f t="shared" si="26"/>
        <v>0.40740740740740738</v>
      </c>
      <c r="X101" s="718">
        <f t="shared" si="27"/>
        <v>0.17647058823529413</v>
      </c>
      <c r="Y101" s="719" t="str">
        <f t="shared" si="28"/>
        <v>NA</v>
      </c>
      <c r="Z101" s="720">
        <f t="shared" si="29"/>
        <v>0.31818181818181818</v>
      </c>
    </row>
    <row r="102" spans="1:26" x14ac:dyDescent="0.25">
      <c r="A102" s="497" t="s">
        <v>14</v>
      </c>
      <c r="B102" s="432" t="s">
        <v>15</v>
      </c>
      <c r="C102" s="458" t="s">
        <v>267</v>
      </c>
      <c r="D102" s="714">
        <v>112</v>
      </c>
      <c r="E102" s="715">
        <v>81</v>
      </c>
      <c r="F102" s="715">
        <v>24</v>
      </c>
      <c r="G102" s="311">
        <f t="shared" ref="G102:G126" si="30">SUM(D102:F102)</f>
        <v>217</v>
      </c>
      <c r="H102" s="714">
        <v>27</v>
      </c>
      <c r="I102" s="715">
        <v>24</v>
      </c>
      <c r="J102" s="715">
        <v>8</v>
      </c>
      <c r="K102" s="311">
        <f t="shared" ref="K102:K126" si="31">SUM(H102:J102)</f>
        <v>59</v>
      </c>
      <c r="L102" s="714"/>
      <c r="M102" s="715"/>
      <c r="N102" s="715"/>
      <c r="O102" s="311">
        <f t="shared" ref="O102:O126" si="32">SUM(L102:N102)</f>
        <v>0</v>
      </c>
      <c r="P102" s="716">
        <f t="shared" ref="P102:P126" si="33">G102+K102+O102</f>
        <v>276</v>
      </c>
      <c r="Q102" s="897">
        <f t="shared" si="22"/>
        <v>139</v>
      </c>
      <c r="R102" s="897">
        <f t="shared" si="23"/>
        <v>105</v>
      </c>
      <c r="S102" s="897">
        <f t="shared" si="24"/>
        <v>32</v>
      </c>
      <c r="T102" s="716">
        <f t="shared" si="25"/>
        <v>276</v>
      </c>
      <c r="W102" s="717">
        <f t="shared" si="26"/>
        <v>0.19424460431654678</v>
      </c>
      <c r="X102" s="718">
        <f t="shared" si="27"/>
        <v>0.22857142857142856</v>
      </c>
      <c r="Y102" s="719">
        <f t="shared" si="28"/>
        <v>0.25</v>
      </c>
      <c r="Z102" s="720">
        <f t="shared" si="29"/>
        <v>0.21376811594202899</v>
      </c>
    </row>
    <row r="103" spans="1:26" x14ac:dyDescent="0.25">
      <c r="A103" s="497" t="s">
        <v>34</v>
      </c>
      <c r="B103" s="432" t="s">
        <v>35</v>
      </c>
      <c r="C103" s="458" t="s">
        <v>268</v>
      </c>
      <c r="D103" s="714">
        <v>32</v>
      </c>
      <c r="E103" s="715">
        <v>12</v>
      </c>
      <c r="F103" s="715"/>
      <c r="G103" s="311">
        <f t="shared" si="30"/>
        <v>44</v>
      </c>
      <c r="H103" s="714">
        <v>6</v>
      </c>
      <c r="I103" s="715">
        <v>3</v>
      </c>
      <c r="J103" s="715"/>
      <c r="K103" s="311">
        <f t="shared" si="31"/>
        <v>9</v>
      </c>
      <c r="L103" s="714"/>
      <c r="M103" s="715"/>
      <c r="N103" s="715"/>
      <c r="O103" s="311">
        <f t="shared" si="32"/>
        <v>0</v>
      </c>
      <c r="P103" s="716">
        <f t="shared" si="33"/>
        <v>53</v>
      </c>
      <c r="Q103" s="897">
        <f t="shared" si="22"/>
        <v>38</v>
      </c>
      <c r="R103" s="897">
        <f t="shared" si="23"/>
        <v>15</v>
      </c>
      <c r="S103" s="897">
        <f t="shared" si="24"/>
        <v>0</v>
      </c>
      <c r="T103" s="716">
        <f t="shared" ref="T103:T126" si="34">G103+K103</f>
        <v>53</v>
      </c>
      <c r="W103" s="717">
        <f t="shared" si="26"/>
        <v>0.15789473684210525</v>
      </c>
      <c r="X103" s="718">
        <f t="shared" si="27"/>
        <v>0.2</v>
      </c>
      <c r="Y103" s="719" t="str">
        <f t="shared" si="28"/>
        <v>NA</v>
      </c>
      <c r="Z103" s="720">
        <f t="shared" si="29"/>
        <v>0.16981132075471697</v>
      </c>
    </row>
    <row r="104" spans="1:26" x14ac:dyDescent="0.25">
      <c r="A104" s="497" t="s">
        <v>52</v>
      </c>
      <c r="B104" s="432" t="s">
        <v>53</v>
      </c>
      <c r="C104" s="458" t="s">
        <v>265</v>
      </c>
      <c r="D104" s="714">
        <v>72</v>
      </c>
      <c r="E104" s="715">
        <v>32</v>
      </c>
      <c r="F104" s="715">
        <v>6</v>
      </c>
      <c r="G104" s="311">
        <f t="shared" si="30"/>
        <v>110</v>
      </c>
      <c r="H104" s="714">
        <v>5</v>
      </c>
      <c r="I104" s="715">
        <v>1</v>
      </c>
      <c r="J104" s="715"/>
      <c r="K104" s="311">
        <f t="shared" si="31"/>
        <v>6</v>
      </c>
      <c r="L104" s="714"/>
      <c r="M104" s="715"/>
      <c r="N104" s="715"/>
      <c r="O104" s="311">
        <f t="shared" si="32"/>
        <v>0</v>
      </c>
      <c r="P104" s="716">
        <f t="shared" si="33"/>
        <v>116</v>
      </c>
      <c r="Q104" s="897">
        <f t="shared" si="22"/>
        <v>77</v>
      </c>
      <c r="R104" s="897">
        <f t="shared" si="23"/>
        <v>33</v>
      </c>
      <c r="S104" s="897">
        <f t="shared" si="24"/>
        <v>6</v>
      </c>
      <c r="T104" s="716">
        <f t="shared" si="34"/>
        <v>116</v>
      </c>
      <c r="W104" s="717">
        <f t="shared" si="26"/>
        <v>6.4935064935064929E-2</v>
      </c>
      <c r="X104" s="718">
        <f t="shared" si="27"/>
        <v>3.0303030303030304E-2</v>
      </c>
      <c r="Y104" s="719">
        <f t="shared" si="28"/>
        <v>0</v>
      </c>
      <c r="Z104" s="720">
        <f t="shared" si="29"/>
        <v>5.1724137931034482E-2</v>
      </c>
    </row>
    <row r="105" spans="1:26" x14ac:dyDescent="0.25">
      <c r="A105" s="497" t="s">
        <v>54</v>
      </c>
      <c r="B105" s="432" t="s">
        <v>55</v>
      </c>
      <c r="C105" s="458" t="s">
        <v>264</v>
      </c>
      <c r="D105" s="714">
        <v>166</v>
      </c>
      <c r="E105" s="715">
        <v>75</v>
      </c>
      <c r="F105" s="715">
        <v>1</v>
      </c>
      <c r="G105" s="311">
        <f t="shared" si="30"/>
        <v>242</v>
      </c>
      <c r="H105" s="714">
        <v>43</v>
      </c>
      <c r="I105" s="715">
        <v>21</v>
      </c>
      <c r="J105" s="715">
        <v>3</v>
      </c>
      <c r="K105" s="311">
        <f t="shared" si="31"/>
        <v>67</v>
      </c>
      <c r="L105" s="714"/>
      <c r="M105" s="715"/>
      <c r="N105" s="715"/>
      <c r="O105" s="311">
        <f t="shared" si="32"/>
        <v>0</v>
      </c>
      <c r="P105" s="716">
        <f t="shared" si="33"/>
        <v>309</v>
      </c>
      <c r="Q105" s="897">
        <f t="shared" si="22"/>
        <v>209</v>
      </c>
      <c r="R105" s="897">
        <f t="shared" si="23"/>
        <v>96</v>
      </c>
      <c r="S105" s="897">
        <f t="shared" si="24"/>
        <v>4</v>
      </c>
      <c r="T105" s="716">
        <f t="shared" si="34"/>
        <v>309</v>
      </c>
      <c r="W105" s="717">
        <f t="shared" si="26"/>
        <v>0.20574162679425836</v>
      </c>
      <c r="X105" s="718">
        <f t="shared" si="27"/>
        <v>0.21875</v>
      </c>
      <c r="Y105" s="719">
        <f t="shared" si="28"/>
        <v>0.75</v>
      </c>
      <c r="Z105" s="720">
        <f t="shared" si="29"/>
        <v>0.2168284789644013</v>
      </c>
    </row>
    <row r="106" spans="1:26" x14ac:dyDescent="0.25">
      <c r="A106" s="497" t="s">
        <v>66</v>
      </c>
      <c r="B106" s="432" t="s">
        <v>67</v>
      </c>
      <c r="C106" s="458" t="s">
        <v>265</v>
      </c>
      <c r="D106" s="714">
        <v>72</v>
      </c>
      <c r="E106" s="715">
        <v>27</v>
      </c>
      <c r="F106" s="715">
        <v>1</v>
      </c>
      <c r="G106" s="311">
        <f t="shared" si="30"/>
        <v>100</v>
      </c>
      <c r="H106" s="714">
        <v>3</v>
      </c>
      <c r="I106" s="715">
        <v>2</v>
      </c>
      <c r="J106" s="715"/>
      <c r="K106" s="311">
        <f t="shared" si="31"/>
        <v>5</v>
      </c>
      <c r="L106" s="714"/>
      <c r="M106" s="715"/>
      <c r="N106" s="715"/>
      <c r="O106" s="311">
        <f t="shared" si="32"/>
        <v>0</v>
      </c>
      <c r="P106" s="716">
        <f t="shared" si="33"/>
        <v>105</v>
      </c>
      <c r="Q106" s="897">
        <f t="shared" si="22"/>
        <v>75</v>
      </c>
      <c r="R106" s="897">
        <f t="shared" si="23"/>
        <v>29</v>
      </c>
      <c r="S106" s="897">
        <f t="shared" si="24"/>
        <v>1</v>
      </c>
      <c r="T106" s="716">
        <f t="shared" si="34"/>
        <v>105</v>
      </c>
      <c r="W106" s="717">
        <f t="shared" si="26"/>
        <v>0.04</v>
      </c>
      <c r="X106" s="718">
        <f t="shared" si="27"/>
        <v>6.8965517241379309E-2</v>
      </c>
      <c r="Y106" s="719">
        <f t="shared" si="28"/>
        <v>0</v>
      </c>
      <c r="Z106" s="720">
        <f t="shared" si="29"/>
        <v>4.7619047619047616E-2</v>
      </c>
    </row>
    <row r="107" spans="1:26" x14ac:dyDescent="0.25">
      <c r="A107" s="497" t="s">
        <v>82</v>
      </c>
      <c r="B107" s="432" t="s">
        <v>311</v>
      </c>
      <c r="C107" s="458" t="s">
        <v>264</v>
      </c>
      <c r="D107" s="714">
        <v>12</v>
      </c>
      <c r="E107" s="715">
        <v>5</v>
      </c>
      <c r="F107" s="715"/>
      <c r="G107" s="311">
        <f t="shared" si="30"/>
        <v>17</v>
      </c>
      <c r="H107" s="714">
        <v>7</v>
      </c>
      <c r="I107" s="715">
        <v>2</v>
      </c>
      <c r="J107" s="715"/>
      <c r="K107" s="311">
        <f t="shared" si="31"/>
        <v>9</v>
      </c>
      <c r="L107" s="714"/>
      <c r="M107" s="715"/>
      <c r="N107" s="715"/>
      <c r="O107" s="311">
        <f t="shared" si="32"/>
        <v>0</v>
      </c>
      <c r="P107" s="716">
        <f t="shared" si="33"/>
        <v>26</v>
      </c>
      <c r="Q107" s="897">
        <f t="shared" si="22"/>
        <v>19</v>
      </c>
      <c r="R107" s="897">
        <f t="shared" si="23"/>
        <v>7</v>
      </c>
      <c r="S107" s="897">
        <f t="shared" si="24"/>
        <v>0</v>
      </c>
      <c r="T107" s="716">
        <f t="shared" si="34"/>
        <v>26</v>
      </c>
      <c r="W107" s="717">
        <f t="shared" si="26"/>
        <v>0.36842105263157893</v>
      </c>
      <c r="X107" s="718">
        <f t="shared" si="27"/>
        <v>0.2857142857142857</v>
      </c>
      <c r="Y107" s="719" t="str">
        <f t="shared" si="28"/>
        <v>NA</v>
      </c>
      <c r="Z107" s="720">
        <f t="shared" si="29"/>
        <v>0.34615384615384615</v>
      </c>
    </row>
    <row r="108" spans="1:26" x14ac:dyDescent="0.25">
      <c r="A108" s="497" t="s">
        <v>88</v>
      </c>
      <c r="B108" s="432" t="s">
        <v>89</v>
      </c>
      <c r="C108" s="458" t="s">
        <v>267</v>
      </c>
      <c r="D108" s="714">
        <v>27</v>
      </c>
      <c r="E108" s="715">
        <v>11</v>
      </c>
      <c r="F108" s="715"/>
      <c r="G108" s="311">
        <f t="shared" si="30"/>
        <v>38</v>
      </c>
      <c r="H108" s="714">
        <v>1</v>
      </c>
      <c r="I108" s="715">
        <v>2</v>
      </c>
      <c r="J108" s="715">
        <v>2</v>
      </c>
      <c r="K108" s="311">
        <f t="shared" si="31"/>
        <v>5</v>
      </c>
      <c r="L108" s="714"/>
      <c r="M108" s="715"/>
      <c r="N108" s="715"/>
      <c r="O108" s="311">
        <f t="shared" si="32"/>
        <v>0</v>
      </c>
      <c r="P108" s="716">
        <f t="shared" si="33"/>
        <v>43</v>
      </c>
      <c r="Q108" s="897">
        <f t="shared" si="22"/>
        <v>28</v>
      </c>
      <c r="R108" s="897">
        <f t="shared" si="23"/>
        <v>13</v>
      </c>
      <c r="S108" s="897">
        <f t="shared" si="24"/>
        <v>2</v>
      </c>
      <c r="T108" s="716">
        <f t="shared" si="34"/>
        <v>43</v>
      </c>
      <c r="W108" s="717">
        <f t="shared" si="26"/>
        <v>3.5714285714285712E-2</v>
      </c>
      <c r="X108" s="718">
        <f t="shared" si="27"/>
        <v>0.15384615384615385</v>
      </c>
      <c r="Y108" s="719">
        <f t="shared" si="28"/>
        <v>1</v>
      </c>
      <c r="Z108" s="720">
        <f t="shared" si="29"/>
        <v>0.11627906976744186</v>
      </c>
    </row>
    <row r="109" spans="1:26" x14ac:dyDescent="0.25">
      <c r="A109" s="497" t="s">
        <v>90</v>
      </c>
      <c r="B109" s="432" t="s">
        <v>91</v>
      </c>
      <c r="C109" s="458" t="s">
        <v>268</v>
      </c>
      <c r="D109" s="714">
        <v>12</v>
      </c>
      <c r="E109" s="715">
        <v>5</v>
      </c>
      <c r="F109" s="715"/>
      <c r="G109" s="311">
        <f t="shared" si="30"/>
        <v>17</v>
      </c>
      <c r="H109" s="714">
        <v>1</v>
      </c>
      <c r="I109" s="715">
        <v>1</v>
      </c>
      <c r="J109" s="715"/>
      <c r="K109" s="311">
        <f t="shared" si="31"/>
        <v>2</v>
      </c>
      <c r="L109" s="714"/>
      <c r="M109" s="715">
        <v>1</v>
      </c>
      <c r="N109" s="715"/>
      <c r="O109" s="311">
        <f t="shared" si="32"/>
        <v>1</v>
      </c>
      <c r="P109" s="716">
        <f t="shared" si="33"/>
        <v>20</v>
      </c>
      <c r="Q109" s="897">
        <f t="shared" si="22"/>
        <v>13</v>
      </c>
      <c r="R109" s="897">
        <f t="shared" si="23"/>
        <v>6</v>
      </c>
      <c r="S109" s="897">
        <f t="shared" si="24"/>
        <v>0</v>
      </c>
      <c r="T109" s="716">
        <f t="shared" si="34"/>
        <v>19</v>
      </c>
      <c r="W109" s="717">
        <f t="shared" si="26"/>
        <v>7.6923076923076927E-2</v>
      </c>
      <c r="X109" s="718">
        <f t="shared" si="27"/>
        <v>0.16666666666666666</v>
      </c>
      <c r="Y109" s="719" t="str">
        <f t="shared" si="28"/>
        <v>NA</v>
      </c>
      <c r="Z109" s="720">
        <f t="shared" si="29"/>
        <v>0.10526315789473684</v>
      </c>
    </row>
    <row r="110" spans="1:26" x14ac:dyDescent="0.25">
      <c r="A110" s="497" t="s">
        <v>106</v>
      </c>
      <c r="B110" s="432" t="s">
        <v>107</v>
      </c>
      <c r="C110" s="458" t="s">
        <v>264</v>
      </c>
      <c r="D110" s="714">
        <v>137</v>
      </c>
      <c r="E110" s="715">
        <v>45</v>
      </c>
      <c r="F110" s="715">
        <v>5</v>
      </c>
      <c r="G110" s="311">
        <f t="shared" si="30"/>
        <v>187</v>
      </c>
      <c r="H110" s="714">
        <v>25</v>
      </c>
      <c r="I110" s="715">
        <v>11</v>
      </c>
      <c r="J110" s="715"/>
      <c r="K110" s="311">
        <f t="shared" si="31"/>
        <v>36</v>
      </c>
      <c r="L110" s="714"/>
      <c r="M110" s="715"/>
      <c r="N110" s="715"/>
      <c r="O110" s="311">
        <f t="shared" si="32"/>
        <v>0</v>
      </c>
      <c r="P110" s="716">
        <f t="shared" si="33"/>
        <v>223</v>
      </c>
      <c r="Q110" s="897">
        <f t="shared" si="22"/>
        <v>162</v>
      </c>
      <c r="R110" s="897">
        <f t="shared" si="23"/>
        <v>56</v>
      </c>
      <c r="S110" s="897">
        <f t="shared" si="24"/>
        <v>5</v>
      </c>
      <c r="T110" s="716">
        <f t="shared" si="34"/>
        <v>223</v>
      </c>
      <c r="W110" s="717">
        <f t="shared" si="26"/>
        <v>0.15432098765432098</v>
      </c>
      <c r="X110" s="718">
        <f t="shared" si="27"/>
        <v>0.19642857142857142</v>
      </c>
      <c r="Y110" s="719">
        <f t="shared" si="28"/>
        <v>0</v>
      </c>
      <c r="Z110" s="720">
        <f t="shared" si="29"/>
        <v>0.16143497757847533</v>
      </c>
    </row>
    <row r="111" spans="1:26" x14ac:dyDescent="0.25">
      <c r="A111" s="497" t="s">
        <v>116</v>
      </c>
      <c r="B111" s="432" t="s">
        <v>117</v>
      </c>
      <c r="C111" s="458" t="s">
        <v>266</v>
      </c>
      <c r="D111" s="714">
        <v>33</v>
      </c>
      <c r="E111" s="715">
        <v>16</v>
      </c>
      <c r="F111" s="715"/>
      <c r="G111" s="311">
        <f t="shared" si="30"/>
        <v>49</v>
      </c>
      <c r="H111" s="714">
        <v>7</v>
      </c>
      <c r="I111" s="715">
        <v>1</v>
      </c>
      <c r="J111" s="715"/>
      <c r="K111" s="311">
        <f t="shared" si="31"/>
        <v>8</v>
      </c>
      <c r="L111" s="714">
        <v>1</v>
      </c>
      <c r="M111" s="715"/>
      <c r="N111" s="715"/>
      <c r="O111" s="311">
        <f t="shared" si="32"/>
        <v>1</v>
      </c>
      <c r="P111" s="716">
        <f t="shared" si="33"/>
        <v>58</v>
      </c>
      <c r="Q111" s="897">
        <f t="shared" si="22"/>
        <v>40</v>
      </c>
      <c r="R111" s="897">
        <f t="shared" si="23"/>
        <v>17</v>
      </c>
      <c r="S111" s="897">
        <f t="shared" si="24"/>
        <v>0</v>
      </c>
      <c r="T111" s="716">
        <f t="shared" si="34"/>
        <v>57</v>
      </c>
      <c r="W111" s="717">
        <f t="shared" si="26"/>
        <v>0.17499999999999999</v>
      </c>
      <c r="X111" s="718">
        <f t="shared" si="27"/>
        <v>5.8823529411764705E-2</v>
      </c>
      <c r="Y111" s="719" t="str">
        <f t="shared" si="28"/>
        <v>NA</v>
      </c>
      <c r="Z111" s="720">
        <f t="shared" si="29"/>
        <v>0.14035087719298245</v>
      </c>
    </row>
    <row r="112" spans="1:26" x14ac:dyDescent="0.25">
      <c r="A112" s="497" t="s">
        <v>138</v>
      </c>
      <c r="B112" s="432" t="s">
        <v>139</v>
      </c>
      <c r="C112" s="458" t="s">
        <v>265</v>
      </c>
      <c r="D112" s="714">
        <v>96</v>
      </c>
      <c r="E112" s="715">
        <v>37</v>
      </c>
      <c r="F112" s="715">
        <v>1</v>
      </c>
      <c r="G112" s="311">
        <f t="shared" si="30"/>
        <v>134</v>
      </c>
      <c r="H112" s="714">
        <v>49</v>
      </c>
      <c r="I112" s="715">
        <v>10</v>
      </c>
      <c r="J112" s="715">
        <v>1</v>
      </c>
      <c r="K112" s="311">
        <f t="shared" si="31"/>
        <v>60</v>
      </c>
      <c r="L112" s="714"/>
      <c r="M112" s="715"/>
      <c r="N112" s="715"/>
      <c r="O112" s="311">
        <f t="shared" si="32"/>
        <v>0</v>
      </c>
      <c r="P112" s="716">
        <f t="shared" si="33"/>
        <v>194</v>
      </c>
      <c r="Q112" s="897">
        <f t="shared" si="22"/>
        <v>145</v>
      </c>
      <c r="R112" s="897">
        <f t="shared" si="23"/>
        <v>47</v>
      </c>
      <c r="S112" s="897">
        <f t="shared" si="24"/>
        <v>2</v>
      </c>
      <c r="T112" s="716">
        <f t="shared" si="34"/>
        <v>194</v>
      </c>
      <c r="W112" s="717">
        <f t="shared" si="26"/>
        <v>0.33793103448275863</v>
      </c>
      <c r="X112" s="718">
        <f t="shared" si="27"/>
        <v>0.21276595744680851</v>
      </c>
      <c r="Y112" s="719">
        <f t="shared" si="28"/>
        <v>0.5</v>
      </c>
      <c r="Z112" s="720">
        <f t="shared" si="29"/>
        <v>0.30927835051546393</v>
      </c>
    </row>
    <row r="113" spans="1:26" x14ac:dyDescent="0.25">
      <c r="A113" s="497" t="s">
        <v>142</v>
      </c>
      <c r="B113" s="432" t="s">
        <v>143</v>
      </c>
      <c r="C113" s="458" t="s">
        <v>267</v>
      </c>
      <c r="D113" s="714">
        <v>20</v>
      </c>
      <c r="E113" s="715">
        <v>12</v>
      </c>
      <c r="F113" s="715">
        <v>4</v>
      </c>
      <c r="G113" s="311">
        <f t="shared" si="30"/>
        <v>36</v>
      </c>
      <c r="H113" s="714">
        <v>2</v>
      </c>
      <c r="I113" s="715">
        <v>2</v>
      </c>
      <c r="J113" s="715"/>
      <c r="K113" s="311">
        <f t="shared" si="31"/>
        <v>4</v>
      </c>
      <c r="L113" s="714"/>
      <c r="M113" s="715"/>
      <c r="N113" s="715"/>
      <c r="O113" s="311">
        <f t="shared" si="32"/>
        <v>0</v>
      </c>
      <c r="P113" s="716">
        <f t="shared" si="33"/>
        <v>40</v>
      </c>
      <c r="Q113" s="897">
        <f t="shared" si="22"/>
        <v>22</v>
      </c>
      <c r="R113" s="897">
        <f t="shared" si="23"/>
        <v>14</v>
      </c>
      <c r="S113" s="897">
        <f t="shared" si="24"/>
        <v>4</v>
      </c>
      <c r="T113" s="716">
        <f t="shared" si="34"/>
        <v>40</v>
      </c>
      <c r="W113" s="717">
        <f t="shared" si="26"/>
        <v>9.0909090909090912E-2</v>
      </c>
      <c r="X113" s="718">
        <f t="shared" si="27"/>
        <v>0.14285714285714285</v>
      </c>
      <c r="Y113" s="719">
        <f t="shared" si="28"/>
        <v>0</v>
      </c>
      <c r="Z113" s="720">
        <f t="shared" si="29"/>
        <v>0.1</v>
      </c>
    </row>
    <row r="114" spans="1:26" x14ac:dyDescent="0.25">
      <c r="A114" s="497" t="s">
        <v>144</v>
      </c>
      <c r="B114" s="432" t="s">
        <v>145</v>
      </c>
      <c r="C114" s="458" t="s">
        <v>267</v>
      </c>
      <c r="D114" s="714">
        <v>8</v>
      </c>
      <c r="E114" s="715">
        <v>6</v>
      </c>
      <c r="F114" s="715"/>
      <c r="G114" s="311">
        <f t="shared" si="30"/>
        <v>14</v>
      </c>
      <c r="H114" s="714">
        <v>6</v>
      </c>
      <c r="I114" s="715">
        <v>1</v>
      </c>
      <c r="J114" s="715"/>
      <c r="K114" s="311">
        <f t="shared" si="31"/>
        <v>7</v>
      </c>
      <c r="L114" s="714"/>
      <c r="M114" s="715"/>
      <c r="N114" s="715"/>
      <c r="O114" s="311">
        <f t="shared" si="32"/>
        <v>0</v>
      </c>
      <c r="P114" s="716">
        <f t="shared" si="33"/>
        <v>21</v>
      </c>
      <c r="Q114" s="897">
        <f t="shared" si="22"/>
        <v>14</v>
      </c>
      <c r="R114" s="897">
        <f t="shared" si="23"/>
        <v>7</v>
      </c>
      <c r="S114" s="897">
        <f t="shared" si="24"/>
        <v>0</v>
      </c>
      <c r="T114" s="716">
        <f t="shared" si="34"/>
        <v>21</v>
      </c>
      <c r="W114" s="717">
        <f t="shared" si="26"/>
        <v>0.42857142857142855</v>
      </c>
      <c r="X114" s="718">
        <f t="shared" si="27"/>
        <v>0.14285714285714285</v>
      </c>
      <c r="Y114" s="719" t="str">
        <f t="shared" si="28"/>
        <v>NA</v>
      </c>
      <c r="Z114" s="720">
        <f t="shared" si="29"/>
        <v>0.33333333333333331</v>
      </c>
    </row>
    <row r="115" spans="1:26" x14ac:dyDescent="0.25">
      <c r="A115" s="497" t="s">
        <v>158</v>
      </c>
      <c r="B115" s="432" t="s">
        <v>159</v>
      </c>
      <c r="C115" s="458" t="s">
        <v>264</v>
      </c>
      <c r="D115" s="714">
        <v>198</v>
      </c>
      <c r="E115" s="715">
        <v>134</v>
      </c>
      <c r="F115" s="715">
        <v>8</v>
      </c>
      <c r="G115" s="311">
        <f t="shared" si="30"/>
        <v>340</v>
      </c>
      <c r="H115" s="714">
        <v>37</v>
      </c>
      <c r="I115" s="715">
        <v>37</v>
      </c>
      <c r="J115" s="715">
        <v>3</v>
      </c>
      <c r="K115" s="311">
        <f t="shared" si="31"/>
        <v>77</v>
      </c>
      <c r="L115" s="714"/>
      <c r="M115" s="715"/>
      <c r="N115" s="715"/>
      <c r="O115" s="311">
        <f t="shared" si="32"/>
        <v>0</v>
      </c>
      <c r="P115" s="716">
        <f t="shared" si="33"/>
        <v>417</v>
      </c>
      <c r="Q115" s="897">
        <f t="shared" si="22"/>
        <v>235</v>
      </c>
      <c r="R115" s="897">
        <f t="shared" si="23"/>
        <v>171</v>
      </c>
      <c r="S115" s="897">
        <f t="shared" si="24"/>
        <v>11</v>
      </c>
      <c r="T115" s="716">
        <f t="shared" si="34"/>
        <v>417</v>
      </c>
      <c r="W115" s="717">
        <f t="shared" si="26"/>
        <v>0.1574468085106383</v>
      </c>
      <c r="X115" s="718">
        <f t="shared" si="27"/>
        <v>0.21637426900584794</v>
      </c>
      <c r="Y115" s="719">
        <f t="shared" si="28"/>
        <v>0.27272727272727271</v>
      </c>
      <c r="Z115" s="720">
        <f t="shared" si="29"/>
        <v>0.18465227817745802</v>
      </c>
    </row>
    <row r="116" spans="1:26" x14ac:dyDescent="0.25">
      <c r="A116" s="497" t="s">
        <v>160</v>
      </c>
      <c r="B116" s="432" t="s">
        <v>161</v>
      </c>
      <c r="C116" s="458" t="s">
        <v>264</v>
      </c>
      <c r="D116" s="714">
        <v>258</v>
      </c>
      <c r="E116" s="715">
        <v>139</v>
      </c>
      <c r="F116" s="715">
        <v>7</v>
      </c>
      <c r="G116" s="311">
        <f t="shared" si="30"/>
        <v>404</v>
      </c>
      <c r="H116" s="714">
        <v>126</v>
      </c>
      <c r="I116" s="715">
        <v>54</v>
      </c>
      <c r="J116" s="715">
        <v>6</v>
      </c>
      <c r="K116" s="311">
        <f t="shared" si="31"/>
        <v>186</v>
      </c>
      <c r="L116" s="714">
        <v>1</v>
      </c>
      <c r="M116" s="715"/>
      <c r="N116" s="715"/>
      <c r="O116" s="311">
        <f t="shared" si="32"/>
        <v>1</v>
      </c>
      <c r="P116" s="716">
        <f t="shared" si="33"/>
        <v>591</v>
      </c>
      <c r="Q116" s="897">
        <f t="shared" si="22"/>
        <v>384</v>
      </c>
      <c r="R116" s="897">
        <f t="shared" si="23"/>
        <v>193</v>
      </c>
      <c r="S116" s="897">
        <f t="shared" si="24"/>
        <v>13</v>
      </c>
      <c r="T116" s="716">
        <f t="shared" si="34"/>
        <v>590</v>
      </c>
      <c r="W116" s="717">
        <f t="shared" si="26"/>
        <v>0.328125</v>
      </c>
      <c r="X116" s="718">
        <f t="shared" si="27"/>
        <v>0.27979274611398963</v>
      </c>
      <c r="Y116" s="719">
        <f t="shared" si="28"/>
        <v>0.46153846153846156</v>
      </c>
      <c r="Z116" s="720">
        <f t="shared" si="29"/>
        <v>0.31525423728813562</v>
      </c>
    </row>
    <row r="117" spans="1:26" x14ac:dyDescent="0.25">
      <c r="A117" s="497" t="s">
        <v>166</v>
      </c>
      <c r="B117" s="432" t="s">
        <v>167</v>
      </c>
      <c r="C117" s="458" t="s">
        <v>268</v>
      </c>
      <c r="D117" s="714">
        <v>10</v>
      </c>
      <c r="E117" s="715">
        <v>5</v>
      </c>
      <c r="F117" s="715">
        <v>1</v>
      </c>
      <c r="G117" s="311">
        <f t="shared" si="30"/>
        <v>16</v>
      </c>
      <c r="H117" s="714">
        <v>1</v>
      </c>
      <c r="I117" s="715"/>
      <c r="J117" s="715"/>
      <c r="K117" s="311">
        <f t="shared" si="31"/>
        <v>1</v>
      </c>
      <c r="L117" s="714"/>
      <c r="M117" s="715"/>
      <c r="N117" s="715"/>
      <c r="O117" s="311">
        <f t="shared" si="32"/>
        <v>0</v>
      </c>
      <c r="P117" s="716">
        <f t="shared" si="33"/>
        <v>17</v>
      </c>
      <c r="Q117" s="897">
        <f t="shared" si="22"/>
        <v>11</v>
      </c>
      <c r="R117" s="897">
        <f t="shared" si="23"/>
        <v>5</v>
      </c>
      <c r="S117" s="897">
        <f t="shared" si="24"/>
        <v>1</v>
      </c>
      <c r="T117" s="716">
        <f t="shared" si="34"/>
        <v>17</v>
      </c>
      <c r="W117" s="717">
        <f t="shared" si="26"/>
        <v>9.0909090909090912E-2</v>
      </c>
      <c r="X117" s="718">
        <f t="shared" si="27"/>
        <v>0</v>
      </c>
      <c r="Y117" s="719">
        <f t="shared" si="28"/>
        <v>0</v>
      </c>
      <c r="Z117" s="720">
        <f t="shared" si="29"/>
        <v>5.8823529411764705E-2</v>
      </c>
    </row>
    <row r="118" spans="1:26" x14ac:dyDescent="0.25">
      <c r="A118" s="497" t="s">
        <v>176</v>
      </c>
      <c r="B118" s="432" t="s">
        <v>177</v>
      </c>
      <c r="C118" s="458" t="s">
        <v>266</v>
      </c>
      <c r="D118" s="714">
        <v>27</v>
      </c>
      <c r="E118" s="715">
        <v>15</v>
      </c>
      <c r="F118" s="715"/>
      <c r="G118" s="311">
        <f t="shared" si="30"/>
        <v>42</v>
      </c>
      <c r="H118" s="714">
        <v>77</v>
      </c>
      <c r="I118" s="715">
        <v>33</v>
      </c>
      <c r="J118" s="715"/>
      <c r="K118" s="311">
        <f t="shared" si="31"/>
        <v>110</v>
      </c>
      <c r="L118" s="714"/>
      <c r="M118" s="715"/>
      <c r="N118" s="715"/>
      <c r="O118" s="311">
        <f t="shared" si="32"/>
        <v>0</v>
      </c>
      <c r="P118" s="716">
        <f t="shared" si="33"/>
        <v>152</v>
      </c>
      <c r="Q118" s="897">
        <f t="shared" si="22"/>
        <v>104</v>
      </c>
      <c r="R118" s="897">
        <f t="shared" si="23"/>
        <v>48</v>
      </c>
      <c r="S118" s="897">
        <f t="shared" si="24"/>
        <v>0</v>
      </c>
      <c r="T118" s="716">
        <f t="shared" si="34"/>
        <v>152</v>
      </c>
      <c r="W118" s="717">
        <f t="shared" si="26"/>
        <v>0.74038461538461542</v>
      </c>
      <c r="X118" s="718">
        <f t="shared" si="27"/>
        <v>0.6875</v>
      </c>
      <c r="Y118" s="719" t="str">
        <f t="shared" si="28"/>
        <v>NA</v>
      </c>
      <c r="Z118" s="720">
        <f t="shared" si="29"/>
        <v>0.72368421052631582</v>
      </c>
    </row>
    <row r="119" spans="1:26" x14ac:dyDescent="0.25">
      <c r="A119" s="497" t="s">
        <v>180</v>
      </c>
      <c r="B119" s="432" t="s">
        <v>181</v>
      </c>
      <c r="C119" s="458" t="s">
        <v>264</v>
      </c>
      <c r="D119" s="714">
        <v>117</v>
      </c>
      <c r="E119" s="715">
        <v>66</v>
      </c>
      <c r="F119" s="715">
        <v>2</v>
      </c>
      <c r="G119" s="311">
        <f t="shared" si="30"/>
        <v>185</v>
      </c>
      <c r="H119" s="714">
        <v>61</v>
      </c>
      <c r="I119" s="715">
        <v>37</v>
      </c>
      <c r="J119" s="715"/>
      <c r="K119" s="311">
        <f t="shared" si="31"/>
        <v>98</v>
      </c>
      <c r="L119" s="714"/>
      <c r="M119" s="715"/>
      <c r="N119" s="715"/>
      <c r="O119" s="311">
        <f t="shared" si="32"/>
        <v>0</v>
      </c>
      <c r="P119" s="716">
        <f t="shared" si="33"/>
        <v>283</v>
      </c>
      <c r="Q119" s="897">
        <f t="shared" si="22"/>
        <v>178</v>
      </c>
      <c r="R119" s="897">
        <f t="shared" si="23"/>
        <v>103</v>
      </c>
      <c r="S119" s="897">
        <f t="shared" si="24"/>
        <v>2</v>
      </c>
      <c r="T119" s="716">
        <f t="shared" si="34"/>
        <v>283</v>
      </c>
      <c r="W119" s="717">
        <f t="shared" si="26"/>
        <v>0.34269662921348315</v>
      </c>
      <c r="X119" s="718">
        <f t="shared" si="27"/>
        <v>0.35922330097087379</v>
      </c>
      <c r="Y119" s="719">
        <f t="shared" si="28"/>
        <v>0</v>
      </c>
      <c r="Z119" s="720">
        <f t="shared" si="29"/>
        <v>0.3462897526501767</v>
      </c>
    </row>
    <row r="120" spans="1:26" x14ac:dyDescent="0.25">
      <c r="A120" s="497" t="s">
        <v>192</v>
      </c>
      <c r="B120" s="432" t="s">
        <v>193</v>
      </c>
      <c r="C120" s="458" t="s">
        <v>268</v>
      </c>
      <c r="D120" s="714">
        <v>13</v>
      </c>
      <c r="E120" s="715">
        <v>6</v>
      </c>
      <c r="F120" s="715"/>
      <c r="G120" s="311">
        <f t="shared" si="30"/>
        <v>19</v>
      </c>
      <c r="H120" s="714">
        <v>2</v>
      </c>
      <c r="I120" s="715"/>
      <c r="J120" s="715"/>
      <c r="K120" s="311">
        <f t="shared" si="31"/>
        <v>2</v>
      </c>
      <c r="L120" s="714"/>
      <c r="M120" s="715"/>
      <c r="N120" s="715"/>
      <c r="O120" s="311">
        <f t="shared" si="32"/>
        <v>0</v>
      </c>
      <c r="P120" s="716">
        <f t="shared" si="33"/>
        <v>21</v>
      </c>
      <c r="Q120" s="897">
        <f t="shared" si="22"/>
        <v>15</v>
      </c>
      <c r="R120" s="897">
        <f t="shared" si="23"/>
        <v>6</v>
      </c>
      <c r="S120" s="897">
        <f t="shared" si="24"/>
        <v>0</v>
      </c>
      <c r="T120" s="716">
        <f t="shared" si="34"/>
        <v>21</v>
      </c>
      <c r="W120" s="717">
        <f t="shared" si="26"/>
        <v>0.13333333333333333</v>
      </c>
      <c r="X120" s="718">
        <f t="shared" si="27"/>
        <v>0</v>
      </c>
      <c r="Y120" s="719" t="str">
        <f t="shared" si="28"/>
        <v>NA</v>
      </c>
      <c r="Z120" s="720">
        <f t="shared" si="29"/>
        <v>9.5238095238095233E-2</v>
      </c>
    </row>
    <row r="121" spans="1:26" x14ac:dyDescent="0.25">
      <c r="A121" s="497" t="s">
        <v>196</v>
      </c>
      <c r="B121" s="432" t="s">
        <v>312</v>
      </c>
      <c r="C121" s="458" t="s">
        <v>266</v>
      </c>
      <c r="D121" s="714">
        <v>206</v>
      </c>
      <c r="E121" s="715">
        <v>154</v>
      </c>
      <c r="F121" s="715">
        <v>20</v>
      </c>
      <c r="G121" s="311">
        <f t="shared" si="30"/>
        <v>380</v>
      </c>
      <c r="H121" s="714">
        <v>92</v>
      </c>
      <c r="I121" s="715">
        <v>29</v>
      </c>
      <c r="J121" s="715">
        <v>7</v>
      </c>
      <c r="K121" s="311">
        <f t="shared" si="31"/>
        <v>128</v>
      </c>
      <c r="L121" s="714"/>
      <c r="M121" s="715"/>
      <c r="N121" s="715">
        <v>1</v>
      </c>
      <c r="O121" s="311">
        <f t="shared" si="32"/>
        <v>1</v>
      </c>
      <c r="P121" s="716">
        <f t="shared" si="33"/>
        <v>509</v>
      </c>
      <c r="Q121" s="897">
        <f t="shared" si="22"/>
        <v>298</v>
      </c>
      <c r="R121" s="897">
        <f t="shared" si="23"/>
        <v>183</v>
      </c>
      <c r="S121" s="897">
        <f t="shared" si="24"/>
        <v>27</v>
      </c>
      <c r="T121" s="716">
        <f t="shared" si="34"/>
        <v>508</v>
      </c>
      <c r="W121" s="717">
        <f t="shared" si="26"/>
        <v>0.3087248322147651</v>
      </c>
      <c r="X121" s="718">
        <f t="shared" si="27"/>
        <v>0.15846994535519127</v>
      </c>
      <c r="Y121" s="719">
        <f t="shared" si="28"/>
        <v>0.25925925925925924</v>
      </c>
      <c r="Z121" s="720">
        <f t="shared" si="29"/>
        <v>0.25196850393700787</v>
      </c>
    </row>
    <row r="122" spans="1:26" x14ac:dyDescent="0.25">
      <c r="A122" s="497" t="s">
        <v>200</v>
      </c>
      <c r="B122" s="432" t="s">
        <v>313</v>
      </c>
      <c r="C122" s="458" t="s">
        <v>265</v>
      </c>
      <c r="D122" s="714">
        <v>131</v>
      </c>
      <c r="E122" s="715">
        <v>65</v>
      </c>
      <c r="F122" s="715"/>
      <c r="G122" s="311">
        <f t="shared" si="30"/>
        <v>196</v>
      </c>
      <c r="H122" s="714">
        <v>41</v>
      </c>
      <c r="I122" s="715">
        <v>11</v>
      </c>
      <c r="J122" s="715">
        <v>8</v>
      </c>
      <c r="K122" s="311">
        <f t="shared" si="31"/>
        <v>60</v>
      </c>
      <c r="L122" s="714">
        <v>1</v>
      </c>
      <c r="M122" s="715"/>
      <c r="N122" s="715"/>
      <c r="O122" s="311">
        <f t="shared" si="32"/>
        <v>1</v>
      </c>
      <c r="P122" s="716">
        <f t="shared" si="33"/>
        <v>257</v>
      </c>
      <c r="Q122" s="897">
        <f t="shared" si="22"/>
        <v>172</v>
      </c>
      <c r="R122" s="897">
        <f t="shared" si="23"/>
        <v>76</v>
      </c>
      <c r="S122" s="897">
        <f t="shared" si="24"/>
        <v>8</v>
      </c>
      <c r="T122" s="716">
        <f t="shared" si="34"/>
        <v>256</v>
      </c>
      <c r="W122" s="717">
        <f t="shared" si="26"/>
        <v>0.23837209302325582</v>
      </c>
      <c r="X122" s="718">
        <f t="shared" si="27"/>
        <v>0.14473684210526316</v>
      </c>
      <c r="Y122" s="719">
        <f t="shared" si="28"/>
        <v>1</v>
      </c>
      <c r="Z122" s="720">
        <f t="shared" si="29"/>
        <v>0.234375</v>
      </c>
    </row>
    <row r="123" spans="1:26" x14ac:dyDescent="0.25">
      <c r="A123" s="497" t="s">
        <v>222</v>
      </c>
      <c r="B123" s="432" t="s">
        <v>223</v>
      </c>
      <c r="C123" s="458" t="s">
        <v>264</v>
      </c>
      <c r="D123" s="714">
        <v>82</v>
      </c>
      <c r="E123" s="715">
        <v>30</v>
      </c>
      <c r="F123" s="715">
        <v>1</v>
      </c>
      <c r="G123" s="311">
        <f t="shared" si="30"/>
        <v>113</v>
      </c>
      <c r="H123" s="714">
        <v>9</v>
      </c>
      <c r="I123" s="715">
        <v>3</v>
      </c>
      <c r="J123" s="715">
        <v>1</v>
      </c>
      <c r="K123" s="311">
        <f t="shared" si="31"/>
        <v>13</v>
      </c>
      <c r="L123" s="714"/>
      <c r="M123" s="715"/>
      <c r="N123" s="715"/>
      <c r="O123" s="311">
        <f t="shared" si="32"/>
        <v>0</v>
      </c>
      <c r="P123" s="716">
        <f t="shared" si="33"/>
        <v>126</v>
      </c>
      <c r="Q123" s="897">
        <f t="shared" si="22"/>
        <v>91</v>
      </c>
      <c r="R123" s="897">
        <f t="shared" si="23"/>
        <v>33</v>
      </c>
      <c r="S123" s="897">
        <f t="shared" si="24"/>
        <v>2</v>
      </c>
      <c r="T123" s="716">
        <f t="shared" si="34"/>
        <v>126</v>
      </c>
      <c r="W123" s="717">
        <f t="shared" si="26"/>
        <v>9.8901098901098897E-2</v>
      </c>
      <c r="X123" s="718">
        <f t="shared" si="27"/>
        <v>9.0909090909090912E-2</v>
      </c>
      <c r="Y123" s="719">
        <f t="shared" si="28"/>
        <v>0.5</v>
      </c>
      <c r="Z123" s="720">
        <f t="shared" si="29"/>
        <v>0.10317460317460317</v>
      </c>
    </row>
    <row r="124" spans="1:26" x14ac:dyDescent="0.25">
      <c r="A124" s="497" t="s">
        <v>230</v>
      </c>
      <c r="B124" s="432" t="s">
        <v>231</v>
      </c>
      <c r="C124" s="458" t="s">
        <v>264</v>
      </c>
      <c r="D124" s="714">
        <v>209</v>
      </c>
      <c r="E124" s="715">
        <v>89</v>
      </c>
      <c r="F124" s="715"/>
      <c r="G124" s="311">
        <f t="shared" si="30"/>
        <v>298</v>
      </c>
      <c r="H124" s="714">
        <v>57</v>
      </c>
      <c r="I124" s="715">
        <v>67</v>
      </c>
      <c r="J124" s="715"/>
      <c r="K124" s="311">
        <f t="shared" si="31"/>
        <v>124</v>
      </c>
      <c r="L124" s="714">
        <v>5</v>
      </c>
      <c r="M124" s="715">
        <v>10</v>
      </c>
      <c r="N124" s="715"/>
      <c r="O124" s="311">
        <f t="shared" si="32"/>
        <v>15</v>
      </c>
      <c r="P124" s="716">
        <f t="shared" si="33"/>
        <v>437</v>
      </c>
      <c r="Q124" s="897">
        <f t="shared" si="22"/>
        <v>266</v>
      </c>
      <c r="R124" s="897">
        <f t="shared" si="23"/>
        <v>156</v>
      </c>
      <c r="S124" s="897">
        <f t="shared" si="24"/>
        <v>0</v>
      </c>
      <c r="T124" s="716">
        <f t="shared" si="34"/>
        <v>422</v>
      </c>
      <c r="W124" s="717">
        <f t="shared" si="26"/>
        <v>0.21428571428571427</v>
      </c>
      <c r="X124" s="718">
        <f t="shared" si="27"/>
        <v>0.42948717948717946</v>
      </c>
      <c r="Y124" s="719" t="str">
        <f t="shared" si="28"/>
        <v>NA</v>
      </c>
      <c r="Z124" s="720">
        <f t="shared" si="29"/>
        <v>0.29383886255924169</v>
      </c>
    </row>
    <row r="125" spans="1:26" x14ac:dyDescent="0.25">
      <c r="A125" s="497" t="s">
        <v>238</v>
      </c>
      <c r="B125" s="432" t="s">
        <v>239</v>
      </c>
      <c r="C125" s="458" t="s">
        <v>264</v>
      </c>
      <c r="D125" s="714">
        <v>8</v>
      </c>
      <c r="E125" s="715">
        <v>5</v>
      </c>
      <c r="F125" s="715"/>
      <c r="G125" s="311">
        <f t="shared" si="30"/>
        <v>13</v>
      </c>
      <c r="H125" s="714">
        <v>2</v>
      </c>
      <c r="I125" s="715"/>
      <c r="J125" s="715"/>
      <c r="K125" s="311">
        <f t="shared" si="31"/>
        <v>2</v>
      </c>
      <c r="L125" s="714"/>
      <c r="M125" s="715"/>
      <c r="N125" s="715"/>
      <c r="O125" s="311">
        <f t="shared" si="32"/>
        <v>0</v>
      </c>
      <c r="P125" s="716">
        <f t="shared" si="33"/>
        <v>15</v>
      </c>
      <c r="Q125" s="897">
        <f t="shared" si="22"/>
        <v>10</v>
      </c>
      <c r="R125" s="897">
        <f t="shared" si="23"/>
        <v>5</v>
      </c>
      <c r="S125" s="897">
        <f t="shared" si="24"/>
        <v>0</v>
      </c>
      <c r="T125" s="716">
        <f t="shared" si="34"/>
        <v>15</v>
      </c>
      <c r="W125" s="717">
        <f t="shared" si="26"/>
        <v>0.2</v>
      </c>
      <c r="X125" s="718">
        <f t="shared" si="27"/>
        <v>0</v>
      </c>
      <c r="Y125" s="719" t="str">
        <f t="shared" si="28"/>
        <v>NA</v>
      </c>
      <c r="Z125" s="720">
        <f t="shared" si="29"/>
        <v>0.13333333333333333</v>
      </c>
    </row>
    <row r="126" spans="1:26" x14ac:dyDescent="0.25">
      <c r="A126" s="722" t="s">
        <v>240</v>
      </c>
      <c r="B126" s="723" t="s">
        <v>241</v>
      </c>
      <c r="C126" s="724" t="s">
        <v>267</v>
      </c>
      <c r="D126" s="812">
        <v>30</v>
      </c>
      <c r="E126" s="813">
        <v>15</v>
      </c>
      <c r="F126" s="813"/>
      <c r="G126" s="814">
        <f t="shared" si="30"/>
        <v>45</v>
      </c>
      <c r="H126" s="812">
        <v>1</v>
      </c>
      <c r="I126" s="813">
        <v>2</v>
      </c>
      <c r="J126" s="813"/>
      <c r="K126" s="814">
        <f t="shared" si="31"/>
        <v>3</v>
      </c>
      <c r="L126" s="812">
        <v>1</v>
      </c>
      <c r="M126" s="813">
        <v>1</v>
      </c>
      <c r="N126" s="813"/>
      <c r="O126" s="814">
        <f t="shared" si="32"/>
        <v>2</v>
      </c>
      <c r="P126" s="815">
        <f t="shared" si="33"/>
        <v>50</v>
      </c>
      <c r="Q126" s="899">
        <f t="shared" si="22"/>
        <v>31</v>
      </c>
      <c r="R126" s="899">
        <f t="shared" si="23"/>
        <v>17</v>
      </c>
      <c r="S126" s="899">
        <f t="shared" si="24"/>
        <v>0</v>
      </c>
      <c r="T126" s="815">
        <f t="shared" si="34"/>
        <v>48</v>
      </c>
      <c r="W126" s="816">
        <f t="shared" si="26"/>
        <v>3.2258064516129031E-2</v>
      </c>
      <c r="X126" s="817">
        <f t="shared" si="27"/>
        <v>0.11764705882352941</v>
      </c>
      <c r="Y126" s="818" t="str">
        <f t="shared" si="28"/>
        <v>NA</v>
      </c>
      <c r="Z126" s="819">
        <f t="shared" si="29"/>
        <v>6.25E-2</v>
      </c>
    </row>
    <row r="127" spans="1:26" x14ac:dyDescent="0.25">
      <c r="A127" s="484"/>
      <c r="B127" s="484"/>
      <c r="C127" s="484"/>
    </row>
    <row r="128" spans="1:26" ht="16.5" customHeight="1" x14ac:dyDescent="0.25">
      <c r="A128" s="854" t="s">
        <v>1257</v>
      </c>
      <c r="B128" s="484"/>
      <c r="C128" s="484"/>
      <c r="D128" s="484"/>
    </row>
    <row r="129" spans="1:4" x14ac:dyDescent="0.25">
      <c r="A129" s="726" t="s">
        <v>786</v>
      </c>
      <c r="B129" s="726"/>
      <c r="C129" s="726"/>
      <c r="D129" s="726"/>
    </row>
    <row r="130" spans="1:4" x14ac:dyDescent="0.25">
      <c r="A130" s="725" t="s">
        <v>655</v>
      </c>
      <c r="B130" s="484"/>
      <c r="C130" s="484"/>
      <c r="D130" s="484"/>
    </row>
    <row r="131" spans="1:4" x14ac:dyDescent="0.25">
      <c r="A131" s="725" t="s">
        <v>1258</v>
      </c>
      <c r="B131" s="484"/>
      <c r="C131" s="484"/>
      <c r="D131" s="484"/>
    </row>
    <row r="132" spans="1:4" x14ac:dyDescent="0.25">
      <c r="A132" s="265" t="s">
        <v>248</v>
      </c>
      <c r="B132" s="727"/>
      <c r="C132" s="727"/>
    </row>
    <row r="133" spans="1:4" x14ac:dyDescent="0.25">
      <c r="A133" s="265" t="s">
        <v>249</v>
      </c>
      <c r="B133" s="391" t="s">
        <v>250</v>
      </c>
      <c r="C133" s="728"/>
    </row>
  </sheetData>
  <autoFilter ref="A5:C5"/>
  <mergeCells count="7">
    <mergeCell ref="W4:Z4"/>
    <mergeCell ref="D4:G4"/>
    <mergeCell ref="H4:K4"/>
    <mergeCell ref="L4:O4"/>
    <mergeCell ref="P4:P5"/>
    <mergeCell ref="T4:T5"/>
    <mergeCell ref="Q4:S4"/>
  </mergeCells>
  <hyperlinks>
    <hyperlink ref="B133"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topLeftCell="A102" workbookViewId="0">
      <selection activeCell="A128" sqref="A128:IV133"/>
    </sheetView>
  </sheetViews>
  <sheetFormatPr defaultColWidth="9.125" defaultRowHeight="12.75" x14ac:dyDescent="0.2"/>
  <cols>
    <col min="1" max="1" width="8.5" style="96" customWidth="1"/>
    <col min="2" max="2" width="26.375" style="97" customWidth="1"/>
    <col min="3" max="3" width="9.25" style="97" customWidth="1"/>
    <col min="4" max="5" width="9.75" style="97" customWidth="1"/>
    <col min="6" max="6" width="1.75" style="97" customWidth="1"/>
    <col min="7" max="7" width="9.875" style="97" bestFit="1" customWidth="1"/>
    <col min="8" max="8" width="9.625" style="97" customWidth="1"/>
    <col min="9" max="9" width="1.5" style="97" customWidth="1"/>
    <col min="10" max="10" width="9.875" style="97" bestFit="1" customWidth="1"/>
    <col min="11" max="11" width="9" style="97" bestFit="1" customWidth="1"/>
    <col min="12" max="12" width="1.125" style="97" customWidth="1"/>
    <col min="13" max="13" width="9.875" style="97" bestFit="1" customWidth="1"/>
    <col min="14" max="14" width="9" style="97" bestFit="1" customWidth="1"/>
    <col min="15" max="15" width="1.5" style="97" customWidth="1"/>
    <col min="16" max="16" width="11" style="117" customWidth="1"/>
    <col min="17" max="18" width="9.25" style="95" customWidth="1"/>
    <col min="19" max="19" width="11.125" style="95" bestFit="1" customWidth="1"/>
    <col min="20" max="16384" width="9.125" style="96"/>
  </cols>
  <sheetData>
    <row r="1" spans="1:22" ht="17.25" customHeight="1" x14ac:dyDescent="0.25">
      <c r="A1" s="2810" t="s">
        <v>620</v>
      </c>
      <c r="B1" s="2810"/>
      <c r="C1" s="2810"/>
      <c r="D1" s="2810"/>
      <c r="E1" s="2810"/>
      <c r="F1" s="2810"/>
      <c r="G1" s="2810"/>
      <c r="H1" s="2810"/>
      <c r="I1" s="2810"/>
      <c r="J1" s="2810"/>
      <c r="K1" s="2810"/>
      <c r="L1" s="191"/>
      <c r="M1" s="191"/>
      <c r="N1" s="191"/>
      <c r="O1" s="191"/>
      <c r="P1" s="177"/>
      <c r="Q1" s="177"/>
      <c r="R1" s="177"/>
    </row>
    <row r="2" spans="1:22" ht="17.25" customHeight="1" x14ac:dyDescent="0.25">
      <c r="A2" s="313"/>
      <c r="B2" s="313"/>
      <c r="C2" s="313"/>
      <c r="D2" s="313"/>
      <c r="E2" s="313"/>
      <c r="F2" s="313"/>
      <c r="G2" s="313"/>
      <c r="H2" s="313"/>
      <c r="I2" s="313"/>
      <c r="J2" s="313"/>
      <c r="K2" s="313"/>
      <c r="L2" s="191"/>
      <c r="M2" s="191"/>
      <c r="N2" s="191"/>
      <c r="O2" s="191"/>
      <c r="P2" s="177"/>
      <c r="Q2" s="177"/>
      <c r="R2" s="177"/>
    </row>
    <row r="3" spans="1:22" ht="17.25" customHeight="1" x14ac:dyDescent="0.25">
      <c r="A3" s="192"/>
      <c r="B3" s="192"/>
      <c r="C3" s="192"/>
      <c r="D3" s="179"/>
      <c r="E3" s="179"/>
      <c r="F3" s="192"/>
      <c r="G3" s="179"/>
      <c r="H3" s="179"/>
      <c r="I3" s="192"/>
      <c r="J3" s="179"/>
      <c r="K3" s="179"/>
      <c r="L3" s="191"/>
      <c r="M3" s="94"/>
      <c r="N3" s="94"/>
      <c r="O3" s="191"/>
      <c r="P3" s="177"/>
      <c r="Q3" s="177"/>
      <c r="R3" s="177"/>
    </row>
    <row r="4" spans="1:22" ht="25.5" customHeight="1" x14ac:dyDescent="0.2">
      <c r="D4" s="2807" t="s">
        <v>621</v>
      </c>
      <c r="E4" s="2807"/>
      <c r="F4" s="177"/>
      <c r="G4" s="2807" t="s">
        <v>2</v>
      </c>
      <c r="H4" s="2807"/>
      <c r="I4" s="177"/>
      <c r="J4" s="2807" t="s">
        <v>622</v>
      </c>
      <c r="K4" s="2807"/>
      <c r="L4" s="98"/>
      <c r="M4" s="2807" t="s">
        <v>623</v>
      </c>
      <c r="N4" s="2807"/>
      <c r="O4" s="177"/>
      <c r="P4" s="2807" t="s">
        <v>624</v>
      </c>
      <c r="Q4" s="2807"/>
      <c r="R4" s="2807"/>
      <c r="S4" s="2807"/>
    </row>
    <row r="5" spans="1:22" ht="38.25" x14ac:dyDescent="0.2">
      <c r="A5" s="99" t="s">
        <v>4</v>
      </c>
      <c r="B5" s="100" t="s">
        <v>5</v>
      </c>
      <c r="C5" s="100" t="s">
        <v>251</v>
      </c>
      <c r="D5" s="206" t="s">
        <v>625</v>
      </c>
      <c r="E5" s="206" t="s">
        <v>281</v>
      </c>
      <c r="F5" s="98"/>
      <c r="G5" s="206" t="s">
        <v>625</v>
      </c>
      <c r="H5" s="206" t="s">
        <v>281</v>
      </c>
      <c r="I5" s="98"/>
      <c r="J5" s="206" t="s">
        <v>625</v>
      </c>
      <c r="K5" s="206" t="s">
        <v>281</v>
      </c>
      <c r="L5" s="98"/>
      <c r="M5" s="206" t="s">
        <v>625</v>
      </c>
      <c r="N5" s="206" t="s">
        <v>281</v>
      </c>
      <c r="O5" s="98"/>
      <c r="P5" s="198" t="s">
        <v>621</v>
      </c>
      <c r="Q5" s="198" t="s">
        <v>2</v>
      </c>
      <c r="R5" s="198" t="s">
        <v>3</v>
      </c>
      <c r="S5" s="198" t="s">
        <v>623</v>
      </c>
    </row>
    <row r="6" spans="1:22" x14ac:dyDescent="0.2">
      <c r="A6" s="193" t="s">
        <v>8</v>
      </c>
      <c r="B6" s="194" t="s">
        <v>9</v>
      </c>
      <c r="C6" s="194"/>
      <c r="D6" s="210">
        <v>444292</v>
      </c>
      <c r="E6" s="211">
        <v>1635360</v>
      </c>
      <c r="F6" s="195"/>
      <c r="G6" s="207">
        <v>203435</v>
      </c>
      <c r="H6" s="207">
        <v>1044656</v>
      </c>
      <c r="I6" s="197"/>
      <c r="J6" s="207">
        <v>178609</v>
      </c>
      <c r="K6" s="207">
        <v>322077</v>
      </c>
      <c r="L6" s="197"/>
      <c r="M6" s="207">
        <v>49259</v>
      </c>
      <c r="N6" s="207">
        <v>173510</v>
      </c>
      <c r="O6" s="196"/>
      <c r="P6" s="199">
        <f>(D6/E6)*100</f>
        <v>27.167840720086094</v>
      </c>
      <c r="Q6" s="199">
        <f>(G6/H6)*100</f>
        <v>19.473874653474446</v>
      </c>
      <c r="R6" s="199">
        <f>(J6/K6)*100</f>
        <v>55.455372473042161</v>
      </c>
      <c r="S6" s="199">
        <f>IF(N6&lt;1,"NA", ((M6/N6)*100))</f>
        <v>28.389718171863294</v>
      </c>
    </row>
    <row r="7" spans="1:22" x14ac:dyDescent="0.2">
      <c r="A7" s="101" t="s">
        <v>10</v>
      </c>
      <c r="B7" s="102" t="s">
        <v>11</v>
      </c>
      <c r="C7" s="103" t="s">
        <v>264</v>
      </c>
      <c r="D7" s="212">
        <v>2089</v>
      </c>
      <c r="E7" s="213">
        <v>5645</v>
      </c>
      <c r="F7" s="104"/>
      <c r="G7" s="208">
        <v>869</v>
      </c>
      <c r="H7" s="208">
        <v>3396</v>
      </c>
      <c r="I7" s="106"/>
      <c r="J7" s="208">
        <v>1026</v>
      </c>
      <c r="K7" s="208">
        <v>1557</v>
      </c>
      <c r="L7" s="107"/>
      <c r="M7" s="208">
        <v>245</v>
      </c>
      <c r="N7" s="208">
        <v>921</v>
      </c>
      <c r="O7" s="105"/>
      <c r="P7" s="200">
        <f t="shared" ref="P7:P70" si="0">(D7/E7)*100</f>
        <v>37.006200177147917</v>
      </c>
      <c r="Q7" s="201">
        <f t="shared" ref="Q7:Q70" si="1">(G7/H7)*100</f>
        <v>25.588928150765604</v>
      </c>
      <c r="R7" s="201">
        <f t="shared" ref="R7:R70" si="2">(J7/K7)*100</f>
        <v>65.895953757225428</v>
      </c>
      <c r="S7" s="200">
        <f t="shared" ref="S7:S70" si="3">IF(N7&lt;1,"NA", ((M7/N7)*100))</f>
        <v>26.601520086862106</v>
      </c>
      <c r="T7" s="108"/>
      <c r="U7" s="109"/>
      <c r="V7" s="109"/>
    </row>
    <row r="8" spans="1:22" x14ac:dyDescent="0.2">
      <c r="A8" s="101" t="s">
        <v>12</v>
      </c>
      <c r="B8" s="102" t="s">
        <v>13</v>
      </c>
      <c r="C8" s="103" t="s">
        <v>265</v>
      </c>
      <c r="D8" s="212">
        <v>4442</v>
      </c>
      <c r="E8" s="213">
        <v>19580</v>
      </c>
      <c r="F8" s="104"/>
      <c r="G8" s="208">
        <v>2663</v>
      </c>
      <c r="H8" s="208">
        <v>15250</v>
      </c>
      <c r="I8" s="107"/>
      <c r="J8" s="208">
        <v>1081</v>
      </c>
      <c r="K8" s="208">
        <v>1788</v>
      </c>
      <c r="L8" s="107"/>
      <c r="M8" s="208">
        <v>461</v>
      </c>
      <c r="N8" s="208">
        <v>1462</v>
      </c>
      <c r="O8" s="105"/>
      <c r="P8" s="200">
        <f t="shared" si="0"/>
        <v>22.68641470888662</v>
      </c>
      <c r="Q8" s="201">
        <f t="shared" si="1"/>
        <v>17.462295081967213</v>
      </c>
      <c r="R8" s="201">
        <f t="shared" si="2"/>
        <v>60.458612975391503</v>
      </c>
      <c r="S8" s="200">
        <f t="shared" si="3"/>
        <v>31.532147742818058</v>
      </c>
      <c r="T8" s="108"/>
      <c r="U8" s="109"/>
      <c r="V8" s="109"/>
    </row>
    <row r="9" spans="1:22" x14ac:dyDescent="0.2">
      <c r="A9" s="101" t="s">
        <v>16</v>
      </c>
      <c r="B9" s="102" t="s">
        <v>600</v>
      </c>
      <c r="C9" s="103" t="s">
        <v>265</v>
      </c>
      <c r="D9" s="212">
        <v>1246</v>
      </c>
      <c r="E9" s="213">
        <v>4119</v>
      </c>
      <c r="F9" s="104"/>
      <c r="G9" s="208">
        <v>970</v>
      </c>
      <c r="H9" s="208">
        <v>3662</v>
      </c>
      <c r="I9" s="107"/>
      <c r="J9" s="208">
        <v>167</v>
      </c>
      <c r="K9" s="208">
        <v>244</v>
      </c>
      <c r="L9" s="107"/>
      <c r="M9" s="208">
        <v>24</v>
      </c>
      <c r="N9" s="208">
        <v>71</v>
      </c>
      <c r="O9" s="105"/>
      <c r="P9" s="200">
        <f t="shared" si="0"/>
        <v>30.25006069434329</v>
      </c>
      <c r="Q9" s="201">
        <f t="shared" si="1"/>
        <v>26.488257782632441</v>
      </c>
      <c r="R9" s="201">
        <f t="shared" si="2"/>
        <v>68.442622950819683</v>
      </c>
      <c r="S9" s="200">
        <f t="shared" si="3"/>
        <v>33.802816901408448</v>
      </c>
      <c r="T9" s="108"/>
      <c r="U9" s="109"/>
      <c r="V9" s="109"/>
    </row>
    <row r="10" spans="1:22" x14ac:dyDescent="0.2">
      <c r="A10" s="101" t="s">
        <v>18</v>
      </c>
      <c r="B10" s="102" t="s">
        <v>19</v>
      </c>
      <c r="C10" s="103" t="s">
        <v>266</v>
      </c>
      <c r="D10" s="212">
        <v>628</v>
      </c>
      <c r="E10" s="213">
        <v>2321</v>
      </c>
      <c r="F10" s="104"/>
      <c r="G10" s="208">
        <v>381</v>
      </c>
      <c r="H10" s="208">
        <v>1778</v>
      </c>
      <c r="I10" s="107"/>
      <c r="J10" s="208">
        <v>210</v>
      </c>
      <c r="K10" s="208">
        <v>413</v>
      </c>
      <c r="L10" s="107"/>
      <c r="M10" s="208">
        <v>19</v>
      </c>
      <c r="N10" s="208">
        <v>79</v>
      </c>
      <c r="O10" s="105"/>
      <c r="P10" s="200">
        <f t="shared" si="0"/>
        <v>27.057302886686774</v>
      </c>
      <c r="Q10" s="201">
        <f t="shared" si="1"/>
        <v>21.428571428571427</v>
      </c>
      <c r="R10" s="201">
        <f t="shared" si="2"/>
        <v>50.847457627118644</v>
      </c>
      <c r="S10" s="200">
        <f t="shared" si="3"/>
        <v>24.050632911392405</v>
      </c>
      <c r="T10" s="108"/>
      <c r="U10" s="109"/>
      <c r="V10" s="109"/>
    </row>
    <row r="11" spans="1:22" x14ac:dyDescent="0.2">
      <c r="A11" s="101" t="s">
        <v>20</v>
      </c>
      <c r="B11" s="102" t="s">
        <v>21</v>
      </c>
      <c r="C11" s="103" t="s">
        <v>265</v>
      </c>
      <c r="D11" s="212">
        <v>1922</v>
      </c>
      <c r="E11" s="213">
        <v>5977</v>
      </c>
      <c r="F11" s="104"/>
      <c r="G11" s="208">
        <v>1150</v>
      </c>
      <c r="H11" s="208">
        <v>4492</v>
      </c>
      <c r="I11" s="107"/>
      <c r="J11" s="208">
        <v>576</v>
      </c>
      <c r="K11" s="208">
        <v>1038</v>
      </c>
      <c r="L11" s="107"/>
      <c r="M11" s="208">
        <v>54</v>
      </c>
      <c r="N11" s="208">
        <v>169</v>
      </c>
      <c r="O11" s="105"/>
      <c r="P11" s="200">
        <f t="shared" si="0"/>
        <v>32.156600301154427</v>
      </c>
      <c r="Q11" s="201">
        <f t="shared" si="1"/>
        <v>25.601068566340164</v>
      </c>
      <c r="R11" s="201">
        <f t="shared" si="2"/>
        <v>55.49132947976878</v>
      </c>
      <c r="S11" s="200">
        <f t="shared" si="3"/>
        <v>31.952662721893493</v>
      </c>
      <c r="T11" s="108"/>
      <c r="U11" s="109"/>
      <c r="V11" s="109"/>
    </row>
    <row r="12" spans="1:22" x14ac:dyDescent="0.2">
      <c r="A12" s="101" t="s">
        <v>22</v>
      </c>
      <c r="B12" s="102" t="s">
        <v>23</v>
      </c>
      <c r="C12" s="103" t="s">
        <v>265</v>
      </c>
      <c r="D12" s="212">
        <v>845</v>
      </c>
      <c r="E12" s="213">
        <v>2826</v>
      </c>
      <c r="F12" s="104"/>
      <c r="G12" s="208">
        <v>448</v>
      </c>
      <c r="H12" s="208">
        <v>2111</v>
      </c>
      <c r="I12" s="107"/>
      <c r="J12" s="208">
        <v>342</v>
      </c>
      <c r="K12" s="208">
        <v>581</v>
      </c>
      <c r="L12" s="107"/>
      <c r="M12" s="208">
        <v>20</v>
      </c>
      <c r="N12" s="208">
        <v>48</v>
      </c>
      <c r="O12" s="105"/>
      <c r="P12" s="200">
        <f t="shared" si="0"/>
        <v>29.900920028308565</v>
      </c>
      <c r="Q12" s="201">
        <f t="shared" si="1"/>
        <v>21.222169587873047</v>
      </c>
      <c r="R12" s="201">
        <f t="shared" si="2"/>
        <v>58.86402753872634</v>
      </c>
      <c r="S12" s="200">
        <f t="shared" si="3"/>
        <v>41.666666666666671</v>
      </c>
      <c r="T12" s="108"/>
      <c r="U12" s="109"/>
      <c r="V12" s="109"/>
    </row>
    <row r="13" spans="1:22" x14ac:dyDescent="0.2">
      <c r="A13" s="101" t="s">
        <v>24</v>
      </c>
      <c r="B13" s="102" t="s">
        <v>25</v>
      </c>
      <c r="C13" s="103" t="s">
        <v>267</v>
      </c>
      <c r="D13" s="212">
        <v>5359</v>
      </c>
      <c r="E13" s="213">
        <v>30162</v>
      </c>
      <c r="F13" s="104"/>
      <c r="G13" s="208">
        <v>2466</v>
      </c>
      <c r="H13" s="208">
        <v>19885</v>
      </c>
      <c r="I13" s="107"/>
      <c r="J13" s="208">
        <v>1226</v>
      </c>
      <c r="K13" s="208">
        <v>2625</v>
      </c>
      <c r="L13" s="107"/>
      <c r="M13" s="208">
        <v>1695</v>
      </c>
      <c r="N13" s="208">
        <v>6108</v>
      </c>
      <c r="O13" s="105"/>
      <c r="P13" s="200">
        <f t="shared" si="0"/>
        <v>17.767389430409125</v>
      </c>
      <c r="Q13" s="201">
        <f t="shared" si="1"/>
        <v>12.401307518229823</v>
      </c>
      <c r="R13" s="201">
        <f t="shared" si="2"/>
        <v>46.704761904761902</v>
      </c>
      <c r="S13" s="200">
        <f t="shared" si="3"/>
        <v>27.75049115913556</v>
      </c>
      <c r="T13" s="108"/>
      <c r="U13" s="109"/>
      <c r="V13" s="109"/>
    </row>
    <row r="14" spans="1:22" x14ac:dyDescent="0.2">
      <c r="A14" s="101" t="s">
        <v>26</v>
      </c>
      <c r="B14" s="102" t="s">
        <v>685</v>
      </c>
      <c r="C14" s="103" t="s">
        <v>265</v>
      </c>
      <c r="D14" s="212">
        <v>6433</v>
      </c>
      <c r="E14" s="213">
        <v>22064</v>
      </c>
      <c r="F14" s="104"/>
      <c r="G14" s="208">
        <v>4824</v>
      </c>
      <c r="H14" s="208">
        <v>19009</v>
      </c>
      <c r="I14" s="107"/>
      <c r="J14" s="208">
        <v>876</v>
      </c>
      <c r="K14" s="208">
        <v>1361</v>
      </c>
      <c r="L14" s="107"/>
      <c r="M14" s="208">
        <v>359</v>
      </c>
      <c r="N14" s="208">
        <v>1159</v>
      </c>
      <c r="O14" s="105"/>
      <c r="P14" s="200">
        <f t="shared" si="0"/>
        <v>29.156091370558375</v>
      </c>
      <c r="Q14" s="201">
        <f t="shared" si="1"/>
        <v>25.377452785522646</v>
      </c>
      <c r="R14" s="201">
        <f t="shared" si="2"/>
        <v>64.364437913299042</v>
      </c>
      <c r="S14" s="200">
        <f t="shared" si="3"/>
        <v>30.97497842968076</v>
      </c>
      <c r="T14" s="108"/>
      <c r="U14" s="109"/>
      <c r="V14" s="109"/>
    </row>
    <row r="15" spans="1:22" x14ac:dyDescent="0.2">
      <c r="A15" s="101" t="s">
        <v>27</v>
      </c>
      <c r="B15" s="102" t="s">
        <v>28</v>
      </c>
      <c r="C15" s="103" t="s">
        <v>265</v>
      </c>
      <c r="D15" s="212">
        <v>162</v>
      </c>
      <c r="E15" s="213">
        <v>710</v>
      </c>
      <c r="F15" s="104"/>
      <c r="G15" s="208">
        <v>142</v>
      </c>
      <c r="H15" s="208">
        <v>664</v>
      </c>
      <c r="I15" s="107"/>
      <c r="J15" s="208">
        <v>7</v>
      </c>
      <c r="K15" s="208">
        <v>24</v>
      </c>
      <c r="L15" s="107"/>
      <c r="M15" s="208">
        <v>8</v>
      </c>
      <c r="N15" s="208">
        <v>29</v>
      </c>
      <c r="O15" s="105"/>
      <c r="P15" s="200">
        <f t="shared" si="0"/>
        <v>22.816901408450704</v>
      </c>
      <c r="Q15" s="201">
        <f t="shared" si="1"/>
        <v>21.385542168674696</v>
      </c>
      <c r="R15" s="201">
        <f t="shared" si="2"/>
        <v>29.166666666666668</v>
      </c>
      <c r="S15" s="200">
        <f t="shared" si="3"/>
        <v>27.586206896551722</v>
      </c>
      <c r="T15" s="108"/>
      <c r="U15" s="109"/>
      <c r="V15" s="109"/>
    </row>
    <row r="16" spans="1:22" x14ac:dyDescent="0.2">
      <c r="A16" s="101" t="s">
        <v>29</v>
      </c>
      <c r="B16" s="102" t="s">
        <v>610</v>
      </c>
      <c r="C16" s="103" t="s">
        <v>265</v>
      </c>
      <c r="D16" s="212">
        <v>3036</v>
      </c>
      <c r="E16" s="213">
        <v>14897</v>
      </c>
      <c r="F16" s="104"/>
      <c r="G16" s="208">
        <v>2416</v>
      </c>
      <c r="H16" s="208">
        <v>13271</v>
      </c>
      <c r="I16" s="107"/>
      <c r="J16" s="208">
        <v>392</v>
      </c>
      <c r="K16" s="208">
        <v>843</v>
      </c>
      <c r="L16" s="107"/>
      <c r="M16" s="208">
        <v>117</v>
      </c>
      <c r="N16" s="208">
        <v>408</v>
      </c>
      <c r="O16" s="105"/>
      <c r="P16" s="200">
        <f t="shared" si="0"/>
        <v>20.379942270255757</v>
      </c>
      <c r="Q16" s="201">
        <f t="shared" si="1"/>
        <v>18.205108884032853</v>
      </c>
      <c r="R16" s="201">
        <f t="shared" si="2"/>
        <v>46.500593119810205</v>
      </c>
      <c r="S16" s="200">
        <f t="shared" si="3"/>
        <v>28.676470588235293</v>
      </c>
      <c r="T16" s="108"/>
      <c r="U16" s="109"/>
      <c r="V16" s="109"/>
    </row>
    <row r="17" spans="1:22" x14ac:dyDescent="0.2">
      <c r="A17" s="101" t="s">
        <v>30</v>
      </c>
      <c r="B17" s="102" t="s">
        <v>31</v>
      </c>
      <c r="C17" s="103" t="s">
        <v>268</v>
      </c>
      <c r="D17" s="212">
        <v>216</v>
      </c>
      <c r="E17" s="213">
        <v>1053</v>
      </c>
      <c r="F17" s="104"/>
      <c r="G17" s="208">
        <v>211</v>
      </c>
      <c r="H17" s="208">
        <v>1023</v>
      </c>
      <c r="I17" s="107"/>
      <c r="J17" s="208">
        <v>3</v>
      </c>
      <c r="K17" s="208">
        <v>9</v>
      </c>
      <c r="L17" s="107"/>
      <c r="M17" s="208">
        <v>2</v>
      </c>
      <c r="N17" s="208">
        <v>7</v>
      </c>
      <c r="O17" s="105"/>
      <c r="P17" s="200">
        <f t="shared" si="0"/>
        <v>20.512820512820511</v>
      </c>
      <c r="Q17" s="201">
        <f t="shared" si="1"/>
        <v>20.625610948191593</v>
      </c>
      <c r="R17" s="201">
        <f t="shared" si="2"/>
        <v>33.333333333333329</v>
      </c>
      <c r="S17" s="200">
        <f t="shared" si="3"/>
        <v>28.571428571428569</v>
      </c>
      <c r="T17" s="108"/>
      <c r="U17" s="109"/>
      <c r="V17" s="109"/>
    </row>
    <row r="18" spans="1:22" x14ac:dyDescent="0.2">
      <c r="A18" s="101" t="s">
        <v>32</v>
      </c>
      <c r="B18" s="102" t="s">
        <v>33</v>
      </c>
      <c r="C18" s="103" t="s">
        <v>265</v>
      </c>
      <c r="D18" s="212">
        <v>1217</v>
      </c>
      <c r="E18" s="213">
        <v>6697</v>
      </c>
      <c r="F18" s="104"/>
      <c r="G18" s="208">
        <v>1121</v>
      </c>
      <c r="H18" s="208">
        <v>6321</v>
      </c>
      <c r="I18" s="107"/>
      <c r="J18" s="208">
        <v>39</v>
      </c>
      <c r="K18" s="208">
        <v>149</v>
      </c>
      <c r="L18" s="107"/>
      <c r="M18" s="208">
        <v>27</v>
      </c>
      <c r="N18" s="208">
        <v>113</v>
      </c>
      <c r="O18" s="105"/>
      <c r="P18" s="200">
        <f t="shared" si="0"/>
        <v>18.172315962371211</v>
      </c>
      <c r="Q18" s="201">
        <f t="shared" si="1"/>
        <v>17.73453567473501</v>
      </c>
      <c r="R18" s="201">
        <f t="shared" si="2"/>
        <v>26.174496644295303</v>
      </c>
      <c r="S18" s="200">
        <f t="shared" si="3"/>
        <v>23.893805309734514</v>
      </c>
      <c r="T18" s="108"/>
      <c r="U18" s="109"/>
      <c r="V18" s="109"/>
    </row>
    <row r="19" spans="1:22" x14ac:dyDescent="0.2">
      <c r="A19" s="101" t="s">
        <v>36</v>
      </c>
      <c r="B19" s="102" t="s">
        <v>37</v>
      </c>
      <c r="C19" s="103" t="s">
        <v>264</v>
      </c>
      <c r="D19" s="212">
        <v>1326</v>
      </c>
      <c r="E19" s="213">
        <v>2644</v>
      </c>
      <c r="F19" s="104"/>
      <c r="G19" s="208">
        <v>310</v>
      </c>
      <c r="H19" s="208">
        <v>965</v>
      </c>
      <c r="I19" s="107"/>
      <c r="J19" s="208">
        <v>970</v>
      </c>
      <c r="K19" s="208">
        <v>1569</v>
      </c>
      <c r="L19" s="107"/>
      <c r="M19" s="208">
        <v>28</v>
      </c>
      <c r="N19" s="208">
        <v>82</v>
      </c>
      <c r="O19" s="105"/>
      <c r="P19" s="200">
        <f t="shared" si="0"/>
        <v>50.151285930408477</v>
      </c>
      <c r="Q19" s="201">
        <f t="shared" si="1"/>
        <v>32.124352331606218</v>
      </c>
      <c r="R19" s="201">
        <f t="shared" si="2"/>
        <v>61.822817080943274</v>
      </c>
      <c r="S19" s="200">
        <f t="shared" si="3"/>
        <v>34.146341463414636</v>
      </c>
      <c r="T19" s="108"/>
      <c r="U19" s="109"/>
      <c r="V19" s="109"/>
    </row>
    <row r="20" spans="1:22" x14ac:dyDescent="0.2">
      <c r="A20" s="101" t="s">
        <v>38</v>
      </c>
      <c r="B20" s="102" t="s">
        <v>39</v>
      </c>
      <c r="C20" s="103" t="s">
        <v>268</v>
      </c>
      <c r="D20" s="212">
        <v>990</v>
      </c>
      <c r="E20" s="213">
        <v>3681</v>
      </c>
      <c r="F20" s="104"/>
      <c r="G20" s="208">
        <v>972</v>
      </c>
      <c r="H20" s="208">
        <v>3643</v>
      </c>
      <c r="I20" s="107"/>
      <c r="J20" s="208">
        <v>5</v>
      </c>
      <c r="K20" s="208">
        <v>6</v>
      </c>
      <c r="L20" s="107"/>
      <c r="M20" s="208">
        <v>9</v>
      </c>
      <c r="N20" s="208">
        <v>14</v>
      </c>
      <c r="O20" s="105"/>
      <c r="P20" s="200">
        <f t="shared" si="0"/>
        <v>26.894865525672373</v>
      </c>
      <c r="Q20" s="201">
        <f t="shared" si="1"/>
        <v>26.681306615426848</v>
      </c>
      <c r="R20" s="201">
        <f t="shared" si="2"/>
        <v>83.333333333333343</v>
      </c>
      <c r="S20" s="200">
        <f t="shared" si="3"/>
        <v>64.285714285714292</v>
      </c>
      <c r="T20" s="108"/>
      <c r="U20" s="109"/>
      <c r="V20" s="109"/>
    </row>
    <row r="21" spans="1:22" x14ac:dyDescent="0.2">
      <c r="A21" s="101" t="s">
        <v>40</v>
      </c>
      <c r="B21" s="102" t="s">
        <v>41</v>
      </c>
      <c r="C21" s="103" t="s">
        <v>266</v>
      </c>
      <c r="D21" s="212">
        <v>1017</v>
      </c>
      <c r="E21" s="213">
        <v>2708</v>
      </c>
      <c r="F21" s="104"/>
      <c r="G21" s="208">
        <v>480</v>
      </c>
      <c r="H21" s="208">
        <v>1752</v>
      </c>
      <c r="I21" s="107"/>
      <c r="J21" s="208">
        <v>454</v>
      </c>
      <c r="K21" s="208">
        <v>786</v>
      </c>
      <c r="L21" s="107"/>
      <c r="M21" s="208">
        <v>29</v>
      </c>
      <c r="N21" s="208">
        <v>68</v>
      </c>
      <c r="O21" s="105"/>
      <c r="P21" s="200">
        <f t="shared" si="0"/>
        <v>37.55539143279173</v>
      </c>
      <c r="Q21" s="201">
        <f t="shared" si="1"/>
        <v>27.397260273972602</v>
      </c>
      <c r="R21" s="201">
        <f t="shared" si="2"/>
        <v>57.760814249363868</v>
      </c>
      <c r="S21" s="200">
        <f t="shared" si="3"/>
        <v>42.647058823529413</v>
      </c>
      <c r="T21" s="108"/>
      <c r="U21" s="109"/>
      <c r="V21" s="109"/>
    </row>
    <row r="22" spans="1:22" x14ac:dyDescent="0.2">
      <c r="A22" s="101" t="s">
        <v>42</v>
      </c>
      <c r="B22" s="102" t="s">
        <v>43</v>
      </c>
      <c r="C22" s="103" t="s">
        <v>265</v>
      </c>
      <c r="D22" s="212">
        <v>2981</v>
      </c>
      <c r="E22" s="213">
        <v>10559</v>
      </c>
      <c r="F22" s="104"/>
      <c r="G22" s="208">
        <v>1998</v>
      </c>
      <c r="H22" s="208">
        <v>8538</v>
      </c>
      <c r="I22" s="107"/>
      <c r="J22" s="208">
        <v>714</v>
      </c>
      <c r="K22" s="208">
        <v>1322</v>
      </c>
      <c r="L22" s="107"/>
      <c r="M22" s="208">
        <v>93</v>
      </c>
      <c r="N22" s="208">
        <v>248</v>
      </c>
      <c r="O22" s="105"/>
      <c r="P22" s="200">
        <f t="shared" si="0"/>
        <v>28.231840136376551</v>
      </c>
      <c r="Q22" s="201">
        <f t="shared" si="1"/>
        <v>23.401264933239634</v>
      </c>
      <c r="R22" s="201">
        <f t="shared" si="2"/>
        <v>54.0090771558245</v>
      </c>
      <c r="S22" s="200">
        <f t="shared" si="3"/>
        <v>37.5</v>
      </c>
      <c r="T22" s="108"/>
      <c r="U22" s="109"/>
      <c r="V22" s="109"/>
    </row>
    <row r="23" spans="1:22" x14ac:dyDescent="0.2">
      <c r="A23" s="101" t="s">
        <v>44</v>
      </c>
      <c r="B23" s="102" t="s">
        <v>45</v>
      </c>
      <c r="C23" s="103" t="s">
        <v>266</v>
      </c>
      <c r="D23" s="212">
        <v>1585</v>
      </c>
      <c r="E23" s="213">
        <v>5526</v>
      </c>
      <c r="F23" s="104"/>
      <c r="G23" s="208">
        <v>825</v>
      </c>
      <c r="H23" s="208">
        <v>3670</v>
      </c>
      <c r="I23" s="107"/>
      <c r="J23" s="208">
        <v>590</v>
      </c>
      <c r="K23" s="208">
        <v>1349</v>
      </c>
      <c r="L23" s="107"/>
      <c r="M23" s="208">
        <v>81</v>
      </c>
      <c r="N23" s="208">
        <v>311</v>
      </c>
      <c r="O23" s="105"/>
      <c r="P23" s="200">
        <f t="shared" si="0"/>
        <v>28.682591386174451</v>
      </c>
      <c r="Q23" s="201">
        <f t="shared" si="1"/>
        <v>22.479564032697546</v>
      </c>
      <c r="R23" s="201">
        <f t="shared" si="2"/>
        <v>43.73610081541883</v>
      </c>
      <c r="S23" s="200">
        <f t="shared" si="3"/>
        <v>26.04501607717042</v>
      </c>
      <c r="T23" s="108"/>
      <c r="U23" s="109"/>
      <c r="V23" s="109"/>
    </row>
    <row r="24" spans="1:22" x14ac:dyDescent="0.2">
      <c r="A24" s="101" t="s">
        <v>46</v>
      </c>
      <c r="B24" s="102" t="s">
        <v>47</v>
      </c>
      <c r="C24" s="103" t="s">
        <v>268</v>
      </c>
      <c r="D24" s="212">
        <v>1519</v>
      </c>
      <c r="E24" s="213">
        <v>5425</v>
      </c>
      <c r="F24" s="104"/>
      <c r="G24" s="208">
        <v>1414</v>
      </c>
      <c r="H24" s="208">
        <v>5157</v>
      </c>
      <c r="I24" s="107"/>
      <c r="J24" s="208">
        <v>22</v>
      </c>
      <c r="K24" s="208">
        <v>37</v>
      </c>
      <c r="L24" s="107"/>
      <c r="M24" s="208">
        <v>94</v>
      </c>
      <c r="N24" s="208">
        <v>262</v>
      </c>
      <c r="O24" s="105"/>
      <c r="P24" s="200">
        <f t="shared" si="0"/>
        <v>28.000000000000004</v>
      </c>
      <c r="Q24" s="201">
        <f t="shared" si="1"/>
        <v>27.419042078727941</v>
      </c>
      <c r="R24" s="201">
        <f t="shared" si="2"/>
        <v>59.45945945945946</v>
      </c>
      <c r="S24" s="200">
        <f t="shared" si="3"/>
        <v>35.877862595419849</v>
      </c>
      <c r="T24" s="108"/>
      <c r="U24" s="109"/>
      <c r="V24" s="109"/>
    </row>
    <row r="25" spans="1:22" x14ac:dyDescent="0.2">
      <c r="A25" s="101" t="s">
        <v>48</v>
      </c>
      <c r="B25" s="102" t="s">
        <v>269</v>
      </c>
      <c r="C25" s="103" t="s">
        <v>266</v>
      </c>
      <c r="D25" s="212">
        <v>299</v>
      </c>
      <c r="E25" s="213">
        <v>948</v>
      </c>
      <c r="F25" s="104"/>
      <c r="G25" s="208">
        <v>85</v>
      </c>
      <c r="H25" s="208">
        <v>426</v>
      </c>
      <c r="I25" s="107"/>
      <c r="J25" s="208">
        <v>184</v>
      </c>
      <c r="K25" s="208">
        <v>381</v>
      </c>
      <c r="L25" s="107"/>
      <c r="M25" s="208">
        <v>5</v>
      </c>
      <c r="N25" s="208">
        <v>17</v>
      </c>
      <c r="O25" s="105"/>
      <c r="P25" s="200">
        <f t="shared" si="0"/>
        <v>31.540084388185651</v>
      </c>
      <c r="Q25" s="201">
        <f t="shared" si="1"/>
        <v>19.953051643192488</v>
      </c>
      <c r="R25" s="201">
        <f t="shared" si="2"/>
        <v>48.293963254593173</v>
      </c>
      <c r="S25" s="200">
        <f t="shared" si="3"/>
        <v>29.411764705882355</v>
      </c>
      <c r="T25" s="108"/>
      <c r="U25" s="109"/>
      <c r="V25" s="109"/>
    </row>
    <row r="26" spans="1:22" x14ac:dyDescent="0.2">
      <c r="A26" s="101" t="s">
        <v>50</v>
      </c>
      <c r="B26" s="102" t="s">
        <v>51</v>
      </c>
      <c r="C26" s="103" t="s">
        <v>265</v>
      </c>
      <c r="D26" s="212">
        <v>821</v>
      </c>
      <c r="E26" s="213">
        <v>2418</v>
      </c>
      <c r="F26" s="104"/>
      <c r="G26" s="208">
        <v>398</v>
      </c>
      <c r="H26" s="208">
        <v>1615</v>
      </c>
      <c r="I26" s="107"/>
      <c r="J26" s="208">
        <v>375</v>
      </c>
      <c r="K26" s="208">
        <v>687</v>
      </c>
      <c r="L26" s="107"/>
      <c r="M26" s="208">
        <v>34</v>
      </c>
      <c r="N26" s="208">
        <v>66</v>
      </c>
      <c r="O26" s="105"/>
      <c r="P26" s="200">
        <f t="shared" si="0"/>
        <v>33.953680727874271</v>
      </c>
      <c r="Q26" s="201">
        <f t="shared" si="1"/>
        <v>24.643962848297214</v>
      </c>
      <c r="R26" s="201">
        <f t="shared" si="2"/>
        <v>54.585152838427952</v>
      </c>
      <c r="S26" s="200">
        <f t="shared" si="3"/>
        <v>51.515151515151516</v>
      </c>
      <c r="T26" s="108"/>
      <c r="U26" s="109"/>
      <c r="V26" s="109"/>
    </row>
    <row r="27" spans="1:22" x14ac:dyDescent="0.2">
      <c r="A27" s="101" t="s">
        <v>56</v>
      </c>
      <c r="B27" s="102" t="s">
        <v>295</v>
      </c>
      <c r="C27" s="103" t="s">
        <v>266</v>
      </c>
      <c r="D27" s="212">
        <v>20205</v>
      </c>
      <c r="E27" s="213">
        <v>77370</v>
      </c>
      <c r="F27" s="104"/>
      <c r="G27" s="208">
        <v>9324</v>
      </c>
      <c r="H27" s="208">
        <v>49962</v>
      </c>
      <c r="I27" s="107"/>
      <c r="J27" s="208">
        <v>8120</v>
      </c>
      <c r="K27" s="208">
        <v>17070</v>
      </c>
      <c r="L27" s="107"/>
      <c r="M27" s="208">
        <v>2199</v>
      </c>
      <c r="N27" s="208">
        <v>7351</v>
      </c>
      <c r="O27" s="105"/>
      <c r="P27" s="200">
        <f t="shared" si="0"/>
        <v>26.114773167894533</v>
      </c>
      <c r="Q27" s="201">
        <f t="shared" si="1"/>
        <v>18.66218325927705</v>
      </c>
      <c r="R27" s="201">
        <f t="shared" si="2"/>
        <v>47.568834212067955</v>
      </c>
      <c r="S27" s="200">
        <f t="shared" si="3"/>
        <v>29.914297374506869</v>
      </c>
      <c r="T27" s="108"/>
      <c r="U27" s="109"/>
      <c r="V27" s="109"/>
    </row>
    <row r="28" spans="1:22" x14ac:dyDescent="0.2">
      <c r="A28" s="101" t="s">
        <v>58</v>
      </c>
      <c r="B28" s="102" t="s">
        <v>59</v>
      </c>
      <c r="C28" s="103" t="s">
        <v>267</v>
      </c>
      <c r="D28" s="212">
        <v>537</v>
      </c>
      <c r="E28" s="213">
        <v>2896</v>
      </c>
      <c r="F28" s="104"/>
      <c r="G28" s="208">
        <v>447</v>
      </c>
      <c r="H28" s="208">
        <v>2583</v>
      </c>
      <c r="I28" s="107"/>
      <c r="J28" s="208">
        <v>40</v>
      </c>
      <c r="K28" s="208">
        <v>89</v>
      </c>
      <c r="L28" s="107"/>
      <c r="M28" s="208">
        <v>32</v>
      </c>
      <c r="N28" s="208">
        <v>168</v>
      </c>
      <c r="O28" s="105"/>
      <c r="P28" s="200">
        <f t="shared" si="0"/>
        <v>18.542817679558009</v>
      </c>
      <c r="Q28" s="201">
        <f t="shared" si="1"/>
        <v>17.305458768873404</v>
      </c>
      <c r="R28" s="201">
        <f t="shared" si="2"/>
        <v>44.943820224719097</v>
      </c>
      <c r="S28" s="200">
        <f t="shared" si="3"/>
        <v>19.047619047619047</v>
      </c>
      <c r="T28" s="108"/>
      <c r="U28" s="109"/>
      <c r="V28" s="109"/>
    </row>
    <row r="29" spans="1:22" x14ac:dyDescent="0.2">
      <c r="A29" s="101" t="s">
        <v>60</v>
      </c>
      <c r="B29" s="102" t="s">
        <v>61</v>
      </c>
      <c r="C29" s="103" t="s">
        <v>265</v>
      </c>
      <c r="D29" s="212">
        <v>220</v>
      </c>
      <c r="E29" s="213">
        <v>966</v>
      </c>
      <c r="F29" s="104"/>
      <c r="G29" s="208">
        <v>217</v>
      </c>
      <c r="H29" s="208">
        <v>946</v>
      </c>
      <c r="I29" s="107"/>
      <c r="J29" s="208">
        <v>0</v>
      </c>
      <c r="K29" s="208">
        <v>2</v>
      </c>
      <c r="L29" s="107"/>
      <c r="M29" s="208">
        <v>2</v>
      </c>
      <c r="N29" s="208">
        <v>11</v>
      </c>
      <c r="O29" s="105"/>
      <c r="P29" s="200">
        <f t="shared" si="0"/>
        <v>22.77432712215321</v>
      </c>
      <c r="Q29" s="201">
        <f t="shared" si="1"/>
        <v>22.938689217758984</v>
      </c>
      <c r="R29" s="201">
        <f t="shared" si="2"/>
        <v>0</v>
      </c>
      <c r="S29" s="200">
        <f t="shared" si="3"/>
        <v>18.181818181818183</v>
      </c>
      <c r="T29" s="108"/>
      <c r="U29" s="109"/>
      <c r="V29" s="109"/>
    </row>
    <row r="30" spans="1:22" x14ac:dyDescent="0.2">
      <c r="A30" s="101" t="s">
        <v>62</v>
      </c>
      <c r="B30" s="102" t="s">
        <v>63</v>
      </c>
      <c r="C30" s="103" t="s">
        <v>267</v>
      </c>
      <c r="D30" s="212">
        <v>2536</v>
      </c>
      <c r="E30" s="213">
        <v>10317</v>
      </c>
      <c r="F30" s="104"/>
      <c r="G30" s="208">
        <v>1365</v>
      </c>
      <c r="H30" s="208">
        <v>7457</v>
      </c>
      <c r="I30" s="107"/>
      <c r="J30" s="208">
        <v>679</v>
      </c>
      <c r="K30" s="208">
        <v>1310</v>
      </c>
      <c r="L30" s="107"/>
      <c r="M30" s="208">
        <v>341</v>
      </c>
      <c r="N30" s="208">
        <v>1258</v>
      </c>
      <c r="O30" s="105"/>
      <c r="P30" s="200">
        <f t="shared" si="0"/>
        <v>24.580788989047203</v>
      </c>
      <c r="Q30" s="201">
        <f t="shared" si="1"/>
        <v>18.30494837065844</v>
      </c>
      <c r="R30" s="201">
        <f t="shared" si="2"/>
        <v>51.832061068702295</v>
      </c>
      <c r="S30" s="200">
        <f t="shared" si="3"/>
        <v>27.106518282988873</v>
      </c>
      <c r="T30" s="108"/>
      <c r="U30" s="109"/>
      <c r="V30" s="109"/>
    </row>
    <row r="31" spans="1:22" x14ac:dyDescent="0.2">
      <c r="A31" s="101" t="s">
        <v>64</v>
      </c>
      <c r="B31" s="102" t="s">
        <v>65</v>
      </c>
      <c r="C31" s="103" t="s">
        <v>266</v>
      </c>
      <c r="D31" s="212">
        <v>595</v>
      </c>
      <c r="E31" s="213">
        <v>1853</v>
      </c>
      <c r="F31" s="104"/>
      <c r="G31" s="208">
        <v>275</v>
      </c>
      <c r="H31" s="208">
        <v>1211</v>
      </c>
      <c r="I31" s="107"/>
      <c r="J31" s="208">
        <v>287</v>
      </c>
      <c r="K31" s="208">
        <v>529</v>
      </c>
      <c r="L31" s="107"/>
      <c r="M31" s="208">
        <v>16</v>
      </c>
      <c r="N31" s="208">
        <v>67</v>
      </c>
      <c r="O31" s="105"/>
      <c r="P31" s="200">
        <f t="shared" si="0"/>
        <v>32.11009174311927</v>
      </c>
      <c r="Q31" s="201">
        <f t="shared" si="1"/>
        <v>22.708505367464905</v>
      </c>
      <c r="R31" s="201">
        <f t="shared" si="2"/>
        <v>54.253308128544418</v>
      </c>
      <c r="S31" s="200">
        <f t="shared" si="3"/>
        <v>23.880597014925371</v>
      </c>
      <c r="T31" s="108"/>
      <c r="U31" s="109"/>
      <c r="V31" s="109"/>
    </row>
    <row r="32" spans="1:22" x14ac:dyDescent="0.2">
      <c r="A32" s="101" t="s">
        <v>68</v>
      </c>
      <c r="B32" s="102" t="s">
        <v>69</v>
      </c>
      <c r="C32" s="103" t="s">
        <v>268</v>
      </c>
      <c r="D32" s="212">
        <v>713</v>
      </c>
      <c r="E32" s="213">
        <v>2891</v>
      </c>
      <c r="F32" s="104"/>
      <c r="G32" s="208">
        <v>695</v>
      </c>
      <c r="H32" s="208">
        <v>2845</v>
      </c>
      <c r="I32" s="107"/>
      <c r="J32" s="208">
        <v>8</v>
      </c>
      <c r="K32" s="208">
        <v>14</v>
      </c>
      <c r="L32" s="107"/>
      <c r="M32" s="208">
        <v>9</v>
      </c>
      <c r="N32" s="208">
        <v>27</v>
      </c>
      <c r="O32" s="105"/>
      <c r="P32" s="200">
        <f t="shared" si="0"/>
        <v>24.662746454514011</v>
      </c>
      <c r="Q32" s="201">
        <f t="shared" si="1"/>
        <v>24.42882249560633</v>
      </c>
      <c r="R32" s="201">
        <f t="shared" si="2"/>
        <v>57.142857142857139</v>
      </c>
      <c r="S32" s="200">
        <f t="shared" si="3"/>
        <v>33.333333333333329</v>
      </c>
      <c r="T32" s="108"/>
      <c r="U32" s="109"/>
      <c r="V32" s="109"/>
    </row>
    <row r="33" spans="1:22" x14ac:dyDescent="0.2">
      <c r="A33" s="101" t="s">
        <v>70</v>
      </c>
      <c r="B33" s="102" t="s">
        <v>71</v>
      </c>
      <c r="C33" s="103" t="s">
        <v>264</v>
      </c>
      <c r="D33" s="212">
        <v>1785</v>
      </c>
      <c r="E33" s="213">
        <v>5303</v>
      </c>
      <c r="F33" s="104"/>
      <c r="G33" s="208">
        <v>834</v>
      </c>
      <c r="H33" s="208">
        <v>3388</v>
      </c>
      <c r="I33" s="107"/>
      <c r="J33" s="208">
        <v>859</v>
      </c>
      <c r="K33" s="208">
        <v>1628</v>
      </c>
      <c r="L33" s="107"/>
      <c r="M33" s="208">
        <v>50</v>
      </c>
      <c r="N33" s="208">
        <v>239</v>
      </c>
      <c r="O33" s="105"/>
      <c r="P33" s="200">
        <f t="shared" si="0"/>
        <v>33.660192343956254</v>
      </c>
      <c r="Q33" s="201">
        <f t="shared" si="1"/>
        <v>24.61629279811098</v>
      </c>
      <c r="R33" s="201">
        <f t="shared" si="2"/>
        <v>52.764127764127764</v>
      </c>
      <c r="S33" s="200">
        <f t="shared" si="3"/>
        <v>20.920502092050206</v>
      </c>
      <c r="T33" s="108"/>
      <c r="U33" s="109"/>
      <c r="V33" s="109"/>
    </row>
    <row r="34" spans="1:22" x14ac:dyDescent="0.2">
      <c r="A34" s="101" t="s">
        <v>72</v>
      </c>
      <c r="B34" s="102" t="s">
        <v>73</v>
      </c>
      <c r="C34" s="103" t="s">
        <v>266</v>
      </c>
      <c r="D34" s="212">
        <v>825</v>
      </c>
      <c r="E34" s="213">
        <v>1937</v>
      </c>
      <c r="F34" s="104"/>
      <c r="G34" s="208">
        <v>245</v>
      </c>
      <c r="H34" s="208">
        <v>978</v>
      </c>
      <c r="I34" s="107"/>
      <c r="J34" s="208">
        <v>511</v>
      </c>
      <c r="K34" s="208">
        <v>808</v>
      </c>
      <c r="L34" s="107"/>
      <c r="M34" s="208">
        <v>32</v>
      </c>
      <c r="N34" s="208">
        <v>86</v>
      </c>
      <c r="O34" s="105"/>
      <c r="P34" s="200">
        <f t="shared" si="0"/>
        <v>42.591636551368097</v>
      </c>
      <c r="Q34" s="201">
        <f t="shared" si="1"/>
        <v>25.051124744376281</v>
      </c>
      <c r="R34" s="201">
        <f t="shared" si="2"/>
        <v>63.242574257425744</v>
      </c>
      <c r="S34" s="200">
        <f t="shared" si="3"/>
        <v>37.209302325581397</v>
      </c>
      <c r="T34" s="108"/>
      <c r="U34" s="109"/>
      <c r="V34" s="109"/>
    </row>
    <row r="35" spans="1:22" x14ac:dyDescent="0.2">
      <c r="A35" s="101" t="s">
        <v>74</v>
      </c>
      <c r="B35" s="102" t="s">
        <v>609</v>
      </c>
      <c r="C35" s="103" t="s">
        <v>267</v>
      </c>
      <c r="D35" s="212">
        <v>40722</v>
      </c>
      <c r="E35" s="213">
        <v>248438</v>
      </c>
      <c r="F35" s="104"/>
      <c r="G35" s="208">
        <v>19519</v>
      </c>
      <c r="H35" s="208">
        <v>146411</v>
      </c>
      <c r="I35" s="107"/>
      <c r="J35" s="208">
        <v>9151</v>
      </c>
      <c r="K35" s="208">
        <v>23526</v>
      </c>
      <c r="L35" s="107"/>
      <c r="M35" s="208">
        <v>10967</v>
      </c>
      <c r="N35" s="208">
        <v>42015</v>
      </c>
      <c r="O35" s="105"/>
      <c r="P35" s="200">
        <f t="shared" si="0"/>
        <v>16.391212294415507</v>
      </c>
      <c r="Q35" s="201">
        <f t="shared" si="1"/>
        <v>13.331648578317203</v>
      </c>
      <c r="R35" s="201">
        <f t="shared" si="2"/>
        <v>38.897390121567625</v>
      </c>
      <c r="S35" s="200">
        <f t="shared" si="3"/>
        <v>26.102582411043674</v>
      </c>
      <c r="T35" s="108"/>
      <c r="U35" s="109"/>
      <c r="V35" s="109"/>
    </row>
    <row r="36" spans="1:22" x14ac:dyDescent="0.2">
      <c r="A36" s="101" t="s">
        <v>76</v>
      </c>
      <c r="B36" s="102" t="s">
        <v>77</v>
      </c>
      <c r="C36" s="103" t="s">
        <v>267</v>
      </c>
      <c r="D36" s="212">
        <v>2535</v>
      </c>
      <c r="E36" s="213">
        <v>14530</v>
      </c>
      <c r="F36" s="104"/>
      <c r="G36" s="208">
        <v>1880</v>
      </c>
      <c r="H36" s="208">
        <v>12201</v>
      </c>
      <c r="I36" s="107"/>
      <c r="J36" s="208">
        <v>352</v>
      </c>
      <c r="K36" s="208">
        <v>898</v>
      </c>
      <c r="L36" s="107"/>
      <c r="M36" s="208">
        <v>201</v>
      </c>
      <c r="N36" s="208">
        <v>1361</v>
      </c>
      <c r="O36" s="105"/>
      <c r="P36" s="200">
        <f t="shared" si="0"/>
        <v>17.44666207845836</v>
      </c>
      <c r="Q36" s="201">
        <f t="shared" si="1"/>
        <v>15.408573067781328</v>
      </c>
      <c r="R36" s="201">
        <f t="shared" si="2"/>
        <v>39.198218262806236</v>
      </c>
      <c r="S36" s="200">
        <f t="shared" si="3"/>
        <v>14.768552534900808</v>
      </c>
      <c r="T36" s="108"/>
      <c r="U36" s="109"/>
      <c r="V36" s="109"/>
    </row>
    <row r="37" spans="1:22" x14ac:dyDescent="0.2">
      <c r="A37" s="101" t="s">
        <v>78</v>
      </c>
      <c r="B37" s="102" t="s">
        <v>79</v>
      </c>
      <c r="C37" s="103" t="s">
        <v>268</v>
      </c>
      <c r="D37" s="212">
        <v>695</v>
      </c>
      <c r="E37" s="213">
        <v>2996</v>
      </c>
      <c r="F37" s="104"/>
      <c r="G37" s="208">
        <v>644</v>
      </c>
      <c r="H37" s="208">
        <v>2859</v>
      </c>
      <c r="I37" s="107"/>
      <c r="J37" s="208">
        <v>18</v>
      </c>
      <c r="K37" s="208">
        <v>28</v>
      </c>
      <c r="L37" s="107"/>
      <c r="M37" s="208">
        <v>36</v>
      </c>
      <c r="N37" s="208">
        <v>119</v>
      </c>
      <c r="O37" s="105"/>
      <c r="P37" s="200">
        <f t="shared" si="0"/>
        <v>23.197596795727637</v>
      </c>
      <c r="Q37" s="201">
        <f t="shared" si="1"/>
        <v>22.525358516963973</v>
      </c>
      <c r="R37" s="201">
        <f t="shared" si="2"/>
        <v>64.285714285714292</v>
      </c>
      <c r="S37" s="200">
        <f t="shared" si="3"/>
        <v>30.252100840336134</v>
      </c>
      <c r="T37" s="108"/>
      <c r="U37" s="109"/>
      <c r="V37" s="109"/>
    </row>
    <row r="38" spans="1:22" x14ac:dyDescent="0.2">
      <c r="A38" s="101" t="s">
        <v>80</v>
      </c>
      <c r="B38" s="102" t="s">
        <v>81</v>
      </c>
      <c r="C38" s="103" t="s">
        <v>266</v>
      </c>
      <c r="D38" s="212">
        <v>1133</v>
      </c>
      <c r="E38" s="213">
        <v>5255</v>
      </c>
      <c r="F38" s="104"/>
      <c r="G38" s="208">
        <v>741</v>
      </c>
      <c r="H38" s="208">
        <v>4246</v>
      </c>
      <c r="I38" s="107"/>
      <c r="J38" s="208">
        <v>270</v>
      </c>
      <c r="K38" s="208">
        <v>607</v>
      </c>
      <c r="L38" s="107"/>
      <c r="M38" s="208">
        <v>53</v>
      </c>
      <c r="N38" s="208">
        <v>259</v>
      </c>
      <c r="O38" s="105"/>
      <c r="P38" s="200">
        <f t="shared" si="0"/>
        <v>21.560418648905806</v>
      </c>
      <c r="Q38" s="201">
        <f t="shared" si="1"/>
        <v>17.451719265190768</v>
      </c>
      <c r="R38" s="201">
        <f t="shared" si="2"/>
        <v>44.481054365733115</v>
      </c>
      <c r="S38" s="200">
        <f t="shared" si="3"/>
        <v>20.463320463320464</v>
      </c>
      <c r="T38" s="108"/>
      <c r="U38" s="109"/>
      <c r="V38" s="109"/>
    </row>
    <row r="39" spans="1:22" x14ac:dyDescent="0.2">
      <c r="A39" s="101" t="s">
        <v>84</v>
      </c>
      <c r="B39" s="102" t="s">
        <v>308</v>
      </c>
      <c r="C39" s="103" t="s">
        <v>265</v>
      </c>
      <c r="D39" s="212">
        <v>2881</v>
      </c>
      <c r="E39" s="213">
        <v>10070</v>
      </c>
      <c r="F39" s="104"/>
      <c r="G39" s="208">
        <v>2240</v>
      </c>
      <c r="H39" s="208">
        <v>8784</v>
      </c>
      <c r="I39" s="107"/>
      <c r="J39" s="208">
        <v>401</v>
      </c>
      <c r="K39" s="208">
        <v>661</v>
      </c>
      <c r="L39" s="107"/>
      <c r="M39" s="208">
        <v>131</v>
      </c>
      <c r="N39" s="208">
        <v>461</v>
      </c>
      <c r="O39" s="105"/>
      <c r="P39" s="200">
        <f t="shared" si="0"/>
        <v>28.609731876861964</v>
      </c>
      <c r="Q39" s="201">
        <f t="shared" si="1"/>
        <v>25.500910746812387</v>
      </c>
      <c r="R39" s="201">
        <f t="shared" si="2"/>
        <v>60.665658093797283</v>
      </c>
      <c r="S39" s="200">
        <f t="shared" si="3"/>
        <v>28.416485900216919</v>
      </c>
      <c r="T39" s="108"/>
      <c r="U39" s="109"/>
      <c r="V39" s="109"/>
    </row>
    <row r="40" spans="1:22" x14ac:dyDescent="0.2">
      <c r="A40" s="101" t="s">
        <v>86</v>
      </c>
      <c r="B40" s="102" t="s">
        <v>87</v>
      </c>
      <c r="C40" s="103" t="s">
        <v>267</v>
      </c>
      <c r="D40" s="212">
        <v>3866</v>
      </c>
      <c r="E40" s="213">
        <v>17412</v>
      </c>
      <c r="F40" s="104"/>
      <c r="G40" s="208">
        <v>3103</v>
      </c>
      <c r="H40" s="208">
        <v>14783</v>
      </c>
      <c r="I40" s="107"/>
      <c r="J40" s="208">
        <v>311</v>
      </c>
      <c r="K40" s="208">
        <v>793</v>
      </c>
      <c r="L40" s="107"/>
      <c r="M40" s="208">
        <v>412</v>
      </c>
      <c r="N40" s="208">
        <v>1766</v>
      </c>
      <c r="O40" s="105"/>
      <c r="P40" s="200">
        <f t="shared" si="0"/>
        <v>22.203078336779232</v>
      </c>
      <c r="Q40" s="201">
        <f t="shared" si="1"/>
        <v>20.990326726645474</v>
      </c>
      <c r="R40" s="201">
        <f t="shared" si="2"/>
        <v>39.218158890290042</v>
      </c>
      <c r="S40" s="200">
        <f t="shared" si="3"/>
        <v>23.32955832389581</v>
      </c>
      <c r="T40" s="108"/>
      <c r="U40" s="109"/>
      <c r="V40" s="109"/>
    </row>
    <row r="41" spans="1:22" x14ac:dyDescent="0.2">
      <c r="A41" s="101" t="s">
        <v>92</v>
      </c>
      <c r="B41" s="102" t="s">
        <v>93</v>
      </c>
      <c r="C41" s="103" t="s">
        <v>268</v>
      </c>
      <c r="D41" s="212">
        <v>847</v>
      </c>
      <c r="E41" s="213">
        <v>3246</v>
      </c>
      <c r="F41" s="104"/>
      <c r="G41" s="208">
        <v>781</v>
      </c>
      <c r="H41" s="208">
        <v>3112</v>
      </c>
      <c r="I41" s="107"/>
      <c r="J41" s="208">
        <v>22</v>
      </c>
      <c r="K41" s="208">
        <v>36</v>
      </c>
      <c r="L41" s="107"/>
      <c r="M41" s="208">
        <v>27</v>
      </c>
      <c r="N41" s="208">
        <v>70</v>
      </c>
      <c r="O41" s="105"/>
      <c r="P41" s="200">
        <f t="shared" si="0"/>
        <v>26.093653727664819</v>
      </c>
      <c r="Q41" s="201">
        <f t="shared" si="1"/>
        <v>25.096401028277636</v>
      </c>
      <c r="R41" s="201">
        <f t="shared" si="2"/>
        <v>61.111111111111114</v>
      </c>
      <c r="S41" s="200">
        <f t="shared" si="3"/>
        <v>38.571428571428577</v>
      </c>
      <c r="T41" s="108"/>
      <c r="U41" s="109"/>
      <c r="V41" s="109"/>
    </row>
    <row r="42" spans="1:22" x14ac:dyDescent="0.2">
      <c r="A42" s="101" t="s">
        <v>94</v>
      </c>
      <c r="B42" s="102" t="s">
        <v>95</v>
      </c>
      <c r="C42" s="103" t="s">
        <v>264</v>
      </c>
      <c r="D42" s="212">
        <v>1686</v>
      </c>
      <c r="E42" s="213">
        <v>7025</v>
      </c>
      <c r="F42" s="104"/>
      <c r="G42" s="208">
        <v>1328</v>
      </c>
      <c r="H42" s="208">
        <v>6082</v>
      </c>
      <c r="I42" s="107"/>
      <c r="J42" s="208">
        <v>196</v>
      </c>
      <c r="K42" s="208">
        <v>458</v>
      </c>
      <c r="L42" s="107"/>
      <c r="M42" s="208">
        <v>58</v>
      </c>
      <c r="N42" s="208">
        <v>278</v>
      </c>
      <c r="O42" s="105"/>
      <c r="P42" s="200">
        <f t="shared" si="0"/>
        <v>24</v>
      </c>
      <c r="Q42" s="201">
        <f t="shared" si="1"/>
        <v>21.834922722788555</v>
      </c>
      <c r="R42" s="201">
        <f t="shared" si="2"/>
        <v>42.79475982532751</v>
      </c>
      <c r="S42" s="200">
        <f t="shared" si="3"/>
        <v>20.863309352517987</v>
      </c>
      <c r="T42" s="108"/>
      <c r="U42" s="109"/>
      <c r="V42" s="109"/>
    </row>
    <row r="43" spans="1:22" x14ac:dyDescent="0.2">
      <c r="A43" s="101" t="s">
        <v>96</v>
      </c>
      <c r="B43" s="102" t="s">
        <v>97</v>
      </c>
      <c r="C43" s="103" t="s">
        <v>266</v>
      </c>
      <c r="D43" s="212">
        <v>632</v>
      </c>
      <c r="E43" s="213">
        <v>3924</v>
      </c>
      <c r="F43" s="104"/>
      <c r="G43" s="208">
        <v>424</v>
      </c>
      <c r="H43" s="208">
        <v>3245</v>
      </c>
      <c r="I43" s="107"/>
      <c r="J43" s="208">
        <v>179</v>
      </c>
      <c r="K43" s="208">
        <v>468</v>
      </c>
      <c r="L43" s="107"/>
      <c r="M43" s="208">
        <v>17</v>
      </c>
      <c r="N43" s="208">
        <v>133</v>
      </c>
      <c r="O43" s="105"/>
      <c r="P43" s="200">
        <f t="shared" si="0"/>
        <v>16.106014271151885</v>
      </c>
      <c r="Q43" s="201">
        <f t="shared" si="1"/>
        <v>13.066255778120183</v>
      </c>
      <c r="R43" s="201">
        <f t="shared" si="2"/>
        <v>38.247863247863243</v>
      </c>
      <c r="S43" s="200">
        <f t="shared" si="3"/>
        <v>12.781954887218044</v>
      </c>
      <c r="T43" s="108"/>
      <c r="U43" s="109"/>
      <c r="V43" s="109"/>
    </row>
    <row r="44" spans="1:22" x14ac:dyDescent="0.2">
      <c r="A44" s="101" t="s">
        <v>98</v>
      </c>
      <c r="B44" s="102" t="s">
        <v>99</v>
      </c>
      <c r="C44" s="103" t="s">
        <v>268</v>
      </c>
      <c r="D44" s="212">
        <v>750</v>
      </c>
      <c r="E44" s="213">
        <v>2547</v>
      </c>
      <c r="F44" s="104"/>
      <c r="G44" s="208">
        <v>663</v>
      </c>
      <c r="H44" s="208">
        <v>2360</v>
      </c>
      <c r="I44" s="107"/>
      <c r="J44" s="208">
        <v>40</v>
      </c>
      <c r="K44" s="208">
        <v>62</v>
      </c>
      <c r="L44" s="107"/>
      <c r="M44" s="208">
        <v>46</v>
      </c>
      <c r="N44" s="208">
        <v>134</v>
      </c>
      <c r="O44" s="105"/>
      <c r="P44" s="200">
        <f t="shared" si="0"/>
        <v>29.446407538280329</v>
      </c>
      <c r="Q44" s="201">
        <f t="shared" si="1"/>
        <v>28.093220338983048</v>
      </c>
      <c r="R44" s="201">
        <f t="shared" si="2"/>
        <v>64.516129032258064</v>
      </c>
      <c r="S44" s="200">
        <f t="shared" si="3"/>
        <v>34.328358208955223</v>
      </c>
      <c r="T44" s="108"/>
      <c r="U44" s="109"/>
      <c r="V44" s="109"/>
    </row>
    <row r="45" spans="1:22" x14ac:dyDescent="0.2">
      <c r="A45" s="101" t="s">
        <v>100</v>
      </c>
      <c r="B45" s="102" t="s">
        <v>101</v>
      </c>
      <c r="C45" s="103" t="s">
        <v>267</v>
      </c>
      <c r="D45" s="212">
        <v>910</v>
      </c>
      <c r="E45" s="213">
        <v>4007</v>
      </c>
      <c r="F45" s="104"/>
      <c r="G45" s="208">
        <v>665</v>
      </c>
      <c r="H45" s="208">
        <v>3341</v>
      </c>
      <c r="I45" s="107"/>
      <c r="J45" s="208">
        <v>135</v>
      </c>
      <c r="K45" s="208">
        <v>241</v>
      </c>
      <c r="L45" s="107"/>
      <c r="M45" s="208">
        <v>52</v>
      </c>
      <c r="N45" s="208">
        <v>275</v>
      </c>
      <c r="O45" s="105"/>
      <c r="P45" s="200">
        <f t="shared" si="0"/>
        <v>22.710257050162216</v>
      </c>
      <c r="Q45" s="201">
        <f t="shared" si="1"/>
        <v>19.904220293325352</v>
      </c>
      <c r="R45" s="201">
        <f t="shared" si="2"/>
        <v>56.016597510373444</v>
      </c>
      <c r="S45" s="200">
        <f t="shared" si="3"/>
        <v>18.90909090909091</v>
      </c>
      <c r="T45" s="108"/>
      <c r="U45" s="109"/>
      <c r="V45" s="109"/>
    </row>
    <row r="46" spans="1:22" x14ac:dyDescent="0.2">
      <c r="A46" s="101" t="s">
        <v>102</v>
      </c>
      <c r="B46" s="102" t="s">
        <v>282</v>
      </c>
      <c r="C46" s="103" t="s">
        <v>264</v>
      </c>
      <c r="D46" s="212">
        <v>1510</v>
      </c>
      <c r="E46" s="213">
        <v>2790</v>
      </c>
      <c r="F46" s="104"/>
      <c r="G46" s="208">
        <v>235</v>
      </c>
      <c r="H46" s="208">
        <v>856</v>
      </c>
      <c r="I46" s="107"/>
      <c r="J46" s="208">
        <v>1206</v>
      </c>
      <c r="K46" s="208">
        <v>1787</v>
      </c>
      <c r="L46" s="107"/>
      <c r="M46" s="208">
        <v>36</v>
      </c>
      <c r="N46" s="208">
        <v>102</v>
      </c>
      <c r="O46" s="105"/>
      <c r="P46" s="200">
        <f t="shared" si="0"/>
        <v>54.121863799283155</v>
      </c>
      <c r="Q46" s="201">
        <f t="shared" si="1"/>
        <v>27.453271028037385</v>
      </c>
      <c r="R46" s="201">
        <f t="shared" si="2"/>
        <v>67.48740906547286</v>
      </c>
      <c r="S46" s="200">
        <f t="shared" si="3"/>
        <v>35.294117647058826</v>
      </c>
      <c r="T46" s="108"/>
      <c r="U46" s="109"/>
      <c r="V46" s="109"/>
    </row>
    <row r="47" spans="1:22" x14ac:dyDescent="0.2">
      <c r="A47" s="101" t="s">
        <v>104</v>
      </c>
      <c r="B47" s="102" t="s">
        <v>602</v>
      </c>
      <c r="C47" s="103" t="s">
        <v>265</v>
      </c>
      <c r="D47" s="212">
        <v>2563</v>
      </c>
      <c r="E47" s="213">
        <v>6631</v>
      </c>
      <c r="F47" s="104"/>
      <c r="G47" s="208">
        <v>994</v>
      </c>
      <c r="H47" s="208">
        <v>3899</v>
      </c>
      <c r="I47" s="107"/>
      <c r="J47" s="208">
        <v>1411</v>
      </c>
      <c r="K47" s="208">
        <v>2392</v>
      </c>
      <c r="L47" s="107"/>
      <c r="M47" s="208">
        <v>62</v>
      </c>
      <c r="N47" s="208">
        <v>206</v>
      </c>
      <c r="O47" s="105"/>
      <c r="P47" s="200">
        <f t="shared" si="0"/>
        <v>38.651787060775142</v>
      </c>
      <c r="Q47" s="201">
        <f t="shared" si="1"/>
        <v>25.493716337522443</v>
      </c>
      <c r="R47" s="201">
        <f t="shared" si="2"/>
        <v>58.988294314381271</v>
      </c>
      <c r="S47" s="200">
        <f t="shared" si="3"/>
        <v>30.097087378640776</v>
      </c>
      <c r="T47" s="108"/>
      <c r="U47" s="109"/>
      <c r="V47" s="109"/>
    </row>
    <row r="48" spans="1:22" x14ac:dyDescent="0.2">
      <c r="A48" s="101" t="s">
        <v>108</v>
      </c>
      <c r="B48" s="102" t="s">
        <v>109</v>
      </c>
      <c r="C48" s="103" t="s">
        <v>266</v>
      </c>
      <c r="D48" s="212">
        <v>4332</v>
      </c>
      <c r="E48" s="213">
        <v>22831</v>
      </c>
      <c r="F48" s="104"/>
      <c r="G48" s="208">
        <v>3249</v>
      </c>
      <c r="H48" s="208">
        <v>19794</v>
      </c>
      <c r="I48" s="107"/>
      <c r="J48" s="208">
        <v>789</v>
      </c>
      <c r="K48" s="208">
        <v>1668</v>
      </c>
      <c r="L48" s="107"/>
      <c r="M48" s="208">
        <v>140</v>
      </c>
      <c r="N48" s="208">
        <v>662</v>
      </c>
      <c r="O48" s="105"/>
      <c r="P48" s="200">
        <f t="shared" si="0"/>
        <v>18.974201743243835</v>
      </c>
      <c r="Q48" s="201">
        <f t="shared" si="1"/>
        <v>16.41406486814186</v>
      </c>
      <c r="R48" s="201">
        <f t="shared" si="2"/>
        <v>47.302158273381295</v>
      </c>
      <c r="S48" s="200">
        <f t="shared" si="3"/>
        <v>21.148036253776432</v>
      </c>
      <c r="T48" s="108"/>
      <c r="U48" s="109"/>
      <c r="V48" s="109"/>
    </row>
    <row r="49" spans="1:22" x14ac:dyDescent="0.2">
      <c r="A49" s="101" t="s">
        <v>110</v>
      </c>
      <c r="B49" s="102" t="s">
        <v>111</v>
      </c>
      <c r="C49" s="103" t="s">
        <v>266</v>
      </c>
      <c r="D49" s="212">
        <v>21007</v>
      </c>
      <c r="E49" s="213">
        <v>66860</v>
      </c>
      <c r="F49" s="104"/>
      <c r="G49" s="208">
        <v>6461</v>
      </c>
      <c r="H49" s="208">
        <v>35579</v>
      </c>
      <c r="I49" s="107"/>
      <c r="J49" s="208">
        <v>12349</v>
      </c>
      <c r="K49" s="208">
        <v>21013</v>
      </c>
      <c r="L49" s="110"/>
      <c r="M49" s="208">
        <v>1505</v>
      </c>
      <c r="N49" s="208">
        <v>4354</v>
      </c>
      <c r="O49" s="105"/>
      <c r="P49" s="202">
        <f t="shared" si="0"/>
        <v>31.419383787017647</v>
      </c>
      <c r="Q49" s="201">
        <f t="shared" si="1"/>
        <v>18.159588521318756</v>
      </c>
      <c r="R49" s="201">
        <f t="shared" si="2"/>
        <v>58.768381478132582</v>
      </c>
      <c r="S49" s="200">
        <f t="shared" si="3"/>
        <v>34.565916398713824</v>
      </c>
      <c r="T49" s="108"/>
      <c r="U49" s="109"/>
      <c r="V49" s="109"/>
    </row>
    <row r="50" spans="1:22" x14ac:dyDescent="0.2">
      <c r="A50" s="101" t="s">
        <v>112</v>
      </c>
      <c r="B50" s="102" t="s">
        <v>300</v>
      </c>
      <c r="C50" s="103" t="s">
        <v>265</v>
      </c>
      <c r="D50" s="212">
        <v>4636</v>
      </c>
      <c r="E50" s="213">
        <v>11572</v>
      </c>
      <c r="F50" s="104"/>
      <c r="G50" s="208">
        <v>2149</v>
      </c>
      <c r="H50" s="208">
        <v>7196</v>
      </c>
      <c r="I50" s="107"/>
      <c r="J50" s="208">
        <v>1907</v>
      </c>
      <c r="K50" s="208">
        <v>3041</v>
      </c>
      <c r="L50" s="110"/>
      <c r="M50" s="208">
        <v>415</v>
      </c>
      <c r="N50" s="208">
        <v>1164</v>
      </c>
      <c r="O50" s="105"/>
      <c r="P50" s="202">
        <f t="shared" si="0"/>
        <v>40.06221914967162</v>
      </c>
      <c r="Q50" s="201">
        <f t="shared" si="1"/>
        <v>29.863813229571985</v>
      </c>
      <c r="R50" s="201">
        <f t="shared" si="2"/>
        <v>62.709634988490627</v>
      </c>
      <c r="S50" s="200">
        <f t="shared" si="3"/>
        <v>35.65292096219931</v>
      </c>
      <c r="T50" s="108"/>
      <c r="U50" s="109"/>
      <c r="V50" s="109"/>
    </row>
    <row r="51" spans="1:22" x14ac:dyDescent="0.2">
      <c r="A51" s="101" t="s">
        <v>114</v>
      </c>
      <c r="B51" s="102" t="s">
        <v>115</v>
      </c>
      <c r="C51" s="103" t="s">
        <v>265</v>
      </c>
      <c r="D51" s="212">
        <v>57</v>
      </c>
      <c r="E51" s="213">
        <v>311</v>
      </c>
      <c r="F51" s="104"/>
      <c r="G51" s="208">
        <v>55</v>
      </c>
      <c r="H51" s="208">
        <v>309</v>
      </c>
      <c r="I51" s="107"/>
      <c r="J51" s="208">
        <v>2</v>
      </c>
      <c r="K51" s="208">
        <v>2</v>
      </c>
      <c r="L51" s="110"/>
      <c r="M51" s="208">
        <v>0</v>
      </c>
      <c r="N51" s="208">
        <v>0</v>
      </c>
      <c r="O51" s="105"/>
      <c r="P51" s="202">
        <f t="shared" si="0"/>
        <v>18.327974276527332</v>
      </c>
      <c r="Q51" s="201">
        <f t="shared" si="1"/>
        <v>17.79935275080906</v>
      </c>
      <c r="R51" s="201">
        <f t="shared" si="2"/>
        <v>100</v>
      </c>
      <c r="S51" s="200" t="str">
        <f t="shared" si="3"/>
        <v>NA</v>
      </c>
      <c r="T51" s="108"/>
      <c r="U51" s="109"/>
      <c r="V51" s="109"/>
    </row>
    <row r="52" spans="1:22" x14ac:dyDescent="0.2">
      <c r="A52" s="101" t="s">
        <v>118</v>
      </c>
      <c r="B52" s="102" t="s">
        <v>119</v>
      </c>
      <c r="C52" s="103" t="s">
        <v>264</v>
      </c>
      <c r="D52" s="212">
        <v>1834</v>
      </c>
      <c r="E52" s="213">
        <v>6991</v>
      </c>
      <c r="F52" s="104"/>
      <c r="G52" s="208">
        <v>879</v>
      </c>
      <c r="H52" s="208">
        <v>4950</v>
      </c>
      <c r="I52" s="107"/>
      <c r="J52" s="208">
        <v>846</v>
      </c>
      <c r="K52" s="208">
        <v>1612</v>
      </c>
      <c r="L52" s="110"/>
      <c r="M52" s="208">
        <v>61</v>
      </c>
      <c r="N52" s="208">
        <v>221</v>
      </c>
      <c r="O52" s="105"/>
      <c r="P52" s="202">
        <f t="shared" si="0"/>
        <v>26.233729080246032</v>
      </c>
      <c r="Q52" s="201">
        <f t="shared" si="1"/>
        <v>17.757575757575758</v>
      </c>
      <c r="R52" s="201">
        <f t="shared" si="2"/>
        <v>52.481389578163771</v>
      </c>
      <c r="S52" s="200">
        <f t="shared" si="3"/>
        <v>27.601809954751133</v>
      </c>
      <c r="T52" s="108"/>
      <c r="U52" s="109"/>
      <c r="V52" s="109"/>
    </row>
    <row r="53" spans="1:22" x14ac:dyDescent="0.2">
      <c r="A53" s="101" t="s">
        <v>120</v>
      </c>
      <c r="B53" s="102" t="s">
        <v>121</v>
      </c>
      <c r="C53" s="103" t="s">
        <v>264</v>
      </c>
      <c r="D53" s="212">
        <v>3017</v>
      </c>
      <c r="E53" s="213">
        <v>13018</v>
      </c>
      <c r="F53" s="104"/>
      <c r="G53" s="208">
        <v>1657</v>
      </c>
      <c r="H53" s="208">
        <v>9918</v>
      </c>
      <c r="I53" s="107"/>
      <c r="J53" s="208">
        <v>936</v>
      </c>
      <c r="K53" s="208">
        <v>1676</v>
      </c>
      <c r="L53" s="110"/>
      <c r="M53" s="208">
        <v>291</v>
      </c>
      <c r="N53" s="208">
        <v>917</v>
      </c>
      <c r="O53" s="105"/>
      <c r="P53" s="202">
        <f t="shared" si="0"/>
        <v>23.175603011215241</v>
      </c>
      <c r="Q53" s="201">
        <f t="shared" si="1"/>
        <v>16.706997378503729</v>
      </c>
      <c r="R53" s="201">
        <f t="shared" si="2"/>
        <v>55.847255369928405</v>
      </c>
      <c r="S53" s="200">
        <f t="shared" si="3"/>
        <v>31.733914940021812</v>
      </c>
      <c r="T53" s="108"/>
      <c r="U53" s="109"/>
      <c r="V53" s="109"/>
    </row>
    <row r="54" spans="1:22" x14ac:dyDescent="0.2">
      <c r="A54" s="101" t="s">
        <v>122</v>
      </c>
      <c r="B54" s="102" t="s">
        <v>271</v>
      </c>
      <c r="C54" s="103" t="s">
        <v>266</v>
      </c>
      <c r="D54" s="212">
        <v>341</v>
      </c>
      <c r="E54" s="213">
        <v>1202</v>
      </c>
      <c r="F54" s="104"/>
      <c r="G54" s="208">
        <v>185</v>
      </c>
      <c r="H54" s="208">
        <v>850</v>
      </c>
      <c r="I54" s="107"/>
      <c r="J54" s="208">
        <v>123</v>
      </c>
      <c r="K54" s="208">
        <v>259</v>
      </c>
      <c r="L54" s="110"/>
      <c r="M54" s="208">
        <v>11</v>
      </c>
      <c r="N54" s="208">
        <v>72</v>
      </c>
      <c r="O54" s="105"/>
      <c r="P54" s="202">
        <f t="shared" si="0"/>
        <v>28.369384359401</v>
      </c>
      <c r="Q54" s="201">
        <f t="shared" si="1"/>
        <v>21.764705882352942</v>
      </c>
      <c r="R54" s="201">
        <f t="shared" si="2"/>
        <v>47.490347490347489</v>
      </c>
      <c r="S54" s="200">
        <f t="shared" si="3"/>
        <v>15.277777777777779</v>
      </c>
      <c r="T54" s="108"/>
      <c r="U54" s="109"/>
      <c r="V54" s="109"/>
    </row>
    <row r="55" spans="1:22" x14ac:dyDescent="0.2">
      <c r="A55" s="101" t="s">
        <v>124</v>
      </c>
      <c r="B55" s="102" t="s">
        <v>125</v>
      </c>
      <c r="C55" s="103" t="s">
        <v>267</v>
      </c>
      <c r="D55" s="212">
        <v>1214</v>
      </c>
      <c r="E55" s="213">
        <v>5771</v>
      </c>
      <c r="F55" s="104"/>
      <c r="G55" s="208">
        <v>732</v>
      </c>
      <c r="H55" s="208">
        <v>4347</v>
      </c>
      <c r="I55" s="107"/>
      <c r="J55" s="208">
        <v>375</v>
      </c>
      <c r="K55" s="208">
        <v>931</v>
      </c>
      <c r="L55" s="110"/>
      <c r="M55" s="208">
        <v>56</v>
      </c>
      <c r="N55" s="208">
        <v>292</v>
      </c>
      <c r="O55" s="105"/>
      <c r="P55" s="202">
        <f t="shared" si="0"/>
        <v>21.036215560561427</v>
      </c>
      <c r="Q55" s="201">
        <f t="shared" si="1"/>
        <v>16.839199447895101</v>
      </c>
      <c r="R55" s="201">
        <f t="shared" si="2"/>
        <v>40.27926960257787</v>
      </c>
      <c r="S55" s="200">
        <f t="shared" si="3"/>
        <v>19.17808219178082</v>
      </c>
      <c r="T55" s="108"/>
      <c r="U55" s="109"/>
      <c r="V55" s="109"/>
    </row>
    <row r="56" spans="1:22" x14ac:dyDescent="0.2">
      <c r="A56" s="101" t="s">
        <v>126</v>
      </c>
      <c r="B56" s="102" t="s">
        <v>127</v>
      </c>
      <c r="C56" s="103" t="s">
        <v>266</v>
      </c>
      <c r="D56" s="212">
        <v>814</v>
      </c>
      <c r="E56" s="213">
        <v>3459</v>
      </c>
      <c r="F56" s="104"/>
      <c r="G56" s="208">
        <v>571</v>
      </c>
      <c r="H56" s="208">
        <v>2797</v>
      </c>
      <c r="I56" s="107"/>
      <c r="J56" s="208">
        <v>169</v>
      </c>
      <c r="K56" s="208">
        <v>400</v>
      </c>
      <c r="L56" s="110"/>
      <c r="M56" s="208">
        <v>27</v>
      </c>
      <c r="N56" s="208">
        <v>99</v>
      </c>
      <c r="O56" s="105"/>
      <c r="P56" s="202">
        <f t="shared" si="0"/>
        <v>23.53281295172015</v>
      </c>
      <c r="Q56" s="201">
        <f t="shared" si="1"/>
        <v>20.414730067929927</v>
      </c>
      <c r="R56" s="201">
        <f t="shared" si="2"/>
        <v>42.25</v>
      </c>
      <c r="S56" s="200">
        <f t="shared" si="3"/>
        <v>27.27272727272727</v>
      </c>
      <c r="T56" s="108"/>
      <c r="U56" s="109"/>
      <c r="V56" s="109"/>
    </row>
    <row r="57" spans="1:22" x14ac:dyDescent="0.2">
      <c r="A57" s="101" t="s">
        <v>128</v>
      </c>
      <c r="B57" s="102" t="s">
        <v>129</v>
      </c>
      <c r="C57" s="103" t="s">
        <v>266</v>
      </c>
      <c r="D57" s="212">
        <v>634</v>
      </c>
      <c r="E57" s="213">
        <v>1540</v>
      </c>
      <c r="F57" s="104"/>
      <c r="G57" s="208">
        <v>197</v>
      </c>
      <c r="H57" s="208">
        <v>855</v>
      </c>
      <c r="I57" s="107"/>
      <c r="J57" s="208">
        <v>405</v>
      </c>
      <c r="K57" s="208">
        <v>607</v>
      </c>
      <c r="L57" s="110"/>
      <c r="M57" s="208">
        <v>12</v>
      </c>
      <c r="N57" s="208">
        <v>34</v>
      </c>
      <c r="O57" s="105"/>
      <c r="P57" s="202">
        <f t="shared" si="0"/>
        <v>41.168831168831169</v>
      </c>
      <c r="Q57" s="201">
        <f t="shared" si="1"/>
        <v>23.040935672514621</v>
      </c>
      <c r="R57" s="201">
        <f t="shared" si="2"/>
        <v>66.721581548599673</v>
      </c>
      <c r="S57" s="200">
        <f t="shared" si="3"/>
        <v>35.294117647058826</v>
      </c>
      <c r="T57" s="108"/>
      <c r="U57" s="109"/>
      <c r="V57" s="109"/>
    </row>
    <row r="58" spans="1:22" x14ac:dyDescent="0.2">
      <c r="A58" s="101" t="s">
        <v>130</v>
      </c>
      <c r="B58" s="102" t="s">
        <v>131</v>
      </c>
      <c r="C58" s="103" t="s">
        <v>268</v>
      </c>
      <c r="D58" s="212">
        <v>1233</v>
      </c>
      <c r="E58" s="213">
        <v>4423</v>
      </c>
      <c r="F58" s="104"/>
      <c r="G58" s="208">
        <v>1193</v>
      </c>
      <c r="H58" s="208">
        <v>4329</v>
      </c>
      <c r="I58" s="107"/>
      <c r="J58" s="208">
        <v>7</v>
      </c>
      <c r="K58" s="208">
        <v>21</v>
      </c>
      <c r="L58" s="110"/>
      <c r="M58" s="208">
        <v>25</v>
      </c>
      <c r="N58" s="208">
        <v>48</v>
      </c>
      <c r="O58" s="105"/>
      <c r="P58" s="202">
        <f t="shared" si="0"/>
        <v>27.87700655663577</v>
      </c>
      <c r="Q58" s="201">
        <f t="shared" si="1"/>
        <v>27.558327558327562</v>
      </c>
      <c r="R58" s="201">
        <f t="shared" si="2"/>
        <v>33.333333333333329</v>
      </c>
      <c r="S58" s="200">
        <f t="shared" si="3"/>
        <v>52.083333333333336</v>
      </c>
      <c r="T58" s="108"/>
      <c r="U58" s="109"/>
      <c r="V58" s="109"/>
    </row>
    <row r="59" spans="1:22" x14ac:dyDescent="0.2">
      <c r="A59" s="101" t="s">
        <v>132</v>
      </c>
      <c r="B59" s="102" t="s">
        <v>133</v>
      </c>
      <c r="C59" s="103" t="s">
        <v>267</v>
      </c>
      <c r="D59" s="212">
        <v>11869</v>
      </c>
      <c r="E59" s="213">
        <v>90189</v>
      </c>
      <c r="F59" s="104"/>
      <c r="G59" s="208">
        <v>7177</v>
      </c>
      <c r="H59" s="208">
        <v>59927</v>
      </c>
      <c r="I59" s="107"/>
      <c r="J59" s="208">
        <v>1805</v>
      </c>
      <c r="K59" s="208">
        <v>5736</v>
      </c>
      <c r="L59" s="110"/>
      <c r="M59" s="208">
        <v>2403</v>
      </c>
      <c r="N59" s="208">
        <v>11322</v>
      </c>
      <c r="O59" s="105"/>
      <c r="P59" s="202">
        <f t="shared" si="0"/>
        <v>13.160141480668376</v>
      </c>
      <c r="Q59" s="201">
        <f t="shared" si="1"/>
        <v>11.976237755936388</v>
      </c>
      <c r="R59" s="201">
        <f t="shared" si="2"/>
        <v>31.467921896792188</v>
      </c>
      <c r="S59" s="200">
        <f t="shared" si="3"/>
        <v>21.224165341812402</v>
      </c>
      <c r="T59" s="108"/>
      <c r="U59" s="109"/>
      <c r="V59" s="109"/>
    </row>
    <row r="60" spans="1:22" x14ac:dyDescent="0.2">
      <c r="A60" s="101" t="s">
        <v>134</v>
      </c>
      <c r="B60" s="102" t="s">
        <v>135</v>
      </c>
      <c r="C60" s="103" t="s">
        <v>267</v>
      </c>
      <c r="D60" s="212">
        <v>1576</v>
      </c>
      <c r="E60" s="213">
        <v>6209</v>
      </c>
      <c r="F60" s="104"/>
      <c r="G60" s="208">
        <v>969</v>
      </c>
      <c r="H60" s="208">
        <v>4816</v>
      </c>
      <c r="I60" s="107"/>
      <c r="J60" s="208">
        <v>447</v>
      </c>
      <c r="K60" s="208">
        <v>915</v>
      </c>
      <c r="L60" s="110"/>
      <c r="M60" s="208">
        <v>49</v>
      </c>
      <c r="N60" s="208">
        <v>238</v>
      </c>
      <c r="O60" s="105"/>
      <c r="P60" s="202">
        <f t="shared" si="0"/>
        <v>25.382509260750524</v>
      </c>
      <c r="Q60" s="201">
        <f t="shared" si="1"/>
        <v>20.120431893687709</v>
      </c>
      <c r="R60" s="201">
        <f t="shared" si="2"/>
        <v>48.852459016393439</v>
      </c>
      <c r="S60" s="200">
        <f t="shared" si="3"/>
        <v>20.588235294117645</v>
      </c>
      <c r="T60" s="108"/>
      <c r="U60" s="109"/>
      <c r="V60" s="109"/>
    </row>
    <row r="61" spans="1:22" x14ac:dyDescent="0.2">
      <c r="A61" s="101" t="s">
        <v>136</v>
      </c>
      <c r="B61" s="102" t="s">
        <v>137</v>
      </c>
      <c r="C61" s="103" t="s">
        <v>266</v>
      </c>
      <c r="D61" s="212">
        <v>702</v>
      </c>
      <c r="E61" s="213">
        <v>2032</v>
      </c>
      <c r="F61" s="104"/>
      <c r="G61" s="208">
        <v>310</v>
      </c>
      <c r="H61" s="208">
        <v>1308</v>
      </c>
      <c r="I61" s="107"/>
      <c r="J61" s="208">
        <v>310</v>
      </c>
      <c r="K61" s="208">
        <v>544</v>
      </c>
      <c r="L61" s="110"/>
      <c r="M61" s="208">
        <v>51</v>
      </c>
      <c r="N61" s="208">
        <v>125</v>
      </c>
      <c r="O61" s="105"/>
      <c r="P61" s="202">
        <f t="shared" si="0"/>
        <v>34.547244094488185</v>
      </c>
      <c r="Q61" s="201">
        <f t="shared" si="1"/>
        <v>23.700305810397555</v>
      </c>
      <c r="R61" s="201">
        <f t="shared" si="2"/>
        <v>56.985294117647058</v>
      </c>
      <c r="S61" s="200">
        <f t="shared" si="3"/>
        <v>40.799999999999997</v>
      </c>
      <c r="T61" s="108"/>
      <c r="U61" s="109"/>
      <c r="V61" s="109"/>
    </row>
    <row r="62" spans="1:22" x14ac:dyDescent="0.2">
      <c r="A62" s="101" t="s">
        <v>140</v>
      </c>
      <c r="B62" s="102" t="s">
        <v>141</v>
      </c>
      <c r="C62" s="103" t="s">
        <v>267</v>
      </c>
      <c r="D62" s="212">
        <v>551</v>
      </c>
      <c r="E62" s="213">
        <v>2527</v>
      </c>
      <c r="F62" s="104"/>
      <c r="G62" s="208">
        <v>442</v>
      </c>
      <c r="H62" s="208">
        <v>2181</v>
      </c>
      <c r="I62" s="107"/>
      <c r="J62" s="208">
        <v>60</v>
      </c>
      <c r="K62" s="208">
        <v>180</v>
      </c>
      <c r="L62" s="110"/>
      <c r="M62" s="208">
        <v>17</v>
      </c>
      <c r="N62" s="208">
        <v>78</v>
      </c>
      <c r="O62" s="105"/>
      <c r="P62" s="202">
        <f t="shared" si="0"/>
        <v>21.804511278195488</v>
      </c>
      <c r="Q62" s="201">
        <f t="shared" si="1"/>
        <v>20.265933058230171</v>
      </c>
      <c r="R62" s="201">
        <f t="shared" si="2"/>
        <v>33.333333333333329</v>
      </c>
      <c r="S62" s="200">
        <f t="shared" si="3"/>
        <v>21.794871794871796</v>
      </c>
      <c r="T62" s="108"/>
      <c r="U62" s="109"/>
      <c r="V62" s="109"/>
    </row>
    <row r="63" spans="1:22" x14ac:dyDescent="0.2">
      <c r="A63" s="101" t="s">
        <v>146</v>
      </c>
      <c r="B63" s="102" t="s">
        <v>147</v>
      </c>
      <c r="C63" s="103" t="s">
        <v>264</v>
      </c>
      <c r="D63" s="212">
        <v>306</v>
      </c>
      <c r="E63" s="213">
        <v>1399</v>
      </c>
      <c r="F63" s="104"/>
      <c r="G63" s="208">
        <v>236</v>
      </c>
      <c r="H63" s="208">
        <v>1218</v>
      </c>
      <c r="I63" s="107"/>
      <c r="J63" s="208">
        <v>51</v>
      </c>
      <c r="K63" s="208">
        <v>119</v>
      </c>
      <c r="L63" s="110"/>
      <c r="M63" s="208">
        <v>5</v>
      </c>
      <c r="N63" s="208">
        <v>33</v>
      </c>
      <c r="O63" s="105"/>
      <c r="P63" s="202">
        <f t="shared" si="0"/>
        <v>21.872766261615439</v>
      </c>
      <c r="Q63" s="201">
        <f t="shared" si="1"/>
        <v>19.376026272577999</v>
      </c>
      <c r="R63" s="201">
        <f t="shared" si="2"/>
        <v>42.857142857142854</v>
      </c>
      <c r="S63" s="200">
        <f t="shared" si="3"/>
        <v>15.151515151515152</v>
      </c>
      <c r="T63" s="108"/>
      <c r="U63" s="109"/>
      <c r="V63" s="109"/>
    </row>
    <row r="64" spans="1:22" x14ac:dyDescent="0.2">
      <c r="A64" s="101" t="s">
        <v>148</v>
      </c>
      <c r="B64" s="102" t="s">
        <v>149</v>
      </c>
      <c r="C64" s="103" t="s">
        <v>265</v>
      </c>
      <c r="D64" s="212">
        <v>2155</v>
      </c>
      <c r="E64" s="213">
        <v>5216</v>
      </c>
      <c r="F64" s="104"/>
      <c r="G64" s="208">
        <v>756</v>
      </c>
      <c r="H64" s="208">
        <v>2955</v>
      </c>
      <c r="I64" s="107"/>
      <c r="J64" s="208">
        <v>1255</v>
      </c>
      <c r="K64" s="208">
        <v>1903</v>
      </c>
      <c r="L64" s="110"/>
      <c r="M64" s="208">
        <v>52</v>
      </c>
      <c r="N64" s="208">
        <v>199</v>
      </c>
      <c r="O64" s="105"/>
      <c r="P64" s="202">
        <f t="shared" si="0"/>
        <v>41.315184049079754</v>
      </c>
      <c r="Q64" s="201">
        <f t="shared" si="1"/>
        <v>25.583756345177665</v>
      </c>
      <c r="R64" s="201">
        <f t="shared" si="2"/>
        <v>65.948502364687329</v>
      </c>
      <c r="S64" s="200">
        <f t="shared" si="3"/>
        <v>26.13065326633166</v>
      </c>
      <c r="T64" s="108"/>
      <c r="U64" s="109"/>
      <c r="V64" s="109"/>
    </row>
    <row r="65" spans="1:22" x14ac:dyDescent="0.2">
      <c r="A65" s="101" t="s">
        <v>150</v>
      </c>
      <c r="B65" s="102" t="s">
        <v>151</v>
      </c>
      <c r="C65" s="103" t="s">
        <v>266</v>
      </c>
      <c r="D65" s="212">
        <v>430</v>
      </c>
      <c r="E65" s="213">
        <v>1466</v>
      </c>
      <c r="F65" s="104"/>
      <c r="G65" s="208">
        <v>300</v>
      </c>
      <c r="H65" s="208">
        <v>1152</v>
      </c>
      <c r="I65" s="107"/>
      <c r="J65" s="208">
        <v>108</v>
      </c>
      <c r="K65" s="208">
        <v>232</v>
      </c>
      <c r="L65" s="110"/>
      <c r="M65" s="208">
        <v>6</v>
      </c>
      <c r="N65" s="208">
        <v>42</v>
      </c>
      <c r="O65" s="105"/>
      <c r="P65" s="202">
        <f t="shared" si="0"/>
        <v>29.331514324693043</v>
      </c>
      <c r="Q65" s="201">
        <f t="shared" si="1"/>
        <v>26.041666666666668</v>
      </c>
      <c r="R65" s="201">
        <f t="shared" si="2"/>
        <v>46.551724137931032</v>
      </c>
      <c r="S65" s="200">
        <f t="shared" si="3"/>
        <v>14.285714285714285</v>
      </c>
      <c r="T65" s="108"/>
      <c r="U65" s="109"/>
      <c r="V65" s="109"/>
    </row>
    <row r="66" spans="1:22" x14ac:dyDescent="0.2">
      <c r="A66" s="101" t="s">
        <v>152</v>
      </c>
      <c r="B66" s="102" t="s">
        <v>153</v>
      </c>
      <c r="C66" s="103" t="s">
        <v>268</v>
      </c>
      <c r="D66" s="212">
        <v>3395</v>
      </c>
      <c r="E66" s="213">
        <v>13668</v>
      </c>
      <c r="F66" s="104"/>
      <c r="G66" s="208">
        <v>2763</v>
      </c>
      <c r="H66" s="208">
        <v>11839</v>
      </c>
      <c r="I66" s="107"/>
      <c r="J66" s="208">
        <v>331</v>
      </c>
      <c r="K66" s="208">
        <v>574</v>
      </c>
      <c r="L66" s="110"/>
      <c r="M66" s="208">
        <v>146</v>
      </c>
      <c r="N66" s="208">
        <v>478</v>
      </c>
      <c r="O66" s="105"/>
      <c r="P66" s="202">
        <f t="shared" si="0"/>
        <v>24.839040093649402</v>
      </c>
      <c r="Q66" s="201">
        <f t="shared" si="1"/>
        <v>23.338119773629529</v>
      </c>
      <c r="R66" s="201">
        <f t="shared" si="2"/>
        <v>57.665505226480839</v>
      </c>
      <c r="S66" s="200">
        <f t="shared" si="3"/>
        <v>30.543933054393307</v>
      </c>
      <c r="T66" s="108"/>
      <c r="U66" s="109"/>
      <c r="V66" s="109"/>
    </row>
    <row r="67" spans="1:22" x14ac:dyDescent="0.2">
      <c r="A67" s="101" t="s">
        <v>154</v>
      </c>
      <c r="B67" s="102" t="s">
        <v>155</v>
      </c>
      <c r="C67" s="103" t="s">
        <v>265</v>
      </c>
      <c r="D67" s="212">
        <v>697</v>
      </c>
      <c r="E67" s="213">
        <v>2438</v>
      </c>
      <c r="F67" s="104"/>
      <c r="G67" s="208">
        <v>477</v>
      </c>
      <c r="H67" s="208">
        <v>1992</v>
      </c>
      <c r="I67" s="107"/>
      <c r="J67" s="208">
        <v>149</v>
      </c>
      <c r="K67" s="208">
        <v>263</v>
      </c>
      <c r="L67" s="110"/>
      <c r="M67" s="208">
        <v>33</v>
      </c>
      <c r="N67" s="208">
        <v>141</v>
      </c>
      <c r="O67" s="105"/>
      <c r="P67" s="202">
        <f t="shared" si="0"/>
        <v>28.589007383100899</v>
      </c>
      <c r="Q67" s="201">
        <f t="shared" si="1"/>
        <v>23.945783132530121</v>
      </c>
      <c r="R67" s="201">
        <f t="shared" si="2"/>
        <v>56.653992395437257</v>
      </c>
      <c r="S67" s="200">
        <f t="shared" si="3"/>
        <v>23.404255319148938</v>
      </c>
      <c r="T67" s="108"/>
      <c r="U67" s="109"/>
      <c r="V67" s="109"/>
    </row>
    <row r="68" spans="1:22" x14ac:dyDescent="0.2">
      <c r="A68" s="101" t="s">
        <v>156</v>
      </c>
      <c r="B68" s="102" t="s">
        <v>157</v>
      </c>
      <c r="C68" s="103" t="s">
        <v>266</v>
      </c>
      <c r="D68" s="212">
        <v>700</v>
      </c>
      <c r="E68" s="213">
        <v>3565</v>
      </c>
      <c r="F68" s="104"/>
      <c r="G68" s="208">
        <v>550</v>
      </c>
      <c r="H68" s="208">
        <v>2983</v>
      </c>
      <c r="I68" s="107"/>
      <c r="J68" s="208">
        <v>102</v>
      </c>
      <c r="K68" s="208">
        <v>317</v>
      </c>
      <c r="L68" s="110"/>
      <c r="M68" s="208">
        <v>19</v>
      </c>
      <c r="N68" s="208">
        <v>136</v>
      </c>
      <c r="O68" s="105"/>
      <c r="P68" s="202">
        <f t="shared" si="0"/>
        <v>19.635343618513325</v>
      </c>
      <c r="Q68" s="201">
        <f t="shared" si="1"/>
        <v>18.437814280925245</v>
      </c>
      <c r="R68" s="201">
        <f t="shared" si="2"/>
        <v>32.176656151419557</v>
      </c>
      <c r="S68" s="200">
        <f t="shared" si="3"/>
        <v>13.970588235294118</v>
      </c>
      <c r="T68" s="108"/>
      <c r="U68" s="109"/>
      <c r="V68" s="109"/>
    </row>
    <row r="69" spans="1:22" x14ac:dyDescent="0.2">
      <c r="A69" s="101" t="s">
        <v>162</v>
      </c>
      <c r="B69" s="102" t="s">
        <v>163</v>
      </c>
      <c r="C69" s="103" t="s">
        <v>264</v>
      </c>
      <c r="D69" s="212">
        <v>887</v>
      </c>
      <c r="E69" s="213">
        <v>2010</v>
      </c>
      <c r="F69" s="104"/>
      <c r="G69" s="208">
        <v>283</v>
      </c>
      <c r="H69" s="208">
        <v>1078</v>
      </c>
      <c r="I69" s="107"/>
      <c r="J69" s="208">
        <v>508</v>
      </c>
      <c r="K69" s="208">
        <v>710</v>
      </c>
      <c r="L69" s="110"/>
      <c r="M69" s="208">
        <v>113</v>
      </c>
      <c r="N69" s="208">
        <v>283</v>
      </c>
      <c r="O69" s="105"/>
      <c r="P69" s="202">
        <f t="shared" si="0"/>
        <v>44.129353233830848</v>
      </c>
      <c r="Q69" s="201">
        <f t="shared" si="1"/>
        <v>26.252319109461968</v>
      </c>
      <c r="R69" s="201">
        <f t="shared" si="2"/>
        <v>71.549295774647888</v>
      </c>
      <c r="S69" s="200">
        <f t="shared" si="3"/>
        <v>39.929328621908127</v>
      </c>
      <c r="T69" s="108"/>
      <c r="U69" s="109"/>
      <c r="V69" s="109"/>
    </row>
    <row r="70" spans="1:22" x14ac:dyDescent="0.2">
      <c r="A70" s="101" t="s">
        <v>164</v>
      </c>
      <c r="B70" s="102" t="s">
        <v>165</v>
      </c>
      <c r="C70" s="103" t="s">
        <v>266</v>
      </c>
      <c r="D70" s="212">
        <v>579</v>
      </c>
      <c r="E70" s="213">
        <v>1628</v>
      </c>
      <c r="F70" s="104"/>
      <c r="G70" s="208">
        <v>237</v>
      </c>
      <c r="H70" s="208">
        <v>999</v>
      </c>
      <c r="I70" s="107"/>
      <c r="J70" s="208">
        <v>297</v>
      </c>
      <c r="K70" s="208">
        <v>521</v>
      </c>
      <c r="L70" s="110"/>
      <c r="M70" s="208">
        <v>34</v>
      </c>
      <c r="N70" s="208">
        <v>112</v>
      </c>
      <c r="O70" s="105"/>
      <c r="P70" s="202">
        <f t="shared" si="0"/>
        <v>35.565110565110565</v>
      </c>
      <c r="Q70" s="201">
        <f t="shared" si="1"/>
        <v>23.723723723723726</v>
      </c>
      <c r="R70" s="201">
        <f t="shared" si="2"/>
        <v>57.005758157389629</v>
      </c>
      <c r="S70" s="200">
        <f t="shared" si="3"/>
        <v>30.357142857142854</v>
      </c>
      <c r="T70" s="108"/>
      <c r="U70" s="109"/>
      <c r="V70" s="109"/>
    </row>
    <row r="71" spans="1:22" x14ac:dyDescent="0.2">
      <c r="A71" s="101" t="s">
        <v>168</v>
      </c>
      <c r="B71" s="102" t="s">
        <v>169</v>
      </c>
      <c r="C71" s="103" t="s">
        <v>266</v>
      </c>
      <c r="D71" s="212">
        <v>997</v>
      </c>
      <c r="E71" s="213">
        <v>2678</v>
      </c>
      <c r="F71" s="104"/>
      <c r="G71" s="208">
        <v>421</v>
      </c>
      <c r="H71" s="208">
        <v>1585</v>
      </c>
      <c r="I71" s="107"/>
      <c r="J71" s="208">
        <v>506</v>
      </c>
      <c r="K71" s="208">
        <v>908</v>
      </c>
      <c r="L71" s="110"/>
      <c r="M71" s="208">
        <v>33</v>
      </c>
      <c r="N71" s="208">
        <v>158</v>
      </c>
      <c r="O71" s="105"/>
      <c r="P71" s="202">
        <f t="shared" ref="P71:P126" si="4">(D71/E71)*100</f>
        <v>37.229275578790144</v>
      </c>
      <c r="Q71" s="201">
        <f t="shared" ref="Q71:Q126" si="5">(G71/H71)*100</f>
        <v>26.561514195583598</v>
      </c>
      <c r="R71" s="201">
        <f t="shared" ref="R71:R126" si="6">(J71/K71)*100</f>
        <v>55.726872246696033</v>
      </c>
      <c r="S71" s="200">
        <f t="shared" ref="S71:S126" si="7">IF(N71&lt;1,"NA", ((M71/N71)*100))</f>
        <v>20.88607594936709</v>
      </c>
      <c r="T71" s="108"/>
      <c r="U71" s="109"/>
      <c r="V71" s="109"/>
    </row>
    <row r="72" spans="1:22" x14ac:dyDescent="0.2">
      <c r="A72" s="101" t="s">
        <v>170</v>
      </c>
      <c r="B72" s="102" t="s">
        <v>171</v>
      </c>
      <c r="C72" s="103" t="s">
        <v>267</v>
      </c>
      <c r="D72" s="212">
        <v>1664</v>
      </c>
      <c r="E72" s="213">
        <v>6621</v>
      </c>
      <c r="F72" s="104"/>
      <c r="G72" s="208">
        <v>1104</v>
      </c>
      <c r="H72" s="208">
        <v>5261</v>
      </c>
      <c r="I72" s="107"/>
      <c r="J72" s="208">
        <v>363</v>
      </c>
      <c r="K72" s="208">
        <v>777</v>
      </c>
      <c r="L72" s="110"/>
      <c r="M72" s="208">
        <v>99</v>
      </c>
      <c r="N72" s="208">
        <v>366</v>
      </c>
      <c r="O72" s="105"/>
      <c r="P72" s="202">
        <f t="shared" si="4"/>
        <v>25.132155263555354</v>
      </c>
      <c r="Q72" s="201">
        <f t="shared" si="5"/>
        <v>20.984603687511878</v>
      </c>
      <c r="R72" s="201">
        <f t="shared" si="6"/>
        <v>46.71814671814672</v>
      </c>
      <c r="S72" s="200">
        <f t="shared" si="7"/>
        <v>27.049180327868854</v>
      </c>
      <c r="T72" s="108"/>
      <c r="U72" s="109"/>
      <c r="V72" s="109"/>
    </row>
    <row r="73" spans="1:22" x14ac:dyDescent="0.2">
      <c r="A73" s="101" t="s">
        <v>172</v>
      </c>
      <c r="B73" s="102" t="s">
        <v>173</v>
      </c>
      <c r="C73" s="103" t="s">
        <v>267</v>
      </c>
      <c r="D73" s="212">
        <v>1301</v>
      </c>
      <c r="E73" s="213">
        <v>4462</v>
      </c>
      <c r="F73" s="104"/>
      <c r="G73" s="208">
        <v>1205</v>
      </c>
      <c r="H73" s="208">
        <v>4233</v>
      </c>
      <c r="I73" s="107"/>
      <c r="J73" s="208">
        <v>40</v>
      </c>
      <c r="K73" s="208">
        <v>69</v>
      </c>
      <c r="L73" s="110"/>
      <c r="M73" s="208">
        <v>54</v>
      </c>
      <c r="N73" s="208">
        <v>128</v>
      </c>
      <c r="O73" s="105"/>
      <c r="P73" s="202">
        <f t="shared" si="4"/>
        <v>29.157328552218736</v>
      </c>
      <c r="Q73" s="201">
        <f t="shared" si="5"/>
        <v>28.466808410111032</v>
      </c>
      <c r="R73" s="201">
        <f t="shared" si="6"/>
        <v>57.971014492753625</v>
      </c>
      <c r="S73" s="200">
        <f t="shared" si="7"/>
        <v>42.1875</v>
      </c>
      <c r="T73" s="108"/>
      <c r="U73" s="109"/>
      <c r="V73" s="109"/>
    </row>
    <row r="74" spans="1:22" x14ac:dyDescent="0.2">
      <c r="A74" s="101" t="s">
        <v>174</v>
      </c>
      <c r="B74" s="102" t="s">
        <v>175</v>
      </c>
      <c r="C74" s="103" t="s">
        <v>268</v>
      </c>
      <c r="D74" s="212">
        <v>892</v>
      </c>
      <c r="E74" s="213">
        <v>3154</v>
      </c>
      <c r="F74" s="104"/>
      <c r="G74" s="208">
        <v>738</v>
      </c>
      <c r="H74" s="208">
        <v>2803</v>
      </c>
      <c r="I74" s="107"/>
      <c r="J74" s="208">
        <v>97</v>
      </c>
      <c r="K74" s="208">
        <v>159</v>
      </c>
      <c r="L74" s="110"/>
      <c r="M74" s="208">
        <v>48</v>
      </c>
      <c r="N74" s="208">
        <v>159</v>
      </c>
      <c r="O74" s="105"/>
      <c r="P74" s="202">
        <f t="shared" si="4"/>
        <v>28.28154724159797</v>
      </c>
      <c r="Q74" s="201">
        <f t="shared" si="5"/>
        <v>26.328933285765249</v>
      </c>
      <c r="R74" s="201">
        <f t="shared" si="6"/>
        <v>61.0062893081761</v>
      </c>
      <c r="S74" s="200">
        <f t="shared" si="7"/>
        <v>30.188679245283019</v>
      </c>
      <c r="T74" s="108"/>
      <c r="U74" s="109"/>
      <c r="V74" s="109"/>
    </row>
    <row r="75" spans="1:22" x14ac:dyDescent="0.2">
      <c r="A75" s="101" t="s">
        <v>178</v>
      </c>
      <c r="B75" s="102" t="s">
        <v>179</v>
      </c>
      <c r="C75" s="103" t="s">
        <v>265</v>
      </c>
      <c r="D75" s="212">
        <v>3561</v>
      </c>
      <c r="E75" s="213">
        <v>11424</v>
      </c>
      <c r="F75" s="104"/>
      <c r="G75" s="208">
        <v>2288</v>
      </c>
      <c r="H75" s="208">
        <v>8821</v>
      </c>
      <c r="I75" s="107"/>
      <c r="J75" s="208">
        <v>1066</v>
      </c>
      <c r="K75" s="208">
        <v>2044</v>
      </c>
      <c r="L75" s="110"/>
      <c r="M75" s="208">
        <v>164</v>
      </c>
      <c r="N75" s="208">
        <v>419</v>
      </c>
      <c r="O75" s="105"/>
      <c r="P75" s="202">
        <f t="shared" si="4"/>
        <v>31.17121848739496</v>
      </c>
      <c r="Q75" s="201">
        <f t="shared" si="5"/>
        <v>25.938102255980048</v>
      </c>
      <c r="R75" s="201">
        <f t="shared" si="6"/>
        <v>52.152641878669279</v>
      </c>
      <c r="S75" s="200">
        <f t="shared" si="7"/>
        <v>39.140811455847256</v>
      </c>
      <c r="T75" s="108"/>
      <c r="U75" s="109"/>
      <c r="V75" s="109"/>
    </row>
    <row r="76" spans="1:22" x14ac:dyDescent="0.2">
      <c r="A76" s="101" t="s">
        <v>182</v>
      </c>
      <c r="B76" s="102" t="s">
        <v>183</v>
      </c>
      <c r="C76" s="103" t="s">
        <v>266</v>
      </c>
      <c r="D76" s="212">
        <v>894</v>
      </c>
      <c r="E76" s="213">
        <v>5676</v>
      </c>
      <c r="F76" s="104"/>
      <c r="G76" s="208">
        <v>705</v>
      </c>
      <c r="H76" s="208">
        <v>5098</v>
      </c>
      <c r="I76" s="107"/>
      <c r="J76" s="208">
        <v>126</v>
      </c>
      <c r="K76" s="208">
        <v>331</v>
      </c>
      <c r="L76" s="110"/>
      <c r="M76" s="208">
        <v>31</v>
      </c>
      <c r="N76" s="208">
        <v>150</v>
      </c>
      <c r="O76" s="105"/>
      <c r="P76" s="202">
        <f t="shared" si="4"/>
        <v>15.750528541226217</v>
      </c>
      <c r="Q76" s="201">
        <f t="shared" si="5"/>
        <v>13.828952530404079</v>
      </c>
      <c r="R76" s="201">
        <f t="shared" si="6"/>
        <v>38.066465256797585</v>
      </c>
      <c r="S76" s="200">
        <f t="shared" si="7"/>
        <v>20.666666666666668</v>
      </c>
      <c r="T76" s="108"/>
      <c r="U76" s="109"/>
      <c r="V76" s="109"/>
    </row>
    <row r="77" spans="1:22" x14ac:dyDescent="0.2">
      <c r="A77" s="101" t="s">
        <v>184</v>
      </c>
      <c r="B77" s="102" t="s">
        <v>185</v>
      </c>
      <c r="C77" s="103" t="s">
        <v>266</v>
      </c>
      <c r="D77" s="212">
        <v>1369</v>
      </c>
      <c r="E77" s="213">
        <v>3375</v>
      </c>
      <c r="F77" s="104"/>
      <c r="G77" s="208">
        <v>434</v>
      </c>
      <c r="H77" s="208">
        <v>1775</v>
      </c>
      <c r="I77" s="107"/>
      <c r="J77" s="208">
        <v>840</v>
      </c>
      <c r="K77" s="208">
        <v>1364</v>
      </c>
      <c r="L77" s="110"/>
      <c r="M77" s="208">
        <v>27</v>
      </c>
      <c r="N77" s="208">
        <v>99</v>
      </c>
      <c r="O77" s="105"/>
      <c r="P77" s="202">
        <f t="shared" si="4"/>
        <v>40.562962962962963</v>
      </c>
      <c r="Q77" s="201">
        <f t="shared" si="5"/>
        <v>24.450704225352112</v>
      </c>
      <c r="R77" s="201">
        <f t="shared" si="6"/>
        <v>61.583577712609973</v>
      </c>
      <c r="S77" s="200">
        <f t="shared" si="7"/>
        <v>27.27272727272727</v>
      </c>
      <c r="T77" s="108"/>
      <c r="U77" s="109"/>
      <c r="V77" s="109"/>
    </row>
    <row r="78" spans="1:22" x14ac:dyDescent="0.2">
      <c r="A78" s="101" t="s">
        <v>186</v>
      </c>
      <c r="B78" s="102" t="s">
        <v>187</v>
      </c>
      <c r="C78" s="103" t="s">
        <v>264</v>
      </c>
      <c r="D78" s="212">
        <v>1977</v>
      </c>
      <c r="E78" s="213">
        <v>7077</v>
      </c>
      <c r="F78" s="104"/>
      <c r="G78" s="208">
        <v>897</v>
      </c>
      <c r="H78" s="208">
        <v>4149</v>
      </c>
      <c r="I78" s="107"/>
      <c r="J78" s="208">
        <v>877</v>
      </c>
      <c r="K78" s="208">
        <v>2141</v>
      </c>
      <c r="L78" s="110"/>
      <c r="M78" s="208">
        <v>144</v>
      </c>
      <c r="N78" s="208">
        <v>601</v>
      </c>
      <c r="O78" s="105"/>
      <c r="P78" s="202">
        <f t="shared" si="4"/>
        <v>27.935565917761764</v>
      </c>
      <c r="Q78" s="201">
        <f t="shared" si="5"/>
        <v>21.619667389732466</v>
      </c>
      <c r="R78" s="201">
        <f t="shared" si="6"/>
        <v>40.96216721158337</v>
      </c>
      <c r="S78" s="200">
        <f t="shared" si="7"/>
        <v>23.960066555740433</v>
      </c>
      <c r="T78" s="108"/>
      <c r="U78" s="109"/>
      <c r="V78" s="109"/>
    </row>
    <row r="79" spans="1:22" x14ac:dyDescent="0.2">
      <c r="A79" s="101" t="s">
        <v>188</v>
      </c>
      <c r="B79" s="102" t="s">
        <v>189</v>
      </c>
      <c r="C79" s="103" t="s">
        <v>267</v>
      </c>
      <c r="D79" s="212">
        <v>21749</v>
      </c>
      <c r="E79" s="213">
        <v>103118</v>
      </c>
      <c r="F79" s="104"/>
      <c r="G79" s="208">
        <v>8234</v>
      </c>
      <c r="H79" s="208">
        <v>55019</v>
      </c>
      <c r="I79" s="107"/>
      <c r="J79" s="208">
        <v>8089</v>
      </c>
      <c r="K79" s="208">
        <v>20838</v>
      </c>
      <c r="L79" s="110"/>
      <c r="M79" s="208">
        <v>5636</v>
      </c>
      <c r="N79" s="208">
        <v>24344</v>
      </c>
      <c r="O79" s="105"/>
      <c r="P79" s="202">
        <f t="shared" si="4"/>
        <v>21.091371050641015</v>
      </c>
      <c r="Q79" s="201">
        <f t="shared" si="5"/>
        <v>14.965739108308037</v>
      </c>
      <c r="R79" s="201">
        <f t="shared" si="6"/>
        <v>38.818504654957295</v>
      </c>
      <c r="S79" s="200">
        <f t="shared" si="7"/>
        <v>23.151495234965495</v>
      </c>
      <c r="T79" s="108"/>
      <c r="U79" s="109"/>
      <c r="V79" s="109"/>
    </row>
    <row r="80" spans="1:22" x14ac:dyDescent="0.2">
      <c r="A80" s="101" t="s">
        <v>190</v>
      </c>
      <c r="B80" s="102" t="s">
        <v>191</v>
      </c>
      <c r="C80" s="103" t="s">
        <v>268</v>
      </c>
      <c r="D80" s="212">
        <v>1787</v>
      </c>
      <c r="E80" s="213">
        <v>5721</v>
      </c>
      <c r="F80" s="104"/>
      <c r="G80" s="208">
        <v>1480</v>
      </c>
      <c r="H80" s="208">
        <v>5198</v>
      </c>
      <c r="I80" s="107"/>
      <c r="J80" s="208">
        <v>152</v>
      </c>
      <c r="K80" s="208">
        <v>245</v>
      </c>
      <c r="L80" s="110"/>
      <c r="M80" s="208">
        <v>43</v>
      </c>
      <c r="N80" s="208">
        <v>127</v>
      </c>
      <c r="O80" s="105"/>
      <c r="P80" s="202">
        <f t="shared" si="4"/>
        <v>31.235797937423527</v>
      </c>
      <c r="Q80" s="201">
        <f t="shared" si="5"/>
        <v>28.472489419007314</v>
      </c>
      <c r="R80" s="201">
        <f t="shared" si="6"/>
        <v>62.04081632653061</v>
      </c>
      <c r="S80" s="200">
        <f t="shared" si="7"/>
        <v>33.858267716535437</v>
      </c>
      <c r="T80" s="108"/>
      <c r="U80" s="109"/>
      <c r="V80" s="109"/>
    </row>
    <row r="81" spans="1:22" x14ac:dyDescent="0.2">
      <c r="A81" s="101" t="s">
        <v>194</v>
      </c>
      <c r="B81" s="102" t="s">
        <v>195</v>
      </c>
      <c r="C81" s="103" t="s">
        <v>267</v>
      </c>
      <c r="D81" s="212">
        <v>320</v>
      </c>
      <c r="E81" s="213">
        <v>1265</v>
      </c>
      <c r="F81" s="104"/>
      <c r="G81" s="208">
        <v>269</v>
      </c>
      <c r="H81" s="208">
        <v>1157</v>
      </c>
      <c r="I81" s="107"/>
      <c r="J81" s="208">
        <v>23</v>
      </c>
      <c r="K81" s="208">
        <v>42</v>
      </c>
      <c r="L81" s="110"/>
      <c r="M81" s="208">
        <v>22</v>
      </c>
      <c r="N81" s="208">
        <v>71</v>
      </c>
      <c r="O81" s="105"/>
      <c r="P81" s="202">
        <f t="shared" si="4"/>
        <v>25.296442687747035</v>
      </c>
      <c r="Q81" s="201">
        <f t="shared" si="5"/>
        <v>23.249783923941227</v>
      </c>
      <c r="R81" s="201">
        <f t="shared" si="6"/>
        <v>54.761904761904766</v>
      </c>
      <c r="S81" s="200">
        <f t="shared" si="7"/>
        <v>30.985915492957744</v>
      </c>
      <c r="T81" s="108"/>
      <c r="U81" s="109"/>
      <c r="V81" s="109"/>
    </row>
    <row r="82" spans="1:22" x14ac:dyDescent="0.2">
      <c r="A82" s="101" t="s">
        <v>198</v>
      </c>
      <c r="B82" s="102" t="s">
        <v>199</v>
      </c>
      <c r="C82" s="103" t="s">
        <v>266</v>
      </c>
      <c r="D82" s="212">
        <v>416</v>
      </c>
      <c r="E82" s="213">
        <v>1302</v>
      </c>
      <c r="F82" s="104"/>
      <c r="G82" s="208">
        <v>202</v>
      </c>
      <c r="H82" s="208">
        <v>875</v>
      </c>
      <c r="I82" s="107"/>
      <c r="J82" s="208">
        <v>175</v>
      </c>
      <c r="K82" s="208">
        <v>276</v>
      </c>
      <c r="L82" s="110"/>
      <c r="M82" s="208">
        <v>24</v>
      </c>
      <c r="N82" s="208">
        <v>125</v>
      </c>
      <c r="O82" s="105"/>
      <c r="P82" s="202">
        <f t="shared" si="4"/>
        <v>31.95084485407066</v>
      </c>
      <c r="Q82" s="201">
        <f t="shared" si="5"/>
        <v>23.085714285714285</v>
      </c>
      <c r="R82" s="201">
        <f t="shared" si="6"/>
        <v>63.405797101449281</v>
      </c>
      <c r="S82" s="200">
        <f t="shared" si="7"/>
        <v>19.2</v>
      </c>
      <c r="T82" s="108"/>
      <c r="U82" s="109"/>
      <c r="V82" s="109"/>
    </row>
    <row r="83" spans="1:22" x14ac:dyDescent="0.2">
      <c r="A83" s="101" t="s">
        <v>202</v>
      </c>
      <c r="B83" s="102" t="s">
        <v>611</v>
      </c>
      <c r="C83" s="103" t="s">
        <v>265</v>
      </c>
      <c r="D83" s="212">
        <v>5421</v>
      </c>
      <c r="E83" s="213">
        <v>22594</v>
      </c>
      <c r="F83" s="104"/>
      <c r="G83" s="208">
        <v>4101</v>
      </c>
      <c r="H83" s="208">
        <v>19297</v>
      </c>
      <c r="I83" s="107"/>
      <c r="J83" s="208">
        <v>784</v>
      </c>
      <c r="K83" s="208">
        <v>1384</v>
      </c>
      <c r="L83" s="110"/>
      <c r="M83" s="208">
        <v>238</v>
      </c>
      <c r="N83" s="208">
        <v>833</v>
      </c>
      <c r="O83" s="105"/>
      <c r="P83" s="202">
        <f t="shared" si="4"/>
        <v>23.993095512082853</v>
      </c>
      <c r="Q83" s="201">
        <f t="shared" si="5"/>
        <v>21.25200808415816</v>
      </c>
      <c r="R83" s="201">
        <f t="shared" si="6"/>
        <v>56.647398843930638</v>
      </c>
      <c r="S83" s="200">
        <f t="shared" si="7"/>
        <v>28.571428571428569</v>
      </c>
      <c r="T83" s="108"/>
      <c r="U83" s="109"/>
      <c r="V83" s="109"/>
    </row>
    <row r="84" spans="1:22" x14ac:dyDescent="0.2">
      <c r="A84" s="101" t="s">
        <v>204</v>
      </c>
      <c r="B84" s="102" t="s">
        <v>293</v>
      </c>
      <c r="C84" s="103" t="s">
        <v>265</v>
      </c>
      <c r="D84" s="212">
        <v>1602</v>
      </c>
      <c r="E84" s="213">
        <v>5638</v>
      </c>
      <c r="F84" s="104"/>
      <c r="G84" s="208">
        <v>1357</v>
      </c>
      <c r="H84" s="208">
        <v>5119</v>
      </c>
      <c r="I84" s="107"/>
      <c r="J84" s="208">
        <v>137</v>
      </c>
      <c r="K84" s="208">
        <v>227</v>
      </c>
      <c r="L84" s="110"/>
      <c r="M84" s="208">
        <v>53</v>
      </c>
      <c r="N84" s="208">
        <v>160</v>
      </c>
      <c r="O84" s="105"/>
      <c r="P84" s="202">
        <f t="shared" si="4"/>
        <v>28.414331323164244</v>
      </c>
      <c r="Q84" s="201">
        <f t="shared" si="5"/>
        <v>26.509083805430748</v>
      </c>
      <c r="R84" s="201">
        <f t="shared" si="6"/>
        <v>60.352422907488986</v>
      </c>
      <c r="S84" s="200">
        <f t="shared" si="7"/>
        <v>33.125</v>
      </c>
      <c r="T84" s="108"/>
      <c r="U84" s="109"/>
      <c r="V84" s="109"/>
    </row>
    <row r="85" spans="1:22" x14ac:dyDescent="0.2">
      <c r="A85" s="101" t="s">
        <v>206</v>
      </c>
      <c r="B85" s="102" t="s">
        <v>294</v>
      </c>
      <c r="C85" s="103" t="s">
        <v>267</v>
      </c>
      <c r="D85" s="212">
        <v>5746</v>
      </c>
      <c r="E85" s="213">
        <v>22670</v>
      </c>
      <c r="F85" s="104"/>
      <c r="G85" s="208">
        <v>4074</v>
      </c>
      <c r="H85" s="208">
        <v>18481</v>
      </c>
      <c r="I85" s="107"/>
      <c r="J85" s="208">
        <v>513</v>
      </c>
      <c r="K85" s="208">
        <v>877</v>
      </c>
      <c r="L85" s="110"/>
      <c r="M85" s="208">
        <v>1366</v>
      </c>
      <c r="N85" s="208">
        <v>3697</v>
      </c>
      <c r="O85" s="105"/>
      <c r="P85" s="202">
        <f t="shared" si="4"/>
        <v>25.34627260696956</v>
      </c>
      <c r="Q85" s="201">
        <f t="shared" si="5"/>
        <v>22.044261674151834</v>
      </c>
      <c r="R85" s="201">
        <f t="shared" si="6"/>
        <v>58.494868871151652</v>
      </c>
      <c r="S85" s="200">
        <f t="shared" si="7"/>
        <v>36.948877468217475</v>
      </c>
      <c r="T85" s="108"/>
      <c r="U85" s="109"/>
      <c r="V85" s="109"/>
    </row>
    <row r="86" spans="1:22" x14ac:dyDescent="0.2">
      <c r="A86" s="101" t="s">
        <v>208</v>
      </c>
      <c r="B86" s="102" t="s">
        <v>209</v>
      </c>
      <c r="C86" s="103" t="s">
        <v>268</v>
      </c>
      <c r="D86" s="212">
        <v>1191</v>
      </c>
      <c r="E86" s="213">
        <v>5014</v>
      </c>
      <c r="F86" s="104"/>
      <c r="G86" s="208">
        <v>1138</v>
      </c>
      <c r="H86" s="208">
        <v>4887</v>
      </c>
      <c r="I86" s="107"/>
      <c r="J86" s="208">
        <v>6</v>
      </c>
      <c r="K86" s="208">
        <v>24</v>
      </c>
      <c r="L86" s="110"/>
      <c r="M86" s="208">
        <v>34</v>
      </c>
      <c r="N86" s="208">
        <v>83</v>
      </c>
      <c r="O86" s="105"/>
      <c r="P86" s="202">
        <f t="shared" si="4"/>
        <v>23.753490227363383</v>
      </c>
      <c r="Q86" s="201">
        <f t="shared" si="5"/>
        <v>23.286269695109475</v>
      </c>
      <c r="R86" s="201">
        <f t="shared" si="6"/>
        <v>25</v>
      </c>
      <c r="S86" s="200">
        <f t="shared" si="7"/>
        <v>40.963855421686745</v>
      </c>
      <c r="T86" s="108"/>
      <c r="U86" s="109"/>
      <c r="V86" s="109"/>
    </row>
    <row r="87" spans="1:22" x14ac:dyDescent="0.2">
      <c r="A87" s="101" t="s">
        <v>210</v>
      </c>
      <c r="B87" s="102" t="s">
        <v>211</v>
      </c>
      <c r="C87" s="103" t="s">
        <v>268</v>
      </c>
      <c r="D87" s="212">
        <v>959</v>
      </c>
      <c r="E87" s="213">
        <v>3843</v>
      </c>
      <c r="F87" s="104"/>
      <c r="G87" s="208">
        <v>910</v>
      </c>
      <c r="H87" s="208">
        <v>3735</v>
      </c>
      <c r="I87" s="107"/>
      <c r="J87" s="208">
        <v>6</v>
      </c>
      <c r="K87" s="208">
        <v>16</v>
      </c>
      <c r="L87" s="110"/>
      <c r="M87" s="208">
        <v>36</v>
      </c>
      <c r="N87" s="208">
        <v>76</v>
      </c>
      <c r="O87" s="105"/>
      <c r="P87" s="202">
        <f t="shared" si="4"/>
        <v>24.954462659380692</v>
      </c>
      <c r="Q87" s="201">
        <f t="shared" si="5"/>
        <v>24.364123159303883</v>
      </c>
      <c r="R87" s="201">
        <f t="shared" si="6"/>
        <v>37.5</v>
      </c>
      <c r="S87" s="200">
        <f t="shared" si="7"/>
        <v>47.368421052631575</v>
      </c>
      <c r="T87" s="108"/>
      <c r="U87" s="109"/>
      <c r="V87" s="109"/>
    </row>
    <row r="88" spans="1:22" x14ac:dyDescent="0.2">
      <c r="A88" s="101" t="s">
        <v>212</v>
      </c>
      <c r="B88" s="102" t="s">
        <v>213</v>
      </c>
      <c r="C88" s="103" t="s">
        <v>267</v>
      </c>
      <c r="D88" s="212">
        <v>2330</v>
      </c>
      <c r="E88" s="213">
        <v>8141</v>
      </c>
      <c r="F88" s="104"/>
      <c r="G88" s="208">
        <v>2035</v>
      </c>
      <c r="H88" s="208">
        <v>7261</v>
      </c>
      <c r="I88" s="107"/>
      <c r="J88" s="208">
        <v>66</v>
      </c>
      <c r="K88" s="208">
        <v>133</v>
      </c>
      <c r="L88" s="110"/>
      <c r="M88" s="208">
        <v>300</v>
      </c>
      <c r="N88" s="208">
        <v>869</v>
      </c>
      <c r="O88" s="105"/>
      <c r="P88" s="202">
        <f t="shared" si="4"/>
        <v>28.620562584449083</v>
      </c>
      <c r="Q88" s="201">
        <f t="shared" si="5"/>
        <v>28.026442638754993</v>
      </c>
      <c r="R88" s="201">
        <f t="shared" si="6"/>
        <v>49.624060150375939</v>
      </c>
      <c r="S88" s="200">
        <f t="shared" si="7"/>
        <v>34.522439585730723</v>
      </c>
      <c r="T88" s="108"/>
      <c r="U88" s="109"/>
      <c r="V88" s="109"/>
    </row>
    <row r="89" spans="1:22" x14ac:dyDescent="0.2">
      <c r="A89" s="101" t="s">
        <v>214</v>
      </c>
      <c r="B89" s="102" t="s">
        <v>215</v>
      </c>
      <c r="C89" s="103" t="s">
        <v>268</v>
      </c>
      <c r="D89" s="212">
        <v>1901</v>
      </c>
      <c r="E89" s="213">
        <v>5684</v>
      </c>
      <c r="F89" s="104"/>
      <c r="G89" s="208">
        <v>1714</v>
      </c>
      <c r="H89" s="208">
        <v>5361</v>
      </c>
      <c r="I89" s="107"/>
      <c r="J89" s="208">
        <v>65</v>
      </c>
      <c r="K89" s="208">
        <v>92</v>
      </c>
      <c r="L89" s="110"/>
      <c r="M89" s="208">
        <v>83</v>
      </c>
      <c r="N89" s="208">
        <v>166</v>
      </c>
      <c r="O89" s="105"/>
      <c r="P89" s="202">
        <f t="shared" si="4"/>
        <v>33.444757213230119</v>
      </c>
      <c r="Q89" s="201">
        <f t="shared" si="5"/>
        <v>31.971647080768513</v>
      </c>
      <c r="R89" s="201">
        <f t="shared" si="6"/>
        <v>70.652173913043484</v>
      </c>
      <c r="S89" s="200">
        <f t="shared" si="7"/>
        <v>50</v>
      </c>
      <c r="T89" s="108"/>
      <c r="U89" s="109"/>
      <c r="V89" s="109"/>
    </row>
    <row r="90" spans="1:22" x14ac:dyDescent="0.2">
      <c r="A90" s="101" t="s">
        <v>216</v>
      </c>
      <c r="B90" s="102" t="s">
        <v>217</v>
      </c>
      <c r="C90" s="103" t="s">
        <v>264</v>
      </c>
      <c r="D90" s="212">
        <v>1022</v>
      </c>
      <c r="E90" s="213">
        <v>3228</v>
      </c>
      <c r="F90" s="104"/>
      <c r="G90" s="208">
        <v>421</v>
      </c>
      <c r="H90" s="208">
        <v>2128</v>
      </c>
      <c r="I90" s="107"/>
      <c r="J90" s="208">
        <v>534</v>
      </c>
      <c r="K90" s="208">
        <v>937</v>
      </c>
      <c r="L90" s="110"/>
      <c r="M90" s="208">
        <v>29</v>
      </c>
      <c r="N90" s="208">
        <v>75</v>
      </c>
      <c r="O90" s="105"/>
      <c r="P90" s="202">
        <f t="shared" si="4"/>
        <v>31.660470879801732</v>
      </c>
      <c r="Q90" s="201">
        <f t="shared" si="5"/>
        <v>19.783834586466163</v>
      </c>
      <c r="R90" s="201">
        <f t="shared" si="6"/>
        <v>56.990394877267882</v>
      </c>
      <c r="S90" s="200">
        <f t="shared" si="7"/>
        <v>38.666666666666664</v>
      </c>
      <c r="T90" s="108"/>
      <c r="U90" s="109"/>
      <c r="V90" s="109"/>
    </row>
    <row r="91" spans="1:22" x14ac:dyDescent="0.2">
      <c r="A91" s="101" t="s">
        <v>218</v>
      </c>
      <c r="B91" s="102" t="s">
        <v>219</v>
      </c>
      <c r="C91" s="103" t="s">
        <v>267</v>
      </c>
      <c r="D91" s="212">
        <v>6530</v>
      </c>
      <c r="E91" s="213">
        <v>29736</v>
      </c>
      <c r="F91" s="104"/>
      <c r="G91" s="208">
        <v>3861</v>
      </c>
      <c r="H91" s="208">
        <v>21338</v>
      </c>
      <c r="I91" s="107"/>
      <c r="J91" s="208">
        <v>1756</v>
      </c>
      <c r="K91" s="208">
        <v>4503</v>
      </c>
      <c r="L91" s="110"/>
      <c r="M91" s="208">
        <v>686</v>
      </c>
      <c r="N91" s="208">
        <v>2924</v>
      </c>
      <c r="O91" s="105"/>
      <c r="P91" s="202">
        <f t="shared" si="4"/>
        <v>21.959913909066451</v>
      </c>
      <c r="Q91" s="201">
        <f t="shared" si="5"/>
        <v>18.094479332645982</v>
      </c>
      <c r="R91" s="201">
        <f t="shared" si="6"/>
        <v>38.996224739062846</v>
      </c>
      <c r="S91" s="200">
        <f t="shared" si="7"/>
        <v>23.461012311901506</v>
      </c>
      <c r="T91" s="108"/>
      <c r="U91" s="109"/>
      <c r="V91" s="109"/>
    </row>
    <row r="92" spans="1:22" x14ac:dyDescent="0.2">
      <c r="A92" s="101" t="s">
        <v>220</v>
      </c>
      <c r="B92" s="102" t="s">
        <v>221</v>
      </c>
      <c r="C92" s="103" t="s">
        <v>267</v>
      </c>
      <c r="D92" s="212">
        <v>6789</v>
      </c>
      <c r="E92" s="213">
        <v>33357</v>
      </c>
      <c r="F92" s="104"/>
      <c r="G92" s="208">
        <v>3655</v>
      </c>
      <c r="H92" s="208">
        <v>22763</v>
      </c>
      <c r="I92" s="107"/>
      <c r="J92" s="208">
        <v>2028</v>
      </c>
      <c r="K92" s="208">
        <v>5715</v>
      </c>
      <c r="L92" s="110"/>
      <c r="M92" s="208">
        <v>841</v>
      </c>
      <c r="N92" s="208">
        <v>4030</v>
      </c>
      <c r="O92" s="105"/>
      <c r="P92" s="202">
        <f t="shared" si="4"/>
        <v>20.352549689720298</v>
      </c>
      <c r="Q92" s="201">
        <f t="shared" si="5"/>
        <v>16.056758775205378</v>
      </c>
      <c r="R92" s="201">
        <f t="shared" si="6"/>
        <v>35.485564304461938</v>
      </c>
      <c r="S92" s="200">
        <f t="shared" si="7"/>
        <v>20.868486352357323</v>
      </c>
      <c r="T92" s="108"/>
      <c r="U92" s="109"/>
      <c r="V92" s="109"/>
    </row>
    <row r="93" spans="1:22" x14ac:dyDescent="0.2">
      <c r="A93" s="101" t="s">
        <v>224</v>
      </c>
      <c r="B93" s="102" t="s">
        <v>225</v>
      </c>
      <c r="C93" s="103" t="s">
        <v>264</v>
      </c>
      <c r="D93" s="212">
        <v>346</v>
      </c>
      <c r="E93" s="213">
        <v>1149</v>
      </c>
      <c r="F93" s="104"/>
      <c r="G93" s="208">
        <v>122</v>
      </c>
      <c r="H93" s="208">
        <v>613</v>
      </c>
      <c r="I93" s="107"/>
      <c r="J93" s="208">
        <v>194</v>
      </c>
      <c r="K93" s="208">
        <v>484</v>
      </c>
      <c r="L93" s="110"/>
      <c r="M93" s="208">
        <v>12</v>
      </c>
      <c r="N93" s="208">
        <v>19</v>
      </c>
      <c r="O93" s="105"/>
      <c r="P93" s="202">
        <f t="shared" si="4"/>
        <v>30.113141862489123</v>
      </c>
      <c r="Q93" s="201">
        <f t="shared" si="5"/>
        <v>19.902120717781401</v>
      </c>
      <c r="R93" s="201">
        <f t="shared" si="6"/>
        <v>40.082644628099175</v>
      </c>
      <c r="S93" s="200">
        <f t="shared" si="7"/>
        <v>63.157894736842103</v>
      </c>
      <c r="T93" s="108"/>
      <c r="U93" s="109"/>
      <c r="V93" s="109"/>
    </row>
    <row r="94" spans="1:22" x14ac:dyDescent="0.2">
      <c r="A94" s="101" t="s">
        <v>226</v>
      </c>
      <c r="B94" s="102" t="s">
        <v>227</v>
      </c>
      <c r="C94" s="103" t="s">
        <v>264</v>
      </c>
      <c r="D94" s="212">
        <v>725</v>
      </c>
      <c r="E94" s="213">
        <v>1634</v>
      </c>
      <c r="F94" s="104"/>
      <c r="G94" s="208">
        <v>174</v>
      </c>
      <c r="H94" s="208">
        <v>692</v>
      </c>
      <c r="I94" s="107"/>
      <c r="J94" s="208">
        <v>530</v>
      </c>
      <c r="K94" s="208">
        <v>881</v>
      </c>
      <c r="L94" s="110"/>
      <c r="M94" s="208">
        <v>18</v>
      </c>
      <c r="N94" s="208">
        <v>56</v>
      </c>
      <c r="O94" s="105"/>
      <c r="P94" s="202">
        <f t="shared" si="4"/>
        <v>44.369645042839657</v>
      </c>
      <c r="Q94" s="201">
        <f t="shared" si="5"/>
        <v>25.144508670520231</v>
      </c>
      <c r="R94" s="201">
        <f t="shared" si="6"/>
        <v>60.158910329171398</v>
      </c>
      <c r="S94" s="200">
        <f t="shared" si="7"/>
        <v>32.142857142857146</v>
      </c>
      <c r="T94" s="108"/>
      <c r="U94" s="109"/>
      <c r="V94" s="109"/>
    </row>
    <row r="95" spans="1:22" x14ac:dyDescent="0.2">
      <c r="A95" s="101" t="s">
        <v>228</v>
      </c>
      <c r="B95" s="102" t="s">
        <v>229</v>
      </c>
      <c r="C95" s="103" t="s">
        <v>268</v>
      </c>
      <c r="D95" s="212">
        <v>2116</v>
      </c>
      <c r="E95" s="213">
        <v>7837</v>
      </c>
      <c r="F95" s="104"/>
      <c r="G95" s="208">
        <v>1916</v>
      </c>
      <c r="H95" s="208">
        <v>7392</v>
      </c>
      <c r="I95" s="107"/>
      <c r="J95" s="208">
        <v>88</v>
      </c>
      <c r="K95" s="208">
        <v>160</v>
      </c>
      <c r="L95" s="110"/>
      <c r="M95" s="208">
        <v>19</v>
      </c>
      <c r="N95" s="208">
        <v>75</v>
      </c>
      <c r="O95" s="105"/>
      <c r="P95" s="202">
        <f t="shared" si="4"/>
        <v>27.000127599846881</v>
      </c>
      <c r="Q95" s="201">
        <f t="shared" si="5"/>
        <v>25.919913419913421</v>
      </c>
      <c r="R95" s="201">
        <f t="shared" si="6"/>
        <v>55.000000000000007</v>
      </c>
      <c r="S95" s="200">
        <f t="shared" si="7"/>
        <v>25.333333333333336</v>
      </c>
      <c r="T95" s="108"/>
      <c r="U95" s="109"/>
      <c r="V95" s="109"/>
    </row>
    <row r="96" spans="1:22" x14ac:dyDescent="0.2">
      <c r="A96" s="101" t="s">
        <v>232</v>
      </c>
      <c r="B96" s="102" t="s">
        <v>233</v>
      </c>
      <c r="C96" s="103" t="s">
        <v>267</v>
      </c>
      <c r="D96" s="212">
        <v>2070</v>
      </c>
      <c r="E96" s="213">
        <v>7925</v>
      </c>
      <c r="F96" s="104"/>
      <c r="G96" s="208">
        <v>1704</v>
      </c>
      <c r="H96" s="208">
        <v>7018</v>
      </c>
      <c r="I96" s="107"/>
      <c r="J96" s="208">
        <v>144</v>
      </c>
      <c r="K96" s="208">
        <v>291</v>
      </c>
      <c r="L96" s="110"/>
      <c r="M96" s="208">
        <v>143</v>
      </c>
      <c r="N96" s="208">
        <v>441</v>
      </c>
      <c r="O96" s="105"/>
      <c r="P96" s="202">
        <f t="shared" si="4"/>
        <v>26.119873817034701</v>
      </c>
      <c r="Q96" s="201">
        <f t="shared" si="5"/>
        <v>24.280421772584781</v>
      </c>
      <c r="R96" s="201">
        <f t="shared" si="6"/>
        <v>49.484536082474229</v>
      </c>
      <c r="S96" s="200">
        <f t="shared" si="7"/>
        <v>32.426303854875286</v>
      </c>
      <c r="T96" s="108"/>
      <c r="U96" s="109"/>
      <c r="V96" s="109"/>
    </row>
    <row r="97" spans="1:22" x14ac:dyDescent="0.2">
      <c r="A97" s="101" t="s">
        <v>234</v>
      </c>
      <c r="B97" s="102" t="s">
        <v>235</v>
      </c>
      <c r="C97" s="103" t="s">
        <v>268</v>
      </c>
      <c r="D97" s="212">
        <v>2248</v>
      </c>
      <c r="E97" s="213">
        <v>9297</v>
      </c>
      <c r="F97" s="104"/>
      <c r="G97" s="208">
        <v>2095</v>
      </c>
      <c r="H97" s="208">
        <v>8962</v>
      </c>
      <c r="I97" s="107"/>
      <c r="J97" s="208">
        <v>53</v>
      </c>
      <c r="K97" s="208">
        <v>84</v>
      </c>
      <c r="L97" s="110"/>
      <c r="M97" s="208">
        <v>79</v>
      </c>
      <c r="N97" s="208">
        <v>201</v>
      </c>
      <c r="O97" s="105"/>
      <c r="P97" s="202">
        <f t="shared" si="4"/>
        <v>24.179842960094653</v>
      </c>
      <c r="Q97" s="201">
        <f t="shared" si="5"/>
        <v>23.37647846462843</v>
      </c>
      <c r="R97" s="201">
        <f t="shared" si="6"/>
        <v>63.095238095238095</v>
      </c>
      <c r="S97" s="200">
        <f t="shared" si="7"/>
        <v>39.303482587064678</v>
      </c>
      <c r="T97" s="108"/>
      <c r="U97" s="109"/>
      <c r="V97" s="109"/>
    </row>
    <row r="98" spans="1:22" x14ac:dyDescent="0.2">
      <c r="A98" s="101" t="s">
        <v>236</v>
      </c>
      <c r="B98" s="102" t="s">
        <v>237</v>
      </c>
      <c r="C98" s="103" t="s">
        <v>266</v>
      </c>
      <c r="D98" s="212">
        <v>1006</v>
      </c>
      <c r="E98" s="213">
        <v>2739</v>
      </c>
      <c r="F98" s="104"/>
      <c r="G98" s="208">
        <v>433</v>
      </c>
      <c r="H98" s="208">
        <v>1603</v>
      </c>
      <c r="I98" s="107"/>
      <c r="J98" s="208">
        <v>458</v>
      </c>
      <c r="K98" s="208">
        <v>793</v>
      </c>
      <c r="L98" s="110"/>
      <c r="M98" s="208">
        <v>68</v>
      </c>
      <c r="N98" s="208">
        <v>302</v>
      </c>
      <c r="O98" s="105"/>
      <c r="P98" s="202">
        <f t="shared" si="4"/>
        <v>36.728733114275279</v>
      </c>
      <c r="Q98" s="201">
        <f t="shared" si="5"/>
        <v>27.011852776044915</v>
      </c>
      <c r="R98" s="201">
        <f t="shared" si="6"/>
        <v>57.755359394703653</v>
      </c>
      <c r="S98" s="200">
        <f t="shared" si="7"/>
        <v>22.516556291390728</v>
      </c>
      <c r="T98" s="108"/>
      <c r="U98" s="109"/>
      <c r="V98" s="109"/>
    </row>
    <row r="99" spans="1:22" x14ac:dyDescent="0.2">
      <c r="A99" s="101" t="s">
        <v>242</v>
      </c>
      <c r="B99" s="102" t="s">
        <v>243</v>
      </c>
      <c r="C99" s="103" t="s">
        <v>268</v>
      </c>
      <c r="D99" s="212">
        <v>2271</v>
      </c>
      <c r="E99" s="213">
        <v>7274</v>
      </c>
      <c r="F99" s="104"/>
      <c r="G99" s="208">
        <v>2128</v>
      </c>
      <c r="H99" s="208">
        <v>6976</v>
      </c>
      <c r="I99" s="107"/>
      <c r="J99" s="208">
        <v>47</v>
      </c>
      <c r="K99" s="208">
        <v>89</v>
      </c>
      <c r="L99" s="110"/>
      <c r="M99" s="208">
        <v>41</v>
      </c>
      <c r="N99" s="208">
        <v>121</v>
      </c>
      <c r="O99" s="105"/>
      <c r="P99" s="202">
        <f t="shared" si="4"/>
        <v>31.220786362386583</v>
      </c>
      <c r="Q99" s="201">
        <f t="shared" si="5"/>
        <v>30.504587155963304</v>
      </c>
      <c r="R99" s="201">
        <f t="shared" si="6"/>
        <v>52.80898876404494</v>
      </c>
      <c r="S99" s="200">
        <f t="shared" si="7"/>
        <v>33.884297520661157</v>
      </c>
      <c r="T99" s="108"/>
      <c r="U99" s="109"/>
      <c r="V99" s="109"/>
    </row>
    <row r="100" spans="1:22" x14ac:dyDescent="0.2">
      <c r="A100" s="101" t="s">
        <v>244</v>
      </c>
      <c r="B100" s="102" t="s">
        <v>245</v>
      </c>
      <c r="C100" s="103" t="s">
        <v>268</v>
      </c>
      <c r="D100" s="212">
        <v>1508</v>
      </c>
      <c r="E100" s="213">
        <v>5325</v>
      </c>
      <c r="F100" s="104"/>
      <c r="G100" s="208">
        <v>1326</v>
      </c>
      <c r="H100" s="208">
        <v>4963</v>
      </c>
      <c r="I100" s="107"/>
      <c r="J100" s="208">
        <v>94</v>
      </c>
      <c r="K100" s="208">
        <v>149</v>
      </c>
      <c r="L100" s="110"/>
      <c r="M100" s="208">
        <v>22</v>
      </c>
      <c r="N100" s="208">
        <v>83</v>
      </c>
      <c r="O100" s="105"/>
      <c r="P100" s="202">
        <f t="shared" si="4"/>
        <v>28.319248826291084</v>
      </c>
      <c r="Q100" s="201">
        <f t="shared" si="5"/>
        <v>26.717711061857745</v>
      </c>
      <c r="R100" s="201">
        <f t="shared" si="6"/>
        <v>63.087248322147651</v>
      </c>
      <c r="S100" s="200">
        <f t="shared" si="7"/>
        <v>26.506024096385545</v>
      </c>
      <c r="T100" s="108"/>
      <c r="U100" s="109"/>
      <c r="V100" s="109"/>
    </row>
    <row r="101" spans="1:22" x14ac:dyDescent="0.2">
      <c r="A101" s="101" t="s">
        <v>246</v>
      </c>
      <c r="B101" s="102" t="s">
        <v>247</v>
      </c>
      <c r="C101" s="103" t="s">
        <v>264</v>
      </c>
      <c r="D101" s="212">
        <v>3643</v>
      </c>
      <c r="E101" s="213">
        <v>18746</v>
      </c>
      <c r="F101" s="104"/>
      <c r="G101" s="208">
        <v>2415</v>
      </c>
      <c r="H101" s="208">
        <v>14197</v>
      </c>
      <c r="I101" s="107"/>
      <c r="J101" s="208">
        <v>762</v>
      </c>
      <c r="K101" s="208">
        <v>1988</v>
      </c>
      <c r="L101" s="110"/>
      <c r="M101" s="208">
        <v>268</v>
      </c>
      <c r="N101" s="208">
        <v>1170</v>
      </c>
      <c r="O101" s="105"/>
      <c r="P101" s="202">
        <f t="shared" si="4"/>
        <v>19.433479142217006</v>
      </c>
      <c r="Q101" s="201">
        <f t="shared" si="5"/>
        <v>17.010636049869689</v>
      </c>
      <c r="R101" s="201">
        <f t="shared" si="6"/>
        <v>38.329979879275655</v>
      </c>
      <c r="S101" s="200">
        <f t="shared" si="7"/>
        <v>22.905982905982906</v>
      </c>
      <c r="T101" s="108"/>
      <c r="U101" s="109"/>
      <c r="V101" s="109"/>
    </row>
    <row r="102" spans="1:22" x14ac:dyDescent="0.2">
      <c r="A102" s="101" t="s">
        <v>14</v>
      </c>
      <c r="B102" s="102" t="s">
        <v>15</v>
      </c>
      <c r="C102" s="103" t="s">
        <v>267</v>
      </c>
      <c r="D102" s="212">
        <v>6099</v>
      </c>
      <c r="E102" s="213">
        <v>21259</v>
      </c>
      <c r="F102" s="104"/>
      <c r="G102" s="208">
        <v>1819</v>
      </c>
      <c r="H102" s="208">
        <v>11110</v>
      </c>
      <c r="I102" s="107"/>
      <c r="J102" s="208">
        <v>2819</v>
      </c>
      <c r="K102" s="208">
        <v>5285</v>
      </c>
      <c r="L102" s="110"/>
      <c r="M102" s="208">
        <v>1768</v>
      </c>
      <c r="N102" s="208">
        <v>4639</v>
      </c>
      <c r="O102" s="105"/>
      <c r="P102" s="202">
        <f t="shared" si="4"/>
        <v>28.689025824356744</v>
      </c>
      <c r="Q102" s="201">
        <f t="shared" si="5"/>
        <v>16.372637263726372</v>
      </c>
      <c r="R102" s="201">
        <f t="shared" si="6"/>
        <v>53.33964049195837</v>
      </c>
      <c r="S102" s="200">
        <f t="shared" si="7"/>
        <v>38.111661996119857</v>
      </c>
      <c r="T102" s="108"/>
      <c r="U102" s="109"/>
      <c r="V102" s="109"/>
    </row>
    <row r="103" spans="1:22" x14ac:dyDescent="0.2">
      <c r="A103" s="101" t="s">
        <v>34</v>
      </c>
      <c r="B103" s="102" t="s">
        <v>35</v>
      </c>
      <c r="C103" s="103" t="s">
        <v>268</v>
      </c>
      <c r="D103" s="212">
        <v>1324</v>
      </c>
      <c r="E103" s="213">
        <v>3160</v>
      </c>
      <c r="F103" s="104"/>
      <c r="G103" s="208">
        <v>1051</v>
      </c>
      <c r="H103" s="208">
        <v>2720</v>
      </c>
      <c r="I103" s="107"/>
      <c r="J103" s="208">
        <v>138</v>
      </c>
      <c r="K103" s="208">
        <v>212</v>
      </c>
      <c r="L103" s="110"/>
      <c r="M103" s="208">
        <v>44</v>
      </c>
      <c r="N103" s="208">
        <v>67</v>
      </c>
      <c r="O103" s="105"/>
      <c r="P103" s="202">
        <f t="shared" si="4"/>
        <v>41.898734177215189</v>
      </c>
      <c r="Q103" s="201">
        <f t="shared" si="5"/>
        <v>38.639705882352942</v>
      </c>
      <c r="R103" s="201">
        <f t="shared" si="6"/>
        <v>65.094339622641513</v>
      </c>
      <c r="S103" s="200">
        <f t="shared" si="7"/>
        <v>65.671641791044777</v>
      </c>
      <c r="T103" s="108"/>
      <c r="U103" s="109"/>
      <c r="V103" s="109"/>
    </row>
    <row r="104" spans="1:22" x14ac:dyDescent="0.2">
      <c r="A104" s="101" t="s">
        <v>52</v>
      </c>
      <c r="B104" s="102" t="s">
        <v>53</v>
      </c>
      <c r="C104" s="103" t="s">
        <v>265</v>
      </c>
      <c r="D104" s="212">
        <v>2163</v>
      </c>
      <c r="E104" s="213">
        <v>5586</v>
      </c>
      <c r="F104" s="104"/>
      <c r="G104" s="208">
        <v>660</v>
      </c>
      <c r="H104" s="208">
        <v>3177</v>
      </c>
      <c r="I104" s="107"/>
      <c r="J104" s="208">
        <v>1258</v>
      </c>
      <c r="K104" s="208">
        <v>1629</v>
      </c>
      <c r="L104" s="110"/>
      <c r="M104" s="208">
        <v>160</v>
      </c>
      <c r="N104" s="208">
        <v>429</v>
      </c>
      <c r="O104" s="105"/>
      <c r="P104" s="202">
        <f t="shared" si="4"/>
        <v>38.721804511278194</v>
      </c>
      <c r="Q104" s="201">
        <f t="shared" si="5"/>
        <v>20.774315391879131</v>
      </c>
      <c r="R104" s="201">
        <f t="shared" si="6"/>
        <v>77.225291589932482</v>
      </c>
      <c r="S104" s="200">
        <f t="shared" si="7"/>
        <v>37.296037296037298</v>
      </c>
      <c r="T104" s="108"/>
      <c r="U104" s="109"/>
      <c r="V104" s="109"/>
    </row>
    <row r="105" spans="1:22" x14ac:dyDescent="0.2">
      <c r="A105" s="101" t="s">
        <v>54</v>
      </c>
      <c r="B105" s="102" t="s">
        <v>55</v>
      </c>
      <c r="C105" s="103" t="s">
        <v>264</v>
      </c>
      <c r="D105" s="212">
        <v>14601</v>
      </c>
      <c r="E105" s="213">
        <v>50056</v>
      </c>
      <c r="F105" s="104"/>
      <c r="G105" s="208">
        <v>5508</v>
      </c>
      <c r="H105" s="208">
        <v>29895</v>
      </c>
      <c r="I105" s="107"/>
      <c r="J105" s="208">
        <v>7658</v>
      </c>
      <c r="K105" s="208">
        <v>14588</v>
      </c>
      <c r="L105" s="110"/>
      <c r="M105" s="208">
        <v>917</v>
      </c>
      <c r="N105" s="208">
        <v>3205</v>
      </c>
      <c r="O105" s="105"/>
      <c r="P105" s="202">
        <f t="shared" si="4"/>
        <v>29.169330350007993</v>
      </c>
      <c r="Q105" s="201">
        <f t="shared" si="5"/>
        <v>18.424485699949823</v>
      </c>
      <c r="R105" s="201">
        <f t="shared" si="6"/>
        <v>52.495201535508642</v>
      </c>
      <c r="S105" s="200">
        <f t="shared" si="7"/>
        <v>28.611544461778472</v>
      </c>
      <c r="T105" s="108"/>
      <c r="U105" s="109"/>
      <c r="V105" s="109"/>
    </row>
    <row r="106" spans="1:22" x14ac:dyDescent="0.2">
      <c r="A106" s="101" t="s">
        <v>66</v>
      </c>
      <c r="B106" s="102" t="s">
        <v>67</v>
      </c>
      <c r="C106" s="103" t="s">
        <v>265</v>
      </c>
      <c r="D106" s="212">
        <v>4439</v>
      </c>
      <c r="E106" s="213">
        <v>7583</v>
      </c>
      <c r="F106" s="104"/>
      <c r="G106" s="208">
        <v>870</v>
      </c>
      <c r="H106" s="208">
        <v>2468</v>
      </c>
      <c r="I106" s="107"/>
      <c r="J106" s="208">
        <v>3318</v>
      </c>
      <c r="K106" s="208">
        <v>4519</v>
      </c>
      <c r="L106" s="110"/>
      <c r="M106" s="208">
        <v>139</v>
      </c>
      <c r="N106" s="208">
        <v>421</v>
      </c>
      <c r="O106" s="105"/>
      <c r="P106" s="202">
        <f t="shared" si="4"/>
        <v>58.538836871950416</v>
      </c>
      <c r="Q106" s="201">
        <f t="shared" si="5"/>
        <v>35.25121555915721</v>
      </c>
      <c r="R106" s="201">
        <f t="shared" si="6"/>
        <v>73.423323744191194</v>
      </c>
      <c r="S106" s="200">
        <f t="shared" si="7"/>
        <v>33.016627078384801</v>
      </c>
      <c r="T106" s="108"/>
      <c r="U106" s="109"/>
      <c r="V106" s="109"/>
    </row>
    <row r="107" spans="1:22" x14ac:dyDescent="0.2">
      <c r="A107" s="101" t="s">
        <v>82</v>
      </c>
      <c r="B107" s="102" t="s">
        <v>311</v>
      </c>
      <c r="C107" s="103" t="s">
        <v>264</v>
      </c>
      <c r="D107" s="212">
        <v>919</v>
      </c>
      <c r="E107" s="213">
        <v>1745</v>
      </c>
      <c r="F107" s="104"/>
      <c r="G107" s="208">
        <v>104</v>
      </c>
      <c r="H107" s="208">
        <v>535</v>
      </c>
      <c r="I107" s="107"/>
      <c r="J107" s="208">
        <v>767</v>
      </c>
      <c r="K107" s="208">
        <v>1085</v>
      </c>
      <c r="L107" s="110"/>
      <c r="M107" s="208">
        <v>17</v>
      </c>
      <c r="N107" s="208">
        <v>51</v>
      </c>
      <c r="O107" s="105"/>
      <c r="P107" s="202">
        <f t="shared" si="4"/>
        <v>52.664756446991404</v>
      </c>
      <c r="Q107" s="201">
        <f t="shared" si="5"/>
        <v>19.439252336448597</v>
      </c>
      <c r="R107" s="201">
        <f t="shared" si="6"/>
        <v>70.691244239631331</v>
      </c>
      <c r="S107" s="200">
        <f t="shared" si="7"/>
        <v>33.333333333333329</v>
      </c>
      <c r="T107" s="108"/>
      <c r="U107" s="109"/>
      <c r="V107" s="109"/>
    </row>
    <row r="108" spans="1:22" x14ac:dyDescent="0.2">
      <c r="A108" s="101" t="s">
        <v>88</v>
      </c>
      <c r="B108" s="102" t="s">
        <v>89</v>
      </c>
      <c r="C108" s="103" t="s">
        <v>267</v>
      </c>
      <c r="D108" s="212">
        <v>1818</v>
      </c>
      <c r="E108" s="213">
        <v>4129</v>
      </c>
      <c r="F108" s="104"/>
      <c r="G108" s="208">
        <v>613</v>
      </c>
      <c r="H108" s="208">
        <v>1974</v>
      </c>
      <c r="I108" s="107"/>
      <c r="J108" s="208">
        <v>857</v>
      </c>
      <c r="K108" s="208">
        <v>1294</v>
      </c>
      <c r="L108" s="110"/>
      <c r="M108" s="208">
        <v>282</v>
      </c>
      <c r="N108" s="208">
        <v>689</v>
      </c>
      <c r="O108" s="105"/>
      <c r="P108" s="202">
        <f t="shared" si="4"/>
        <v>44.030031484620977</v>
      </c>
      <c r="Q108" s="201">
        <f t="shared" si="5"/>
        <v>31.053698074974672</v>
      </c>
      <c r="R108" s="201">
        <f t="shared" si="6"/>
        <v>66.228748068006183</v>
      </c>
      <c r="S108" s="200">
        <f t="shared" si="7"/>
        <v>40.9288824383164</v>
      </c>
      <c r="T108" s="108"/>
      <c r="U108" s="109"/>
      <c r="V108" s="109"/>
    </row>
    <row r="109" spans="1:22" x14ac:dyDescent="0.2">
      <c r="A109" s="101" t="s">
        <v>90</v>
      </c>
      <c r="B109" s="102" t="s">
        <v>91</v>
      </c>
      <c r="C109" s="103" t="s">
        <v>268</v>
      </c>
      <c r="D109" s="212">
        <v>524</v>
      </c>
      <c r="E109" s="213">
        <v>1339</v>
      </c>
      <c r="F109" s="104"/>
      <c r="G109" s="208">
        <v>356</v>
      </c>
      <c r="H109" s="208">
        <v>1010</v>
      </c>
      <c r="I109" s="107"/>
      <c r="J109" s="208">
        <v>67</v>
      </c>
      <c r="K109" s="208">
        <v>104</v>
      </c>
      <c r="L109" s="110"/>
      <c r="M109" s="208">
        <v>156</v>
      </c>
      <c r="N109" s="208">
        <v>385</v>
      </c>
      <c r="O109" s="105"/>
      <c r="P109" s="202">
        <f t="shared" si="4"/>
        <v>39.133681852128454</v>
      </c>
      <c r="Q109" s="201">
        <f t="shared" si="5"/>
        <v>35.247524752475243</v>
      </c>
      <c r="R109" s="201">
        <f t="shared" si="6"/>
        <v>64.423076923076934</v>
      </c>
      <c r="S109" s="200">
        <f t="shared" si="7"/>
        <v>40.519480519480524</v>
      </c>
      <c r="T109" s="108"/>
      <c r="U109" s="109"/>
      <c r="V109" s="109"/>
    </row>
    <row r="110" spans="1:22" x14ac:dyDescent="0.2">
      <c r="A110" s="101" t="s">
        <v>106</v>
      </c>
      <c r="B110" s="102" t="s">
        <v>107</v>
      </c>
      <c r="C110" s="103" t="s">
        <v>264</v>
      </c>
      <c r="D110" s="212">
        <v>11547</v>
      </c>
      <c r="E110" s="213">
        <v>26282</v>
      </c>
      <c r="F110" s="104"/>
      <c r="G110" s="208">
        <v>2332</v>
      </c>
      <c r="H110" s="208">
        <v>9333</v>
      </c>
      <c r="I110" s="107"/>
      <c r="J110" s="208">
        <v>8024</v>
      </c>
      <c r="K110" s="208">
        <v>13815</v>
      </c>
      <c r="L110" s="110"/>
      <c r="M110" s="208">
        <v>695</v>
      </c>
      <c r="N110" s="208">
        <v>1857</v>
      </c>
      <c r="O110" s="105"/>
      <c r="P110" s="202">
        <f t="shared" si="4"/>
        <v>43.935012556122061</v>
      </c>
      <c r="Q110" s="201">
        <f t="shared" si="5"/>
        <v>24.986606664523734</v>
      </c>
      <c r="R110" s="201">
        <f t="shared" si="6"/>
        <v>58.081795150199056</v>
      </c>
      <c r="S110" s="200">
        <f t="shared" si="7"/>
        <v>37.425955842757133</v>
      </c>
      <c r="T110" s="108"/>
      <c r="U110" s="109"/>
      <c r="V110" s="109"/>
    </row>
    <row r="111" spans="1:22" x14ac:dyDescent="0.2">
      <c r="A111" s="101" t="s">
        <v>116</v>
      </c>
      <c r="B111" s="102" t="s">
        <v>117</v>
      </c>
      <c r="C111" s="103" t="s">
        <v>266</v>
      </c>
      <c r="D111" s="212">
        <v>2546</v>
      </c>
      <c r="E111" s="213">
        <v>4601</v>
      </c>
      <c r="F111" s="104"/>
      <c r="G111" s="208">
        <v>722</v>
      </c>
      <c r="H111" s="208">
        <v>1938</v>
      </c>
      <c r="I111" s="107"/>
      <c r="J111" s="208">
        <v>1574</v>
      </c>
      <c r="K111" s="208">
        <v>2141</v>
      </c>
      <c r="L111" s="110"/>
      <c r="M111" s="208">
        <v>162</v>
      </c>
      <c r="N111" s="208">
        <v>417</v>
      </c>
      <c r="O111" s="105"/>
      <c r="P111" s="202">
        <f t="shared" si="4"/>
        <v>55.335796565963925</v>
      </c>
      <c r="Q111" s="201">
        <f t="shared" si="5"/>
        <v>37.254901960784316</v>
      </c>
      <c r="R111" s="201">
        <f t="shared" si="6"/>
        <v>73.517048108360584</v>
      </c>
      <c r="S111" s="200">
        <f t="shared" si="7"/>
        <v>38.848920863309353</v>
      </c>
      <c r="T111" s="108"/>
      <c r="U111" s="109"/>
      <c r="V111" s="109"/>
    </row>
    <row r="112" spans="1:22" x14ac:dyDescent="0.2">
      <c r="A112" s="101" t="s">
        <v>138</v>
      </c>
      <c r="B112" s="102" t="s">
        <v>139</v>
      </c>
      <c r="C112" s="103" t="s">
        <v>265</v>
      </c>
      <c r="D112" s="212">
        <v>5474</v>
      </c>
      <c r="E112" s="213">
        <v>12801</v>
      </c>
      <c r="F112" s="104"/>
      <c r="G112" s="208">
        <v>1492</v>
      </c>
      <c r="H112" s="208">
        <v>6542</v>
      </c>
      <c r="I112" s="107"/>
      <c r="J112" s="208">
        <v>3493</v>
      </c>
      <c r="K112" s="208">
        <v>4881</v>
      </c>
      <c r="L112" s="110"/>
      <c r="M112" s="208">
        <v>194</v>
      </c>
      <c r="N112" s="208">
        <v>518</v>
      </c>
      <c r="O112" s="105"/>
      <c r="P112" s="202">
        <f t="shared" si="4"/>
        <v>42.762284196547142</v>
      </c>
      <c r="Q112" s="201">
        <f t="shared" si="5"/>
        <v>22.806481198410271</v>
      </c>
      <c r="R112" s="201">
        <f t="shared" si="6"/>
        <v>71.563204261421845</v>
      </c>
      <c r="S112" s="200">
        <f t="shared" si="7"/>
        <v>37.451737451737451</v>
      </c>
      <c r="T112" s="108"/>
      <c r="U112" s="109"/>
      <c r="V112" s="109"/>
    </row>
    <row r="113" spans="1:22" x14ac:dyDescent="0.2">
      <c r="A113" s="101" t="s">
        <v>142</v>
      </c>
      <c r="B113" s="102" t="s">
        <v>143</v>
      </c>
      <c r="C113" s="103" t="s">
        <v>267</v>
      </c>
      <c r="D113" s="212">
        <v>2509</v>
      </c>
      <c r="E113" s="213">
        <v>9107</v>
      </c>
      <c r="F113" s="104"/>
      <c r="G113" s="208">
        <v>1103</v>
      </c>
      <c r="H113" s="208">
        <v>5076</v>
      </c>
      <c r="I113" s="107"/>
      <c r="J113" s="208">
        <v>606</v>
      </c>
      <c r="K113" s="208">
        <v>1202</v>
      </c>
      <c r="L113" s="110"/>
      <c r="M113" s="208">
        <v>956</v>
      </c>
      <c r="N113" s="208">
        <v>3653</v>
      </c>
      <c r="O113" s="105"/>
      <c r="P113" s="202">
        <f t="shared" si="4"/>
        <v>27.550236082134621</v>
      </c>
      <c r="Q113" s="201">
        <f t="shared" si="5"/>
        <v>21.729708431836091</v>
      </c>
      <c r="R113" s="201">
        <f t="shared" si="6"/>
        <v>50.415973377703828</v>
      </c>
      <c r="S113" s="200">
        <f t="shared" si="7"/>
        <v>26.170271010128658</v>
      </c>
      <c r="T113" s="108"/>
      <c r="U113" s="109"/>
      <c r="V113" s="109"/>
    </row>
    <row r="114" spans="1:22" x14ac:dyDescent="0.2">
      <c r="A114" s="101" t="s">
        <v>144</v>
      </c>
      <c r="B114" s="102" t="s">
        <v>145</v>
      </c>
      <c r="C114" s="103" t="s">
        <v>267</v>
      </c>
      <c r="D114" s="212">
        <v>818</v>
      </c>
      <c r="E114" s="213">
        <v>3427</v>
      </c>
      <c r="F114" s="104"/>
      <c r="G114" s="208">
        <v>394</v>
      </c>
      <c r="H114" s="208">
        <v>1745</v>
      </c>
      <c r="I114" s="107"/>
      <c r="J114" s="208">
        <v>165</v>
      </c>
      <c r="K114" s="208">
        <v>437</v>
      </c>
      <c r="L114" s="110"/>
      <c r="M114" s="208">
        <v>319</v>
      </c>
      <c r="N114" s="208">
        <v>1325</v>
      </c>
      <c r="O114" s="105"/>
      <c r="P114" s="202">
        <f t="shared" si="4"/>
        <v>23.869273416982782</v>
      </c>
      <c r="Q114" s="201">
        <f t="shared" si="5"/>
        <v>22.578796561604584</v>
      </c>
      <c r="R114" s="201">
        <f t="shared" si="6"/>
        <v>37.757437070938217</v>
      </c>
      <c r="S114" s="200">
        <f t="shared" si="7"/>
        <v>24.075471698113208</v>
      </c>
      <c r="T114" s="108"/>
      <c r="U114" s="109"/>
      <c r="V114" s="109"/>
    </row>
    <row r="115" spans="1:22" x14ac:dyDescent="0.2">
      <c r="A115" s="101" t="s">
        <v>158</v>
      </c>
      <c r="B115" s="102" t="s">
        <v>159</v>
      </c>
      <c r="C115" s="103" t="s">
        <v>264</v>
      </c>
      <c r="D115" s="212">
        <v>16909</v>
      </c>
      <c r="E115" s="213">
        <v>38118</v>
      </c>
      <c r="F115" s="104"/>
      <c r="G115" s="208">
        <v>3558</v>
      </c>
      <c r="H115" s="208">
        <v>14677</v>
      </c>
      <c r="I115" s="107"/>
      <c r="J115" s="208">
        <v>11205</v>
      </c>
      <c r="K115" s="208">
        <v>17808</v>
      </c>
      <c r="L115" s="110"/>
      <c r="M115" s="208">
        <v>1543</v>
      </c>
      <c r="N115" s="208">
        <v>4095</v>
      </c>
      <c r="O115" s="105"/>
      <c r="P115" s="202">
        <f t="shared" si="4"/>
        <v>44.359620126974129</v>
      </c>
      <c r="Q115" s="201">
        <f t="shared" si="5"/>
        <v>24.242011310213261</v>
      </c>
      <c r="R115" s="201">
        <f t="shared" si="6"/>
        <v>62.921159029649601</v>
      </c>
      <c r="S115" s="200">
        <f t="shared" si="7"/>
        <v>37.680097680097681</v>
      </c>
      <c r="T115" s="108"/>
      <c r="U115" s="109"/>
      <c r="V115" s="109"/>
    </row>
    <row r="116" spans="1:22" x14ac:dyDescent="0.2">
      <c r="A116" s="101" t="s">
        <v>160</v>
      </c>
      <c r="B116" s="102" t="s">
        <v>161</v>
      </c>
      <c r="C116" s="103" t="s">
        <v>264</v>
      </c>
      <c r="D116" s="212">
        <v>20474</v>
      </c>
      <c r="E116" s="213">
        <v>42273</v>
      </c>
      <c r="F116" s="104"/>
      <c r="G116" s="208">
        <v>4007</v>
      </c>
      <c r="H116" s="208">
        <v>15462</v>
      </c>
      <c r="I116" s="107"/>
      <c r="J116" s="208">
        <v>14354</v>
      </c>
      <c r="K116" s="208">
        <v>21188</v>
      </c>
      <c r="L116" s="110"/>
      <c r="M116" s="208">
        <v>1485</v>
      </c>
      <c r="N116" s="208">
        <v>3750</v>
      </c>
      <c r="O116" s="105"/>
      <c r="P116" s="202">
        <f t="shared" si="4"/>
        <v>48.43280580985499</v>
      </c>
      <c r="Q116" s="201">
        <f t="shared" si="5"/>
        <v>25.915146811537966</v>
      </c>
      <c r="R116" s="201">
        <f t="shared" si="6"/>
        <v>67.745893902208792</v>
      </c>
      <c r="S116" s="200">
        <f t="shared" si="7"/>
        <v>39.6</v>
      </c>
      <c r="T116" s="108"/>
      <c r="U116" s="109"/>
      <c r="V116" s="109"/>
    </row>
    <row r="117" spans="1:22" x14ac:dyDescent="0.2">
      <c r="A117" s="101" t="s">
        <v>166</v>
      </c>
      <c r="B117" s="102" t="s">
        <v>167</v>
      </c>
      <c r="C117" s="103" t="s">
        <v>268</v>
      </c>
      <c r="D117" s="212">
        <v>345</v>
      </c>
      <c r="E117" s="213">
        <v>733</v>
      </c>
      <c r="F117" s="104"/>
      <c r="G117" s="208">
        <v>258</v>
      </c>
      <c r="H117" s="208">
        <v>598</v>
      </c>
      <c r="I117" s="107"/>
      <c r="J117" s="208">
        <v>39</v>
      </c>
      <c r="K117" s="208">
        <v>57</v>
      </c>
      <c r="L117" s="110"/>
      <c r="M117" s="208">
        <v>14</v>
      </c>
      <c r="N117" s="208">
        <v>18</v>
      </c>
      <c r="O117" s="105"/>
      <c r="P117" s="202">
        <f t="shared" si="4"/>
        <v>47.066848567530698</v>
      </c>
      <c r="Q117" s="201">
        <f t="shared" si="5"/>
        <v>43.143812709030101</v>
      </c>
      <c r="R117" s="201">
        <f t="shared" si="6"/>
        <v>68.421052631578945</v>
      </c>
      <c r="S117" s="200">
        <f t="shared" si="7"/>
        <v>77.777777777777786</v>
      </c>
      <c r="T117" s="108"/>
      <c r="U117" s="109"/>
      <c r="V117" s="109"/>
    </row>
    <row r="118" spans="1:22" x14ac:dyDescent="0.2">
      <c r="A118" s="101" t="s">
        <v>176</v>
      </c>
      <c r="B118" s="102" t="s">
        <v>177</v>
      </c>
      <c r="C118" s="103" t="s">
        <v>266</v>
      </c>
      <c r="D118" s="212">
        <v>3407</v>
      </c>
      <c r="E118" s="213">
        <v>4980</v>
      </c>
      <c r="F118" s="104"/>
      <c r="G118" s="208">
        <v>162</v>
      </c>
      <c r="H118" s="208">
        <v>403</v>
      </c>
      <c r="I118" s="107"/>
      <c r="J118" s="208">
        <v>3058</v>
      </c>
      <c r="K118" s="208">
        <v>4173</v>
      </c>
      <c r="L118" s="110"/>
      <c r="M118" s="208">
        <v>125</v>
      </c>
      <c r="N118" s="208">
        <v>319</v>
      </c>
      <c r="O118" s="105"/>
      <c r="P118" s="202">
        <f t="shared" si="4"/>
        <v>68.413654618473899</v>
      </c>
      <c r="Q118" s="201">
        <f t="shared" si="5"/>
        <v>40.198511166253105</v>
      </c>
      <c r="R118" s="201">
        <f t="shared" si="6"/>
        <v>73.280613467529349</v>
      </c>
      <c r="S118" s="200">
        <f t="shared" si="7"/>
        <v>39.184952978056423</v>
      </c>
      <c r="T118" s="108"/>
      <c r="U118" s="109"/>
      <c r="V118" s="109"/>
    </row>
    <row r="119" spans="1:22" x14ac:dyDescent="0.2">
      <c r="A119" s="101" t="s">
        <v>180</v>
      </c>
      <c r="B119" s="102" t="s">
        <v>181</v>
      </c>
      <c r="C119" s="103" t="s">
        <v>264</v>
      </c>
      <c r="D119" s="212">
        <v>9017</v>
      </c>
      <c r="E119" s="213">
        <v>18131</v>
      </c>
      <c r="F119" s="104"/>
      <c r="G119" s="208">
        <v>1561</v>
      </c>
      <c r="H119" s="208">
        <v>6070</v>
      </c>
      <c r="I119" s="107"/>
      <c r="J119" s="208">
        <v>6830</v>
      </c>
      <c r="K119" s="208">
        <v>10644</v>
      </c>
      <c r="L119" s="110"/>
      <c r="M119" s="208">
        <v>330</v>
      </c>
      <c r="N119" s="208">
        <v>793</v>
      </c>
      <c r="O119" s="105"/>
      <c r="P119" s="202">
        <f t="shared" si="4"/>
        <v>49.732502344051625</v>
      </c>
      <c r="Q119" s="201">
        <f t="shared" si="5"/>
        <v>25.716639209225701</v>
      </c>
      <c r="R119" s="201">
        <f t="shared" si="6"/>
        <v>64.167606163096579</v>
      </c>
      <c r="S119" s="200">
        <f t="shared" si="7"/>
        <v>41.614123581336699</v>
      </c>
      <c r="T119" s="108"/>
      <c r="U119" s="109"/>
      <c r="V119" s="109"/>
    </row>
    <row r="120" spans="1:22" x14ac:dyDescent="0.2">
      <c r="A120" s="101" t="s">
        <v>192</v>
      </c>
      <c r="B120" s="102" t="s">
        <v>193</v>
      </c>
      <c r="C120" s="103" t="s">
        <v>268</v>
      </c>
      <c r="D120" s="212">
        <v>721</v>
      </c>
      <c r="E120" s="213">
        <v>1931</v>
      </c>
      <c r="F120" s="104"/>
      <c r="G120" s="208">
        <v>509</v>
      </c>
      <c r="H120" s="208">
        <v>1578</v>
      </c>
      <c r="I120" s="107"/>
      <c r="J120" s="208">
        <v>123</v>
      </c>
      <c r="K120" s="208">
        <v>175</v>
      </c>
      <c r="L120" s="110"/>
      <c r="M120" s="208">
        <v>26</v>
      </c>
      <c r="N120" s="208">
        <v>45</v>
      </c>
      <c r="O120" s="105"/>
      <c r="P120" s="202">
        <f t="shared" si="4"/>
        <v>37.338166752977727</v>
      </c>
      <c r="Q120" s="201">
        <f t="shared" si="5"/>
        <v>32.256020278833972</v>
      </c>
      <c r="R120" s="201">
        <f t="shared" si="6"/>
        <v>70.285714285714278</v>
      </c>
      <c r="S120" s="200">
        <f t="shared" si="7"/>
        <v>57.777777777777771</v>
      </c>
      <c r="T120" s="108"/>
      <c r="U120" s="109"/>
      <c r="V120" s="109"/>
    </row>
    <row r="121" spans="1:22" x14ac:dyDescent="0.2">
      <c r="A121" s="101" t="s">
        <v>196</v>
      </c>
      <c r="B121" s="102" t="s">
        <v>312</v>
      </c>
      <c r="C121" s="103" t="s">
        <v>266</v>
      </c>
      <c r="D121" s="212">
        <v>18322</v>
      </c>
      <c r="E121" s="213">
        <v>31305</v>
      </c>
      <c r="F121" s="104"/>
      <c r="G121" s="208">
        <v>1555</v>
      </c>
      <c r="H121" s="208">
        <v>8307</v>
      </c>
      <c r="I121" s="107"/>
      <c r="J121" s="208">
        <v>15392</v>
      </c>
      <c r="K121" s="208">
        <v>19914</v>
      </c>
      <c r="L121" s="110"/>
      <c r="M121" s="208">
        <v>1145</v>
      </c>
      <c r="N121" s="208">
        <v>2711</v>
      </c>
      <c r="O121" s="105"/>
      <c r="P121" s="202">
        <f t="shared" si="4"/>
        <v>58.52739179044881</v>
      </c>
      <c r="Q121" s="201">
        <f t="shared" si="5"/>
        <v>18.719152521969423</v>
      </c>
      <c r="R121" s="201">
        <f t="shared" si="6"/>
        <v>77.292357135683446</v>
      </c>
      <c r="S121" s="200">
        <f t="shared" si="7"/>
        <v>42.235337513832533</v>
      </c>
      <c r="T121" s="108"/>
      <c r="U121" s="109"/>
      <c r="V121" s="109"/>
    </row>
    <row r="122" spans="1:22" x14ac:dyDescent="0.2">
      <c r="A122" s="101" t="s">
        <v>200</v>
      </c>
      <c r="B122" s="102" t="s">
        <v>313</v>
      </c>
      <c r="C122" s="103" t="s">
        <v>265</v>
      </c>
      <c r="D122" s="212">
        <v>8836</v>
      </c>
      <c r="E122" s="213">
        <v>17849</v>
      </c>
      <c r="F122" s="104"/>
      <c r="G122" s="208">
        <v>3165</v>
      </c>
      <c r="H122" s="208">
        <v>9224</v>
      </c>
      <c r="I122" s="107"/>
      <c r="J122" s="208">
        <v>4457</v>
      </c>
      <c r="K122" s="208">
        <v>6273</v>
      </c>
      <c r="L122" s="110"/>
      <c r="M122" s="208">
        <v>699</v>
      </c>
      <c r="N122" s="208">
        <v>1535</v>
      </c>
      <c r="O122" s="105"/>
      <c r="P122" s="202">
        <f t="shared" si="4"/>
        <v>49.5041739032999</v>
      </c>
      <c r="Q122" s="201">
        <f t="shared" si="5"/>
        <v>34.31266261925412</v>
      </c>
      <c r="R122" s="201">
        <f t="shared" si="6"/>
        <v>71.050534034752104</v>
      </c>
      <c r="S122" s="200">
        <f t="shared" si="7"/>
        <v>45.537459283387619</v>
      </c>
      <c r="T122" s="108"/>
      <c r="U122" s="109"/>
      <c r="V122" s="109"/>
    </row>
    <row r="123" spans="1:22" x14ac:dyDescent="0.2">
      <c r="A123" s="101" t="s">
        <v>222</v>
      </c>
      <c r="B123" s="102" t="s">
        <v>223</v>
      </c>
      <c r="C123" s="103" t="s">
        <v>264</v>
      </c>
      <c r="D123" s="212">
        <v>5891</v>
      </c>
      <c r="E123" s="213">
        <v>19024</v>
      </c>
      <c r="F123" s="104"/>
      <c r="G123" s="208">
        <v>1476</v>
      </c>
      <c r="H123" s="208">
        <v>9054</v>
      </c>
      <c r="I123" s="107"/>
      <c r="J123" s="208">
        <v>4058</v>
      </c>
      <c r="K123" s="208">
        <v>8404</v>
      </c>
      <c r="L123" s="110"/>
      <c r="M123" s="208">
        <v>217</v>
      </c>
      <c r="N123" s="208">
        <v>828</v>
      </c>
      <c r="O123" s="105"/>
      <c r="P123" s="202">
        <f t="shared" si="4"/>
        <v>30.966148023549202</v>
      </c>
      <c r="Q123" s="201">
        <f t="shared" si="5"/>
        <v>16.302186878727635</v>
      </c>
      <c r="R123" s="201">
        <f t="shared" si="6"/>
        <v>48.286530223703004</v>
      </c>
      <c r="S123" s="200">
        <f t="shared" si="7"/>
        <v>26.207729468599034</v>
      </c>
      <c r="T123" s="108"/>
      <c r="U123" s="109"/>
      <c r="V123" s="109"/>
    </row>
    <row r="124" spans="1:22" x14ac:dyDescent="0.2">
      <c r="A124" s="101" t="s">
        <v>230</v>
      </c>
      <c r="B124" s="102" t="s">
        <v>231</v>
      </c>
      <c r="C124" s="103" t="s">
        <v>264</v>
      </c>
      <c r="D124" s="212">
        <v>27662</v>
      </c>
      <c r="E124" s="213">
        <v>93307</v>
      </c>
      <c r="F124" s="104"/>
      <c r="G124" s="208">
        <v>12802</v>
      </c>
      <c r="H124" s="208">
        <v>57570</v>
      </c>
      <c r="I124" s="107"/>
      <c r="J124" s="208">
        <v>10389</v>
      </c>
      <c r="K124" s="208">
        <v>19927</v>
      </c>
      <c r="L124" s="110"/>
      <c r="M124" s="208">
        <v>3040</v>
      </c>
      <c r="N124" s="208">
        <v>9133</v>
      </c>
      <c r="O124" s="105"/>
      <c r="P124" s="202">
        <f t="shared" si="4"/>
        <v>29.646221612526389</v>
      </c>
      <c r="Q124" s="201">
        <f t="shared" si="5"/>
        <v>22.237276359214871</v>
      </c>
      <c r="R124" s="201">
        <f t="shared" si="6"/>
        <v>52.135293822451942</v>
      </c>
      <c r="S124" s="200">
        <f t="shared" si="7"/>
        <v>33.285886346217012</v>
      </c>
      <c r="T124" s="108"/>
      <c r="U124" s="109"/>
      <c r="V124" s="109"/>
    </row>
    <row r="125" spans="1:22" x14ac:dyDescent="0.2">
      <c r="A125" s="101" t="s">
        <v>238</v>
      </c>
      <c r="B125" s="102" t="s">
        <v>239</v>
      </c>
      <c r="C125" s="103" t="s">
        <v>264</v>
      </c>
      <c r="D125" s="212">
        <v>464</v>
      </c>
      <c r="E125" s="213">
        <v>1231</v>
      </c>
      <c r="F125" s="104"/>
      <c r="G125" s="208">
        <v>179</v>
      </c>
      <c r="H125" s="208">
        <v>722</v>
      </c>
      <c r="I125" s="107"/>
      <c r="J125" s="208">
        <v>200</v>
      </c>
      <c r="K125" s="208">
        <v>295</v>
      </c>
      <c r="L125" s="110"/>
      <c r="M125" s="208">
        <v>57</v>
      </c>
      <c r="N125" s="208">
        <v>146</v>
      </c>
      <c r="O125" s="105"/>
      <c r="P125" s="202">
        <f t="shared" si="4"/>
        <v>37.692932575142166</v>
      </c>
      <c r="Q125" s="201">
        <f t="shared" si="5"/>
        <v>24.792243767313018</v>
      </c>
      <c r="R125" s="201">
        <f t="shared" si="6"/>
        <v>67.796610169491515</v>
      </c>
      <c r="S125" s="200">
        <f t="shared" si="7"/>
        <v>39.041095890410958</v>
      </c>
      <c r="T125" s="108"/>
      <c r="U125" s="109"/>
      <c r="V125" s="109"/>
    </row>
    <row r="126" spans="1:22" x14ac:dyDescent="0.2">
      <c r="A126" s="165" t="s">
        <v>240</v>
      </c>
      <c r="B126" s="166" t="s">
        <v>241</v>
      </c>
      <c r="C126" s="111" t="s">
        <v>267</v>
      </c>
      <c r="D126" s="214">
        <v>1867</v>
      </c>
      <c r="E126" s="215">
        <v>5010</v>
      </c>
      <c r="F126" s="112"/>
      <c r="G126" s="209">
        <v>1033</v>
      </c>
      <c r="H126" s="209">
        <v>3159</v>
      </c>
      <c r="I126" s="106"/>
      <c r="J126" s="209">
        <v>355</v>
      </c>
      <c r="K126" s="209">
        <v>586</v>
      </c>
      <c r="L126" s="113"/>
      <c r="M126" s="209">
        <v>454</v>
      </c>
      <c r="N126" s="209">
        <v>1275</v>
      </c>
      <c r="O126" s="114"/>
      <c r="P126" s="203">
        <f t="shared" si="4"/>
        <v>37.265469061876253</v>
      </c>
      <c r="Q126" s="204">
        <f t="shared" si="5"/>
        <v>32.700221589110477</v>
      </c>
      <c r="R126" s="204">
        <f t="shared" si="6"/>
        <v>60.580204778156997</v>
      </c>
      <c r="S126" s="205">
        <f t="shared" si="7"/>
        <v>35.607843137254903</v>
      </c>
      <c r="T126" s="108"/>
      <c r="U126" s="109"/>
      <c r="V126" s="109"/>
    </row>
    <row r="127" spans="1:22" x14ac:dyDescent="0.2">
      <c r="A127" s="115"/>
      <c r="B127" s="116"/>
      <c r="C127" s="116"/>
      <c r="D127" s="116"/>
      <c r="E127" s="116"/>
      <c r="F127" s="116"/>
      <c r="G127" s="105"/>
      <c r="H127" s="105"/>
      <c r="I127" s="107"/>
      <c r="J127" s="105"/>
      <c r="K127" s="105"/>
      <c r="L127" s="110"/>
      <c r="M127" s="105"/>
      <c r="N127" s="105"/>
      <c r="O127" s="105"/>
      <c r="Q127" s="118"/>
      <c r="R127" s="118"/>
      <c r="S127" s="107"/>
      <c r="T127" s="108"/>
      <c r="U127" s="109"/>
      <c r="V127" s="109"/>
    </row>
    <row r="128" spans="1:22" x14ac:dyDescent="0.2">
      <c r="A128" s="115" t="s">
        <v>251</v>
      </c>
      <c r="B128" s="96"/>
      <c r="C128" s="312"/>
      <c r="D128" s="312"/>
      <c r="E128" s="312"/>
      <c r="F128" s="312"/>
      <c r="G128" s="105"/>
      <c r="H128" s="105"/>
      <c r="I128" s="107"/>
      <c r="J128" s="105"/>
      <c r="K128" s="105"/>
      <c r="L128" s="110"/>
      <c r="M128" s="105"/>
      <c r="N128" s="105"/>
      <c r="O128" s="105"/>
      <c r="Q128" s="118"/>
      <c r="R128" s="118"/>
      <c r="S128" s="107"/>
      <c r="T128" s="108"/>
      <c r="U128" s="109"/>
      <c r="V128" s="109"/>
    </row>
    <row r="129" spans="1:22" x14ac:dyDescent="0.2">
      <c r="A129" s="312" t="s">
        <v>266</v>
      </c>
      <c r="B129" s="96"/>
      <c r="C129" s="312"/>
      <c r="D129" s="314">
        <f>D10+D21+D23+D25+D27+D31+D34+D38+D43+D48+D49+D54+D56+D57+D61+D65+D68+D70+D71+D76+D77+D82+D98+D111+D118+D121</f>
        <v>85415</v>
      </c>
      <c r="E129" s="314">
        <f>E10+E21+E23+E25+E27+E31+E34+E38+E43+E48+E49+E54+E56+E57+E61+E65+E68+E70+E71+E76+E77+E82+E98+E111+E118+E121</f>
        <v>263081</v>
      </c>
      <c r="F129" s="312"/>
      <c r="G129" s="314">
        <f>G10+G21+G23+G25+G27+G31+G34+G38+G43+G48+G49+G54+G56+G57+G61+G65+G68+G70+G71+G76+G77+G82+G98+G111+G118+G121</f>
        <v>29474</v>
      </c>
      <c r="H129" s="314">
        <f>H10+H21+H23+H25+H27+H31+H34+H38+H43+H48+H49+H54+H56+H57+H61+H65+H68+H70+H71+H76+H77+H82+H98+H111+H118+H121</f>
        <v>155169</v>
      </c>
      <c r="I129" s="107"/>
      <c r="J129" s="314">
        <f>J10+J21+J23+J25+J27+J31+J34+J38+J43+J48+J49+J54+J56+J57+J61+J65+J68+J70+J71+J76+J77+J82+J98+J111+J118+J121</f>
        <v>47586</v>
      </c>
      <c r="K129" s="314">
        <f>K10+K21+K23+K25+K27+K31+K34+K38+K43+K48+K49+K54+K56+K57+K61+K65+K68+K70+K71+K76+K77+K82+K98+K111+K118+K121</f>
        <v>77872</v>
      </c>
      <c r="L129" s="110"/>
      <c r="M129" s="314">
        <f>M10+M21+M23+M25+M27+M31+M34+M38+M43+M48+M49+M54+M56+M57+M61+M65+M68+M70+M71+M76+M77+M82+M98+M111+M118+M121</f>
        <v>5871</v>
      </c>
      <c r="N129" s="314">
        <f>N10+N21+N23+N25+N27+N31+N34+N38+N43+N48+N49+N54+N56+N57+N61+N65+N68+N70+N71+N76+N77+N82+N98+N111+N118+N121</f>
        <v>18288</v>
      </c>
      <c r="O129" s="105"/>
      <c r="P129" s="315">
        <f>(D129/E129)*100</f>
        <v>32.467186912015691</v>
      </c>
      <c r="Q129" s="316">
        <f>(G129/H129)*100</f>
        <v>18.994773440571247</v>
      </c>
      <c r="R129" s="316">
        <f>(J129/K129)*100</f>
        <v>61.107972056708448</v>
      </c>
      <c r="S129" s="317">
        <f>IF(N129&lt;1,"NA", ((M129/N129)*100))</f>
        <v>32.10301837270341</v>
      </c>
      <c r="T129" s="108"/>
      <c r="U129" s="109"/>
      <c r="V129" s="109"/>
    </row>
    <row r="130" spans="1:22" x14ac:dyDescent="0.2">
      <c r="A130" s="312" t="s">
        <v>264</v>
      </c>
      <c r="B130" s="96"/>
      <c r="C130" s="312"/>
      <c r="D130" s="314">
        <f>D7+D19+D33+D42+D46+D52+D53+D63+D69+D78+D90+D93+D94+D124+D101+D105+D107+D110+D115+D116+D119+D123+D125</f>
        <v>129637</v>
      </c>
      <c r="E130" s="314">
        <f>E7+E19+E33+E42+E46+E52+E53+E63+E69+E78+E90+E93+E94+E124+E101+E105+E107+E110+E115+E116+E119+E123+E125</f>
        <v>368826</v>
      </c>
      <c r="F130" s="312"/>
      <c r="G130" s="314">
        <f>G7+G19+G33+G42+G46+G52+G53+G63+G69+G78+G90+G93+G94+G124+G101+G105+G107+G110+G115+G116+G119+G123+G125</f>
        <v>42187</v>
      </c>
      <c r="H130" s="314">
        <f>H7+H19+H33+H42+H46+H52+H53+H63+H69+H78+H90+H93+H94+H124+H101+H105+H107+H110+H115+H116+H119+H123+H125</f>
        <v>196948</v>
      </c>
      <c r="I130" s="107"/>
      <c r="J130" s="314">
        <f>J7+J19+J33+J42+J46+J52+J53+J63+J69+J78+J90+J93+J94+J124+J101+J105+J107+J110+J115+J116+J119+J123+J125</f>
        <v>72980</v>
      </c>
      <c r="K130" s="314">
        <f>K7+K19+K33+K42+K46+K52+K53+K63+K69+K78+K90+K93+K94+K124+K101+K105+K107+K110+K115+K116+K119+K123+K125</f>
        <v>125301</v>
      </c>
      <c r="L130" s="110"/>
      <c r="M130" s="314">
        <f>M7+M19+M33+M42+M46+M52+M53+M63+M69+M78+M90+M93+M94+M124+M101+M105+M107+M110+M115+M116+M119+M123+M125</f>
        <v>9659</v>
      </c>
      <c r="N130" s="314">
        <f>N7+N19+N33+N42+N46+N52+N53+N63+N69+N78+N90+N93+N94+N124+N101+N105+N107+N110+N115+N116+N119+N123+N125</f>
        <v>28855</v>
      </c>
      <c r="O130" s="105"/>
      <c r="P130" s="315">
        <f>(D130/E130)*100</f>
        <v>35.148552433939038</v>
      </c>
      <c r="Q130" s="316">
        <f>(G130/H130)*100</f>
        <v>21.420374921299022</v>
      </c>
      <c r="R130" s="316">
        <f>(J130/K130)*100</f>
        <v>58.243749052282098</v>
      </c>
      <c r="S130" s="317">
        <f>IF(N130&lt;1,"NA", ((M130/N130)*100))</f>
        <v>33.474267891180034</v>
      </c>
      <c r="T130" s="108"/>
      <c r="U130" s="109"/>
      <c r="V130" s="109"/>
    </row>
    <row r="131" spans="1:22" x14ac:dyDescent="0.2">
      <c r="A131" s="312" t="s">
        <v>267</v>
      </c>
      <c r="B131" s="96"/>
      <c r="C131" s="312"/>
      <c r="D131" s="314">
        <f>D13+D28+D30+D35+D36+D40+D45+D55+D59+D60+D62+D72+D73+D79+D81+D85+D88+D91+D92+D96+D102+D108+D113+D114+D126</f>
        <v>133285</v>
      </c>
      <c r="E131" s="314">
        <f>E13+E28+E30+E35+E36+E40+E45+E55+E59+E60+E62+E72+E73+E79+E81+E85+E88+E91+E92+E96+E102+E108+E113+E114+E126</f>
        <v>692685</v>
      </c>
      <c r="F131" s="312"/>
      <c r="G131" s="314">
        <f>G13+G28+G30+G35+G36+G40+G45+G55+G59+G60+G62+G72+G73+G79+G81+G85+G88+G91+G92+G96+G102+G108+G113+G114+G126</f>
        <v>69868</v>
      </c>
      <c r="H131" s="314">
        <f>H13+H28+H30+H35+H36+H40+H45+H55+H59+H60+H62+H72+H73+H79+H81+H85+H88+H91+H92+H96+H102+H108+H113+H114+H126</f>
        <v>443527</v>
      </c>
      <c r="I131" s="107"/>
      <c r="J131" s="314">
        <f>J13+J28+J30+J35+J36+J40+J45+J55+J59+J60+J62+J72+J73+J79+J81+J85+J88+J91+J92+J96+J102+J108+J113+J114+J126</f>
        <v>32405</v>
      </c>
      <c r="K131" s="314">
        <f>K13+K28+K30+K35+K36+K40+K45+K55+K59+K60+K62+K72+K73+K79+K81+K85+K88+K91+K92+K96+K102+K108+K113+K114+K126</f>
        <v>79293</v>
      </c>
      <c r="L131" s="110"/>
      <c r="M131" s="314">
        <f>M13+M28+M30+M35+M36+M40+M45+M55+M59+M60+M62+M72+M73+M79+M81+M85+M88+M91+M92+M96+M102+M108+M113+M114+M126</f>
        <v>29151</v>
      </c>
      <c r="N131" s="314">
        <f>N13+N28+N30+N35+N36+N40+N45+N55+N59+N60+N62+N72+N73+N79+N81+N85+N88+N91+N92+N96+N102+N108+N113+N114+N126</f>
        <v>113332</v>
      </c>
      <c r="O131" s="105"/>
      <c r="P131" s="315">
        <f>(D131/E131)*100</f>
        <v>19.241791001681861</v>
      </c>
      <c r="Q131" s="316">
        <f>(G131/H131)*100</f>
        <v>15.752817754048795</v>
      </c>
      <c r="R131" s="316">
        <f>(J131/K131)*100</f>
        <v>40.867415787017769</v>
      </c>
      <c r="S131" s="317">
        <f>IF(N131&lt;1,"NA", ((M131/N131)*100))</f>
        <v>25.721773197331732</v>
      </c>
      <c r="T131" s="108"/>
      <c r="U131" s="109"/>
      <c r="V131" s="109"/>
    </row>
    <row r="132" spans="1:22" x14ac:dyDescent="0.2">
      <c r="A132" s="312" t="s">
        <v>265</v>
      </c>
      <c r="B132" s="96"/>
      <c r="C132" s="312"/>
      <c r="D132" s="314">
        <f>D8+D9+D11+D12+D14+D15+D16+D18+D22+D26+D29+D39+D47+D50+D51+D64+D67+D75+D83+D84+D104+D106+D112+D122</f>
        <v>67810</v>
      </c>
      <c r="E132" s="314">
        <f>E8+E9+E11+E12+E14+E15+E16+E18+E22+E26+E29+E39+E47+E50+E51+E64+E67+E75+E83+E84+E104+E106+E112+E122</f>
        <v>210526</v>
      </c>
      <c r="F132" s="312"/>
      <c r="G132" s="314">
        <f>G8+G9+G11+G12+G14+G15+G16+G18+G22+G26+G29+G39+G47+G50+G51+G64+G67+G75+G83+G84+G104+G106+G112+G122</f>
        <v>36951</v>
      </c>
      <c r="H132" s="314">
        <f>H8+H9+H11+H12+H14+H15+H16+H18+H22+H26+H29+H39+H47+H50+H51+H64+H67+H75+H83+H84+H104+H106+H112+H122</f>
        <v>155662</v>
      </c>
      <c r="I132" s="107"/>
      <c r="J132" s="314">
        <f>J8+J9+J11+J12+J14+J15+J16+J18+J22+J26+J29+J39+J47+J50+J51+J64+J67+J75+J83+J84+J104+J106+J112+J122</f>
        <v>24207</v>
      </c>
      <c r="K132" s="314">
        <f>K8+K9+K11+K12+K14+K15+K16+K18+K22+K26+K29+K39+K47+K50+K51+K64+K67+K75+K83+K84+K104+K106+K112+K122</f>
        <v>37258</v>
      </c>
      <c r="L132" s="110"/>
      <c r="M132" s="314">
        <f>M8+M9+M11+M12+M14+M15+M16+M18+M22+M26+M29+M39+M47+M50+M51+M64+M67+M75+M83+M84+M104+M106+M112+M122</f>
        <v>3539</v>
      </c>
      <c r="N132" s="314">
        <f>N8+N9+N11+N12+N14+N15+N16+N18+N22+N26+N29+N39+N47+N50+N51+N64+N67+N75+N83+N84+N104+N106+N112+N122</f>
        <v>10270</v>
      </c>
      <c r="O132" s="105"/>
      <c r="P132" s="315">
        <f>(D132/E132)*100</f>
        <v>32.209798314697473</v>
      </c>
      <c r="Q132" s="316">
        <f>(G132/H132)*100</f>
        <v>23.737970731456617</v>
      </c>
      <c r="R132" s="316">
        <f>(J132/K132)*100</f>
        <v>64.971281335552106</v>
      </c>
      <c r="S132" s="317">
        <f>IF(N132&lt;1,"NA", ((M132/N132)*100))</f>
        <v>34.459591041869523</v>
      </c>
      <c r="T132" s="108"/>
      <c r="U132" s="109"/>
      <c r="V132" s="109"/>
    </row>
    <row r="133" spans="1:22" x14ac:dyDescent="0.2">
      <c r="A133" s="312" t="s">
        <v>268</v>
      </c>
      <c r="B133" s="96"/>
      <c r="C133" s="312"/>
      <c r="D133" s="314">
        <f>D17+D20+D24+D32+D37+D41+D44+D58+D66+D74+D80+D86+D87+D89+D95+D97+D99+D100+D103+D109+D117+D120</f>
        <v>28145</v>
      </c>
      <c r="E133" s="314">
        <f>E17+E20+E24+E32+E37+E41+E44+E58+E66+E74+E80+E86+E87+E89+E95+E97+E99+E100+E103+E109+E117+E120</f>
        <v>100242</v>
      </c>
      <c r="F133" s="312"/>
      <c r="G133" s="314">
        <f>G17+G20+G24+G32+G37+G41+G44+G58+G66+G74+G80+G86+G87+G89+G95+G97+G99+G100+G103+G109+G117+G120</f>
        <v>24955</v>
      </c>
      <c r="H133" s="314">
        <f>H17+H20+H24+H32+H37+H41+H44+H58+H66+H74+H80+H86+H87+H89+H95+H97+H99+H100+H103+H109+H117+H120</f>
        <v>93350</v>
      </c>
      <c r="I133" s="107"/>
      <c r="J133" s="314">
        <f>J17+J20+J24+J32+J37+J41+J44+J58+J66+J74+J80+J86+J87+J89+J95+J97+J99+J100+J103+J109+J117+J120</f>
        <v>1431</v>
      </c>
      <c r="K133" s="314">
        <f>K17+K20+K24+K32+K37+K41+K44+K58+K66+K74+K80+K86+K87+K89+K95+K97+K99+K100+K103+K109+K117+K120</f>
        <v>2353</v>
      </c>
      <c r="L133" s="110"/>
      <c r="M133" s="314">
        <f>M17+M20+M24+M32+M37+M41+M44+M58+M66+M74+M80+M86+M87+M89+M95+M97+M99+M100+M103+M109+M117+M120</f>
        <v>1039</v>
      </c>
      <c r="N133" s="314">
        <f>N17+N20+N24+N32+N37+N41+N44+N58+N66+N74+N80+N86+N87+N89+N95+N97+N99+N100+N103+N109+N117+N120</f>
        <v>2765</v>
      </c>
      <c r="O133" s="105"/>
      <c r="P133" s="315">
        <f>(D133/E133)*100</f>
        <v>28.077053530456297</v>
      </c>
      <c r="Q133" s="316">
        <f>(G133/H133)*100</f>
        <v>26.732726298875203</v>
      </c>
      <c r="R133" s="316">
        <f>(J133/K133)*100</f>
        <v>60.815979600509984</v>
      </c>
      <c r="S133" s="317">
        <f>IF(N133&lt;1,"NA", ((M133/N133)*100))</f>
        <v>37.576853526220617</v>
      </c>
      <c r="T133" s="108"/>
      <c r="U133" s="109"/>
      <c r="V133" s="109"/>
    </row>
    <row r="134" spans="1:22" x14ac:dyDescent="0.2">
      <c r="A134" s="115"/>
      <c r="B134" s="312"/>
      <c r="C134" s="312"/>
      <c r="D134" s="312"/>
      <c r="E134" s="312"/>
      <c r="F134" s="312"/>
      <c r="G134" s="105"/>
      <c r="H134" s="105"/>
      <c r="I134" s="107"/>
      <c r="J134" s="105"/>
      <c r="K134" s="105"/>
      <c r="L134" s="110"/>
      <c r="M134" s="105"/>
      <c r="N134" s="105"/>
      <c r="O134" s="105"/>
      <c r="Q134" s="118"/>
      <c r="R134" s="118"/>
      <c r="S134" s="107"/>
      <c r="T134" s="108"/>
      <c r="U134" s="109"/>
      <c r="V134" s="109"/>
    </row>
    <row r="135" spans="1:22" ht="68.25" customHeight="1" x14ac:dyDescent="0.2">
      <c r="A135" s="178"/>
      <c r="B135" s="178"/>
      <c r="C135" s="178"/>
      <c r="D135" s="2719" t="s">
        <v>626</v>
      </c>
      <c r="E135" s="2719"/>
      <c r="F135" s="2719"/>
      <c r="G135" s="2719"/>
      <c r="H135" s="2719"/>
      <c r="I135" s="2719"/>
      <c r="J135" s="2719"/>
      <c r="K135" s="2719"/>
      <c r="L135" s="2719"/>
      <c r="M135" s="2719"/>
      <c r="N135" s="119"/>
      <c r="O135" s="119"/>
      <c r="P135" s="120"/>
      <c r="Q135" s="120"/>
      <c r="R135" s="120"/>
    </row>
    <row r="136" spans="1:22" ht="18" customHeight="1" x14ac:dyDescent="0.2">
      <c r="B136" s="121"/>
      <c r="C136" s="121"/>
      <c r="D136" s="2808" t="s">
        <v>248</v>
      </c>
      <c r="E136" s="2808"/>
      <c r="F136" s="2808"/>
      <c r="G136" s="2808"/>
      <c r="H136" s="2808"/>
      <c r="I136" s="2808"/>
      <c r="J136" s="2808"/>
      <c r="K136" s="2808"/>
      <c r="L136" s="2808"/>
      <c r="M136" s="2808"/>
      <c r="N136" s="121"/>
      <c r="O136" s="121"/>
      <c r="P136" s="122"/>
      <c r="Q136" s="122"/>
      <c r="R136" s="122"/>
    </row>
    <row r="137" spans="1:22" ht="18.75" customHeight="1" x14ac:dyDescent="0.2">
      <c r="B137" s="96"/>
      <c r="C137" s="123"/>
      <c r="D137" s="124" t="s">
        <v>249</v>
      </c>
      <c r="E137" s="2809" t="s">
        <v>250</v>
      </c>
      <c r="F137" s="2809"/>
      <c r="G137" s="2809"/>
      <c r="H137" s="123"/>
    </row>
  </sheetData>
  <mergeCells count="9">
    <mergeCell ref="P4:S4"/>
    <mergeCell ref="D135:M135"/>
    <mergeCell ref="D136:M136"/>
    <mergeCell ref="E137:G137"/>
    <mergeCell ref="A1:K1"/>
    <mergeCell ref="D4:E4"/>
    <mergeCell ref="G4:H4"/>
    <mergeCell ref="J4:K4"/>
    <mergeCell ref="M4:N4"/>
  </mergeCells>
  <hyperlinks>
    <hyperlink ref="E137"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
  <sheetViews>
    <sheetView workbookViewId="0">
      <pane ySplit="6" topLeftCell="A7" activePane="bottomLeft" state="frozen"/>
      <selection pane="bottomLeft" activeCell="A129" sqref="A129:A133"/>
    </sheetView>
  </sheetViews>
  <sheetFormatPr defaultRowHeight="12.75" x14ac:dyDescent="0.2"/>
  <cols>
    <col min="1" max="1" width="7.625" style="219" customWidth="1"/>
    <col min="2" max="2" width="26.375" style="217" customWidth="1"/>
    <col min="3" max="3" width="9.25" style="217" customWidth="1"/>
    <col min="4" max="4" width="1.75" style="217" customWidth="1"/>
    <col min="5" max="7" width="10.875" style="218" customWidth="1"/>
    <col min="8" max="8" width="1.375" style="218" customWidth="1"/>
    <col min="9" max="10" width="13.5" style="219" customWidth="1"/>
    <col min="11" max="11" width="2.625" style="219" customWidth="1"/>
    <col min="12" max="14" width="10.375" style="219" customWidth="1"/>
    <col min="15" max="15" width="2.125" style="219" customWidth="1"/>
    <col min="16" max="17" width="10.375" style="219" customWidth="1"/>
    <col min="18" max="16384" width="9" style="219"/>
  </cols>
  <sheetData>
    <row r="1" spans="1:17" ht="15.75" x14ac:dyDescent="0.25">
      <c r="A1" s="64" t="s">
        <v>641</v>
      </c>
    </row>
    <row r="3" spans="1:17" x14ac:dyDescent="0.2">
      <c r="B3" s="219"/>
      <c r="C3" s="219"/>
      <c r="D3" s="219"/>
    </row>
    <row r="4" spans="1:17" ht="44.25" customHeight="1" x14ac:dyDescent="0.2">
      <c r="E4" s="2811" t="s">
        <v>642</v>
      </c>
      <c r="F4" s="2811"/>
      <c r="G4" s="2811"/>
      <c r="H4" s="164"/>
      <c r="I4" s="2811" t="s">
        <v>643</v>
      </c>
      <c r="J4" s="2811"/>
      <c r="L4" s="2811" t="s">
        <v>650</v>
      </c>
      <c r="M4" s="2811"/>
      <c r="N4" s="2811"/>
      <c r="O4" s="164"/>
      <c r="P4" s="2811" t="s">
        <v>651</v>
      </c>
      <c r="Q4" s="2811"/>
    </row>
    <row r="5" spans="1:17" x14ac:dyDescent="0.2">
      <c r="A5" s="220" t="s">
        <v>4</v>
      </c>
      <c r="B5" s="221" t="s">
        <v>644</v>
      </c>
      <c r="C5" s="221" t="s">
        <v>251</v>
      </c>
      <c r="D5" s="222"/>
      <c r="E5" s="175" t="s">
        <v>281</v>
      </c>
      <c r="F5" s="176" t="s">
        <v>637</v>
      </c>
      <c r="G5" s="174" t="s">
        <v>645</v>
      </c>
      <c r="H5" s="164"/>
      <c r="I5" s="175" t="s">
        <v>637</v>
      </c>
      <c r="J5" s="174" t="s">
        <v>645</v>
      </c>
      <c r="L5" s="175" t="s">
        <v>281</v>
      </c>
      <c r="M5" s="176" t="s">
        <v>637</v>
      </c>
      <c r="N5" s="174" t="s">
        <v>645</v>
      </c>
      <c r="O5" s="164"/>
      <c r="P5" s="175" t="s">
        <v>637</v>
      </c>
      <c r="Q5" s="174" t="s">
        <v>645</v>
      </c>
    </row>
    <row r="6" spans="1:17" x14ac:dyDescent="0.2">
      <c r="A6" s="223" t="s">
        <v>8</v>
      </c>
      <c r="B6" s="224" t="s">
        <v>9</v>
      </c>
      <c r="C6" s="224"/>
      <c r="D6" s="225"/>
      <c r="E6" s="226">
        <v>1688168</v>
      </c>
      <c r="F6" s="227">
        <v>1534844</v>
      </c>
      <c r="G6" s="228">
        <v>153324</v>
      </c>
      <c r="H6" s="164"/>
      <c r="I6" s="229">
        <f>F6/E6</f>
        <v>0.90917728567298994</v>
      </c>
      <c r="J6" s="230">
        <f>G6/E6</f>
        <v>9.0822714327010112E-2</v>
      </c>
      <c r="K6" s="65"/>
      <c r="L6" s="226">
        <v>698173</v>
      </c>
      <c r="M6" s="227">
        <v>644610</v>
      </c>
      <c r="N6" s="228">
        <v>53563</v>
      </c>
      <c r="O6" s="231"/>
      <c r="P6" s="229">
        <f>M6/L6</f>
        <v>0.92328119248381135</v>
      </c>
      <c r="Q6" s="230">
        <f>N6/L6</f>
        <v>7.6718807516188675E-2</v>
      </c>
    </row>
    <row r="7" spans="1:17" x14ac:dyDescent="0.2">
      <c r="A7" s="232" t="s">
        <v>10</v>
      </c>
      <c r="B7" s="233" t="s">
        <v>11</v>
      </c>
      <c r="C7" s="234" t="s">
        <v>264</v>
      </c>
      <c r="D7" s="234"/>
      <c r="E7" s="235">
        <v>7353</v>
      </c>
      <c r="F7" s="236">
        <v>6603</v>
      </c>
      <c r="G7" s="237">
        <v>750</v>
      </c>
      <c r="I7" s="238">
        <f t="shared" ref="I7:I70" si="0">F7/E7</f>
        <v>0.89800081599347203</v>
      </c>
      <c r="J7" s="239">
        <f t="shared" ref="J7:J70" si="1">G7/E7</f>
        <v>0.10199918400652795</v>
      </c>
      <c r="L7" s="240">
        <v>2269</v>
      </c>
      <c r="M7" s="240">
        <v>1955</v>
      </c>
      <c r="N7" s="240">
        <v>314</v>
      </c>
      <c r="P7" s="241">
        <f t="shared" ref="P7:P70" si="2">M7/L7</f>
        <v>0.86161304539444694</v>
      </c>
      <c r="Q7" s="241">
        <f t="shared" ref="Q7:Q70" si="3">N7/L7</f>
        <v>0.13838695460555311</v>
      </c>
    </row>
    <row r="8" spans="1:17" x14ac:dyDescent="0.2">
      <c r="A8" s="232" t="s">
        <v>12</v>
      </c>
      <c r="B8" s="233" t="s">
        <v>13</v>
      </c>
      <c r="C8" s="234" t="s">
        <v>265</v>
      </c>
      <c r="D8" s="234"/>
      <c r="E8" s="235">
        <v>21565</v>
      </c>
      <c r="F8" s="236">
        <v>19600</v>
      </c>
      <c r="G8" s="237">
        <v>1965</v>
      </c>
      <c r="I8" s="238">
        <f t="shared" si="0"/>
        <v>0.90888012984001854</v>
      </c>
      <c r="J8" s="239">
        <f t="shared" si="1"/>
        <v>9.111987015998145E-2</v>
      </c>
      <c r="L8" s="240">
        <v>8644</v>
      </c>
      <c r="M8" s="240">
        <v>8018</v>
      </c>
      <c r="N8" s="240">
        <v>626</v>
      </c>
      <c r="P8" s="241">
        <f t="shared" si="2"/>
        <v>0.92757982415548357</v>
      </c>
      <c r="Q8" s="241">
        <f t="shared" si="3"/>
        <v>7.2420175844516432E-2</v>
      </c>
    </row>
    <row r="9" spans="1:17" x14ac:dyDescent="0.2">
      <c r="A9" s="232" t="s">
        <v>16</v>
      </c>
      <c r="B9" s="233" t="s">
        <v>297</v>
      </c>
      <c r="C9" s="234" t="s">
        <v>265</v>
      </c>
      <c r="D9" s="234"/>
      <c r="E9" s="235">
        <v>5221</v>
      </c>
      <c r="F9" s="236">
        <v>4691</v>
      </c>
      <c r="G9" s="237">
        <v>530</v>
      </c>
      <c r="I9" s="238">
        <f t="shared" si="0"/>
        <v>0.89848687990806364</v>
      </c>
      <c r="J9" s="239">
        <f t="shared" si="1"/>
        <v>0.10151312009193642</v>
      </c>
      <c r="L9" s="240">
        <v>1779</v>
      </c>
      <c r="M9" s="240">
        <v>1555</v>
      </c>
      <c r="N9" s="240">
        <v>224</v>
      </c>
      <c r="P9" s="241">
        <f t="shared" si="2"/>
        <v>0.87408656548622821</v>
      </c>
      <c r="Q9" s="241">
        <f t="shared" si="3"/>
        <v>0.12591343451377179</v>
      </c>
    </row>
    <row r="10" spans="1:17" x14ac:dyDescent="0.2">
      <c r="A10" s="232" t="s">
        <v>18</v>
      </c>
      <c r="B10" s="233" t="s">
        <v>19</v>
      </c>
      <c r="C10" s="234" t="s">
        <v>266</v>
      </c>
      <c r="D10" s="234"/>
      <c r="E10" s="235">
        <v>3038</v>
      </c>
      <c r="F10" s="236">
        <v>2770</v>
      </c>
      <c r="G10" s="237">
        <v>268</v>
      </c>
      <c r="I10" s="238">
        <f t="shared" si="0"/>
        <v>0.91178406846609616</v>
      </c>
      <c r="J10" s="239">
        <f t="shared" si="1"/>
        <v>8.8215931533903891E-2</v>
      </c>
      <c r="L10" s="240">
        <v>1040</v>
      </c>
      <c r="M10" s="240">
        <v>937</v>
      </c>
      <c r="N10" s="240">
        <v>103</v>
      </c>
      <c r="P10" s="241">
        <f t="shared" si="2"/>
        <v>0.90096153846153848</v>
      </c>
      <c r="Q10" s="241">
        <f t="shared" si="3"/>
        <v>9.9038461538461534E-2</v>
      </c>
    </row>
    <row r="11" spans="1:17" x14ac:dyDescent="0.2">
      <c r="A11" s="232" t="s">
        <v>20</v>
      </c>
      <c r="B11" s="233" t="s">
        <v>21</v>
      </c>
      <c r="C11" s="234" t="s">
        <v>265</v>
      </c>
      <c r="D11" s="234"/>
      <c r="E11" s="235">
        <v>7187</v>
      </c>
      <c r="F11" s="236">
        <v>6499</v>
      </c>
      <c r="G11" s="237">
        <v>688</v>
      </c>
      <c r="I11" s="238">
        <f t="shared" si="0"/>
        <v>0.90427160150271324</v>
      </c>
      <c r="J11" s="239">
        <f t="shared" si="1"/>
        <v>9.5728398497286774E-2</v>
      </c>
      <c r="L11" s="240">
        <v>2536</v>
      </c>
      <c r="M11" s="240">
        <v>2238</v>
      </c>
      <c r="N11" s="240">
        <v>298</v>
      </c>
      <c r="P11" s="241">
        <f t="shared" si="2"/>
        <v>0.88249211356466872</v>
      </c>
      <c r="Q11" s="241">
        <f t="shared" si="3"/>
        <v>0.11750788643533124</v>
      </c>
    </row>
    <row r="12" spans="1:17" x14ac:dyDescent="0.2">
      <c r="A12" s="232" t="s">
        <v>22</v>
      </c>
      <c r="B12" s="233" t="s">
        <v>23</v>
      </c>
      <c r="C12" s="234" t="s">
        <v>265</v>
      </c>
      <c r="D12" s="234"/>
      <c r="E12" s="235">
        <v>3614</v>
      </c>
      <c r="F12" s="236">
        <v>3301</v>
      </c>
      <c r="G12" s="237">
        <v>313</v>
      </c>
      <c r="I12" s="238">
        <f t="shared" si="0"/>
        <v>0.91339236303265081</v>
      </c>
      <c r="J12" s="239">
        <f t="shared" si="1"/>
        <v>8.6607636967349202E-2</v>
      </c>
      <c r="L12" s="240">
        <v>1230</v>
      </c>
      <c r="M12" s="240">
        <v>1092</v>
      </c>
      <c r="N12" s="240">
        <v>138</v>
      </c>
      <c r="P12" s="241">
        <f t="shared" si="2"/>
        <v>0.8878048780487805</v>
      </c>
      <c r="Q12" s="241">
        <f t="shared" si="3"/>
        <v>0.11219512195121951</v>
      </c>
    </row>
    <row r="13" spans="1:17" x14ac:dyDescent="0.2">
      <c r="A13" s="232" t="s">
        <v>24</v>
      </c>
      <c r="B13" s="233" t="s">
        <v>25</v>
      </c>
      <c r="C13" s="234" t="s">
        <v>267</v>
      </c>
      <c r="D13" s="234"/>
      <c r="E13" s="235">
        <v>38502</v>
      </c>
      <c r="F13" s="236">
        <v>33218</v>
      </c>
      <c r="G13" s="237">
        <v>5284</v>
      </c>
      <c r="I13" s="238">
        <f t="shared" si="0"/>
        <v>0.86276037608435929</v>
      </c>
      <c r="J13" s="239">
        <f t="shared" si="1"/>
        <v>0.13723962391564073</v>
      </c>
      <c r="L13" s="240">
        <v>14733</v>
      </c>
      <c r="M13" s="240">
        <v>14228</v>
      </c>
      <c r="N13" s="240">
        <v>505</v>
      </c>
      <c r="P13" s="241">
        <f t="shared" si="2"/>
        <v>0.96572320640738474</v>
      </c>
      <c r="Q13" s="241">
        <f t="shared" si="3"/>
        <v>3.4276793592615221E-2</v>
      </c>
    </row>
    <row r="14" spans="1:17" x14ac:dyDescent="0.2">
      <c r="A14" s="232" t="s">
        <v>26</v>
      </c>
      <c r="B14" s="233" t="s">
        <v>685</v>
      </c>
      <c r="C14" s="234" t="s">
        <v>265</v>
      </c>
      <c r="D14" s="234"/>
      <c r="E14" s="235">
        <v>27621</v>
      </c>
      <c r="F14" s="236">
        <v>24834</v>
      </c>
      <c r="G14" s="237">
        <v>2787</v>
      </c>
      <c r="I14" s="238">
        <f t="shared" si="0"/>
        <v>0.89909851200173785</v>
      </c>
      <c r="J14" s="239">
        <f t="shared" si="1"/>
        <v>0.10090148799826219</v>
      </c>
      <c r="L14" s="240">
        <v>9620</v>
      </c>
      <c r="M14" s="240">
        <v>8571</v>
      </c>
      <c r="N14" s="240">
        <v>1049</v>
      </c>
      <c r="P14" s="241">
        <f t="shared" si="2"/>
        <v>0.89095634095634091</v>
      </c>
      <c r="Q14" s="241">
        <f t="shared" si="3"/>
        <v>0.10904365904365905</v>
      </c>
    </row>
    <row r="15" spans="1:17" x14ac:dyDescent="0.2">
      <c r="A15" s="232" t="s">
        <v>27</v>
      </c>
      <c r="B15" s="233" t="s">
        <v>28</v>
      </c>
      <c r="C15" s="234" t="s">
        <v>265</v>
      </c>
      <c r="D15" s="234"/>
      <c r="E15" s="235">
        <v>1205</v>
      </c>
      <c r="F15" s="236">
        <v>1090</v>
      </c>
      <c r="G15" s="237">
        <v>115</v>
      </c>
      <c r="I15" s="238">
        <f t="shared" si="0"/>
        <v>0.9045643153526971</v>
      </c>
      <c r="J15" s="239">
        <f t="shared" si="1"/>
        <v>9.5435684647302899E-2</v>
      </c>
      <c r="L15" s="240">
        <v>355</v>
      </c>
      <c r="M15" s="240">
        <v>322</v>
      </c>
      <c r="N15" s="240">
        <v>33</v>
      </c>
      <c r="P15" s="241">
        <f t="shared" si="2"/>
        <v>0.90704225352112677</v>
      </c>
      <c r="Q15" s="241">
        <f t="shared" si="3"/>
        <v>9.295774647887324E-2</v>
      </c>
    </row>
    <row r="16" spans="1:17" x14ac:dyDescent="0.2">
      <c r="A16" s="232" t="s">
        <v>29</v>
      </c>
      <c r="B16" s="233" t="s">
        <v>610</v>
      </c>
      <c r="C16" s="234" t="s">
        <v>265</v>
      </c>
      <c r="D16" s="234"/>
      <c r="E16" s="235">
        <v>19414</v>
      </c>
      <c r="F16" s="236">
        <v>18072</v>
      </c>
      <c r="G16" s="237">
        <v>1342</v>
      </c>
      <c r="I16" s="238">
        <f t="shared" si="0"/>
        <v>0.93087462655815389</v>
      </c>
      <c r="J16" s="239">
        <f t="shared" si="1"/>
        <v>6.9125373441846091E-2</v>
      </c>
      <c r="L16" s="240">
        <v>6823</v>
      </c>
      <c r="M16" s="240">
        <v>6351</v>
      </c>
      <c r="N16" s="240">
        <v>472</v>
      </c>
      <c r="P16" s="241">
        <f t="shared" si="2"/>
        <v>0.93082221896526451</v>
      </c>
      <c r="Q16" s="241">
        <f t="shared" si="3"/>
        <v>6.9177781034735458E-2</v>
      </c>
    </row>
    <row r="17" spans="1:17" x14ac:dyDescent="0.2">
      <c r="A17" s="232" t="s">
        <v>30</v>
      </c>
      <c r="B17" s="233" t="s">
        <v>31</v>
      </c>
      <c r="C17" s="234" t="s">
        <v>268</v>
      </c>
      <c r="D17" s="234"/>
      <c r="E17" s="235">
        <v>1613</v>
      </c>
      <c r="F17" s="236">
        <v>1499</v>
      </c>
      <c r="G17" s="237">
        <v>114</v>
      </c>
      <c r="I17" s="238">
        <f t="shared" si="0"/>
        <v>0.92932424054556728</v>
      </c>
      <c r="J17" s="239">
        <f t="shared" si="1"/>
        <v>7.0675759454432732E-2</v>
      </c>
      <c r="L17" s="240">
        <v>486</v>
      </c>
      <c r="M17" s="240">
        <v>451</v>
      </c>
      <c r="N17" s="240">
        <v>35</v>
      </c>
      <c r="P17" s="241">
        <f t="shared" si="2"/>
        <v>0.92798353909465026</v>
      </c>
      <c r="Q17" s="241">
        <f t="shared" si="3"/>
        <v>7.2016460905349799E-2</v>
      </c>
    </row>
    <row r="18" spans="1:17" x14ac:dyDescent="0.2">
      <c r="A18" s="232" t="s">
        <v>32</v>
      </c>
      <c r="B18" s="233" t="s">
        <v>33</v>
      </c>
      <c r="C18" s="234" t="s">
        <v>265</v>
      </c>
      <c r="D18" s="234"/>
      <c r="E18" s="235">
        <v>8784</v>
      </c>
      <c r="F18" s="236">
        <v>8271</v>
      </c>
      <c r="G18" s="237">
        <v>513</v>
      </c>
      <c r="I18" s="238">
        <f t="shared" si="0"/>
        <v>0.94159836065573765</v>
      </c>
      <c r="J18" s="239">
        <f t="shared" si="1"/>
        <v>5.8401639344262297E-2</v>
      </c>
      <c r="L18" s="240">
        <v>3140</v>
      </c>
      <c r="M18" s="240">
        <v>2972</v>
      </c>
      <c r="N18" s="240">
        <v>168</v>
      </c>
      <c r="P18" s="241">
        <f t="shared" si="2"/>
        <v>0.94649681528662422</v>
      </c>
      <c r="Q18" s="241">
        <f t="shared" si="3"/>
        <v>5.3503184713375798E-2</v>
      </c>
    </row>
    <row r="19" spans="1:17" x14ac:dyDescent="0.2">
      <c r="A19" s="232" t="s">
        <v>36</v>
      </c>
      <c r="B19" s="233" t="s">
        <v>37</v>
      </c>
      <c r="C19" s="234" t="s">
        <v>264</v>
      </c>
      <c r="D19" s="234"/>
      <c r="E19" s="235">
        <v>3029</v>
      </c>
      <c r="F19" s="236">
        <v>2666</v>
      </c>
      <c r="G19" s="237">
        <v>363</v>
      </c>
      <c r="I19" s="238">
        <f t="shared" si="0"/>
        <v>0.88015846814130072</v>
      </c>
      <c r="J19" s="239">
        <f t="shared" si="1"/>
        <v>0.11984153185869924</v>
      </c>
      <c r="L19" s="240">
        <v>913</v>
      </c>
      <c r="M19" s="240">
        <v>741</v>
      </c>
      <c r="N19" s="240">
        <v>172</v>
      </c>
      <c r="P19" s="241">
        <f t="shared" si="2"/>
        <v>0.81161007667031759</v>
      </c>
      <c r="Q19" s="241">
        <f t="shared" si="3"/>
        <v>0.18838992332968238</v>
      </c>
    </row>
    <row r="20" spans="1:17" x14ac:dyDescent="0.2">
      <c r="A20" s="232" t="s">
        <v>38</v>
      </c>
      <c r="B20" s="233" t="s">
        <v>39</v>
      </c>
      <c r="C20" s="234" t="s">
        <v>268</v>
      </c>
      <c r="D20" s="234"/>
      <c r="E20" s="235">
        <v>5701</v>
      </c>
      <c r="F20" s="236">
        <v>5346</v>
      </c>
      <c r="G20" s="237">
        <v>355</v>
      </c>
      <c r="I20" s="238">
        <f t="shared" si="0"/>
        <v>0.9377302227679355</v>
      </c>
      <c r="J20" s="239">
        <f t="shared" si="1"/>
        <v>6.2269777232064553E-2</v>
      </c>
      <c r="L20" s="240">
        <v>1790</v>
      </c>
      <c r="M20" s="240">
        <v>1644</v>
      </c>
      <c r="N20" s="240">
        <v>146</v>
      </c>
      <c r="P20" s="241">
        <f t="shared" si="2"/>
        <v>0.91843575418994416</v>
      </c>
      <c r="Q20" s="241">
        <f t="shared" si="3"/>
        <v>8.1564245810055863E-2</v>
      </c>
    </row>
    <row r="21" spans="1:17" x14ac:dyDescent="0.2">
      <c r="A21" s="232" t="s">
        <v>40</v>
      </c>
      <c r="B21" s="233" t="s">
        <v>41</v>
      </c>
      <c r="C21" s="234" t="s">
        <v>266</v>
      </c>
      <c r="D21" s="234"/>
      <c r="E21" s="235">
        <v>3271</v>
      </c>
      <c r="F21" s="236">
        <v>2867</v>
      </c>
      <c r="G21" s="237">
        <v>404</v>
      </c>
      <c r="I21" s="238">
        <f t="shared" si="0"/>
        <v>0.87649036991745644</v>
      </c>
      <c r="J21" s="239">
        <f t="shared" si="1"/>
        <v>0.12350963008254356</v>
      </c>
      <c r="L21" s="240">
        <v>1127</v>
      </c>
      <c r="M21" s="240">
        <v>949</v>
      </c>
      <c r="N21" s="240">
        <v>178</v>
      </c>
      <c r="P21" s="241">
        <f t="shared" si="2"/>
        <v>0.84205856255545697</v>
      </c>
      <c r="Q21" s="241">
        <f t="shared" si="3"/>
        <v>0.15794143744454303</v>
      </c>
    </row>
    <row r="22" spans="1:17" x14ac:dyDescent="0.2">
      <c r="A22" s="232" t="s">
        <v>42</v>
      </c>
      <c r="B22" s="233" t="s">
        <v>43</v>
      </c>
      <c r="C22" s="234" t="s">
        <v>265</v>
      </c>
      <c r="D22" s="234"/>
      <c r="E22" s="235">
        <v>12666</v>
      </c>
      <c r="F22" s="236">
        <v>11598</v>
      </c>
      <c r="G22" s="237">
        <v>1068</v>
      </c>
      <c r="I22" s="238">
        <f t="shared" si="0"/>
        <v>0.91567977261961153</v>
      </c>
      <c r="J22" s="239">
        <f t="shared" si="1"/>
        <v>8.4320227380388441E-2</v>
      </c>
      <c r="L22" s="240">
        <v>4621</v>
      </c>
      <c r="M22" s="240">
        <v>4181</v>
      </c>
      <c r="N22" s="240">
        <v>440</v>
      </c>
      <c r="P22" s="241">
        <f t="shared" si="2"/>
        <v>0.90478251460722792</v>
      </c>
      <c r="Q22" s="241">
        <f t="shared" si="3"/>
        <v>9.5217485392772125E-2</v>
      </c>
    </row>
    <row r="23" spans="1:17" x14ac:dyDescent="0.2">
      <c r="A23" s="232" t="s">
        <v>44</v>
      </c>
      <c r="B23" s="233" t="s">
        <v>45</v>
      </c>
      <c r="C23" s="234" t="s">
        <v>266</v>
      </c>
      <c r="D23" s="234"/>
      <c r="E23" s="235">
        <v>6213</v>
      </c>
      <c r="F23" s="236">
        <v>5487</v>
      </c>
      <c r="G23" s="237">
        <v>726</v>
      </c>
      <c r="I23" s="238">
        <f t="shared" si="0"/>
        <v>0.88314823756639305</v>
      </c>
      <c r="J23" s="239">
        <f t="shared" si="1"/>
        <v>0.11685176243360695</v>
      </c>
      <c r="L23" s="240">
        <v>2422</v>
      </c>
      <c r="M23" s="240">
        <v>2104</v>
      </c>
      <c r="N23" s="240">
        <v>318</v>
      </c>
      <c r="P23" s="241">
        <f t="shared" si="2"/>
        <v>0.86870355078447559</v>
      </c>
      <c r="Q23" s="241">
        <f t="shared" si="3"/>
        <v>0.13129644921552436</v>
      </c>
    </row>
    <row r="24" spans="1:17" x14ac:dyDescent="0.2">
      <c r="A24" s="232" t="s">
        <v>46</v>
      </c>
      <c r="B24" s="233" t="s">
        <v>47</v>
      </c>
      <c r="C24" s="234" t="s">
        <v>268</v>
      </c>
      <c r="D24" s="234"/>
      <c r="E24" s="235">
        <v>7489</v>
      </c>
      <c r="F24" s="236">
        <v>6888</v>
      </c>
      <c r="G24" s="237">
        <v>601</v>
      </c>
      <c r="I24" s="238">
        <f t="shared" si="0"/>
        <v>0.91974896514888504</v>
      </c>
      <c r="J24" s="239">
        <f t="shared" si="1"/>
        <v>8.0251034851114969E-2</v>
      </c>
      <c r="L24" s="240">
        <v>2421</v>
      </c>
      <c r="M24" s="240">
        <v>2165</v>
      </c>
      <c r="N24" s="240">
        <v>256</v>
      </c>
      <c r="P24" s="241">
        <f t="shared" si="2"/>
        <v>0.89425857083849647</v>
      </c>
      <c r="Q24" s="241">
        <f t="shared" si="3"/>
        <v>0.10574142916150352</v>
      </c>
    </row>
    <row r="25" spans="1:17" x14ac:dyDescent="0.2">
      <c r="A25" s="232" t="s">
        <v>48</v>
      </c>
      <c r="B25" s="233" t="s">
        <v>269</v>
      </c>
      <c r="C25" s="234" t="s">
        <v>266</v>
      </c>
      <c r="D25" s="234"/>
      <c r="E25" s="235">
        <v>1642</v>
      </c>
      <c r="F25" s="236">
        <v>1485</v>
      </c>
      <c r="G25" s="237">
        <v>157</v>
      </c>
      <c r="I25" s="238">
        <f t="shared" si="0"/>
        <v>0.90438489646772224</v>
      </c>
      <c r="J25" s="239">
        <f t="shared" si="1"/>
        <v>9.5615103532277715E-2</v>
      </c>
      <c r="L25" s="240">
        <v>444</v>
      </c>
      <c r="M25" s="240">
        <v>392</v>
      </c>
      <c r="N25" s="240">
        <v>52</v>
      </c>
      <c r="P25" s="241">
        <f t="shared" si="2"/>
        <v>0.88288288288288286</v>
      </c>
      <c r="Q25" s="241">
        <f t="shared" si="3"/>
        <v>0.11711711711711711</v>
      </c>
    </row>
    <row r="26" spans="1:17" x14ac:dyDescent="0.2">
      <c r="A26" s="232" t="s">
        <v>50</v>
      </c>
      <c r="B26" s="233" t="s">
        <v>51</v>
      </c>
      <c r="C26" s="234" t="s">
        <v>265</v>
      </c>
      <c r="D26" s="234"/>
      <c r="E26" s="235">
        <v>2715</v>
      </c>
      <c r="F26" s="236">
        <v>2463</v>
      </c>
      <c r="G26" s="237">
        <v>252</v>
      </c>
      <c r="I26" s="238">
        <f t="shared" si="0"/>
        <v>0.90718232044198899</v>
      </c>
      <c r="J26" s="239">
        <f t="shared" si="1"/>
        <v>9.2817679558011054E-2</v>
      </c>
      <c r="L26" s="240">
        <v>903</v>
      </c>
      <c r="M26" s="240">
        <v>811</v>
      </c>
      <c r="N26" s="240">
        <v>92</v>
      </c>
      <c r="P26" s="241">
        <f t="shared" si="2"/>
        <v>0.89811738648947947</v>
      </c>
      <c r="Q26" s="241">
        <f t="shared" si="3"/>
        <v>0.10188261351052048</v>
      </c>
    </row>
    <row r="27" spans="1:17" x14ac:dyDescent="0.2">
      <c r="A27" s="232" t="s">
        <v>56</v>
      </c>
      <c r="B27" s="233" t="s">
        <v>295</v>
      </c>
      <c r="C27" s="234" t="s">
        <v>266</v>
      </c>
      <c r="D27" s="234"/>
      <c r="E27" s="235">
        <v>75033</v>
      </c>
      <c r="F27" s="236">
        <v>69143</v>
      </c>
      <c r="G27" s="237">
        <v>5890</v>
      </c>
      <c r="I27" s="238">
        <f t="shared" si="0"/>
        <v>0.92150120613596687</v>
      </c>
      <c r="J27" s="239">
        <f t="shared" si="1"/>
        <v>7.8498793864033162E-2</v>
      </c>
      <c r="L27" s="240">
        <v>33204</v>
      </c>
      <c r="M27" s="240">
        <v>30858</v>
      </c>
      <c r="N27" s="240">
        <v>2346</v>
      </c>
      <c r="P27" s="241">
        <f t="shared" si="2"/>
        <v>0.9293458619443441</v>
      </c>
      <c r="Q27" s="241">
        <f t="shared" si="3"/>
        <v>7.0654138055655943E-2</v>
      </c>
    </row>
    <row r="28" spans="1:17" x14ac:dyDescent="0.2">
      <c r="A28" s="232" t="s">
        <v>58</v>
      </c>
      <c r="B28" s="233" t="s">
        <v>59</v>
      </c>
      <c r="C28" s="234" t="s">
        <v>267</v>
      </c>
      <c r="D28" s="234"/>
      <c r="E28" s="235">
        <v>3385</v>
      </c>
      <c r="F28" s="236">
        <v>3091</v>
      </c>
      <c r="G28" s="237">
        <v>294</v>
      </c>
      <c r="I28" s="238">
        <f t="shared" si="0"/>
        <v>0.91314623338257017</v>
      </c>
      <c r="J28" s="239">
        <f t="shared" si="1"/>
        <v>8.6853766617429842E-2</v>
      </c>
      <c r="L28" s="240">
        <v>1282</v>
      </c>
      <c r="M28" s="240">
        <v>1196</v>
      </c>
      <c r="N28" s="240">
        <v>86</v>
      </c>
      <c r="P28" s="241">
        <f t="shared" si="2"/>
        <v>0.93291731669266775</v>
      </c>
      <c r="Q28" s="241">
        <f t="shared" si="3"/>
        <v>6.7082683307332289E-2</v>
      </c>
    </row>
    <row r="29" spans="1:17" x14ac:dyDescent="0.2">
      <c r="A29" s="232" t="s">
        <v>60</v>
      </c>
      <c r="B29" s="233" t="s">
        <v>61</v>
      </c>
      <c r="C29" s="234" t="s">
        <v>265</v>
      </c>
      <c r="D29" s="234"/>
      <c r="E29" s="235">
        <v>1331</v>
      </c>
      <c r="F29" s="236">
        <v>1222</v>
      </c>
      <c r="G29" s="237">
        <v>109</v>
      </c>
      <c r="I29" s="238">
        <f t="shared" si="0"/>
        <v>0.91810668670172801</v>
      </c>
      <c r="J29" s="239">
        <f t="shared" si="1"/>
        <v>8.1893313298271972E-2</v>
      </c>
      <c r="L29" s="240">
        <v>444</v>
      </c>
      <c r="M29" s="240">
        <v>410</v>
      </c>
      <c r="N29" s="240">
        <v>34</v>
      </c>
      <c r="P29" s="241">
        <f t="shared" si="2"/>
        <v>0.92342342342342343</v>
      </c>
      <c r="Q29" s="241">
        <f t="shared" si="3"/>
        <v>7.6576576576576572E-2</v>
      </c>
    </row>
    <row r="30" spans="1:17" x14ac:dyDescent="0.2">
      <c r="A30" s="232" t="s">
        <v>62</v>
      </c>
      <c r="B30" s="233" t="s">
        <v>63</v>
      </c>
      <c r="C30" s="234" t="s">
        <v>267</v>
      </c>
      <c r="D30" s="234"/>
      <c r="E30" s="235">
        <v>10145</v>
      </c>
      <c r="F30" s="236">
        <v>9169</v>
      </c>
      <c r="G30" s="237">
        <v>976</v>
      </c>
      <c r="I30" s="238">
        <f t="shared" si="0"/>
        <v>0.90379497289305077</v>
      </c>
      <c r="J30" s="239">
        <f t="shared" si="1"/>
        <v>9.620502710694924E-2</v>
      </c>
      <c r="L30" s="240">
        <v>4330</v>
      </c>
      <c r="M30" s="240">
        <v>3917</v>
      </c>
      <c r="N30" s="240">
        <v>413</v>
      </c>
      <c r="P30" s="241">
        <f t="shared" si="2"/>
        <v>0.90461893764434176</v>
      </c>
      <c r="Q30" s="241">
        <f t="shared" si="3"/>
        <v>9.53810623556582E-2</v>
      </c>
    </row>
    <row r="31" spans="1:17" x14ac:dyDescent="0.2">
      <c r="A31" s="232" t="s">
        <v>64</v>
      </c>
      <c r="B31" s="233" t="s">
        <v>65</v>
      </c>
      <c r="C31" s="234" t="s">
        <v>266</v>
      </c>
      <c r="D31" s="234"/>
      <c r="E31" s="235">
        <v>2180</v>
      </c>
      <c r="F31" s="236">
        <v>1954</v>
      </c>
      <c r="G31" s="237">
        <v>226</v>
      </c>
      <c r="I31" s="238">
        <f t="shared" si="0"/>
        <v>0.89633027522935782</v>
      </c>
      <c r="J31" s="239">
        <f t="shared" si="1"/>
        <v>0.10366972477064221</v>
      </c>
      <c r="L31" s="240">
        <v>747</v>
      </c>
      <c r="M31" s="240">
        <v>654</v>
      </c>
      <c r="N31" s="240">
        <v>93</v>
      </c>
      <c r="P31" s="241">
        <f t="shared" si="2"/>
        <v>0.87550200803212852</v>
      </c>
      <c r="Q31" s="241">
        <f t="shared" si="3"/>
        <v>0.12449799196787148</v>
      </c>
    </row>
    <row r="32" spans="1:17" x14ac:dyDescent="0.2">
      <c r="A32" s="232" t="s">
        <v>68</v>
      </c>
      <c r="B32" s="233" t="s">
        <v>69</v>
      </c>
      <c r="C32" s="234" t="s">
        <v>268</v>
      </c>
      <c r="D32" s="234"/>
      <c r="E32" s="235">
        <v>3825</v>
      </c>
      <c r="F32" s="236">
        <v>3568</v>
      </c>
      <c r="G32" s="237">
        <v>257</v>
      </c>
      <c r="I32" s="238">
        <f t="shared" si="0"/>
        <v>0.93281045751633984</v>
      </c>
      <c r="J32" s="239">
        <f t="shared" si="1"/>
        <v>6.7189542483660131E-2</v>
      </c>
      <c r="L32" s="240">
        <v>1341</v>
      </c>
      <c r="M32" s="240">
        <v>1233</v>
      </c>
      <c r="N32" s="240">
        <v>108</v>
      </c>
      <c r="P32" s="241">
        <f t="shared" si="2"/>
        <v>0.91946308724832215</v>
      </c>
      <c r="Q32" s="241">
        <f t="shared" si="3"/>
        <v>8.0536912751677847E-2</v>
      </c>
    </row>
    <row r="33" spans="1:17" x14ac:dyDescent="0.2">
      <c r="A33" s="232" t="s">
        <v>70</v>
      </c>
      <c r="B33" s="233" t="s">
        <v>71</v>
      </c>
      <c r="C33" s="234" t="s">
        <v>264</v>
      </c>
      <c r="D33" s="234"/>
      <c r="E33" s="235">
        <v>6031</v>
      </c>
      <c r="F33" s="236">
        <v>5383</v>
      </c>
      <c r="G33" s="237">
        <v>648</v>
      </c>
      <c r="I33" s="238">
        <f t="shared" si="0"/>
        <v>0.89255513181893553</v>
      </c>
      <c r="J33" s="239">
        <f t="shared" si="1"/>
        <v>0.1074448681810645</v>
      </c>
      <c r="L33" s="240">
        <v>2234</v>
      </c>
      <c r="M33" s="240">
        <v>1975</v>
      </c>
      <c r="N33" s="240">
        <v>259</v>
      </c>
      <c r="P33" s="241">
        <f t="shared" si="2"/>
        <v>0.88406445837063563</v>
      </c>
      <c r="Q33" s="241">
        <f t="shared" si="3"/>
        <v>0.11593554162936437</v>
      </c>
    </row>
    <row r="34" spans="1:17" x14ac:dyDescent="0.2">
      <c r="A34" s="232" t="s">
        <v>72</v>
      </c>
      <c r="B34" s="233" t="s">
        <v>73</v>
      </c>
      <c r="C34" s="234" t="s">
        <v>266</v>
      </c>
      <c r="D34" s="234"/>
      <c r="E34" s="235">
        <v>2428</v>
      </c>
      <c r="F34" s="236">
        <v>2093</v>
      </c>
      <c r="G34" s="237">
        <v>335</v>
      </c>
      <c r="I34" s="238">
        <f t="shared" si="0"/>
        <v>0.86202635914332781</v>
      </c>
      <c r="J34" s="239">
        <f t="shared" si="1"/>
        <v>0.13797364085667216</v>
      </c>
      <c r="L34" s="240">
        <v>766</v>
      </c>
      <c r="M34" s="240">
        <v>641</v>
      </c>
      <c r="N34" s="240">
        <v>125</v>
      </c>
      <c r="P34" s="241">
        <f t="shared" si="2"/>
        <v>0.83681462140992169</v>
      </c>
      <c r="Q34" s="241">
        <f t="shared" si="3"/>
        <v>0.16318537859007834</v>
      </c>
    </row>
    <row r="35" spans="1:17" x14ac:dyDescent="0.2">
      <c r="A35" s="232" t="s">
        <v>74</v>
      </c>
      <c r="B35" s="233" t="s">
        <v>609</v>
      </c>
      <c r="C35" s="234" t="s">
        <v>267</v>
      </c>
      <c r="D35" s="234"/>
      <c r="E35" s="235">
        <v>246380</v>
      </c>
      <c r="F35" s="236">
        <v>231762</v>
      </c>
      <c r="G35" s="237">
        <v>14618</v>
      </c>
      <c r="I35" s="238">
        <f t="shared" si="0"/>
        <v>0.94066888546148231</v>
      </c>
      <c r="J35" s="239">
        <f t="shared" si="1"/>
        <v>5.9331114538517735E-2</v>
      </c>
      <c r="L35" s="240">
        <v>116691</v>
      </c>
      <c r="M35" s="240">
        <v>112931</v>
      </c>
      <c r="N35" s="240">
        <v>3760</v>
      </c>
      <c r="P35" s="241">
        <f t="shared" si="2"/>
        <v>0.96777814912889593</v>
      </c>
      <c r="Q35" s="241">
        <f t="shared" si="3"/>
        <v>3.2221850871104026E-2</v>
      </c>
    </row>
    <row r="36" spans="1:17" x14ac:dyDescent="0.2">
      <c r="A36" s="232" t="s">
        <v>76</v>
      </c>
      <c r="B36" s="233" t="s">
        <v>77</v>
      </c>
      <c r="C36" s="234" t="s">
        <v>267</v>
      </c>
      <c r="D36" s="234"/>
      <c r="E36" s="235">
        <v>15535</v>
      </c>
      <c r="F36" s="236">
        <v>14399</v>
      </c>
      <c r="G36" s="237">
        <v>1136</v>
      </c>
      <c r="I36" s="238">
        <f t="shared" si="0"/>
        <v>0.92687479884132606</v>
      </c>
      <c r="J36" s="239">
        <f t="shared" si="1"/>
        <v>7.3125201158673964E-2</v>
      </c>
      <c r="L36" s="240">
        <v>6485</v>
      </c>
      <c r="M36" s="240">
        <v>6125</v>
      </c>
      <c r="N36" s="240">
        <v>360</v>
      </c>
      <c r="P36" s="241">
        <f t="shared" si="2"/>
        <v>0.94448727833461832</v>
      </c>
      <c r="Q36" s="241">
        <f t="shared" si="3"/>
        <v>5.5512721665381647E-2</v>
      </c>
    </row>
    <row r="37" spans="1:17" x14ac:dyDescent="0.2">
      <c r="A37" s="232" t="s">
        <v>78</v>
      </c>
      <c r="B37" s="233" t="s">
        <v>79</v>
      </c>
      <c r="C37" s="234" t="s">
        <v>268</v>
      </c>
      <c r="D37" s="234"/>
      <c r="E37" s="235">
        <v>3869</v>
      </c>
      <c r="F37" s="236">
        <v>3548</v>
      </c>
      <c r="G37" s="237">
        <v>321</v>
      </c>
      <c r="I37" s="238">
        <f t="shared" si="0"/>
        <v>0.91703282501938488</v>
      </c>
      <c r="J37" s="239">
        <f t="shared" si="1"/>
        <v>8.2967174980615149E-2</v>
      </c>
      <c r="L37" s="240">
        <v>1322</v>
      </c>
      <c r="M37" s="240">
        <v>1210</v>
      </c>
      <c r="N37" s="240">
        <v>112</v>
      </c>
      <c r="P37" s="241">
        <f t="shared" si="2"/>
        <v>0.91527987897125562</v>
      </c>
      <c r="Q37" s="241">
        <f t="shared" si="3"/>
        <v>8.4720121028744322E-2</v>
      </c>
    </row>
    <row r="38" spans="1:17" x14ac:dyDescent="0.2">
      <c r="A38" s="232" t="s">
        <v>80</v>
      </c>
      <c r="B38" s="233" t="s">
        <v>81</v>
      </c>
      <c r="C38" s="234" t="s">
        <v>266</v>
      </c>
      <c r="D38" s="234"/>
      <c r="E38" s="235">
        <v>6232</v>
      </c>
      <c r="F38" s="236">
        <v>5755</v>
      </c>
      <c r="G38" s="237">
        <v>477</v>
      </c>
      <c r="I38" s="238">
        <f t="shared" si="0"/>
        <v>0.92345956354300385</v>
      </c>
      <c r="J38" s="239">
        <f t="shared" si="1"/>
        <v>7.6540436456996153E-2</v>
      </c>
      <c r="L38" s="240">
        <v>2395</v>
      </c>
      <c r="M38" s="240">
        <v>2200</v>
      </c>
      <c r="N38" s="240">
        <v>195</v>
      </c>
      <c r="P38" s="241">
        <f t="shared" si="2"/>
        <v>0.91858037578288099</v>
      </c>
      <c r="Q38" s="241">
        <f t="shared" si="3"/>
        <v>8.1419624217118999E-2</v>
      </c>
    </row>
    <row r="39" spans="1:17" x14ac:dyDescent="0.2">
      <c r="A39" s="232" t="s">
        <v>84</v>
      </c>
      <c r="B39" s="233" t="s">
        <v>308</v>
      </c>
      <c r="C39" s="234" t="s">
        <v>265</v>
      </c>
      <c r="D39" s="234"/>
      <c r="E39" s="235">
        <v>13879</v>
      </c>
      <c r="F39" s="236">
        <v>12622</v>
      </c>
      <c r="G39" s="237">
        <v>1257</v>
      </c>
      <c r="I39" s="238">
        <f t="shared" si="0"/>
        <v>0.90943151523885002</v>
      </c>
      <c r="J39" s="239">
        <f t="shared" si="1"/>
        <v>9.0568484761149939E-2</v>
      </c>
      <c r="L39" s="240">
        <v>4374</v>
      </c>
      <c r="M39" s="240">
        <v>3876</v>
      </c>
      <c r="N39" s="240">
        <v>498</v>
      </c>
      <c r="P39" s="241">
        <f t="shared" si="2"/>
        <v>0.88614540466392322</v>
      </c>
      <c r="Q39" s="241">
        <f t="shared" si="3"/>
        <v>0.11385459533607682</v>
      </c>
    </row>
    <row r="40" spans="1:17" x14ac:dyDescent="0.2">
      <c r="A40" s="232" t="s">
        <v>86</v>
      </c>
      <c r="B40" s="233" t="s">
        <v>87</v>
      </c>
      <c r="C40" s="234" t="s">
        <v>267</v>
      </c>
      <c r="D40" s="234"/>
      <c r="E40" s="235">
        <v>18784</v>
      </c>
      <c r="F40" s="236">
        <v>16992</v>
      </c>
      <c r="G40" s="237">
        <v>1792</v>
      </c>
      <c r="I40" s="238">
        <f t="shared" si="0"/>
        <v>0.90459965928449748</v>
      </c>
      <c r="J40" s="239">
        <f t="shared" si="1"/>
        <v>9.540034071550256E-2</v>
      </c>
      <c r="L40" s="240">
        <v>7847</v>
      </c>
      <c r="M40" s="240">
        <v>7146</v>
      </c>
      <c r="N40" s="240">
        <v>701</v>
      </c>
      <c r="P40" s="241">
        <f t="shared" si="2"/>
        <v>0.9106664967503505</v>
      </c>
      <c r="Q40" s="241">
        <f t="shared" si="3"/>
        <v>8.9333503249649546E-2</v>
      </c>
    </row>
    <row r="41" spans="1:17" x14ac:dyDescent="0.2">
      <c r="A41" s="232" t="s">
        <v>92</v>
      </c>
      <c r="B41" s="233" t="s">
        <v>93</v>
      </c>
      <c r="C41" s="234" t="s">
        <v>268</v>
      </c>
      <c r="D41" s="234"/>
      <c r="E41" s="235">
        <v>4201</v>
      </c>
      <c r="F41" s="236">
        <v>3785</v>
      </c>
      <c r="G41" s="237">
        <v>416</v>
      </c>
      <c r="I41" s="238">
        <f t="shared" si="0"/>
        <v>0.90097595810521303</v>
      </c>
      <c r="J41" s="239">
        <f t="shared" si="1"/>
        <v>9.902404189478696E-2</v>
      </c>
      <c r="L41" s="240">
        <v>1456</v>
      </c>
      <c r="M41" s="240">
        <v>1284</v>
      </c>
      <c r="N41" s="240">
        <v>172</v>
      </c>
      <c r="P41" s="241">
        <f t="shared" si="2"/>
        <v>0.88186813186813184</v>
      </c>
      <c r="Q41" s="241">
        <f t="shared" si="3"/>
        <v>0.11813186813186813</v>
      </c>
    </row>
    <row r="42" spans="1:17" x14ac:dyDescent="0.2">
      <c r="A42" s="232" t="s">
        <v>94</v>
      </c>
      <c r="B42" s="233" t="s">
        <v>95</v>
      </c>
      <c r="C42" s="234" t="s">
        <v>264</v>
      </c>
      <c r="D42" s="234"/>
      <c r="E42" s="235">
        <v>9117</v>
      </c>
      <c r="F42" s="236">
        <v>8306</v>
      </c>
      <c r="G42" s="237">
        <v>811</v>
      </c>
      <c r="I42" s="238">
        <f t="shared" si="0"/>
        <v>0.9110452999890315</v>
      </c>
      <c r="J42" s="239">
        <f t="shared" si="1"/>
        <v>8.8954700010968515E-2</v>
      </c>
      <c r="L42" s="240">
        <v>3312</v>
      </c>
      <c r="M42" s="240">
        <v>3009</v>
      </c>
      <c r="N42" s="240">
        <v>303</v>
      </c>
      <c r="P42" s="241">
        <f t="shared" si="2"/>
        <v>0.90851449275362317</v>
      </c>
      <c r="Q42" s="241">
        <f t="shared" si="3"/>
        <v>9.1485507246376815E-2</v>
      </c>
    </row>
    <row r="43" spans="1:17" x14ac:dyDescent="0.2">
      <c r="A43" s="232" t="s">
        <v>96</v>
      </c>
      <c r="B43" s="233" t="s">
        <v>97</v>
      </c>
      <c r="C43" s="234" t="s">
        <v>266</v>
      </c>
      <c r="D43" s="234"/>
      <c r="E43" s="235">
        <v>5533</v>
      </c>
      <c r="F43" s="236">
        <v>5256</v>
      </c>
      <c r="G43" s="237">
        <v>277</v>
      </c>
      <c r="I43" s="238">
        <f t="shared" si="0"/>
        <v>0.94993674317729981</v>
      </c>
      <c r="J43" s="239">
        <f t="shared" si="1"/>
        <v>5.0063256822700165E-2</v>
      </c>
      <c r="L43" s="240">
        <v>1877</v>
      </c>
      <c r="M43" s="240">
        <v>1797</v>
      </c>
      <c r="N43" s="240">
        <v>80</v>
      </c>
      <c r="P43" s="241">
        <f t="shared" si="2"/>
        <v>0.95737879595098563</v>
      </c>
      <c r="Q43" s="241">
        <f t="shared" si="3"/>
        <v>4.2621204049014386E-2</v>
      </c>
    </row>
    <row r="44" spans="1:17" x14ac:dyDescent="0.2">
      <c r="A44" s="232" t="s">
        <v>98</v>
      </c>
      <c r="B44" s="233" t="s">
        <v>99</v>
      </c>
      <c r="C44" s="234" t="s">
        <v>268</v>
      </c>
      <c r="D44" s="234"/>
      <c r="E44" s="235">
        <v>3931</v>
      </c>
      <c r="F44" s="236">
        <v>3633</v>
      </c>
      <c r="G44" s="237">
        <v>298</v>
      </c>
      <c r="I44" s="238">
        <f t="shared" si="0"/>
        <v>0.92419231747646913</v>
      </c>
      <c r="J44" s="239">
        <f t="shared" si="1"/>
        <v>7.5807682523530914E-2</v>
      </c>
      <c r="L44" s="240">
        <v>1146</v>
      </c>
      <c r="M44" s="240">
        <v>1021</v>
      </c>
      <c r="N44" s="240">
        <v>125</v>
      </c>
      <c r="P44" s="241">
        <f t="shared" si="2"/>
        <v>0.89092495636998259</v>
      </c>
      <c r="Q44" s="241">
        <f t="shared" si="3"/>
        <v>0.10907504363001745</v>
      </c>
    </row>
    <row r="45" spans="1:17" x14ac:dyDescent="0.2">
      <c r="A45" s="232" t="s">
        <v>100</v>
      </c>
      <c r="B45" s="233" t="s">
        <v>101</v>
      </c>
      <c r="C45" s="234" t="s">
        <v>267</v>
      </c>
      <c r="D45" s="234"/>
      <c r="E45" s="235">
        <v>4414</v>
      </c>
      <c r="F45" s="236">
        <v>4003</v>
      </c>
      <c r="G45" s="237">
        <v>411</v>
      </c>
      <c r="I45" s="238">
        <f t="shared" si="0"/>
        <v>0.90688717716357048</v>
      </c>
      <c r="J45" s="239">
        <f t="shared" si="1"/>
        <v>9.3112822836429548E-2</v>
      </c>
      <c r="L45" s="240">
        <v>1796</v>
      </c>
      <c r="M45" s="240">
        <v>1628</v>
      </c>
      <c r="N45" s="240">
        <v>168</v>
      </c>
      <c r="P45" s="241">
        <f t="shared" si="2"/>
        <v>0.90645879732739421</v>
      </c>
      <c r="Q45" s="241">
        <f t="shared" si="3"/>
        <v>9.3541202672605794E-2</v>
      </c>
    </row>
    <row r="46" spans="1:17" x14ac:dyDescent="0.2">
      <c r="A46" s="232" t="s">
        <v>102</v>
      </c>
      <c r="B46" s="233" t="s">
        <v>282</v>
      </c>
      <c r="C46" s="234" t="s">
        <v>264</v>
      </c>
      <c r="D46" s="234"/>
      <c r="E46" s="235">
        <v>2719</v>
      </c>
      <c r="F46" s="236">
        <v>2329</v>
      </c>
      <c r="G46" s="237">
        <v>390</v>
      </c>
      <c r="I46" s="238">
        <f t="shared" si="0"/>
        <v>0.85656491357116582</v>
      </c>
      <c r="J46" s="239">
        <f t="shared" si="1"/>
        <v>0.14343508642883412</v>
      </c>
      <c r="L46" s="240">
        <v>902</v>
      </c>
      <c r="M46" s="240">
        <v>709</v>
      </c>
      <c r="N46" s="240">
        <v>193</v>
      </c>
      <c r="P46" s="241">
        <f t="shared" si="2"/>
        <v>0.78603104212860309</v>
      </c>
      <c r="Q46" s="241">
        <f t="shared" si="3"/>
        <v>0.21396895787139689</v>
      </c>
    </row>
    <row r="47" spans="1:17" x14ac:dyDescent="0.2">
      <c r="A47" s="232" t="s">
        <v>104</v>
      </c>
      <c r="B47" s="233" t="s">
        <v>602</v>
      </c>
      <c r="C47" s="234" t="s">
        <v>265</v>
      </c>
      <c r="D47" s="234"/>
      <c r="E47" s="235">
        <v>7601</v>
      </c>
      <c r="F47" s="236">
        <v>6980</v>
      </c>
      <c r="G47" s="237">
        <v>621</v>
      </c>
      <c r="I47" s="238">
        <f t="shared" si="0"/>
        <v>0.91830022365478225</v>
      </c>
      <c r="J47" s="239">
        <f t="shared" si="1"/>
        <v>8.1699776345217731E-2</v>
      </c>
      <c r="L47" s="240">
        <v>2470</v>
      </c>
      <c r="M47" s="240">
        <v>2191</v>
      </c>
      <c r="N47" s="240">
        <v>279</v>
      </c>
      <c r="P47" s="241">
        <f t="shared" si="2"/>
        <v>0.8870445344129555</v>
      </c>
      <c r="Q47" s="241">
        <f t="shared" si="3"/>
        <v>0.11295546558704453</v>
      </c>
    </row>
    <row r="48" spans="1:17" x14ac:dyDescent="0.2">
      <c r="A48" s="232" t="s">
        <v>108</v>
      </c>
      <c r="B48" s="233" t="s">
        <v>109</v>
      </c>
      <c r="C48" s="234" t="s">
        <v>266</v>
      </c>
      <c r="D48" s="234"/>
      <c r="E48" s="235">
        <v>24235</v>
      </c>
      <c r="F48" s="236">
        <v>22810</v>
      </c>
      <c r="G48" s="237">
        <v>1425</v>
      </c>
      <c r="I48" s="238">
        <f t="shared" si="0"/>
        <v>0.94120074272746024</v>
      </c>
      <c r="J48" s="239">
        <f t="shared" si="1"/>
        <v>5.8799257272539714E-2</v>
      </c>
      <c r="L48" s="240">
        <v>10521</v>
      </c>
      <c r="M48" s="240">
        <v>10021</v>
      </c>
      <c r="N48" s="240">
        <v>500</v>
      </c>
      <c r="P48" s="241">
        <f t="shared" si="2"/>
        <v>0.95247600038019198</v>
      </c>
      <c r="Q48" s="241">
        <f t="shared" si="3"/>
        <v>4.7523999619808001E-2</v>
      </c>
    </row>
    <row r="49" spans="1:17" x14ac:dyDescent="0.2">
      <c r="A49" s="232" t="s">
        <v>110</v>
      </c>
      <c r="B49" s="233" t="s">
        <v>111</v>
      </c>
      <c r="C49" s="234" t="s">
        <v>266</v>
      </c>
      <c r="D49" s="234"/>
      <c r="E49" s="235">
        <v>63078</v>
      </c>
      <c r="F49" s="236">
        <v>56537</v>
      </c>
      <c r="G49" s="237">
        <v>6541</v>
      </c>
      <c r="I49" s="238">
        <f t="shared" si="0"/>
        <v>0.89630298994895208</v>
      </c>
      <c r="J49" s="239">
        <f t="shared" si="1"/>
        <v>0.10369701005104791</v>
      </c>
      <c r="L49" s="240">
        <v>27549</v>
      </c>
      <c r="M49" s="240">
        <v>25239</v>
      </c>
      <c r="N49" s="240">
        <v>2310</v>
      </c>
      <c r="P49" s="241">
        <f t="shared" si="2"/>
        <v>0.91614940651203314</v>
      </c>
      <c r="Q49" s="241">
        <f t="shared" si="3"/>
        <v>8.385059348796689E-2</v>
      </c>
    </row>
    <row r="50" spans="1:17" x14ac:dyDescent="0.2">
      <c r="A50" s="232" t="s">
        <v>112</v>
      </c>
      <c r="B50" s="233" t="s">
        <v>300</v>
      </c>
      <c r="C50" s="234" t="s">
        <v>265</v>
      </c>
      <c r="D50" s="234"/>
      <c r="E50" s="235">
        <v>14517</v>
      </c>
      <c r="F50" s="236">
        <v>13130</v>
      </c>
      <c r="G50" s="237">
        <v>1387</v>
      </c>
      <c r="I50" s="238">
        <f t="shared" si="0"/>
        <v>0.90445684370048907</v>
      </c>
      <c r="J50" s="239">
        <f t="shared" si="1"/>
        <v>9.554315629951092E-2</v>
      </c>
      <c r="L50" s="240">
        <v>4598</v>
      </c>
      <c r="M50" s="240">
        <v>3985</v>
      </c>
      <c r="N50" s="240">
        <v>613</v>
      </c>
      <c r="P50" s="241">
        <f t="shared" si="2"/>
        <v>0.86668116572422793</v>
      </c>
      <c r="Q50" s="241">
        <f t="shared" si="3"/>
        <v>0.13331883427577207</v>
      </c>
    </row>
    <row r="51" spans="1:17" x14ac:dyDescent="0.2">
      <c r="A51" s="232" t="s">
        <v>114</v>
      </c>
      <c r="B51" s="233" t="s">
        <v>115</v>
      </c>
      <c r="C51" s="234" t="s">
        <v>265</v>
      </c>
      <c r="D51" s="234"/>
      <c r="E51" s="235">
        <v>667</v>
      </c>
      <c r="F51" s="236">
        <v>621</v>
      </c>
      <c r="G51" s="237">
        <v>46</v>
      </c>
      <c r="I51" s="238">
        <f t="shared" si="0"/>
        <v>0.93103448275862066</v>
      </c>
      <c r="J51" s="239">
        <f t="shared" si="1"/>
        <v>6.8965517241379309E-2</v>
      </c>
      <c r="L51" s="240">
        <v>157</v>
      </c>
      <c r="M51" s="240">
        <v>144</v>
      </c>
      <c r="N51" s="240">
        <v>13</v>
      </c>
      <c r="P51" s="241">
        <f t="shared" si="2"/>
        <v>0.91719745222929938</v>
      </c>
      <c r="Q51" s="241">
        <f t="shared" si="3"/>
        <v>8.2802547770700632E-2</v>
      </c>
    </row>
    <row r="52" spans="1:17" x14ac:dyDescent="0.2">
      <c r="A52" s="232" t="s">
        <v>118</v>
      </c>
      <c r="B52" s="233" t="s">
        <v>119</v>
      </c>
      <c r="C52" s="234" t="s">
        <v>264</v>
      </c>
      <c r="D52" s="234"/>
      <c r="E52" s="235">
        <v>8522</v>
      </c>
      <c r="F52" s="236">
        <v>7966</v>
      </c>
      <c r="G52" s="237">
        <v>556</v>
      </c>
      <c r="I52" s="238">
        <f t="shared" si="0"/>
        <v>0.9347570992724713</v>
      </c>
      <c r="J52" s="239">
        <f t="shared" si="1"/>
        <v>6.5242900727528752E-2</v>
      </c>
      <c r="L52" s="240">
        <v>3096</v>
      </c>
      <c r="M52" s="240">
        <v>2886</v>
      </c>
      <c r="N52" s="240">
        <v>210</v>
      </c>
      <c r="P52" s="241">
        <f t="shared" si="2"/>
        <v>0.93217054263565891</v>
      </c>
      <c r="Q52" s="241">
        <f t="shared" si="3"/>
        <v>6.7829457364341081E-2</v>
      </c>
    </row>
    <row r="53" spans="1:17" x14ac:dyDescent="0.2">
      <c r="A53" s="232" t="s">
        <v>120</v>
      </c>
      <c r="B53" s="233" t="s">
        <v>121</v>
      </c>
      <c r="C53" s="234" t="s">
        <v>264</v>
      </c>
      <c r="D53" s="234"/>
      <c r="E53" s="235">
        <v>17151</v>
      </c>
      <c r="F53" s="236">
        <v>16192</v>
      </c>
      <c r="G53" s="237">
        <v>959</v>
      </c>
      <c r="I53" s="238">
        <f t="shared" si="0"/>
        <v>0.94408489300915399</v>
      </c>
      <c r="J53" s="239">
        <f t="shared" si="1"/>
        <v>5.5915106990846015E-2</v>
      </c>
      <c r="L53" s="240">
        <v>5736</v>
      </c>
      <c r="M53" s="240">
        <v>5418</v>
      </c>
      <c r="N53" s="240">
        <v>318</v>
      </c>
      <c r="P53" s="241">
        <f t="shared" si="2"/>
        <v>0.94456066945606698</v>
      </c>
      <c r="Q53" s="241">
        <f t="shared" si="3"/>
        <v>5.5439330543933053E-2</v>
      </c>
    </row>
    <row r="54" spans="1:17" x14ac:dyDescent="0.2">
      <c r="A54" s="232" t="s">
        <v>122</v>
      </c>
      <c r="B54" s="233" t="s">
        <v>271</v>
      </c>
      <c r="C54" s="234" t="s">
        <v>266</v>
      </c>
      <c r="D54" s="234"/>
      <c r="E54" s="235">
        <v>1580</v>
      </c>
      <c r="F54" s="236">
        <v>1427</v>
      </c>
      <c r="G54" s="237">
        <v>153</v>
      </c>
      <c r="I54" s="238">
        <f t="shared" si="0"/>
        <v>0.90316455696202536</v>
      </c>
      <c r="J54" s="239">
        <f t="shared" si="1"/>
        <v>9.6835443037974686E-2</v>
      </c>
      <c r="L54" s="240">
        <v>513</v>
      </c>
      <c r="M54" s="240">
        <v>449</v>
      </c>
      <c r="N54" s="240">
        <v>64</v>
      </c>
      <c r="P54" s="241">
        <f t="shared" si="2"/>
        <v>0.87524366471734893</v>
      </c>
      <c r="Q54" s="241">
        <f t="shared" si="3"/>
        <v>0.12475633528265107</v>
      </c>
    </row>
    <row r="55" spans="1:17" x14ac:dyDescent="0.2">
      <c r="A55" s="232" t="s">
        <v>124</v>
      </c>
      <c r="B55" s="233" t="s">
        <v>125</v>
      </c>
      <c r="C55" s="234" t="s">
        <v>267</v>
      </c>
      <c r="D55" s="234"/>
      <c r="E55" s="235">
        <v>5512</v>
      </c>
      <c r="F55" s="236">
        <v>5032</v>
      </c>
      <c r="G55" s="237">
        <v>480</v>
      </c>
      <c r="I55" s="238">
        <f t="shared" si="0"/>
        <v>0.91291727140783741</v>
      </c>
      <c r="J55" s="239">
        <f t="shared" si="1"/>
        <v>8.7082728592162553E-2</v>
      </c>
      <c r="L55" s="240">
        <v>2485</v>
      </c>
      <c r="M55" s="240">
        <v>2298</v>
      </c>
      <c r="N55" s="240">
        <v>187</v>
      </c>
      <c r="P55" s="241">
        <f t="shared" si="2"/>
        <v>0.92474849094567402</v>
      </c>
      <c r="Q55" s="241">
        <f t="shared" si="3"/>
        <v>7.5251509054325955E-2</v>
      </c>
    </row>
    <row r="56" spans="1:17" x14ac:dyDescent="0.2">
      <c r="A56" s="232" t="s">
        <v>126</v>
      </c>
      <c r="B56" s="233" t="s">
        <v>127</v>
      </c>
      <c r="C56" s="234" t="s">
        <v>266</v>
      </c>
      <c r="D56" s="234"/>
      <c r="E56" s="235">
        <v>3882</v>
      </c>
      <c r="F56" s="236">
        <v>3561</v>
      </c>
      <c r="G56" s="237">
        <v>321</v>
      </c>
      <c r="I56" s="238">
        <f t="shared" si="0"/>
        <v>0.91731066460587329</v>
      </c>
      <c r="J56" s="239">
        <f t="shared" si="1"/>
        <v>8.2689335394126734E-2</v>
      </c>
      <c r="L56" s="240">
        <v>1605</v>
      </c>
      <c r="M56" s="240">
        <v>1483</v>
      </c>
      <c r="N56" s="240">
        <v>122</v>
      </c>
      <c r="P56" s="241">
        <f t="shared" si="2"/>
        <v>0.92398753894080998</v>
      </c>
      <c r="Q56" s="241">
        <f t="shared" si="3"/>
        <v>7.6012461059190031E-2</v>
      </c>
    </row>
    <row r="57" spans="1:17" x14ac:dyDescent="0.2">
      <c r="A57" s="232" t="s">
        <v>128</v>
      </c>
      <c r="B57" s="233" t="s">
        <v>129</v>
      </c>
      <c r="C57" s="234" t="s">
        <v>266</v>
      </c>
      <c r="D57" s="234"/>
      <c r="E57" s="235">
        <v>2835</v>
      </c>
      <c r="F57" s="236">
        <v>2584</v>
      </c>
      <c r="G57" s="237">
        <v>251</v>
      </c>
      <c r="I57" s="238">
        <f t="shared" si="0"/>
        <v>0.91146384479717812</v>
      </c>
      <c r="J57" s="239">
        <f t="shared" si="1"/>
        <v>8.8536155202821876E-2</v>
      </c>
      <c r="L57" s="240">
        <v>587</v>
      </c>
      <c r="M57" s="240">
        <v>498</v>
      </c>
      <c r="N57" s="240">
        <v>89</v>
      </c>
      <c r="P57" s="241">
        <f t="shared" si="2"/>
        <v>0.848381601362862</v>
      </c>
      <c r="Q57" s="241">
        <f t="shared" si="3"/>
        <v>0.151618398637138</v>
      </c>
    </row>
    <row r="58" spans="1:17" x14ac:dyDescent="0.2">
      <c r="A58" s="232" t="s">
        <v>130</v>
      </c>
      <c r="B58" s="233" t="s">
        <v>131</v>
      </c>
      <c r="C58" s="234" t="s">
        <v>268</v>
      </c>
      <c r="D58" s="234"/>
      <c r="E58" s="235">
        <v>5554</v>
      </c>
      <c r="F58" s="236">
        <v>5116</v>
      </c>
      <c r="G58" s="237">
        <v>438</v>
      </c>
      <c r="I58" s="238">
        <f t="shared" si="0"/>
        <v>0.92113791861721284</v>
      </c>
      <c r="J58" s="239">
        <f t="shared" si="1"/>
        <v>7.8862081382787177E-2</v>
      </c>
      <c r="L58" s="240">
        <v>1970</v>
      </c>
      <c r="M58" s="240">
        <v>1793</v>
      </c>
      <c r="N58" s="240">
        <v>177</v>
      </c>
      <c r="P58" s="241">
        <f t="shared" si="2"/>
        <v>0.91015228426395944</v>
      </c>
      <c r="Q58" s="241">
        <f t="shared" si="3"/>
        <v>8.9847715736040612E-2</v>
      </c>
    </row>
    <row r="59" spans="1:17" x14ac:dyDescent="0.2">
      <c r="A59" s="232" t="s">
        <v>132</v>
      </c>
      <c r="B59" s="233" t="s">
        <v>133</v>
      </c>
      <c r="C59" s="234" t="s">
        <v>267</v>
      </c>
      <c r="D59" s="234"/>
      <c r="E59" s="235">
        <v>72122</v>
      </c>
      <c r="F59" s="236">
        <v>68056</v>
      </c>
      <c r="G59" s="237">
        <v>4066</v>
      </c>
      <c r="I59" s="238">
        <f t="shared" si="0"/>
        <v>0.94362330495549207</v>
      </c>
      <c r="J59" s="239">
        <f t="shared" si="1"/>
        <v>5.6376695044507916E-2</v>
      </c>
      <c r="L59" s="240">
        <v>42139</v>
      </c>
      <c r="M59" s="240">
        <v>40889</v>
      </c>
      <c r="N59" s="240">
        <v>1250</v>
      </c>
      <c r="P59" s="241">
        <f t="shared" si="2"/>
        <v>0.97033626806521278</v>
      </c>
      <c r="Q59" s="241">
        <f t="shared" si="3"/>
        <v>2.9663731934787253E-2</v>
      </c>
    </row>
    <row r="60" spans="1:17" x14ac:dyDescent="0.2">
      <c r="A60" s="232" t="s">
        <v>134</v>
      </c>
      <c r="B60" s="233" t="s">
        <v>135</v>
      </c>
      <c r="C60" s="234" t="s">
        <v>267</v>
      </c>
      <c r="D60" s="234"/>
      <c r="E60" s="235">
        <v>8200</v>
      </c>
      <c r="F60" s="236">
        <v>7362</v>
      </c>
      <c r="G60" s="237">
        <v>838</v>
      </c>
      <c r="I60" s="238">
        <f t="shared" si="0"/>
        <v>0.89780487804878051</v>
      </c>
      <c r="J60" s="239">
        <f t="shared" si="1"/>
        <v>0.10219512195121951</v>
      </c>
      <c r="L60" s="240">
        <v>2829</v>
      </c>
      <c r="M60" s="240">
        <v>2514</v>
      </c>
      <c r="N60" s="240">
        <v>315</v>
      </c>
      <c r="P60" s="241">
        <f t="shared" si="2"/>
        <v>0.88865323435843058</v>
      </c>
      <c r="Q60" s="241">
        <f t="shared" si="3"/>
        <v>0.11134676564156946</v>
      </c>
    </row>
    <row r="61" spans="1:17" x14ac:dyDescent="0.2">
      <c r="A61" s="232" t="s">
        <v>136</v>
      </c>
      <c r="B61" s="233" t="s">
        <v>137</v>
      </c>
      <c r="C61" s="234" t="s">
        <v>266</v>
      </c>
      <c r="D61" s="234"/>
      <c r="E61" s="235">
        <v>2533</v>
      </c>
      <c r="F61" s="236">
        <v>2294</v>
      </c>
      <c r="G61" s="237">
        <v>239</v>
      </c>
      <c r="I61" s="238">
        <f t="shared" si="0"/>
        <v>0.90564547966837738</v>
      </c>
      <c r="J61" s="239">
        <f t="shared" si="1"/>
        <v>9.4354520331622588E-2</v>
      </c>
      <c r="L61" s="240">
        <v>820</v>
      </c>
      <c r="M61" s="240">
        <v>714</v>
      </c>
      <c r="N61" s="240">
        <v>106</v>
      </c>
      <c r="P61" s="241">
        <f t="shared" si="2"/>
        <v>0.87073170731707317</v>
      </c>
      <c r="Q61" s="241">
        <f t="shared" si="3"/>
        <v>0.12926829268292683</v>
      </c>
    </row>
    <row r="62" spans="1:17" x14ac:dyDescent="0.2">
      <c r="A62" s="232" t="s">
        <v>140</v>
      </c>
      <c r="B62" s="233" t="s">
        <v>141</v>
      </c>
      <c r="C62" s="234" t="s">
        <v>267</v>
      </c>
      <c r="D62" s="234"/>
      <c r="E62" s="235">
        <v>3275</v>
      </c>
      <c r="F62" s="236">
        <v>3038</v>
      </c>
      <c r="G62" s="237">
        <v>237</v>
      </c>
      <c r="I62" s="238">
        <f t="shared" si="0"/>
        <v>0.92763358778625959</v>
      </c>
      <c r="J62" s="239">
        <f t="shared" si="1"/>
        <v>7.2366412213740461E-2</v>
      </c>
      <c r="L62" s="240">
        <v>1155</v>
      </c>
      <c r="M62" s="240">
        <v>1059</v>
      </c>
      <c r="N62" s="240">
        <v>96</v>
      </c>
      <c r="P62" s="241">
        <f t="shared" si="2"/>
        <v>0.91688311688311686</v>
      </c>
      <c r="Q62" s="241">
        <f t="shared" si="3"/>
        <v>8.3116883116883117E-2</v>
      </c>
    </row>
    <row r="63" spans="1:17" x14ac:dyDescent="0.2">
      <c r="A63" s="232" t="s">
        <v>146</v>
      </c>
      <c r="B63" s="233" t="s">
        <v>147</v>
      </c>
      <c r="C63" s="234" t="s">
        <v>264</v>
      </c>
      <c r="D63" s="234"/>
      <c r="E63" s="235">
        <v>2330</v>
      </c>
      <c r="F63" s="236">
        <v>2197</v>
      </c>
      <c r="G63" s="237">
        <v>133</v>
      </c>
      <c r="I63" s="238">
        <f t="shared" si="0"/>
        <v>0.94291845493562232</v>
      </c>
      <c r="J63" s="239">
        <f t="shared" si="1"/>
        <v>5.7081545064377681E-2</v>
      </c>
      <c r="L63" s="240">
        <v>638</v>
      </c>
      <c r="M63" s="240">
        <v>601</v>
      </c>
      <c r="N63" s="240">
        <v>37</v>
      </c>
      <c r="P63" s="241">
        <f t="shared" si="2"/>
        <v>0.94200626959247646</v>
      </c>
      <c r="Q63" s="241">
        <f t="shared" si="3"/>
        <v>5.7993730407523508E-2</v>
      </c>
    </row>
    <row r="64" spans="1:17" x14ac:dyDescent="0.2">
      <c r="A64" s="232" t="s">
        <v>148</v>
      </c>
      <c r="B64" s="233" t="s">
        <v>149</v>
      </c>
      <c r="C64" s="234" t="s">
        <v>265</v>
      </c>
      <c r="D64" s="234"/>
      <c r="E64" s="235">
        <v>6861</v>
      </c>
      <c r="F64" s="236">
        <v>6186</v>
      </c>
      <c r="G64" s="237">
        <v>675</v>
      </c>
      <c r="I64" s="238">
        <f t="shared" si="0"/>
        <v>0.90161783996501965</v>
      </c>
      <c r="J64" s="239">
        <f t="shared" si="1"/>
        <v>9.838216003498032E-2</v>
      </c>
      <c r="L64" s="240">
        <v>1992</v>
      </c>
      <c r="M64" s="240">
        <v>1717</v>
      </c>
      <c r="N64" s="240">
        <v>275</v>
      </c>
      <c r="P64" s="241">
        <f t="shared" si="2"/>
        <v>0.86194779116465858</v>
      </c>
      <c r="Q64" s="241">
        <f t="shared" si="3"/>
        <v>0.13805220883534136</v>
      </c>
    </row>
    <row r="65" spans="1:17" x14ac:dyDescent="0.2">
      <c r="A65" s="232" t="s">
        <v>150</v>
      </c>
      <c r="B65" s="233" t="s">
        <v>151</v>
      </c>
      <c r="C65" s="234" t="s">
        <v>266</v>
      </c>
      <c r="D65" s="234"/>
      <c r="E65" s="235">
        <v>2747</v>
      </c>
      <c r="F65" s="236">
        <v>2538</v>
      </c>
      <c r="G65" s="237">
        <v>209</v>
      </c>
      <c r="I65" s="238">
        <f t="shared" si="0"/>
        <v>0.92391700036403346</v>
      </c>
      <c r="J65" s="239">
        <f t="shared" si="1"/>
        <v>7.6082999635966514E-2</v>
      </c>
      <c r="L65" s="240">
        <v>658</v>
      </c>
      <c r="M65" s="240">
        <v>585</v>
      </c>
      <c r="N65" s="240">
        <v>73</v>
      </c>
      <c r="P65" s="241">
        <f t="shared" si="2"/>
        <v>0.88905775075987847</v>
      </c>
      <c r="Q65" s="241">
        <f t="shared" si="3"/>
        <v>0.11094224924012158</v>
      </c>
    </row>
    <row r="66" spans="1:17" x14ac:dyDescent="0.2">
      <c r="A66" s="232" t="s">
        <v>152</v>
      </c>
      <c r="B66" s="233" t="s">
        <v>153</v>
      </c>
      <c r="C66" s="234" t="s">
        <v>268</v>
      </c>
      <c r="D66" s="234"/>
      <c r="E66" s="235">
        <v>16873</v>
      </c>
      <c r="F66" s="236">
        <v>14910</v>
      </c>
      <c r="G66" s="237">
        <v>1963</v>
      </c>
      <c r="I66" s="238">
        <f t="shared" si="0"/>
        <v>0.88366028566348609</v>
      </c>
      <c r="J66" s="239">
        <f t="shared" si="1"/>
        <v>0.11633971433651395</v>
      </c>
      <c r="L66" s="240">
        <v>6218</v>
      </c>
      <c r="M66" s="240">
        <v>5687</v>
      </c>
      <c r="N66" s="240">
        <v>531</v>
      </c>
      <c r="P66" s="241">
        <f t="shared" si="2"/>
        <v>0.91460276616275327</v>
      </c>
      <c r="Q66" s="241">
        <f t="shared" si="3"/>
        <v>8.5397233837246705E-2</v>
      </c>
    </row>
    <row r="67" spans="1:17" x14ac:dyDescent="0.2">
      <c r="A67" s="232" t="s">
        <v>154</v>
      </c>
      <c r="B67" s="233" t="s">
        <v>155</v>
      </c>
      <c r="C67" s="234" t="s">
        <v>265</v>
      </c>
      <c r="D67" s="234"/>
      <c r="E67" s="235">
        <v>3674</v>
      </c>
      <c r="F67" s="236">
        <v>3298</v>
      </c>
      <c r="G67" s="237">
        <v>376</v>
      </c>
      <c r="I67" s="238">
        <f t="shared" si="0"/>
        <v>0.89765922700054435</v>
      </c>
      <c r="J67" s="239">
        <f t="shared" si="1"/>
        <v>0.10234077299945564</v>
      </c>
      <c r="L67" s="240">
        <v>1100</v>
      </c>
      <c r="M67" s="240">
        <v>953</v>
      </c>
      <c r="N67" s="240">
        <v>147</v>
      </c>
      <c r="P67" s="241">
        <f t="shared" si="2"/>
        <v>0.86636363636363634</v>
      </c>
      <c r="Q67" s="241">
        <f t="shared" si="3"/>
        <v>0.13363636363636364</v>
      </c>
    </row>
    <row r="68" spans="1:17" x14ac:dyDescent="0.2">
      <c r="A68" s="232" t="s">
        <v>156</v>
      </c>
      <c r="B68" s="233" t="s">
        <v>157</v>
      </c>
      <c r="C68" s="234" t="s">
        <v>266</v>
      </c>
      <c r="D68" s="234"/>
      <c r="E68" s="235">
        <v>4793</v>
      </c>
      <c r="F68" s="236">
        <v>4456</v>
      </c>
      <c r="G68" s="237">
        <v>337</v>
      </c>
      <c r="I68" s="238">
        <f t="shared" si="0"/>
        <v>0.92968912998122266</v>
      </c>
      <c r="J68" s="239">
        <f t="shared" si="1"/>
        <v>7.031087001877738E-2</v>
      </c>
      <c r="L68" s="240">
        <v>1749</v>
      </c>
      <c r="M68" s="240">
        <v>1625</v>
      </c>
      <c r="N68" s="240">
        <v>124</v>
      </c>
      <c r="P68" s="241">
        <f t="shared" si="2"/>
        <v>0.9291023441966838</v>
      </c>
      <c r="Q68" s="241">
        <f t="shared" si="3"/>
        <v>7.0897655803316181E-2</v>
      </c>
    </row>
    <row r="69" spans="1:17" x14ac:dyDescent="0.2">
      <c r="A69" s="232" t="s">
        <v>162</v>
      </c>
      <c r="B69" s="233" t="s">
        <v>163</v>
      </c>
      <c r="C69" s="234" t="s">
        <v>264</v>
      </c>
      <c r="D69" s="234"/>
      <c r="E69" s="235">
        <v>2588</v>
      </c>
      <c r="F69" s="236">
        <v>2305</v>
      </c>
      <c r="G69" s="237">
        <v>283</v>
      </c>
      <c r="I69" s="238">
        <f t="shared" si="0"/>
        <v>0.89064914992272026</v>
      </c>
      <c r="J69" s="239">
        <f t="shared" si="1"/>
        <v>0.10935085007727975</v>
      </c>
      <c r="L69" s="240">
        <v>711</v>
      </c>
      <c r="M69" s="240">
        <v>599</v>
      </c>
      <c r="N69" s="240">
        <v>112</v>
      </c>
      <c r="P69" s="241">
        <f t="shared" si="2"/>
        <v>0.84247538677918421</v>
      </c>
      <c r="Q69" s="241">
        <f t="shared" si="3"/>
        <v>0.15752461322081576</v>
      </c>
    </row>
    <row r="70" spans="1:17" x14ac:dyDescent="0.2">
      <c r="A70" s="232" t="s">
        <v>164</v>
      </c>
      <c r="B70" s="233" t="s">
        <v>165</v>
      </c>
      <c r="C70" s="234" t="s">
        <v>266</v>
      </c>
      <c r="D70" s="234"/>
      <c r="E70" s="235">
        <v>3261</v>
      </c>
      <c r="F70" s="236">
        <v>3009</v>
      </c>
      <c r="G70" s="237">
        <v>252</v>
      </c>
      <c r="I70" s="238">
        <f t="shared" si="0"/>
        <v>0.92272309107635697</v>
      </c>
      <c r="J70" s="239">
        <f t="shared" si="1"/>
        <v>7.7276908923643056E-2</v>
      </c>
      <c r="L70" s="240">
        <v>657</v>
      </c>
      <c r="M70" s="240">
        <v>584</v>
      </c>
      <c r="N70" s="240">
        <v>73</v>
      </c>
      <c r="P70" s="241">
        <f t="shared" si="2"/>
        <v>0.88888888888888884</v>
      </c>
      <c r="Q70" s="241">
        <f t="shared" si="3"/>
        <v>0.1111111111111111</v>
      </c>
    </row>
    <row r="71" spans="1:17" x14ac:dyDescent="0.2">
      <c r="A71" s="232" t="s">
        <v>168</v>
      </c>
      <c r="B71" s="233" t="s">
        <v>169</v>
      </c>
      <c r="C71" s="234" t="s">
        <v>266</v>
      </c>
      <c r="D71" s="234"/>
      <c r="E71" s="235">
        <v>2872</v>
      </c>
      <c r="F71" s="236">
        <v>2555</v>
      </c>
      <c r="G71" s="237">
        <v>317</v>
      </c>
      <c r="I71" s="238">
        <f t="shared" ref="I71:I126" si="4">F71/E71</f>
        <v>0.88962395543175488</v>
      </c>
      <c r="J71" s="239">
        <f t="shared" ref="J71:J126" si="5">G71/E71</f>
        <v>0.11037604456824512</v>
      </c>
      <c r="L71" s="240">
        <v>1023</v>
      </c>
      <c r="M71" s="240">
        <v>879</v>
      </c>
      <c r="N71" s="240">
        <v>144</v>
      </c>
      <c r="P71" s="241">
        <f t="shared" ref="P71:P126" si="6">M71/L71</f>
        <v>0.85923753665689151</v>
      </c>
      <c r="Q71" s="241">
        <f t="shared" ref="Q71:Q126" si="7">N71/L71</f>
        <v>0.14076246334310852</v>
      </c>
    </row>
    <row r="72" spans="1:17" x14ac:dyDescent="0.2">
      <c r="A72" s="232" t="s">
        <v>170</v>
      </c>
      <c r="B72" s="233" t="s">
        <v>171</v>
      </c>
      <c r="C72" s="234" t="s">
        <v>267</v>
      </c>
      <c r="D72" s="234"/>
      <c r="E72" s="235">
        <v>8029</v>
      </c>
      <c r="F72" s="236">
        <v>7323</v>
      </c>
      <c r="G72" s="237">
        <v>706</v>
      </c>
      <c r="I72" s="238">
        <f t="shared" si="4"/>
        <v>0.91206875077842819</v>
      </c>
      <c r="J72" s="239">
        <f t="shared" si="5"/>
        <v>8.7931249221571806E-2</v>
      </c>
      <c r="L72" s="240">
        <v>2859</v>
      </c>
      <c r="M72" s="240">
        <v>2581</v>
      </c>
      <c r="N72" s="240">
        <v>278</v>
      </c>
      <c r="P72" s="241">
        <f t="shared" si="6"/>
        <v>0.90276320391745368</v>
      </c>
      <c r="Q72" s="241">
        <f t="shared" si="7"/>
        <v>9.7236796082546345E-2</v>
      </c>
    </row>
    <row r="73" spans="1:17" x14ac:dyDescent="0.2">
      <c r="A73" s="232" t="s">
        <v>172</v>
      </c>
      <c r="B73" s="233" t="s">
        <v>173</v>
      </c>
      <c r="C73" s="234" t="s">
        <v>267</v>
      </c>
      <c r="D73" s="234"/>
      <c r="E73" s="235">
        <v>5801</v>
      </c>
      <c r="F73" s="236">
        <v>5126</v>
      </c>
      <c r="G73" s="237">
        <v>675</v>
      </c>
      <c r="I73" s="238">
        <f t="shared" si="4"/>
        <v>0.88364075159455269</v>
      </c>
      <c r="J73" s="239">
        <f t="shared" si="5"/>
        <v>0.11635924840544734</v>
      </c>
      <c r="L73" s="240">
        <v>2042</v>
      </c>
      <c r="M73" s="240">
        <v>1748</v>
      </c>
      <c r="N73" s="240">
        <v>294</v>
      </c>
      <c r="P73" s="241">
        <f t="shared" si="6"/>
        <v>0.85602350636630753</v>
      </c>
      <c r="Q73" s="241">
        <f t="shared" si="7"/>
        <v>0.14397649363369247</v>
      </c>
    </row>
    <row r="74" spans="1:17" x14ac:dyDescent="0.2">
      <c r="A74" s="232" t="s">
        <v>174</v>
      </c>
      <c r="B74" s="233" t="s">
        <v>175</v>
      </c>
      <c r="C74" s="234" t="s">
        <v>268</v>
      </c>
      <c r="D74" s="234"/>
      <c r="E74" s="235">
        <v>4631</v>
      </c>
      <c r="F74" s="236">
        <v>4305</v>
      </c>
      <c r="G74" s="237">
        <v>326</v>
      </c>
      <c r="I74" s="238">
        <f t="shared" si="4"/>
        <v>0.92960483696825735</v>
      </c>
      <c r="J74" s="239">
        <f t="shared" si="5"/>
        <v>7.0395163031742605E-2</v>
      </c>
      <c r="L74" s="240">
        <v>1404</v>
      </c>
      <c r="M74" s="240">
        <v>1272</v>
      </c>
      <c r="N74" s="240">
        <v>132</v>
      </c>
      <c r="P74" s="241">
        <f t="shared" si="6"/>
        <v>0.90598290598290598</v>
      </c>
      <c r="Q74" s="241">
        <f t="shared" si="7"/>
        <v>9.4017094017094016E-2</v>
      </c>
    </row>
    <row r="75" spans="1:17" x14ac:dyDescent="0.2">
      <c r="A75" s="232" t="s">
        <v>178</v>
      </c>
      <c r="B75" s="233" t="s">
        <v>179</v>
      </c>
      <c r="C75" s="234" t="s">
        <v>265</v>
      </c>
      <c r="D75" s="234"/>
      <c r="E75" s="235">
        <v>14710</v>
      </c>
      <c r="F75" s="236">
        <v>13591</v>
      </c>
      <c r="G75" s="237">
        <v>1119</v>
      </c>
      <c r="I75" s="238">
        <f t="shared" si="4"/>
        <v>0.92392929979605709</v>
      </c>
      <c r="J75" s="239">
        <f t="shared" si="5"/>
        <v>7.6070700203942895E-2</v>
      </c>
      <c r="L75" s="240">
        <v>4922</v>
      </c>
      <c r="M75" s="240">
        <v>4454</v>
      </c>
      <c r="N75" s="240">
        <v>468</v>
      </c>
      <c r="P75" s="241">
        <f t="shared" si="6"/>
        <v>0.90491670052824058</v>
      </c>
      <c r="Q75" s="241">
        <f t="shared" si="7"/>
        <v>9.5083299471759447E-2</v>
      </c>
    </row>
    <row r="76" spans="1:17" x14ac:dyDescent="0.2">
      <c r="A76" s="232" t="s">
        <v>182</v>
      </c>
      <c r="B76" s="233" t="s">
        <v>183</v>
      </c>
      <c r="C76" s="234" t="s">
        <v>266</v>
      </c>
      <c r="D76" s="234"/>
      <c r="E76" s="235">
        <v>6742</v>
      </c>
      <c r="F76" s="236">
        <v>6381</v>
      </c>
      <c r="G76" s="237">
        <v>361</v>
      </c>
      <c r="I76" s="238">
        <f t="shared" si="4"/>
        <v>0.94645505784633643</v>
      </c>
      <c r="J76" s="239">
        <f t="shared" si="5"/>
        <v>5.3544942153663601E-2</v>
      </c>
      <c r="L76" s="240">
        <v>2714</v>
      </c>
      <c r="M76" s="240">
        <v>2587</v>
      </c>
      <c r="N76" s="240">
        <v>127</v>
      </c>
      <c r="P76" s="241">
        <f t="shared" si="6"/>
        <v>0.95320560058953574</v>
      </c>
      <c r="Q76" s="241">
        <f t="shared" si="7"/>
        <v>4.679439941046426E-2</v>
      </c>
    </row>
    <row r="77" spans="1:17" x14ac:dyDescent="0.2">
      <c r="A77" s="232" t="s">
        <v>184</v>
      </c>
      <c r="B77" s="233" t="s">
        <v>185</v>
      </c>
      <c r="C77" s="234" t="s">
        <v>266</v>
      </c>
      <c r="D77" s="234"/>
      <c r="E77" s="235">
        <v>3707</v>
      </c>
      <c r="F77" s="236">
        <v>3275</v>
      </c>
      <c r="G77" s="237">
        <v>432</v>
      </c>
      <c r="I77" s="238">
        <f t="shared" si="4"/>
        <v>0.88346371729161044</v>
      </c>
      <c r="J77" s="239">
        <f t="shared" si="5"/>
        <v>0.11653628270838953</v>
      </c>
      <c r="L77" s="240">
        <v>1279</v>
      </c>
      <c r="M77" s="240">
        <v>1098</v>
      </c>
      <c r="N77" s="240">
        <v>181</v>
      </c>
      <c r="P77" s="241">
        <f t="shared" si="6"/>
        <v>0.85848318999218143</v>
      </c>
      <c r="Q77" s="241">
        <f t="shared" si="7"/>
        <v>0.1415168100078186</v>
      </c>
    </row>
    <row r="78" spans="1:17" x14ac:dyDescent="0.2">
      <c r="A78" s="232" t="s">
        <v>186</v>
      </c>
      <c r="B78" s="233" t="s">
        <v>187</v>
      </c>
      <c r="C78" s="234" t="s">
        <v>264</v>
      </c>
      <c r="D78" s="234"/>
      <c r="E78" s="235">
        <v>7326</v>
      </c>
      <c r="F78" s="236">
        <v>6849</v>
      </c>
      <c r="G78" s="237">
        <v>477</v>
      </c>
      <c r="I78" s="238">
        <f t="shared" si="4"/>
        <v>0.93488943488943488</v>
      </c>
      <c r="J78" s="239">
        <f t="shared" si="5"/>
        <v>6.5110565110565108E-2</v>
      </c>
      <c r="L78" s="240">
        <v>2939</v>
      </c>
      <c r="M78" s="240">
        <v>2743</v>
      </c>
      <c r="N78" s="240">
        <v>196</v>
      </c>
      <c r="P78" s="241">
        <f t="shared" si="6"/>
        <v>0.93331064988091184</v>
      </c>
      <c r="Q78" s="241">
        <f t="shared" si="7"/>
        <v>6.6689350119088123E-2</v>
      </c>
    </row>
    <row r="79" spans="1:17" x14ac:dyDescent="0.2">
      <c r="A79" s="232" t="s">
        <v>188</v>
      </c>
      <c r="B79" s="233" t="s">
        <v>189</v>
      </c>
      <c r="C79" s="234" t="s">
        <v>267</v>
      </c>
      <c r="D79" s="234"/>
      <c r="E79" s="235">
        <v>84487</v>
      </c>
      <c r="F79" s="236">
        <v>78037</v>
      </c>
      <c r="G79" s="237">
        <v>6450</v>
      </c>
      <c r="I79" s="238">
        <f t="shared" si="4"/>
        <v>0.92365689396001749</v>
      </c>
      <c r="J79" s="239">
        <f t="shared" si="5"/>
        <v>7.6343106039982483E-2</v>
      </c>
      <c r="L79" s="240">
        <v>44548</v>
      </c>
      <c r="M79" s="240">
        <v>41816</v>
      </c>
      <c r="N79" s="240">
        <v>2732</v>
      </c>
      <c r="P79" s="241">
        <f t="shared" si="6"/>
        <v>0.93867289216126426</v>
      </c>
      <c r="Q79" s="241">
        <f t="shared" si="7"/>
        <v>6.1327107838735746E-2</v>
      </c>
    </row>
    <row r="80" spans="1:17" x14ac:dyDescent="0.2">
      <c r="A80" s="232" t="s">
        <v>190</v>
      </c>
      <c r="B80" s="233" t="s">
        <v>191</v>
      </c>
      <c r="C80" s="234" t="s">
        <v>268</v>
      </c>
      <c r="D80" s="234"/>
      <c r="E80" s="235">
        <v>8123</v>
      </c>
      <c r="F80" s="236">
        <v>7332</v>
      </c>
      <c r="G80" s="237">
        <v>791</v>
      </c>
      <c r="I80" s="238">
        <f t="shared" si="4"/>
        <v>0.90262218392219629</v>
      </c>
      <c r="J80" s="239">
        <f t="shared" si="5"/>
        <v>9.7377816077803769E-2</v>
      </c>
      <c r="L80" s="240">
        <v>2499</v>
      </c>
      <c r="M80" s="240">
        <v>2197</v>
      </c>
      <c r="N80" s="240">
        <v>302</v>
      </c>
      <c r="P80" s="241">
        <f t="shared" si="6"/>
        <v>0.87915166066426575</v>
      </c>
      <c r="Q80" s="241">
        <f t="shared" si="7"/>
        <v>0.1208483393357343</v>
      </c>
    </row>
    <row r="81" spans="1:17" x14ac:dyDescent="0.2">
      <c r="A81" s="232" t="s">
        <v>194</v>
      </c>
      <c r="B81" s="233" t="s">
        <v>195</v>
      </c>
      <c r="C81" s="234" t="s">
        <v>267</v>
      </c>
      <c r="D81" s="234"/>
      <c r="E81" s="235">
        <v>1838</v>
      </c>
      <c r="F81" s="236">
        <v>1685</v>
      </c>
      <c r="G81" s="237">
        <v>153</v>
      </c>
      <c r="I81" s="238">
        <f t="shared" si="4"/>
        <v>0.91675734494015237</v>
      </c>
      <c r="J81" s="239">
        <f t="shared" si="5"/>
        <v>8.3242655059847667E-2</v>
      </c>
      <c r="L81" s="240">
        <v>573</v>
      </c>
      <c r="M81" s="240">
        <v>521</v>
      </c>
      <c r="N81" s="240">
        <v>52</v>
      </c>
      <c r="P81" s="241">
        <f t="shared" si="6"/>
        <v>0.90924956369982546</v>
      </c>
      <c r="Q81" s="241">
        <f t="shared" si="7"/>
        <v>9.0750436300174514E-2</v>
      </c>
    </row>
    <row r="82" spans="1:17" x14ac:dyDescent="0.2">
      <c r="A82" s="232" t="s">
        <v>198</v>
      </c>
      <c r="B82" s="233" t="s">
        <v>199</v>
      </c>
      <c r="C82" s="234" t="s">
        <v>266</v>
      </c>
      <c r="D82" s="234"/>
      <c r="E82" s="235">
        <v>1629</v>
      </c>
      <c r="F82" s="236">
        <v>1480</v>
      </c>
      <c r="G82" s="237">
        <v>149</v>
      </c>
      <c r="I82" s="238">
        <f t="shared" si="4"/>
        <v>0.9085328422344997</v>
      </c>
      <c r="J82" s="239">
        <f t="shared" si="5"/>
        <v>9.1467157765500309E-2</v>
      </c>
      <c r="L82" s="240">
        <v>553</v>
      </c>
      <c r="M82" s="240">
        <v>488</v>
      </c>
      <c r="N82" s="240">
        <v>65</v>
      </c>
      <c r="P82" s="241">
        <f t="shared" si="6"/>
        <v>0.88245931283905965</v>
      </c>
      <c r="Q82" s="241">
        <f t="shared" si="7"/>
        <v>0.11754068716094032</v>
      </c>
    </row>
    <row r="83" spans="1:17" x14ac:dyDescent="0.2">
      <c r="A83" s="232" t="s">
        <v>202</v>
      </c>
      <c r="B83" s="233" t="s">
        <v>611</v>
      </c>
      <c r="C83" s="234" t="s">
        <v>265</v>
      </c>
      <c r="D83" s="234"/>
      <c r="E83" s="235">
        <v>27391</v>
      </c>
      <c r="F83" s="236">
        <v>25544</v>
      </c>
      <c r="G83" s="237">
        <v>1847</v>
      </c>
      <c r="I83" s="238">
        <f t="shared" si="4"/>
        <v>0.93256909203753058</v>
      </c>
      <c r="J83" s="239">
        <f t="shared" si="5"/>
        <v>6.7430907962469422E-2</v>
      </c>
      <c r="L83" s="240">
        <v>10136</v>
      </c>
      <c r="M83" s="240">
        <v>9529</v>
      </c>
      <c r="N83" s="240">
        <v>607</v>
      </c>
      <c r="P83" s="241">
        <f t="shared" si="6"/>
        <v>0.94011444356748219</v>
      </c>
      <c r="Q83" s="241">
        <f t="shared" si="7"/>
        <v>5.9885556432517757E-2</v>
      </c>
    </row>
    <row r="84" spans="1:17" x14ac:dyDescent="0.2">
      <c r="A84" s="232" t="s">
        <v>204</v>
      </c>
      <c r="B84" s="233" t="s">
        <v>293</v>
      </c>
      <c r="C84" s="234" t="s">
        <v>265</v>
      </c>
      <c r="D84" s="234"/>
      <c r="E84" s="235">
        <v>7830</v>
      </c>
      <c r="F84" s="236">
        <v>7065</v>
      </c>
      <c r="G84" s="237">
        <v>765</v>
      </c>
      <c r="I84" s="238">
        <f t="shared" si="4"/>
        <v>0.9022988505747126</v>
      </c>
      <c r="J84" s="239">
        <f t="shared" si="5"/>
        <v>9.7701149425287362E-2</v>
      </c>
      <c r="L84" s="240">
        <v>2523</v>
      </c>
      <c r="M84" s="240">
        <v>2233</v>
      </c>
      <c r="N84" s="240">
        <v>290</v>
      </c>
      <c r="P84" s="241">
        <f t="shared" si="6"/>
        <v>0.88505747126436785</v>
      </c>
      <c r="Q84" s="241">
        <f t="shared" si="7"/>
        <v>0.11494252873563218</v>
      </c>
    </row>
    <row r="85" spans="1:17" x14ac:dyDescent="0.2">
      <c r="A85" s="232" t="s">
        <v>206</v>
      </c>
      <c r="B85" s="233" t="s">
        <v>294</v>
      </c>
      <c r="C85" s="234" t="s">
        <v>267</v>
      </c>
      <c r="D85" s="234"/>
      <c r="E85" s="235">
        <v>24868</v>
      </c>
      <c r="F85" s="236">
        <v>22377</v>
      </c>
      <c r="G85" s="237">
        <v>2491</v>
      </c>
      <c r="I85" s="238">
        <f t="shared" si="4"/>
        <v>0.89983110825156831</v>
      </c>
      <c r="J85" s="239">
        <f t="shared" si="5"/>
        <v>0.10016889174843172</v>
      </c>
      <c r="L85" s="240">
        <v>9709</v>
      </c>
      <c r="M85" s="240">
        <v>8763</v>
      </c>
      <c r="N85" s="240">
        <v>946</v>
      </c>
      <c r="P85" s="241">
        <f t="shared" si="6"/>
        <v>0.90256463075496962</v>
      </c>
      <c r="Q85" s="241">
        <f t="shared" si="7"/>
        <v>9.7435369245030379E-2</v>
      </c>
    </row>
    <row r="86" spans="1:17" x14ac:dyDescent="0.2">
      <c r="A86" s="232" t="s">
        <v>208</v>
      </c>
      <c r="B86" s="233" t="s">
        <v>209</v>
      </c>
      <c r="C86" s="234" t="s">
        <v>268</v>
      </c>
      <c r="D86" s="234"/>
      <c r="E86" s="235">
        <v>7121</v>
      </c>
      <c r="F86" s="236">
        <v>6663</v>
      </c>
      <c r="G86" s="237">
        <v>458</v>
      </c>
      <c r="I86" s="238">
        <f t="shared" si="4"/>
        <v>0.9356831905631231</v>
      </c>
      <c r="J86" s="239">
        <f t="shared" si="5"/>
        <v>6.4316809436876843E-2</v>
      </c>
      <c r="L86" s="240">
        <v>2435</v>
      </c>
      <c r="M86" s="240">
        <v>2264</v>
      </c>
      <c r="N86" s="240">
        <v>171</v>
      </c>
      <c r="P86" s="241">
        <f t="shared" si="6"/>
        <v>0.92977412731006159</v>
      </c>
      <c r="Q86" s="241">
        <f t="shared" si="7"/>
        <v>7.0225872689938393E-2</v>
      </c>
    </row>
    <row r="87" spans="1:17" x14ac:dyDescent="0.2">
      <c r="A87" s="232" t="s">
        <v>210</v>
      </c>
      <c r="B87" s="233" t="s">
        <v>211</v>
      </c>
      <c r="C87" s="234" t="s">
        <v>268</v>
      </c>
      <c r="D87" s="234"/>
      <c r="E87" s="235">
        <v>5615</v>
      </c>
      <c r="F87" s="236">
        <v>5267</v>
      </c>
      <c r="G87" s="237">
        <v>348</v>
      </c>
      <c r="I87" s="238">
        <f t="shared" si="4"/>
        <v>0.93802315227070343</v>
      </c>
      <c r="J87" s="239">
        <f t="shared" si="5"/>
        <v>6.1976847729296528E-2</v>
      </c>
      <c r="L87" s="240">
        <v>1805</v>
      </c>
      <c r="M87" s="240">
        <v>1674</v>
      </c>
      <c r="N87" s="240">
        <v>131</v>
      </c>
      <c r="P87" s="241">
        <f t="shared" si="6"/>
        <v>0.92742382271468149</v>
      </c>
      <c r="Q87" s="241">
        <f t="shared" si="7"/>
        <v>7.2576177285318566E-2</v>
      </c>
    </row>
    <row r="88" spans="1:17" x14ac:dyDescent="0.2">
      <c r="A88" s="232" t="s">
        <v>212</v>
      </c>
      <c r="B88" s="233" t="s">
        <v>213</v>
      </c>
      <c r="C88" s="234" t="s">
        <v>267</v>
      </c>
      <c r="D88" s="234"/>
      <c r="E88" s="235">
        <v>10226</v>
      </c>
      <c r="F88" s="236">
        <v>9052</v>
      </c>
      <c r="G88" s="237">
        <v>1174</v>
      </c>
      <c r="I88" s="238">
        <f t="shared" si="4"/>
        <v>0.88519460199491495</v>
      </c>
      <c r="J88" s="239">
        <f t="shared" si="5"/>
        <v>0.11480539800508507</v>
      </c>
      <c r="L88" s="240">
        <v>3535</v>
      </c>
      <c r="M88" s="240">
        <v>3074</v>
      </c>
      <c r="N88" s="240">
        <v>461</v>
      </c>
      <c r="P88" s="241">
        <f t="shared" si="6"/>
        <v>0.86958981612446962</v>
      </c>
      <c r="Q88" s="241">
        <f t="shared" si="7"/>
        <v>0.13041018387553041</v>
      </c>
    </row>
    <row r="89" spans="1:17" x14ac:dyDescent="0.2">
      <c r="A89" s="232" t="s">
        <v>214</v>
      </c>
      <c r="B89" s="233" t="s">
        <v>215</v>
      </c>
      <c r="C89" s="234" t="s">
        <v>268</v>
      </c>
      <c r="D89" s="234"/>
      <c r="E89" s="235">
        <v>7375</v>
      </c>
      <c r="F89" s="236">
        <v>6640</v>
      </c>
      <c r="G89" s="237">
        <v>735</v>
      </c>
      <c r="I89" s="238">
        <f t="shared" si="4"/>
        <v>0.90033898305084747</v>
      </c>
      <c r="J89" s="239">
        <f t="shared" si="5"/>
        <v>9.9661016949152539E-2</v>
      </c>
      <c r="L89" s="240">
        <v>2466</v>
      </c>
      <c r="M89" s="240">
        <v>2168</v>
      </c>
      <c r="N89" s="240">
        <v>298</v>
      </c>
      <c r="P89" s="241">
        <f t="shared" si="6"/>
        <v>0.87915652879156525</v>
      </c>
      <c r="Q89" s="241">
        <f t="shared" si="7"/>
        <v>0.12084347120843471</v>
      </c>
    </row>
    <row r="90" spans="1:17" x14ac:dyDescent="0.2">
      <c r="A90" s="232" t="s">
        <v>216</v>
      </c>
      <c r="B90" s="233" t="s">
        <v>217</v>
      </c>
      <c r="C90" s="234" t="s">
        <v>264</v>
      </c>
      <c r="D90" s="234"/>
      <c r="E90" s="235">
        <v>3804</v>
      </c>
      <c r="F90" s="236">
        <v>3501</v>
      </c>
      <c r="G90" s="237">
        <v>303</v>
      </c>
      <c r="I90" s="238">
        <f t="shared" si="4"/>
        <v>0.92034700315457418</v>
      </c>
      <c r="J90" s="239">
        <f t="shared" si="5"/>
        <v>7.9652996845425872E-2</v>
      </c>
      <c r="L90" s="240">
        <v>1348</v>
      </c>
      <c r="M90" s="240">
        <v>1235</v>
      </c>
      <c r="N90" s="240">
        <v>113</v>
      </c>
      <c r="P90" s="241">
        <f t="shared" si="6"/>
        <v>0.91617210682492578</v>
      </c>
      <c r="Q90" s="241">
        <f t="shared" si="7"/>
        <v>8.3827893175074178E-2</v>
      </c>
    </row>
    <row r="91" spans="1:17" x14ac:dyDescent="0.2">
      <c r="A91" s="232" t="s">
        <v>218</v>
      </c>
      <c r="B91" s="233" t="s">
        <v>219</v>
      </c>
      <c r="C91" s="234" t="s">
        <v>267</v>
      </c>
      <c r="D91" s="234"/>
      <c r="E91" s="235">
        <v>27740</v>
      </c>
      <c r="F91" s="236">
        <v>25473</v>
      </c>
      <c r="G91" s="237">
        <v>2267</v>
      </c>
      <c r="I91" s="238">
        <f t="shared" si="4"/>
        <v>0.91827685652487379</v>
      </c>
      <c r="J91" s="239">
        <f t="shared" si="5"/>
        <v>8.1723143475126173E-2</v>
      </c>
      <c r="L91" s="240">
        <v>12842</v>
      </c>
      <c r="M91" s="240">
        <v>11937</v>
      </c>
      <c r="N91" s="240">
        <v>905</v>
      </c>
      <c r="P91" s="241">
        <f t="shared" si="6"/>
        <v>0.92952811088615483</v>
      </c>
      <c r="Q91" s="241">
        <f t="shared" si="7"/>
        <v>7.0471889113845193E-2</v>
      </c>
    </row>
    <row r="92" spans="1:17" x14ac:dyDescent="0.2">
      <c r="A92" s="232" t="s">
        <v>220</v>
      </c>
      <c r="B92" s="233" t="s">
        <v>221</v>
      </c>
      <c r="C92" s="234" t="s">
        <v>267</v>
      </c>
      <c r="D92" s="234"/>
      <c r="E92" s="235">
        <v>28707</v>
      </c>
      <c r="F92" s="236">
        <v>26742</v>
      </c>
      <c r="G92" s="237">
        <v>1965</v>
      </c>
      <c r="I92" s="238">
        <f t="shared" si="4"/>
        <v>0.93154979621695055</v>
      </c>
      <c r="J92" s="239">
        <f t="shared" si="5"/>
        <v>6.8450203783049432E-2</v>
      </c>
      <c r="L92" s="240">
        <v>14418</v>
      </c>
      <c r="M92" s="240">
        <v>13579</v>
      </c>
      <c r="N92" s="240">
        <v>839</v>
      </c>
      <c r="P92" s="241">
        <f t="shared" si="6"/>
        <v>0.94180885004855042</v>
      </c>
      <c r="Q92" s="241">
        <f t="shared" si="7"/>
        <v>5.8191149951449576E-2</v>
      </c>
    </row>
    <row r="93" spans="1:17" x14ac:dyDescent="0.2">
      <c r="A93" s="232" t="s">
        <v>224</v>
      </c>
      <c r="B93" s="233" t="s">
        <v>225</v>
      </c>
      <c r="C93" s="234" t="s">
        <v>264</v>
      </c>
      <c r="D93" s="234"/>
      <c r="E93" s="235">
        <v>1585</v>
      </c>
      <c r="F93" s="236">
        <v>1455</v>
      </c>
      <c r="G93" s="237">
        <v>130</v>
      </c>
      <c r="I93" s="238">
        <f t="shared" si="4"/>
        <v>0.917981072555205</v>
      </c>
      <c r="J93" s="239">
        <f t="shared" si="5"/>
        <v>8.2018927444794956E-2</v>
      </c>
      <c r="L93" s="240">
        <v>492</v>
      </c>
      <c r="M93" s="240">
        <v>446</v>
      </c>
      <c r="N93" s="240">
        <v>46</v>
      </c>
      <c r="P93" s="241">
        <f t="shared" si="6"/>
        <v>0.9065040650406504</v>
      </c>
      <c r="Q93" s="241">
        <f t="shared" si="7"/>
        <v>9.3495934959349589E-2</v>
      </c>
    </row>
    <row r="94" spans="1:17" x14ac:dyDescent="0.2">
      <c r="A94" s="232" t="s">
        <v>226</v>
      </c>
      <c r="B94" s="233" t="s">
        <v>227</v>
      </c>
      <c r="C94" s="234" t="s">
        <v>264</v>
      </c>
      <c r="D94" s="234"/>
      <c r="E94" s="235">
        <v>1927</v>
      </c>
      <c r="F94" s="236">
        <v>1700</v>
      </c>
      <c r="G94" s="237">
        <v>227</v>
      </c>
      <c r="I94" s="238">
        <f t="shared" si="4"/>
        <v>0.8822003113648158</v>
      </c>
      <c r="J94" s="239">
        <f t="shared" si="5"/>
        <v>0.11779968863518422</v>
      </c>
      <c r="L94" s="240">
        <v>596</v>
      </c>
      <c r="M94" s="240">
        <v>516</v>
      </c>
      <c r="N94" s="240">
        <v>80</v>
      </c>
      <c r="P94" s="241">
        <f t="shared" si="6"/>
        <v>0.86577181208053688</v>
      </c>
      <c r="Q94" s="241">
        <f t="shared" si="7"/>
        <v>0.13422818791946309</v>
      </c>
    </row>
    <row r="95" spans="1:17" x14ac:dyDescent="0.2">
      <c r="A95" s="232" t="s">
        <v>228</v>
      </c>
      <c r="B95" s="233" t="s">
        <v>229</v>
      </c>
      <c r="C95" s="234" t="s">
        <v>268</v>
      </c>
      <c r="D95" s="234"/>
      <c r="E95" s="235">
        <v>10694</v>
      </c>
      <c r="F95" s="236">
        <v>9927</v>
      </c>
      <c r="G95" s="237">
        <v>767</v>
      </c>
      <c r="I95" s="238">
        <f t="shared" si="4"/>
        <v>0.92827753880680752</v>
      </c>
      <c r="J95" s="239">
        <f t="shared" si="5"/>
        <v>7.1722461193192449E-2</v>
      </c>
      <c r="L95" s="240">
        <v>3630</v>
      </c>
      <c r="M95" s="240">
        <v>3309</v>
      </c>
      <c r="N95" s="240">
        <v>321</v>
      </c>
      <c r="P95" s="241">
        <f t="shared" si="6"/>
        <v>0.9115702479338843</v>
      </c>
      <c r="Q95" s="241">
        <f t="shared" si="7"/>
        <v>8.8429752066115697E-2</v>
      </c>
    </row>
    <row r="96" spans="1:17" x14ac:dyDescent="0.2">
      <c r="A96" s="232" t="s">
        <v>232</v>
      </c>
      <c r="B96" s="233" t="s">
        <v>233</v>
      </c>
      <c r="C96" s="234" t="s">
        <v>267</v>
      </c>
      <c r="D96" s="234"/>
      <c r="E96" s="235">
        <v>8466</v>
      </c>
      <c r="F96" s="236">
        <v>7448</v>
      </c>
      <c r="G96" s="237">
        <v>1018</v>
      </c>
      <c r="I96" s="238">
        <f t="shared" si="4"/>
        <v>0.87975431136309945</v>
      </c>
      <c r="J96" s="239">
        <f t="shared" si="5"/>
        <v>0.12024568863690055</v>
      </c>
      <c r="L96" s="240">
        <v>3365</v>
      </c>
      <c r="M96" s="240">
        <v>2964</v>
      </c>
      <c r="N96" s="240">
        <v>401</v>
      </c>
      <c r="P96" s="241">
        <f t="shared" si="6"/>
        <v>0.88083209509658245</v>
      </c>
      <c r="Q96" s="241">
        <f t="shared" si="7"/>
        <v>0.11916790490341754</v>
      </c>
    </row>
    <row r="97" spans="1:17" x14ac:dyDescent="0.2">
      <c r="A97" s="232" t="s">
        <v>234</v>
      </c>
      <c r="B97" s="233" t="s">
        <v>235</v>
      </c>
      <c r="C97" s="234" t="s">
        <v>268</v>
      </c>
      <c r="D97" s="234"/>
      <c r="E97" s="235">
        <v>13451</v>
      </c>
      <c r="F97" s="236">
        <v>12472</v>
      </c>
      <c r="G97" s="237">
        <v>979</v>
      </c>
      <c r="I97" s="238">
        <f t="shared" si="4"/>
        <v>0.92721730726340046</v>
      </c>
      <c r="J97" s="239">
        <f t="shared" si="5"/>
        <v>7.2782692736599514E-2</v>
      </c>
      <c r="L97" s="240">
        <v>4316</v>
      </c>
      <c r="M97" s="240">
        <v>3992</v>
      </c>
      <c r="N97" s="240">
        <v>324</v>
      </c>
      <c r="P97" s="241">
        <f t="shared" si="6"/>
        <v>0.92493049119555149</v>
      </c>
      <c r="Q97" s="241">
        <f t="shared" si="7"/>
        <v>7.506950880444857E-2</v>
      </c>
    </row>
    <row r="98" spans="1:17" x14ac:dyDescent="0.2">
      <c r="A98" s="232" t="s">
        <v>236</v>
      </c>
      <c r="B98" s="233" t="s">
        <v>237</v>
      </c>
      <c r="C98" s="234" t="s">
        <v>266</v>
      </c>
      <c r="D98" s="234"/>
      <c r="E98" s="235">
        <v>3942</v>
      </c>
      <c r="F98" s="236">
        <v>3509</v>
      </c>
      <c r="G98" s="237">
        <v>433</v>
      </c>
      <c r="I98" s="238">
        <f t="shared" si="4"/>
        <v>0.89015728056823951</v>
      </c>
      <c r="J98" s="239">
        <f t="shared" si="5"/>
        <v>0.10984271943176052</v>
      </c>
      <c r="L98" s="240">
        <v>1096</v>
      </c>
      <c r="M98" s="240">
        <v>949</v>
      </c>
      <c r="N98" s="240">
        <v>147</v>
      </c>
      <c r="P98" s="241">
        <f t="shared" si="6"/>
        <v>0.86587591240875916</v>
      </c>
      <c r="Q98" s="241">
        <f t="shared" si="7"/>
        <v>0.13412408759124086</v>
      </c>
    </row>
    <row r="99" spans="1:17" x14ac:dyDescent="0.2">
      <c r="A99" s="232" t="s">
        <v>242</v>
      </c>
      <c r="B99" s="233" t="s">
        <v>243</v>
      </c>
      <c r="C99" s="234" t="s">
        <v>268</v>
      </c>
      <c r="D99" s="234"/>
      <c r="E99" s="235">
        <v>8806</v>
      </c>
      <c r="F99" s="236">
        <v>8036</v>
      </c>
      <c r="G99" s="237">
        <v>770</v>
      </c>
      <c r="I99" s="238">
        <f t="shared" si="4"/>
        <v>0.91255961844197142</v>
      </c>
      <c r="J99" s="239">
        <f t="shared" si="5"/>
        <v>8.7440381558028621E-2</v>
      </c>
      <c r="L99" s="240">
        <v>3189</v>
      </c>
      <c r="M99" s="240">
        <v>2847</v>
      </c>
      <c r="N99" s="240">
        <v>342</v>
      </c>
      <c r="P99" s="241">
        <f t="shared" si="6"/>
        <v>0.89275634995296327</v>
      </c>
      <c r="Q99" s="241">
        <f t="shared" si="7"/>
        <v>0.10724365004703669</v>
      </c>
    </row>
    <row r="100" spans="1:17" x14ac:dyDescent="0.2">
      <c r="A100" s="232" t="s">
        <v>244</v>
      </c>
      <c r="B100" s="233" t="s">
        <v>245</v>
      </c>
      <c r="C100" s="234" t="s">
        <v>268</v>
      </c>
      <c r="D100" s="234"/>
      <c r="E100" s="235">
        <v>7017</v>
      </c>
      <c r="F100" s="236">
        <v>6427</v>
      </c>
      <c r="G100" s="237">
        <v>590</v>
      </c>
      <c r="I100" s="238">
        <f t="shared" si="4"/>
        <v>0.91591848368248541</v>
      </c>
      <c r="J100" s="239">
        <f t="shared" si="5"/>
        <v>8.4081516317514607E-2</v>
      </c>
      <c r="L100" s="240">
        <v>2359</v>
      </c>
      <c r="M100" s="240">
        <v>2122</v>
      </c>
      <c r="N100" s="240">
        <v>237</v>
      </c>
      <c r="P100" s="241">
        <f t="shared" si="6"/>
        <v>0.89953370072064431</v>
      </c>
      <c r="Q100" s="241">
        <f t="shared" si="7"/>
        <v>0.10046629927935566</v>
      </c>
    </row>
    <row r="101" spans="1:17" x14ac:dyDescent="0.2">
      <c r="A101" s="232" t="s">
        <v>246</v>
      </c>
      <c r="B101" s="233" t="s">
        <v>247</v>
      </c>
      <c r="C101" s="234" t="s">
        <v>264</v>
      </c>
      <c r="D101" s="234"/>
      <c r="E101" s="235">
        <v>19258</v>
      </c>
      <c r="F101" s="236">
        <v>18334</v>
      </c>
      <c r="G101" s="237">
        <v>924</v>
      </c>
      <c r="I101" s="238">
        <f t="shared" si="4"/>
        <v>0.95201993976529231</v>
      </c>
      <c r="J101" s="239">
        <f t="shared" si="5"/>
        <v>4.7980060234707654E-2</v>
      </c>
      <c r="L101" s="240">
        <v>8546</v>
      </c>
      <c r="M101" s="240">
        <v>8213</v>
      </c>
      <c r="N101" s="240">
        <v>333</v>
      </c>
      <c r="P101" s="241">
        <f t="shared" si="6"/>
        <v>0.96103440205944302</v>
      </c>
      <c r="Q101" s="241">
        <f t="shared" si="7"/>
        <v>3.8965597940556984E-2</v>
      </c>
    </row>
    <row r="102" spans="1:17" x14ac:dyDescent="0.2">
      <c r="A102" s="232" t="s">
        <v>14</v>
      </c>
      <c r="B102" s="233" t="s">
        <v>15</v>
      </c>
      <c r="C102" s="234" t="s">
        <v>267</v>
      </c>
      <c r="D102" s="234"/>
      <c r="E102" s="235">
        <v>26684</v>
      </c>
      <c r="F102" s="236">
        <v>22819</v>
      </c>
      <c r="G102" s="237">
        <v>3865</v>
      </c>
      <c r="I102" s="238">
        <f t="shared" si="4"/>
        <v>0.85515664817868386</v>
      </c>
      <c r="J102" s="239">
        <f t="shared" si="5"/>
        <v>0.14484335182131614</v>
      </c>
      <c r="L102" s="240">
        <v>9744</v>
      </c>
      <c r="M102" s="240">
        <v>8972</v>
      </c>
      <c r="N102" s="240">
        <v>772</v>
      </c>
      <c r="P102" s="241">
        <f t="shared" si="6"/>
        <v>0.92077175697865354</v>
      </c>
      <c r="Q102" s="241">
        <f t="shared" si="7"/>
        <v>7.922824302134647E-2</v>
      </c>
    </row>
    <row r="103" spans="1:17" x14ac:dyDescent="0.2">
      <c r="A103" s="232" t="s">
        <v>34</v>
      </c>
      <c r="B103" s="233" t="s">
        <v>35</v>
      </c>
      <c r="C103" s="234" t="s">
        <v>268</v>
      </c>
      <c r="D103" s="234"/>
      <c r="E103" s="235">
        <v>3682</v>
      </c>
      <c r="F103" s="236">
        <v>3261</v>
      </c>
      <c r="G103" s="237">
        <v>421</v>
      </c>
      <c r="I103" s="238">
        <f t="shared" si="4"/>
        <v>0.88565996740901687</v>
      </c>
      <c r="J103" s="239">
        <f t="shared" si="5"/>
        <v>0.11434003259098316</v>
      </c>
      <c r="L103" s="240">
        <v>1243</v>
      </c>
      <c r="M103" s="240">
        <v>1037</v>
      </c>
      <c r="N103" s="240">
        <v>206</v>
      </c>
      <c r="P103" s="241">
        <f t="shared" si="6"/>
        <v>0.83427192276749795</v>
      </c>
      <c r="Q103" s="241">
        <f t="shared" si="7"/>
        <v>0.16572807723250202</v>
      </c>
    </row>
    <row r="104" spans="1:17" x14ac:dyDescent="0.2">
      <c r="A104" s="232" t="s">
        <v>52</v>
      </c>
      <c r="B104" s="233" t="s">
        <v>53</v>
      </c>
      <c r="C104" s="234" t="s">
        <v>265</v>
      </c>
      <c r="D104" s="234"/>
      <c r="E104" s="235">
        <v>6044</v>
      </c>
      <c r="F104" s="236">
        <v>4996</v>
      </c>
      <c r="G104" s="237">
        <v>1048</v>
      </c>
      <c r="I104" s="238">
        <f t="shared" si="4"/>
        <v>0.82660489741892784</v>
      </c>
      <c r="J104" s="239">
        <f t="shared" si="5"/>
        <v>0.17339510258107213</v>
      </c>
      <c r="L104" s="240">
        <v>2127</v>
      </c>
      <c r="M104" s="240">
        <v>1907</v>
      </c>
      <c r="N104" s="240">
        <v>220</v>
      </c>
      <c r="P104" s="241">
        <f t="shared" si="6"/>
        <v>0.89656793606017871</v>
      </c>
      <c r="Q104" s="241">
        <f t="shared" si="7"/>
        <v>0.10343206393982135</v>
      </c>
    </row>
    <row r="105" spans="1:17" x14ac:dyDescent="0.2">
      <c r="A105" s="232" t="s">
        <v>54</v>
      </c>
      <c r="B105" s="233" t="s">
        <v>55</v>
      </c>
      <c r="C105" s="234" t="s">
        <v>264</v>
      </c>
      <c r="D105" s="234"/>
      <c r="E105" s="235">
        <v>47445</v>
      </c>
      <c r="F105" s="236">
        <v>43872</v>
      </c>
      <c r="G105" s="237">
        <v>3573</v>
      </c>
      <c r="I105" s="238">
        <f t="shared" si="4"/>
        <v>0.92469174834018342</v>
      </c>
      <c r="J105" s="239">
        <f t="shared" si="5"/>
        <v>7.5308251659816625E-2</v>
      </c>
      <c r="L105" s="240">
        <v>20777</v>
      </c>
      <c r="M105" s="240">
        <v>19371</v>
      </c>
      <c r="N105" s="240">
        <v>1406</v>
      </c>
      <c r="P105" s="241">
        <f t="shared" si="6"/>
        <v>0.93232901766376286</v>
      </c>
      <c r="Q105" s="241">
        <f t="shared" si="7"/>
        <v>6.7670982336237182E-2</v>
      </c>
    </row>
    <row r="106" spans="1:17" x14ac:dyDescent="0.2">
      <c r="A106" s="232" t="s">
        <v>66</v>
      </c>
      <c r="B106" s="233" t="s">
        <v>67</v>
      </c>
      <c r="C106" s="234" t="s">
        <v>265</v>
      </c>
      <c r="D106" s="234"/>
      <c r="E106" s="235">
        <v>7064</v>
      </c>
      <c r="F106" s="236">
        <v>6212</v>
      </c>
      <c r="G106" s="237">
        <v>852</v>
      </c>
      <c r="I106" s="238">
        <f t="shared" si="4"/>
        <v>0.87938844847112119</v>
      </c>
      <c r="J106" s="239">
        <f t="shared" si="5"/>
        <v>0.12061155152887883</v>
      </c>
      <c r="L106" s="240">
        <v>2114</v>
      </c>
      <c r="M106" s="240">
        <v>1728</v>
      </c>
      <c r="N106" s="240">
        <v>386</v>
      </c>
      <c r="P106" s="241">
        <f t="shared" si="6"/>
        <v>0.81740775780510877</v>
      </c>
      <c r="Q106" s="241">
        <f t="shared" si="7"/>
        <v>0.1825922421948912</v>
      </c>
    </row>
    <row r="107" spans="1:17" x14ac:dyDescent="0.2">
      <c r="A107" s="232" t="s">
        <v>82</v>
      </c>
      <c r="B107" s="233" t="s">
        <v>311</v>
      </c>
      <c r="C107" s="234" t="s">
        <v>264</v>
      </c>
      <c r="D107" s="234"/>
      <c r="E107" s="235">
        <v>1509</v>
      </c>
      <c r="F107" s="236">
        <v>1349</v>
      </c>
      <c r="G107" s="237">
        <v>160</v>
      </c>
      <c r="I107" s="238">
        <f t="shared" si="4"/>
        <v>0.8939695162359178</v>
      </c>
      <c r="J107" s="239">
        <f t="shared" si="5"/>
        <v>0.10603048376408217</v>
      </c>
      <c r="L107" s="240">
        <v>507</v>
      </c>
      <c r="M107" s="240">
        <v>438</v>
      </c>
      <c r="N107" s="240">
        <v>69</v>
      </c>
      <c r="P107" s="241">
        <f t="shared" si="6"/>
        <v>0.86390532544378695</v>
      </c>
      <c r="Q107" s="241">
        <f t="shared" si="7"/>
        <v>0.13609467455621302</v>
      </c>
    </row>
    <row r="108" spans="1:17" x14ac:dyDescent="0.2">
      <c r="A108" s="232" t="s">
        <v>88</v>
      </c>
      <c r="B108" s="233" t="s">
        <v>89</v>
      </c>
      <c r="C108" s="234" t="s">
        <v>267</v>
      </c>
      <c r="D108" s="234"/>
      <c r="E108" s="235">
        <v>3709</v>
      </c>
      <c r="F108" s="236">
        <v>3044</v>
      </c>
      <c r="G108" s="237">
        <v>665</v>
      </c>
      <c r="I108" s="238">
        <f t="shared" si="4"/>
        <v>0.82070638986249667</v>
      </c>
      <c r="J108" s="239">
        <f t="shared" si="5"/>
        <v>0.17929361013750336</v>
      </c>
      <c r="L108" s="240">
        <v>1483</v>
      </c>
      <c r="M108" s="240">
        <v>1250</v>
      </c>
      <c r="N108" s="240">
        <v>233</v>
      </c>
      <c r="P108" s="241">
        <f t="shared" si="6"/>
        <v>0.84288604180714766</v>
      </c>
      <c r="Q108" s="241">
        <f t="shared" si="7"/>
        <v>0.15711395819285232</v>
      </c>
    </row>
    <row r="109" spans="1:17" x14ac:dyDescent="0.2">
      <c r="A109" s="232" t="s">
        <v>90</v>
      </c>
      <c r="B109" s="233" t="s">
        <v>91</v>
      </c>
      <c r="C109" s="234" t="s">
        <v>268</v>
      </c>
      <c r="D109" s="234"/>
      <c r="E109" s="235">
        <v>1355</v>
      </c>
      <c r="F109" s="236">
        <v>1218</v>
      </c>
      <c r="G109" s="237">
        <v>137</v>
      </c>
      <c r="I109" s="238">
        <f t="shared" si="4"/>
        <v>0.89889298892988934</v>
      </c>
      <c r="J109" s="239">
        <f t="shared" si="5"/>
        <v>0.10110701107011071</v>
      </c>
      <c r="L109" s="240">
        <v>489</v>
      </c>
      <c r="M109" s="240">
        <v>432</v>
      </c>
      <c r="N109" s="240">
        <v>57</v>
      </c>
      <c r="P109" s="241">
        <f t="shared" si="6"/>
        <v>0.8834355828220859</v>
      </c>
      <c r="Q109" s="241">
        <f t="shared" si="7"/>
        <v>0.1165644171779141</v>
      </c>
    </row>
    <row r="110" spans="1:17" x14ac:dyDescent="0.2">
      <c r="A110" s="232" t="s">
        <v>106</v>
      </c>
      <c r="B110" s="233" t="s">
        <v>107</v>
      </c>
      <c r="C110" s="234" t="s">
        <v>264</v>
      </c>
      <c r="D110" s="234"/>
      <c r="E110" s="235">
        <v>25384</v>
      </c>
      <c r="F110" s="236">
        <v>22545</v>
      </c>
      <c r="G110" s="237">
        <v>2839</v>
      </c>
      <c r="I110" s="238">
        <f t="shared" si="4"/>
        <v>0.88815789473684215</v>
      </c>
      <c r="J110" s="239">
        <f t="shared" si="5"/>
        <v>0.1118421052631579</v>
      </c>
      <c r="L110" s="240">
        <v>9354</v>
      </c>
      <c r="M110" s="240">
        <v>8280</v>
      </c>
      <c r="N110" s="240">
        <v>1074</v>
      </c>
      <c r="P110" s="241">
        <f t="shared" si="6"/>
        <v>0.88518280949326489</v>
      </c>
      <c r="Q110" s="241">
        <f t="shared" si="7"/>
        <v>0.11481719050673508</v>
      </c>
    </row>
    <row r="111" spans="1:17" x14ac:dyDescent="0.2">
      <c r="A111" s="232" t="s">
        <v>116</v>
      </c>
      <c r="B111" s="233" t="s">
        <v>117</v>
      </c>
      <c r="C111" s="234" t="s">
        <v>266</v>
      </c>
      <c r="D111" s="234"/>
      <c r="E111" s="235">
        <v>3847</v>
      </c>
      <c r="F111" s="236">
        <v>3220</v>
      </c>
      <c r="G111" s="237">
        <v>627</v>
      </c>
      <c r="I111" s="238">
        <f t="shared" si="4"/>
        <v>0.8370158565115674</v>
      </c>
      <c r="J111" s="239">
        <f t="shared" si="5"/>
        <v>0.16298414348843254</v>
      </c>
      <c r="L111" s="240">
        <v>1388</v>
      </c>
      <c r="M111" s="240">
        <v>1087</v>
      </c>
      <c r="N111" s="240">
        <v>301</v>
      </c>
      <c r="P111" s="241">
        <f t="shared" si="6"/>
        <v>0.7831412103746398</v>
      </c>
      <c r="Q111" s="241">
        <f t="shared" si="7"/>
        <v>0.21685878962536023</v>
      </c>
    </row>
    <row r="112" spans="1:17" x14ac:dyDescent="0.2">
      <c r="A112" s="232" t="s">
        <v>138</v>
      </c>
      <c r="B112" s="233" t="s">
        <v>139</v>
      </c>
      <c r="C112" s="234" t="s">
        <v>265</v>
      </c>
      <c r="D112" s="234"/>
      <c r="E112" s="235">
        <v>11948</v>
      </c>
      <c r="F112" s="236">
        <v>10598</v>
      </c>
      <c r="G112" s="237">
        <v>1350</v>
      </c>
      <c r="I112" s="238">
        <f t="shared" si="4"/>
        <v>0.88701037830599261</v>
      </c>
      <c r="J112" s="239">
        <f t="shared" si="5"/>
        <v>0.11298962169400736</v>
      </c>
      <c r="L112" s="240">
        <v>4394</v>
      </c>
      <c r="M112" s="240">
        <v>3862</v>
      </c>
      <c r="N112" s="240">
        <v>532</v>
      </c>
      <c r="P112" s="241">
        <f t="shared" si="6"/>
        <v>0.87892580791989072</v>
      </c>
      <c r="Q112" s="241">
        <f t="shared" si="7"/>
        <v>0.12107419208010924</v>
      </c>
    </row>
    <row r="113" spans="1:17" x14ac:dyDescent="0.2">
      <c r="A113" s="232" t="s">
        <v>142</v>
      </c>
      <c r="B113" s="233" t="s">
        <v>143</v>
      </c>
      <c r="C113" s="234" t="s">
        <v>267</v>
      </c>
      <c r="D113" s="234"/>
      <c r="E113" s="235">
        <v>7239</v>
      </c>
      <c r="F113" s="236">
        <v>6439</v>
      </c>
      <c r="G113" s="237">
        <v>800</v>
      </c>
      <c r="I113" s="238">
        <f t="shared" si="4"/>
        <v>0.88948749827324214</v>
      </c>
      <c r="J113" s="239">
        <f t="shared" si="5"/>
        <v>0.11051250172675783</v>
      </c>
      <c r="L113" s="240">
        <v>3701</v>
      </c>
      <c r="M113" s="240">
        <v>3336</v>
      </c>
      <c r="N113" s="240">
        <v>365</v>
      </c>
      <c r="P113" s="241">
        <f t="shared" si="6"/>
        <v>0.90137800594433937</v>
      </c>
      <c r="Q113" s="241">
        <f t="shared" si="7"/>
        <v>9.8621994055660633E-2</v>
      </c>
    </row>
    <row r="114" spans="1:17" x14ac:dyDescent="0.2">
      <c r="A114" s="232" t="s">
        <v>144</v>
      </c>
      <c r="B114" s="233" t="s">
        <v>145</v>
      </c>
      <c r="C114" s="234" t="s">
        <v>267</v>
      </c>
      <c r="D114" s="234"/>
      <c r="E114" s="235">
        <v>2654</v>
      </c>
      <c r="F114" s="236">
        <v>2314</v>
      </c>
      <c r="G114" s="237">
        <v>340</v>
      </c>
      <c r="I114" s="238">
        <f t="shared" si="4"/>
        <v>0.87189148455162024</v>
      </c>
      <c r="J114" s="239">
        <f t="shared" si="5"/>
        <v>0.12810851544837981</v>
      </c>
      <c r="L114" s="240">
        <v>1470</v>
      </c>
      <c r="M114" s="240">
        <v>1327</v>
      </c>
      <c r="N114" s="240">
        <v>143</v>
      </c>
      <c r="P114" s="241">
        <f t="shared" si="6"/>
        <v>0.90272108843537413</v>
      </c>
      <c r="Q114" s="241">
        <f t="shared" si="7"/>
        <v>9.7278911564625856E-2</v>
      </c>
    </row>
    <row r="115" spans="1:17" x14ac:dyDescent="0.2">
      <c r="A115" s="232" t="s">
        <v>158</v>
      </c>
      <c r="B115" s="233" t="s">
        <v>159</v>
      </c>
      <c r="C115" s="234" t="s">
        <v>264</v>
      </c>
      <c r="D115" s="234"/>
      <c r="E115" s="235">
        <v>32304</v>
      </c>
      <c r="F115" s="236">
        <v>28003</v>
      </c>
      <c r="G115" s="237">
        <v>4301</v>
      </c>
      <c r="I115" s="238">
        <f t="shared" si="4"/>
        <v>0.86685859336305104</v>
      </c>
      <c r="J115" s="239">
        <f t="shared" si="5"/>
        <v>0.13314140663694898</v>
      </c>
      <c r="L115" s="240">
        <v>13357</v>
      </c>
      <c r="M115" s="240">
        <v>11608</v>
      </c>
      <c r="N115" s="240">
        <v>1749</v>
      </c>
      <c r="P115" s="241">
        <f t="shared" si="6"/>
        <v>0.86905742307404354</v>
      </c>
      <c r="Q115" s="241">
        <f t="shared" si="7"/>
        <v>0.13094257692595643</v>
      </c>
    </row>
    <row r="116" spans="1:17" x14ac:dyDescent="0.2">
      <c r="A116" s="232" t="s">
        <v>160</v>
      </c>
      <c r="B116" s="233" t="s">
        <v>161</v>
      </c>
      <c r="C116" s="234" t="s">
        <v>264</v>
      </c>
      <c r="D116" s="234"/>
      <c r="E116" s="235">
        <v>35173</v>
      </c>
      <c r="F116" s="236">
        <v>29572</v>
      </c>
      <c r="G116" s="237">
        <v>5601</v>
      </c>
      <c r="I116" s="238">
        <f t="shared" si="4"/>
        <v>0.84075853637733489</v>
      </c>
      <c r="J116" s="239">
        <f t="shared" si="5"/>
        <v>0.15924146362266511</v>
      </c>
      <c r="L116" s="240">
        <v>13805</v>
      </c>
      <c r="M116" s="240">
        <v>11821</v>
      </c>
      <c r="N116" s="240">
        <v>1984</v>
      </c>
      <c r="P116" s="241">
        <f t="shared" si="6"/>
        <v>0.856283955088736</v>
      </c>
      <c r="Q116" s="241">
        <f t="shared" si="7"/>
        <v>0.14371604491126402</v>
      </c>
    </row>
    <row r="117" spans="1:17" x14ac:dyDescent="0.2">
      <c r="A117" s="232" t="s">
        <v>166</v>
      </c>
      <c r="B117" s="233" t="s">
        <v>167</v>
      </c>
      <c r="C117" s="234" t="s">
        <v>268</v>
      </c>
      <c r="D117" s="234"/>
      <c r="E117" s="235">
        <v>747</v>
      </c>
      <c r="F117" s="236">
        <v>648</v>
      </c>
      <c r="G117" s="237">
        <v>99</v>
      </c>
      <c r="I117" s="238">
        <f t="shared" si="4"/>
        <v>0.86746987951807231</v>
      </c>
      <c r="J117" s="239">
        <f t="shared" si="5"/>
        <v>0.13253012048192772</v>
      </c>
      <c r="L117" s="240">
        <v>270</v>
      </c>
      <c r="M117" s="240">
        <v>229</v>
      </c>
      <c r="N117" s="240">
        <v>41</v>
      </c>
      <c r="P117" s="241">
        <f t="shared" si="6"/>
        <v>0.8481481481481481</v>
      </c>
      <c r="Q117" s="241">
        <f t="shared" si="7"/>
        <v>0.15185185185185185</v>
      </c>
    </row>
    <row r="118" spans="1:17" x14ac:dyDescent="0.2">
      <c r="A118" s="232" t="s">
        <v>176</v>
      </c>
      <c r="B118" s="233" t="s">
        <v>177</v>
      </c>
      <c r="C118" s="234" t="s">
        <v>266</v>
      </c>
      <c r="D118" s="234"/>
      <c r="E118" s="235">
        <v>4395</v>
      </c>
      <c r="F118" s="236">
        <v>3408</v>
      </c>
      <c r="G118" s="237">
        <v>987</v>
      </c>
      <c r="I118" s="238">
        <f t="shared" si="4"/>
        <v>0.7754266211604095</v>
      </c>
      <c r="J118" s="239">
        <f t="shared" si="5"/>
        <v>0.22457337883959044</v>
      </c>
      <c r="L118" s="240">
        <v>1322</v>
      </c>
      <c r="M118" s="240">
        <v>895</v>
      </c>
      <c r="N118" s="240">
        <v>427</v>
      </c>
      <c r="P118" s="241">
        <f t="shared" si="6"/>
        <v>0.67700453857791221</v>
      </c>
      <c r="Q118" s="241">
        <f t="shared" si="7"/>
        <v>0.32299546142208774</v>
      </c>
    </row>
    <row r="119" spans="1:17" x14ac:dyDescent="0.2">
      <c r="A119" s="232" t="s">
        <v>180</v>
      </c>
      <c r="B119" s="233" t="s">
        <v>181</v>
      </c>
      <c r="C119" s="234" t="s">
        <v>264</v>
      </c>
      <c r="D119" s="234"/>
      <c r="E119" s="235">
        <v>16082</v>
      </c>
      <c r="F119" s="236">
        <v>13929</v>
      </c>
      <c r="G119" s="237">
        <v>2153</v>
      </c>
      <c r="I119" s="238">
        <f t="shared" si="4"/>
        <v>0.86612361646561375</v>
      </c>
      <c r="J119" s="239">
        <f t="shared" si="5"/>
        <v>0.13387638353438627</v>
      </c>
      <c r="L119" s="240">
        <v>5886</v>
      </c>
      <c r="M119" s="240">
        <v>5014</v>
      </c>
      <c r="N119" s="240">
        <v>872</v>
      </c>
      <c r="P119" s="241">
        <f t="shared" si="6"/>
        <v>0.85185185185185186</v>
      </c>
      <c r="Q119" s="241">
        <f t="shared" si="7"/>
        <v>0.14814814814814814</v>
      </c>
    </row>
    <row r="120" spans="1:17" x14ac:dyDescent="0.2">
      <c r="A120" s="232" t="s">
        <v>192</v>
      </c>
      <c r="B120" s="233" t="s">
        <v>193</v>
      </c>
      <c r="C120" s="234" t="s">
        <v>268</v>
      </c>
      <c r="D120" s="234"/>
      <c r="E120" s="235">
        <v>2056</v>
      </c>
      <c r="F120" s="236">
        <v>1742</v>
      </c>
      <c r="G120" s="237">
        <v>314</v>
      </c>
      <c r="I120" s="238">
        <f t="shared" si="4"/>
        <v>0.84727626459143968</v>
      </c>
      <c r="J120" s="239">
        <f t="shared" si="5"/>
        <v>0.15272373540856032</v>
      </c>
      <c r="L120" s="240">
        <v>738</v>
      </c>
      <c r="M120" s="240">
        <v>646</v>
      </c>
      <c r="N120" s="240">
        <v>92</v>
      </c>
      <c r="P120" s="241">
        <f t="shared" si="6"/>
        <v>0.87533875338753386</v>
      </c>
      <c r="Q120" s="241">
        <f t="shared" si="7"/>
        <v>0.12466124661246612</v>
      </c>
    </row>
    <row r="121" spans="1:17" x14ac:dyDescent="0.2">
      <c r="A121" s="232" t="s">
        <v>196</v>
      </c>
      <c r="B121" s="233" t="s">
        <v>312</v>
      </c>
      <c r="C121" s="234" t="s">
        <v>266</v>
      </c>
      <c r="D121" s="234"/>
      <c r="E121" s="235">
        <v>27273</v>
      </c>
      <c r="F121" s="236">
        <v>20914</v>
      </c>
      <c r="G121" s="237">
        <v>6359</v>
      </c>
      <c r="I121" s="238">
        <f t="shared" si="4"/>
        <v>0.76683899827668389</v>
      </c>
      <c r="J121" s="239">
        <f t="shared" si="5"/>
        <v>0.23316100172331611</v>
      </c>
      <c r="L121" s="240">
        <v>9095</v>
      </c>
      <c r="M121" s="240">
        <v>7239</v>
      </c>
      <c r="N121" s="240">
        <v>1856</v>
      </c>
      <c r="P121" s="241">
        <f t="shared" si="6"/>
        <v>0.79593183067619566</v>
      </c>
      <c r="Q121" s="241">
        <f t="shared" si="7"/>
        <v>0.20406816932380428</v>
      </c>
    </row>
    <row r="122" spans="1:17" x14ac:dyDescent="0.2">
      <c r="A122" s="232" t="s">
        <v>200</v>
      </c>
      <c r="B122" s="233" t="s">
        <v>313</v>
      </c>
      <c r="C122" s="234" t="s">
        <v>265</v>
      </c>
      <c r="D122" s="234"/>
      <c r="E122" s="235">
        <v>17064</v>
      </c>
      <c r="F122" s="236">
        <v>14014</v>
      </c>
      <c r="G122" s="237">
        <v>3050</v>
      </c>
      <c r="I122" s="238">
        <f t="shared" si="4"/>
        <v>0.82126113455227379</v>
      </c>
      <c r="J122" s="239">
        <f t="shared" si="5"/>
        <v>0.17873886544772621</v>
      </c>
      <c r="L122" s="240">
        <v>6061</v>
      </c>
      <c r="M122" s="240">
        <v>4916</v>
      </c>
      <c r="N122" s="240">
        <v>1145</v>
      </c>
      <c r="P122" s="241">
        <f t="shared" si="6"/>
        <v>0.81108727932684377</v>
      </c>
      <c r="Q122" s="241">
        <f t="shared" si="7"/>
        <v>0.18891272067315623</v>
      </c>
    </row>
    <row r="123" spans="1:17" x14ac:dyDescent="0.2">
      <c r="A123" s="232" t="s">
        <v>222</v>
      </c>
      <c r="B123" s="233" t="s">
        <v>223</v>
      </c>
      <c r="C123" s="234" t="s">
        <v>264</v>
      </c>
      <c r="D123" s="234"/>
      <c r="E123" s="235">
        <v>18140</v>
      </c>
      <c r="F123" s="236">
        <v>16818</v>
      </c>
      <c r="G123" s="237">
        <v>1322</v>
      </c>
      <c r="I123" s="238">
        <f t="shared" si="4"/>
        <v>0.92712238147739801</v>
      </c>
      <c r="J123" s="239">
        <f t="shared" si="5"/>
        <v>7.2877618522601981E-2</v>
      </c>
      <c r="L123" s="240">
        <v>7711</v>
      </c>
      <c r="M123" s="240">
        <v>7175</v>
      </c>
      <c r="N123" s="240">
        <v>536</v>
      </c>
      <c r="P123" s="241">
        <f t="shared" si="6"/>
        <v>0.93048891194397609</v>
      </c>
      <c r="Q123" s="241">
        <f t="shared" si="7"/>
        <v>6.9511088056023865E-2</v>
      </c>
    </row>
    <row r="124" spans="1:17" x14ac:dyDescent="0.2">
      <c r="A124" s="232" t="s">
        <v>230</v>
      </c>
      <c r="B124" s="233" t="s">
        <v>231</v>
      </c>
      <c r="C124" s="234" t="s">
        <v>264</v>
      </c>
      <c r="D124" s="234"/>
      <c r="E124" s="235">
        <v>92701</v>
      </c>
      <c r="F124" s="236">
        <v>83732</v>
      </c>
      <c r="G124" s="237">
        <v>8969</v>
      </c>
      <c r="I124" s="238">
        <f t="shared" si="4"/>
        <v>0.90324807715127131</v>
      </c>
      <c r="J124" s="239">
        <f t="shared" si="5"/>
        <v>9.6751922848728703E-2</v>
      </c>
      <c r="L124" s="240">
        <v>39373</v>
      </c>
      <c r="M124" s="240">
        <v>36360</v>
      </c>
      <c r="N124" s="240">
        <v>3013</v>
      </c>
      <c r="P124" s="241">
        <f t="shared" si="6"/>
        <v>0.92347547811952357</v>
      </c>
      <c r="Q124" s="241">
        <f t="shared" si="7"/>
        <v>7.6524521880476468E-2</v>
      </c>
    </row>
    <row r="125" spans="1:17" x14ac:dyDescent="0.2">
      <c r="A125" s="232" t="s">
        <v>238</v>
      </c>
      <c r="B125" s="233" t="s">
        <v>239</v>
      </c>
      <c r="C125" s="234" t="s">
        <v>264</v>
      </c>
      <c r="D125" s="234"/>
      <c r="E125" s="235">
        <v>1929</v>
      </c>
      <c r="F125" s="236">
        <v>1680</v>
      </c>
      <c r="G125" s="237">
        <v>249</v>
      </c>
      <c r="I125" s="238">
        <f t="shared" si="4"/>
        <v>0.87091757387247282</v>
      </c>
      <c r="J125" s="239">
        <f t="shared" si="5"/>
        <v>0.12908242612752721</v>
      </c>
      <c r="L125" s="240">
        <v>484</v>
      </c>
      <c r="M125" s="240">
        <v>439</v>
      </c>
      <c r="N125" s="240">
        <v>45</v>
      </c>
      <c r="P125" s="241">
        <f t="shared" si="6"/>
        <v>0.90702479338842978</v>
      </c>
      <c r="Q125" s="241">
        <f t="shared" si="7"/>
        <v>9.2975206611570244E-2</v>
      </c>
    </row>
    <row r="126" spans="1:17" x14ac:dyDescent="0.2">
      <c r="A126" s="242" t="s">
        <v>240</v>
      </c>
      <c r="B126" s="243" t="s">
        <v>241</v>
      </c>
      <c r="C126" s="244" t="s">
        <v>267</v>
      </c>
      <c r="D126" s="234"/>
      <c r="E126" s="245">
        <v>4836</v>
      </c>
      <c r="F126" s="246">
        <v>4060</v>
      </c>
      <c r="G126" s="247">
        <v>776</v>
      </c>
      <c r="I126" s="248">
        <f t="shared" si="4"/>
        <v>0.8395368072787428</v>
      </c>
      <c r="J126" s="249">
        <f t="shared" si="5"/>
        <v>0.16046319272125723</v>
      </c>
      <c r="L126" s="240">
        <v>1919</v>
      </c>
      <c r="M126" s="240">
        <v>1614</v>
      </c>
      <c r="N126" s="240">
        <v>305</v>
      </c>
      <c r="P126" s="241">
        <f t="shared" si="6"/>
        <v>0.84106305367378842</v>
      </c>
      <c r="Q126" s="241">
        <f t="shared" si="7"/>
        <v>0.15893694632621158</v>
      </c>
    </row>
    <row r="127" spans="1:17" x14ac:dyDescent="0.2">
      <c r="A127" s="232"/>
      <c r="B127" s="233"/>
      <c r="C127" s="234"/>
      <c r="D127" s="234"/>
      <c r="E127" s="298"/>
      <c r="F127" s="298"/>
      <c r="G127" s="298"/>
      <c r="I127" s="299"/>
      <c r="J127" s="299"/>
      <c r="L127" s="240"/>
      <c r="M127" s="240"/>
      <c r="N127" s="240"/>
      <c r="P127" s="241"/>
      <c r="Q127" s="241"/>
    </row>
    <row r="128" spans="1:17" x14ac:dyDescent="0.2">
      <c r="A128" s="300" t="s">
        <v>721</v>
      </c>
      <c r="B128" s="233"/>
      <c r="C128" s="234"/>
      <c r="D128" s="234"/>
      <c r="E128" s="298"/>
      <c r="F128" s="298"/>
      <c r="G128" s="298"/>
      <c r="I128" s="299"/>
      <c r="J128" s="299"/>
      <c r="L128" s="240"/>
      <c r="M128" s="240"/>
      <c r="N128" s="240"/>
      <c r="P128" s="241"/>
      <c r="Q128" s="241"/>
    </row>
    <row r="129" spans="1:17" x14ac:dyDescent="0.2">
      <c r="A129" s="232" t="s">
        <v>266</v>
      </c>
      <c r="C129" s="234"/>
      <c r="D129" s="234"/>
      <c r="E129" s="298">
        <f>E10+E21+E23+E25+E27+E31+E34+E38+E43+E48+E49+E54+E56+E57+E61+E65+E68+E70+E71+E76+E77+E82+E98+E111+E118+E121</f>
        <v>268921</v>
      </c>
      <c r="F129" s="298">
        <f>F10+F21+F23+F25+F27+F31+F34+F38+F43+F48+F49+F54+F56+F57+F61+F65+F68+F70+F71+F76+F77+F82+F98+F111+F118+F121</f>
        <v>240768</v>
      </c>
      <c r="G129" s="298">
        <f>G10+G21+G23+G25+G27+G31+G34+G38+G43+G48+G49+G54+G56+G57+G61+G65+G68+G70+G71+G76+G77+G82+G98+G111+G118+G121</f>
        <v>28153</v>
      </c>
      <c r="I129" s="299">
        <f>F129/E129</f>
        <v>0.89531126241535619</v>
      </c>
      <c r="J129" s="299">
        <f>G129/E129</f>
        <v>0.10468873758464382</v>
      </c>
      <c r="L129" s="240">
        <f>L10+L21+L23+L25+L27+L31+L34+L38+L43+L48+L49+L54+L56+L57+L61+L65+L68+L70+L71+L76+L77+L82+L98+L111+L118+L121</f>
        <v>107151</v>
      </c>
      <c r="M129" s="240">
        <f>M10+M21+M23+M25+M27+M31+M34+M38+M43+M48+M49+M54+M56+M57+M61+M65+M68+M70+M71+M76+M77+M82+M98+M111+M118+M121</f>
        <v>96952</v>
      </c>
      <c r="N129" s="240">
        <f>N10+N21+N23+N25+N27+N31+N34+N38+N43+N48+N49+N54+N56+N57+N61+N65+N68+N70+N71+N76+N77+N82+N98+N111+N118+N121</f>
        <v>10199</v>
      </c>
      <c r="P129" s="241">
        <f>M129/L129</f>
        <v>0.90481656727422044</v>
      </c>
      <c r="Q129" s="241">
        <f>N129/L129</f>
        <v>9.5183432725779504E-2</v>
      </c>
    </row>
    <row r="130" spans="1:17" x14ac:dyDescent="0.2">
      <c r="A130" s="232" t="s">
        <v>264</v>
      </c>
      <c r="C130" s="234"/>
      <c r="D130" s="234"/>
      <c r="E130" s="298">
        <f>E7+E19+E33+E42+E46+E52+E53+E63+E69+E78+E90+E93+E94+E124+E101+E105+E107+E110+E115+E116+E119+E123+E125</f>
        <v>363407</v>
      </c>
      <c r="F130" s="298">
        <f>F7+F19+F33+F42+F46+F52+F53+F63+F69+F78+F90+F93+F94+F124+F101+F105+F107+F110+F115+F116+F119+F123+F125</f>
        <v>327286</v>
      </c>
      <c r="G130" s="298">
        <f>G7+G19+G33+G42+G46+G52+G53+G63+G69+G78+G90+G93+G94+G124+G101+G105+G107+G110+G115+G116+G119+G123+G125</f>
        <v>36121</v>
      </c>
      <c r="I130" s="299">
        <f>F130/E130</f>
        <v>0.90060455632390135</v>
      </c>
      <c r="J130" s="299">
        <f>G130/E130</f>
        <v>9.9395443676098705E-2</v>
      </c>
      <c r="L130" s="240">
        <f>L7+L19+L33+L42+L46+L52+L53+L63+L69+L78+L90+L93+L94+L124+L101+L105+L107+L110+L115+L116+L119+L123+L125</f>
        <v>144986</v>
      </c>
      <c r="M130" s="240">
        <f>M7+M19+M33+M42+M46+M52+M53+M63+M69+M78+M90+M93+M94+M124+M101+M105+M107+M110+M115+M116+M119+M123+M125</f>
        <v>131552</v>
      </c>
      <c r="N130" s="240">
        <f>N7+N19+N33+N42+N46+N52+N53+N63+N69+N78+N90+N93+N94+N124+N101+N105+N107+N110+N115+N116+N119+N123+N125</f>
        <v>13434</v>
      </c>
      <c r="P130" s="241">
        <f>M130/L130</f>
        <v>0.90734277792338569</v>
      </c>
      <c r="Q130" s="241">
        <f>N130/L130</f>
        <v>9.2657222076614296E-2</v>
      </c>
    </row>
    <row r="131" spans="1:17" x14ac:dyDescent="0.2">
      <c r="A131" s="232" t="s">
        <v>267</v>
      </c>
      <c r="C131" s="234"/>
      <c r="D131" s="234"/>
      <c r="E131" s="298">
        <f>E13+E28+E30+E35+E36+E40+E45+E55+E59+E60+E62+E72+E73+E79+E81+E85+E88+E91+E92+E96+E102+E108+E113+E114+E126</f>
        <v>671538</v>
      </c>
      <c r="F131" s="298">
        <f>F13+F28+F30+F35+F36+F40+F45+F55+F59+F60+F62+F72+F73+F79+F81+F85+F88+F91+F92+F96+F102+F108+F113+F114+F126</f>
        <v>618061</v>
      </c>
      <c r="G131" s="298">
        <f>G13+G28+G30+G35+G36+G40+G45+G55+G59+G60+G62+G72+G73+G79+G81+G85+G88+G91+G92+G96+G102+G108+G113+G114+G126</f>
        <v>53477</v>
      </c>
      <c r="I131" s="299">
        <f>F131/E131</f>
        <v>0.92036638284058381</v>
      </c>
      <c r="J131" s="299">
        <f>G131/E131</f>
        <v>7.9633617159416151E-2</v>
      </c>
      <c r="L131" s="240">
        <f>L13+L28+L30+L35+L36+L40+L45+L55+L59+L60+L62+L72+L73+L79+L81+L85+L88+L91+L92+L96+L102+L108+L113+L114+L126</f>
        <v>313980</v>
      </c>
      <c r="M131" s="240">
        <f>M13+M28+M30+M35+M36+M40+M45+M55+M59+M60+M62+M72+M73+M79+M81+M85+M88+M91+M92+M96+M102+M108+M113+M114+M126</f>
        <v>297413</v>
      </c>
      <c r="N131" s="240">
        <f>N13+N28+N30+N35+N36+N40+N45+N55+N59+N60+N62+N72+N73+N79+N81+N85+N88+N91+N92+N96+N102+N108+N113+N114+N126</f>
        <v>16567</v>
      </c>
      <c r="P131" s="241">
        <f>M131/L131</f>
        <v>0.94723549270654184</v>
      </c>
      <c r="Q131" s="241">
        <f>N131/L131</f>
        <v>5.2764507293458184E-2</v>
      </c>
    </row>
    <row r="132" spans="1:17" x14ac:dyDescent="0.2">
      <c r="A132" s="232" t="s">
        <v>265</v>
      </c>
      <c r="C132" s="234"/>
      <c r="D132" s="234"/>
      <c r="E132" s="298">
        <f>E8+E9+E11+E12+E14+E15+E16+E18+E22+E26+E29+E39+E47+E50+E51+E64+E67+E75+E83+E84+E104+E106+E112+E122</f>
        <v>250573</v>
      </c>
      <c r="F132" s="298">
        <f>F8+F9+F11+F12+F14+F15+F16+F18+F22+F26+F29+F39+F47+F50+F51+F64+F67+F75+F83+F84+F104+F106+F112+F122</f>
        <v>226498</v>
      </c>
      <c r="G132" s="298">
        <f>G8+G9+G11+G12+G14+G15+G16+G18+G22+G26+G29+G39+G47+G50+G51+G64+G67+G75+G83+G84+G104+G106+G112+G122</f>
        <v>24075</v>
      </c>
      <c r="I132" s="299">
        <f>F132/E132</f>
        <v>0.90392021486752361</v>
      </c>
      <c r="J132" s="299">
        <f>G132/E132</f>
        <v>9.6079785132476364E-2</v>
      </c>
      <c r="L132" s="240">
        <f>L8+L9+L11+L12+L14+L15+L16+L18+L22+L26+L29+L39+L47+L50+L51+L64+L67+L75+L83+L84+L104+L106+L112+L122</f>
        <v>87063</v>
      </c>
      <c r="M132" s="240">
        <f>M8+M9+M11+M12+M14+M15+M16+M18+M22+M26+M29+M39+M47+M50+M51+M64+M67+M75+M83+M84+M104+M106+M112+M122</f>
        <v>78016</v>
      </c>
      <c r="N132" s="240">
        <f>N8+N9+N11+N12+N14+N15+N16+N18+N22+N26+N29+N39+N47+N50+N51+N64+N67+N75+N83+N84+N104+N106+N112+N122</f>
        <v>9047</v>
      </c>
      <c r="P132" s="241">
        <f>M132/L132</f>
        <v>0.89608674178468462</v>
      </c>
      <c r="Q132" s="241">
        <f>N132/L132</f>
        <v>0.10391325821531534</v>
      </c>
    </row>
    <row r="133" spans="1:17" x14ac:dyDescent="0.2">
      <c r="A133" s="232" t="s">
        <v>268</v>
      </c>
      <c r="C133" s="234"/>
      <c r="D133" s="234"/>
      <c r="E133" s="298">
        <f>E17+E20+E24+E32+E37+E41+E44+E58+E66+E74+E80+E86+E87+E89+E95+E97+E99+E100+E103+E109+E117+E120</f>
        <v>133729</v>
      </c>
      <c r="F133" s="298">
        <f>F17+F20+F24+F32+F37+F41+F44+F58+F66+F74+F80+F86+F87+F89+F95+F97+F99+F100+F103+F109+F117+F120</f>
        <v>122231</v>
      </c>
      <c r="G133" s="298">
        <f>G17+G20+G24+G32+G37+G41+G44+G58+G66+G74+G80+G86+G87+G89+G95+G97+G99+G100+G103+G109+G117+G120</f>
        <v>11498</v>
      </c>
      <c r="I133" s="299">
        <f>F133/E133</f>
        <v>0.91402014521906239</v>
      </c>
      <c r="J133" s="299">
        <f>G133/E133</f>
        <v>8.5979854780937573E-2</v>
      </c>
      <c r="L133" s="240">
        <f>L17+L20+L24+L32+L37+L41+L44+L58+L66+L74+L80+L86+L87+L89+L95+L97+L99+L100+L103+L109+L117+L120</f>
        <v>44993</v>
      </c>
      <c r="M133" s="240">
        <f>M17+M20+M24+M32+M37+M41+M44+M58+M66+M74+M80+M86+M87+M89+M95+M97+M99+M100+M103+M109+M117+M120</f>
        <v>40677</v>
      </c>
      <c r="N133" s="240">
        <f>N17+N20+N24+N32+N37+N41+N44+N58+N66+N74+N80+N86+N87+N89+N95+N97+N99+N100+N103+N109+N117+N120</f>
        <v>4316</v>
      </c>
      <c r="P133" s="241">
        <f>M133/L133</f>
        <v>0.90407396706154286</v>
      </c>
      <c r="Q133" s="241">
        <f>N133/L133</f>
        <v>9.5926032938457098E-2</v>
      </c>
    </row>
    <row r="134" spans="1:17" x14ac:dyDescent="0.2">
      <c r="A134" s="232"/>
      <c r="B134" s="233"/>
      <c r="C134" s="234"/>
      <c r="D134" s="234"/>
      <c r="E134" s="298"/>
      <c r="F134" s="298"/>
      <c r="G134" s="298"/>
      <c r="I134" s="299"/>
      <c r="J134" s="299"/>
      <c r="L134" s="240"/>
      <c r="M134" s="240"/>
      <c r="N134" s="240"/>
      <c r="P134" s="241"/>
      <c r="Q134" s="241"/>
    </row>
    <row r="135" spans="1:17" x14ac:dyDescent="0.2">
      <c r="A135" s="250" t="s">
        <v>646</v>
      </c>
      <c r="B135" s="251"/>
      <c r="C135" s="251"/>
      <c r="D135" s="251"/>
      <c r="E135" s="219"/>
      <c r="F135" s="219"/>
      <c r="G135" s="219"/>
      <c r="H135" s="219"/>
    </row>
    <row r="136" spans="1:17" x14ac:dyDescent="0.2">
      <c r="A136" s="251"/>
      <c r="B136" s="251"/>
      <c r="C136" s="251"/>
      <c r="D136" s="251"/>
      <c r="E136" s="219"/>
      <c r="F136" s="219"/>
      <c r="G136" s="219"/>
      <c r="H136" s="219"/>
    </row>
    <row r="137" spans="1:17" x14ac:dyDescent="0.2">
      <c r="A137" s="219" t="s">
        <v>248</v>
      </c>
      <c r="B137" s="252"/>
      <c r="C137" s="252"/>
      <c r="D137" s="252"/>
      <c r="E137" s="219"/>
      <c r="F137" s="219"/>
      <c r="G137" s="219"/>
      <c r="H137" s="219"/>
    </row>
    <row r="138" spans="1:17" x14ac:dyDescent="0.2">
      <c r="A138" s="219" t="s">
        <v>249</v>
      </c>
      <c r="B138" s="167" t="s">
        <v>250</v>
      </c>
      <c r="C138" s="253"/>
      <c r="D138" s="253"/>
      <c r="E138" s="219"/>
      <c r="F138" s="219"/>
      <c r="G138" s="219"/>
      <c r="H138" s="219"/>
    </row>
  </sheetData>
  <mergeCells count="4">
    <mergeCell ref="E4:G4"/>
    <mergeCell ref="I4:J4"/>
    <mergeCell ref="L4:N4"/>
    <mergeCell ref="P4:Q4"/>
  </mergeCells>
  <hyperlinks>
    <hyperlink ref="B138" r:id="rId1"/>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4" topLeftCell="A5" activePane="bottomLeft" state="frozen"/>
      <selection pane="bottomLeft" activeCell="B15" sqref="B15"/>
    </sheetView>
  </sheetViews>
  <sheetFormatPr defaultRowHeight="15.75" x14ac:dyDescent="0.25"/>
  <cols>
    <col min="1" max="1" width="9.125" style="785" customWidth="1"/>
    <col min="2" max="2" width="29.75" style="785" customWidth="1"/>
    <col min="3" max="3" width="12.5" style="785" customWidth="1"/>
    <col min="4" max="10" width="5.875" style="785" customWidth="1"/>
    <col min="11" max="16384" width="9" style="785"/>
  </cols>
  <sheetData>
    <row r="1" spans="1:10" x14ac:dyDescent="0.25">
      <c r="A1" s="800" t="s">
        <v>288</v>
      </c>
      <c r="B1" s="801"/>
      <c r="C1" s="801"/>
      <c r="D1" s="801"/>
      <c r="E1" s="801"/>
      <c r="F1" s="801"/>
      <c r="G1" s="801"/>
      <c r="H1" s="801"/>
      <c r="I1" s="801"/>
      <c r="J1" s="801"/>
    </row>
    <row r="2" spans="1:10" x14ac:dyDescent="0.25">
      <c r="A2" s="798"/>
      <c r="B2" s="799"/>
      <c r="C2" s="799"/>
      <c r="D2" s="799"/>
      <c r="E2" s="799"/>
      <c r="F2" s="799"/>
      <c r="G2" s="799"/>
      <c r="H2" s="799"/>
      <c r="I2" s="799"/>
      <c r="J2" s="799"/>
    </row>
    <row r="3" spans="1:10" s="787" customFormat="1" ht="18" x14ac:dyDescent="0.25">
      <c r="A3" s="794" t="s">
        <v>4</v>
      </c>
      <c r="B3" s="797" t="s">
        <v>5</v>
      </c>
      <c r="C3" s="794" t="s">
        <v>251</v>
      </c>
      <c r="D3" s="795" t="s">
        <v>274</v>
      </c>
      <c r="E3" s="795" t="s">
        <v>275</v>
      </c>
      <c r="F3" s="795" t="s">
        <v>276</v>
      </c>
      <c r="G3" s="795" t="s">
        <v>277</v>
      </c>
      <c r="H3" s="795" t="s">
        <v>278</v>
      </c>
      <c r="I3" s="795" t="s">
        <v>279</v>
      </c>
      <c r="J3" s="795" t="s">
        <v>789</v>
      </c>
    </row>
    <row r="4" spans="1:10" s="787" customFormat="1" x14ac:dyDescent="0.25">
      <c r="A4" s="803">
        <v>999</v>
      </c>
      <c r="B4" s="802" t="s">
        <v>9</v>
      </c>
      <c r="C4" s="803"/>
      <c r="D4" s="804">
        <v>0.46586525895923542</v>
      </c>
      <c r="E4" s="804">
        <v>0.51433899357406598</v>
      </c>
      <c r="F4" s="804">
        <v>0.52770533252457774</v>
      </c>
      <c r="G4" s="804">
        <v>0.48474833730191313</v>
      </c>
      <c r="H4" s="804">
        <v>0.54354690633463587</v>
      </c>
      <c r="I4" s="804">
        <v>0.65914620694302894</v>
      </c>
      <c r="J4" s="804">
        <v>0.74632806565018006</v>
      </c>
    </row>
    <row r="5" spans="1:10" ht="16.5" customHeight="1" x14ac:dyDescent="0.25">
      <c r="A5" s="805" t="s">
        <v>10</v>
      </c>
      <c r="B5" s="806" t="s">
        <v>11</v>
      </c>
      <c r="C5" s="806" t="s">
        <v>264</v>
      </c>
      <c r="D5" s="807">
        <v>0.45034688609228785</v>
      </c>
      <c r="E5" s="807">
        <v>0.41541191654119164</v>
      </c>
      <c r="F5" s="807">
        <v>0.49280769390208512</v>
      </c>
      <c r="G5" s="807">
        <v>0.44929031790861035</v>
      </c>
      <c r="H5" s="807">
        <v>0.41868038512365491</v>
      </c>
      <c r="I5" s="807">
        <v>0.48250582090491473</v>
      </c>
      <c r="J5" s="807">
        <v>0.54831036435718328</v>
      </c>
    </row>
    <row r="6" spans="1:10" ht="16.5" customHeight="1" x14ac:dyDescent="0.25">
      <c r="A6" s="805" t="s">
        <v>12</v>
      </c>
      <c r="B6" s="806" t="s">
        <v>13</v>
      </c>
      <c r="C6" s="806" t="s">
        <v>265</v>
      </c>
      <c r="D6" s="807">
        <v>0.28974198918019145</v>
      </c>
      <c r="E6" s="807">
        <v>0.36215757106609897</v>
      </c>
      <c r="F6" s="807">
        <v>0.36683244379750929</v>
      </c>
      <c r="G6" s="807">
        <v>0.29816299888101455</v>
      </c>
      <c r="H6" s="807">
        <v>0.4403373425667193</v>
      </c>
      <c r="I6" s="807">
        <v>0.5727736605515733</v>
      </c>
      <c r="J6" s="807">
        <v>0.66737941926861866</v>
      </c>
    </row>
    <row r="7" spans="1:10" ht="16.5" customHeight="1" x14ac:dyDescent="0.25">
      <c r="A7" s="805" t="s">
        <v>16</v>
      </c>
      <c r="B7" s="806" t="s">
        <v>289</v>
      </c>
      <c r="C7" s="806" t="s">
        <v>265</v>
      </c>
      <c r="D7" s="807">
        <v>0.62072503419972636</v>
      </c>
      <c r="E7" s="807">
        <v>0.66097366694780246</v>
      </c>
      <c r="F7" s="807">
        <v>0.63330286410725167</v>
      </c>
      <c r="G7" s="807">
        <v>0.62403965303593556</v>
      </c>
      <c r="H7" s="807">
        <v>0.79528931381336521</v>
      </c>
      <c r="I7" s="807">
        <v>0.75589098532494758</v>
      </c>
      <c r="J7" s="807">
        <v>0.8105157232704403</v>
      </c>
    </row>
    <row r="8" spans="1:10" ht="16.5" customHeight="1" x14ac:dyDescent="0.25">
      <c r="A8" s="805" t="s">
        <v>18</v>
      </c>
      <c r="B8" s="806" t="s">
        <v>19</v>
      </c>
      <c r="C8" s="806" t="s">
        <v>266</v>
      </c>
      <c r="D8" s="807">
        <v>0.54383460236886638</v>
      </c>
      <c r="E8" s="807">
        <v>0.64199873497786208</v>
      </c>
      <c r="F8" s="807">
        <v>0.69769330734243018</v>
      </c>
      <c r="G8" s="807">
        <v>0.62956827309236951</v>
      </c>
      <c r="H8" s="807">
        <v>0.72102102102102106</v>
      </c>
      <c r="I8" s="807">
        <v>1.0326826826826827</v>
      </c>
      <c r="J8" s="807">
        <v>1.1711711711711712</v>
      </c>
    </row>
    <row r="9" spans="1:10" ht="16.5" customHeight="1" x14ac:dyDescent="0.25">
      <c r="A9" s="805" t="s">
        <v>20</v>
      </c>
      <c r="B9" s="806" t="s">
        <v>21</v>
      </c>
      <c r="C9" s="806" t="s">
        <v>265</v>
      </c>
      <c r="D9" s="807">
        <v>0.53661899897854959</v>
      </c>
      <c r="E9" s="807">
        <v>0.59540025146689024</v>
      </c>
      <c r="F9" s="807">
        <v>0.56495648034815726</v>
      </c>
      <c r="G9" s="807">
        <v>0.49520328212721326</v>
      </c>
      <c r="H9" s="807">
        <v>0.51880858023526455</v>
      </c>
      <c r="I9" s="807">
        <v>0.64603384286343335</v>
      </c>
      <c r="J9" s="807">
        <v>0.73221362521230415</v>
      </c>
    </row>
    <row r="10" spans="1:10" ht="16.5" customHeight="1" x14ac:dyDescent="0.25">
      <c r="A10" s="805" t="s">
        <v>22</v>
      </c>
      <c r="B10" s="806" t="s">
        <v>23</v>
      </c>
      <c r="C10" s="806" t="s">
        <v>265</v>
      </c>
      <c r="D10" s="807">
        <v>0.61866638200967838</v>
      </c>
      <c r="E10" s="807">
        <v>0.68785181804351136</v>
      </c>
      <c r="F10" s="807">
        <v>0.62509960159362554</v>
      </c>
      <c r="G10" s="807">
        <v>0.62384844946152851</v>
      </c>
      <c r="H10" s="807">
        <v>0.69308385579937304</v>
      </c>
      <c r="I10" s="807">
        <v>0.80005877742946707</v>
      </c>
      <c r="J10" s="807">
        <v>0.9050156739811912</v>
      </c>
    </row>
    <row r="11" spans="1:10" ht="16.5" customHeight="1" x14ac:dyDescent="0.25">
      <c r="A11" s="805" t="s">
        <v>24</v>
      </c>
      <c r="B11" s="806" t="s">
        <v>25</v>
      </c>
      <c r="C11" s="806" t="s">
        <v>267</v>
      </c>
      <c r="D11" s="807">
        <v>0.20834828216561599</v>
      </c>
      <c r="E11" s="807">
        <v>0.20396186766439445</v>
      </c>
      <c r="F11" s="807">
        <v>0.20425436229537686</v>
      </c>
      <c r="G11" s="807">
        <v>0.19807410157147656</v>
      </c>
      <c r="H11" s="807">
        <v>0.21975252874174062</v>
      </c>
      <c r="I11" s="807">
        <v>0.27225824166090945</v>
      </c>
      <c r="J11" s="807">
        <v>0.31860551628846256</v>
      </c>
    </row>
    <row r="12" spans="1:10" ht="16.5" customHeight="1" x14ac:dyDescent="0.25">
      <c r="A12" s="805" t="s">
        <v>26</v>
      </c>
      <c r="B12" s="808" t="s">
        <v>685</v>
      </c>
      <c r="C12" s="806" t="s">
        <v>265</v>
      </c>
      <c r="D12" s="807">
        <v>0.47039166039371338</v>
      </c>
      <c r="E12" s="807">
        <v>0.52842846727345427</v>
      </c>
      <c r="F12" s="807">
        <v>0.51882973369220331</v>
      </c>
      <c r="G12" s="807">
        <v>0.50106524898950677</v>
      </c>
      <c r="H12" s="807">
        <v>0.67554376786319814</v>
      </c>
      <c r="I12" s="807">
        <v>0.74325394311775517</v>
      </c>
      <c r="J12" s="807">
        <v>0.83376195603977954</v>
      </c>
    </row>
    <row r="13" spans="1:10" ht="16.5" customHeight="1" x14ac:dyDescent="0.25">
      <c r="A13" s="805" t="s">
        <v>27</v>
      </c>
      <c r="B13" s="806" t="s">
        <v>28</v>
      </c>
      <c r="C13" s="806" t="s">
        <v>265</v>
      </c>
      <c r="D13" s="807">
        <v>0.30604288499025339</v>
      </c>
      <c r="E13" s="807">
        <v>0.31868898186889821</v>
      </c>
      <c r="F13" s="807">
        <v>0.33193407960199006</v>
      </c>
      <c r="G13" s="807">
        <v>0.35159010600706714</v>
      </c>
      <c r="H13" s="807">
        <v>0.45288624787775894</v>
      </c>
      <c r="I13" s="807">
        <v>0.55333899264289754</v>
      </c>
      <c r="J13" s="807">
        <v>0.59932088285229201</v>
      </c>
    </row>
    <row r="14" spans="1:10" ht="16.5" customHeight="1" x14ac:dyDescent="0.25">
      <c r="A14" s="805" t="s">
        <v>29</v>
      </c>
      <c r="B14" s="806" t="s">
        <v>901</v>
      </c>
      <c r="C14" s="806" t="s">
        <v>265</v>
      </c>
      <c r="D14" s="807">
        <v>0.41019570707070707</v>
      </c>
      <c r="E14" s="807">
        <v>0.46042944785276074</v>
      </c>
      <c r="F14" s="807">
        <v>0.48036295766817566</v>
      </c>
      <c r="G14" s="807">
        <v>0.41342153436511897</v>
      </c>
      <c r="H14" s="807">
        <v>0.55485123452817642</v>
      </c>
      <c r="I14" s="807">
        <v>0.64231493468282919</v>
      </c>
      <c r="J14" s="807">
        <v>0.74007296692950453</v>
      </c>
    </row>
    <row r="15" spans="1:10" ht="16.5" customHeight="1" x14ac:dyDescent="0.25">
      <c r="A15" s="805" t="s">
        <v>30</v>
      </c>
      <c r="B15" s="806" t="s">
        <v>31</v>
      </c>
      <c r="C15" s="806" t="s">
        <v>268</v>
      </c>
      <c r="D15" s="807">
        <v>0.41518136335209505</v>
      </c>
      <c r="E15" s="807">
        <v>0.39920919128618321</v>
      </c>
      <c r="F15" s="807">
        <v>0.46311600857055402</v>
      </c>
      <c r="G15" s="807">
        <v>0.4013104013104013</v>
      </c>
      <c r="H15" s="807">
        <v>0.39938370846730975</v>
      </c>
      <c r="I15" s="807">
        <v>0.41579581993569131</v>
      </c>
      <c r="J15" s="807">
        <v>0.47877813504823152</v>
      </c>
    </row>
    <row r="16" spans="1:10" ht="16.5" customHeight="1" x14ac:dyDescent="0.25">
      <c r="A16" s="805" t="s">
        <v>32</v>
      </c>
      <c r="B16" s="806" t="s">
        <v>33</v>
      </c>
      <c r="C16" s="806" t="s">
        <v>265</v>
      </c>
      <c r="D16" s="807">
        <v>0.29975908080059305</v>
      </c>
      <c r="E16" s="807">
        <v>0.32346189164370981</v>
      </c>
      <c r="F16" s="807">
        <v>0.31836191218498311</v>
      </c>
      <c r="G16" s="807">
        <v>0.31581740976645434</v>
      </c>
      <c r="H16" s="807">
        <v>0.34562989752863171</v>
      </c>
      <c r="I16" s="807">
        <v>0.47510548523206753</v>
      </c>
      <c r="J16" s="807">
        <v>0.56810126582278486</v>
      </c>
    </row>
    <row r="17" spans="1:10" ht="16.5" customHeight="1" x14ac:dyDescent="0.25">
      <c r="A17" s="805" t="s">
        <v>36</v>
      </c>
      <c r="B17" s="806" t="s">
        <v>37</v>
      </c>
      <c r="C17" s="806" t="s">
        <v>264</v>
      </c>
      <c r="D17" s="807">
        <v>0.62984946236559136</v>
      </c>
      <c r="E17" s="807">
        <v>0.64689051586299751</v>
      </c>
      <c r="F17" s="807">
        <v>0.70859442993907751</v>
      </c>
      <c r="G17" s="807">
        <v>0.61184065327742221</v>
      </c>
      <c r="H17" s="807">
        <v>0.66252915068080942</v>
      </c>
      <c r="I17" s="807">
        <v>0.75161739261265326</v>
      </c>
      <c r="J17" s="807">
        <v>0.81313473256601221</v>
      </c>
    </row>
    <row r="18" spans="1:10" ht="16.5" customHeight="1" x14ac:dyDescent="0.25">
      <c r="A18" s="805" t="s">
        <v>38</v>
      </c>
      <c r="B18" s="806" t="s">
        <v>39</v>
      </c>
      <c r="C18" s="806" t="s">
        <v>268</v>
      </c>
      <c r="D18" s="807">
        <v>0.63551368896415472</v>
      </c>
      <c r="E18" s="807">
        <v>0.54313809059912321</v>
      </c>
      <c r="F18" s="807">
        <v>0.60614453325854256</v>
      </c>
      <c r="G18" s="807">
        <v>0.59252760621373757</v>
      </c>
      <c r="H18" s="807">
        <v>0.60020406226271827</v>
      </c>
      <c r="I18" s="807">
        <v>0.63570140470766889</v>
      </c>
      <c r="J18" s="807">
        <v>0.66289863325740317</v>
      </c>
    </row>
    <row r="19" spans="1:10" ht="16.5" customHeight="1" x14ac:dyDescent="0.25">
      <c r="A19" s="805" t="s">
        <v>40</v>
      </c>
      <c r="B19" s="806" t="s">
        <v>41</v>
      </c>
      <c r="C19" s="806" t="s">
        <v>266</v>
      </c>
      <c r="D19" s="807">
        <v>0.54798572406375279</v>
      </c>
      <c r="E19" s="807">
        <v>0.51311605723370435</v>
      </c>
      <c r="F19" s="807">
        <v>0.6006150249059673</v>
      </c>
      <c r="G19" s="807">
        <v>0.53811708169506334</v>
      </c>
      <c r="H19" s="807">
        <v>0.60386139526310945</v>
      </c>
      <c r="I19" s="807">
        <v>0.75218873836512767</v>
      </c>
      <c r="J19" s="807">
        <v>0.84672380425767213</v>
      </c>
    </row>
    <row r="20" spans="1:10" ht="16.5" customHeight="1" x14ac:dyDescent="0.25">
      <c r="A20" s="805" t="s">
        <v>42</v>
      </c>
      <c r="B20" s="806" t="s">
        <v>43</v>
      </c>
      <c r="C20" s="806" t="s">
        <v>265</v>
      </c>
      <c r="D20" s="807">
        <v>0.54</v>
      </c>
      <c r="E20" s="807">
        <v>0.61437543767507008</v>
      </c>
      <c r="F20" s="807">
        <v>0.57307846678707608</v>
      </c>
      <c r="G20" s="807">
        <v>0.55848873126644549</v>
      </c>
      <c r="H20" s="807">
        <v>0.58974802181762309</v>
      </c>
      <c r="I20" s="807">
        <v>0.72430283475455171</v>
      </c>
      <c r="J20" s="807">
        <v>0.81011753860336488</v>
      </c>
    </row>
    <row r="21" spans="1:10" ht="16.5" customHeight="1" x14ac:dyDescent="0.25">
      <c r="A21" s="805" t="s">
        <v>44</v>
      </c>
      <c r="B21" s="806" t="s">
        <v>45</v>
      </c>
      <c r="C21" s="806" t="s">
        <v>266</v>
      </c>
      <c r="D21" s="807">
        <v>0.6696306094454243</v>
      </c>
      <c r="E21" s="807">
        <v>0.73873735825927056</v>
      </c>
      <c r="F21" s="807">
        <v>0.74314377898769912</v>
      </c>
      <c r="G21" s="807">
        <v>0.76818438116718357</v>
      </c>
      <c r="H21" s="807">
        <v>0.90231884057971012</v>
      </c>
      <c r="I21" s="807">
        <v>1.1741062801932367</v>
      </c>
      <c r="J21" s="807">
        <v>1.2823188405797101</v>
      </c>
    </row>
    <row r="22" spans="1:10" ht="16.5" customHeight="1" x14ac:dyDescent="0.25">
      <c r="A22" s="805" t="s">
        <v>46</v>
      </c>
      <c r="B22" s="806" t="s">
        <v>47</v>
      </c>
      <c r="C22" s="806" t="s">
        <v>268</v>
      </c>
      <c r="D22" s="807">
        <v>0.57748118953780003</v>
      </c>
      <c r="E22" s="807">
        <v>0.5329052969502408</v>
      </c>
      <c r="F22" s="807">
        <v>0.63190779496511984</v>
      </c>
      <c r="G22" s="807">
        <v>0.63223894208846332</v>
      </c>
      <c r="H22" s="807">
        <v>0.64257060333761229</v>
      </c>
      <c r="I22" s="807">
        <v>0.75583012409071459</v>
      </c>
      <c r="J22" s="807">
        <v>0.83080872913992299</v>
      </c>
    </row>
    <row r="23" spans="1:10" ht="16.5" customHeight="1" x14ac:dyDescent="0.25">
      <c r="A23" s="805" t="s">
        <v>48</v>
      </c>
      <c r="B23" s="806" t="s">
        <v>269</v>
      </c>
      <c r="C23" s="806" t="s">
        <v>266</v>
      </c>
      <c r="D23" s="807">
        <v>0.49942301351796903</v>
      </c>
      <c r="E23" s="807">
        <v>0.52976774615636246</v>
      </c>
      <c r="F23" s="807">
        <v>0.57137004260898061</v>
      </c>
      <c r="G23" s="807">
        <v>0.56529680365296808</v>
      </c>
      <c r="H23" s="807">
        <v>0.61650120336943437</v>
      </c>
      <c r="I23" s="807">
        <v>0.76022864019253911</v>
      </c>
      <c r="J23" s="807">
        <v>0.85451263537906141</v>
      </c>
    </row>
    <row r="24" spans="1:10" ht="16.5" customHeight="1" x14ac:dyDescent="0.25">
      <c r="A24" s="805" t="s">
        <v>50</v>
      </c>
      <c r="B24" s="806" t="s">
        <v>51</v>
      </c>
      <c r="C24" s="806" t="s">
        <v>265</v>
      </c>
      <c r="D24" s="807">
        <v>0.53851461548111901</v>
      </c>
      <c r="E24" s="807">
        <v>0.546844894026975</v>
      </c>
      <c r="F24" s="807">
        <v>0.58021452722397104</v>
      </c>
      <c r="G24" s="807">
        <v>0.53463681278250819</v>
      </c>
      <c r="H24" s="807">
        <v>0.65291975091058629</v>
      </c>
      <c r="I24" s="807">
        <v>0.76362942074961815</v>
      </c>
      <c r="J24" s="807">
        <v>0.79689813182939728</v>
      </c>
    </row>
    <row r="25" spans="1:10" ht="16.5" customHeight="1" x14ac:dyDescent="0.25">
      <c r="A25" s="805" t="s">
        <v>56</v>
      </c>
      <c r="B25" s="806" t="s">
        <v>295</v>
      </c>
      <c r="C25" s="806" t="s">
        <v>266</v>
      </c>
      <c r="D25" s="807">
        <v>0.42259082341095616</v>
      </c>
      <c r="E25" s="807">
        <v>0.51769905743894185</v>
      </c>
      <c r="F25" s="807">
        <v>0.59980428423950449</v>
      </c>
      <c r="G25" s="807">
        <v>0.53899600648945467</v>
      </c>
      <c r="H25" s="807">
        <v>0.65745087280781966</v>
      </c>
      <c r="I25" s="807">
        <v>0.86218112161508387</v>
      </c>
      <c r="J25" s="807">
        <v>1.021684383948535</v>
      </c>
    </row>
    <row r="26" spans="1:10" ht="16.5" customHeight="1" x14ac:dyDescent="0.25">
      <c r="A26" s="805" t="s">
        <v>58</v>
      </c>
      <c r="B26" s="806" t="s">
        <v>59</v>
      </c>
      <c r="C26" s="806" t="s">
        <v>267</v>
      </c>
      <c r="D26" s="807">
        <v>0.26273623664749385</v>
      </c>
      <c r="E26" s="807">
        <v>0.26749311294765843</v>
      </c>
      <c r="F26" s="807">
        <v>0.31091814754981151</v>
      </c>
      <c r="G26" s="807">
        <v>0.32128125805620006</v>
      </c>
      <c r="H26" s="807">
        <v>0.32996859578286225</v>
      </c>
      <c r="I26" s="807">
        <v>0.44599596231493943</v>
      </c>
      <c r="J26" s="807">
        <v>0.50107671601615078</v>
      </c>
    </row>
    <row r="27" spans="1:10" ht="16.5" customHeight="1" x14ac:dyDescent="0.25">
      <c r="A27" s="805" t="s">
        <v>60</v>
      </c>
      <c r="B27" s="806" t="s">
        <v>61</v>
      </c>
      <c r="C27" s="806" t="s">
        <v>265</v>
      </c>
      <c r="D27" s="807">
        <v>0.419157947184853</v>
      </c>
      <c r="E27" s="807">
        <v>0.45292439372325249</v>
      </c>
      <c r="F27" s="807">
        <v>0.46559945504087191</v>
      </c>
      <c r="G27" s="807">
        <v>0.45931244560487378</v>
      </c>
      <c r="H27" s="807">
        <v>0.47545219638242892</v>
      </c>
      <c r="I27" s="807">
        <v>0.64804048234280798</v>
      </c>
      <c r="J27" s="807">
        <v>0.68682170542635657</v>
      </c>
    </row>
    <row r="28" spans="1:10" ht="16.5" customHeight="1" x14ac:dyDescent="0.25">
      <c r="A28" s="805" t="s">
        <v>62</v>
      </c>
      <c r="B28" s="806" t="s">
        <v>63</v>
      </c>
      <c r="C28" s="806" t="s">
        <v>267</v>
      </c>
      <c r="D28" s="807">
        <v>0.38213125406107862</v>
      </c>
      <c r="E28" s="807">
        <v>0.42691159508786214</v>
      </c>
      <c r="F28" s="807">
        <v>0.45232248823409044</v>
      </c>
      <c r="G28" s="807">
        <v>0.47933333333333333</v>
      </c>
      <c r="H28" s="807">
        <v>0.61356440312584204</v>
      </c>
      <c r="I28" s="807">
        <v>0.89283548908649957</v>
      </c>
      <c r="J28" s="807">
        <v>1.0588520614389652</v>
      </c>
    </row>
    <row r="29" spans="1:10" ht="16.5" customHeight="1" x14ac:dyDescent="0.25">
      <c r="A29" s="805" t="s">
        <v>64</v>
      </c>
      <c r="B29" s="806" t="s">
        <v>65</v>
      </c>
      <c r="C29" s="806" t="s">
        <v>266</v>
      </c>
      <c r="D29" s="807">
        <v>0.65049415992812221</v>
      </c>
      <c r="E29" s="807">
        <v>0.64267103714910068</v>
      </c>
      <c r="F29" s="807">
        <v>0.67856517935258098</v>
      </c>
      <c r="G29" s="807">
        <v>0.64125722543352603</v>
      </c>
      <c r="H29" s="807">
        <v>0.70461095100864557</v>
      </c>
      <c r="I29" s="807">
        <v>0.87307877041306436</v>
      </c>
      <c r="J29" s="807">
        <v>0.94380403458213258</v>
      </c>
    </row>
    <row r="30" spans="1:10" ht="16.5" customHeight="1" x14ac:dyDescent="0.25">
      <c r="A30" s="805" t="s">
        <v>68</v>
      </c>
      <c r="B30" s="806" t="s">
        <v>69</v>
      </c>
      <c r="C30" s="806" t="s">
        <v>268</v>
      </c>
      <c r="D30" s="807">
        <v>0.63736176935229072</v>
      </c>
      <c r="E30" s="807">
        <v>0.56630824372759858</v>
      </c>
      <c r="F30" s="807">
        <v>0.65258724428399517</v>
      </c>
      <c r="G30" s="807">
        <v>0.55255913539967372</v>
      </c>
      <c r="H30" s="807">
        <v>0.55871133305590237</v>
      </c>
      <c r="I30" s="807">
        <v>0.60682827021778329</v>
      </c>
      <c r="J30" s="807">
        <v>0.64565126924677485</v>
      </c>
    </row>
    <row r="31" spans="1:10" ht="16.5" customHeight="1" x14ac:dyDescent="0.25">
      <c r="A31" s="805" t="s">
        <v>70</v>
      </c>
      <c r="B31" s="806" t="s">
        <v>71</v>
      </c>
      <c r="C31" s="806" t="s">
        <v>264</v>
      </c>
      <c r="D31" s="807">
        <v>0.68108209304502476</v>
      </c>
      <c r="E31" s="807">
        <v>0.80683540466808124</v>
      </c>
      <c r="F31" s="807">
        <v>0.73746766568548749</v>
      </c>
      <c r="G31" s="807">
        <v>0.68707653701380178</v>
      </c>
      <c r="H31" s="807">
        <v>0.75497225778915922</v>
      </c>
      <c r="I31" s="807">
        <v>0.94291506615450282</v>
      </c>
      <c r="J31" s="807">
        <v>1.0813316261203585</v>
      </c>
    </row>
    <row r="32" spans="1:10" ht="16.5" customHeight="1" x14ac:dyDescent="0.25">
      <c r="A32" s="805" t="s">
        <v>72</v>
      </c>
      <c r="B32" s="806" t="s">
        <v>73</v>
      </c>
      <c r="C32" s="806" t="s">
        <v>266</v>
      </c>
      <c r="D32" s="807">
        <v>0.7468507751937985</v>
      </c>
      <c r="E32" s="807">
        <v>0.79479655712050079</v>
      </c>
      <c r="F32" s="807">
        <v>0.80371112383132992</v>
      </c>
      <c r="G32" s="807">
        <v>0.80954916577919778</v>
      </c>
      <c r="H32" s="807">
        <v>0.8646156497759393</v>
      </c>
      <c r="I32" s="807">
        <v>1.0512754222681835</v>
      </c>
      <c r="J32" s="807">
        <v>1.1600827300930714</v>
      </c>
    </row>
    <row r="33" spans="1:10" ht="16.5" customHeight="1" x14ac:dyDescent="0.25">
      <c r="A33" s="805" t="s">
        <v>74</v>
      </c>
      <c r="B33" s="806" t="s">
        <v>290</v>
      </c>
      <c r="C33" s="806" t="s">
        <v>267</v>
      </c>
      <c r="D33" s="807">
        <v>0.22789937768203655</v>
      </c>
      <c r="E33" s="807">
        <v>0.27073690798474659</v>
      </c>
      <c r="F33" s="807">
        <v>0.26392918528704024</v>
      </c>
      <c r="G33" s="807">
        <v>0.2674672735564918</v>
      </c>
      <c r="H33" s="807">
        <v>0.32990066014825237</v>
      </c>
      <c r="I33" s="807">
        <v>0.42057192157767492</v>
      </c>
      <c r="J33" s="807">
        <v>0.50337846606393566</v>
      </c>
    </row>
    <row r="34" spans="1:10" ht="16.5" customHeight="1" x14ac:dyDescent="0.25">
      <c r="A34" s="805" t="s">
        <v>76</v>
      </c>
      <c r="B34" s="806" t="s">
        <v>77</v>
      </c>
      <c r="C34" s="806" t="s">
        <v>267</v>
      </c>
      <c r="D34" s="807">
        <v>0.30197351907630521</v>
      </c>
      <c r="E34" s="807">
        <v>0.38968432919954904</v>
      </c>
      <c r="F34" s="807">
        <v>0.37904883407753914</v>
      </c>
      <c r="G34" s="807">
        <v>0.3783305642729678</v>
      </c>
      <c r="H34" s="807">
        <v>0.47087991345113595</v>
      </c>
      <c r="I34" s="807">
        <v>0.61717153504026923</v>
      </c>
      <c r="J34" s="807">
        <v>0.71381175622069959</v>
      </c>
    </row>
    <row r="35" spans="1:10" ht="16.5" customHeight="1" x14ac:dyDescent="0.25">
      <c r="A35" s="805" t="s">
        <v>78</v>
      </c>
      <c r="B35" s="806" t="s">
        <v>79</v>
      </c>
      <c r="C35" s="806" t="s">
        <v>268</v>
      </c>
      <c r="D35" s="807">
        <v>0.46488908476568236</v>
      </c>
      <c r="E35" s="807">
        <v>0.4847810734463277</v>
      </c>
      <c r="F35" s="807">
        <v>0.44654913728432111</v>
      </c>
      <c r="G35" s="807">
        <v>0.45091575091575092</v>
      </c>
      <c r="H35" s="807">
        <v>0.5319577601778519</v>
      </c>
      <c r="I35" s="807">
        <v>0.66805613450048629</v>
      </c>
      <c r="J35" s="807">
        <v>0.786494372655273</v>
      </c>
    </row>
    <row r="36" spans="1:10" ht="16.5" customHeight="1" x14ac:dyDescent="0.25">
      <c r="A36" s="805" t="s">
        <v>80</v>
      </c>
      <c r="B36" s="806" t="s">
        <v>81</v>
      </c>
      <c r="C36" s="806" t="s">
        <v>266</v>
      </c>
      <c r="D36" s="807">
        <v>0.31521220791607057</v>
      </c>
      <c r="E36" s="807">
        <v>0.28280324934600026</v>
      </c>
      <c r="F36" s="807">
        <v>0.34771181199752627</v>
      </c>
      <c r="G36" s="807">
        <v>0.32341024584535094</v>
      </c>
      <c r="H36" s="807">
        <v>0.3794756554307116</v>
      </c>
      <c r="I36" s="807">
        <v>0.54580524344569292</v>
      </c>
      <c r="J36" s="807">
        <v>0.65734831460674159</v>
      </c>
    </row>
    <row r="37" spans="1:10" ht="16.5" customHeight="1" x14ac:dyDescent="0.25">
      <c r="A37" s="805" t="s">
        <v>84</v>
      </c>
      <c r="B37" s="806" t="s">
        <v>85</v>
      </c>
      <c r="C37" s="806" t="s">
        <v>265</v>
      </c>
      <c r="D37" s="807">
        <v>0.54455090600964673</v>
      </c>
      <c r="E37" s="807">
        <v>0.66176184216931988</v>
      </c>
      <c r="F37" s="807">
        <v>0.66591475163306546</v>
      </c>
      <c r="G37" s="807">
        <v>0.61595736106073429</v>
      </c>
      <c r="H37" s="807">
        <v>0.65246797703180215</v>
      </c>
      <c r="I37" s="807">
        <v>0.7977123822143698</v>
      </c>
      <c r="J37" s="807">
        <v>0.86515017667844518</v>
      </c>
    </row>
    <row r="38" spans="1:10" ht="16.5" customHeight="1" x14ac:dyDescent="0.25">
      <c r="A38" s="805" t="s">
        <v>86</v>
      </c>
      <c r="B38" s="806" t="s">
        <v>87</v>
      </c>
      <c r="C38" s="806" t="s">
        <v>267</v>
      </c>
      <c r="D38" s="807">
        <v>0.34761946798493409</v>
      </c>
      <c r="E38" s="807">
        <v>0.38027426160337552</v>
      </c>
      <c r="F38" s="807">
        <v>0.36097152428810719</v>
      </c>
      <c r="G38" s="807">
        <v>0.40743167807387992</v>
      </c>
      <c r="H38" s="807">
        <v>0.50113402061855672</v>
      </c>
      <c r="I38" s="807">
        <v>0.7163802978235968</v>
      </c>
      <c r="J38" s="807">
        <v>0.85569759450171823</v>
      </c>
    </row>
    <row r="39" spans="1:10" ht="16.5" customHeight="1" x14ac:dyDescent="0.25">
      <c r="A39" s="805" t="s">
        <v>92</v>
      </c>
      <c r="B39" s="806" t="s">
        <v>93</v>
      </c>
      <c r="C39" s="806" t="s">
        <v>268</v>
      </c>
      <c r="D39" s="807">
        <v>0.55524605385329617</v>
      </c>
      <c r="E39" s="807">
        <v>0.56483516483516483</v>
      </c>
      <c r="F39" s="807">
        <v>0.59449869791666665</v>
      </c>
      <c r="G39" s="807">
        <v>0.58280367231638419</v>
      </c>
      <c r="H39" s="807">
        <v>0.60637454710144922</v>
      </c>
      <c r="I39" s="807">
        <v>0.72342051630434778</v>
      </c>
      <c r="J39" s="807">
        <v>0.81032608695652175</v>
      </c>
    </row>
    <row r="40" spans="1:10" ht="16.5" customHeight="1" x14ac:dyDescent="0.25">
      <c r="A40" s="805" t="s">
        <v>94</v>
      </c>
      <c r="B40" s="806" t="s">
        <v>95</v>
      </c>
      <c r="C40" s="806" t="s">
        <v>264</v>
      </c>
      <c r="D40" s="807">
        <v>0.38352983208288677</v>
      </c>
      <c r="E40" s="807">
        <v>0.46572688914461069</v>
      </c>
      <c r="F40" s="807">
        <v>0.42652073104200766</v>
      </c>
      <c r="G40" s="807">
        <v>0.47151120751988429</v>
      </c>
      <c r="H40" s="807">
        <v>0.51505477635894215</v>
      </c>
      <c r="I40" s="807">
        <v>0.70129439676226357</v>
      </c>
      <c r="J40" s="807">
        <v>0.82558090851999166</v>
      </c>
    </row>
    <row r="41" spans="1:10" ht="16.5" customHeight="1" x14ac:dyDescent="0.25">
      <c r="A41" s="805" t="s">
        <v>96</v>
      </c>
      <c r="B41" s="806" t="s">
        <v>97</v>
      </c>
      <c r="C41" s="806" t="s">
        <v>266</v>
      </c>
      <c r="D41" s="807">
        <v>0.34383202099737531</v>
      </c>
      <c r="E41" s="807">
        <v>0.39076075439711805</v>
      </c>
      <c r="F41" s="807">
        <v>0.35978169605373633</v>
      </c>
      <c r="G41" s="807">
        <v>0.25571165034766569</v>
      </c>
      <c r="H41" s="807">
        <v>0.44202472042377872</v>
      </c>
      <c r="I41" s="807">
        <v>0.59510496370413968</v>
      </c>
      <c r="J41" s="807">
        <v>0.69864626250735729</v>
      </c>
    </row>
    <row r="42" spans="1:10" ht="16.5" customHeight="1" x14ac:dyDescent="0.25">
      <c r="A42" s="805" t="s">
        <v>98</v>
      </c>
      <c r="B42" s="806" t="s">
        <v>99</v>
      </c>
      <c r="C42" s="806" t="s">
        <v>268</v>
      </c>
      <c r="D42" s="807">
        <v>0.55992171032821436</v>
      </c>
      <c r="E42" s="807">
        <v>0.54519616065604326</v>
      </c>
      <c r="F42" s="807">
        <v>0.59518960333624282</v>
      </c>
      <c r="G42" s="807">
        <v>0.51073216777476815</v>
      </c>
      <c r="H42" s="807">
        <v>0.57500436071864647</v>
      </c>
      <c r="I42" s="807">
        <v>0.64226844583987441</v>
      </c>
      <c r="J42" s="807">
        <v>0.69539508110936687</v>
      </c>
    </row>
    <row r="43" spans="1:10" ht="16.5" customHeight="1" x14ac:dyDescent="0.25">
      <c r="A43" s="805" t="s">
        <v>100</v>
      </c>
      <c r="B43" s="806" t="s">
        <v>101</v>
      </c>
      <c r="C43" s="806" t="s">
        <v>267</v>
      </c>
      <c r="D43" s="807">
        <v>0.49800762300762302</v>
      </c>
      <c r="E43" s="807">
        <v>0.5680686220254566</v>
      </c>
      <c r="F43" s="807">
        <v>0.56412024269167127</v>
      </c>
      <c r="G43" s="807">
        <v>0.52823147172462237</v>
      </c>
      <c r="H43" s="807">
        <v>0.61614025192705391</v>
      </c>
      <c r="I43" s="807">
        <v>0.8715454032712916</v>
      </c>
      <c r="J43" s="807">
        <v>1.0486181613085166</v>
      </c>
    </row>
    <row r="44" spans="1:10" ht="16.5" customHeight="1" x14ac:dyDescent="0.25">
      <c r="A44" s="805" t="s">
        <v>102</v>
      </c>
      <c r="B44" s="806" t="s">
        <v>103</v>
      </c>
      <c r="C44" s="806" t="s">
        <v>264</v>
      </c>
      <c r="D44" s="807">
        <v>0.54634988323687683</v>
      </c>
      <c r="E44" s="807">
        <v>0.60678147499513524</v>
      </c>
      <c r="F44" s="807">
        <v>0.66488756048961006</v>
      </c>
      <c r="G44" s="807">
        <v>0.63596157101743689</v>
      </c>
      <c r="H44" s="807">
        <v>0.77053073269700745</v>
      </c>
      <c r="I44" s="807">
        <v>0.73525714285714283</v>
      </c>
      <c r="J44" s="807">
        <v>0.81421714285714286</v>
      </c>
    </row>
    <row r="45" spans="1:10" ht="16.5" customHeight="1" x14ac:dyDescent="0.25">
      <c r="A45" s="805" t="s">
        <v>104</v>
      </c>
      <c r="B45" s="806" t="s">
        <v>105</v>
      </c>
      <c r="C45" s="806" t="s">
        <v>265</v>
      </c>
      <c r="D45" s="807">
        <v>0.55333744095296777</v>
      </c>
      <c r="E45" s="807">
        <v>0.65888139790864064</v>
      </c>
      <c r="F45" s="807">
        <v>0.57568685488767457</v>
      </c>
      <c r="G45" s="807">
        <v>0.5659284951974386</v>
      </c>
      <c r="H45" s="807">
        <v>0.60348223643789078</v>
      </c>
      <c r="I45" s="807">
        <v>0.68521630705844083</v>
      </c>
      <c r="J45" s="807">
        <v>0.727854277350103</v>
      </c>
    </row>
    <row r="46" spans="1:10" ht="16.5" customHeight="1" x14ac:dyDescent="0.25">
      <c r="A46" s="805" t="s">
        <v>108</v>
      </c>
      <c r="B46" s="806" t="s">
        <v>109</v>
      </c>
      <c r="C46" s="806" t="s">
        <v>266</v>
      </c>
      <c r="D46" s="807">
        <v>0.34209212778094694</v>
      </c>
      <c r="E46" s="807">
        <v>0.42799555184876287</v>
      </c>
      <c r="F46" s="807">
        <v>0.4947381530605891</v>
      </c>
      <c r="G46" s="807">
        <v>0.38194249320970308</v>
      </c>
      <c r="H46" s="807">
        <v>0.51615508885298866</v>
      </c>
      <c r="I46" s="807">
        <v>0.68275444264943452</v>
      </c>
      <c r="J46" s="807">
        <v>0.79987075928917606</v>
      </c>
    </row>
    <row r="47" spans="1:10" ht="16.5" customHeight="1" x14ac:dyDescent="0.25">
      <c r="A47" s="805" t="s">
        <v>110</v>
      </c>
      <c r="B47" s="806" t="s">
        <v>111</v>
      </c>
      <c r="C47" s="806" t="s">
        <v>266</v>
      </c>
      <c r="D47" s="807">
        <v>0.42148109528930017</v>
      </c>
      <c r="E47" s="807">
        <v>0.50962638200533739</v>
      </c>
      <c r="F47" s="807">
        <v>0.52768534391000865</v>
      </c>
      <c r="G47" s="807">
        <v>0.45286276972257106</v>
      </c>
      <c r="H47" s="807">
        <v>0.52185204272390129</v>
      </c>
      <c r="I47" s="807">
        <v>0.70806428795181942</v>
      </c>
      <c r="J47" s="807">
        <v>0.85082002000788193</v>
      </c>
    </row>
    <row r="48" spans="1:10" ht="16.5" customHeight="1" x14ac:dyDescent="0.25">
      <c r="A48" s="805" t="s">
        <v>112</v>
      </c>
      <c r="B48" s="806" t="s">
        <v>291</v>
      </c>
      <c r="C48" s="806" t="s">
        <v>265</v>
      </c>
      <c r="D48" s="807">
        <v>0.60370395916678166</v>
      </c>
      <c r="E48" s="807">
        <v>0.63152583271316776</v>
      </c>
      <c r="F48" s="807">
        <v>0.68898120403159901</v>
      </c>
      <c r="G48" s="807">
        <v>0.62113096999467365</v>
      </c>
      <c r="H48" s="807">
        <v>0.81689184483599131</v>
      </c>
      <c r="I48" s="807">
        <v>0.85080807470917363</v>
      </c>
      <c r="J48" s="807">
        <v>0.90632773819587009</v>
      </c>
    </row>
    <row r="49" spans="1:10" ht="16.5" customHeight="1" x14ac:dyDescent="0.25">
      <c r="A49" s="805" t="s">
        <v>114</v>
      </c>
      <c r="B49" s="806" t="s">
        <v>115</v>
      </c>
      <c r="C49" s="806" t="s">
        <v>265</v>
      </c>
      <c r="D49" s="807">
        <v>0.31288076588337688</v>
      </c>
      <c r="E49" s="807">
        <v>0.34752198241406873</v>
      </c>
      <c r="F49" s="807">
        <v>0.33352402745995424</v>
      </c>
      <c r="G49" s="807">
        <v>0.30121145374449337</v>
      </c>
      <c r="H49" s="807">
        <v>0.34859154929577463</v>
      </c>
      <c r="I49" s="807">
        <v>0.39632237871674492</v>
      </c>
      <c r="J49" s="807">
        <v>0.40375586854460094</v>
      </c>
    </row>
    <row r="50" spans="1:10" ht="16.5" customHeight="1" x14ac:dyDescent="0.25">
      <c r="A50" s="805" t="s">
        <v>118</v>
      </c>
      <c r="B50" s="806" t="s">
        <v>270</v>
      </c>
      <c r="C50" s="806" t="s">
        <v>264</v>
      </c>
      <c r="D50" s="807">
        <v>0.54821442226810435</v>
      </c>
      <c r="E50" s="807">
        <v>0.63340886874611213</v>
      </c>
      <c r="F50" s="807">
        <v>0.64290390154490706</v>
      </c>
      <c r="G50" s="807">
        <v>0.57824382129277563</v>
      </c>
      <c r="H50" s="807">
        <v>0.71734594210619784</v>
      </c>
      <c r="I50" s="807">
        <v>0.86734150239744268</v>
      </c>
      <c r="J50" s="807">
        <v>0.97639850825785823</v>
      </c>
    </row>
    <row r="51" spans="1:10" ht="16.5" customHeight="1" x14ac:dyDescent="0.25">
      <c r="A51" s="805" t="s">
        <v>120</v>
      </c>
      <c r="B51" s="806" t="s">
        <v>121</v>
      </c>
      <c r="C51" s="806" t="s">
        <v>264</v>
      </c>
      <c r="D51" s="807">
        <v>0.36924056135121708</v>
      </c>
      <c r="E51" s="807">
        <v>0.47360897294919729</v>
      </c>
      <c r="F51" s="807">
        <v>0.42863222680547369</v>
      </c>
      <c r="G51" s="807">
        <v>0.42326583801122697</v>
      </c>
      <c r="H51" s="807">
        <v>0.49310616505810517</v>
      </c>
      <c r="I51" s="807">
        <v>0.66371216597728322</v>
      </c>
      <c r="J51" s="807">
        <v>0.77340949379554857</v>
      </c>
    </row>
    <row r="52" spans="1:10" ht="16.5" customHeight="1" x14ac:dyDescent="0.25">
      <c r="A52" s="805" t="s">
        <v>122</v>
      </c>
      <c r="B52" s="806" t="s">
        <v>271</v>
      </c>
      <c r="C52" s="806" t="s">
        <v>266</v>
      </c>
      <c r="D52" s="807">
        <v>0.63043478260869568</v>
      </c>
      <c r="E52" s="807">
        <v>0.57482566248256628</v>
      </c>
      <c r="F52" s="807">
        <v>0.64423359811709324</v>
      </c>
      <c r="G52" s="807">
        <v>0.57591514143094846</v>
      </c>
      <c r="H52" s="807">
        <v>0.63792354474370117</v>
      </c>
      <c r="I52" s="807">
        <v>0.76122212568780767</v>
      </c>
      <c r="J52" s="807">
        <v>0.87350130321459596</v>
      </c>
    </row>
    <row r="53" spans="1:10" ht="16.5" customHeight="1" x14ac:dyDescent="0.25">
      <c r="A53" s="805" t="s">
        <v>124</v>
      </c>
      <c r="B53" s="806" t="s">
        <v>125</v>
      </c>
      <c r="C53" s="806" t="s">
        <v>267</v>
      </c>
      <c r="D53" s="807">
        <v>0.55162280701754385</v>
      </c>
      <c r="E53" s="807">
        <v>0.65107300441235461</v>
      </c>
      <c r="F53" s="807">
        <v>0.65636486747920297</v>
      </c>
      <c r="G53" s="807">
        <v>0.61343630626141832</v>
      </c>
      <c r="H53" s="807">
        <v>0.7824291427577813</v>
      </c>
      <c r="I53" s="807">
        <v>1.0382976873587202</v>
      </c>
      <c r="J53" s="807">
        <v>1.2200312989045383</v>
      </c>
    </row>
    <row r="54" spans="1:10" ht="16.5" customHeight="1" x14ac:dyDescent="0.25">
      <c r="A54" s="805" t="s">
        <v>126</v>
      </c>
      <c r="B54" s="806" t="s">
        <v>127</v>
      </c>
      <c r="C54" s="806" t="s">
        <v>266</v>
      </c>
      <c r="D54" s="807">
        <v>0.51124708624708626</v>
      </c>
      <c r="E54" s="807">
        <v>0.62792174796747968</v>
      </c>
      <c r="F54" s="807">
        <v>0.59643605870020966</v>
      </c>
      <c r="G54" s="807">
        <v>0.60179324894514763</v>
      </c>
      <c r="H54" s="807">
        <v>0.6783863368669022</v>
      </c>
      <c r="I54" s="807">
        <v>0.95441696113074204</v>
      </c>
      <c r="J54" s="807">
        <v>1.125512367491166</v>
      </c>
    </row>
    <row r="55" spans="1:10" ht="16.5" customHeight="1" x14ac:dyDescent="0.25">
      <c r="A55" s="805" t="s">
        <v>128</v>
      </c>
      <c r="B55" s="806" t="s">
        <v>129</v>
      </c>
      <c r="C55" s="806" t="s">
        <v>266</v>
      </c>
      <c r="D55" s="807">
        <v>0.61568231532895845</v>
      </c>
      <c r="E55" s="807">
        <v>0.64562541583499666</v>
      </c>
      <c r="F55" s="807">
        <v>0.60898066207800716</v>
      </c>
      <c r="G55" s="807">
        <v>0.57010582010582012</v>
      </c>
      <c r="H55" s="807">
        <v>0.58965402528276778</v>
      </c>
      <c r="I55" s="807">
        <v>0.69357119095143049</v>
      </c>
      <c r="J55" s="807">
        <v>0.77035928143712573</v>
      </c>
    </row>
    <row r="56" spans="1:10" ht="16.5" customHeight="1" x14ac:dyDescent="0.25">
      <c r="A56" s="805" t="s">
        <v>130</v>
      </c>
      <c r="B56" s="806" t="s">
        <v>131</v>
      </c>
      <c r="C56" s="806" t="s">
        <v>268</v>
      </c>
      <c r="D56" s="807">
        <v>0.69147133578085285</v>
      </c>
      <c r="E56" s="807">
        <v>0.60752919483712353</v>
      </c>
      <c r="F56" s="807">
        <v>0.69933426769446394</v>
      </c>
      <c r="G56" s="807">
        <v>0.64706768211350629</v>
      </c>
      <c r="H56" s="807">
        <v>0.69349276725334763</v>
      </c>
      <c r="I56" s="807">
        <v>0.7495857405168167</v>
      </c>
      <c r="J56" s="807">
        <v>0.79575440010748355</v>
      </c>
    </row>
    <row r="57" spans="1:10" ht="16.5" customHeight="1" x14ac:dyDescent="0.25">
      <c r="A57" s="805" t="s">
        <v>132</v>
      </c>
      <c r="B57" s="806" t="s">
        <v>133</v>
      </c>
      <c r="C57" s="806" t="s">
        <v>267</v>
      </c>
      <c r="D57" s="807">
        <v>0.23964927745278736</v>
      </c>
      <c r="E57" s="807">
        <v>0.36041326808047852</v>
      </c>
      <c r="F57" s="807">
        <v>0.32113666603307356</v>
      </c>
      <c r="G57" s="807">
        <v>0.29947829947829946</v>
      </c>
      <c r="H57" s="807">
        <v>0.34582491582491581</v>
      </c>
      <c r="I57" s="807">
        <v>0.48074074074074075</v>
      </c>
      <c r="J57" s="807">
        <v>0.57452929292929289</v>
      </c>
    </row>
    <row r="58" spans="1:10" ht="16.5" customHeight="1" x14ac:dyDescent="0.25">
      <c r="A58" s="805" t="s">
        <v>134</v>
      </c>
      <c r="B58" s="806" t="s">
        <v>135</v>
      </c>
      <c r="C58" s="806" t="s">
        <v>267</v>
      </c>
      <c r="D58" s="807">
        <v>0.4172714078374456</v>
      </c>
      <c r="E58" s="807">
        <v>0.45056306306306304</v>
      </c>
      <c r="F58" s="807">
        <v>0.49929258630447088</v>
      </c>
      <c r="G58" s="807">
        <v>0.45967681743543815</v>
      </c>
      <c r="H58" s="807">
        <v>0.54409470317497466</v>
      </c>
      <c r="I58" s="807">
        <v>0.75249629456275846</v>
      </c>
      <c r="J58" s="807">
        <v>0.88233091504797567</v>
      </c>
    </row>
    <row r="59" spans="1:10" ht="16.5" customHeight="1" x14ac:dyDescent="0.25">
      <c r="A59" s="805" t="s">
        <v>136</v>
      </c>
      <c r="B59" s="806" t="s">
        <v>137</v>
      </c>
      <c r="C59" s="806" t="s">
        <v>266</v>
      </c>
      <c r="D59" s="807">
        <v>0.52998629198080882</v>
      </c>
      <c r="E59" s="807">
        <v>0.47584541062801933</v>
      </c>
      <c r="F59" s="807">
        <v>0.53896882494004794</v>
      </c>
      <c r="G59" s="807">
        <v>0.52234848484848484</v>
      </c>
      <c r="H59" s="807">
        <v>0.52122618702253165</v>
      </c>
      <c r="I59" s="807">
        <v>0.60685620346194757</v>
      </c>
      <c r="J59" s="807">
        <v>0.66910356832027851</v>
      </c>
    </row>
    <row r="60" spans="1:10" ht="16.5" customHeight="1" x14ac:dyDescent="0.25">
      <c r="A60" s="805" t="s">
        <v>140</v>
      </c>
      <c r="B60" s="806" t="s">
        <v>141</v>
      </c>
      <c r="C60" s="806" t="s">
        <v>267</v>
      </c>
      <c r="D60" s="807">
        <v>0.34643758493496407</v>
      </c>
      <c r="E60" s="807">
        <v>0.35471587580550673</v>
      </c>
      <c r="F60" s="807">
        <v>0.32169913419913421</v>
      </c>
      <c r="G60" s="807">
        <v>0.34409304756926296</v>
      </c>
      <c r="H60" s="807">
        <v>0.42841391009329943</v>
      </c>
      <c r="I60" s="807">
        <v>0.58422391857506362</v>
      </c>
      <c r="J60" s="807">
        <v>0.71531806615776083</v>
      </c>
    </row>
    <row r="61" spans="1:10" ht="16.5" customHeight="1" x14ac:dyDescent="0.25">
      <c r="A61" s="805" t="s">
        <v>146</v>
      </c>
      <c r="B61" s="806" t="s">
        <v>147</v>
      </c>
      <c r="C61" s="806" t="s">
        <v>264</v>
      </c>
      <c r="D61" s="807">
        <v>0.47104779411764708</v>
      </c>
      <c r="E61" s="807">
        <v>0.55953608247422681</v>
      </c>
      <c r="F61" s="807">
        <v>0.5566438132549788</v>
      </c>
      <c r="G61" s="807">
        <v>0.53435114503816794</v>
      </c>
      <c r="H61" s="807">
        <v>0.57393483709273185</v>
      </c>
      <c r="I61" s="807">
        <v>0.73394423558897248</v>
      </c>
      <c r="J61" s="807">
        <v>0.83496240601503757</v>
      </c>
    </row>
    <row r="62" spans="1:10" ht="16.5" customHeight="1" x14ac:dyDescent="0.25">
      <c r="A62" s="805" t="s">
        <v>148</v>
      </c>
      <c r="B62" s="806" t="s">
        <v>149</v>
      </c>
      <c r="C62" s="806" t="s">
        <v>265</v>
      </c>
      <c r="D62" s="807">
        <v>0.47630506748153806</v>
      </c>
      <c r="E62" s="807">
        <v>0.49595929362466329</v>
      </c>
      <c r="F62" s="807">
        <v>0.55201242571582931</v>
      </c>
      <c r="G62" s="807">
        <v>0.47403253867494238</v>
      </c>
      <c r="H62" s="807">
        <v>0.49380391619882241</v>
      </c>
      <c r="I62" s="807">
        <v>0.59016842393536906</v>
      </c>
      <c r="J62" s="807">
        <v>0.66832808434889768</v>
      </c>
    </row>
    <row r="63" spans="1:10" ht="16.5" customHeight="1" x14ac:dyDescent="0.25">
      <c r="A63" s="805" t="s">
        <v>150</v>
      </c>
      <c r="B63" s="806" t="s">
        <v>151</v>
      </c>
      <c r="C63" s="806" t="s">
        <v>266</v>
      </c>
      <c r="D63" s="807">
        <v>0.47603550295857988</v>
      </c>
      <c r="E63" s="807">
        <v>0.47234657713113226</v>
      </c>
      <c r="F63" s="807">
        <v>0.49069349962207104</v>
      </c>
      <c r="G63" s="807">
        <v>0.47371303395399783</v>
      </c>
      <c r="H63" s="807">
        <v>0.51467775865366228</v>
      </c>
      <c r="I63" s="807">
        <v>0.64386115892139983</v>
      </c>
      <c r="J63" s="807">
        <v>0.76695352839931152</v>
      </c>
    </row>
    <row r="64" spans="1:10" ht="16.5" customHeight="1" x14ac:dyDescent="0.25">
      <c r="A64" s="805" t="s">
        <v>152</v>
      </c>
      <c r="B64" s="806" t="s">
        <v>153</v>
      </c>
      <c r="C64" s="806" t="s">
        <v>268</v>
      </c>
      <c r="D64" s="807">
        <v>0.27314207137946123</v>
      </c>
      <c r="E64" s="807">
        <v>0.22520464726546136</v>
      </c>
      <c r="F64" s="807">
        <v>0.23875706214689266</v>
      </c>
      <c r="G64" s="807">
        <v>0.22827933106872222</v>
      </c>
      <c r="H64" s="807">
        <v>0.24522534878919269</v>
      </c>
      <c r="I64" s="807">
        <v>0.28958720467215293</v>
      </c>
      <c r="J64" s="807">
        <v>0.32091850278736395</v>
      </c>
    </row>
    <row r="65" spans="1:10" ht="16.5" customHeight="1" x14ac:dyDescent="0.25">
      <c r="A65" s="805" t="s">
        <v>154</v>
      </c>
      <c r="B65" s="806" t="s">
        <v>155</v>
      </c>
      <c r="C65" s="806" t="s">
        <v>265</v>
      </c>
      <c r="D65" s="807">
        <v>0.42102908277404921</v>
      </c>
      <c r="E65" s="807">
        <v>0.43767836757990869</v>
      </c>
      <c r="F65" s="807">
        <v>0.49836956521739129</v>
      </c>
      <c r="G65" s="807">
        <v>0.52630530091669991</v>
      </c>
      <c r="H65" s="807">
        <v>0.5422117248062015</v>
      </c>
      <c r="I65" s="807">
        <v>0.6881661821705426</v>
      </c>
      <c r="J65" s="807">
        <v>0.73546511627906974</v>
      </c>
    </row>
    <row r="66" spans="1:10" ht="16.5" customHeight="1" x14ac:dyDescent="0.25">
      <c r="A66" s="805" t="s">
        <v>156</v>
      </c>
      <c r="B66" s="806" t="s">
        <v>157</v>
      </c>
      <c r="C66" s="806" t="s">
        <v>266</v>
      </c>
      <c r="D66" s="807">
        <v>0.34270578647106764</v>
      </c>
      <c r="E66" s="807">
        <v>0.43957564575645758</v>
      </c>
      <c r="F66" s="807">
        <v>0.38345608292416805</v>
      </c>
      <c r="G66" s="807">
        <v>0.35886886102403343</v>
      </c>
      <c r="H66" s="807">
        <v>0.40131912734652458</v>
      </c>
      <c r="I66" s="807">
        <v>0.56532217148655506</v>
      </c>
      <c r="J66" s="807">
        <v>0.70639269406392691</v>
      </c>
    </row>
    <row r="67" spans="1:10" ht="16.5" customHeight="1" x14ac:dyDescent="0.25">
      <c r="A67" s="805" t="s">
        <v>162</v>
      </c>
      <c r="B67" s="806" t="s">
        <v>163</v>
      </c>
      <c r="C67" s="806" t="s">
        <v>264</v>
      </c>
      <c r="D67" s="807">
        <v>0.56711442786069655</v>
      </c>
      <c r="E67" s="807">
        <v>0.5955555555555555</v>
      </c>
      <c r="F67" s="807">
        <v>0.63383172090296103</v>
      </c>
      <c r="G67" s="807">
        <v>0.54354960868467561</v>
      </c>
      <c r="H67" s="807">
        <v>0.61724170706206638</v>
      </c>
      <c r="I67" s="807">
        <v>0.69596521243227827</v>
      </c>
      <c r="J67" s="807">
        <v>0.77507841459937266</v>
      </c>
    </row>
    <row r="68" spans="1:10" ht="16.5" customHeight="1" x14ac:dyDescent="0.25">
      <c r="A68" s="805" t="s">
        <v>164</v>
      </c>
      <c r="B68" s="806" t="s">
        <v>165</v>
      </c>
      <c r="C68" s="806" t="s">
        <v>266</v>
      </c>
      <c r="D68" s="807">
        <v>0.47064262598243178</v>
      </c>
      <c r="E68" s="807">
        <v>0.51964285714285718</v>
      </c>
      <c r="F68" s="807">
        <v>0.45697876029475509</v>
      </c>
      <c r="G68" s="807">
        <v>0.39378764074365019</v>
      </c>
      <c r="H68" s="807">
        <v>0.45155797101449274</v>
      </c>
      <c r="I68" s="807">
        <v>0.55586956521739128</v>
      </c>
      <c r="J68" s="807">
        <v>0.62295652173913041</v>
      </c>
    </row>
    <row r="69" spans="1:10" ht="16.5" customHeight="1" x14ac:dyDescent="0.25">
      <c r="A69" s="805" t="s">
        <v>168</v>
      </c>
      <c r="B69" s="806" t="s">
        <v>169</v>
      </c>
      <c r="C69" s="806" t="s">
        <v>266</v>
      </c>
      <c r="D69" s="807">
        <v>0.58268868392343554</v>
      </c>
      <c r="E69" s="807">
        <v>0.5798766816143498</v>
      </c>
      <c r="F69" s="807">
        <v>0.57680007309941517</v>
      </c>
      <c r="G69" s="807">
        <v>0.53485636453689944</v>
      </c>
      <c r="H69" s="807">
        <v>0.59582708645677163</v>
      </c>
      <c r="I69" s="807">
        <v>0.71355988672330506</v>
      </c>
      <c r="J69" s="807">
        <v>0.79445277361319344</v>
      </c>
    </row>
    <row r="70" spans="1:10" ht="16.5" customHeight="1" x14ac:dyDescent="0.25">
      <c r="A70" s="805" t="s">
        <v>170</v>
      </c>
      <c r="B70" s="806" t="s">
        <v>171</v>
      </c>
      <c r="C70" s="806" t="s">
        <v>267</v>
      </c>
      <c r="D70" s="807">
        <v>0.42210198636228874</v>
      </c>
      <c r="E70" s="807">
        <v>0.44937126052124532</v>
      </c>
      <c r="F70" s="807">
        <v>0.45549242424242425</v>
      </c>
      <c r="G70" s="807">
        <v>0.39823474890461746</v>
      </c>
      <c r="H70" s="807">
        <v>0.53717843832378875</v>
      </c>
      <c r="I70" s="807">
        <v>0.71475320425415867</v>
      </c>
      <c r="J70" s="807">
        <v>0.81788928279247342</v>
      </c>
    </row>
    <row r="71" spans="1:10" ht="16.5" customHeight="1" x14ac:dyDescent="0.25">
      <c r="A71" s="805" t="s">
        <v>172</v>
      </c>
      <c r="B71" s="806" t="s">
        <v>173</v>
      </c>
      <c r="C71" s="806" t="s">
        <v>267</v>
      </c>
      <c r="D71" s="807">
        <v>0.44782070965540771</v>
      </c>
      <c r="E71" s="807">
        <v>0.4700745603371424</v>
      </c>
      <c r="F71" s="807">
        <v>0.51029693486590033</v>
      </c>
      <c r="G71" s="807">
        <v>0.54516027159324176</v>
      </c>
      <c r="H71" s="807">
        <v>0.54644069020287345</v>
      </c>
      <c r="I71" s="807">
        <v>0.70364955598873724</v>
      </c>
      <c r="J71" s="807">
        <v>0.79358891054797487</v>
      </c>
    </row>
    <row r="72" spans="1:10" ht="16.5" customHeight="1" x14ac:dyDescent="0.25">
      <c r="A72" s="805" t="s">
        <v>174</v>
      </c>
      <c r="B72" s="806" t="s">
        <v>175</v>
      </c>
      <c r="C72" s="806" t="s">
        <v>268</v>
      </c>
      <c r="D72" s="807">
        <v>0.6116055846422338</v>
      </c>
      <c r="E72" s="807">
        <v>0.62341062079281973</v>
      </c>
      <c r="F72" s="807">
        <v>0.70886192314763741</v>
      </c>
      <c r="G72" s="807">
        <v>0.66450936883629186</v>
      </c>
      <c r="H72" s="807">
        <v>0.67203376881350751</v>
      </c>
      <c r="I72" s="807">
        <v>0.76669340667736263</v>
      </c>
      <c r="J72" s="807">
        <v>0.79990831996332801</v>
      </c>
    </row>
    <row r="73" spans="1:10" ht="16.5" customHeight="1" x14ac:dyDescent="0.25">
      <c r="A73" s="805" t="s">
        <v>178</v>
      </c>
      <c r="B73" s="806" t="s">
        <v>179</v>
      </c>
      <c r="C73" s="806" t="s">
        <v>265</v>
      </c>
      <c r="D73" s="807">
        <v>0.50069666228317367</v>
      </c>
      <c r="E73" s="807">
        <v>0.52316332988148662</v>
      </c>
      <c r="F73" s="807">
        <v>0.62148227879695495</v>
      </c>
      <c r="G73" s="807">
        <v>0.65652331786176632</v>
      </c>
      <c r="H73" s="807">
        <v>0.62257934185962271</v>
      </c>
      <c r="I73" s="807">
        <v>0.72372453955250915</v>
      </c>
      <c r="J73" s="807">
        <v>0.77883474044972001</v>
      </c>
    </row>
    <row r="74" spans="1:10" ht="16.5" customHeight="1" x14ac:dyDescent="0.25">
      <c r="A74" s="805" t="s">
        <v>182</v>
      </c>
      <c r="B74" s="806" t="s">
        <v>183</v>
      </c>
      <c r="C74" s="806" t="s">
        <v>266</v>
      </c>
      <c r="D74" s="807">
        <v>0.25861921829663764</v>
      </c>
      <c r="E74" s="807">
        <v>0.30095340888649036</v>
      </c>
      <c r="F74" s="807">
        <v>0.31518024944472922</v>
      </c>
      <c r="G74" s="807">
        <v>0.32521387832699622</v>
      </c>
      <c r="H74" s="807">
        <v>0.37258986928104576</v>
      </c>
      <c r="I74" s="807">
        <v>0.50318627450980391</v>
      </c>
      <c r="J74" s="807">
        <v>0.60411764705882354</v>
      </c>
    </row>
    <row r="75" spans="1:10" ht="16.5" customHeight="1" x14ac:dyDescent="0.25">
      <c r="A75" s="805" t="s">
        <v>184</v>
      </c>
      <c r="B75" s="806" t="s">
        <v>185</v>
      </c>
      <c r="C75" s="806" t="s">
        <v>266</v>
      </c>
      <c r="D75" s="807">
        <v>0.46958978965491427</v>
      </c>
      <c r="E75" s="807">
        <v>0.47032697359325315</v>
      </c>
      <c r="F75" s="807">
        <v>0.55119505390937196</v>
      </c>
      <c r="G75" s="807">
        <v>0.48951876291408386</v>
      </c>
      <c r="H75" s="807">
        <v>0.46931306306306309</v>
      </c>
      <c r="I75" s="807">
        <v>0.54748992413466102</v>
      </c>
      <c r="J75" s="807">
        <v>0.58403271692745373</v>
      </c>
    </row>
    <row r="76" spans="1:10" ht="16.5" customHeight="1" x14ac:dyDescent="0.25">
      <c r="A76" s="805" t="s">
        <v>186</v>
      </c>
      <c r="B76" s="806" t="s">
        <v>187</v>
      </c>
      <c r="C76" s="806" t="s">
        <v>264</v>
      </c>
      <c r="D76" s="807">
        <v>0.34425778022583309</v>
      </c>
      <c r="E76" s="807">
        <v>0.38302538260544977</v>
      </c>
      <c r="F76" s="807">
        <v>0.44177540529853698</v>
      </c>
      <c r="G76" s="807">
        <v>0.41351549684883016</v>
      </c>
      <c r="H76" s="807">
        <v>0.40390971382507052</v>
      </c>
      <c r="I76" s="807">
        <v>0.47849657396211204</v>
      </c>
      <c r="J76" s="807">
        <v>0.55380894800483671</v>
      </c>
    </row>
    <row r="77" spans="1:10" ht="16.5" customHeight="1" x14ac:dyDescent="0.25">
      <c r="A77" s="805" t="s">
        <v>188</v>
      </c>
      <c r="B77" s="806" t="s">
        <v>189</v>
      </c>
      <c r="C77" s="806" t="s">
        <v>267</v>
      </c>
      <c r="D77" s="807">
        <v>0.35699662596208109</v>
      </c>
      <c r="E77" s="807">
        <v>0.47611355311355313</v>
      </c>
      <c r="F77" s="807">
        <v>0.46271313090143334</v>
      </c>
      <c r="G77" s="807">
        <v>0.47040204137286223</v>
      </c>
      <c r="H77" s="807">
        <v>0.53381058396028458</v>
      </c>
      <c r="I77" s="807">
        <v>0.728424561134142</v>
      </c>
      <c r="J77" s="807">
        <v>0.88352525717795183</v>
      </c>
    </row>
    <row r="78" spans="1:10" ht="16.5" customHeight="1" x14ac:dyDescent="0.25">
      <c r="A78" s="805" t="s">
        <v>190</v>
      </c>
      <c r="B78" s="806" t="s">
        <v>191</v>
      </c>
      <c r="C78" s="806" t="s">
        <v>268</v>
      </c>
      <c r="D78" s="807">
        <v>0.55726947556677708</v>
      </c>
      <c r="E78" s="807">
        <v>0.54145800543711542</v>
      </c>
      <c r="F78" s="807">
        <v>0.62223261615216718</v>
      </c>
      <c r="G78" s="807">
        <v>0.60429967111627003</v>
      </c>
      <c r="H78" s="807">
        <v>0.61825274107393868</v>
      </c>
      <c r="I78" s="807">
        <v>0.74305360322369041</v>
      </c>
      <c r="J78" s="807">
        <v>0.81700871520944618</v>
      </c>
    </row>
    <row r="79" spans="1:10" ht="16.5" customHeight="1" x14ac:dyDescent="0.25">
      <c r="A79" s="805" t="s">
        <v>194</v>
      </c>
      <c r="B79" s="806" t="s">
        <v>195</v>
      </c>
      <c r="C79" s="806" t="s">
        <v>267</v>
      </c>
      <c r="D79" s="807">
        <v>0.21503411306042886</v>
      </c>
      <c r="E79" s="807">
        <v>0.25735294117647056</v>
      </c>
      <c r="F79" s="807">
        <v>0.27492211838006231</v>
      </c>
      <c r="G79" s="807">
        <v>0.25112751127511274</v>
      </c>
      <c r="H79" s="807">
        <v>0.314070351758794</v>
      </c>
      <c r="I79" s="807">
        <v>0.46398659966499162</v>
      </c>
      <c r="J79" s="807">
        <v>0.54798994974874371</v>
      </c>
    </row>
    <row r="80" spans="1:10" ht="16.5" customHeight="1" x14ac:dyDescent="0.25">
      <c r="A80" s="805" t="s">
        <v>198</v>
      </c>
      <c r="B80" s="806" t="s">
        <v>272</v>
      </c>
      <c r="C80" s="806" t="s">
        <v>266</v>
      </c>
      <c r="D80" s="807">
        <v>0.49176954732510286</v>
      </c>
      <c r="E80" s="807">
        <v>0.52760513776672879</v>
      </c>
      <c r="F80" s="807">
        <v>0.54588771493681376</v>
      </c>
      <c r="G80" s="807">
        <v>0.48061279826464209</v>
      </c>
      <c r="H80" s="807">
        <v>0.52099519052904175</v>
      </c>
      <c r="I80" s="807">
        <v>0.64729004809470958</v>
      </c>
      <c r="J80" s="807">
        <v>0.74472807991120982</v>
      </c>
    </row>
    <row r="81" spans="1:10" ht="16.5" customHeight="1" x14ac:dyDescent="0.25">
      <c r="A81" s="805" t="s">
        <v>202</v>
      </c>
      <c r="B81" s="806" t="s">
        <v>292</v>
      </c>
      <c r="C81" s="806" t="s">
        <v>265</v>
      </c>
      <c r="D81" s="807">
        <v>0.34811001366629396</v>
      </c>
      <c r="E81" s="807">
        <v>0.45952010087524109</v>
      </c>
      <c r="F81" s="807">
        <v>0.48775808020754513</v>
      </c>
      <c r="G81" s="807">
        <v>0.42996665078608859</v>
      </c>
      <c r="H81" s="807">
        <v>0.4955533070614549</v>
      </c>
      <c r="I81" s="807">
        <v>0.66582598912432023</v>
      </c>
      <c r="J81" s="807">
        <v>0.72221190166573779</v>
      </c>
    </row>
    <row r="82" spans="1:10" ht="16.5" customHeight="1" x14ac:dyDescent="0.25">
      <c r="A82" s="805" t="s">
        <v>204</v>
      </c>
      <c r="B82" s="806" t="s">
        <v>293</v>
      </c>
      <c r="C82" s="806" t="s">
        <v>265</v>
      </c>
      <c r="D82" s="807">
        <v>0.3775115110925073</v>
      </c>
      <c r="E82" s="807">
        <v>0.37772709242364139</v>
      </c>
      <c r="F82" s="807">
        <v>0.34263654477262073</v>
      </c>
      <c r="G82" s="807">
        <v>0.34949761580381472</v>
      </c>
      <c r="H82" s="807">
        <v>0.49797695169972184</v>
      </c>
      <c r="I82" s="807">
        <v>0.52190280629705676</v>
      </c>
      <c r="J82" s="807">
        <v>0.5958247775496236</v>
      </c>
    </row>
    <row r="83" spans="1:10" ht="16.5" customHeight="1" x14ac:dyDescent="0.25">
      <c r="A83" s="805" t="s">
        <v>206</v>
      </c>
      <c r="B83" s="806" t="s">
        <v>294</v>
      </c>
      <c r="C83" s="806" t="s">
        <v>267</v>
      </c>
      <c r="D83" s="807">
        <v>0.32555873813838387</v>
      </c>
      <c r="E83" s="807">
        <v>0.32212364052661707</v>
      </c>
      <c r="F83" s="807">
        <v>0.29783135182738879</v>
      </c>
      <c r="G83" s="807">
        <v>0.28247908102277036</v>
      </c>
      <c r="H83" s="807">
        <v>0.41238260763507745</v>
      </c>
      <c r="I83" s="807">
        <v>0.35787130944331758</v>
      </c>
      <c r="J83" s="807">
        <v>0.42431541582150101</v>
      </c>
    </row>
    <row r="84" spans="1:10" ht="16.5" customHeight="1" x14ac:dyDescent="0.25">
      <c r="A84" s="805" t="s">
        <v>208</v>
      </c>
      <c r="B84" s="806" t="s">
        <v>209</v>
      </c>
      <c r="C84" s="806" t="s">
        <v>268</v>
      </c>
      <c r="D84" s="807">
        <v>0.66974760918860299</v>
      </c>
      <c r="E84" s="807">
        <v>0.63450131052558978</v>
      </c>
      <c r="F84" s="807">
        <v>0.70323921097426656</v>
      </c>
      <c r="G84" s="807">
        <v>0.63408752082785236</v>
      </c>
      <c r="H84" s="807">
        <v>0.64393939393939392</v>
      </c>
      <c r="I84" s="807">
        <v>0.71540734859512156</v>
      </c>
      <c r="J84" s="807">
        <v>0.76988222839751219</v>
      </c>
    </row>
    <row r="85" spans="1:10" ht="16.5" customHeight="1" x14ac:dyDescent="0.25">
      <c r="A85" s="805" t="s">
        <v>210</v>
      </c>
      <c r="B85" s="806" t="s">
        <v>211</v>
      </c>
      <c r="C85" s="806" t="s">
        <v>268</v>
      </c>
      <c r="D85" s="807">
        <v>0.48228455116263025</v>
      </c>
      <c r="E85" s="807">
        <v>0.47335770985686604</v>
      </c>
      <c r="F85" s="807">
        <v>0.48652777777777778</v>
      </c>
      <c r="G85" s="807">
        <v>0.44274395804833561</v>
      </c>
      <c r="H85" s="807">
        <v>0.51118367089406269</v>
      </c>
      <c r="I85" s="807">
        <v>0.61104801564767497</v>
      </c>
      <c r="J85" s="807">
        <v>0.69123604012871476</v>
      </c>
    </row>
    <row r="86" spans="1:10" ht="16.5" customHeight="1" x14ac:dyDescent="0.25">
      <c r="A86" s="805" t="s">
        <v>212</v>
      </c>
      <c r="B86" s="806" t="s">
        <v>213</v>
      </c>
      <c r="C86" s="806" t="s">
        <v>267</v>
      </c>
      <c r="D86" s="807">
        <v>0.41473927670311184</v>
      </c>
      <c r="E86" s="807">
        <v>0.492583918813427</v>
      </c>
      <c r="F86" s="807">
        <v>0.51546468958286529</v>
      </c>
      <c r="G86" s="807">
        <v>0.48623077414002169</v>
      </c>
      <c r="H86" s="807">
        <v>0.55140692640692646</v>
      </c>
      <c r="I86" s="807">
        <v>0.77510822510822508</v>
      </c>
      <c r="J86" s="807">
        <v>0.89717996289424862</v>
      </c>
    </row>
    <row r="87" spans="1:10" ht="16.5" customHeight="1" x14ac:dyDescent="0.25">
      <c r="A87" s="805" t="s">
        <v>214</v>
      </c>
      <c r="B87" s="806" t="s">
        <v>215</v>
      </c>
      <c r="C87" s="806" t="s">
        <v>268</v>
      </c>
      <c r="D87" s="807">
        <v>0.59406753165546344</v>
      </c>
      <c r="E87" s="807">
        <v>0.74790871067466813</v>
      </c>
      <c r="F87" s="807">
        <v>0.66579026442307687</v>
      </c>
      <c r="G87" s="807">
        <v>0.60338070628768303</v>
      </c>
      <c r="H87" s="807">
        <v>0.64303321224701604</v>
      </c>
      <c r="I87" s="807">
        <v>0.75527590382286802</v>
      </c>
      <c r="J87" s="807">
        <v>0.82021276595744685</v>
      </c>
    </row>
    <row r="88" spans="1:10" ht="16.5" customHeight="1" x14ac:dyDescent="0.25">
      <c r="A88" s="805" t="s">
        <v>216</v>
      </c>
      <c r="B88" s="806" t="s">
        <v>217</v>
      </c>
      <c r="C88" s="806" t="s">
        <v>264</v>
      </c>
      <c r="D88" s="807">
        <v>0.5863830925628678</v>
      </c>
      <c r="E88" s="807">
        <v>0.59913345786633454</v>
      </c>
      <c r="F88" s="807">
        <v>0.60061637080867847</v>
      </c>
      <c r="G88" s="807">
        <v>0.60047281323877066</v>
      </c>
      <c r="H88" s="807">
        <v>0.55761660248181433</v>
      </c>
      <c r="I88" s="807">
        <v>0.63380402225074883</v>
      </c>
      <c r="J88" s="807">
        <v>0.67969191270860074</v>
      </c>
    </row>
    <row r="89" spans="1:10" ht="16.5" customHeight="1" x14ac:dyDescent="0.25">
      <c r="A89" s="805" t="s">
        <v>218</v>
      </c>
      <c r="B89" s="806" t="s">
        <v>219</v>
      </c>
      <c r="C89" s="806" t="s">
        <v>267</v>
      </c>
      <c r="D89" s="807">
        <v>0.40452350518392272</v>
      </c>
      <c r="E89" s="807">
        <v>0.47466276710039396</v>
      </c>
      <c r="F89" s="807">
        <v>0.49932569116655429</v>
      </c>
      <c r="G89" s="807">
        <v>0.48859122178083519</v>
      </c>
      <c r="H89" s="807">
        <v>0.61021841624170114</v>
      </c>
      <c r="I89" s="807">
        <v>0.82611693768241445</v>
      </c>
      <c r="J89" s="807">
        <v>0.95106321562590201</v>
      </c>
    </row>
    <row r="90" spans="1:10" ht="16.5" customHeight="1" x14ac:dyDescent="0.25">
      <c r="A90" s="805" t="s">
        <v>220</v>
      </c>
      <c r="B90" s="806" t="s">
        <v>221</v>
      </c>
      <c r="C90" s="806" t="s">
        <v>267</v>
      </c>
      <c r="D90" s="807">
        <v>0.39855823979176835</v>
      </c>
      <c r="E90" s="807">
        <v>0.50820038590051297</v>
      </c>
      <c r="F90" s="807">
        <v>0.58420800383417204</v>
      </c>
      <c r="G90" s="807">
        <v>0.62454174207619839</v>
      </c>
      <c r="H90" s="807">
        <v>0.65068566074698697</v>
      </c>
      <c r="I90" s="807">
        <v>0.85953536902176231</v>
      </c>
      <c r="J90" s="807">
        <v>1.0119074996805928</v>
      </c>
    </row>
    <row r="91" spans="1:10" ht="16.5" customHeight="1" x14ac:dyDescent="0.25">
      <c r="A91" s="805" t="s">
        <v>224</v>
      </c>
      <c r="B91" s="806" t="s">
        <v>225</v>
      </c>
      <c r="C91" s="806" t="s">
        <v>264</v>
      </c>
      <c r="D91" s="807">
        <v>0.5353133769878391</v>
      </c>
      <c r="E91" s="807">
        <v>0.54364716636197441</v>
      </c>
      <c r="F91" s="807">
        <v>0.61371782339524272</v>
      </c>
      <c r="G91" s="807">
        <v>0.50607947805456699</v>
      </c>
      <c r="H91" s="807">
        <v>0.53523936170212771</v>
      </c>
      <c r="I91" s="807">
        <v>0.7021276595744681</v>
      </c>
      <c r="J91" s="807">
        <v>0.8117021276595745</v>
      </c>
    </row>
    <row r="92" spans="1:10" ht="16.5" customHeight="1" x14ac:dyDescent="0.25">
      <c r="A92" s="805" t="s">
        <v>226</v>
      </c>
      <c r="B92" s="806" t="s">
        <v>227</v>
      </c>
      <c r="C92" s="806" t="s">
        <v>264</v>
      </c>
      <c r="D92" s="807">
        <v>0.49636312771016927</v>
      </c>
      <c r="E92" s="807">
        <v>0.53732423490488002</v>
      </c>
      <c r="F92" s="807">
        <v>0.44718849141231815</v>
      </c>
      <c r="G92" s="807">
        <v>0.47089384815208407</v>
      </c>
      <c r="H92" s="807">
        <v>0.4855715871254162</v>
      </c>
      <c r="I92" s="807">
        <v>0.5631088913552843</v>
      </c>
      <c r="J92" s="807">
        <v>0.63706992230854609</v>
      </c>
    </row>
    <row r="93" spans="1:10" ht="16.5" customHeight="1" x14ac:dyDescent="0.25">
      <c r="A93" s="805" t="s">
        <v>228</v>
      </c>
      <c r="B93" s="806" t="s">
        <v>229</v>
      </c>
      <c r="C93" s="806" t="s">
        <v>268</v>
      </c>
      <c r="D93" s="807">
        <v>0.57800431717764511</v>
      </c>
      <c r="E93" s="807">
        <v>0.59208592236253088</v>
      </c>
      <c r="F93" s="807">
        <v>0.62505576718487255</v>
      </c>
      <c r="G93" s="807">
        <v>0.52772010591562857</v>
      </c>
      <c r="H93" s="807">
        <v>0.54298194806448496</v>
      </c>
      <c r="I93" s="807">
        <v>0.61547929336808571</v>
      </c>
      <c r="J93" s="807">
        <v>0.68043247417704411</v>
      </c>
    </row>
    <row r="94" spans="1:10" ht="16.5" customHeight="1" x14ac:dyDescent="0.25">
      <c r="A94" s="805" t="s">
        <v>232</v>
      </c>
      <c r="B94" s="806" t="s">
        <v>233</v>
      </c>
      <c r="C94" s="806" t="s">
        <v>267</v>
      </c>
      <c r="D94" s="807">
        <v>0.47227875772651889</v>
      </c>
      <c r="E94" s="807">
        <v>0.4538110095832405</v>
      </c>
      <c r="F94" s="807">
        <v>0.43354869323988904</v>
      </c>
      <c r="G94" s="807">
        <v>0.48687920190847972</v>
      </c>
      <c r="H94" s="807">
        <v>0.53723654181769365</v>
      </c>
      <c r="I94" s="807">
        <v>0.76137736608940798</v>
      </c>
      <c r="J94" s="807">
        <v>0.88453483689085788</v>
      </c>
    </row>
    <row r="95" spans="1:10" ht="16.5" customHeight="1" x14ac:dyDescent="0.25">
      <c r="A95" s="805" t="s">
        <v>234</v>
      </c>
      <c r="B95" s="806" t="s">
        <v>235</v>
      </c>
      <c r="C95" s="806" t="s">
        <v>268</v>
      </c>
      <c r="D95" s="807">
        <v>0.46882400828892834</v>
      </c>
      <c r="E95" s="807">
        <v>0.62364346365163692</v>
      </c>
      <c r="F95" s="807">
        <v>0.53939513403919803</v>
      </c>
      <c r="G95" s="807">
        <v>0.455614624984854</v>
      </c>
      <c r="H95" s="807">
        <v>0.52944655471144875</v>
      </c>
      <c r="I95" s="807">
        <v>0.63682027189124346</v>
      </c>
      <c r="J95" s="807">
        <v>0.71223510595761697</v>
      </c>
    </row>
    <row r="96" spans="1:10" ht="16.5" customHeight="1" x14ac:dyDescent="0.25">
      <c r="A96" s="805" t="s">
        <v>236</v>
      </c>
      <c r="B96" s="806" t="s">
        <v>237</v>
      </c>
      <c r="C96" s="806" t="s">
        <v>266</v>
      </c>
      <c r="D96" s="807">
        <v>0.5462735462735463</v>
      </c>
      <c r="E96" s="807">
        <v>0.513265965300849</v>
      </c>
      <c r="F96" s="807">
        <v>0.5342257453385183</v>
      </c>
      <c r="G96" s="807">
        <v>0.5818137414522957</v>
      </c>
      <c r="H96" s="807">
        <v>0.56161601681957185</v>
      </c>
      <c r="I96" s="807">
        <v>0.6993262614678899</v>
      </c>
      <c r="J96" s="807">
        <v>0.80183486238532109</v>
      </c>
    </row>
    <row r="97" spans="1:10" ht="16.5" customHeight="1" x14ac:dyDescent="0.25">
      <c r="A97" s="805" t="s">
        <v>242</v>
      </c>
      <c r="B97" s="806" t="s">
        <v>243</v>
      </c>
      <c r="C97" s="806" t="s">
        <v>268</v>
      </c>
      <c r="D97" s="807">
        <v>0.69689191711778986</v>
      </c>
      <c r="E97" s="807">
        <v>0.62440060570370992</v>
      </c>
      <c r="F97" s="807">
        <v>0.71126604692341744</v>
      </c>
      <c r="G97" s="807">
        <v>0.60497530966371482</v>
      </c>
      <c r="H97" s="807">
        <v>0.64847764173933464</v>
      </c>
      <c r="I97" s="807">
        <v>0.69858921283654829</v>
      </c>
      <c r="J97" s="807">
        <v>0.74560028186382454</v>
      </c>
    </row>
    <row r="98" spans="1:10" ht="16.5" customHeight="1" x14ac:dyDescent="0.25">
      <c r="A98" s="805" t="s">
        <v>244</v>
      </c>
      <c r="B98" s="806" t="s">
        <v>245</v>
      </c>
      <c r="C98" s="806" t="s">
        <v>268</v>
      </c>
      <c r="D98" s="807">
        <v>0.54605997210599722</v>
      </c>
      <c r="E98" s="807">
        <v>0.54923417178319134</v>
      </c>
      <c r="F98" s="807">
        <v>0.52853000956480156</v>
      </c>
      <c r="G98" s="807">
        <v>0.6088541666666667</v>
      </c>
      <c r="H98" s="807">
        <v>0.59619748543391593</v>
      </c>
      <c r="I98" s="807">
        <v>0.73888377798221405</v>
      </c>
      <c r="J98" s="807">
        <v>0.82211591536338546</v>
      </c>
    </row>
    <row r="99" spans="1:10" ht="16.5" customHeight="1" x14ac:dyDescent="0.25">
      <c r="A99" s="805" t="s">
        <v>246</v>
      </c>
      <c r="B99" s="806" t="s">
        <v>247</v>
      </c>
      <c r="C99" s="806" t="s">
        <v>264</v>
      </c>
      <c r="D99" s="807">
        <v>0.2849618780096308</v>
      </c>
      <c r="E99" s="807">
        <v>0.35629376323074419</v>
      </c>
      <c r="F99" s="807">
        <v>0.35438656876242924</v>
      </c>
      <c r="G99" s="807">
        <v>0.35473352822127274</v>
      </c>
      <c r="H99" s="807">
        <v>0.42803125261134789</v>
      </c>
      <c r="I99" s="807">
        <v>0.52887712839392542</v>
      </c>
      <c r="J99" s="807">
        <v>0.58421537045559135</v>
      </c>
    </row>
    <row r="100" spans="1:10" ht="16.5" customHeight="1" x14ac:dyDescent="0.25">
      <c r="A100" s="805" t="s">
        <v>14</v>
      </c>
      <c r="B100" s="806" t="s">
        <v>15</v>
      </c>
      <c r="C100" s="806" t="s">
        <v>267</v>
      </c>
      <c r="D100" s="807">
        <v>0.33114145746604434</v>
      </c>
      <c r="E100" s="807">
        <v>0.37817501101159889</v>
      </c>
      <c r="F100" s="807">
        <v>0.38753983428935629</v>
      </c>
      <c r="G100" s="807">
        <v>0.31247364934048066</v>
      </c>
      <c r="H100" s="807">
        <v>0.35414131710961683</v>
      </c>
      <c r="I100" s="807">
        <v>0.43976945244956772</v>
      </c>
      <c r="J100" s="807">
        <v>0.49606147934678196</v>
      </c>
    </row>
    <row r="101" spans="1:10" ht="16.5" customHeight="1" x14ac:dyDescent="0.25">
      <c r="A101" s="805" t="s">
        <v>34</v>
      </c>
      <c r="B101" s="806" t="s">
        <v>35</v>
      </c>
      <c r="C101" s="806" t="s">
        <v>268</v>
      </c>
      <c r="D101" s="807">
        <v>0.70840656121851198</v>
      </c>
      <c r="E101" s="807">
        <v>0.77620611265471073</v>
      </c>
      <c r="F101" s="807">
        <v>0.68836984980019289</v>
      </c>
      <c r="G101" s="807">
        <v>0.76550905313149298</v>
      </c>
      <c r="H101" s="807">
        <v>0.7749038266855639</v>
      </c>
      <c r="I101" s="807">
        <v>0.86660592562597016</v>
      </c>
      <c r="J101" s="807">
        <v>0.90730917189714522</v>
      </c>
    </row>
    <row r="102" spans="1:10" ht="16.5" customHeight="1" x14ac:dyDescent="0.25">
      <c r="A102" s="805" t="s">
        <v>52</v>
      </c>
      <c r="B102" s="806" t="s">
        <v>53</v>
      </c>
      <c r="C102" s="806" t="s">
        <v>265</v>
      </c>
      <c r="D102" s="807">
        <v>0.41685879969258716</v>
      </c>
      <c r="E102" s="807">
        <v>0.33503288104553403</v>
      </c>
      <c r="F102" s="807">
        <v>0.31238309016086796</v>
      </c>
      <c r="G102" s="807">
        <v>0.28185874616829826</v>
      </c>
      <c r="H102" s="807">
        <v>0.3432035144039875</v>
      </c>
      <c r="I102" s="807">
        <v>0.41021092055982655</v>
      </c>
      <c r="J102" s="807">
        <v>0.45381431105854525</v>
      </c>
    </row>
    <row r="103" spans="1:10" ht="16.5" customHeight="1" x14ac:dyDescent="0.25">
      <c r="A103" s="805" t="s">
        <v>54</v>
      </c>
      <c r="B103" s="806" t="s">
        <v>55</v>
      </c>
      <c r="C103" s="806" t="s">
        <v>264</v>
      </c>
      <c r="D103" s="807">
        <v>0.42821986001422313</v>
      </c>
      <c r="E103" s="807">
        <v>0.64449672455027551</v>
      </c>
      <c r="F103" s="807">
        <v>0.60965658081186969</v>
      </c>
      <c r="G103" s="807">
        <v>0.49046600285253461</v>
      </c>
      <c r="H103" s="807">
        <v>0.57360500049834129</v>
      </c>
      <c r="I103" s="807">
        <v>0.73518502698161836</v>
      </c>
      <c r="J103" s="807">
        <v>0.83347998803981038</v>
      </c>
    </row>
    <row r="104" spans="1:10" ht="16.5" customHeight="1" x14ac:dyDescent="0.25">
      <c r="A104" s="805" t="s">
        <v>66</v>
      </c>
      <c r="B104" s="806" t="s">
        <v>67</v>
      </c>
      <c r="C104" s="806" t="s">
        <v>265</v>
      </c>
      <c r="D104" s="807">
        <v>0.68400000000000005</v>
      </c>
      <c r="E104" s="807">
        <v>0.63773896542029795</v>
      </c>
      <c r="F104" s="807">
        <v>0.72739879025173804</v>
      </c>
      <c r="G104" s="807">
        <v>0.69586429613167577</v>
      </c>
      <c r="H104" s="807">
        <v>0.86617822157276614</v>
      </c>
      <c r="I104" s="807">
        <v>0.9767210586134113</v>
      </c>
      <c r="J104" s="807">
        <v>1.0337230069816528</v>
      </c>
    </row>
    <row r="105" spans="1:10" ht="16.5" customHeight="1" x14ac:dyDescent="0.25">
      <c r="A105" s="805" t="s">
        <v>82</v>
      </c>
      <c r="B105" s="806" t="s">
        <v>83</v>
      </c>
      <c r="C105" s="806" t="s">
        <v>264</v>
      </c>
      <c r="D105" s="807">
        <v>0.81553357009978011</v>
      </c>
      <c r="E105" s="807">
        <v>0.79458068422646078</v>
      </c>
      <c r="F105" s="807">
        <v>0.8303571428571429</v>
      </c>
      <c r="G105" s="807">
        <v>0.70039855072463764</v>
      </c>
      <c r="H105" s="807">
        <v>0.73646473514779043</v>
      </c>
      <c r="I105" s="807">
        <v>0.88458443078724025</v>
      </c>
      <c r="J105" s="807">
        <v>0.99122036874451269</v>
      </c>
    </row>
    <row r="106" spans="1:10" ht="16.5" customHeight="1" x14ac:dyDescent="0.25">
      <c r="A106" s="805" t="s">
        <v>88</v>
      </c>
      <c r="B106" s="806" t="s">
        <v>89</v>
      </c>
      <c r="C106" s="806" t="s">
        <v>267</v>
      </c>
      <c r="D106" s="807">
        <v>0.5725568942436412</v>
      </c>
      <c r="E106" s="807">
        <v>0.54702765358503058</v>
      </c>
      <c r="F106" s="807">
        <v>0.59358087126253212</v>
      </c>
      <c r="G106" s="807">
        <v>0.61054784774101745</v>
      </c>
      <c r="H106" s="807">
        <v>0.61038935705368291</v>
      </c>
      <c r="I106" s="807">
        <v>0.75813436329588013</v>
      </c>
      <c r="J106" s="807">
        <v>0.86671348314606744</v>
      </c>
    </row>
    <row r="107" spans="1:10" ht="16.5" customHeight="1" x14ac:dyDescent="0.25">
      <c r="A107" s="805" t="s">
        <v>90</v>
      </c>
      <c r="B107" s="806" t="s">
        <v>91</v>
      </c>
      <c r="C107" s="806" t="s">
        <v>268</v>
      </c>
      <c r="D107" s="807">
        <v>0.76820948782535681</v>
      </c>
      <c r="E107" s="807">
        <v>0.71312932809283169</v>
      </c>
      <c r="F107" s="807">
        <v>0.66785714285714282</v>
      </c>
      <c r="G107" s="807">
        <v>0.78565596080566136</v>
      </c>
      <c r="H107" s="807">
        <v>0.82949329096045199</v>
      </c>
      <c r="I107" s="807">
        <v>0.90841278248587576</v>
      </c>
      <c r="J107" s="807">
        <v>0.94671610169491527</v>
      </c>
    </row>
    <row r="108" spans="1:10" ht="16.5" customHeight="1" x14ac:dyDescent="0.25">
      <c r="A108" s="805" t="s">
        <v>106</v>
      </c>
      <c r="B108" s="806" t="s">
        <v>107</v>
      </c>
      <c r="C108" s="806" t="s">
        <v>264</v>
      </c>
      <c r="D108" s="807">
        <v>0.53503918856615951</v>
      </c>
      <c r="E108" s="807">
        <v>0.57655243985089799</v>
      </c>
      <c r="F108" s="807">
        <v>0.61185690027077888</v>
      </c>
      <c r="G108" s="807">
        <v>0.43562073576301985</v>
      </c>
      <c r="H108" s="807">
        <v>0.50907545975006141</v>
      </c>
      <c r="I108" s="807">
        <v>0.60921244782176043</v>
      </c>
      <c r="J108" s="807">
        <v>0.67985112239754975</v>
      </c>
    </row>
    <row r="109" spans="1:10" ht="16.5" customHeight="1" x14ac:dyDescent="0.25">
      <c r="A109" s="805" t="s">
        <v>116</v>
      </c>
      <c r="B109" s="806" t="s">
        <v>117</v>
      </c>
      <c r="C109" s="806" t="s">
        <v>266</v>
      </c>
      <c r="D109" s="807">
        <v>0.80158410524902668</v>
      </c>
      <c r="E109" s="807">
        <v>0.84147294725394239</v>
      </c>
      <c r="F109" s="807">
        <v>0.83261980618611442</v>
      </c>
      <c r="G109" s="807">
        <v>0.87963713764443541</v>
      </c>
      <c r="H109" s="807">
        <v>0.83398950131233596</v>
      </c>
      <c r="I109" s="807">
        <v>0.99469100453352421</v>
      </c>
      <c r="J109" s="807">
        <v>1.1075876879026485</v>
      </c>
    </row>
    <row r="110" spans="1:10" ht="16.5" customHeight="1" x14ac:dyDescent="0.25">
      <c r="A110" s="805" t="s">
        <v>138</v>
      </c>
      <c r="B110" s="806" t="s">
        <v>139</v>
      </c>
      <c r="C110" s="806" t="s">
        <v>265</v>
      </c>
      <c r="D110" s="807">
        <v>0.54354032833690225</v>
      </c>
      <c r="E110" s="807">
        <v>0.58127704892030907</v>
      </c>
      <c r="F110" s="807">
        <v>0.58389488605386541</v>
      </c>
      <c r="G110" s="807">
        <v>0.5148619346420279</v>
      </c>
      <c r="H110" s="807">
        <v>0.5520962687008456</v>
      </c>
      <c r="I110" s="807">
        <v>0.64487611613742535</v>
      </c>
      <c r="J110" s="807">
        <v>0.71736739400390281</v>
      </c>
    </row>
    <row r="111" spans="1:10" ht="16.5" customHeight="1" x14ac:dyDescent="0.25">
      <c r="A111" s="805" t="s">
        <v>142</v>
      </c>
      <c r="B111" s="806" t="s">
        <v>273</v>
      </c>
      <c r="C111" s="806" t="s">
        <v>267</v>
      </c>
      <c r="D111" s="807">
        <v>0.36495060466700735</v>
      </c>
      <c r="E111" s="807">
        <v>0.43618549297219655</v>
      </c>
      <c r="F111" s="807">
        <v>0.41141014858424446</v>
      </c>
      <c r="G111" s="807">
        <v>0.38660527103923331</v>
      </c>
      <c r="H111" s="807">
        <v>0.50482973149967258</v>
      </c>
      <c r="I111" s="807">
        <v>0.74433120497707927</v>
      </c>
      <c r="J111" s="807">
        <v>0.8598231827111984</v>
      </c>
    </row>
    <row r="112" spans="1:10" ht="16.5" customHeight="1" x14ac:dyDescent="0.25">
      <c r="A112" s="805" t="s">
        <v>144</v>
      </c>
      <c r="B112" s="806" t="s">
        <v>145</v>
      </c>
      <c r="C112" s="806" t="s">
        <v>267</v>
      </c>
      <c r="D112" s="807">
        <v>0.3795736824437731</v>
      </c>
      <c r="E112" s="807">
        <v>0.46124239169351949</v>
      </c>
      <c r="F112" s="807">
        <v>0.50808457711442789</v>
      </c>
      <c r="G112" s="807">
        <v>0.59380111220150478</v>
      </c>
      <c r="H112" s="807">
        <v>0.7590412828386216</v>
      </c>
      <c r="I112" s="807">
        <v>1.0617536676902082</v>
      </c>
      <c r="J112" s="807">
        <v>1.1977482088024565</v>
      </c>
    </row>
    <row r="113" spans="1:10" ht="16.5" customHeight="1" x14ac:dyDescent="0.25">
      <c r="A113" s="805" t="s">
        <v>158</v>
      </c>
      <c r="B113" s="806" t="s">
        <v>159</v>
      </c>
      <c r="C113" s="806" t="s">
        <v>264</v>
      </c>
      <c r="D113" s="807">
        <v>0.58625972595193832</v>
      </c>
      <c r="E113" s="807">
        <v>0.62731924326622335</v>
      </c>
      <c r="F113" s="807">
        <v>0.68828830342540936</v>
      </c>
      <c r="G113" s="807">
        <v>0.54461297491231353</v>
      </c>
      <c r="H113" s="807">
        <v>0.69319518164192861</v>
      </c>
      <c r="I113" s="807">
        <v>0.84594073461950015</v>
      </c>
      <c r="J113" s="807">
        <v>0.96594094650859741</v>
      </c>
    </row>
    <row r="114" spans="1:10" ht="16.5" customHeight="1" x14ac:dyDescent="0.25">
      <c r="A114" s="805" t="s">
        <v>160</v>
      </c>
      <c r="B114" s="806" t="s">
        <v>161</v>
      </c>
      <c r="C114" s="806" t="s">
        <v>264</v>
      </c>
      <c r="D114" s="807">
        <v>0.55881218781820696</v>
      </c>
      <c r="E114" s="807">
        <v>0.62203083062005682</v>
      </c>
      <c r="F114" s="807">
        <v>0.65347444006095146</v>
      </c>
      <c r="G114" s="807">
        <v>0.58223755086462159</v>
      </c>
      <c r="H114" s="807">
        <v>0.5902594626491805</v>
      </c>
      <c r="I114" s="807">
        <v>0.70016528776328624</v>
      </c>
      <c r="J114" s="807">
        <v>0.77657429820441493</v>
      </c>
    </row>
    <row r="115" spans="1:10" ht="16.5" customHeight="1" x14ac:dyDescent="0.25">
      <c r="A115" s="805" t="s">
        <v>166</v>
      </c>
      <c r="B115" s="806" t="s">
        <v>167</v>
      </c>
      <c r="C115" s="806" t="s">
        <v>268</v>
      </c>
      <c r="D115" s="807">
        <v>0.89052462526766596</v>
      </c>
      <c r="E115" s="807">
        <v>0.8070009460737938</v>
      </c>
      <c r="F115" s="807">
        <v>0.90500338066260988</v>
      </c>
      <c r="G115" s="807">
        <v>0.82953855494839102</v>
      </c>
      <c r="H115" s="807">
        <v>0.88517628205128207</v>
      </c>
      <c r="I115" s="807">
        <v>0.92940705128205126</v>
      </c>
      <c r="J115" s="807">
        <v>0.9736538461538462</v>
      </c>
    </row>
    <row r="116" spans="1:10" ht="16.5" customHeight="1" x14ac:dyDescent="0.25">
      <c r="A116" s="805" t="s">
        <v>176</v>
      </c>
      <c r="B116" s="806" t="s">
        <v>177</v>
      </c>
      <c r="C116" s="806" t="s">
        <v>266</v>
      </c>
      <c r="D116" s="807">
        <v>0.7949986012868161</v>
      </c>
      <c r="E116" s="807">
        <v>0.75586750672414427</v>
      </c>
      <c r="F116" s="807">
        <v>0.8542577745383868</v>
      </c>
      <c r="G116" s="807">
        <v>0.79937195350581181</v>
      </c>
      <c r="H116" s="807">
        <v>0.83724882629107977</v>
      </c>
      <c r="I116" s="807">
        <v>0.99456338028169011</v>
      </c>
      <c r="J116" s="807">
        <v>1.0993126760563381</v>
      </c>
    </row>
    <row r="117" spans="1:10" ht="16.5" customHeight="1" x14ac:dyDescent="0.25">
      <c r="A117" s="805" t="s">
        <v>180</v>
      </c>
      <c r="B117" s="806" t="s">
        <v>181</v>
      </c>
      <c r="C117" s="806" t="s">
        <v>264</v>
      </c>
      <c r="D117" s="807">
        <v>0.61106485978138536</v>
      </c>
      <c r="E117" s="807">
        <v>0.66628996178581412</v>
      </c>
      <c r="F117" s="807">
        <v>0.75725375524341632</v>
      </c>
      <c r="G117" s="807">
        <v>0.66542077505159369</v>
      </c>
      <c r="H117" s="807">
        <v>0.63847596952511887</v>
      </c>
      <c r="I117" s="807">
        <v>0.76133141433235951</v>
      </c>
      <c r="J117" s="807">
        <v>0.84777453170647876</v>
      </c>
    </row>
    <row r="118" spans="1:10" ht="16.5" customHeight="1" x14ac:dyDescent="0.25">
      <c r="A118" s="805" t="s">
        <v>192</v>
      </c>
      <c r="B118" s="806" t="s">
        <v>193</v>
      </c>
      <c r="C118" s="806" t="s">
        <v>268</v>
      </c>
      <c r="D118" s="807">
        <v>0.30696784073506889</v>
      </c>
      <c r="E118" s="807">
        <v>0.25727826675693977</v>
      </c>
      <c r="F118" s="807">
        <v>0.31304554489672459</v>
      </c>
      <c r="G118" s="807">
        <v>0.20295520070969172</v>
      </c>
      <c r="H118" s="807">
        <v>0.27385086823289073</v>
      </c>
      <c r="I118" s="807">
        <v>0.31847122914538645</v>
      </c>
      <c r="J118" s="807">
        <v>0.34606741573033706</v>
      </c>
    </row>
    <row r="119" spans="1:10" ht="16.5" customHeight="1" x14ac:dyDescent="0.25">
      <c r="A119" s="805" t="s">
        <v>196</v>
      </c>
      <c r="B119" s="806" t="s">
        <v>197</v>
      </c>
      <c r="C119" s="806" t="s">
        <v>266</v>
      </c>
      <c r="D119" s="807">
        <v>0.63020319462446717</v>
      </c>
      <c r="E119" s="807">
        <v>0.72582216292908119</v>
      </c>
      <c r="F119" s="807">
        <v>0.68280742978628173</v>
      </c>
      <c r="G119" s="807">
        <v>0.56104123161924646</v>
      </c>
      <c r="H119" s="807">
        <v>0.5408664480207459</v>
      </c>
      <c r="I119" s="807">
        <v>0.61187298197442352</v>
      </c>
      <c r="J119" s="807">
        <v>0.68735870642971553</v>
      </c>
    </row>
    <row r="120" spans="1:10" ht="16.5" customHeight="1" x14ac:dyDescent="0.25">
      <c r="A120" s="805" t="s">
        <v>200</v>
      </c>
      <c r="B120" s="806" t="s">
        <v>201</v>
      </c>
      <c r="C120" s="806" t="s">
        <v>265</v>
      </c>
      <c r="D120" s="807">
        <v>0.56488408061486983</v>
      </c>
      <c r="E120" s="807">
        <v>0.63448695339799488</v>
      </c>
      <c r="F120" s="807">
        <v>0.66952366756103221</v>
      </c>
      <c r="G120" s="807">
        <v>0.64317729083665343</v>
      </c>
      <c r="H120" s="807">
        <v>0.69297988233346874</v>
      </c>
      <c r="I120" s="807">
        <v>0.83221234144359679</v>
      </c>
      <c r="J120" s="807">
        <v>0.93290299282264255</v>
      </c>
    </row>
    <row r="121" spans="1:10" ht="16.5" customHeight="1" x14ac:dyDescent="0.25">
      <c r="A121" s="805" t="s">
        <v>222</v>
      </c>
      <c r="B121" s="806" t="s">
        <v>223</v>
      </c>
      <c r="C121" s="806" t="s">
        <v>264</v>
      </c>
      <c r="D121" s="807">
        <v>0.62066855776183327</v>
      </c>
      <c r="E121" s="807">
        <v>0.64036893683603724</v>
      </c>
      <c r="F121" s="807">
        <v>0.66446627997575969</v>
      </c>
      <c r="G121" s="807">
        <v>0.60240908129823445</v>
      </c>
      <c r="H121" s="807">
        <v>0.65524980483996875</v>
      </c>
      <c r="I121" s="807">
        <v>0.80273502843760458</v>
      </c>
      <c r="J121" s="807">
        <v>0.90807962529274</v>
      </c>
    </row>
    <row r="122" spans="1:10" ht="16.5" customHeight="1" x14ac:dyDescent="0.25">
      <c r="A122" s="805" t="s">
        <v>230</v>
      </c>
      <c r="B122" s="806" t="s">
        <v>231</v>
      </c>
      <c r="C122" s="806" t="s">
        <v>264</v>
      </c>
      <c r="D122" s="807">
        <v>0.33338861593106262</v>
      </c>
      <c r="E122" s="807">
        <v>0.39706846825490894</v>
      </c>
      <c r="F122" s="807">
        <v>0.397593649417676</v>
      </c>
      <c r="G122" s="807">
        <v>0.40719128191355158</v>
      </c>
      <c r="H122" s="807">
        <v>0.4476939617884772</v>
      </c>
      <c r="I122" s="807">
        <v>0.59181517091376457</v>
      </c>
      <c r="J122" s="807">
        <v>0.69770879161620403</v>
      </c>
    </row>
    <row r="123" spans="1:10" ht="16.5" customHeight="1" x14ac:dyDescent="0.25">
      <c r="A123" s="805" t="s">
        <v>238</v>
      </c>
      <c r="B123" s="806" t="s">
        <v>239</v>
      </c>
      <c r="C123" s="806" t="s">
        <v>264</v>
      </c>
      <c r="D123" s="807">
        <v>0.25940860215053763</v>
      </c>
      <c r="E123" s="807">
        <v>0.22802366682034733</v>
      </c>
      <c r="F123" s="807">
        <v>0.25445917198494516</v>
      </c>
      <c r="G123" s="807">
        <v>0.22870004391743523</v>
      </c>
      <c r="H123" s="807">
        <v>0.29020141984480768</v>
      </c>
      <c r="I123" s="807">
        <v>0.36346376093775795</v>
      </c>
      <c r="J123" s="807">
        <v>0.43704804358593363</v>
      </c>
    </row>
    <row r="124" spans="1:10" ht="16.5" customHeight="1" x14ac:dyDescent="0.25">
      <c r="A124" s="809" t="s">
        <v>240</v>
      </c>
      <c r="B124" s="810" t="s">
        <v>241</v>
      </c>
      <c r="C124" s="810" t="s">
        <v>267</v>
      </c>
      <c r="D124" s="811">
        <v>0.43303273213092852</v>
      </c>
      <c r="E124" s="811">
        <v>0.4561613363552422</v>
      </c>
      <c r="F124" s="811">
        <v>0.39335079295795139</v>
      </c>
      <c r="G124" s="811">
        <v>0.47347957288765086</v>
      </c>
      <c r="H124" s="811">
        <v>0.53933652895077222</v>
      </c>
      <c r="I124" s="811">
        <v>0.76238301757589588</v>
      </c>
      <c r="J124" s="811">
        <v>0.89915544396256564</v>
      </c>
    </row>
    <row r="126" spans="1:10" x14ac:dyDescent="0.25">
      <c r="A126" s="785" t="s">
        <v>791</v>
      </c>
    </row>
    <row r="127" spans="1:10" ht="18" x14ac:dyDescent="0.25">
      <c r="A127" s="796" t="s">
        <v>790</v>
      </c>
    </row>
    <row r="128" spans="1:10" ht="18" x14ac:dyDescent="0.25">
      <c r="A128" s="796"/>
    </row>
    <row r="129" spans="1:10" x14ac:dyDescent="0.25">
      <c r="A129" s="2812" t="s">
        <v>248</v>
      </c>
      <c r="B129" s="2812"/>
      <c r="C129" s="2812"/>
      <c r="D129" s="2812"/>
      <c r="E129" s="2812"/>
      <c r="F129" s="2812"/>
      <c r="G129" s="2812"/>
      <c r="H129" s="2812"/>
      <c r="I129" s="2812"/>
      <c r="J129" s="2812"/>
    </row>
    <row r="130" spans="1:10" x14ac:dyDescent="0.25">
      <c r="A130" s="786" t="s">
        <v>249</v>
      </c>
      <c r="B130" s="563" t="s">
        <v>250</v>
      </c>
    </row>
  </sheetData>
  <autoFilter ref="A3:C3"/>
  <mergeCells count="1">
    <mergeCell ref="A129:J129"/>
  </mergeCells>
  <hyperlinks>
    <hyperlink ref="B130" r:id="rId1"/>
  </hyperlinks>
  <pageMargins left="0.45" right="0.45" top="0.75" bottom="0.75" header="0.3" footer="0.3"/>
  <pageSetup orientation="portrait" r:id="rId2"/>
  <headerFooter>
    <oddFooter>&amp;C&amp;"Courier New,Regular"&amp;P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5" topLeftCell="A6" activePane="bottomLeft" state="frozen"/>
      <selection pane="bottomLeft" activeCell="C15" sqref="C15"/>
    </sheetView>
  </sheetViews>
  <sheetFormatPr defaultRowHeight="15.75" x14ac:dyDescent="0.25"/>
  <cols>
    <col min="1" max="1" width="9.125" style="651" customWidth="1"/>
    <col min="2" max="2" width="35" style="651" customWidth="1"/>
    <col min="3" max="3" width="11.25" style="651" customWidth="1"/>
    <col min="4" max="9" width="9" style="779"/>
    <col min="10" max="10" width="12.75" style="779" customWidth="1"/>
    <col min="11" max="16384" width="9" style="692"/>
  </cols>
  <sheetData>
    <row r="1" spans="1:10" x14ac:dyDescent="0.25">
      <c r="A1" s="64" t="s">
        <v>760</v>
      </c>
      <c r="B1" s="692"/>
      <c r="C1" s="692"/>
    </row>
    <row r="2" spans="1:10" x14ac:dyDescent="0.25">
      <c r="A2" s="692"/>
      <c r="B2" s="692"/>
      <c r="C2" s="692"/>
    </row>
    <row r="3" spans="1:10" x14ac:dyDescent="0.25">
      <c r="A3" s="692"/>
      <c r="B3" s="692"/>
      <c r="C3" s="692"/>
      <c r="E3" s="2813" t="s">
        <v>758</v>
      </c>
      <c r="F3" s="2813"/>
      <c r="G3" s="2813"/>
      <c r="H3" s="2814" t="s">
        <v>759</v>
      </c>
      <c r="I3" s="2814"/>
      <c r="J3" s="2814"/>
    </row>
    <row r="4" spans="1:10" x14ac:dyDescent="0.25">
      <c r="A4" s="652" t="s">
        <v>4</v>
      </c>
      <c r="B4" s="664" t="s">
        <v>5</v>
      </c>
      <c r="C4" s="652" t="s">
        <v>251</v>
      </c>
      <c r="D4" s="780" t="s">
        <v>281</v>
      </c>
      <c r="E4" s="780" t="s">
        <v>2</v>
      </c>
      <c r="F4" s="780" t="s">
        <v>445</v>
      </c>
      <c r="G4" s="780" t="s">
        <v>446</v>
      </c>
      <c r="H4" s="780" t="s">
        <v>757</v>
      </c>
      <c r="I4" s="781" t="s">
        <v>769</v>
      </c>
      <c r="J4" s="780" t="s">
        <v>770</v>
      </c>
    </row>
    <row r="5" spans="1:10" x14ac:dyDescent="0.25">
      <c r="A5" s="789">
        <v>999</v>
      </c>
      <c r="B5" s="790" t="s">
        <v>9</v>
      </c>
      <c r="C5" s="789"/>
      <c r="D5" s="853">
        <f t="shared" ref="D5:J5" si="0">SUM(D6:D125)</f>
        <v>6028</v>
      </c>
      <c r="E5" s="853">
        <f t="shared" si="0"/>
        <v>3741</v>
      </c>
      <c r="F5" s="853">
        <f t="shared" si="0"/>
        <v>2059</v>
      </c>
      <c r="G5" s="853">
        <f t="shared" si="0"/>
        <v>228</v>
      </c>
      <c r="H5" s="853">
        <f t="shared" si="0"/>
        <v>664</v>
      </c>
      <c r="I5" s="853">
        <f t="shared" si="0"/>
        <v>2489</v>
      </c>
      <c r="J5" s="853">
        <f t="shared" si="0"/>
        <v>2924</v>
      </c>
    </row>
    <row r="6" spans="1:10" x14ac:dyDescent="0.25">
      <c r="A6" s="643" t="s">
        <v>10</v>
      </c>
      <c r="B6" s="644" t="s">
        <v>11</v>
      </c>
      <c r="C6" s="645" t="s">
        <v>264</v>
      </c>
      <c r="D6" s="782">
        <v>46</v>
      </c>
      <c r="E6" s="782">
        <v>30</v>
      </c>
      <c r="F6" s="782">
        <v>16</v>
      </c>
      <c r="G6" s="782">
        <v>0</v>
      </c>
      <c r="H6" s="782">
        <v>4</v>
      </c>
      <c r="I6" s="782">
        <v>20</v>
      </c>
      <c r="J6" s="782">
        <v>22</v>
      </c>
    </row>
    <row r="7" spans="1:10" x14ac:dyDescent="0.25">
      <c r="A7" s="643" t="s">
        <v>12</v>
      </c>
      <c r="B7" s="644" t="s">
        <v>13</v>
      </c>
      <c r="C7" s="645" t="s">
        <v>265</v>
      </c>
      <c r="D7" s="782">
        <v>52</v>
      </c>
      <c r="E7" s="782">
        <v>38</v>
      </c>
      <c r="F7" s="782">
        <v>12</v>
      </c>
      <c r="G7" s="782">
        <v>2</v>
      </c>
      <c r="H7" s="782">
        <v>2</v>
      </c>
      <c r="I7" s="782">
        <v>8</v>
      </c>
      <c r="J7" s="782">
        <v>42</v>
      </c>
    </row>
    <row r="8" spans="1:10" x14ac:dyDescent="0.25">
      <c r="A8" s="643" t="s">
        <v>16</v>
      </c>
      <c r="B8" s="644" t="s">
        <v>297</v>
      </c>
      <c r="C8" s="645" t="s">
        <v>265</v>
      </c>
      <c r="D8" s="782">
        <v>13</v>
      </c>
      <c r="E8" s="782">
        <v>12</v>
      </c>
      <c r="F8" s="782">
        <v>1</v>
      </c>
      <c r="G8" s="782">
        <v>0</v>
      </c>
      <c r="H8" s="782">
        <v>2</v>
      </c>
      <c r="I8" s="782">
        <v>5</v>
      </c>
      <c r="J8" s="782">
        <v>7</v>
      </c>
    </row>
    <row r="9" spans="1:10" x14ac:dyDescent="0.25">
      <c r="A9" s="643" t="s">
        <v>18</v>
      </c>
      <c r="B9" s="644" t="s">
        <v>19</v>
      </c>
      <c r="C9" s="645" t="s">
        <v>266</v>
      </c>
      <c r="D9" s="782">
        <v>17</v>
      </c>
      <c r="E9" s="782">
        <v>10</v>
      </c>
      <c r="F9" s="782">
        <v>6</v>
      </c>
      <c r="G9" s="782">
        <v>1</v>
      </c>
      <c r="H9" s="782">
        <v>2</v>
      </c>
      <c r="I9" s="782">
        <v>3</v>
      </c>
      <c r="J9" s="782">
        <v>12</v>
      </c>
    </row>
    <row r="10" spans="1:10" x14ac:dyDescent="0.25">
      <c r="A10" s="643" t="s">
        <v>20</v>
      </c>
      <c r="B10" s="644" t="s">
        <v>21</v>
      </c>
      <c r="C10" s="645" t="s">
        <v>265</v>
      </c>
      <c r="D10" s="782">
        <v>31</v>
      </c>
      <c r="E10" s="782">
        <v>21</v>
      </c>
      <c r="F10" s="782">
        <v>10</v>
      </c>
      <c r="G10" s="782">
        <v>0</v>
      </c>
      <c r="H10" s="782">
        <v>2</v>
      </c>
      <c r="I10" s="782">
        <v>9</v>
      </c>
      <c r="J10" s="782">
        <v>20</v>
      </c>
    </row>
    <row r="11" spans="1:10" x14ac:dyDescent="0.25">
      <c r="A11" s="643" t="s">
        <v>22</v>
      </c>
      <c r="B11" s="644" t="s">
        <v>23</v>
      </c>
      <c r="C11" s="645" t="s">
        <v>265</v>
      </c>
      <c r="D11" s="782">
        <v>22</v>
      </c>
      <c r="E11" s="782">
        <v>10</v>
      </c>
      <c r="F11" s="782">
        <v>10</v>
      </c>
      <c r="G11" s="782">
        <v>2</v>
      </c>
      <c r="H11" s="782">
        <v>1</v>
      </c>
      <c r="I11" s="782">
        <v>9</v>
      </c>
      <c r="J11" s="782">
        <v>12</v>
      </c>
    </row>
    <row r="12" spans="1:10" x14ac:dyDescent="0.25">
      <c r="A12" s="643" t="s">
        <v>24</v>
      </c>
      <c r="B12" s="644" t="s">
        <v>25</v>
      </c>
      <c r="C12" s="645" t="s">
        <v>267</v>
      </c>
      <c r="D12" s="782">
        <v>84</v>
      </c>
      <c r="E12" s="782">
        <v>64</v>
      </c>
      <c r="F12" s="782">
        <v>12</v>
      </c>
      <c r="G12" s="782">
        <v>8</v>
      </c>
      <c r="H12" s="782">
        <v>3</v>
      </c>
      <c r="I12" s="782">
        <v>33</v>
      </c>
      <c r="J12" s="782">
        <v>48</v>
      </c>
    </row>
    <row r="13" spans="1:10" x14ac:dyDescent="0.25">
      <c r="A13" s="643" t="s">
        <v>26</v>
      </c>
      <c r="B13" s="644" t="s">
        <v>298</v>
      </c>
      <c r="C13" s="645" t="s">
        <v>265</v>
      </c>
      <c r="D13" s="782">
        <v>97</v>
      </c>
      <c r="E13" s="782">
        <v>84</v>
      </c>
      <c r="F13" s="782">
        <v>10</v>
      </c>
      <c r="G13" s="782">
        <v>3</v>
      </c>
      <c r="H13" s="782">
        <v>6</v>
      </c>
      <c r="I13" s="782">
        <v>30</v>
      </c>
      <c r="J13" s="782">
        <v>62</v>
      </c>
    </row>
    <row r="14" spans="1:10" x14ac:dyDescent="0.25">
      <c r="A14" s="643" t="s">
        <v>27</v>
      </c>
      <c r="B14" s="644" t="s">
        <v>28</v>
      </c>
      <c r="C14" s="645" t="s">
        <v>265</v>
      </c>
      <c r="D14" s="782">
        <v>1</v>
      </c>
      <c r="E14" s="782">
        <v>0</v>
      </c>
      <c r="F14" s="782">
        <v>1</v>
      </c>
      <c r="G14" s="782">
        <v>0</v>
      </c>
      <c r="H14" s="782">
        <v>0</v>
      </c>
      <c r="I14" s="782">
        <v>1</v>
      </c>
      <c r="J14" s="782">
        <v>0</v>
      </c>
    </row>
    <row r="15" spans="1:10" x14ac:dyDescent="0.25">
      <c r="A15" s="643" t="s">
        <v>29</v>
      </c>
      <c r="B15" s="644" t="s">
        <v>901</v>
      </c>
      <c r="C15" s="645" t="s">
        <v>265</v>
      </c>
      <c r="D15" s="782">
        <v>70</v>
      </c>
      <c r="E15" s="782">
        <v>55</v>
      </c>
      <c r="F15" s="782">
        <v>14</v>
      </c>
      <c r="G15" s="782">
        <v>1</v>
      </c>
      <c r="H15" s="782">
        <v>2</v>
      </c>
      <c r="I15" s="782">
        <v>23</v>
      </c>
      <c r="J15" s="782">
        <v>45</v>
      </c>
    </row>
    <row r="16" spans="1:10" x14ac:dyDescent="0.25">
      <c r="A16" s="643" t="s">
        <v>30</v>
      </c>
      <c r="B16" s="644" t="s">
        <v>31</v>
      </c>
      <c r="C16" s="645" t="s">
        <v>268</v>
      </c>
      <c r="D16" s="782">
        <v>3</v>
      </c>
      <c r="E16" s="782">
        <v>3</v>
      </c>
      <c r="F16" s="782">
        <v>0</v>
      </c>
      <c r="G16" s="782">
        <v>0</v>
      </c>
      <c r="H16" s="782">
        <v>0</v>
      </c>
      <c r="I16" s="782">
        <v>0</v>
      </c>
      <c r="J16" s="782">
        <v>3</v>
      </c>
    </row>
    <row r="17" spans="1:10" x14ac:dyDescent="0.25">
      <c r="A17" s="643" t="s">
        <v>32</v>
      </c>
      <c r="B17" s="644" t="s">
        <v>33</v>
      </c>
      <c r="C17" s="645" t="s">
        <v>265</v>
      </c>
      <c r="D17" s="782">
        <v>19</v>
      </c>
      <c r="E17" s="782">
        <v>19</v>
      </c>
      <c r="F17" s="782">
        <v>0</v>
      </c>
      <c r="G17" s="782">
        <v>0</v>
      </c>
      <c r="H17" s="782">
        <v>1</v>
      </c>
      <c r="I17" s="782">
        <v>6</v>
      </c>
      <c r="J17" s="782">
        <v>12</v>
      </c>
    </row>
    <row r="18" spans="1:10" x14ac:dyDescent="0.25">
      <c r="A18" s="643" t="s">
        <v>36</v>
      </c>
      <c r="B18" s="644" t="s">
        <v>37</v>
      </c>
      <c r="C18" s="645" t="s">
        <v>264</v>
      </c>
      <c r="D18" s="782">
        <v>31</v>
      </c>
      <c r="E18" s="782">
        <v>6</v>
      </c>
      <c r="F18" s="782">
        <v>25</v>
      </c>
      <c r="G18" s="782">
        <v>0</v>
      </c>
      <c r="H18" s="782">
        <v>2</v>
      </c>
      <c r="I18" s="782">
        <v>17</v>
      </c>
      <c r="J18" s="782">
        <v>12</v>
      </c>
    </row>
    <row r="19" spans="1:10" x14ac:dyDescent="0.25">
      <c r="A19" s="643" t="s">
        <v>38</v>
      </c>
      <c r="B19" s="644" t="s">
        <v>39</v>
      </c>
      <c r="C19" s="645" t="s">
        <v>268</v>
      </c>
      <c r="D19" s="782">
        <v>28</v>
      </c>
      <c r="E19" s="782">
        <v>28</v>
      </c>
      <c r="F19" s="782">
        <v>0</v>
      </c>
      <c r="G19" s="782">
        <v>0</v>
      </c>
      <c r="H19" s="782">
        <v>5</v>
      </c>
      <c r="I19" s="782">
        <v>13</v>
      </c>
      <c r="J19" s="782">
        <v>10</v>
      </c>
    </row>
    <row r="20" spans="1:10" x14ac:dyDescent="0.25">
      <c r="A20" s="643" t="s">
        <v>40</v>
      </c>
      <c r="B20" s="644" t="s">
        <v>41</v>
      </c>
      <c r="C20" s="645" t="s">
        <v>266</v>
      </c>
      <c r="D20" s="782">
        <v>15</v>
      </c>
      <c r="E20" s="782">
        <v>8</v>
      </c>
      <c r="F20" s="782">
        <v>7</v>
      </c>
      <c r="G20" s="782">
        <v>0</v>
      </c>
      <c r="H20" s="782">
        <v>3</v>
      </c>
      <c r="I20" s="782">
        <v>6</v>
      </c>
      <c r="J20" s="782">
        <v>6</v>
      </c>
    </row>
    <row r="21" spans="1:10" x14ac:dyDescent="0.25">
      <c r="A21" s="643" t="s">
        <v>42</v>
      </c>
      <c r="B21" s="644" t="s">
        <v>43</v>
      </c>
      <c r="C21" s="645" t="s">
        <v>265</v>
      </c>
      <c r="D21" s="782">
        <v>45</v>
      </c>
      <c r="E21" s="782">
        <v>36</v>
      </c>
      <c r="F21" s="782">
        <v>7</v>
      </c>
      <c r="G21" s="782">
        <v>2</v>
      </c>
      <c r="H21" s="782">
        <v>3</v>
      </c>
      <c r="I21" s="782">
        <v>5</v>
      </c>
      <c r="J21" s="782">
        <v>37</v>
      </c>
    </row>
    <row r="22" spans="1:10" x14ac:dyDescent="0.25">
      <c r="A22" s="643" t="s">
        <v>44</v>
      </c>
      <c r="B22" s="644" t="s">
        <v>45</v>
      </c>
      <c r="C22" s="645" t="s">
        <v>266</v>
      </c>
      <c r="D22" s="782">
        <v>7</v>
      </c>
      <c r="E22" s="782">
        <v>6</v>
      </c>
      <c r="F22" s="782">
        <v>1</v>
      </c>
      <c r="G22" s="782">
        <v>0</v>
      </c>
      <c r="H22" s="782">
        <v>0</v>
      </c>
      <c r="I22" s="782">
        <v>2</v>
      </c>
      <c r="J22" s="782">
        <v>5</v>
      </c>
    </row>
    <row r="23" spans="1:10" x14ac:dyDescent="0.25">
      <c r="A23" s="643" t="s">
        <v>46</v>
      </c>
      <c r="B23" s="644" t="s">
        <v>47</v>
      </c>
      <c r="C23" s="645" t="s">
        <v>268</v>
      </c>
      <c r="D23" s="782">
        <v>40</v>
      </c>
      <c r="E23" s="782">
        <v>39</v>
      </c>
      <c r="F23" s="782">
        <v>0</v>
      </c>
      <c r="G23" s="782">
        <v>1</v>
      </c>
      <c r="H23" s="782">
        <v>5</v>
      </c>
      <c r="I23" s="782">
        <v>19</v>
      </c>
      <c r="J23" s="782">
        <v>16</v>
      </c>
    </row>
    <row r="24" spans="1:10" x14ac:dyDescent="0.25">
      <c r="A24" s="643" t="s">
        <v>48</v>
      </c>
      <c r="B24" s="644" t="s">
        <v>269</v>
      </c>
      <c r="C24" s="645" t="s">
        <v>266</v>
      </c>
      <c r="D24" s="782">
        <v>8</v>
      </c>
      <c r="E24" s="782">
        <v>4</v>
      </c>
      <c r="F24" s="782">
        <v>4</v>
      </c>
      <c r="G24" s="782">
        <v>0</v>
      </c>
      <c r="H24" s="782">
        <v>1</v>
      </c>
      <c r="I24" s="782">
        <v>6</v>
      </c>
      <c r="J24" s="782">
        <v>1</v>
      </c>
    </row>
    <row r="25" spans="1:10" x14ac:dyDescent="0.25">
      <c r="A25" s="643" t="s">
        <v>50</v>
      </c>
      <c r="B25" s="644" t="s">
        <v>51</v>
      </c>
      <c r="C25" s="645" t="s">
        <v>265</v>
      </c>
      <c r="D25" s="782">
        <v>21</v>
      </c>
      <c r="E25" s="782">
        <v>14</v>
      </c>
      <c r="F25" s="782">
        <v>7</v>
      </c>
      <c r="G25" s="782">
        <v>0</v>
      </c>
      <c r="H25" s="782">
        <v>1</v>
      </c>
      <c r="I25" s="782">
        <v>7</v>
      </c>
      <c r="J25" s="782">
        <v>13</v>
      </c>
    </row>
    <row r="26" spans="1:10" x14ac:dyDescent="0.25">
      <c r="A26" s="643" t="s">
        <v>56</v>
      </c>
      <c r="B26" s="644" t="s">
        <v>295</v>
      </c>
      <c r="C26" s="645" t="s">
        <v>266</v>
      </c>
      <c r="D26" s="782">
        <v>146</v>
      </c>
      <c r="E26" s="782">
        <v>101</v>
      </c>
      <c r="F26" s="782">
        <v>41</v>
      </c>
      <c r="G26" s="782">
        <v>4</v>
      </c>
      <c r="H26" s="782">
        <v>32</v>
      </c>
      <c r="I26" s="782">
        <v>66</v>
      </c>
      <c r="J26" s="782">
        <v>49</v>
      </c>
    </row>
    <row r="27" spans="1:10" x14ac:dyDescent="0.25">
      <c r="A27" s="643" t="s">
        <v>58</v>
      </c>
      <c r="B27" s="644" t="s">
        <v>59</v>
      </c>
      <c r="C27" s="645" t="s">
        <v>267</v>
      </c>
      <c r="D27" s="782">
        <v>4</v>
      </c>
      <c r="E27" s="782">
        <v>4</v>
      </c>
      <c r="F27" s="782">
        <v>0</v>
      </c>
      <c r="G27" s="782">
        <v>0</v>
      </c>
      <c r="H27" s="782">
        <v>0</v>
      </c>
      <c r="I27" s="782">
        <v>1</v>
      </c>
      <c r="J27" s="782">
        <v>3</v>
      </c>
    </row>
    <row r="28" spans="1:10" x14ac:dyDescent="0.25">
      <c r="A28" s="643" t="s">
        <v>60</v>
      </c>
      <c r="B28" s="644" t="s">
        <v>61</v>
      </c>
      <c r="C28" s="645" t="s">
        <v>265</v>
      </c>
      <c r="D28" s="782">
        <v>5</v>
      </c>
      <c r="E28" s="782">
        <v>5</v>
      </c>
      <c r="F28" s="782">
        <v>0</v>
      </c>
      <c r="G28" s="782">
        <v>0</v>
      </c>
      <c r="H28" s="782">
        <v>0</v>
      </c>
      <c r="I28" s="782">
        <v>1</v>
      </c>
      <c r="J28" s="782">
        <v>4</v>
      </c>
    </row>
    <row r="29" spans="1:10" x14ac:dyDescent="0.25">
      <c r="A29" s="643" t="s">
        <v>62</v>
      </c>
      <c r="B29" s="644" t="s">
        <v>63</v>
      </c>
      <c r="C29" s="645" t="s">
        <v>267</v>
      </c>
      <c r="D29" s="782">
        <v>12</v>
      </c>
      <c r="E29" s="782">
        <v>10</v>
      </c>
      <c r="F29" s="782">
        <v>2</v>
      </c>
      <c r="G29" s="782">
        <v>0</v>
      </c>
      <c r="H29" s="782">
        <v>0</v>
      </c>
      <c r="I29" s="782">
        <v>6</v>
      </c>
      <c r="J29" s="782">
        <v>6</v>
      </c>
    </row>
    <row r="30" spans="1:10" x14ac:dyDescent="0.25">
      <c r="A30" s="643" t="s">
        <v>64</v>
      </c>
      <c r="B30" s="644" t="s">
        <v>65</v>
      </c>
      <c r="C30" s="645" t="s">
        <v>266</v>
      </c>
      <c r="D30" s="782">
        <v>14</v>
      </c>
      <c r="E30" s="782">
        <v>3</v>
      </c>
      <c r="F30" s="782">
        <v>11</v>
      </c>
      <c r="G30" s="782">
        <v>0</v>
      </c>
      <c r="H30" s="782">
        <v>1</v>
      </c>
      <c r="I30" s="782">
        <v>4</v>
      </c>
      <c r="J30" s="782">
        <v>9</v>
      </c>
    </row>
    <row r="31" spans="1:10" x14ac:dyDescent="0.25">
      <c r="A31" s="643" t="s">
        <v>68</v>
      </c>
      <c r="B31" s="644" t="s">
        <v>69</v>
      </c>
      <c r="C31" s="645" t="s">
        <v>268</v>
      </c>
      <c r="D31" s="782">
        <v>10</v>
      </c>
      <c r="E31" s="782">
        <v>10</v>
      </c>
      <c r="F31" s="782">
        <v>0</v>
      </c>
      <c r="G31" s="782">
        <v>0</v>
      </c>
      <c r="H31" s="782">
        <v>2</v>
      </c>
      <c r="I31" s="782">
        <v>3</v>
      </c>
      <c r="J31" s="782">
        <v>5</v>
      </c>
    </row>
    <row r="32" spans="1:10" x14ac:dyDescent="0.25">
      <c r="A32" s="643" t="s">
        <v>70</v>
      </c>
      <c r="B32" s="644" t="s">
        <v>71</v>
      </c>
      <c r="C32" s="645" t="s">
        <v>264</v>
      </c>
      <c r="D32" s="782">
        <v>52</v>
      </c>
      <c r="E32" s="782">
        <v>22</v>
      </c>
      <c r="F32" s="782">
        <v>28</v>
      </c>
      <c r="G32" s="782">
        <v>2</v>
      </c>
      <c r="H32" s="782">
        <v>12</v>
      </c>
      <c r="I32" s="782">
        <v>28</v>
      </c>
      <c r="J32" s="782">
        <v>13</v>
      </c>
    </row>
    <row r="33" spans="1:10" x14ac:dyDescent="0.25">
      <c r="A33" s="643" t="s">
        <v>72</v>
      </c>
      <c r="B33" s="644" t="s">
        <v>73</v>
      </c>
      <c r="C33" s="645" t="s">
        <v>266</v>
      </c>
      <c r="D33" s="782">
        <v>5</v>
      </c>
      <c r="E33" s="782">
        <v>0</v>
      </c>
      <c r="F33" s="782">
        <v>5</v>
      </c>
      <c r="G33" s="782">
        <v>0</v>
      </c>
      <c r="H33" s="782">
        <v>1</v>
      </c>
      <c r="I33" s="782">
        <v>3</v>
      </c>
      <c r="J33" s="782">
        <v>1</v>
      </c>
    </row>
    <row r="34" spans="1:10" x14ac:dyDescent="0.25">
      <c r="A34" s="643" t="s">
        <v>74</v>
      </c>
      <c r="B34" s="644" t="s">
        <v>639</v>
      </c>
      <c r="C34" s="645" t="s">
        <v>267</v>
      </c>
      <c r="D34" s="782">
        <v>248</v>
      </c>
      <c r="E34" s="782">
        <v>162</v>
      </c>
      <c r="F34" s="782">
        <v>41</v>
      </c>
      <c r="G34" s="782">
        <v>45</v>
      </c>
      <c r="H34" s="782">
        <v>20</v>
      </c>
      <c r="I34" s="782">
        <v>98</v>
      </c>
      <c r="J34" s="782">
        <v>132</v>
      </c>
    </row>
    <row r="35" spans="1:10" x14ac:dyDescent="0.25">
      <c r="A35" s="643" t="s">
        <v>76</v>
      </c>
      <c r="B35" s="644" t="s">
        <v>77</v>
      </c>
      <c r="C35" s="645" t="s">
        <v>267</v>
      </c>
      <c r="D35" s="782">
        <v>19</v>
      </c>
      <c r="E35" s="782">
        <v>16</v>
      </c>
      <c r="F35" s="782">
        <v>3</v>
      </c>
      <c r="G35" s="782">
        <v>0</v>
      </c>
      <c r="H35" s="782">
        <v>4</v>
      </c>
      <c r="I35" s="782">
        <v>2</v>
      </c>
      <c r="J35" s="782">
        <v>13</v>
      </c>
    </row>
    <row r="36" spans="1:10" x14ac:dyDescent="0.25">
      <c r="A36" s="643" t="s">
        <v>78</v>
      </c>
      <c r="B36" s="644" t="s">
        <v>79</v>
      </c>
      <c r="C36" s="645" t="s">
        <v>268</v>
      </c>
      <c r="D36" s="782">
        <v>14</v>
      </c>
      <c r="E36" s="782">
        <v>14</v>
      </c>
      <c r="F36" s="782">
        <v>0</v>
      </c>
      <c r="G36" s="782">
        <v>0</v>
      </c>
      <c r="H36" s="782">
        <v>2</v>
      </c>
      <c r="I36" s="782">
        <v>5</v>
      </c>
      <c r="J36" s="782">
        <v>8</v>
      </c>
    </row>
    <row r="37" spans="1:10" x14ac:dyDescent="0.25">
      <c r="A37" s="643" t="s">
        <v>80</v>
      </c>
      <c r="B37" s="644" t="s">
        <v>81</v>
      </c>
      <c r="C37" s="645" t="s">
        <v>266</v>
      </c>
      <c r="D37" s="782">
        <v>5</v>
      </c>
      <c r="E37" s="782">
        <v>1</v>
      </c>
      <c r="F37" s="782">
        <v>4</v>
      </c>
      <c r="G37" s="782">
        <v>0</v>
      </c>
      <c r="H37" s="782">
        <v>1</v>
      </c>
      <c r="I37" s="782">
        <v>1</v>
      </c>
      <c r="J37" s="782">
        <v>3</v>
      </c>
    </row>
    <row r="38" spans="1:10" x14ac:dyDescent="0.25">
      <c r="A38" s="643" t="s">
        <v>84</v>
      </c>
      <c r="B38" s="644" t="s">
        <v>85</v>
      </c>
      <c r="C38" s="645" t="s">
        <v>265</v>
      </c>
      <c r="D38" s="782">
        <v>46</v>
      </c>
      <c r="E38" s="782">
        <v>36</v>
      </c>
      <c r="F38" s="782">
        <v>4</v>
      </c>
      <c r="G38" s="782">
        <v>6</v>
      </c>
      <c r="H38" s="782">
        <v>3</v>
      </c>
      <c r="I38" s="782">
        <v>14</v>
      </c>
      <c r="J38" s="782">
        <v>29</v>
      </c>
    </row>
    <row r="39" spans="1:10" x14ac:dyDescent="0.25">
      <c r="A39" s="643" t="s">
        <v>86</v>
      </c>
      <c r="B39" s="644" t="s">
        <v>87</v>
      </c>
      <c r="C39" s="645" t="s">
        <v>267</v>
      </c>
      <c r="D39" s="782">
        <v>25</v>
      </c>
      <c r="E39" s="782">
        <v>21</v>
      </c>
      <c r="F39" s="782">
        <v>2</v>
      </c>
      <c r="G39" s="782">
        <v>2</v>
      </c>
      <c r="H39" s="782">
        <v>1</v>
      </c>
      <c r="I39" s="782">
        <v>9</v>
      </c>
      <c r="J39" s="782">
        <v>15</v>
      </c>
    </row>
    <row r="40" spans="1:10" x14ac:dyDescent="0.25">
      <c r="A40" s="643" t="s">
        <v>92</v>
      </c>
      <c r="B40" s="644" t="s">
        <v>93</v>
      </c>
      <c r="C40" s="645" t="s">
        <v>268</v>
      </c>
      <c r="D40" s="782">
        <v>8</v>
      </c>
      <c r="E40" s="782">
        <v>8</v>
      </c>
      <c r="F40" s="782">
        <v>0</v>
      </c>
      <c r="G40" s="782">
        <v>0</v>
      </c>
      <c r="H40" s="782">
        <v>1</v>
      </c>
      <c r="I40" s="782">
        <v>5</v>
      </c>
      <c r="J40" s="782">
        <v>2</v>
      </c>
    </row>
    <row r="41" spans="1:10" x14ac:dyDescent="0.25">
      <c r="A41" s="643" t="s">
        <v>94</v>
      </c>
      <c r="B41" s="644" t="s">
        <v>95</v>
      </c>
      <c r="C41" s="645" t="s">
        <v>264</v>
      </c>
      <c r="D41" s="782">
        <v>40</v>
      </c>
      <c r="E41" s="782">
        <v>28</v>
      </c>
      <c r="F41" s="782">
        <v>10</v>
      </c>
      <c r="G41" s="782">
        <v>2</v>
      </c>
      <c r="H41" s="782">
        <v>13</v>
      </c>
      <c r="I41" s="782">
        <v>17</v>
      </c>
      <c r="J41" s="782">
        <v>12</v>
      </c>
    </row>
    <row r="42" spans="1:10" x14ac:dyDescent="0.25">
      <c r="A42" s="643" t="s">
        <v>96</v>
      </c>
      <c r="B42" s="644" t="s">
        <v>97</v>
      </c>
      <c r="C42" s="645" t="s">
        <v>266</v>
      </c>
      <c r="D42" s="782">
        <v>10</v>
      </c>
      <c r="E42" s="782">
        <v>6</v>
      </c>
      <c r="F42" s="782">
        <v>4</v>
      </c>
      <c r="G42" s="782">
        <v>0</v>
      </c>
      <c r="H42" s="782">
        <v>1</v>
      </c>
      <c r="I42" s="782">
        <v>1</v>
      </c>
      <c r="J42" s="782">
        <v>8</v>
      </c>
    </row>
    <row r="43" spans="1:10" x14ac:dyDescent="0.25">
      <c r="A43" s="643" t="s">
        <v>98</v>
      </c>
      <c r="B43" s="644" t="s">
        <v>99</v>
      </c>
      <c r="C43" s="645" t="s">
        <v>268</v>
      </c>
      <c r="D43" s="782">
        <v>30</v>
      </c>
      <c r="E43" s="782">
        <v>27</v>
      </c>
      <c r="F43" s="782">
        <v>2</v>
      </c>
      <c r="G43" s="782">
        <v>1</v>
      </c>
      <c r="H43" s="782">
        <v>5</v>
      </c>
      <c r="I43" s="782">
        <v>12</v>
      </c>
      <c r="J43" s="782">
        <v>13</v>
      </c>
    </row>
    <row r="44" spans="1:10" x14ac:dyDescent="0.25">
      <c r="A44" s="643" t="s">
        <v>100</v>
      </c>
      <c r="B44" s="644" t="s">
        <v>101</v>
      </c>
      <c r="C44" s="645" t="s">
        <v>267</v>
      </c>
      <c r="D44" s="782">
        <v>10</v>
      </c>
      <c r="E44" s="782">
        <v>6</v>
      </c>
      <c r="F44" s="782">
        <v>1</v>
      </c>
      <c r="G44" s="782">
        <v>3</v>
      </c>
      <c r="H44" s="782">
        <v>0</v>
      </c>
      <c r="I44" s="782">
        <v>0</v>
      </c>
      <c r="J44" s="782">
        <v>10</v>
      </c>
    </row>
    <row r="45" spans="1:10" x14ac:dyDescent="0.25">
      <c r="A45" s="643" t="s">
        <v>102</v>
      </c>
      <c r="B45" s="644" t="s">
        <v>282</v>
      </c>
      <c r="C45" s="645" t="s">
        <v>264</v>
      </c>
      <c r="D45" s="782">
        <v>25</v>
      </c>
      <c r="E45" s="782">
        <v>13</v>
      </c>
      <c r="F45" s="782">
        <v>12</v>
      </c>
      <c r="G45" s="782">
        <v>0</v>
      </c>
      <c r="H45" s="782">
        <v>1</v>
      </c>
      <c r="I45" s="782">
        <v>4</v>
      </c>
      <c r="J45" s="782">
        <v>20</v>
      </c>
    </row>
    <row r="46" spans="1:10" x14ac:dyDescent="0.25">
      <c r="A46" s="643" t="s">
        <v>104</v>
      </c>
      <c r="B46" s="644" t="s">
        <v>105</v>
      </c>
      <c r="C46" s="645" t="s">
        <v>265</v>
      </c>
      <c r="D46" s="782">
        <v>52</v>
      </c>
      <c r="E46" s="782">
        <v>22</v>
      </c>
      <c r="F46" s="782">
        <v>29</v>
      </c>
      <c r="G46" s="782">
        <v>1</v>
      </c>
      <c r="H46" s="782">
        <v>4</v>
      </c>
      <c r="I46" s="782">
        <v>23</v>
      </c>
      <c r="J46" s="782">
        <v>25</v>
      </c>
    </row>
    <row r="47" spans="1:10" x14ac:dyDescent="0.25">
      <c r="A47" s="643" t="s">
        <v>108</v>
      </c>
      <c r="B47" s="644" t="s">
        <v>109</v>
      </c>
      <c r="C47" s="645" t="s">
        <v>266</v>
      </c>
      <c r="D47" s="782">
        <v>31</v>
      </c>
      <c r="E47" s="782">
        <v>20</v>
      </c>
      <c r="F47" s="782">
        <v>11</v>
      </c>
      <c r="G47" s="782">
        <v>0</v>
      </c>
      <c r="H47" s="782">
        <v>4</v>
      </c>
      <c r="I47" s="782">
        <v>12</v>
      </c>
      <c r="J47" s="782">
        <v>15</v>
      </c>
    </row>
    <row r="48" spans="1:10" x14ac:dyDescent="0.25">
      <c r="A48" s="643" t="s">
        <v>110</v>
      </c>
      <c r="B48" s="644" t="s">
        <v>111</v>
      </c>
      <c r="C48" s="645" t="s">
        <v>266</v>
      </c>
      <c r="D48" s="782">
        <v>162</v>
      </c>
      <c r="E48" s="782">
        <v>92</v>
      </c>
      <c r="F48" s="782">
        <v>60</v>
      </c>
      <c r="G48" s="782">
        <v>10</v>
      </c>
      <c r="H48" s="782">
        <v>23</v>
      </c>
      <c r="I48" s="782">
        <v>60</v>
      </c>
      <c r="J48" s="782">
        <v>80</v>
      </c>
    </row>
    <row r="49" spans="1:10" x14ac:dyDescent="0.25">
      <c r="A49" s="643" t="s">
        <v>112</v>
      </c>
      <c r="B49" s="644" t="s">
        <v>300</v>
      </c>
      <c r="C49" s="645" t="s">
        <v>265</v>
      </c>
      <c r="D49" s="782">
        <v>66</v>
      </c>
      <c r="E49" s="782">
        <v>46</v>
      </c>
      <c r="F49" s="782">
        <v>19</v>
      </c>
      <c r="G49" s="782">
        <v>1</v>
      </c>
      <c r="H49" s="782">
        <v>3</v>
      </c>
      <c r="I49" s="782">
        <v>30</v>
      </c>
      <c r="J49" s="782">
        <v>33</v>
      </c>
    </row>
    <row r="50" spans="1:10" x14ac:dyDescent="0.25">
      <c r="A50" s="643" t="s">
        <v>114</v>
      </c>
      <c r="B50" s="644" t="s">
        <v>115</v>
      </c>
      <c r="C50" s="645" t="s">
        <v>265</v>
      </c>
      <c r="D50" s="782">
        <v>3</v>
      </c>
      <c r="E50" s="782">
        <v>3</v>
      </c>
      <c r="F50" s="782">
        <v>0</v>
      </c>
      <c r="G50" s="782">
        <v>0</v>
      </c>
      <c r="H50" s="782">
        <v>0</v>
      </c>
      <c r="I50" s="782">
        <v>1</v>
      </c>
      <c r="J50" s="782">
        <v>2</v>
      </c>
    </row>
    <row r="51" spans="1:10" x14ac:dyDescent="0.25">
      <c r="A51" s="643" t="s">
        <v>118</v>
      </c>
      <c r="B51" s="644" t="s">
        <v>270</v>
      </c>
      <c r="C51" s="645" t="s">
        <v>264</v>
      </c>
      <c r="D51" s="782">
        <v>14</v>
      </c>
      <c r="E51" s="782">
        <v>5</v>
      </c>
      <c r="F51" s="782">
        <v>9</v>
      </c>
      <c r="G51" s="782">
        <v>0</v>
      </c>
      <c r="H51" s="782">
        <v>2</v>
      </c>
      <c r="I51" s="782">
        <v>7</v>
      </c>
      <c r="J51" s="782">
        <v>5</v>
      </c>
    </row>
    <row r="52" spans="1:10" x14ac:dyDescent="0.25">
      <c r="A52" s="643" t="s">
        <v>120</v>
      </c>
      <c r="B52" s="644" t="s">
        <v>121</v>
      </c>
      <c r="C52" s="645" t="s">
        <v>264</v>
      </c>
      <c r="D52" s="782">
        <v>31</v>
      </c>
      <c r="E52" s="782">
        <v>15</v>
      </c>
      <c r="F52" s="782">
        <v>15</v>
      </c>
      <c r="G52" s="782">
        <v>1</v>
      </c>
      <c r="H52" s="782">
        <v>6</v>
      </c>
      <c r="I52" s="782">
        <v>15</v>
      </c>
      <c r="J52" s="782">
        <v>10</v>
      </c>
    </row>
    <row r="53" spans="1:10" x14ac:dyDescent="0.25">
      <c r="A53" s="643" t="s">
        <v>122</v>
      </c>
      <c r="B53" s="644" t="s">
        <v>287</v>
      </c>
      <c r="C53" s="645" t="s">
        <v>266</v>
      </c>
      <c r="D53" s="782">
        <v>5</v>
      </c>
      <c r="E53" s="782">
        <v>1</v>
      </c>
      <c r="F53" s="782">
        <v>4</v>
      </c>
      <c r="G53" s="782">
        <v>0</v>
      </c>
      <c r="H53" s="782">
        <v>1</v>
      </c>
      <c r="I53" s="782">
        <v>3</v>
      </c>
      <c r="J53" s="782">
        <v>1</v>
      </c>
    </row>
    <row r="54" spans="1:10" x14ac:dyDescent="0.25">
      <c r="A54" s="643" t="s">
        <v>124</v>
      </c>
      <c r="B54" s="644" t="s">
        <v>125</v>
      </c>
      <c r="C54" s="645" t="s">
        <v>267</v>
      </c>
      <c r="D54" s="782">
        <v>2</v>
      </c>
      <c r="E54" s="782">
        <v>1</v>
      </c>
      <c r="F54" s="782">
        <v>1</v>
      </c>
      <c r="G54" s="782">
        <v>0</v>
      </c>
      <c r="H54" s="782">
        <v>0</v>
      </c>
      <c r="I54" s="782">
        <v>0</v>
      </c>
      <c r="J54" s="782">
        <v>2</v>
      </c>
    </row>
    <row r="55" spans="1:10" x14ac:dyDescent="0.25">
      <c r="A55" s="643" t="s">
        <v>126</v>
      </c>
      <c r="B55" s="644" t="s">
        <v>127</v>
      </c>
      <c r="C55" s="645" t="s">
        <v>266</v>
      </c>
      <c r="D55" s="782">
        <v>14</v>
      </c>
      <c r="E55" s="782">
        <v>6</v>
      </c>
      <c r="F55" s="782">
        <v>8</v>
      </c>
      <c r="G55" s="782">
        <v>0</v>
      </c>
      <c r="H55" s="782">
        <v>3</v>
      </c>
      <c r="I55" s="782">
        <v>7</v>
      </c>
      <c r="J55" s="782">
        <v>4</v>
      </c>
    </row>
    <row r="56" spans="1:10" x14ac:dyDescent="0.25">
      <c r="A56" s="643" t="s">
        <v>128</v>
      </c>
      <c r="B56" s="644" t="s">
        <v>129</v>
      </c>
      <c r="C56" s="645" t="s">
        <v>266</v>
      </c>
      <c r="D56" s="782">
        <v>8</v>
      </c>
      <c r="E56" s="782">
        <v>5</v>
      </c>
      <c r="F56" s="782">
        <v>3</v>
      </c>
      <c r="G56" s="782">
        <v>0</v>
      </c>
      <c r="H56" s="782">
        <v>0</v>
      </c>
      <c r="I56" s="782">
        <v>5</v>
      </c>
      <c r="J56" s="782">
        <v>3</v>
      </c>
    </row>
    <row r="57" spans="1:10" x14ac:dyDescent="0.25">
      <c r="A57" s="643" t="s">
        <v>130</v>
      </c>
      <c r="B57" s="644" t="s">
        <v>131</v>
      </c>
      <c r="C57" s="645" t="s">
        <v>268</v>
      </c>
      <c r="D57" s="782">
        <v>112</v>
      </c>
      <c r="E57" s="782">
        <v>110</v>
      </c>
      <c r="F57" s="782">
        <v>0</v>
      </c>
      <c r="G57" s="782">
        <v>2</v>
      </c>
      <c r="H57" s="782">
        <v>17</v>
      </c>
      <c r="I57" s="782">
        <v>65</v>
      </c>
      <c r="J57" s="782">
        <v>31</v>
      </c>
    </row>
    <row r="58" spans="1:10" x14ac:dyDescent="0.25">
      <c r="A58" s="643" t="s">
        <v>132</v>
      </c>
      <c r="B58" s="644" t="s">
        <v>133</v>
      </c>
      <c r="C58" s="645" t="s">
        <v>267</v>
      </c>
      <c r="D58" s="782">
        <v>23</v>
      </c>
      <c r="E58" s="782">
        <v>18</v>
      </c>
      <c r="F58" s="782">
        <v>4</v>
      </c>
      <c r="G58" s="782">
        <v>1</v>
      </c>
      <c r="H58" s="782">
        <v>2</v>
      </c>
      <c r="I58" s="782">
        <v>6</v>
      </c>
      <c r="J58" s="782">
        <v>16</v>
      </c>
    </row>
    <row r="59" spans="1:10" x14ac:dyDescent="0.25">
      <c r="A59" s="643" t="s">
        <v>134</v>
      </c>
      <c r="B59" s="644" t="s">
        <v>135</v>
      </c>
      <c r="C59" s="645" t="s">
        <v>267</v>
      </c>
      <c r="D59" s="782">
        <v>13</v>
      </c>
      <c r="E59" s="782">
        <v>7</v>
      </c>
      <c r="F59" s="782">
        <v>6</v>
      </c>
      <c r="G59" s="782">
        <v>0</v>
      </c>
      <c r="H59" s="782">
        <v>2</v>
      </c>
      <c r="I59" s="782">
        <v>5</v>
      </c>
      <c r="J59" s="782">
        <v>6</v>
      </c>
    </row>
    <row r="60" spans="1:10" x14ac:dyDescent="0.25">
      <c r="A60" s="643" t="s">
        <v>136</v>
      </c>
      <c r="B60" s="644" t="s">
        <v>137</v>
      </c>
      <c r="C60" s="645" t="s">
        <v>266</v>
      </c>
      <c r="D60" s="782">
        <v>15</v>
      </c>
      <c r="E60" s="782">
        <v>7</v>
      </c>
      <c r="F60" s="782">
        <v>8</v>
      </c>
      <c r="G60" s="782">
        <v>0</v>
      </c>
      <c r="H60" s="782">
        <v>3</v>
      </c>
      <c r="I60" s="782">
        <v>5</v>
      </c>
      <c r="J60" s="782">
        <v>7</v>
      </c>
    </row>
    <row r="61" spans="1:10" x14ac:dyDescent="0.25">
      <c r="A61" s="643" t="s">
        <v>140</v>
      </c>
      <c r="B61" s="644" t="s">
        <v>141</v>
      </c>
      <c r="C61" s="645" t="s">
        <v>267</v>
      </c>
      <c r="D61" s="782">
        <v>11</v>
      </c>
      <c r="E61" s="782">
        <v>9</v>
      </c>
      <c r="F61" s="782">
        <v>1</v>
      </c>
      <c r="G61" s="782">
        <v>1</v>
      </c>
      <c r="H61" s="782">
        <v>0</v>
      </c>
      <c r="I61" s="782">
        <v>2</v>
      </c>
      <c r="J61" s="782">
        <v>9</v>
      </c>
    </row>
    <row r="62" spans="1:10" x14ac:dyDescent="0.25">
      <c r="A62" s="643" t="s">
        <v>146</v>
      </c>
      <c r="B62" s="644" t="s">
        <v>147</v>
      </c>
      <c r="C62" s="645" t="s">
        <v>264</v>
      </c>
      <c r="D62" s="782">
        <v>4</v>
      </c>
      <c r="E62" s="782">
        <v>4</v>
      </c>
      <c r="F62" s="782">
        <v>0</v>
      </c>
      <c r="G62" s="782">
        <v>0</v>
      </c>
      <c r="H62" s="782">
        <v>0</v>
      </c>
      <c r="I62" s="782">
        <v>3</v>
      </c>
      <c r="J62" s="782">
        <v>1</v>
      </c>
    </row>
    <row r="63" spans="1:10" x14ac:dyDescent="0.25">
      <c r="A63" s="643" t="s">
        <v>148</v>
      </c>
      <c r="B63" s="644" t="s">
        <v>149</v>
      </c>
      <c r="C63" s="645" t="s">
        <v>265</v>
      </c>
      <c r="D63" s="782">
        <v>60</v>
      </c>
      <c r="E63" s="782">
        <v>26</v>
      </c>
      <c r="F63" s="782">
        <v>32</v>
      </c>
      <c r="G63" s="782">
        <v>2</v>
      </c>
      <c r="H63" s="782">
        <v>2</v>
      </c>
      <c r="I63" s="782">
        <v>25</v>
      </c>
      <c r="J63" s="782">
        <v>34</v>
      </c>
    </row>
    <row r="64" spans="1:10" x14ac:dyDescent="0.25">
      <c r="A64" s="643" t="s">
        <v>150</v>
      </c>
      <c r="B64" s="644" t="s">
        <v>151</v>
      </c>
      <c r="C64" s="645" t="s">
        <v>266</v>
      </c>
      <c r="D64" s="782">
        <v>9</v>
      </c>
      <c r="E64" s="782">
        <v>3</v>
      </c>
      <c r="F64" s="782">
        <v>5</v>
      </c>
      <c r="G64" s="782">
        <v>1</v>
      </c>
      <c r="H64" s="782">
        <v>0</v>
      </c>
      <c r="I64" s="782">
        <v>7</v>
      </c>
      <c r="J64" s="782">
        <v>2</v>
      </c>
    </row>
    <row r="65" spans="1:10" x14ac:dyDescent="0.25">
      <c r="A65" s="643" t="s">
        <v>152</v>
      </c>
      <c r="B65" s="644" t="s">
        <v>153</v>
      </c>
      <c r="C65" s="645" t="s">
        <v>268</v>
      </c>
      <c r="D65" s="782">
        <v>55</v>
      </c>
      <c r="E65" s="782">
        <v>51</v>
      </c>
      <c r="F65" s="782">
        <v>2</v>
      </c>
      <c r="G65" s="782">
        <v>2</v>
      </c>
      <c r="H65" s="782">
        <v>5</v>
      </c>
      <c r="I65" s="782">
        <v>18</v>
      </c>
      <c r="J65" s="782">
        <v>33</v>
      </c>
    </row>
    <row r="66" spans="1:10" x14ac:dyDescent="0.25">
      <c r="A66" s="643" t="s">
        <v>154</v>
      </c>
      <c r="B66" s="644" t="s">
        <v>155</v>
      </c>
      <c r="C66" s="645" t="s">
        <v>265</v>
      </c>
      <c r="D66" s="782">
        <v>24</v>
      </c>
      <c r="E66" s="782">
        <v>12</v>
      </c>
      <c r="F66" s="782">
        <v>11</v>
      </c>
      <c r="G66" s="782">
        <v>1</v>
      </c>
      <c r="H66" s="782">
        <v>3</v>
      </c>
      <c r="I66" s="782">
        <v>7</v>
      </c>
      <c r="J66" s="782">
        <v>14</v>
      </c>
    </row>
    <row r="67" spans="1:10" x14ac:dyDescent="0.25">
      <c r="A67" s="643" t="s">
        <v>156</v>
      </c>
      <c r="B67" s="644" t="s">
        <v>157</v>
      </c>
      <c r="C67" s="645" t="s">
        <v>266</v>
      </c>
      <c r="D67" s="782">
        <v>9</v>
      </c>
      <c r="E67" s="782">
        <v>7</v>
      </c>
      <c r="F67" s="782">
        <v>2</v>
      </c>
      <c r="G67" s="782">
        <v>0</v>
      </c>
      <c r="H67" s="782">
        <v>2</v>
      </c>
      <c r="I67" s="782">
        <v>7</v>
      </c>
      <c r="J67" s="782">
        <v>0</v>
      </c>
    </row>
    <row r="68" spans="1:10" x14ac:dyDescent="0.25">
      <c r="A68" s="643" t="s">
        <v>162</v>
      </c>
      <c r="B68" s="644" t="s">
        <v>163</v>
      </c>
      <c r="C68" s="645" t="s">
        <v>264</v>
      </c>
      <c r="D68" s="782">
        <v>21</v>
      </c>
      <c r="E68" s="782">
        <v>9</v>
      </c>
      <c r="F68" s="782">
        <v>12</v>
      </c>
      <c r="G68" s="782">
        <v>0</v>
      </c>
      <c r="H68" s="782">
        <v>1</v>
      </c>
      <c r="I68" s="782">
        <v>11</v>
      </c>
      <c r="J68" s="782">
        <v>9</v>
      </c>
    </row>
    <row r="69" spans="1:10" x14ac:dyDescent="0.25">
      <c r="A69" s="643" t="s">
        <v>164</v>
      </c>
      <c r="B69" s="644" t="s">
        <v>165</v>
      </c>
      <c r="C69" s="645" t="s">
        <v>266</v>
      </c>
      <c r="D69" s="782">
        <v>12</v>
      </c>
      <c r="E69" s="782">
        <v>10</v>
      </c>
      <c r="F69" s="782">
        <v>2</v>
      </c>
      <c r="G69" s="782">
        <v>0</v>
      </c>
      <c r="H69" s="782">
        <v>3</v>
      </c>
      <c r="I69" s="782">
        <v>6</v>
      </c>
      <c r="J69" s="782">
        <v>3</v>
      </c>
    </row>
    <row r="70" spans="1:10" x14ac:dyDescent="0.25">
      <c r="A70" s="643" t="s">
        <v>168</v>
      </c>
      <c r="B70" s="644" t="s">
        <v>169</v>
      </c>
      <c r="C70" s="645" t="s">
        <v>266</v>
      </c>
      <c r="D70" s="782">
        <v>15</v>
      </c>
      <c r="E70" s="782">
        <v>4</v>
      </c>
      <c r="F70" s="782">
        <v>11</v>
      </c>
      <c r="G70" s="782">
        <v>0</v>
      </c>
      <c r="H70" s="782">
        <v>0</v>
      </c>
      <c r="I70" s="782">
        <v>7</v>
      </c>
      <c r="J70" s="782">
        <v>8</v>
      </c>
    </row>
    <row r="71" spans="1:10" x14ac:dyDescent="0.25">
      <c r="A71" s="643" t="s">
        <v>170</v>
      </c>
      <c r="B71" s="644" t="s">
        <v>171</v>
      </c>
      <c r="C71" s="645" t="s">
        <v>267</v>
      </c>
      <c r="D71" s="782">
        <v>16</v>
      </c>
      <c r="E71" s="782">
        <v>7</v>
      </c>
      <c r="F71" s="782">
        <v>8</v>
      </c>
      <c r="G71" s="782">
        <v>1</v>
      </c>
      <c r="H71" s="782">
        <v>1</v>
      </c>
      <c r="I71" s="782">
        <v>8</v>
      </c>
      <c r="J71" s="782">
        <v>8</v>
      </c>
    </row>
    <row r="72" spans="1:10" x14ac:dyDescent="0.25">
      <c r="A72" s="643" t="s">
        <v>172</v>
      </c>
      <c r="B72" s="644" t="s">
        <v>173</v>
      </c>
      <c r="C72" s="645" t="s">
        <v>267</v>
      </c>
      <c r="D72" s="782">
        <v>23</v>
      </c>
      <c r="E72" s="782">
        <v>23</v>
      </c>
      <c r="F72" s="782">
        <v>0</v>
      </c>
      <c r="G72" s="782">
        <v>0</v>
      </c>
      <c r="H72" s="782">
        <v>0</v>
      </c>
      <c r="I72" s="782">
        <v>7</v>
      </c>
      <c r="J72" s="782">
        <v>16</v>
      </c>
    </row>
    <row r="73" spans="1:10" x14ac:dyDescent="0.25">
      <c r="A73" s="643" t="s">
        <v>174</v>
      </c>
      <c r="B73" s="644" t="s">
        <v>175</v>
      </c>
      <c r="C73" s="645" t="s">
        <v>268</v>
      </c>
      <c r="D73" s="782">
        <v>25</v>
      </c>
      <c r="E73" s="782">
        <v>21</v>
      </c>
      <c r="F73" s="782">
        <v>0</v>
      </c>
      <c r="G73" s="782">
        <v>4</v>
      </c>
      <c r="H73" s="782">
        <v>1</v>
      </c>
      <c r="I73" s="782">
        <v>7</v>
      </c>
      <c r="J73" s="782">
        <v>17</v>
      </c>
    </row>
    <row r="74" spans="1:10" x14ac:dyDescent="0.25">
      <c r="A74" s="643" t="s">
        <v>178</v>
      </c>
      <c r="B74" s="644" t="s">
        <v>179</v>
      </c>
      <c r="C74" s="645" t="s">
        <v>265</v>
      </c>
      <c r="D74" s="782">
        <v>43</v>
      </c>
      <c r="E74" s="782">
        <v>27</v>
      </c>
      <c r="F74" s="782">
        <v>14</v>
      </c>
      <c r="G74" s="782">
        <v>2</v>
      </c>
      <c r="H74" s="782">
        <v>1</v>
      </c>
      <c r="I74" s="782">
        <v>12</v>
      </c>
      <c r="J74" s="782">
        <v>30</v>
      </c>
    </row>
    <row r="75" spans="1:10" x14ac:dyDescent="0.25">
      <c r="A75" s="643" t="s">
        <v>182</v>
      </c>
      <c r="B75" s="644" t="s">
        <v>183</v>
      </c>
      <c r="C75" s="645" t="s">
        <v>266</v>
      </c>
      <c r="D75" s="782">
        <v>11</v>
      </c>
      <c r="E75" s="782">
        <v>6</v>
      </c>
      <c r="F75" s="782">
        <v>5</v>
      </c>
      <c r="G75" s="782">
        <v>0</v>
      </c>
      <c r="H75" s="782">
        <v>1</v>
      </c>
      <c r="I75" s="782">
        <v>7</v>
      </c>
      <c r="J75" s="782">
        <v>3</v>
      </c>
    </row>
    <row r="76" spans="1:10" x14ac:dyDescent="0.25">
      <c r="A76" s="643" t="s">
        <v>184</v>
      </c>
      <c r="B76" s="644" t="s">
        <v>185</v>
      </c>
      <c r="C76" s="645" t="s">
        <v>266</v>
      </c>
      <c r="D76" s="782">
        <v>28</v>
      </c>
      <c r="E76" s="782">
        <v>12</v>
      </c>
      <c r="F76" s="782">
        <v>16</v>
      </c>
      <c r="G76" s="782">
        <v>0</v>
      </c>
      <c r="H76" s="782">
        <v>4</v>
      </c>
      <c r="I76" s="782">
        <v>12</v>
      </c>
      <c r="J76" s="782">
        <v>12</v>
      </c>
    </row>
    <row r="77" spans="1:10" x14ac:dyDescent="0.25">
      <c r="A77" s="643" t="s">
        <v>186</v>
      </c>
      <c r="B77" s="644" t="s">
        <v>187</v>
      </c>
      <c r="C77" s="645" t="s">
        <v>264</v>
      </c>
      <c r="D77" s="782">
        <v>6</v>
      </c>
      <c r="E77" s="782">
        <v>4</v>
      </c>
      <c r="F77" s="782">
        <v>2</v>
      </c>
      <c r="G77" s="782">
        <v>0</v>
      </c>
      <c r="H77" s="782">
        <v>4</v>
      </c>
      <c r="I77" s="782">
        <v>2</v>
      </c>
      <c r="J77" s="782">
        <v>0</v>
      </c>
    </row>
    <row r="78" spans="1:10" x14ac:dyDescent="0.25">
      <c r="A78" s="643" t="s">
        <v>188</v>
      </c>
      <c r="B78" s="644" t="s">
        <v>189</v>
      </c>
      <c r="C78" s="645" t="s">
        <v>267</v>
      </c>
      <c r="D78" s="782">
        <v>80</v>
      </c>
      <c r="E78" s="782">
        <v>48</v>
      </c>
      <c r="F78" s="782">
        <v>22</v>
      </c>
      <c r="G78" s="782">
        <v>10</v>
      </c>
      <c r="H78" s="782">
        <v>9</v>
      </c>
      <c r="I78" s="782">
        <v>23</v>
      </c>
      <c r="J78" s="782">
        <v>48</v>
      </c>
    </row>
    <row r="79" spans="1:10" x14ac:dyDescent="0.25">
      <c r="A79" s="643" t="s">
        <v>190</v>
      </c>
      <c r="B79" s="644" t="s">
        <v>191</v>
      </c>
      <c r="C79" s="645" t="s">
        <v>268</v>
      </c>
      <c r="D79" s="782">
        <v>49</v>
      </c>
      <c r="E79" s="782">
        <v>44</v>
      </c>
      <c r="F79" s="782">
        <v>4</v>
      </c>
      <c r="G79" s="782">
        <v>1</v>
      </c>
      <c r="H79" s="782">
        <v>6</v>
      </c>
      <c r="I79" s="782">
        <v>19</v>
      </c>
      <c r="J79" s="782">
        <v>25</v>
      </c>
    </row>
    <row r="80" spans="1:10" x14ac:dyDescent="0.25">
      <c r="A80" s="643" t="s">
        <v>194</v>
      </c>
      <c r="B80" s="644" t="s">
        <v>195</v>
      </c>
      <c r="C80" s="645" t="s">
        <v>267</v>
      </c>
      <c r="D80" s="782">
        <v>2</v>
      </c>
      <c r="E80" s="782">
        <v>2</v>
      </c>
      <c r="F80" s="782">
        <v>0</v>
      </c>
      <c r="G80" s="782">
        <v>0</v>
      </c>
      <c r="H80" s="782">
        <v>0</v>
      </c>
      <c r="I80" s="782">
        <v>0</v>
      </c>
      <c r="J80" s="782">
        <v>2</v>
      </c>
    </row>
    <row r="81" spans="1:10" x14ac:dyDescent="0.25">
      <c r="A81" s="643" t="s">
        <v>198</v>
      </c>
      <c r="B81" s="644" t="s">
        <v>272</v>
      </c>
      <c r="C81" s="645" t="s">
        <v>266</v>
      </c>
      <c r="D81" s="782">
        <v>5</v>
      </c>
      <c r="E81" s="782">
        <v>4</v>
      </c>
      <c r="F81" s="782">
        <v>1</v>
      </c>
      <c r="G81" s="782">
        <v>0</v>
      </c>
      <c r="H81" s="782">
        <v>2</v>
      </c>
      <c r="I81" s="782">
        <v>1</v>
      </c>
      <c r="J81" s="782">
        <v>2</v>
      </c>
    </row>
    <row r="82" spans="1:10" x14ac:dyDescent="0.25">
      <c r="A82" s="643" t="s">
        <v>202</v>
      </c>
      <c r="B82" s="644" t="s">
        <v>301</v>
      </c>
      <c r="C82" s="645" t="s">
        <v>265</v>
      </c>
      <c r="D82" s="782">
        <v>103</v>
      </c>
      <c r="E82" s="782">
        <v>95</v>
      </c>
      <c r="F82" s="782">
        <v>4</v>
      </c>
      <c r="G82" s="782">
        <v>4</v>
      </c>
      <c r="H82" s="782">
        <v>5</v>
      </c>
      <c r="I82" s="782">
        <v>36</v>
      </c>
      <c r="J82" s="782">
        <v>63</v>
      </c>
    </row>
    <row r="83" spans="1:10" x14ac:dyDescent="0.25">
      <c r="A83" s="643" t="s">
        <v>204</v>
      </c>
      <c r="B83" s="644" t="s">
        <v>293</v>
      </c>
      <c r="C83" s="645" t="s">
        <v>265</v>
      </c>
      <c r="D83" s="782">
        <v>23</v>
      </c>
      <c r="E83" s="782">
        <v>20</v>
      </c>
      <c r="F83" s="782">
        <v>2</v>
      </c>
      <c r="G83" s="782">
        <v>1</v>
      </c>
      <c r="H83" s="782">
        <v>1</v>
      </c>
      <c r="I83" s="782">
        <v>8</v>
      </c>
      <c r="J83" s="782">
        <v>14</v>
      </c>
    </row>
    <row r="84" spans="1:10" x14ac:dyDescent="0.25">
      <c r="A84" s="643" t="s">
        <v>206</v>
      </c>
      <c r="B84" s="644" t="s">
        <v>294</v>
      </c>
      <c r="C84" s="645" t="s">
        <v>267</v>
      </c>
      <c r="D84" s="782">
        <v>83</v>
      </c>
      <c r="E84" s="782">
        <v>74</v>
      </c>
      <c r="F84" s="782">
        <v>0</v>
      </c>
      <c r="G84" s="782">
        <v>9</v>
      </c>
      <c r="H84" s="782">
        <v>2</v>
      </c>
      <c r="I84" s="782">
        <v>23</v>
      </c>
      <c r="J84" s="782">
        <v>58</v>
      </c>
    </row>
    <row r="85" spans="1:10" x14ac:dyDescent="0.25">
      <c r="A85" s="643" t="s">
        <v>208</v>
      </c>
      <c r="B85" s="644" t="s">
        <v>209</v>
      </c>
      <c r="C85" s="645" t="s">
        <v>268</v>
      </c>
      <c r="D85" s="782">
        <v>88</v>
      </c>
      <c r="E85" s="782">
        <v>82</v>
      </c>
      <c r="F85" s="782">
        <v>2</v>
      </c>
      <c r="G85" s="782">
        <v>4</v>
      </c>
      <c r="H85" s="782">
        <v>9</v>
      </c>
      <c r="I85" s="782">
        <v>32</v>
      </c>
      <c r="J85" s="782">
        <v>47</v>
      </c>
    </row>
    <row r="86" spans="1:10" x14ac:dyDescent="0.25">
      <c r="A86" s="643" t="s">
        <v>210</v>
      </c>
      <c r="B86" s="644" t="s">
        <v>211</v>
      </c>
      <c r="C86" s="645" t="s">
        <v>268</v>
      </c>
      <c r="D86" s="782">
        <v>55</v>
      </c>
      <c r="E86" s="782">
        <v>49</v>
      </c>
      <c r="F86" s="782">
        <v>0</v>
      </c>
      <c r="G86" s="782">
        <v>6</v>
      </c>
      <c r="H86" s="782">
        <v>3</v>
      </c>
      <c r="I86" s="782">
        <v>19</v>
      </c>
      <c r="J86" s="782">
        <v>34</v>
      </c>
    </row>
    <row r="87" spans="1:10" x14ac:dyDescent="0.25">
      <c r="A87" s="643" t="s">
        <v>212</v>
      </c>
      <c r="B87" s="644" t="s">
        <v>213</v>
      </c>
      <c r="C87" s="645" t="s">
        <v>267</v>
      </c>
      <c r="D87" s="782">
        <v>62</v>
      </c>
      <c r="E87" s="782">
        <v>59</v>
      </c>
      <c r="F87" s="782">
        <v>3</v>
      </c>
      <c r="G87" s="782">
        <v>0</v>
      </c>
      <c r="H87" s="782">
        <v>10</v>
      </c>
      <c r="I87" s="782">
        <v>24</v>
      </c>
      <c r="J87" s="782">
        <v>30</v>
      </c>
    </row>
    <row r="88" spans="1:10" x14ac:dyDescent="0.25">
      <c r="A88" s="643" t="s">
        <v>214</v>
      </c>
      <c r="B88" s="644" t="s">
        <v>215</v>
      </c>
      <c r="C88" s="645" t="s">
        <v>268</v>
      </c>
      <c r="D88" s="782">
        <v>74</v>
      </c>
      <c r="E88" s="782">
        <v>71</v>
      </c>
      <c r="F88" s="782">
        <v>1</v>
      </c>
      <c r="G88" s="782">
        <v>2</v>
      </c>
      <c r="H88" s="782">
        <v>15</v>
      </c>
      <c r="I88" s="782">
        <v>33</v>
      </c>
      <c r="J88" s="782">
        <v>27</v>
      </c>
    </row>
    <row r="89" spans="1:10" x14ac:dyDescent="0.25">
      <c r="A89" s="643" t="s">
        <v>216</v>
      </c>
      <c r="B89" s="644" t="s">
        <v>217</v>
      </c>
      <c r="C89" s="645" t="s">
        <v>264</v>
      </c>
      <c r="D89" s="782">
        <v>11</v>
      </c>
      <c r="E89" s="782">
        <v>4</v>
      </c>
      <c r="F89" s="782">
        <v>7</v>
      </c>
      <c r="G89" s="782">
        <v>0</v>
      </c>
      <c r="H89" s="782">
        <v>1</v>
      </c>
      <c r="I89" s="782">
        <v>2</v>
      </c>
      <c r="J89" s="782">
        <v>8</v>
      </c>
    </row>
    <row r="90" spans="1:10" x14ac:dyDescent="0.25">
      <c r="A90" s="643" t="s">
        <v>218</v>
      </c>
      <c r="B90" s="644" t="s">
        <v>219</v>
      </c>
      <c r="C90" s="645" t="s">
        <v>267</v>
      </c>
      <c r="D90" s="782">
        <v>43</v>
      </c>
      <c r="E90" s="782">
        <v>29</v>
      </c>
      <c r="F90" s="782">
        <v>12</v>
      </c>
      <c r="G90" s="782">
        <v>2</v>
      </c>
      <c r="H90" s="782">
        <v>4</v>
      </c>
      <c r="I90" s="782">
        <v>13</v>
      </c>
      <c r="J90" s="782">
        <v>26</v>
      </c>
    </row>
    <row r="91" spans="1:10" x14ac:dyDescent="0.25">
      <c r="A91" s="643" t="s">
        <v>220</v>
      </c>
      <c r="B91" s="644" t="s">
        <v>221</v>
      </c>
      <c r="C91" s="645" t="s">
        <v>267</v>
      </c>
      <c r="D91" s="782">
        <v>13</v>
      </c>
      <c r="E91" s="782">
        <v>10</v>
      </c>
      <c r="F91" s="782">
        <v>3</v>
      </c>
      <c r="G91" s="782">
        <v>0</v>
      </c>
      <c r="H91" s="782">
        <v>1</v>
      </c>
      <c r="I91" s="782">
        <v>7</v>
      </c>
      <c r="J91" s="782">
        <v>5</v>
      </c>
    </row>
    <row r="92" spans="1:10" x14ac:dyDescent="0.25">
      <c r="A92" s="643" t="s">
        <v>224</v>
      </c>
      <c r="B92" s="644" t="s">
        <v>225</v>
      </c>
      <c r="C92" s="645" t="s">
        <v>264</v>
      </c>
      <c r="D92" s="782">
        <v>10</v>
      </c>
      <c r="E92" s="782">
        <v>2</v>
      </c>
      <c r="F92" s="782">
        <v>8</v>
      </c>
      <c r="G92" s="782">
        <v>0</v>
      </c>
      <c r="H92" s="782">
        <v>2</v>
      </c>
      <c r="I92" s="782">
        <v>4</v>
      </c>
      <c r="J92" s="782">
        <v>4</v>
      </c>
    </row>
    <row r="93" spans="1:10" x14ac:dyDescent="0.25">
      <c r="A93" s="643" t="s">
        <v>226</v>
      </c>
      <c r="B93" s="644" t="s">
        <v>227</v>
      </c>
      <c r="C93" s="645" t="s">
        <v>264</v>
      </c>
      <c r="D93" s="782">
        <v>13</v>
      </c>
      <c r="E93" s="782">
        <v>5</v>
      </c>
      <c r="F93" s="782">
        <v>8</v>
      </c>
      <c r="G93" s="782">
        <v>0</v>
      </c>
      <c r="H93" s="782">
        <v>1</v>
      </c>
      <c r="I93" s="782">
        <v>5</v>
      </c>
      <c r="J93" s="782">
        <v>7</v>
      </c>
    </row>
    <row r="94" spans="1:10" x14ac:dyDescent="0.25">
      <c r="A94" s="643" t="s">
        <v>228</v>
      </c>
      <c r="B94" s="644" t="s">
        <v>229</v>
      </c>
      <c r="C94" s="645" t="s">
        <v>268</v>
      </c>
      <c r="D94" s="782">
        <v>80</v>
      </c>
      <c r="E94" s="782">
        <v>73</v>
      </c>
      <c r="F94" s="782">
        <v>6</v>
      </c>
      <c r="G94" s="782">
        <v>1</v>
      </c>
      <c r="H94" s="782">
        <v>8</v>
      </c>
      <c r="I94" s="782">
        <v>41</v>
      </c>
      <c r="J94" s="782">
        <v>31</v>
      </c>
    </row>
    <row r="95" spans="1:10" x14ac:dyDescent="0.25">
      <c r="A95" s="643" t="s">
        <v>232</v>
      </c>
      <c r="B95" s="644" t="s">
        <v>233</v>
      </c>
      <c r="C95" s="645" t="s">
        <v>267</v>
      </c>
      <c r="D95" s="782">
        <v>15</v>
      </c>
      <c r="E95" s="782">
        <v>14</v>
      </c>
      <c r="F95" s="782">
        <v>1</v>
      </c>
      <c r="G95" s="782">
        <v>0</v>
      </c>
      <c r="H95" s="782">
        <v>1</v>
      </c>
      <c r="I95" s="782">
        <v>7</v>
      </c>
      <c r="J95" s="782">
        <v>7</v>
      </c>
    </row>
    <row r="96" spans="1:10" x14ac:dyDescent="0.25">
      <c r="A96" s="643" t="s">
        <v>234</v>
      </c>
      <c r="B96" s="644" t="s">
        <v>235</v>
      </c>
      <c r="C96" s="645" t="s">
        <v>268</v>
      </c>
      <c r="D96" s="782">
        <v>233</v>
      </c>
      <c r="E96" s="782">
        <v>215</v>
      </c>
      <c r="F96" s="782">
        <v>5</v>
      </c>
      <c r="G96" s="782">
        <v>13</v>
      </c>
      <c r="H96" s="782">
        <v>45</v>
      </c>
      <c r="I96" s="782">
        <v>108</v>
      </c>
      <c r="J96" s="782">
        <v>85</v>
      </c>
    </row>
    <row r="97" spans="1:10" x14ac:dyDescent="0.25">
      <c r="A97" s="643" t="s">
        <v>236</v>
      </c>
      <c r="B97" s="644" t="s">
        <v>237</v>
      </c>
      <c r="C97" s="645" t="s">
        <v>266</v>
      </c>
      <c r="D97" s="782">
        <v>11</v>
      </c>
      <c r="E97" s="782">
        <v>4</v>
      </c>
      <c r="F97" s="782">
        <v>7</v>
      </c>
      <c r="G97" s="782">
        <v>0</v>
      </c>
      <c r="H97" s="782">
        <v>0</v>
      </c>
      <c r="I97" s="782">
        <v>6</v>
      </c>
      <c r="J97" s="782">
        <v>5</v>
      </c>
    </row>
    <row r="98" spans="1:10" x14ac:dyDescent="0.25">
      <c r="A98" s="643" t="s">
        <v>242</v>
      </c>
      <c r="B98" s="644" t="s">
        <v>243</v>
      </c>
      <c r="C98" s="645" t="s">
        <v>268</v>
      </c>
      <c r="D98" s="782">
        <v>53</v>
      </c>
      <c r="E98" s="782">
        <v>52</v>
      </c>
      <c r="F98" s="782">
        <v>1</v>
      </c>
      <c r="G98" s="782">
        <v>0</v>
      </c>
      <c r="H98" s="782">
        <v>7</v>
      </c>
      <c r="I98" s="782">
        <v>30</v>
      </c>
      <c r="J98" s="782">
        <v>17</v>
      </c>
    </row>
    <row r="99" spans="1:10" x14ac:dyDescent="0.25">
      <c r="A99" s="643" t="s">
        <v>244</v>
      </c>
      <c r="B99" s="644" t="s">
        <v>245</v>
      </c>
      <c r="C99" s="645" t="s">
        <v>268</v>
      </c>
      <c r="D99" s="782">
        <v>46</v>
      </c>
      <c r="E99" s="782">
        <v>44</v>
      </c>
      <c r="F99" s="782">
        <v>2</v>
      </c>
      <c r="G99" s="782">
        <v>0</v>
      </c>
      <c r="H99" s="782">
        <v>2</v>
      </c>
      <c r="I99" s="782">
        <v>9</v>
      </c>
      <c r="J99" s="782">
        <v>35</v>
      </c>
    </row>
    <row r="100" spans="1:10" x14ac:dyDescent="0.25">
      <c r="A100" s="643" t="s">
        <v>246</v>
      </c>
      <c r="B100" s="644" t="s">
        <v>247</v>
      </c>
      <c r="C100" s="645" t="s">
        <v>264</v>
      </c>
      <c r="D100" s="782">
        <v>30</v>
      </c>
      <c r="E100" s="782">
        <v>18</v>
      </c>
      <c r="F100" s="782">
        <v>11</v>
      </c>
      <c r="G100" s="782">
        <v>1</v>
      </c>
      <c r="H100" s="782">
        <v>12</v>
      </c>
      <c r="I100" s="782">
        <v>12</v>
      </c>
      <c r="J100" s="782">
        <v>7</v>
      </c>
    </row>
    <row r="101" spans="1:10" x14ac:dyDescent="0.25">
      <c r="A101" s="643" t="s">
        <v>14</v>
      </c>
      <c r="B101" s="644" t="s">
        <v>15</v>
      </c>
      <c r="C101" s="645" t="s">
        <v>267</v>
      </c>
      <c r="D101" s="782">
        <v>41</v>
      </c>
      <c r="E101" s="782">
        <v>19</v>
      </c>
      <c r="F101" s="782">
        <v>20</v>
      </c>
      <c r="G101" s="782">
        <v>2</v>
      </c>
      <c r="H101" s="782">
        <v>1</v>
      </c>
      <c r="I101" s="782">
        <v>10</v>
      </c>
      <c r="J101" s="782">
        <v>30</v>
      </c>
    </row>
    <row r="102" spans="1:10" x14ac:dyDescent="0.25">
      <c r="A102" s="643" t="s">
        <v>34</v>
      </c>
      <c r="B102" s="644" t="s">
        <v>35</v>
      </c>
      <c r="C102" s="645" t="s">
        <v>268</v>
      </c>
      <c r="D102" s="782">
        <v>72</v>
      </c>
      <c r="E102" s="782">
        <v>67</v>
      </c>
      <c r="F102" s="782">
        <v>3</v>
      </c>
      <c r="G102" s="782">
        <v>2</v>
      </c>
      <c r="H102" s="782">
        <v>6</v>
      </c>
      <c r="I102" s="782">
        <v>26</v>
      </c>
      <c r="J102" s="782">
        <v>40</v>
      </c>
    </row>
    <row r="103" spans="1:10" x14ac:dyDescent="0.25">
      <c r="A103" s="643" t="s">
        <v>52</v>
      </c>
      <c r="B103" s="644" t="s">
        <v>53</v>
      </c>
      <c r="C103" s="645" t="s">
        <v>265</v>
      </c>
      <c r="D103" s="782">
        <v>74</v>
      </c>
      <c r="E103" s="782">
        <v>39</v>
      </c>
      <c r="F103" s="782">
        <v>31</v>
      </c>
      <c r="G103" s="782">
        <v>4</v>
      </c>
      <c r="H103" s="782">
        <v>7</v>
      </c>
      <c r="I103" s="782">
        <v>29</v>
      </c>
      <c r="J103" s="782">
        <v>38</v>
      </c>
    </row>
    <row r="104" spans="1:10" x14ac:dyDescent="0.25">
      <c r="A104" s="643" t="s">
        <v>54</v>
      </c>
      <c r="B104" s="644" t="s">
        <v>55</v>
      </c>
      <c r="C104" s="645" t="s">
        <v>264</v>
      </c>
      <c r="D104" s="782">
        <v>161</v>
      </c>
      <c r="E104" s="782">
        <v>79</v>
      </c>
      <c r="F104" s="782">
        <v>78</v>
      </c>
      <c r="G104" s="782">
        <v>4</v>
      </c>
      <c r="H104" s="782">
        <v>23</v>
      </c>
      <c r="I104" s="782">
        <v>75</v>
      </c>
      <c r="J104" s="782">
        <v>65</v>
      </c>
    </row>
    <row r="105" spans="1:10" x14ac:dyDescent="0.25">
      <c r="A105" s="643" t="s">
        <v>66</v>
      </c>
      <c r="B105" s="644" t="s">
        <v>67</v>
      </c>
      <c r="C105" s="645" t="s">
        <v>265</v>
      </c>
      <c r="D105" s="782">
        <v>85</v>
      </c>
      <c r="E105" s="782">
        <v>51</v>
      </c>
      <c r="F105" s="782">
        <v>32</v>
      </c>
      <c r="G105" s="782">
        <v>2</v>
      </c>
      <c r="H105" s="782">
        <v>8</v>
      </c>
      <c r="I105" s="782">
        <v>29</v>
      </c>
      <c r="J105" s="782">
        <v>48</v>
      </c>
    </row>
    <row r="106" spans="1:10" x14ac:dyDescent="0.25">
      <c r="A106" s="643" t="s">
        <v>82</v>
      </c>
      <c r="B106" s="644" t="s">
        <v>83</v>
      </c>
      <c r="C106" s="645" t="s">
        <v>264</v>
      </c>
      <c r="D106" s="782">
        <v>9</v>
      </c>
      <c r="E106" s="782">
        <v>1</v>
      </c>
      <c r="F106" s="782">
        <v>8</v>
      </c>
      <c r="G106" s="782">
        <v>0</v>
      </c>
      <c r="H106" s="782">
        <v>1</v>
      </c>
      <c r="I106" s="782">
        <v>8</v>
      </c>
      <c r="J106" s="782">
        <v>1</v>
      </c>
    </row>
    <row r="107" spans="1:10" x14ac:dyDescent="0.25">
      <c r="A107" s="643" t="s">
        <v>88</v>
      </c>
      <c r="B107" s="644" t="s">
        <v>89</v>
      </c>
      <c r="C107" s="645" t="s">
        <v>267</v>
      </c>
      <c r="D107" s="782">
        <v>26</v>
      </c>
      <c r="E107" s="782">
        <v>20</v>
      </c>
      <c r="F107" s="782">
        <v>5</v>
      </c>
      <c r="G107" s="782">
        <v>1</v>
      </c>
      <c r="H107" s="782">
        <v>2</v>
      </c>
      <c r="I107" s="782">
        <v>8</v>
      </c>
      <c r="J107" s="782">
        <v>16</v>
      </c>
    </row>
    <row r="108" spans="1:10" x14ac:dyDescent="0.25">
      <c r="A108" s="643" t="s">
        <v>90</v>
      </c>
      <c r="B108" s="644" t="s">
        <v>91</v>
      </c>
      <c r="C108" s="645" t="s">
        <v>268</v>
      </c>
      <c r="D108" s="782">
        <v>13</v>
      </c>
      <c r="E108" s="782">
        <v>13</v>
      </c>
      <c r="F108" s="782">
        <v>0</v>
      </c>
      <c r="G108" s="782">
        <v>0</v>
      </c>
      <c r="H108" s="782">
        <v>0</v>
      </c>
      <c r="I108" s="782">
        <v>6</v>
      </c>
      <c r="J108" s="782">
        <v>7</v>
      </c>
    </row>
    <row r="109" spans="1:10" x14ac:dyDescent="0.25">
      <c r="A109" s="643" t="s">
        <v>106</v>
      </c>
      <c r="B109" s="644" t="s">
        <v>107</v>
      </c>
      <c r="C109" s="645" t="s">
        <v>264</v>
      </c>
      <c r="D109" s="782">
        <v>116</v>
      </c>
      <c r="E109" s="782">
        <v>39</v>
      </c>
      <c r="F109" s="782">
        <v>76</v>
      </c>
      <c r="G109" s="782">
        <v>1</v>
      </c>
      <c r="H109" s="782">
        <v>18</v>
      </c>
      <c r="I109" s="782">
        <v>51</v>
      </c>
      <c r="J109" s="782">
        <v>48</v>
      </c>
    </row>
    <row r="110" spans="1:10" x14ac:dyDescent="0.25">
      <c r="A110" s="643" t="s">
        <v>116</v>
      </c>
      <c r="B110" s="644" t="s">
        <v>117</v>
      </c>
      <c r="C110" s="645" t="s">
        <v>266</v>
      </c>
      <c r="D110" s="782">
        <v>20</v>
      </c>
      <c r="E110" s="782">
        <v>8</v>
      </c>
      <c r="F110" s="782">
        <v>12</v>
      </c>
      <c r="G110" s="782">
        <v>0</v>
      </c>
      <c r="H110" s="782">
        <v>8</v>
      </c>
      <c r="I110" s="782">
        <v>6</v>
      </c>
      <c r="J110" s="782">
        <v>6</v>
      </c>
    </row>
    <row r="111" spans="1:10" x14ac:dyDescent="0.25">
      <c r="A111" s="643" t="s">
        <v>138</v>
      </c>
      <c r="B111" s="644" t="s">
        <v>139</v>
      </c>
      <c r="C111" s="645" t="s">
        <v>265</v>
      </c>
      <c r="D111" s="782">
        <v>148</v>
      </c>
      <c r="E111" s="782">
        <v>94</v>
      </c>
      <c r="F111" s="782">
        <v>52</v>
      </c>
      <c r="G111" s="782">
        <v>2</v>
      </c>
      <c r="H111" s="782">
        <v>5</v>
      </c>
      <c r="I111" s="782">
        <v>53</v>
      </c>
      <c r="J111" s="782">
        <v>90</v>
      </c>
    </row>
    <row r="112" spans="1:10" x14ac:dyDescent="0.25">
      <c r="A112" s="643" t="s">
        <v>142</v>
      </c>
      <c r="B112" s="644" t="s">
        <v>143</v>
      </c>
      <c r="C112" s="645" t="s">
        <v>267</v>
      </c>
      <c r="D112" s="782">
        <v>5</v>
      </c>
      <c r="E112" s="782">
        <v>3</v>
      </c>
      <c r="F112" s="782">
        <v>2</v>
      </c>
      <c r="G112" s="782">
        <v>0</v>
      </c>
      <c r="H112" s="782">
        <v>1</v>
      </c>
      <c r="I112" s="782">
        <v>1</v>
      </c>
      <c r="J112" s="782">
        <v>3</v>
      </c>
    </row>
    <row r="113" spans="1:10" x14ac:dyDescent="0.25">
      <c r="A113" s="643" t="s">
        <v>144</v>
      </c>
      <c r="B113" s="644" t="s">
        <v>145</v>
      </c>
      <c r="C113" s="645" t="s">
        <v>267</v>
      </c>
      <c r="D113" s="782">
        <v>2</v>
      </c>
      <c r="E113" s="782">
        <v>2</v>
      </c>
      <c r="F113" s="782">
        <v>0</v>
      </c>
      <c r="G113" s="782">
        <v>0</v>
      </c>
      <c r="H113" s="782">
        <v>0</v>
      </c>
      <c r="I113" s="782">
        <v>0</v>
      </c>
      <c r="J113" s="782">
        <v>2</v>
      </c>
    </row>
    <row r="114" spans="1:10" x14ac:dyDescent="0.25">
      <c r="A114" s="643" t="s">
        <v>158</v>
      </c>
      <c r="B114" s="644" t="s">
        <v>159</v>
      </c>
      <c r="C114" s="645" t="s">
        <v>264</v>
      </c>
      <c r="D114" s="782">
        <v>139</v>
      </c>
      <c r="E114" s="782">
        <v>51</v>
      </c>
      <c r="F114" s="782">
        <v>86</v>
      </c>
      <c r="G114" s="782">
        <v>2</v>
      </c>
      <c r="H114" s="782">
        <v>13</v>
      </c>
      <c r="I114" s="782">
        <v>77</v>
      </c>
      <c r="J114" s="782">
        <v>49</v>
      </c>
    </row>
    <row r="115" spans="1:10" x14ac:dyDescent="0.25">
      <c r="A115" s="643" t="s">
        <v>160</v>
      </c>
      <c r="B115" s="644" t="s">
        <v>161</v>
      </c>
      <c r="C115" s="645" t="s">
        <v>264</v>
      </c>
      <c r="D115" s="782">
        <v>218</v>
      </c>
      <c r="E115" s="782">
        <v>66</v>
      </c>
      <c r="F115" s="782">
        <v>148</v>
      </c>
      <c r="G115" s="782">
        <v>4</v>
      </c>
      <c r="H115" s="782">
        <v>24</v>
      </c>
      <c r="I115" s="782">
        <v>90</v>
      </c>
      <c r="J115" s="782">
        <v>105</v>
      </c>
    </row>
    <row r="116" spans="1:10" x14ac:dyDescent="0.25">
      <c r="A116" s="643" t="s">
        <v>166</v>
      </c>
      <c r="B116" s="644" t="s">
        <v>167</v>
      </c>
      <c r="C116" s="645" t="s">
        <v>268</v>
      </c>
      <c r="D116" s="782">
        <v>7</v>
      </c>
      <c r="E116" s="782">
        <v>7</v>
      </c>
      <c r="F116" s="782">
        <v>0</v>
      </c>
      <c r="G116" s="782">
        <v>0</v>
      </c>
      <c r="H116" s="782">
        <v>1</v>
      </c>
      <c r="I116" s="782">
        <v>5</v>
      </c>
      <c r="J116" s="782">
        <v>1</v>
      </c>
    </row>
    <row r="117" spans="1:10" x14ac:dyDescent="0.25">
      <c r="A117" s="643" t="s">
        <v>176</v>
      </c>
      <c r="B117" s="644" t="s">
        <v>177</v>
      </c>
      <c r="C117" s="645" t="s">
        <v>266</v>
      </c>
      <c r="D117" s="782">
        <v>120</v>
      </c>
      <c r="E117" s="782">
        <v>34</v>
      </c>
      <c r="F117" s="782">
        <v>84</v>
      </c>
      <c r="G117" s="782">
        <v>2</v>
      </c>
      <c r="H117" s="782">
        <v>18</v>
      </c>
      <c r="I117" s="782">
        <v>57</v>
      </c>
      <c r="J117" s="782">
        <v>46</v>
      </c>
    </row>
    <row r="118" spans="1:10" x14ac:dyDescent="0.25">
      <c r="A118" s="643" t="s">
        <v>180</v>
      </c>
      <c r="B118" s="644" t="s">
        <v>181</v>
      </c>
      <c r="C118" s="645" t="s">
        <v>264</v>
      </c>
      <c r="D118" s="782">
        <v>103</v>
      </c>
      <c r="E118" s="782">
        <v>26</v>
      </c>
      <c r="F118" s="782">
        <v>77</v>
      </c>
      <c r="G118" s="782">
        <v>0</v>
      </c>
      <c r="H118" s="782">
        <v>10</v>
      </c>
      <c r="I118" s="782">
        <v>39</v>
      </c>
      <c r="J118" s="782">
        <v>54</v>
      </c>
    </row>
    <row r="119" spans="1:10" x14ac:dyDescent="0.25">
      <c r="A119" s="643" t="s">
        <v>192</v>
      </c>
      <c r="B119" s="644" t="s">
        <v>193</v>
      </c>
      <c r="C119" s="645" t="s">
        <v>268</v>
      </c>
      <c r="D119" s="782">
        <v>25</v>
      </c>
      <c r="E119" s="782">
        <v>22</v>
      </c>
      <c r="F119" s="782">
        <v>3</v>
      </c>
      <c r="G119" s="782">
        <v>0</v>
      </c>
      <c r="H119" s="782">
        <v>1</v>
      </c>
      <c r="I119" s="782">
        <v>14</v>
      </c>
      <c r="J119" s="782">
        <v>11</v>
      </c>
    </row>
    <row r="120" spans="1:10" x14ac:dyDescent="0.25">
      <c r="A120" s="643" t="s">
        <v>196</v>
      </c>
      <c r="B120" s="644" t="s">
        <v>197</v>
      </c>
      <c r="C120" s="645" t="s">
        <v>266</v>
      </c>
      <c r="D120" s="782">
        <v>609</v>
      </c>
      <c r="E120" s="782">
        <v>178</v>
      </c>
      <c r="F120" s="782">
        <v>417</v>
      </c>
      <c r="G120" s="782">
        <v>14</v>
      </c>
      <c r="H120" s="782">
        <v>67</v>
      </c>
      <c r="I120" s="782">
        <v>311</v>
      </c>
      <c r="J120" s="782">
        <v>240</v>
      </c>
    </row>
    <row r="121" spans="1:10" x14ac:dyDescent="0.25">
      <c r="A121" s="643" t="s">
        <v>200</v>
      </c>
      <c r="B121" s="644" t="s">
        <v>201</v>
      </c>
      <c r="C121" s="645" t="s">
        <v>265</v>
      </c>
      <c r="D121" s="782">
        <v>223</v>
      </c>
      <c r="E121" s="782">
        <v>140</v>
      </c>
      <c r="F121" s="782">
        <v>75</v>
      </c>
      <c r="G121" s="782">
        <v>8</v>
      </c>
      <c r="H121" s="782">
        <v>19</v>
      </c>
      <c r="I121" s="782">
        <v>98</v>
      </c>
      <c r="J121" s="782">
        <v>107</v>
      </c>
    </row>
    <row r="122" spans="1:10" x14ac:dyDescent="0.25">
      <c r="A122" s="643" t="s">
        <v>222</v>
      </c>
      <c r="B122" s="644" t="s">
        <v>223</v>
      </c>
      <c r="C122" s="645" t="s">
        <v>264</v>
      </c>
      <c r="D122" s="782">
        <v>68</v>
      </c>
      <c r="E122" s="782">
        <v>16</v>
      </c>
      <c r="F122" s="782">
        <v>52</v>
      </c>
      <c r="G122" s="782">
        <v>0</v>
      </c>
      <c r="H122" s="782">
        <v>10</v>
      </c>
      <c r="I122" s="782">
        <v>34</v>
      </c>
      <c r="J122" s="782">
        <v>25</v>
      </c>
    </row>
    <row r="123" spans="1:10" x14ac:dyDescent="0.25">
      <c r="A123" s="643" t="s">
        <v>230</v>
      </c>
      <c r="B123" s="644" t="s">
        <v>231</v>
      </c>
      <c r="C123" s="645" t="s">
        <v>264</v>
      </c>
      <c r="D123" s="782">
        <v>195</v>
      </c>
      <c r="E123" s="782">
        <v>129</v>
      </c>
      <c r="F123" s="782">
        <v>56</v>
      </c>
      <c r="G123" s="782">
        <v>10</v>
      </c>
      <c r="H123" s="782">
        <v>24</v>
      </c>
      <c r="I123" s="782">
        <v>74</v>
      </c>
      <c r="J123" s="782">
        <v>99</v>
      </c>
    </row>
    <row r="124" spans="1:10" x14ac:dyDescent="0.25">
      <c r="A124" s="643" t="s">
        <v>238</v>
      </c>
      <c r="B124" s="644" t="s">
        <v>239</v>
      </c>
      <c r="C124" s="645" t="s">
        <v>264</v>
      </c>
      <c r="D124" s="782">
        <v>33</v>
      </c>
      <c r="E124" s="782">
        <v>17</v>
      </c>
      <c r="F124" s="782">
        <v>15</v>
      </c>
      <c r="G124" s="782">
        <v>1</v>
      </c>
      <c r="H124" s="782">
        <v>7</v>
      </c>
      <c r="I124" s="782">
        <v>16</v>
      </c>
      <c r="J124" s="782">
        <v>11</v>
      </c>
    </row>
    <row r="125" spans="1:10" x14ac:dyDescent="0.25">
      <c r="A125" s="646" t="s">
        <v>240</v>
      </c>
      <c r="B125" s="647" t="s">
        <v>241</v>
      </c>
      <c r="C125" s="648" t="s">
        <v>267</v>
      </c>
      <c r="D125" s="783">
        <v>33</v>
      </c>
      <c r="E125" s="783">
        <v>29</v>
      </c>
      <c r="F125" s="783">
        <v>4</v>
      </c>
      <c r="G125" s="783">
        <v>0</v>
      </c>
      <c r="H125" s="783">
        <v>1</v>
      </c>
      <c r="I125" s="783">
        <v>16</v>
      </c>
      <c r="J125" s="783">
        <v>16</v>
      </c>
    </row>
    <row r="126" spans="1:10" x14ac:dyDescent="0.25">
      <c r="A126" s="649"/>
      <c r="B126" s="649"/>
      <c r="C126" s="649"/>
    </row>
    <row r="127" spans="1:10" ht="30" customHeight="1" x14ac:dyDescent="0.25">
      <c r="A127" s="2764" t="s">
        <v>788</v>
      </c>
      <c r="B127" s="2764"/>
      <c r="C127" s="2764"/>
      <c r="D127" s="2764"/>
      <c r="E127" s="2764"/>
      <c r="F127" s="2764"/>
    </row>
    <row r="128" spans="1:10" x14ac:dyDescent="0.25">
      <c r="A128" s="784"/>
      <c r="B128" s="784"/>
      <c r="C128" s="784"/>
      <c r="D128" s="784"/>
      <c r="E128" s="784"/>
      <c r="F128" s="784"/>
    </row>
    <row r="129" spans="1:10" s="389" customFormat="1" x14ac:dyDescent="0.25">
      <c r="A129" s="2765" t="s">
        <v>248</v>
      </c>
      <c r="B129" s="2765"/>
      <c r="C129" s="2765"/>
      <c r="D129" s="2765"/>
      <c r="E129" s="2765"/>
      <c r="F129" s="2765"/>
      <c r="G129" s="2765"/>
      <c r="H129" s="2765"/>
      <c r="I129" s="2765"/>
      <c r="J129" s="2765"/>
    </row>
    <row r="130" spans="1:10" s="265" customFormat="1" x14ac:dyDescent="0.25">
      <c r="A130" s="390" t="s">
        <v>249</v>
      </c>
      <c r="B130" s="391" t="s">
        <v>250</v>
      </c>
      <c r="C130" s="788"/>
      <c r="D130" s="782"/>
      <c r="E130" s="782"/>
      <c r="F130" s="782"/>
      <c r="G130" s="782"/>
      <c r="H130" s="782"/>
      <c r="I130" s="782"/>
      <c r="J130" s="782"/>
    </row>
  </sheetData>
  <autoFilter ref="A4:C4"/>
  <mergeCells count="4">
    <mergeCell ref="A127:F127"/>
    <mergeCell ref="E3:G3"/>
    <mergeCell ref="H3:J3"/>
    <mergeCell ref="A129:J129"/>
  </mergeCells>
  <hyperlinks>
    <hyperlink ref="B130" r:id="rId1"/>
  </hyperlinks>
  <pageMargins left="0.7" right="0.7" top="0.75" bottom="0.75" header="0.3" footer="0.3"/>
  <pageSetup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2"/>
  <sheetViews>
    <sheetView zoomScaleNormal="100" workbookViewId="0">
      <selection activeCell="I8" sqref="I8"/>
    </sheetView>
  </sheetViews>
  <sheetFormatPr defaultRowHeight="15.75" x14ac:dyDescent="0.25"/>
  <cols>
    <col min="1" max="1" width="8.125" style="820" bestFit="1" customWidth="1"/>
    <col min="2" max="2" width="6.125" style="820" customWidth="1"/>
    <col min="3" max="3" width="11.25" style="820" customWidth="1"/>
    <col min="4" max="4" width="34.375" style="821" customWidth="1"/>
    <col min="5" max="5" width="9.25" style="821" customWidth="1"/>
    <col min="6" max="6" width="14.375" style="820" customWidth="1"/>
    <col min="7" max="16384" width="9" style="820"/>
  </cols>
  <sheetData>
    <row r="2" spans="2:6" x14ac:dyDescent="0.25">
      <c r="B2" s="820">
        <v>1</v>
      </c>
      <c r="D2" s="821">
        <f>+B2+1</f>
        <v>2</v>
      </c>
      <c r="E2" s="821">
        <f>+D2+1</f>
        <v>3</v>
      </c>
      <c r="F2" s="820">
        <v>4</v>
      </c>
    </row>
    <row r="3" spans="2:6" x14ac:dyDescent="0.25">
      <c r="B3" s="822"/>
      <c r="C3" s="822"/>
      <c r="D3" s="825"/>
      <c r="E3" s="826"/>
    </row>
    <row r="4" spans="2:6" x14ac:dyDescent="0.25">
      <c r="B4" s="827"/>
      <c r="C4" s="827"/>
      <c r="D4" s="823"/>
      <c r="E4" s="824"/>
    </row>
    <row r="5" spans="2:6" x14ac:dyDescent="0.25">
      <c r="B5" s="827"/>
      <c r="C5" s="827"/>
      <c r="D5" s="828"/>
      <c r="E5" s="828"/>
    </row>
    <row r="7" spans="2:6" x14ac:dyDescent="0.25">
      <c r="B7" s="829" t="s">
        <v>4</v>
      </c>
      <c r="C7" s="829"/>
      <c r="D7" s="830" t="s">
        <v>5</v>
      </c>
      <c r="E7" s="830"/>
      <c r="F7" s="831" t="s">
        <v>251</v>
      </c>
    </row>
    <row r="8" spans="2:6" x14ac:dyDescent="0.25">
      <c r="B8" s="1098" t="s">
        <v>8</v>
      </c>
      <c r="C8" s="1097" t="s">
        <v>303</v>
      </c>
      <c r="D8" s="1099" t="s">
        <v>9</v>
      </c>
      <c r="E8" s="1099"/>
    </row>
    <row r="9" spans="2:6" x14ac:dyDescent="0.25">
      <c r="B9" s="832" t="s">
        <v>10</v>
      </c>
      <c r="C9" s="834">
        <v>1</v>
      </c>
      <c r="D9" s="821" t="s">
        <v>11</v>
      </c>
      <c r="E9" s="835" t="s">
        <v>10</v>
      </c>
      <c r="F9" s="487" t="s">
        <v>264</v>
      </c>
    </row>
    <row r="10" spans="2:6" x14ac:dyDescent="0.25">
      <c r="B10" s="833" t="s">
        <v>12</v>
      </c>
      <c r="C10" s="834">
        <v>3</v>
      </c>
      <c r="D10" s="821" t="s">
        <v>13</v>
      </c>
      <c r="E10" s="836" t="s">
        <v>12</v>
      </c>
      <c r="F10" s="487" t="s">
        <v>265</v>
      </c>
    </row>
    <row r="11" spans="2:6" x14ac:dyDescent="0.25">
      <c r="B11" s="833" t="s">
        <v>14</v>
      </c>
      <c r="C11" s="834">
        <v>510</v>
      </c>
      <c r="D11" s="821" t="s">
        <v>15</v>
      </c>
      <c r="E11" s="836" t="s">
        <v>14</v>
      </c>
      <c r="F11" s="487" t="s">
        <v>267</v>
      </c>
    </row>
    <row r="12" spans="2:6" x14ac:dyDescent="0.25">
      <c r="B12" s="833" t="s">
        <v>16</v>
      </c>
      <c r="C12" s="834">
        <v>5</v>
      </c>
      <c r="D12" s="821" t="s">
        <v>17</v>
      </c>
      <c r="E12" s="836" t="s">
        <v>16</v>
      </c>
      <c r="F12" s="487" t="s">
        <v>265</v>
      </c>
    </row>
    <row r="13" spans="2:6" x14ac:dyDescent="0.25">
      <c r="B13" s="833" t="s">
        <v>18</v>
      </c>
      <c r="C13" s="834">
        <v>7</v>
      </c>
      <c r="D13" s="821" t="s">
        <v>19</v>
      </c>
      <c r="E13" s="836" t="s">
        <v>18</v>
      </c>
      <c r="F13" s="487" t="s">
        <v>266</v>
      </c>
    </row>
    <row r="14" spans="2:6" x14ac:dyDescent="0.25">
      <c r="B14" s="833" t="s">
        <v>20</v>
      </c>
      <c r="C14" s="834">
        <v>9</v>
      </c>
      <c r="D14" s="821" t="s">
        <v>21</v>
      </c>
      <c r="E14" s="836" t="s">
        <v>20</v>
      </c>
      <c r="F14" s="487" t="s">
        <v>265</v>
      </c>
    </row>
    <row r="15" spans="2:6" x14ac:dyDescent="0.25">
      <c r="B15" s="833" t="s">
        <v>22</v>
      </c>
      <c r="C15" s="834">
        <v>11</v>
      </c>
      <c r="D15" s="821" t="s">
        <v>23</v>
      </c>
      <c r="E15" s="836" t="s">
        <v>22</v>
      </c>
      <c r="F15" s="487" t="s">
        <v>265</v>
      </c>
    </row>
    <row r="16" spans="2:6" x14ac:dyDescent="0.25">
      <c r="B16" s="833" t="s">
        <v>24</v>
      </c>
      <c r="C16" s="834">
        <v>13</v>
      </c>
      <c r="D16" s="821" t="s">
        <v>25</v>
      </c>
      <c r="E16" s="836" t="s">
        <v>24</v>
      </c>
      <c r="F16" s="487" t="s">
        <v>267</v>
      </c>
    </row>
    <row r="17" spans="2:6" x14ac:dyDescent="0.25">
      <c r="B17" s="833" t="s">
        <v>26</v>
      </c>
      <c r="C17" s="834">
        <v>15</v>
      </c>
      <c r="D17" s="821" t="s">
        <v>685</v>
      </c>
      <c r="E17" s="836" t="s">
        <v>26</v>
      </c>
      <c r="F17" s="487" t="s">
        <v>265</v>
      </c>
    </row>
    <row r="18" spans="2:6" x14ac:dyDescent="0.25">
      <c r="B18" s="833" t="s">
        <v>27</v>
      </c>
      <c r="C18" s="834">
        <v>17</v>
      </c>
      <c r="D18" s="821" t="s">
        <v>28</v>
      </c>
      <c r="E18" s="836" t="s">
        <v>27</v>
      </c>
      <c r="F18" s="487" t="s">
        <v>265</v>
      </c>
    </row>
    <row r="19" spans="2:6" x14ac:dyDescent="0.25">
      <c r="B19" s="833" t="s">
        <v>29</v>
      </c>
      <c r="C19" s="834">
        <v>19</v>
      </c>
      <c r="D19" s="821" t="s">
        <v>901</v>
      </c>
      <c r="E19" s="836" t="s">
        <v>29</v>
      </c>
      <c r="F19" s="487" t="s">
        <v>268</v>
      </c>
    </row>
    <row r="20" spans="2:6" x14ac:dyDescent="0.25">
      <c r="B20" s="833" t="s">
        <v>30</v>
      </c>
      <c r="C20" s="834">
        <v>21</v>
      </c>
      <c r="D20" s="821" t="s">
        <v>31</v>
      </c>
      <c r="E20" s="836" t="s">
        <v>30</v>
      </c>
      <c r="F20" s="487" t="s">
        <v>265</v>
      </c>
    </row>
    <row r="21" spans="2:6" x14ac:dyDescent="0.25">
      <c r="B21" s="833" t="s">
        <v>32</v>
      </c>
      <c r="C21" s="834">
        <v>23</v>
      </c>
      <c r="D21" s="821" t="s">
        <v>33</v>
      </c>
      <c r="E21" s="836" t="s">
        <v>32</v>
      </c>
      <c r="F21" s="487" t="s">
        <v>268</v>
      </c>
    </row>
    <row r="22" spans="2:6" x14ac:dyDescent="0.25">
      <c r="B22" s="833" t="s">
        <v>34</v>
      </c>
      <c r="C22" s="834">
        <v>520</v>
      </c>
      <c r="D22" s="821" t="s">
        <v>35</v>
      </c>
      <c r="E22" s="836" t="s">
        <v>34</v>
      </c>
      <c r="F22" s="487" t="s">
        <v>264</v>
      </c>
    </row>
    <row r="23" spans="2:6" x14ac:dyDescent="0.25">
      <c r="B23" s="833" t="s">
        <v>36</v>
      </c>
      <c r="C23" s="834">
        <v>25</v>
      </c>
      <c r="D23" s="821" t="s">
        <v>37</v>
      </c>
      <c r="E23" s="836" t="s">
        <v>36</v>
      </c>
      <c r="F23" s="487" t="s">
        <v>268</v>
      </c>
    </row>
    <row r="24" spans="2:6" x14ac:dyDescent="0.25">
      <c r="B24" s="833" t="s">
        <v>38</v>
      </c>
      <c r="C24" s="834">
        <v>27</v>
      </c>
      <c r="D24" s="821" t="s">
        <v>39</v>
      </c>
      <c r="E24" s="836" t="s">
        <v>38</v>
      </c>
      <c r="F24" s="487" t="s">
        <v>266</v>
      </c>
    </row>
    <row r="25" spans="2:6" x14ac:dyDescent="0.25">
      <c r="B25" s="833" t="s">
        <v>40</v>
      </c>
      <c r="C25" s="834">
        <v>29</v>
      </c>
      <c r="D25" s="821" t="s">
        <v>41</v>
      </c>
      <c r="E25" s="836" t="s">
        <v>40</v>
      </c>
      <c r="F25" s="487" t="s">
        <v>265</v>
      </c>
    </row>
    <row r="26" spans="2:6" x14ac:dyDescent="0.25">
      <c r="B26" s="833" t="s">
        <v>42</v>
      </c>
      <c r="C26" s="834">
        <v>31</v>
      </c>
      <c r="D26" s="821" t="s">
        <v>43</v>
      </c>
      <c r="E26" s="836" t="s">
        <v>42</v>
      </c>
      <c r="F26" s="487" t="s">
        <v>266</v>
      </c>
    </row>
    <row r="27" spans="2:6" x14ac:dyDescent="0.25">
      <c r="B27" s="833" t="s">
        <v>44</v>
      </c>
      <c r="C27" s="834">
        <v>33</v>
      </c>
      <c r="D27" s="821" t="s">
        <v>45</v>
      </c>
      <c r="E27" s="836" t="s">
        <v>44</v>
      </c>
      <c r="F27" s="487" t="s">
        <v>268</v>
      </c>
    </row>
    <row r="28" spans="2:6" x14ac:dyDescent="0.25">
      <c r="B28" s="833" t="s">
        <v>46</v>
      </c>
      <c r="C28" s="834">
        <v>35</v>
      </c>
      <c r="D28" s="821" t="s">
        <v>47</v>
      </c>
      <c r="E28" s="836" t="s">
        <v>46</v>
      </c>
      <c r="F28" s="487" t="s">
        <v>266</v>
      </c>
    </row>
    <row r="29" spans="2:6" x14ac:dyDescent="0.25">
      <c r="B29" s="833" t="s">
        <v>48</v>
      </c>
      <c r="C29" s="834">
        <v>36</v>
      </c>
      <c r="D29" s="821" t="s">
        <v>269</v>
      </c>
      <c r="E29" s="836" t="s">
        <v>48</v>
      </c>
      <c r="F29" s="487" t="s">
        <v>265</v>
      </c>
    </row>
    <row r="30" spans="2:6" x14ac:dyDescent="0.25">
      <c r="B30" s="833" t="s">
        <v>50</v>
      </c>
      <c r="C30" s="834">
        <v>37</v>
      </c>
      <c r="D30" s="821" t="s">
        <v>51</v>
      </c>
      <c r="E30" s="836" t="s">
        <v>50</v>
      </c>
      <c r="F30" s="487" t="s">
        <v>265</v>
      </c>
    </row>
    <row r="31" spans="2:6" x14ac:dyDescent="0.25">
      <c r="B31" s="833" t="s">
        <v>52</v>
      </c>
      <c r="C31" s="834">
        <v>540</v>
      </c>
      <c r="D31" s="821" t="s">
        <v>53</v>
      </c>
      <c r="E31" s="836" t="s">
        <v>52</v>
      </c>
      <c r="F31" s="487" t="s">
        <v>264</v>
      </c>
    </row>
    <row r="32" spans="2:6" x14ac:dyDescent="0.25">
      <c r="B32" s="833" t="s">
        <v>54</v>
      </c>
      <c r="C32" s="834">
        <v>550</v>
      </c>
      <c r="D32" s="821" t="s">
        <v>55</v>
      </c>
      <c r="E32" s="836" t="s">
        <v>54</v>
      </c>
      <c r="F32" s="487" t="s">
        <v>266</v>
      </c>
    </row>
    <row r="33" spans="2:6" x14ac:dyDescent="0.25">
      <c r="B33" s="833" t="s">
        <v>56</v>
      </c>
      <c r="C33" s="834">
        <v>41</v>
      </c>
      <c r="D33" s="821" t="s">
        <v>57</v>
      </c>
      <c r="E33" s="836" t="s">
        <v>56</v>
      </c>
      <c r="F33" s="487" t="s">
        <v>267</v>
      </c>
    </row>
    <row r="34" spans="2:6" x14ac:dyDescent="0.25">
      <c r="B34" s="833" t="s">
        <v>58</v>
      </c>
      <c r="C34" s="834">
        <v>43</v>
      </c>
      <c r="D34" s="821" t="s">
        <v>59</v>
      </c>
      <c r="E34" s="836" t="s">
        <v>58</v>
      </c>
      <c r="F34" s="487" t="s">
        <v>265</v>
      </c>
    </row>
    <row r="35" spans="2:6" x14ac:dyDescent="0.25">
      <c r="B35" s="833" t="s">
        <v>60</v>
      </c>
      <c r="C35" s="834">
        <v>45</v>
      </c>
      <c r="D35" s="821" t="s">
        <v>61</v>
      </c>
      <c r="E35" s="836" t="s">
        <v>60</v>
      </c>
      <c r="F35" s="487" t="s">
        <v>267</v>
      </c>
    </row>
    <row r="36" spans="2:6" x14ac:dyDescent="0.25">
      <c r="B36" s="833" t="s">
        <v>62</v>
      </c>
      <c r="C36" s="834">
        <v>47</v>
      </c>
      <c r="D36" s="821" t="s">
        <v>63</v>
      </c>
      <c r="E36" s="836" t="s">
        <v>62</v>
      </c>
      <c r="F36" s="487" t="s">
        <v>266</v>
      </c>
    </row>
    <row r="37" spans="2:6" x14ac:dyDescent="0.25">
      <c r="B37" s="833" t="s">
        <v>64</v>
      </c>
      <c r="C37" s="834">
        <v>49</v>
      </c>
      <c r="D37" s="821" t="s">
        <v>65</v>
      </c>
      <c r="E37" s="836" t="s">
        <v>64</v>
      </c>
      <c r="F37" s="487" t="s">
        <v>265</v>
      </c>
    </row>
    <row r="38" spans="2:6" x14ac:dyDescent="0.25">
      <c r="B38" s="833" t="s">
        <v>66</v>
      </c>
      <c r="C38" s="834">
        <v>590</v>
      </c>
      <c r="D38" s="821" t="s">
        <v>67</v>
      </c>
      <c r="E38" s="836" t="s">
        <v>66</v>
      </c>
      <c r="F38" s="487" t="s">
        <v>268</v>
      </c>
    </row>
    <row r="39" spans="2:6" x14ac:dyDescent="0.25">
      <c r="B39" s="833" t="s">
        <v>68</v>
      </c>
      <c r="C39" s="834">
        <v>51</v>
      </c>
      <c r="D39" s="821" t="s">
        <v>69</v>
      </c>
      <c r="E39" s="836" t="s">
        <v>68</v>
      </c>
      <c r="F39" s="487" t="s">
        <v>264</v>
      </c>
    </row>
    <row r="40" spans="2:6" x14ac:dyDescent="0.25">
      <c r="B40" s="833" t="s">
        <v>70</v>
      </c>
      <c r="C40" s="834">
        <v>53</v>
      </c>
      <c r="D40" s="821" t="s">
        <v>71</v>
      </c>
      <c r="E40" s="836" t="s">
        <v>70</v>
      </c>
      <c r="F40" s="487" t="s">
        <v>266</v>
      </c>
    </row>
    <row r="41" spans="2:6" x14ac:dyDescent="0.25">
      <c r="B41" s="833" t="s">
        <v>72</v>
      </c>
      <c r="C41" s="834">
        <v>57</v>
      </c>
      <c r="D41" s="821" t="s">
        <v>73</v>
      </c>
      <c r="E41" s="836" t="s">
        <v>72</v>
      </c>
      <c r="F41" s="487" t="s">
        <v>267</v>
      </c>
    </row>
    <row r="42" spans="2:6" x14ac:dyDescent="0.25">
      <c r="B42" s="833" t="s">
        <v>74</v>
      </c>
      <c r="C42" s="834">
        <v>59</v>
      </c>
      <c r="D42" s="821" t="s">
        <v>648</v>
      </c>
      <c r="E42" s="836" t="s">
        <v>74</v>
      </c>
      <c r="F42" s="487" t="s">
        <v>267</v>
      </c>
    </row>
    <row r="43" spans="2:6" x14ac:dyDescent="0.25">
      <c r="B43" s="833" t="s">
        <v>76</v>
      </c>
      <c r="C43" s="834">
        <v>61</v>
      </c>
      <c r="D43" s="821" t="s">
        <v>77</v>
      </c>
      <c r="E43" s="836" t="s">
        <v>76</v>
      </c>
      <c r="F43" s="487" t="s">
        <v>268</v>
      </c>
    </row>
    <row r="44" spans="2:6" x14ac:dyDescent="0.25">
      <c r="B44" s="833" t="s">
        <v>78</v>
      </c>
      <c r="C44" s="834">
        <v>63</v>
      </c>
      <c r="D44" s="821" t="s">
        <v>79</v>
      </c>
      <c r="E44" s="836" t="s">
        <v>78</v>
      </c>
      <c r="F44" s="487" t="s">
        <v>266</v>
      </c>
    </row>
    <row r="45" spans="2:6" x14ac:dyDescent="0.25">
      <c r="B45" s="833" t="s">
        <v>80</v>
      </c>
      <c r="C45" s="834">
        <v>65</v>
      </c>
      <c r="D45" s="821" t="s">
        <v>81</v>
      </c>
      <c r="E45" s="836" t="s">
        <v>80</v>
      </c>
      <c r="F45" s="487" t="s">
        <v>264</v>
      </c>
    </row>
    <row r="46" spans="2:6" x14ac:dyDescent="0.25">
      <c r="B46" s="833" t="s">
        <v>82</v>
      </c>
      <c r="C46" s="834">
        <v>620</v>
      </c>
      <c r="D46" s="821" t="s">
        <v>83</v>
      </c>
      <c r="E46" s="836" t="s">
        <v>82</v>
      </c>
      <c r="F46" s="487" t="s">
        <v>265</v>
      </c>
    </row>
    <row r="47" spans="2:6" x14ac:dyDescent="0.25">
      <c r="B47" s="833" t="s">
        <v>84</v>
      </c>
      <c r="C47" s="834">
        <v>67</v>
      </c>
      <c r="D47" s="821" t="s">
        <v>85</v>
      </c>
      <c r="E47" s="836" t="s">
        <v>84</v>
      </c>
      <c r="F47" s="487" t="s">
        <v>267</v>
      </c>
    </row>
    <row r="48" spans="2:6" x14ac:dyDescent="0.25">
      <c r="B48" s="833" t="s">
        <v>86</v>
      </c>
      <c r="C48" s="834">
        <v>69</v>
      </c>
      <c r="D48" s="821" t="s">
        <v>87</v>
      </c>
      <c r="E48" s="836" t="s">
        <v>86</v>
      </c>
      <c r="F48" s="487" t="s">
        <v>267</v>
      </c>
    </row>
    <row r="49" spans="2:6" x14ac:dyDescent="0.25">
      <c r="B49" s="833" t="s">
        <v>88</v>
      </c>
      <c r="C49" s="834">
        <v>630</v>
      </c>
      <c r="D49" s="821" t="s">
        <v>89</v>
      </c>
      <c r="E49" s="836" t="s">
        <v>88</v>
      </c>
      <c r="F49" s="487" t="s">
        <v>268</v>
      </c>
    </row>
    <row r="50" spans="2:6" x14ac:dyDescent="0.25">
      <c r="B50" s="833" t="s">
        <v>90</v>
      </c>
      <c r="C50" s="834">
        <v>640</v>
      </c>
      <c r="D50" s="821" t="s">
        <v>91</v>
      </c>
      <c r="E50" s="836" t="s">
        <v>90</v>
      </c>
      <c r="F50" s="487" t="s">
        <v>268</v>
      </c>
    </row>
    <row r="51" spans="2:6" x14ac:dyDescent="0.25">
      <c r="B51" s="833" t="s">
        <v>92</v>
      </c>
      <c r="C51" s="834">
        <v>71</v>
      </c>
      <c r="D51" s="821" t="s">
        <v>93</v>
      </c>
      <c r="E51" s="836" t="s">
        <v>92</v>
      </c>
      <c r="F51" s="487" t="s">
        <v>264</v>
      </c>
    </row>
    <row r="52" spans="2:6" x14ac:dyDescent="0.25">
      <c r="B52" s="833" t="s">
        <v>94</v>
      </c>
      <c r="C52" s="834">
        <v>73</v>
      </c>
      <c r="D52" s="821" t="s">
        <v>95</v>
      </c>
      <c r="E52" s="836" t="s">
        <v>94</v>
      </c>
      <c r="F52" s="487" t="s">
        <v>266</v>
      </c>
    </row>
    <row r="53" spans="2:6" x14ac:dyDescent="0.25">
      <c r="B53" s="833" t="s">
        <v>96</v>
      </c>
      <c r="C53" s="834">
        <v>75</v>
      </c>
      <c r="D53" s="821" t="s">
        <v>97</v>
      </c>
      <c r="E53" s="836" t="s">
        <v>96</v>
      </c>
      <c r="F53" s="487" t="s">
        <v>268</v>
      </c>
    </row>
    <row r="54" spans="2:6" x14ac:dyDescent="0.25">
      <c r="B54" s="833" t="s">
        <v>98</v>
      </c>
      <c r="C54" s="834">
        <v>77</v>
      </c>
      <c r="D54" s="821" t="s">
        <v>99</v>
      </c>
      <c r="E54" s="836" t="s">
        <v>98</v>
      </c>
      <c r="F54" s="487" t="s">
        <v>267</v>
      </c>
    </row>
    <row r="55" spans="2:6" x14ac:dyDescent="0.25">
      <c r="B55" s="833" t="s">
        <v>100</v>
      </c>
      <c r="C55" s="834">
        <v>79</v>
      </c>
      <c r="D55" s="821" t="s">
        <v>101</v>
      </c>
      <c r="E55" s="836" t="s">
        <v>100</v>
      </c>
      <c r="F55" s="487" t="s">
        <v>264</v>
      </c>
    </row>
    <row r="56" spans="2:6" x14ac:dyDescent="0.25">
      <c r="B56" s="833" t="s">
        <v>102</v>
      </c>
      <c r="C56" s="834">
        <v>81</v>
      </c>
      <c r="D56" s="821" t="s">
        <v>103</v>
      </c>
      <c r="E56" s="836" t="s">
        <v>102</v>
      </c>
      <c r="F56" s="487" t="s">
        <v>265</v>
      </c>
    </row>
    <row r="57" spans="2:6" x14ac:dyDescent="0.25">
      <c r="B57" s="833" t="s">
        <v>104</v>
      </c>
      <c r="C57" s="834">
        <v>83</v>
      </c>
      <c r="D57" s="821" t="s">
        <v>105</v>
      </c>
      <c r="E57" s="836" t="s">
        <v>104</v>
      </c>
      <c r="F57" s="487" t="s">
        <v>264</v>
      </c>
    </row>
    <row r="58" spans="2:6" x14ac:dyDescent="0.25">
      <c r="B58" s="833" t="s">
        <v>106</v>
      </c>
      <c r="C58" s="834">
        <v>650</v>
      </c>
      <c r="D58" s="821" t="s">
        <v>107</v>
      </c>
      <c r="E58" s="836" t="s">
        <v>106</v>
      </c>
      <c r="F58" s="487" t="s">
        <v>266</v>
      </c>
    </row>
    <row r="59" spans="2:6" x14ac:dyDescent="0.25">
      <c r="B59" s="833" t="s">
        <v>108</v>
      </c>
      <c r="C59" s="834">
        <v>85</v>
      </c>
      <c r="D59" s="821" t="s">
        <v>109</v>
      </c>
      <c r="E59" s="836" t="s">
        <v>108</v>
      </c>
      <c r="F59" s="487" t="s">
        <v>267</v>
      </c>
    </row>
    <row r="60" spans="2:6" x14ac:dyDescent="0.25">
      <c r="B60" s="833" t="s">
        <v>110</v>
      </c>
      <c r="C60" s="834">
        <v>87</v>
      </c>
      <c r="D60" s="821" t="s">
        <v>111</v>
      </c>
      <c r="E60" s="836" t="s">
        <v>110</v>
      </c>
      <c r="F60" s="487" t="s">
        <v>266</v>
      </c>
    </row>
    <row r="61" spans="2:6" x14ac:dyDescent="0.25">
      <c r="B61" s="833" t="s">
        <v>112</v>
      </c>
      <c r="C61" s="834">
        <v>89</v>
      </c>
      <c r="D61" s="821" t="s">
        <v>113</v>
      </c>
      <c r="E61" s="836" t="s">
        <v>112</v>
      </c>
      <c r="F61" s="487" t="s">
        <v>265</v>
      </c>
    </row>
    <row r="62" spans="2:6" x14ac:dyDescent="0.25">
      <c r="B62" s="833" t="s">
        <v>114</v>
      </c>
      <c r="C62" s="834">
        <v>91</v>
      </c>
      <c r="D62" s="821" t="s">
        <v>115</v>
      </c>
      <c r="E62" s="836" t="s">
        <v>114</v>
      </c>
      <c r="F62" s="487" t="s">
        <v>265</v>
      </c>
    </row>
    <row r="63" spans="2:6" x14ac:dyDescent="0.25">
      <c r="B63" s="833" t="s">
        <v>116</v>
      </c>
      <c r="C63" s="834">
        <v>670</v>
      </c>
      <c r="D63" s="821" t="s">
        <v>117</v>
      </c>
      <c r="E63" s="836" t="s">
        <v>116</v>
      </c>
      <c r="F63" s="487" t="s">
        <v>266</v>
      </c>
    </row>
    <row r="64" spans="2:6" x14ac:dyDescent="0.25">
      <c r="B64" s="833" t="s">
        <v>118</v>
      </c>
      <c r="C64" s="834">
        <v>93</v>
      </c>
      <c r="D64" s="821" t="s">
        <v>119</v>
      </c>
      <c r="E64" s="836" t="s">
        <v>118</v>
      </c>
      <c r="F64" s="487" t="s">
        <v>264</v>
      </c>
    </row>
    <row r="65" spans="2:6" x14ac:dyDescent="0.25">
      <c r="B65" s="833" t="s">
        <v>120</v>
      </c>
      <c r="C65" s="834">
        <v>95</v>
      </c>
      <c r="D65" s="821" t="s">
        <v>121</v>
      </c>
      <c r="E65" s="836" t="s">
        <v>120</v>
      </c>
      <c r="F65" s="487" t="s">
        <v>264</v>
      </c>
    </row>
    <row r="66" spans="2:6" x14ac:dyDescent="0.25">
      <c r="B66" s="833" t="s">
        <v>122</v>
      </c>
      <c r="C66" s="834">
        <v>97</v>
      </c>
      <c r="D66" s="821" t="s">
        <v>123</v>
      </c>
      <c r="E66" s="836" t="s">
        <v>122</v>
      </c>
      <c r="F66" s="487" t="s">
        <v>266</v>
      </c>
    </row>
    <row r="67" spans="2:6" x14ac:dyDescent="0.25">
      <c r="B67" s="833" t="s">
        <v>124</v>
      </c>
      <c r="C67" s="834">
        <v>99</v>
      </c>
      <c r="D67" s="821" t="s">
        <v>125</v>
      </c>
      <c r="E67" s="836" t="s">
        <v>124</v>
      </c>
      <c r="F67" s="487" t="s">
        <v>267</v>
      </c>
    </row>
    <row r="68" spans="2:6" x14ac:dyDescent="0.25">
      <c r="B68" s="833" t="s">
        <v>126</v>
      </c>
      <c r="C68" s="834">
        <v>101</v>
      </c>
      <c r="D68" s="821" t="s">
        <v>127</v>
      </c>
      <c r="E68" s="836" t="s">
        <v>126</v>
      </c>
      <c r="F68" s="487" t="s">
        <v>266</v>
      </c>
    </row>
    <row r="69" spans="2:6" x14ac:dyDescent="0.25">
      <c r="B69" s="833" t="s">
        <v>128</v>
      </c>
      <c r="C69" s="834">
        <v>103</v>
      </c>
      <c r="D69" s="821" t="s">
        <v>129</v>
      </c>
      <c r="E69" s="836" t="s">
        <v>128</v>
      </c>
      <c r="F69" s="487" t="s">
        <v>266</v>
      </c>
    </row>
    <row r="70" spans="2:6" x14ac:dyDescent="0.25">
      <c r="B70" s="833" t="s">
        <v>130</v>
      </c>
      <c r="C70" s="834">
        <v>105</v>
      </c>
      <c r="D70" s="821" t="s">
        <v>131</v>
      </c>
      <c r="E70" s="836" t="s">
        <v>130</v>
      </c>
      <c r="F70" s="487" t="s">
        <v>268</v>
      </c>
    </row>
    <row r="71" spans="2:6" x14ac:dyDescent="0.25">
      <c r="B71" s="833" t="s">
        <v>132</v>
      </c>
      <c r="C71" s="834">
        <v>107</v>
      </c>
      <c r="D71" s="821" t="s">
        <v>133</v>
      </c>
      <c r="E71" s="836" t="s">
        <v>132</v>
      </c>
      <c r="F71" s="487" t="s">
        <v>267</v>
      </c>
    </row>
    <row r="72" spans="2:6" x14ac:dyDescent="0.25">
      <c r="B72" s="833" t="s">
        <v>134</v>
      </c>
      <c r="C72" s="834">
        <v>109</v>
      </c>
      <c r="D72" s="821" t="s">
        <v>135</v>
      </c>
      <c r="E72" s="836" t="s">
        <v>134</v>
      </c>
      <c r="F72" s="487" t="s">
        <v>267</v>
      </c>
    </row>
    <row r="73" spans="2:6" x14ac:dyDescent="0.25">
      <c r="B73" s="833" t="s">
        <v>136</v>
      </c>
      <c r="C73" s="834">
        <v>111</v>
      </c>
      <c r="D73" s="821" t="s">
        <v>137</v>
      </c>
      <c r="E73" s="836" t="s">
        <v>136</v>
      </c>
      <c r="F73" s="487" t="s">
        <v>266</v>
      </c>
    </row>
    <row r="74" spans="2:6" x14ac:dyDescent="0.25">
      <c r="B74" s="833" t="s">
        <v>138</v>
      </c>
      <c r="C74" s="834">
        <v>680</v>
      </c>
      <c r="D74" s="821" t="s">
        <v>139</v>
      </c>
      <c r="E74" s="836" t="s">
        <v>138</v>
      </c>
      <c r="F74" s="487" t="s">
        <v>265</v>
      </c>
    </row>
    <row r="75" spans="2:6" x14ac:dyDescent="0.25">
      <c r="B75" s="833" t="s">
        <v>140</v>
      </c>
      <c r="C75" s="834">
        <v>113</v>
      </c>
      <c r="D75" s="821" t="s">
        <v>141</v>
      </c>
      <c r="E75" s="836" t="s">
        <v>140</v>
      </c>
      <c r="F75" s="487" t="s">
        <v>267</v>
      </c>
    </row>
    <row r="76" spans="2:6" x14ac:dyDescent="0.25">
      <c r="B76" s="833" t="s">
        <v>142</v>
      </c>
      <c r="C76" s="834">
        <v>683</v>
      </c>
      <c r="D76" s="821" t="s">
        <v>143</v>
      </c>
      <c r="E76" s="836" t="s">
        <v>142</v>
      </c>
      <c r="F76" s="487" t="s">
        <v>267</v>
      </c>
    </row>
    <row r="77" spans="2:6" x14ac:dyDescent="0.25">
      <c r="B77" s="833" t="s">
        <v>144</v>
      </c>
      <c r="C77" s="834">
        <v>685</v>
      </c>
      <c r="D77" s="821" t="s">
        <v>145</v>
      </c>
      <c r="E77" s="836" t="s">
        <v>144</v>
      </c>
      <c r="F77" s="487" t="s">
        <v>267</v>
      </c>
    </row>
    <row r="78" spans="2:6" x14ac:dyDescent="0.25">
      <c r="B78" s="833" t="s">
        <v>146</v>
      </c>
      <c r="C78" s="834">
        <v>115</v>
      </c>
      <c r="D78" s="821" t="s">
        <v>147</v>
      </c>
      <c r="E78" s="836" t="s">
        <v>146</v>
      </c>
      <c r="F78" s="487" t="s">
        <v>264</v>
      </c>
    </row>
    <row r="79" spans="2:6" x14ac:dyDescent="0.25">
      <c r="B79" s="833" t="s">
        <v>148</v>
      </c>
      <c r="C79" s="834">
        <v>117</v>
      </c>
      <c r="D79" s="821" t="s">
        <v>149</v>
      </c>
      <c r="E79" s="836" t="s">
        <v>148</v>
      </c>
      <c r="F79" s="487" t="s">
        <v>265</v>
      </c>
    </row>
    <row r="80" spans="2:6" x14ac:dyDescent="0.25">
      <c r="B80" s="833" t="s">
        <v>150</v>
      </c>
      <c r="C80" s="834">
        <v>119</v>
      </c>
      <c r="D80" s="821" t="s">
        <v>151</v>
      </c>
      <c r="E80" s="836" t="s">
        <v>150</v>
      </c>
      <c r="F80" s="487" t="s">
        <v>266</v>
      </c>
    </row>
    <row r="81" spans="2:6" x14ac:dyDescent="0.25">
      <c r="B81" s="833" t="s">
        <v>152</v>
      </c>
      <c r="C81" s="834">
        <v>121</v>
      </c>
      <c r="D81" s="821" t="s">
        <v>153</v>
      </c>
      <c r="E81" s="836" t="s">
        <v>152</v>
      </c>
      <c r="F81" s="487" t="s">
        <v>268</v>
      </c>
    </row>
    <row r="82" spans="2:6" x14ac:dyDescent="0.25">
      <c r="B82" s="833" t="s">
        <v>154</v>
      </c>
      <c r="C82" s="834">
        <v>125</v>
      </c>
      <c r="D82" s="821" t="s">
        <v>155</v>
      </c>
      <c r="E82" s="836" t="s">
        <v>154</v>
      </c>
      <c r="F82" s="487" t="s">
        <v>265</v>
      </c>
    </row>
    <row r="83" spans="2:6" x14ac:dyDescent="0.25">
      <c r="B83" s="833" t="s">
        <v>156</v>
      </c>
      <c r="C83" s="834">
        <v>127</v>
      </c>
      <c r="D83" s="821" t="s">
        <v>157</v>
      </c>
      <c r="E83" s="836" t="s">
        <v>156</v>
      </c>
      <c r="F83" s="487" t="s">
        <v>266</v>
      </c>
    </row>
    <row r="84" spans="2:6" x14ac:dyDescent="0.25">
      <c r="B84" s="837" t="s">
        <v>158</v>
      </c>
      <c r="C84" s="838">
        <v>700</v>
      </c>
      <c r="D84" s="821" t="s">
        <v>159</v>
      </c>
      <c r="E84" s="838" t="s">
        <v>158</v>
      </c>
      <c r="F84" s="487" t="s">
        <v>264</v>
      </c>
    </row>
    <row r="85" spans="2:6" x14ac:dyDescent="0.25">
      <c r="B85" s="833" t="s">
        <v>160</v>
      </c>
      <c r="C85" s="834">
        <v>710</v>
      </c>
      <c r="D85" s="821" t="s">
        <v>161</v>
      </c>
      <c r="E85" s="836" t="s">
        <v>160</v>
      </c>
      <c r="F85" s="487" t="s">
        <v>264</v>
      </c>
    </row>
    <row r="86" spans="2:6" x14ac:dyDescent="0.25">
      <c r="B86" s="833" t="s">
        <v>162</v>
      </c>
      <c r="C86" s="834">
        <v>131</v>
      </c>
      <c r="D86" s="821" t="s">
        <v>163</v>
      </c>
      <c r="E86" s="836" t="s">
        <v>162</v>
      </c>
      <c r="F86" s="487" t="s">
        <v>264</v>
      </c>
    </row>
    <row r="87" spans="2:6" x14ac:dyDescent="0.25">
      <c r="B87" s="833" t="s">
        <v>164</v>
      </c>
      <c r="C87" s="834">
        <v>133</v>
      </c>
      <c r="D87" s="821" t="s">
        <v>165</v>
      </c>
      <c r="E87" s="836" t="s">
        <v>164</v>
      </c>
      <c r="F87" s="487" t="s">
        <v>266</v>
      </c>
    </row>
    <row r="88" spans="2:6" x14ac:dyDescent="0.25">
      <c r="B88" s="833" t="s">
        <v>166</v>
      </c>
      <c r="C88" s="834">
        <v>720</v>
      </c>
      <c r="D88" s="821" t="s">
        <v>167</v>
      </c>
      <c r="E88" s="836" t="s">
        <v>166</v>
      </c>
      <c r="F88" s="487" t="s">
        <v>268</v>
      </c>
    </row>
    <row r="89" spans="2:6" x14ac:dyDescent="0.25">
      <c r="B89" s="833" t="s">
        <v>168</v>
      </c>
      <c r="C89" s="834">
        <v>135</v>
      </c>
      <c r="D89" s="821" t="s">
        <v>169</v>
      </c>
      <c r="E89" s="836" t="s">
        <v>168</v>
      </c>
      <c r="F89" s="487" t="s">
        <v>266</v>
      </c>
    </row>
    <row r="90" spans="2:6" x14ac:dyDescent="0.25">
      <c r="B90" s="833" t="s">
        <v>170</v>
      </c>
      <c r="C90" s="834">
        <v>137</v>
      </c>
      <c r="D90" s="821" t="s">
        <v>171</v>
      </c>
      <c r="E90" s="836" t="s">
        <v>170</v>
      </c>
      <c r="F90" s="487" t="s">
        <v>267</v>
      </c>
    </row>
    <row r="91" spans="2:6" x14ac:dyDescent="0.25">
      <c r="B91" s="833" t="s">
        <v>172</v>
      </c>
      <c r="C91" s="834">
        <v>139</v>
      </c>
      <c r="D91" s="821" t="s">
        <v>173</v>
      </c>
      <c r="E91" s="836" t="s">
        <v>172</v>
      </c>
      <c r="F91" s="487" t="s">
        <v>267</v>
      </c>
    </row>
    <row r="92" spans="2:6" x14ac:dyDescent="0.25">
      <c r="B92" s="833" t="s">
        <v>174</v>
      </c>
      <c r="C92" s="834">
        <v>141</v>
      </c>
      <c r="D92" s="821" t="s">
        <v>175</v>
      </c>
      <c r="E92" s="836" t="s">
        <v>174</v>
      </c>
      <c r="F92" s="487" t="s">
        <v>268</v>
      </c>
    </row>
    <row r="93" spans="2:6" x14ac:dyDescent="0.25">
      <c r="B93" s="833" t="s">
        <v>176</v>
      </c>
      <c r="C93" s="834">
        <v>730</v>
      </c>
      <c r="D93" s="821" t="s">
        <v>177</v>
      </c>
      <c r="E93" s="836" t="s">
        <v>176</v>
      </c>
      <c r="F93" s="487" t="s">
        <v>266</v>
      </c>
    </row>
    <row r="94" spans="2:6" x14ac:dyDescent="0.25">
      <c r="B94" s="833" t="s">
        <v>178</v>
      </c>
      <c r="C94" s="834">
        <v>143</v>
      </c>
      <c r="D94" s="821" t="s">
        <v>179</v>
      </c>
      <c r="E94" s="836" t="s">
        <v>178</v>
      </c>
      <c r="F94" s="487" t="s">
        <v>265</v>
      </c>
    </row>
    <row r="95" spans="2:6" x14ac:dyDescent="0.25">
      <c r="B95" s="833" t="s">
        <v>180</v>
      </c>
      <c r="C95" s="834">
        <v>740</v>
      </c>
      <c r="D95" s="821" t="s">
        <v>181</v>
      </c>
      <c r="E95" s="836" t="s">
        <v>180</v>
      </c>
      <c r="F95" s="487" t="s">
        <v>264</v>
      </c>
    </row>
    <row r="96" spans="2:6" x14ac:dyDescent="0.25">
      <c r="B96" s="833" t="s">
        <v>182</v>
      </c>
      <c r="C96" s="834">
        <v>145</v>
      </c>
      <c r="D96" s="821" t="s">
        <v>183</v>
      </c>
      <c r="E96" s="836" t="s">
        <v>182</v>
      </c>
      <c r="F96" s="487" t="s">
        <v>266</v>
      </c>
    </row>
    <row r="97" spans="2:6" x14ac:dyDescent="0.25">
      <c r="B97" s="833" t="s">
        <v>184</v>
      </c>
      <c r="C97" s="834">
        <v>147</v>
      </c>
      <c r="D97" s="821" t="s">
        <v>185</v>
      </c>
      <c r="E97" s="836" t="s">
        <v>184</v>
      </c>
      <c r="F97" s="487" t="s">
        <v>266</v>
      </c>
    </row>
    <row r="98" spans="2:6" x14ac:dyDescent="0.25">
      <c r="B98" s="833" t="s">
        <v>186</v>
      </c>
      <c r="C98" s="834">
        <v>149</v>
      </c>
      <c r="D98" s="821" t="s">
        <v>187</v>
      </c>
      <c r="E98" s="836" t="s">
        <v>186</v>
      </c>
      <c r="F98" s="487" t="s">
        <v>264</v>
      </c>
    </row>
    <row r="99" spans="2:6" x14ac:dyDescent="0.25">
      <c r="B99" s="833" t="s">
        <v>188</v>
      </c>
      <c r="C99" s="834">
        <v>153</v>
      </c>
      <c r="D99" s="821" t="s">
        <v>189</v>
      </c>
      <c r="E99" s="836" t="s">
        <v>188</v>
      </c>
      <c r="F99" s="487" t="s">
        <v>267</v>
      </c>
    </row>
    <row r="100" spans="2:6" x14ac:dyDescent="0.25">
      <c r="B100" s="833" t="s">
        <v>190</v>
      </c>
      <c r="C100" s="834">
        <v>155</v>
      </c>
      <c r="D100" s="821" t="s">
        <v>191</v>
      </c>
      <c r="E100" s="836" t="s">
        <v>190</v>
      </c>
      <c r="F100" s="487" t="s">
        <v>268</v>
      </c>
    </row>
    <row r="101" spans="2:6" x14ac:dyDescent="0.25">
      <c r="B101" s="833" t="s">
        <v>192</v>
      </c>
      <c r="C101" s="834">
        <v>750</v>
      </c>
      <c r="D101" s="821" t="s">
        <v>193</v>
      </c>
      <c r="E101" s="836" t="s">
        <v>192</v>
      </c>
      <c r="F101" s="487" t="s">
        <v>268</v>
      </c>
    </row>
    <row r="102" spans="2:6" x14ac:dyDescent="0.25">
      <c r="B102" s="833" t="s">
        <v>194</v>
      </c>
      <c r="C102" s="834">
        <v>157</v>
      </c>
      <c r="D102" s="821" t="s">
        <v>195</v>
      </c>
      <c r="E102" s="836" t="s">
        <v>194</v>
      </c>
      <c r="F102" s="487" t="s">
        <v>267</v>
      </c>
    </row>
    <row r="103" spans="2:6" x14ac:dyDescent="0.25">
      <c r="B103" s="833" t="s">
        <v>196</v>
      </c>
      <c r="C103" s="834">
        <v>760</v>
      </c>
      <c r="D103" s="821" t="s">
        <v>197</v>
      </c>
      <c r="E103" s="836" t="s">
        <v>196</v>
      </c>
      <c r="F103" s="487" t="s">
        <v>266</v>
      </c>
    </row>
    <row r="104" spans="2:6" x14ac:dyDescent="0.25">
      <c r="B104" s="833" t="s">
        <v>198</v>
      </c>
      <c r="C104" s="834">
        <v>159</v>
      </c>
      <c r="D104" s="821" t="s">
        <v>272</v>
      </c>
      <c r="E104" s="836" t="s">
        <v>198</v>
      </c>
      <c r="F104" s="487" t="s">
        <v>266</v>
      </c>
    </row>
    <row r="105" spans="2:6" x14ac:dyDescent="0.25">
      <c r="B105" s="833" t="s">
        <v>200</v>
      </c>
      <c r="C105" s="834">
        <v>770</v>
      </c>
      <c r="D105" s="821" t="s">
        <v>201</v>
      </c>
      <c r="E105" s="836" t="s">
        <v>200</v>
      </c>
      <c r="F105" s="487" t="s">
        <v>265</v>
      </c>
    </row>
    <row r="106" spans="2:6" x14ac:dyDescent="0.25">
      <c r="B106" s="833" t="s">
        <v>202</v>
      </c>
      <c r="C106" s="834">
        <v>161</v>
      </c>
      <c r="D106" s="821" t="s">
        <v>203</v>
      </c>
      <c r="E106" s="836" t="s">
        <v>202</v>
      </c>
      <c r="F106" s="487" t="s">
        <v>265</v>
      </c>
    </row>
    <row r="107" spans="2:6" x14ac:dyDescent="0.25">
      <c r="B107" s="833" t="s">
        <v>204</v>
      </c>
      <c r="C107" s="834">
        <v>163</v>
      </c>
      <c r="D107" s="821" t="s">
        <v>205</v>
      </c>
      <c r="E107" s="836" t="s">
        <v>204</v>
      </c>
      <c r="F107" s="487" t="s">
        <v>265</v>
      </c>
    </row>
    <row r="108" spans="2:6" x14ac:dyDescent="0.25">
      <c r="B108" s="833" t="s">
        <v>206</v>
      </c>
      <c r="C108" s="834">
        <v>165</v>
      </c>
      <c r="D108" s="821" t="s">
        <v>207</v>
      </c>
      <c r="E108" s="836" t="s">
        <v>206</v>
      </c>
      <c r="F108" s="487" t="s">
        <v>268</v>
      </c>
    </row>
    <row r="109" spans="2:6" x14ac:dyDescent="0.25">
      <c r="B109" s="833" t="s">
        <v>208</v>
      </c>
      <c r="C109" s="834">
        <v>167</v>
      </c>
      <c r="D109" s="821" t="s">
        <v>209</v>
      </c>
      <c r="E109" s="836" t="s">
        <v>208</v>
      </c>
      <c r="F109" s="487" t="s">
        <v>268</v>
      </c>
    </row>
    <row r="110" spans="2:6" x14ac:dyDescent="0.25">
      <c r="B110" s="833" t="s">
        <v>210</v>
      </c>
      <c r="C110" s="834">
        <v>169</v>
      </c>
      <c r="D110" s="821" t="s">
        <v>211</v>
      </c>
      <c r="E110" s="836" t="s">
        <v>210</v>
      </c>
      <c r="F110" s="487" t="s">
        <v>267</v>
      </c>
    </row>
    <row r="111" spans="2:6" x14ac:dyDescent="0.25">
      <c r="B111" s="833" t="s">
        <v>212</v>
      </c>
      <c r="C111" s="834">
        <v>171</v>
      </c>
      <c r="D111" s="821" t="s">
        <v>213</v>
      </c>
      <c r="E111" s="836" t="s">
        <v>212</v>
      </c>
      <c r="F111" s="487" t="s">
        <v>265</v>
      </c>
    </row>
    <row r="112" spans="2:6" x14ac:dyDescent="0.25">
      <c r="B112" s="833" t="s">
        <v>214</v>
      </c>
      <c r="C112" s="834">
        <v>173</v>
      </c>
      <c r="D112" s="821" t="s">
        <v>215</v>
      </c>
      <c r="E112" s="836" t="s">
        <v>214</v>
      </c>
      <c r="F112" s="487" t="s">
        <v>268</v>
      </c>
    </row>
    <row r="113" spans="2:6" x14ac:dyDescent="0.25">
      <c r="B113" s="833" t="s">
        <v>216</v>
      </c>
      <c r="C113" s="834">
        <v>175</v>
      </c>
      <c r="D113" s="821" t="s">
        <v>217</v>
      </c>
      <c r="E113" s="836" t="s">
        <v>216</v>
      </c>
      <c r="F113" s="487" t="s">
        <v>264</v>
      </c>
    </row>
    <row r="114" spans="2:6" x14ac:dyDescent="0.25">
      <c r="B114" s="833" t="s">
        <v>218</v>
      </c>
      <c r="C114" s="834">
        <v>177</v>
      </c>
      <c r="D114" s="821" t="s">
        <v>219</v>
      </c>
      <c r="E114" s="836" t="s">
        <v>218</v>
      </c>
      <c r="F114" s="487" t="s">
        <v>267</v>
      </c>
    </row>
    <row r="115" spans="2:6" x14ac:dyDescent="0.25">
      <c r="B115" s="833" t="s">
        <v>220</v>
      </c>
      <c r="C115" s="834">
        <v>179</v>
      </c>
      <c r="D115" s="821" t="s">
        <v>221</v>
      </c>
      <c r="E115" s="836" t="s">
        <v>220</v>
      </c>
      <c r="F115" s="487" t="s">
        <v>267</v>
      </c>
    </row>
    <row r="116" spans="2:6" x14ac:dyDescent="0.25">
      <c r="B116" s="833" t="s">
        <v>222</v>
      </c>
      <c r="C116" s="834">
        <v>800</v>
      </c>
      <c r="D116" s="821" t="s">
        <v>223</v>
      </c>
      <c r="E116" s="836" t="s">
        <v>222</v>
      </c>
      <c r="F116" s="487" t="s">
        <v>264</v>
      </c>
    </row>
    <row r="117" spans="2:6" x14ac:dyDescent="0.25">
      <c r="B117" s="833" t="s">
        <v>224</v>
      </c>
      <c r="C117" s="834">
        <v>181</v>
      </c>
      <c r="D117" s="821" t="s">
        <v>225</v>
      </c>
      <c r="E117" s="836" t="s">
        <v>224</v>
      </c>
      <c r="F117" s="487" t="s">
        <v>264</v>
      </c>
    </row>
    <row r="118" spans="2:6" x14ac:dyDescent="0.25">
      <c r="B118" s="833" t="s">
        <v>226</v>
      </c>
      <c r="C118" s="834">
        <v>183</v>
      </c>
      <c r="D118" s="821" t="s">
        <v>227</v>
      </c>
      <c r="E118" s="836" t="s">
        <v>226</v>
      </c>
      <c r="F118" s="487" t="s">
        <v>264</v>
      </c>
    </row>
    <row r="119" spans="2:6" x14ac:dyDescent="0.25">
      <c r="B119" s="833" t="s">
        <v>228</v>
      </c>
      <c r="C119" s="834">
        <v>185</v>
      </c>
      <c r="D119" s="821" t="s">
        <v>229</v>
      </c>
      <c r="E119" s="836" t="s">
        <v>228</v>
      </c>
      <c r="F119" s="487" t="s">
        <v>268</v>
      </c>
    </row>
    <row r="120" spans="2:6" x14ac:dyDescent="0.25">
      <c r="B120" s="833" t="s">
        <v>230</v>
      </c>
      <c r="C120" s="834">
        <v>810</v>
      </c>
      <c r="D120" s="821" t="s">
        <v>231</v>
      </c>
      <c r="E120" s="836" t="s">
        <v>230</v>
      </c>
      <c r="F120" s="487" t="s">
        <v>264</v>
      </c>
    </row>
    <row r="121" spans="2:6" x14ac:dyDescent="0.25">
      <c r="B121" s="833" t="s">
        <v>232</v>
      </c>
      <c r="C121" s="834">
        <v>187</v>
      </c>
      <c r="D121" s="821" t="s">
        <v>233</v>
      </c>
      <c r="E121" s="836" t="s">
        <v>232</v>
      </c>
      <c r="F121" s="487" t="s">
        <v>267</v>
      </c>
    </row>
    <row r="122" spans="2:6" x14ac:dyDescent="0.25">
      <c r="B122" s="833" t="s">
        <v>234</v>
      </c>
      <c r="C122" s="834">
        <v>191</v>
      </c>
      <c r="D122" s="821" t="s">
        <v>235</v>
      </c>
      <c r="E122" s="836" t="s">
        <v>234</v>
      </c>
      <c r="F122" s="487" t="s">
        <v>268</v>
      </c>
    </row>
    <row r="123" spans="2:6" x14ac:dyDescent="0.25">
      <c r="B123" s="833" t="s">
        <v>236</v>
      </c>
      <c r="C123" s="834">
        <v>193</v>
      </c>
      <c r="D123" s="821" t="s">
        <v>237</v>
      </c>
      <c r="E123" s="836" t="s">
        <v>236</v>
      </c>
      <c r="F123" s="487" t="s">
        <v>266</v>
      </c>
    </row>
    <row r="124" spans="2:6" x14ac:dyDescent="0.25">
      <c r="B124" s="833" t="s">
        <v>238</v>
      </c>
      <c r="C124" s="834">
        <v>830</v>
      </c>
      <c r="D124" s="821" t="s">
        <v>239</v>
      </c>
      <c r="E124" s="836" t="s">
        <v>238</v>
      </c>
      <c r="F124" s="487" t="s">
        <v>264</v>
      </c>
    </row>
    <row r="125" spans="2:6" x14ac:dyDescent="0.25">
      <c r="B125" s="833" t="s">
        <v>240</v>
      </c>
      <c r="C125" s="834">
        <v>840</v>
      </c>
      <c r="D125" s="821" t="s">
        <v>241</v>
      </c>
      <c r="E125" s="836" t="s">
        <v>240</v>
      </c>
      <c r="F125" s="487" t="s">
        <v>267</v>
      </c>
    </row>
    <row r="126" spans="2:6" x14ac:dyDescent="0.25">
      <c r="B126" s="833" t="s">
        <v>242</v>
      </c>
      <c r="C126" s="834">
        <v>195</v>
      </c>
      <c r="D126" s="821" t="s">
        <v>243</v>
      </c>
      <c r="E126" s="836" t="s">
        <v>242</v>
      </c>
      <c r="F126" s="487" t="s">
        <v>268</v>
      </c>
    </row>
    <row r="127" spans="2:6" x14ac:dyDescent="0.25">
      <c r="B127" s="833" t="s">
        <v>244</v>
      </c>
      <c r="C127" s="834">
        <v>197</v>
      </c>
      <c r="D127" s="821" t="s">
        <v>245</v>
      </c>
      <c r="E127" s="836" t="s">
        <v>244</v>
      </c>
      <c r="F127" s="487" t="s">
        <v>268</v>
      </c>
    </row>
    <row r="128" spans="2:6" x14ac:dyDescent="0.25">
      <c r="B128" s="839" t="s">
        <v>246</v>
      </c>
      <c r="C128" s="840">
        <v>199</v>
      </c>
      <c r="D128" s="841" t="s">
        <v>310</v>
      </c>
      <c r="E128" s="842" t="s">
        <v>246</v>
      </c>
      <c r="F128" s="487" t="s">
        <v>264</v>
      </c>
    </row>
    <row r="129" spans="2:5" x14ac:dyDescent="0.25">
      <c r="B129" s="2815" t="s">
        <v>792</v>
      </c>
      <c r="C129" s="2815"/>
      <c r="D129" s="2815"/>
      <c r="E129" s="2815"/>
    </row>
    <row r="130" spans="2:5" x14ac:dyDescent="0.25">
      <c r="B130" s="832"/>
      <c r="C130" s="832"/>
    </row>
    <row r="131" spans="2:5" x14ac:dyDescent="0.25">
      <c r="B131" s="2816" t="s">
        <v>248</v>
      </c>
      <c r="C131" s="2816"/>
      <c r="D131" s="2816"/>
      <c r="E131" s="2816"/>
    </row>
    <row r="132" spans="2:5" x14ac:dyDescent="0.25">
      <c r="B132" s="843" t="s">
        <v>249</v>
      </c>
      <c r="C132" s="843"/>
      <c r="D132" s="391" t="s">
        <v>250</v>
      </c>
      <c r="E132" s="844"/>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I23" sqref="I23"/>
    </sheetView>
  </sheetViews>
  <sheetFormatPr defaultRowHeight="15.75" x14ac:dyDescent="0.25"/>
  <sheetData>
    <row r="1" spans="1:4" x14ac:dyDescent="0.25">
      <c r="A1" t="s">
        <v>583</v>
      </c>
      <c r="D1" t="s">
        <v>584</v>
      </c>
    </row>
    <row r="2" spans="1:4" x14ac:dyDescent="0.25">
      <c r="D2" t="s">
        <v>585</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8" sqref="C8"/>
    </sheetView>
  </sheetViews>
  <sheetFormatPr defaultRowHeight="15.75" x14ac:dyDescent="0.25"/>
  <sheetData>
    <row r="1" spans="1:1" x14ac:dyDescent="0.25">
      <c r="A1" t="s">
        <v>266</v>
      </c>
    </row>
    <row r="2" spans="1:1" x14ac:dyDescent="0.25">
      <c r="A2" t="s">
        <v>264</v>
      </c>
    </row>
    <row r="3" spans="1:1" x14ac:dyDescent="0.25">
      <c r="A3" t="s">
        <v>267</v>
      </c>
    </row>
    <row r="4" spans="1:1" x14ac:dyDescent="0.25">
      <c r="A4" t="s">
        <v>265</v>
      </c>
    </row>
    <row r="5" spans="1:1" x14ac:dyDescent="0.25">
      <c r="A5" t="s">
        <v>268</v>
      </c>
    </row>
    <row r="6" spans="1:1" x14ac:dyDescent="0.25">
      <c r="A6" t="s">
        <v>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L135"/>
  <sheetViews>
    <sheetView workbookViewId="0">
      <pane ySplit="4" topLeftCell="A5" activePane="bottomLeft" state="frozen"/>
      <selection pane="bottomLeft" activeCell="A5" sqref="A5:XFD124"/>
    </sheetView>
  </sheetViews>
  <sheetFormatPr defaultRowHeight="15.75" x14ac:dyDescent="0.25"/>
  <cols>
    <col min="1" max="1" width="8.75" style="369" customWidth="1"/>
    <col min="2" max="2" width="34.625" style="369" customWidth="1"/>
    <col min="3" max="3" width="16.375" style="369" customWidth="1"/>
    <col min="4" max="4" width="5.875" style="369" customWidth="1"/>
    <col min="5" max="14" width="6" style="369" bestFit="1" customWidth="1"/>
    <col min="15" max="16" width="7.5" style="369" customWidth="1"/>
    <col min="17" max="17" width="7.125" style="369" customWidth="1"/>
    <col min="18" max="20" width="7.5" style="369" customWidth="1"/>
    <col min="21" max="21" width="3.625" style="369" customWidth="1"/>
    <col min="22" max="29" width="7.375" style="369" bestFit="1" customWidth="1"/>
    <col min="30" max="32" width="7.875" style="369" bestFit="1" customWidth="1"/>
    <col min="33" max="33" width="7.875" style="369" customWidth="1"/>
    <col min="34" max="34" width="9.375" style="369" customWidth="1"/>
    <col min="35" max="16384" width="9" style="369"/>
  </cols>
  <sheetData>
    <row r="1" spans="1:38" x14ac:dyDescent="0.25">
      <c r="A1" s="190" t="s">
        <v>1319</v>
      </c>
    </row>
    <row r="2" spans="1:38" x14ac:dyDescent="0.25">
      <c r="D2" s="2712"/>
      <c r="E2" s="2712"/>
      <c r="F2" s="2712"/>
      <c r="G2" s="2712"/>
      <c r="H2" s="2712"/>
      <c r="I2" s="2712"/>
      <c r="J2" s="2712"/>
      <c r="K2" s="2712"/>
      <c r="L2" s="2712"/>
      <c r="M2" s="2712"/>
      <c r="N2" s="2712"/>
      <c r="O2" s="309"/>
      <c r="P2" s="309"/>
      <c r="Q2" s="309"/>
      <c r="R2" s="309"/>
      <c r="S2" s="309"/>
      <c r="T2" s="309"/>
      <c r="V2" s="2712"/>
      <c r="W2" s="2712"/>
      <c r="X2" s="2712"/>
      <c r="Y2" s="2712"/>
      <c r="Z2" s="2712"/>
      <c r="AA2" s="2712"/>
      <c r="AB2" s="2712"/>
      <c r="AC2" s="2712"/>
      <c r="AD2" s="2712"/>
      <c r="AE2" s="2712"/>
      <c r="AF2" s="2712"/>
      <c r="AG2" s="309"/>
    </row>
    <row r="3" spans="1:38" ht="33" customHeight="1" x14ac:dyDescent="0.25">
      <c r="A3" s="485" t="s">
        <v>4</v>
      </c>
      <c r="B3" s="486" t="s">
        <v>5</v>
      </c>
      <c r="C3" s="1425" t="s">
        <v>251</v>
      </c>
      <c r="D3" s="444">
        <v>2000</v>
      </c>
      <c r="E3" s="444">
        <v>2001</v>
      </c>
      <c r="F3" s="444">
        <v>2002</v>
      </c>
      <c r="G3" s="444">
        <v>2003</v>
      </c>
      <c r="H3" s="444">
        <v>2004</v>
      </c>
      <c r="I3" s="444">
        <v>2005</v>
      </c>
      <c r="J3" s="444">
        <v>2006</v>
      </c>
      <c r="K3" s="444">
        <v>2007</v>
      </c>
      <c r="L3" s="445">
        <v>2008</v>
      </c>
      <c r="M3" s="445">
        <v>2009</v>
      </c>
      <c r="N3" s="446">
        <v>2010</v>
      </c>
      <c r="O3" s="902">
        <v>2011</v>
      </c>
      <c r="P3" s="903">
        <v>2012</v>
      </c>
      <c r="Q3" s="1177">
        <v>2013</v>
      </c>
      <c r="R3" s="446">
        <v>2014</v>
      </c>
      <c r="S3" s="2233">
        <v>2015</v>
      </c>
      <c r="T3" s="2235">
        <v>2016</v>
      </c>
      <c r="U3" s="440"/>
      <c r="V3" s="444">
        <v>2000</v>
      </c>
      <c r="W3" s="444">
        <v>2001</v>
      </c>
      <c r="X3" s="444">
        <v>2002</v>
      </c>
      <c r="Y3" s="444">
        <v>2003</v>
      </c>
      <c r="Z3" s="444">
        <v>2004</v>
      </c>
      <c r="AA3" s="444">
        <v>2005</v>
      </c>
      <c r="AB3" s="444">
        <v>2006</v>
      </c>
      <c r="AC3" s="444">
        <v>2007</v>
      </c>
      <c r="AD3" s="447">
        <v>2008</v>
      </c>
      <c r="AE3" s="447">
        <v>2009</v>
      </c>
      <c r="AF3" s="448">
        <v>2010</v>
      </c>
      <c r="AG3" s="910">
        <v>2011</v>
      </c>
      <c r="AH3" s="1179">
        <v>2012</v>
      </c>
      <c r="AI3" s="1184">
        <v>2013</v>
      </c>
      <c r="AJ3" s="1627">
        <v>2014</v>
      </c>
      <c r="AK3" s="2239">
        <v>2015</v>
      </c>
      <c r="AL3" s="2241">
        <v>2016</v>
      </c>
    </row>
    <row r="4" spans="1:38" x14ac:dyDescent="0.25">
      <c r="A4" s="374" t="s">
        <v>8</v>
      </c>
      <c r="B4" s="375" t="s">
        <v>9</v>
      </c>
      <c r="C4" s="1426"/>
      <c r="D4" s="441">
        <v>8.8499999999999995E-2</v>
      </c>
      <c r="E4" s="441">
        <v>8.77E-2</v>
      </c>
      <c r="F4" s="441">
        <v>9.5899999999999999E-2</v>
      </c>
      <c r="G4" s="441">
        <v>9.9399999999999988E-2</v>
      </c>
      <c r="H4" s="441">
        <v>9.5199999999999993E-2</v>
      </c>
      <c r="I4" s="441">
        <v>9.9600000000000008E-2</v>
      </c>
      <c r="J4" s="441">
        <v>9.6199999999999994E-2</v>
      </c>
      <c r="K4" s="441">
        <v>9.9000000000000005E-2</v>
      </c>
      <c r="L4" s="449">
        <v>0.10210000000000001</v>
      </c>
      <c r="M4" s="449">
        <v>0.1057</v>
      </c>
      <c r="N4" s="450">
        <v>0.11118840014389482</v>
      </c>
      <c r="O4" s="904">
        <v>0.11600000000000001</v>
      </c>
      <c r="P4" s="907">
        <v>0.11799999999999999</v>
      </c>
      <c r="Q4" s="907">
        <v>0.11747751027208382</v>
      </c>
      <c r="R4" s="1623">
        <v>0.1182560438559494</v>
      </c>
      <c r="S4" s="2234">
        <v>0.11243251566072024</v>
      </c>
      <c r="T4" s="2236">
        <v>0.11</v>
      </c>
      <c r="U4" s="442"/>
      <c r="V4" s="443">
        <v>620936</v>
      </c>
      <c r="W4" s="443">
        <v>620238</v>
      </c>
      <c r="X4" s="443">
        <v>692133</v>
      </c>
      <c r="Y4" s="443">
        <v>724326</v>
      </c>
      <c r="Z4" s="443">
        <v>705038</v>
      </c>
      <c r="AA4" s="443">
        <v>728860</v>
      </c>
      <c r="AB4" s="443">
        <v>713179</v>
      </c>
      <c r="AC4" s="443">
        <v>739139</v>
      </c>
      <c r="AD4" s="451">
        <v>766854</v>
      </c>
      <c r="AE4" s="451">
        <v>805553</v>
      </c>
      <c r="AF4" s="452">
        <f>SUM(AF5:AF124)</f>
        <v>865746</v>
      </c>
      <c r="AG4" s="911">
        <v>912779</v>
      </c>
      <c r="AH4" s="1180">
        <v>936384</v>
      </c>
      <c r="AI4" s="1187">
        <v>941059</v>
      </c>
      <c r="AJ4" s="1628">
        <v>955541</v>
      </c>
      <c r="AK4" s="2240">
        <v>914226</v>
      </c>
      <c r="AL4" s="2242">
        <v>897244</v>
      </c>
    </row>
    <row r="5" spans="1:38" ht="16.5" customHeight="1" x14ac:dyDescent="0.25">
      <c r="A5" s="379" t="s">
        <v>10</v>
      </c>
      <c r="B5" s="380" t="s">
        <v>450</v>
      </c>
      <c r="C5" s="1427" t="s">
        <v>264</v>
      </c>
      <c r="D5" s="453">
        <v>0.17100000000000001</v>
      </c>
      <c r="E5" s="453">
        <v>0.16300000000000001</v>
      </c>
      <c r="F5" s="453">
        <v>0.17699999999999999</v>
      </c>
      <c r="G5" s="453">
        <v>0.156</v>
      </c>
      <c r="H5" s="453">
        <v>0.14899999999999999</v>
      </c>
      <c r="I5" s="453">
        <v>0.183</v>
      </c>
      <c r="J5" s="453">
        <v>0.154</v>
      </c>
      <c r="K5" s="453">
        <v>0.16800000000000001</v>
      </c>
      <c r="L5" s="453">
        <v>0.20600000000000002</v>
      </c>
      <c r="M5" s="453">
        <v>0.183</v>
      </c>
      <c r="N5" s="454">
        <v>0.20499999999999999</v>
      </c>
      <c r="O5" s="905">
        <v>0.193</v>
      </c>
      <c r="P5" s="905">
        <v>0.19900000000000001</v>
      </c>
      <c r="Q5" s="905">
        <v>0.19252741881281887</v>
      </c>
      <c r="R5" s="1624">
        <v>0.19371551195585529</v>
      </c>
      <c r="S5" s="1624">
        <v>0.20385040530582166</v>
      </c>
      <c r="T5" s="2237">
        <v>0.19962491545225358</v>
      </c>
      <c r="U5" s="455"/>
      <c r="V5" s="456">
        <v>6549</v>
      </c>
      <c r="W5" s="456">
        <v>6239</v>
      </c>
      <c r="X5" s="456">
        <v>6871</v>
      </c>
      <c r="Y5" s="456">
        <v>6072</v>
      </c>
      <c r="Z5" s="456">
        <v>5820</v>
      </c>
      <c r="AA5" s="456">
        <v>7044</v>
      </c>
      <c r="AB5" s="456">
        <v>5956</v>
      </c>
      <c r="AC5" s="456">
        <v>6349</v>
      </c>
      <c r="AD5" s="456">
        <v>7733</v>
      </c>
      <c r="AE5" s="456">
        <v>6906</v>
      </c>
      <c r="AF5" s="457">
        <v>6722</v>
      </c>
      <c r="AG5" s="912">
        <v>6359</v>
      </c>
      <c r="AH5" s="1181">
        <v>6541</v>
      </c>
      <c r="AI5" s="1185">
        <v>6302</v>
      </c>
      <c r="AJ5" s="1629">
        <v>6319</v>
      </c>
      <c r="AK5" s="1629">
        <v>6639</v>
      </c>
      <c r="AL5" s="2243">
        <v>6493</v>
      </c>
    </row>
    <row r="6" spans="1:38" ht="16.5" customHeight="1" x14ac:dyDescent="0.25">
      <c r="A6" s="379" t="s">
        <v>12</v>
      </c>
      <c r="B6" s="380" t="s">
        <v>451</v>
      </c>
      <c r="C6" s="1427" t="s">
        <v>265</v>
      </c>
      <c r="D6" s="453">
        <v>6.0999999999999999E-2</v>
      </c>
      <c r="E6" s="453">
        <v>6.5000000000000002E-2</v>
      </c>
      <c r="F6" s="453">
        <v>7.2000000000000008E-2</v>
      </c>
      <c r="G6" s="453">
        <v>7.5999999999999998E-2</v>
      </c>
      <c r="H6" s="453">
        <v>7.2999999999999995E-2</v>
      </c>
      <c r="I6" s="453">
        <v>7.0000000000000007E-2</v>
      </c>
      <c r="J6" s="453">
        <v>7.0999999999999994E-2</v>
      </c>
      <c r="K6" s="453">
        <v>8.5000000000000006E-2</v>
      </c>
      <c r="L6" s="453">
        <v>6.8000000000000005E-2</v>
      </c>
      <c r="M6" s="453">
        <v>8.8000000000000009E-2</v>
      </c>
      <c r="N6" s="454">
        <v>9.0999999999999998E-2</v>
      </c>
      <c r="O6" s="905">
        <v>9.6999999999999989E-2</v>
      </c>
      <c r="P6" s="905">
        <v>9.4E-2</v>
      </c>
      <c r="Q6" s="905">
        <v>9.5165866996852908E-2</v>
      </c>
      <c r="R6" s="1624">
        <v>9.127121227517529E-2</v>
      </c>
      <c r="S6" s="1624">
        <v>9.5152855993563962E-2</v>
      </c>
      <c r="T6" s="2237">
        <v>8.495285933544619E-2</v>
      </c>
      <c r="U6" s="455"/>
      <c r="V6" s="456">
        <v>4843</v>
      </c>
      <c r="W6" s="456">
        <v>5277</v>
      </c>
      <c r="X6" s="456">
        <v>5901</v>
      </c>
      <c r="Y6" s="456">
        <v>6312</v>
      </c>
      <c r="Z6" s="456">
        <v>6205</v>
      </c>
      <c r="AA6" s="456">
        <v>5872</v>
      </c>
      <c r="AB6" s="456">
        <v>6107</v>
      </c>
      <c r="AC6" s="456">
        <v>7396</v>
      </c>
      <c r="AD6" s="456">
        <v>6008</v>
      </c>
      <c r="AE6" s="456">
        <v>7774</v>
      </c>
      <c r="AF6" s="457">
        <v>8419</v>
      </c>
      <c r="AG6" s="912">
        <v>9139</v>
      </c>
      <c r="AH6" s="1181">
        <v>9026</v>
      </c>
      <c r="AI6" s="1185">
        <v>9223</v>
      </c>
      <c r="AJ6" s="1629">
        <v>8982</v>
      </c>
      <c r="AK6" s="1629">
        <v>9462</v>
      </c>
      <c r="AL6" s="2243">
        <v>8524</v>
      </c>
    </row>
    <row r="7" spans="1:38" ht="16.5" customHeight="1" x14ac:dyDescent="0.25">
      <c r="A7" s="379" t="s">
        <v>16</v>
      </c>
      <c r="B7" s="380" t="s">
        <v>739</v>
      </c>
      <c r="C7" s="1427" t="s">
        <v>265</v>
      </c>
      <c r="D7" s="453">
        <v>0.1075</v>
      </c>
      <c r="E7" s="453">
        <v>0.10050000000000001</v>
      </c>
      <c r="F7" s="453">
        <v>0.10589999999999999</v>
      </c>
      <c r="G7" s="453">
        <v>0.11539999999999999</v>
      </c>
      <c r="H7" s="453">
        <v>0.1137</v>
      </c>
      <c r="I7" s="453">
        <v>0.12089999999999999</v>
      </c>
      <c r="J7" s="453">
        <v>0.12770000000000001</v>
      </c>
      <c r="K7" s="453">
        <v>0.12619999999999998</v>
      </c>
      <c r="L7" s="453">
        <v>0.13320000000000001</v>
      </c>
      <c r="M7" s="453">
        <v>0.13639999999999999</v>
      </c>
      <c r="N7" s="454">
        <v>0.13851337359792926</v>
      </c>
      <c r="O7" s="905">
        <v>0.14251596013411105</v>
      </c>
      <c r="P7" s="905">
        <v>0.14000000000000001</v>
      </c>
      <c r="Q7" s="905">
        <v>0.1451127471408066</v>
      </c>
      <c r="R7" s="1624">
        <v>0.15934117647058824</v>
      </c>
      <c r="S7" s="1624">
        <v>0.18249916503649982</v>
      </c>
      <c r="T7" s="2237">
        <v>0.15204170286707211</v>
      </c>
      <c r="U7" s="455"/>
      <c r="V7" s="456">
        <v>2473</v>
      </c>
      <c r="W7" s="456">
        <v>2308</v>
      </c>
      <c r="X7" s="456">
        <v>2422</v>
      </c>
      <c r="Y7" s="456">
        <v>2618</v>
      </c>
      <c r="Z7" s="456">
        <v>2574</v>
      </c>
      <c r="AA7" s="456">
        <v>2695</v>
      </c>
      <c r="AB7" s="456">
        <v>2836</v>
      </c>
      <c r="AC7" s="456">
        <v>2783</v>
      </c>
      <c r="AD7" s="456">
        <v>2902</v>
      </c>
      <c r="AE7" s="456">
        <v>2985</v>
      </c>
      <c r="AF7" s="457">
        <v>3029</v>
      </c>
      <c r="AG7" s="912">
        <v>3103</v>
      </c>
      <c r="AH7" s="1181">
        <v>3032</v>
      </c>
      <c r="AI7" s="1185">
        <v>3134</v>
      </c>
      <c r="AJ7" s="1629">
        <v>3386</v>
      </c>
      <c r="AK7" s="1629">
        <v>3825</v>
      </c>
      <c r="AL7" s="2243">
        <v>3150</v>
      </c>
    </row>
    <row r="8" spans="1:38" ht="16.5" customHeight="1" x14ac:dyDescent="0.25">
      <c r="A8" s="379" t="s">
        <v>18</v>
      </c>
      <c r="B8" s="380" t="s">
        <v>452</v>
      </c>
      <c r="C8" s="1427" t="s">
        <v>266</v>
      </c>
      <c r="D8" s="453">
        <v>9.3000000000000013E-2</v>
      </c>
      <c r="E8" s="453">
        <v>8.8000000000000009E-2</v>
      </c>
      <c r="F8" s="453">
        <v>9.0999999999999998E-2</v>
      </c>
      <c r="G8" s="453">
        <v>9.6999999999999989E-2</v>
      </c>
      <c r="H8" s="453">
        <v>9.0999999999999998E-2</v>
      </c>
      <c r="I8" s="453">
        <v>9.9000000000000005E-2</v>
      </c>
      <c r="J8" s="453">
        <v>9.1999999999999998E-2</v>
      </c>
      <c r="K8" s="453">
        <v>9.0999999999999998E-2</v>
      </c>
      <c r="L8" s="453">
        <v>9.6000000000000002E-2</v>
      </c>
      <c r="M8" s="453">
        <v>0.113</v>
      </c>
      <c r="N8" s="454">
        <v>0.114</v>
      </c>
      <c r="O8" s="905">
        <v>0.11900000000000001</v>
      </c>
      <c r="P8" s="905">
        <v>0.125</v>
      </c>
      <c r="Q8" s="905">
        <v>0.12147901293342855</v>
      </c>
      <c r="R8" s="1624">
        <v>0.12864669340253204</v>
      </c>
      <c r="S8" s="1624">
        <v>0.11071932299012693</v>
      </c>
      <c r="T8" s="2237">
        <v>0.10402631991226696</v>
      </c>
      <c r="U8" s="455"/>
      <c r="V8" s="456">
        <v>1072</v>
      </c>
      <c r="W8" s="456">
        <v>1027</v>
      </c>
      <c r="X8" s="456">
        <v>1068</v>
      </c>
      <c r="Y8" s="456">
        <v>1151</v>
      </c>
      <c r="Z8" s="456">
        <v>1110</v>
      </c>
      <c r="AA8" s="456">
        <v>1198</v>
      </c>
      <c r="AB8" s="456">
        <v>1140</v>
      </c>
      <c r="AC8" s="456">
        <v>1145</v>
      </c>
      <c r="AD8" s="456">
        <v>1215</v>
      </c>
      <c r="AE8" s="456">
        <v>1433</v>
      </c>
      <c r="AF8" s="457">
        <v>1432</v>
      </c>
      <c r="AG8" s="912">
        <v>1503</v>
      </c>
      <c r="AH8" s="1181">
        <v>1578</v>
      </c>
      <c r="AI8" s="1185">
        <v>1531</v>
      </c>
      <c r="AJ8" s="1629">
        <v>1636</v>
      </c>
      <c r="AK8" s="1629">
        <v>1413</v>
      </c>
      <c r="AL8" s="2243">
        <v>1328</v>
      </c>
    </row>
    <row r="9" spans="1:38" ht="16.5" customHeight="1" x14ac:dyDescent="0.25">
      <c r="A9" s="379" t="s">
        <v>20</v>
      </c>
      <c r="B9" s="380" t="s">
        <v>453</v>
      </c>
      <c r="C9" s="1427" t="s">
        <v>265</v>
      </c>
      <c r="D9" s="453">
        <v>0.105</v>
      </c>
      <c r="E9" s="453">
        <v>0.10400000000000001</v>
      </c>
      <c r="F9" s="453">
        <v>0.11599999999999999</v>
      </c>
      <c r="G9" s="453">
        <v>0.111</v>
      </c>
      <c r="H9" s="453">
        <v>0.11199999999999999</v>
      </c>
      <c r="I9" s="453">
        <v>0.12</v>
      </c>
      <c r="J9" s="453">
        <v>0.11800000000000001</v>
      </c>
      <c r="K9" s="453">
        <v>0.122</v>
      </c>
      <c r="L9" s="453">
        <v>0.125</v>
      </c>
      <c r="M9" s="453">
        <v>0.13900000000000001</v>
      </c>
      <c r="N9" s="454">
        <v>0.13600000000000001</v>
      </c>
      <c r="O9" s="905">
        <v>0.13400000000000001</v>
      </c>
      <c r="P9" s="905">
        <v>0.14499999999999999</v>
      </c>
      <c r="Q9" s="905">
        <v>0.14199021207177814</v>
      </c>
      <c r="R9" s="1624">
        <v>0.1367115938236064</v>
      </c>
      <c r="S9" s="1624">
        <v>0.14976256754543965</v>
      </c>
      <c r="T9" s="2237">
        <v>0.1426130389064143</v>
      </c>
      <c r="U9" s="455"/>
      <c r="V9" s="456">
        <v>3204</v>
      </c>
      <c r="W9" s="456">
        <v>3146</v>
      </c>
      <c r="X9" s="456">
        <v>3542</v>
      </c>
      <c r="Y9" s="456">
        <v>3391</v>
      </c>
      <c r="Z9" s="456">
        <v>3447</v>
      </c>
      <c r="AA9" s="456">
        <v>3615</v>
      </c>
      <c r="AB9" s="456">
        <v>3631</v>
      </c>
      <c r="AC9" s="456">
        <v>3726</v>
      </c>
      <c r="AD9" s="456">
        <v>3868</v>
      </c>
      <c r="AE9" s="456">
        <v>4269</v>
      </c>
      <c r="AF9" s="457">
        <v>4221</v>
      </c>
      <c r="AG9" s="912">
        <v>4136</v>
      </c>
      <c r="AH9" s="1181">
        <v>4449</v>
      </c>
      <c r="AI9" s="1185">
        <v>4352</v>
      </c>
      <c r="AJ9" s="1629">
        <v>4179</v>
      </c>
      <c r="AK9" s="1629">
        <v>4573</v>
      </c>
      <c r="AL9" s="2243">
        <v>4340</v>
      </c>
    </row>
    <row r="10" spans="1:38" ht="16.5" customHeight="1" x14ac:dyDescent="0.25">
      <c r="A10" s="379" t="s">
        <v>22</v>
      </c>
      <c r="B10" s="380" t="s">
        <v>454</v>
      </c>
      <c r="C10" s="1427" t="s">
        <v>265</v>
      </c>
      <c r="D10" s="453">
        <v>0.111</v>
      </c>
      <c r="E10" s="453">
        <v>0.111</v>
      </c>
      <c r="F10" s="453">
        <v>0.122</v>
      </c>
      <c r="G10" s="453">
        <v>0.124</v>
      </c>
      <c r="H10" s="453">
        <v>0.11800000000000001</v>
      </c>
      <c r="I10" s="453">
        <v>0.121</v>
      </c>
      <c r="J10" s="453">
        <v>0.13300000000000001</v>
      </c>
      <c r="K10" s="453">
        <v>0.126</v>
      </c>
      <c r="L10" s="453">
        <v>0.13</v>
      </c>
      <c r="M10" s="453">
        <v>0.14300000000000002</v>
      </c>
      <c r="N10" s="454">
        <v>0.14100000000000001</v>
      </c>
      <c r="O10" s="905">
        <v>0.14800000000000002</v>
      </c>
      <c r="P10" s="905">
        <v>0.16500000000000001</v>
      </c>
      <c r="Q10" s="905">
        <v>0.16161416022719768</v>
      </c>
      <c r="R10" s="1624">
        <v>0.15095583388266315</v>
      </c>
      <c r="S10" s="1624">
        <v>0.142082216848572</v>
      </c>
      <c r="T10" s="2237">
        <v>0.13872606486908948</v>
      </c>
      <c r="U10" s="455"/>
      <c r="V10" s="456">
        <v>1526</v>
      </c>
      <c r="W10" s="456">
        <v>1522</v>
      </c>
      <c r="X10" s="456">
        <v>1668</v>
      </c>
      <c r="Y10" s="456">
        <v>1716</v>
      </c>
      <c r="Z10" s="456">
        <v>1649</v>
      </c>
      <c r="AA10" s="456">
        <v>1660</v>
      </c>
      <c r="AB10" s="456">
        <v>1859</v>
      </c>
      <c r="AC10" s="456">
        <v>1772</v>
      </c>
      <c r="AD10" s="456">
        <v>1863</v>
      </c>
      <c r="AE10" s="456">
        <v>2055</v>
      </c>
      <c r="AF10" s="457">
        <v>2099</v>
      </c>
      <c r="AG10" s="912">
        <v>2209</v>
      </c>
      <c r="AH10" s="1181">
        <v>2483</v>
      </c>
      <c r="AI10" s="1185">
        <v>2447</v>
      </c>
      <c r="AJ10" s="1629">
        <v>2290</v>
      </c>
      <c r="AK10" s="1629">
        <v>2174</v>
      </c>
      <c r="AL10" s="2243">
        <v>2130</v>
      </c>
    </row>
    <row r="11" spans="1:38" ht="16.5" customHeight="1" x14ac:dyDescent="0.25">
      <c r="A11" s="379" t="s">
        <v>24</v>
      </c>
      <c r="B11" s="380" t="s">
        <v>455</v>
      </c>
      <c r="C11" s="1427" t="s">
        <v>267</v>
      </c>
      <c r="D11" s="453">
        <v>5.7999999999999996E-2</v>
      </c>
      <c r="E11" s="453">
        <v>5.7999999999999996E-2</v>
      </c>
      <c r="F11" s="453">
        <v>6.3E-2</v>
      </c>
      <c r="G11" s="453">
        <v>7.400000000000001E-2</v>
      </c>
      <c r="H11" s="453">
        <v>7.0999999999999994E-2</v>
      </c>
      <c r="I11" s="453">
        <v>7.6999999999999999E-2</v>
      </c>
      <c r="J11" s="453">
        <v>7.0000000000000007E-2</v>
      </c>
      <c r="K11" s="453">
        <v>6.5000000000000002E-2</v>
      </c>
      <c r="L11" s="453">
        <v>6.7000000000000004E-2</v>
      </c>
      <c r="M11" s="453">
        <v>6.6000000000000003E-2</v>
      </c>
      <c r="N11" s="454">
        <v>7.2000000000000008E-2</v>
      </c>
      <c r="O11" s="905">
        <v>7.400000000000001E-2</v>
      </c>
      <c r="P11" s="905">
        <v>0.08</v>
      </c>
      <c r="Q11" s="905">
        <v>8.4502920026836334E-2</v>
      </c>
      <c r="R11" s="1624">
        <v>8.5298435206296652E-2</v>
      </c>
      <c r="S11" s="1624">
        <v>7.0820503531968851E-2</v>
      </c>
      <c r="T11" s="2237">
        <v>7.5476597018078115E-2</v>
      </c>
      <c r="U11" s="455"/>
      <c r="V11" s="456">
        <v>10907</v>
      </c>
      <c r="W11" s="456">
        <v>10867</v>
      </c>
      <c r="X11" s="456">
        <v>11773</v>
      </c>
      <c r="Y11" s="456">
        <v>13587</v>
      </c>
      <c r="Z11" s="456">
        <v>13740</v>
      </c>
      <c r="AA11" s="456">
        <v>14781</v>
      </c>
      <c r="AB11" s="456">
        <v>13726</v>
      </c>
      <c r="AC11" s="456">
        <v>13005</v>
      </c>
      <c r="AD11" s="456">
        <v>13735</v>
      </c>
      <c r="AE11" s="456">
        <v>13988</v>
      </c>
      <c r="AF11" s="457">
        <v>14903</v>
      </c>
      <c r="AG11" s="912">
        <v>15894</v>
      </c>
      <c r="AH11" s="1181">
        <v>17555</v>
      </c>
      <c r="AI11" s="1185">
        <v>18767</v>
      </c>
      <c r="AJ11" s="1629">
        <v>19117</v>
      </c>
      <c r="AK11" s="1629">
        <v>16031</v>
      </c>
      <c r="AL11" s="2243">
        <v>17151</v>
      </c>
    </row>
    <row r="12" spans="1:38" ht="16.5" customHeight="1" x14ac:dyDescent="0.25">
      <c r="A12" s="379" t="s">
        <v>26</v>
      </c>
      <c r="B12" s="458" t="s">
        <v>740</v>
      </c>
      <c r="C12" s="458" t="s">
        <v>265</v>
      </c>
      <c r="D12" s="453">
        <v>9.0800000000000006E-2</v>
      </c>
      <c r="E12" s="453">
        <v>9.1799999999999993E-2</v>
      </c>
      <c r="F12" s="453">
        <v>9.9299999999999999E-2</v>
      </c>
      <c r="G12" s="453">
        <v>9.7299999999999998E-2</v>
      </c>
      <c r="H12" s="453">
        <v>9.2200000000000004E-2</v>
      </c>
      <c r="I12" s="453">
        <v>9.7699999999999995E-2</v>
      </c>
      <c r="J12" s="453">
        <v>0.1012</v>
      </c>
      <c r="K12" s="453">
        <v>0.1026</v>
      </c>
      <c r="L12" s="453">
        <v>0.1016</v>
      </c>
      <c r="M12" s="453">
        <v>0.10949999999999999</v>
      </c>
      <c r="N12" s="454">
        <v>0.12085412542078605</v>
      </c>
      <c r="O12" s="905">
        <v>0.12665573799233823</v>
      </c>
      <c r="P12" s="905">
        <v>0.122</v>
      </c>
      <c r="Q12" s="905">
        <v>0.11686507419660146</v>
      </c>
      <c r="R12" s="1624">
        <v>0.12002390086337539</v>
      </c>
      <c r="S12" s="1624">
        <v>0.11723965646454813</v>
      </c>
      <c r="T12" s="2237">
        <v>0.10900461775269368</v>
      </c>
      <c r="U12" s="455"/>
      <c r="V12" s="456">
        <v>9607</v>
      </c>
      <c r="W12" s="456">
        <v>9789</v>
      </c>
      <c r="X12" s="456">
        <v>10717</v>
      </c>
      <c r="Y12" s="456">
        <v>10642</v>
      </c>
      <c r="Z12" s="456">
        <v>10291</v>
      </c>
      <c r="AA12" s="456">
        <v>10737</v>
      </c>
      <c r="AB12" s="456">
        <v>11283</v>
      </c>
      <c r="AC12" s="456">
        <v>11545</v>
      </c>
      <c r="AD12" s="456">
        <v>11523</v>
      </c>
      <c r="AE12" s="456">
        <v>12447</v>
      </c>
      <c r="AF12" s="457">
        <v>13822</v>
      </c>
      <c r="AG12" s="912">
        <v>14448</v>
      </c>
      <c r="AH12" s="1181">
        <v>14004</v>
      </c>
      <c r="AI12" s="1185">
        <v>13459</v>
      </c>
      <c r="AJ12" s="1629">
        <v>13860</v>
      </c>
      <c r="AK12" s="1629">
        <v>13610</v>
      </c>
      <c r="AL12" s="2243">
        <v>12747</v>
      </c>
    </row>
    <row r="13" spans="1:38" ht="16.5" customHeight="1" x14ac:dyDescent="0.25">
      <c r="A13" s="379" t="s">
        <v>27</v>
      </c>
      <c r="B13" s="380" t="s">
        <v>456</v>
      </c>
      <c r="C13" s="1427" t="s">
        <v>265</v>
      </c>
      <c r="D13" s="453">
        <v>7.4999999999999997E-2</v>
      </c>
      <c r="E13" s="453">
        <v>7.5999999999999998E-2</v>
      </c>
      <c r="F13" s="453">
        <v>7.6999999999999999E-2</v>
      </c>
      <c r="G13" s="453">
        <v>7.9000000000000001E-2</v>
      </c>
      <c r="H13" s="453">
        <v>7.2999999999999995E-2</v>
      </c>
      <c r="I13" s="453">
        <v>7.6999999999999999E-2</v>
      </c>
      <c r="J13" s="453">
        <v>8.4000000000000005E-2</v>
      </c>
      <c r="K13" s="453">
        <v>8.5000000000000006E-2</v>
      </c>
      <c r="L13" s="453">
        <v>9.6000000000000002E-2</v>
      </c>
      <c r="M13" s="453">
        <v>0.11800000000000001</v>
      </c>
      <c r="N13" s="454">
        <v>0.11199999999999999</v>
      </c>
      <c r="O13" s="905">
        <v>0.10800000000000001</v>
      </c>
      <c r="P13" s="905">
        <v>0.115</v>
      </c>
      <c r="Q13" s="905">
        <v>0.11733684904416612</v>
      </c>
      <c r="R13" s="1624">
        <v>0.11533333333333333</v>
      </c>
      <c r="S13" s="1624">
        <v>0.10324483775811209</v>
      </c>
      <c r="T13" s="2237">
        <v>0.11700680272108843</v>
      </c>
      <c r="U13" s="455"/>
      <c r="V13" s="459">
        <v>374</v>
      </c>
      <c r="W13" s="459">
        <v>381</v>
      </c>
      <c r="X13" s="459">
        <v>385</v>
      </c>
      <c r="Y13" s="459">
        <v>392</v>
      </c>
      <c r="Z13" s="459">
        <v>361</v>
      </c>
      <c r="AA13" s="459">
        <v>362</v>
      </c>
      <c r="AB13" s="459">
        <v>397</v>
      </c>
      <c r="AC13" s="459">
        <v>390</v>
      </c>
      <c r="AD13" s="456">
        <v>430</v>
      </c>
      <c r="AE13" s="456">
        <v>522</v>
      </c>
      <c r="AF13" s="457">
        <v>520</v>
      </c>
      <c r="AG13" s="912">
        <v>498</v>
      </c>
      <c r="AH13" s="1181">
        <v>526</v>
      </c>
      <c r="AI13" s="1185">
        <v>534</v>
      </c>
      <c r="AJ13" s="1629">
        <v>519</v>
      </c>
      <c r="AK13" s="1629">
        <v>455</v>
      </c>
      <c r="AL13" s="2243">
        <v>516</v>
      </c>
    </row>
    <row r="14" spans="1:38" ht="16.5" customHeight="1" x14ac:dyDescent="0.25">
      <c r="A14" s="379" t="s">
        <v>29</v>
      </c>
      <c r="B14" s="380" t="s">
        <v>901</v>
      </c>
      <c r="C14" s="1427" t="s">
        <v>265</v>
      </c>
      <c r="D14" s="453">
        <v>7.4299999999999991E-2</v>
      </c>
      <c r="E14" s="453">
        <v>7.4499999999999997E-2</v>
      </c>
      <c r="F14" s="453">
        <v>0.08</v>
      </c>
      <c r="G14" s="453">
        <v>8.6699999999999999E-2</v>
      </c>
      <c r="H14" s="453">
        <v>8.3000000000000004E-2</v>
      </c>
      <c r="I14" s="453">
        <v>8.7899999999999992E-2</v>
      </c>
      <c r="J14" s="453">
        <v>8.6699999999999999E-2</v>
      </c>
      <c r="K14" s="453">
        <v>9.5600000000000004E-2</v>
      </c>
      <c r="L14" s="453">
        <v>8.5299999999999987E-2</v>
      </c>
      <c r="M14" s="453">
        <v>8.5999999999999993E-2</v>
      </c>
      <c r="N14" s="454">
        <v>0.10419212990455738</v>
      </c>
      <c r="O14" s="905">
        <v>0.10033904639863314</v>
      </c>
      <c r="P14" s="905">
        <v>0.106</v>
      </c>
      <c r="Q14" s="905">
        <v>9.7572970386517091E-2</v>
      </c>
      <c r="R14" s="1624">
        <v>9.4187849951368266E-2</v>
      </c>
      <c r="S14" s="1624">
        <v>9.0945595854922276E-2</v>
      </c>
      <c r="T14" s="2237">
        <v>9.6181174585949408E-2</v>
      </c>
      <c r="U14" s="455"/>
      <c r="V14" s="456">
        <v>4969</v>
      </c>
      <c r="W14" s="456">
        <v>5012</v>
      </c>
      <c r="X14" s="456">
        <v>5501</v>
      </c>
      <c r="Y14" s="456">
        <v>6078</v>
      </c>
      <c r="Z14" s="456">
        <v>5949</v>
      </c>
      <c r="AA14" s="456">
        <v>6174</v>
      </c>
      <c r="AB14" s="456">
        <v>6218</v>
      </c>
      <c r="AC14" s="456">
        <v>6907</v>
      </c>
      <c r="AD14" s="456">
        <v>6202</v>
      </c>
      <c r="AE14" s="456">
        <v>6252</v>
      </c>
      <c r="AF14" s="457">
        <v>7717</v>
      </c>
      <c r="AG14" s="912">
        <v>7517</v>
      </c>
      <c r="AH14" s="1181">
        <v>7938</v>
      </c>
      <c r="AI14" s="1185">
        <v>7341</v>
      </c>
      <c r="AJ14" s="1629">
        <v>7166</v>
      </c>
      <c r="AK14" s="1629">
        <v>7021</v>
      </c>
      <c r="AL14" s="2243">
        <v>7445</v>
      </c>
    </row>
    <row r="15" spans="1:38" ht="16.5" customHeight="1" x14ac:dyDescent="0.25">
      <c r="A15" s="379" t="s">
        <v>30</v>
      </c>
      <c r="B15" s="380" t="s">
        <v>457</v>
      </c>
      <c r="C15" s="1427" t="s">
        <v>268</v>
      </c>
      <c r="D15" s="453">
        <v>0.113</v>
      </c>
      <c r="E15" s="453">
        <v>0.12</v>
      </c>
      <c r="F15" s="453">
        <v>0.125</v>
      </c>
      <c r="G15" s="453">
        <v>0.12300000000000001</v>
      </c>
      <c r="H15" s="453">
        <v>0.11900000000000001</v>
      </c>
      <c r="I15" s="453">
        <v>0.13500000000000001</v>
      </c>
      <c r="J15" s="453">
        <v>0.13</v>
      </c>
      <c r="K15" s="453">
        <v>0.13500000000000001</v>
      </c>
      <c r="L15" s="453">
        <v>0.14599999999999999</v>
      </c>
      <c r="M15" s="453">
        <v>0.15</v>
      </c>
      <c r="N15" s="454">
        <v>0.15</v>
      </c>
      <c r="O15" s="905">
        <v>0.14400000000000002</v>
      </c>
      <c r="P15" s="905">
        <v>0.154</v>
      </c>
      <c r="Q15" s="905">
        <v>0.150066401062417</v>
      </c>
      <c r="R15" s="1624">
        <v>0.14087837837837838</v>
      </c>
      <c r="S15" s="1624">
        <v>0.13565692807107466</v>
      </c>
      <c r="T15" s="2237">
        <v>0.13788348845225784</v>
      </c>
      <c r="U15" s="455"/>
      <c r="V15" s="459">
        <v>711</v>
      </c>
      <c r="W15" s="459">
        <v>751</v>
      </c>
      <c r="X15" s="459">
        <v>794</v>
      </c>
      <c r="Y15" s="459">
        <v>783</v>
      </c>
      <c r="Z15" s="459">
        <v>751</v>
      </c>
      <c r="AA15" s="459">
        <v>846</v>
      </c>
      <c r="AB15" s="459">
        <v>807</v>
      </c>
      <c r="AC15" s="459">
        <v>842</v>
      </c>
      <c r="AD15" s="456">
        <v>908</v>
      </c>
      <c r="AE15" s="456">
        <v>921</v>
      </c>
      <c r="AF15" s="457">
        <v>917</v>
      </c>
      <c r="AG15" s="912">
        <v>879</v>
      </c>
      <c r="AH15" s="1181">
        <v>928</v>
      </c>
      <c r="AI15" s="1185">
        <v>904</v>
      </c>
      <c r="AJ15" s="1629">
        <v>834</v>
      </c>
      <c r="AK15" s="1629">
        <v>794</v>
      </c>
      <c r="AL15" s="2243">
        <v>800</v>
      </c>
    </row>
    <row r="16" spans="1:38" ht="16.5" customHeight="1" x14ac:dyDescent="0.25">
      <c r="A16" s="379" t="s">
        <v>32</v>
      </c>
      <c r="B16" s="380" t="s">
        <v>458</v>
      </c>
      <c r="C16" s="1427" t="s">
        <v>265</v>
      </c>
      <c r="D16" s="453">
        <v>5.2000000000000005E-2</v>
      </c>
      <c r="E16" s="453">
        <v>5.2999999999999999E-2</v>
      </c>
      <c r="F16" s="453">
        <v>5.7999999999999996E-2</v>
      </c>
      <c r="G16" s="453">
        <v>6.3E-2</v>
      </c>
      <c r="H16" s="453">
        <v>0.06</v>
      </c>
      <c r="I16" s="453">
        <v>6.0999999999999999E-2</v>
      </c>
      <c r="J16" s="453">
        <v>0.06</v>
      </c>
      <c r="K16" s="453">
        <v>6.2E-2</v>
      </c>
      <c r="L16" s="453">
        <v>6.4000000000000001E-2</v>
      </c>
      <c r="M16" s="453">
        <v>7.5999999999999998E-2</v>
      </c>
      <c r="N16" s="454">
        <v>6.5000000000000002E-2</v>
      </c>
      <c r="O16" s="905">
        <v>7.4999999999999997E-2</v>
      </c>
      <c r="P16" s="905">
        <v>7.5999999999999998E-2</v>
      </c>
      <c r="Q16" s="905">
        <v>7.4080876725747702E-2</v>
      </c>
      <c r="R16" s="1624">
        <v>7.7610665365020287E-2</v>
      </c>
      <c r="S16" s="1624">
        <v>7.3959658368162817E-2</v>
      </c>
      <c r="T16" s="2237">
        <v>7.783994162004379E-2</v>
      </c>
      <c r="U16" s="455"/>
      <c r="V16" s="456">
        <v>1586</v>
      </c>
      <c r="W16" s="456">
        <v>1615</v>
      </c>
      <c r="X16" s="456">
        <v>1803</v>
      </c>
      <c r="Y16" s="456">
        <v>1986</v>
      </c>
      <c r="Z16" s="456">
        <v>1900</v>
      </c>
      <c r="AA16" s="456">
        <v>1925</v>
      </c>
      <c r="AB16" s="456">
        <v>1901</v>
      </c>
      <c r="AC16" s="456">
        <v>1949</v>
      </c>
      <c r="AD16" s="456">
        <v>2018</v>
      </c>
      <c r="AE16" s="456">
        <v>2441</v>
      </c>
      <c r="AF16" s="457">
        <v>2131</v>
      </c>
      <c r="AG16" s="912">
        <v>2432</v>
      </c>
      <c r="AH16" s="1181">
        <v>2503</v>
      </c>
      <c r="AI16" s="1185">
        <v>2420</v>
      </c>
      <c r="AJ16" s="1629">
        <v>2544</v>
      </c>
      <c r="AK16" s="1629">
        <v>2442</v>
      </c>
      <c r="AL16" s="2243">
        <v>2560</v>
      </c>
    </row>
    <row r="17" spans="1:38" ht="16.5" customHeight="1" x14ac:dyDescent="0.25">
      <c r="A17" s="379" t="s">
        <v>36</v>
      </c>
      <c r="B17" s="380" t="s">
        <v>459</v>
      </c>
      <c r="C17" s="1427" t="s">
        <v>264</v>
      </c>
      <c r="D17" s="453">
        <v>0.16899999999999998</v>
      </c>
      <c r="E17" s="453">
        <v>0.17300000000000001</v>
      </c>
      <c r="F17" s="453">
        <v>0.19500000000000001</v>
      </c>
      <c r="G17" s="453">
        <v>0.18</v>
      </c>
      <c r="H17" s="453">
        <v>0.18100000000000002</v>
      </c>
      <c r="I17" s="453">
        <v>0.20100000000000001</v>
      </c>
      <c r="J17" s="453">
        <v>0.19</v>
      </c>
      <c r="K17" s="453">
        <v>0.21299999999999999</v>
      </c>
      <c r="L17" s="453">
        <v>0.222</v>
      </c>
      <c r="M17" s="453">
        <v>0.22</v>
      </c>
      <c r="N17" s="454">
        <v>0.20499999999999999</v>
      </c>
      <c r="O17" s="905">
        <v>0.25600000000000001</v>
      </c>
      <c r="P17" s="905">
        <v>0.248</v>
      </c>
      <c r="Q17" s="905">
        <v>0.21667792032410532</v>
      </c>
      <c r="R17" s="1624">
        <v>0.21902549033007584</v>
      </c>
      <c r="S17" s="1624">
        <v>0.2214103536223892</v>
      </c>
      <c r="T17" s="2237">
        <v>0.22804818605946661</v>
      </c>
      <c r="U17" s="455"/>
      <c r="V17" s="456">
        <v>2619</v>
      </c>
      <c r="W17" s="456">
        <v>2661</v>
      </c>
      <c r="X17" s="456">
        <v>2973</v>
      </c>
      <c r="Y17" s="456">
        <v>2737</v>
      </c>
      <c r="Z17" s="456">
        <v>2729</v>
      </c>
      <c r="AA17" s="456">
        <v>3001</v>
      </c>
      <c r="AB17" s="456">
        <v>2837</v>
      </c>
      <c r="AC17" s="456">
        <v>3125</v>
      </c>
      <c r="AD17" s="456">
        <v>3234</v>
      </c>
      <c r="AE17" s="456">
        <v>3155</v>
      </c>
      <c r="AF17" s="457">
        <v>3120</v>
      </c>
      <c r="AG17" s="912">
        <v>3840</v>
      </c>
      <c r="AH17" s="1181">
        <v>3688</v>
      </c>
      <c r="AI17" s="1185">
        <v>3209</v>
      </c>
      <c r="AJ17" s="1629">
        <v>3205</v>
      </c>
      <c r="AK17" s="1629">
        <v>3212</v>
      </c>
      <c r="AL17" s="2243">
        <v>3275</v>
      </c>
    </row>
    <row r="18" spans="1:38" ht="16.5" customHeight="1" x14ac:dyDescent="0.25">
      <c r="A18" s="379" t="s">
        <v>38</v>
      </c>
      <c r="B18" s="380" t="s">
        <v>460</v>
      </c>
      <c r="C18" s="1427" t="s">
        <v>268</v>
      </c>
      <c r="D18" s="453">
        <v>0.215</v>
      </c>
      <c r="E18" s="453">
        <v>0.20600000000000002</v>
      </c>
      <c r="F18" s="453">
        <v>0.22899999999999998</v>
      </c>
      <c r="G18" s="453">
        <v>0.217</v>
      </c>
      <c r="H18" s="453">
        <v>0.21100000000000002</v>
      </c>
      <c r="I18" s="453">
        <v>0.26600000000000001</v>
      </c>
      <c r="J18" s="453">
        <v>0.22899999999999998</v>
      </c>
      <c r="K18" s="453">
        <v>0.217</v>
      </c>
      <c r="L18" s="453">
        <v>0.23</v>
      </c>
      <c r="M18" s="453">
        <v>0.26500000000000001</v>
      </c>
      <c r="N18" s="454">
        <v>0.248</v>
      </c>
      <c r="O18" s="905">
        <v>0.24299999999999999</v>
      </c>
      <c r="P18" s="905">
        <v>0.23</v>
      </c>
      <c r="Q18" s="905">
        <v>0.2443899174659826</v>
      </c>
      <c r="R18" s="1624">
        <v>0.23180163785259328</v>
      </c>
      <c r="S18" s="1624">
        <v>0.28767186490726215</v>
      </c>
      <c r="T18" s="2237">
        <v>0.25078459343794579</v>
      </c>
      <c r="U18" s="455"/>
      <c r="V18" s="456">
        <v>5434</v>
      </c>
      <c r="W18" s="456">
        <v>5116</v>
      </c>
      <c r="X18" s="456">
        <v>5610</v>
      </c>
      <c r="Y18" s="456">
        <v>5208</v>
      </c>
      <c r="Z18" s="456">
        <v>4990</v>
      </c>
      <c r="AA18" s="456">
        <v>6221</v>
      </c>
      <c r="AB18" s="456">
        <v>5282</v>
      </c>
      <c r="AC18" s="456">
        <v>4913</v>
      </c>
      <c r="AD18" s="456">
        <v>5127</v>
      </c>
      <c r="AE18" s="456">
        <v>5737</v>
      </c>
      <c r="AF18" s="457">
        <v>5676</v>
      </c>
      <c r="AG18" s="912">
        <v>5459</v>
      </c>
      <c r="AH18" s="1181">
        <v>5223</v>
      </c>
      <c r="AI18" s="1185">
        <v>5478</v>
      </c>
      <c r="AJ18" s="1629">
        <v>5095</v>
      </c>
      <c r="AK18" s="1629">
        <v>6235</v>
      </c>
      <c r="AL18" s="2243">
        <v>5274</v>
      </c>
    </row>
    <row r="19" spans="1:38" ht="16.5" customHeight="1" x14ac:dyDescent="0.25">
      <c r="A19" s="379" t="s">
        <v>40</v>
      </c>
      <c r="B19" s="380" t="s">
        <v>461</v>
      </c>
      <c r="C19" s="1427" t="s">
        <v>266</v>
      </c>
      <c r="D19" s="453">
        <v>0.16899999999999998</v>
      </c>
      <c r="E19" s="453">
        <v>0.16600000000000001</v>
      </c>
      <c r="F19" s="453">
        <v>0.18</v>
      </c>
      <c r="G19" s="453">
        <v>0.17300000000000001</v>
      </c>
      <c r="H19" s="453">
        <v>0.17300000000000001</v>
      </c>
      <c r="I19" s="453">
        <v>0.20800000000000002</v>
      </c>
      <c r="J19" s="453">
        <v>0.17600000000000002</v>
      </c>
      <c r="K19" s="453">
        <v>0.193</v>
      </c>
      <c r="L19" s="453">
        <v>0.19399999999999998</v>
      </c>
      <c r="M19" s="453">
        <v>0.21600000000000003</v>
      </c>
      <c r="N19" s="454">
        <v>0.20499999999999999</v>
      </c>
      <c r="O19" s="905">
        <v>0.21299999999999999</v>
      </c>
      <c r="P19" s="905">
        <v>0.23</v>
      </c>
      <c r="Q19" s="905">
        <v>0.22771415176478468</v>
      </c>
      <c r="R19" s="1624">
        <v>0.22807728685312795</v>
      </c>
      <c r="S19" s="1624">
        <v>0.20222446916076844</v>
      </c>
      <c r="T19" s="2237">
        <v>0.17600700525394045</v>
      </c>
      <c r="U19" s="455"/>
      <c r="V19" s="456">
        <v>2304</v>
      </c>
      <c r="W19" s="456">
        <v>2261</v>
      </c>
      <c r="X19" s="456">
        <v>2471</v>
      </c>
      <c r="Y19" s="456">
        <v>2376</v>
      </c>
      <c r="Z19" s="456">
        <v>2401</v>
      </c>
      <c r="AA19" s="456">
        <v>2859</v>
      </c>
      <c r="AB19" s="456">
        <v>2429</v>
      </c>
      <c r="AC19" s="456">
        <v>2631</v>
      </c>
      <c r="AD19" s="456">
        <v>2640</v>
      </c>
      <c r="AE19" s="456">
        <v>2964</v>
      </c>
      <c r="AF19" s="457">
        <v>3042</v>
      </c>
      <c r="AG19" s="912">
        <v>3190</v>
      </c>
      <c r="AH19" s="1181">
        <v>3414</v>
      </c>
      <c r="AI19" s="1185">
        <v>3400</v>
      </c>
      <c r="AJ19" s="1629">
        <v>3376</v>
      </c>
      <c r="AK19" s="1629">
        <v>3000</v>
      </c>
      <c r="AL19" s="2243">
        <v>2613</v>
      </c>
    </row>
    <row r="20" spans="1:38" ht="16.5" customHeight="1" x14ac:dyDescent="0.25">
      <c r="A20" s="379" t="s">
        <v>42</v>
      </c>
      <c r="B20" s="380" t="s">
        <v>462</v>
      </c>
      <c r="C20" s="1427" t="s">
        <v>265</v>
      </c>
      <c r="D20" s="453">
        <v>9.6000000000000002E-2</v>
      </c>
      <c r="E20" s="453">
        <v>9.6000000000000002E-2</v>
      </c>
      <c r="F20" s="453">
        <v>0.10800000000000001</v>
      </c>
      <c r="G20" s="453">
        <v>0.115</v>
      </c>
      <c r="H20" s="453">
        <v>0.111</v>
      </c>
      <c r="I20" s="453">
        <v>0.11199999999999999</v>
      </c>
      <c r="J20" s="453">
        <v>0.11800000000000001</v>
      </c>
      <c r="K20" s="453">
        <v>0.11599999999999999</v>
      </c>
      <c r="L20" s="453">
        <v>0.121</v>
      </c>
      <c r="M20" s="453">
        <v>0.13100000000000001</v>
      </c>
      <c r="N20" s="454">
        <v>0.14300000000000002</v>
      </c>
      <c r="O20" s="905">
        <v>0.152</v>
      </c>
      <c r="P20" s="905">
        <v>0.14399999999999999</v>
      </c>
      <c r="Q20" s="905">
        <v>0.13262599469496023</v>
      </c>
      <c r="R20" s="1624">
        <v>0.14507609915895248</v>
      </c>
      <c r="S20" s="1624">
        <v>0.11703103220600103</v>
      </c>
      <c r="T20" s="2237">
        <v>0.13272790778903248</v>
      </c>
      <c r="U20" s="455"/>
      <c r="V20" s="456">
        <v>4861</v>
      </c>
      <c r="W20" s="456">
        <v>4873</v>
      </c>
      <c r="X20" s="456">
        <v>5502</v>
      </c>
      <c r="Y20" s="456">
        <v>5936</v>
      </c>
      <c r="Z20" s="456">
        <v>5792</v>
      </c>
      <c r="AA20" s="456">
        <v>5770</v>
      </c>
      <c r="AB20" s="456">
        <v>6152</v>
      </c>
      <c r="AC20" s="456">
        <v>6028</v>
      </c>
      <c r="AD20" s="456">
        <v>6334</v>
      </c>
      <c r="AE20" s="456">
        <v>6859</v>
      </c>
      <c r="AF20" s="457">
        <v>7770</v>
      </c>
      <c r="AG20" s="912">
        <v>8303</v>
      </c>
      <c r="AH20" s="1181">
        <v>7899</v>
      </c>
      <c r="AI20" s="1185">
        <v>7250</v>
      </c>
      <c r="AJ20" s="1629">
        <v>7883</v>
      </c>
      <c r="AK20" s="1629">
        <v>6381</v>
      </c>
      <c r="AL20" s="2243">
        <v>7220</v>
      </c>
    </row>
    <row r="21" spans="1:38" ht="16.5" customHeight="1" x14ac:dyDescent="0.25">
      <c r="A21" s="379" t="s">
        <v>44</v>
      </c>
      <c r="B21" s="380" t="s">
        <v>463</v>
      </c>
      <c r="C21" s="1427" t="s">
        <v>266</v>
      </c>
      <c r="D21" s="453">
        <v>0.10400000000000001</v>
      </c>
      <c r="E21" s="453">
        <v>0.1</v>
      </c>
      <c r="F21" s="453">
        <v>0.109</v>
      </c>
      <c r="G21" s="453">
        <v>0.1</v>
      </c>
      <c r="H21" s="453">
        <v>9.5000000000000001E-2</v>
      </c>
      <c r="I21" s="453">
        <v>9.9000000000000005E-2</v>
      </c>
      <c r="J21" s="453">
        <v>9.4E-2</v>
      </c>
      <c r="K21" s="453">
        <v>9.1999999999999998E-2</v>
      </c>
      <c r="L21" s="453">
        <v>9.3000000000000013E-2</v>
      </c>
      <c r="M21" s="453">
        <v>0.105</v>
      </c>
      <c r="N21" s="454">
        <v>0.112</v>
      </c>
      <c r="O21" s="905">
        <v>0.122</v>
      </c>
      <c r="P21" s="905">
        <v>0.121</v>
      </c>
      <c r="Q21" s="905">
        <v>0.14478044016602143</v>
      </c>
      <c r="R21" s="1624">
        <v>0.10994890085393876</v>
      </c>
      <c r="S21" s="1624">
        <v>0.12029434810751882</v>
      </c>
      <c r="T21" s="2237">
        <v>9.9448075034706943E-2</v>
      </c>
      <c r="U21" s="455"/>
      <c r="V21" s="456">
        <v>2265</v>
      </c>
      <c r="W21" s="456">
        <v>2197</v>
      </c>
      <c r="X21" s="456">
        <v>2470</v>
      </c>
      <c r="Y21" s="456">
        <v>2352</v>
      </c>
      <c r="Z21" s="456">
        <v>2396</v>
      </c>
      <c r="AA21" s="456">
        <v>2472</v>
      </c>
      <c r="AB21" s="456">
        <v>2449</v>
      </c>
      <c r="AC21" s="456">
        <v>2446</v>
      </c>
      <c r="AD21" s="456">
        <v>2518</v>
      </c>
      <c r="AE21" s="456">
        <v>2845</v>
      </c>
      <c r="AF21" s="457">
        <v>3150</v>
      </c>
      <c r="AG21" s="912">
        <v>3422</v>
      </c>
      <c r="AH21" s="1181">
        <v>3433</v>
      </c>
      <c r="AI21" s="1185">
        <v>4151</v>
      </c>
      <c r="AJ21" s="1629">
        <v>3206</v>
      </c>
      <c r="AK21" s="1629">
        <v>3531</v>
      </c>
      <c r="AL21" s="2243">
        <v>2937</v>
      </c>
    </row>
    <row r="22" spans="1:38" ht="16.5" customHeight="1" x14ac:dyDescent="0.25">
      <c r="A22" s="379" t="s">
        <v>46</v>
      </c>
      <c r="B22" s="380" t="s">
        <v>464</v>
      </c>
      <c r="C22" s="1427" t="s">
        <v>268</v>
      </c>
      <c r="D22" s="453">
        <v>0.12300000000000001</v>
      </c>
      <c r="E22" s="453">
        <v>0.128</v>
      </c>
      <c r="F22" s="453">
        <v>0.13600000000000001</v>
      </c>
      <c r="G22" s="453">
        <v>0.13900000000000001</v>
      </c>
      <c r="H22" s="453">
        <v>0.13300000000000001</v>
      </c>
      <c r="I22" s="453">
        <v>0.16399999999999998</v>
      </c>
      <c r="J22" s="453">
        <v>0.13900000000000001</v>
      </c>
      <c r="K22" s="453">
        <v>0.13900000000000001</v>
      </c>
      <c r="L22" s="453">
        <v>0.157</v>
      </c>
      <c r="M22" s="453">
        <v>0.16899999999999998</v>
      </c>
      <c r="N22" s="454">
        <v>0.17600000000000002</v>
      </c>
      <c r="O22" s="905">
        <v>0.19899999999999998</v>
      </c>
      <c r="P22" s="905">
        <v>0.19600000000000001</v>
      </c>
      <c r="Q22" s="905">
        <v>0.16512121927369591</v>
      </c>
      <c r="R22" s="1624">
        <v>0.1699537540805223</v>
      </c>
      <c r="S22" s="1624">
        <v>0.15021182850364345</v>
      </c>
      <c r="T22" s="2237">
        <v>0.16297484555786887</v>
      </c>
      <c r="U22" s="455"/>
      <c r="V22" s="456">
        <v>3612</v>
      </c>
      <c r="W22" s="456">
        <v>3725</v>
      </c>
      <c r="X22" s="456">
        <v>4004</v>
      </c>
      <c r="Y22" s="456">
        <v>4090</v>
      </c>
      <c r="Z22" s="456">
        <v>3931</v>
      </c>
      <c r="AA22" s="456">
        <v>4720</v>
      </c>
      <c r="AB22" s="456">
        <v>4070</v>
      </c>
      <c r="AC22" s="456">
        <v>4033</v>
      </c>
      <c r="AD22" s="456">
        <v>4549</v>
      </c>
      <c r="AE22" s="456">
        <v>4886</v>
      </c>
      <c r="AF22" s="457">
        <v>5248</v>
      </c>
      <c r="AG22" s="912">
        <v>5929</v>
      </c>
      <c r="AH22" s="1181">
        <v>5794</v>
      </c>
      <c r="AI22" s="1185">
        <v>4897</v>
      </c>
      <c r="AJ22" s="1629">
        <v>4998</v>
      </c>
      <c r="AK22" s="1629">
        <v>4432</v>
      </c>
      <c r="AL22" s="2243">
        <v>4775</v>
      </c>
    </row>
    <row r="23" spans="1:38" ht="16.5" customHeight="1" x14ac:dyDescent="0.25">
      <c r="A23" s="379" t="s">
        <v>48</v>
      </c>
      <c r="B23" s="380" t="s">
        <v>465</v>
      </c>
      <c r="C23" s="1427" t="s">
        <v>266</v>
      </c>
      <c r="D23" s="453">
        <v>9.5000000000000001E-2</v>
      </c>
      <c r="E23" s="453">
        <v>8.5999999999999993E-2</v>
      </c>
      <c r="F23" s="453">
        <v>9.6000000000000002E-2</v>
      </c>
      <c r="G23" s="453">
        <v>0.10400000000000001</v>
      </c>
      <c r="H23" s="453">
        <v>9.9000000000000005E-2</v>
      </c>
      <c r="I23" s="453">
        <v>0.109</v>
      </c>
      <c r="J23" s="453">
        <v>0.105</v>
      </c>
      <c r="K23" s="453">
        <v>0.106</v>
      </c>
      <c r="L23" s="453">
        <v>0.11199999999999999</v>
      </c>
      <c r="M23" s="453">
        <v>0.10199999999999999</v>
      </c>
      <c r="N23" s="454">
        <v>0.11900000000000001</v>
      </c>
      <c r="O23" s="905">
        <v>0.11699999999999999</v>
      </c>
      <c r="P23" s="905">
        <v>0.13300000000000001</v>
      </c>
      <c r="Q23" s="905">
        <v>0.12169386606640405</v>
      </c>
      <c r="R23" s="1624">
        <v>0.13121073672187322</v>
      </c>
      <c r="S23" s="1624">
        <v>0.11595441595441595</v>
      </c>
      <c r="T23" s="2237">
        <v>0.12443246311010216</v>
      </c>
      <c r="U23" s="455"/>
      <c r="V23" s="459">
        <v>672</v>
      </c>
      <c r="W23" s="459">
        <v>611</v>
      </c>
      <c r="X23" s="459">
        <v>686</v>
      </c>
      <c r="Y23" s="459">
        <v>744</v>
      </c>
      <c r="Z23" s="459">
        <v>712</v>
      </c>
      <c r="AA23" s="459">
        <v>772</v>
      </c>
      <c r="AB23" s="459">
        <v>753</v>
      </c>
      <c r="AC23" s="459">
        <v>755</v>
      </c>
      <c r="AD23" s="456">
        <v>809</v>
      </c>
      <c r="AE23" s="456">
        <v>735</v>
      </c>
      <c r="AF23" s="457">
        <v>864</v>
      </c>
      <c r="AG23" s="912">
        <v>843</v>
      </c>
      <c r="AH23" s="1181">
        <v>946</v>
      </c>
      <c r="AI23" s="1185">
        <v>865</v>
      </c>
      <c r="AJ23" s="1629">
        <v>919</v>
      </c>
      <c r="AK23" s="1629">
        <v>814</v>
      </c>
      <c r="AL23" s="2243">
        <v>877</v>
      </c>
    </row>
    <row r="24" spans="1:38" ht="16.5" customHeight="1" x14ac:dyDescent="0.25">
      <c r="A24" s="379" t="s">
        <v>50</v>
      </c>
      <c r="B24" s="380" t="s">
        <v>466</v>
      </c>
      <c r="C24" s="1427" t="s">
        <v>265</v>
      </c>
      <c r="D24" s="453">
        <v>0.14699999999999999</v>
      </c>
      <c r="E24" s="453">
        <v>0.14400000000000002</v>
      </c>
      <c r="F24" s="453">
        <v>0.157</v>
      </c>
      <c r="G24" s="453">
        <v>0.161</v>
      </c>
      <c r="H24" s="453">
        <v>0.152</v>
      </c>
      <c r="I24" s="453">
        <v>0.17399999999999999</v>
      </c>
      <c r="J24" s="453">
        <v>0.17300000000000001</v>
      </c>
      <c r="K24" s="453">
        <v>0.18100000000000002</v>
      </c>
      <c r="L24" s="453">
        <v>0.17199999999999999</v>
      </c>
      <c r="M24" s="453">
        <v>0.18899999999999997</v>
      </c>
      <c r="N24" s="454">
        <v>0.18600000000000003</v>
      </c>
      <c r="O24" s="905">
        <v>0.20899999999999999</v>
      </c>
      <c r="P24" s="905">
        <v>0.185</v>
      </c>
      <c r="Q24" s="905">
        <v>0.19663199603764239</v>
      </c>
      <c r="R24" s="1624">
        <v>0.20732618988288065</v>
      </c>
      <c r="S24" s="1624">
        <v>0.19230769230769232</v>
      </c>
      <c r="T24" s="2237">
        <v>0.20849744406268331</v>
      </c>
      <c r="U24" s="455"/>
      <c r="V24" s="456">
        <v>1779</v>
      </c>
      <c r="W24" s="456">
        <v>1781</v>
      </c>
      <c r="X24" s="456">
        <v>1935</v>
      </c>
      <c r="Y24" s="456">
        <v>1974</v>
      </c>
      <c r="Z24" s="456">
        <v>1871</v>
      </c>
      <c r="AA24" s="456">
        <v>2097</v>
      </c>
      <c r="AB24" s="456">
        <v>2118</v>
      </c>
      <c r="AC24" s="456">
        <v>2187</v>
      </c>
      <c r="AD24" s="456">
        <v>2071</v>
      </c>
      <c r="AE24" s="456">
        <v>2237</v>
      </c>
      <c r="AF24" s="457">
        <v>2309</v>
      </c>
      <c r="AG24" s="912">
        <v>2572</v>
      </c>
      <c r="AH24" s="1181">
        <v>2262</v>
      </c>
      <c r="AI24" s="1185">
        <v>2382</v>
      </c>
      <c r="AJ24" s="1629">
        <v>2496</v>
      </c>
      <c r="AK24" s="1629">
        <v>2310</v>
      </c>
      <c r="AL24" s="2243">
        <v>2488</v>
      </c>
    </row>
    <row r="25" spans="1:38" ht="16.5" customHeight="1" x14ac:dyDescent="0.25">
      <c r="A25" s="379" t="s">
        <v>56</v>
      </c>
      <c r="B25" s="380" t="s">
        <v>741</v>
      </c>
      <c r="C25" s="1427" t="s">
        <v>266</v>
      </c>
      <c r="D25" s="453">
        <v>4.8799999999999996E-2</v>
      </c>
      <c r="E25" s="453">
        <v>5.0799999999999998E-2</v>
      </c>
      <c r="F25" s="453">
        <v>5.9500000000000004E-2</v>
      </c>
      <c r="G25" s="453">
        <v>6.7400000000000002E-2</v>
      </c>
      <c r="H25" s="453">
        <v>6.5500000000000003E-2</v>
      </c>
      <c r="I25" s="453">
        <v>6.4500000000000002E-2</v>
      </c>
      <c r="J25" s="453">
        <v>5.5999999999999994E-2</v>
      </c>
      <c r="K25" s="453">
        <v>5.8899999999999994E-2</v>
      </c>
      <c r="L25" s="453">
        <v>5.8799999999999998E-2</v>
      </c>
      <c r="M25" s="453">
        <v>6.2300000000000001E-2</v>
      </c>
      <c r="N25" s="454">
        <v>7.0308637779240374E-2</v>
      </c>
      <c r="O25" s="905">
        <v>7.3295784531991093E-2</v>
      </c>
      <c r="P25" s="905">
        <v>7.4999999999999997E-2</v>
      </c>
      <c r="Q25" s="905">
        <v>8.1271283302108005E-2</v>
      </c>
      <c r="R25" s="1624">
        <v>8.4319663951356497E-2</v>
      </c>
      <c r="S25" s="1624">
        <v>7.1249486644131665E-2</v>
      </c>
      <c r="T25" s="2237">
        <v>7.196339079134971E-2</v>
      </c>
      <c r="U25" s="455"/>
      <c r="V25" s="456">
        <v>13693</v>
      </c>
      <c r="W25" s="456">
        <v>14416</v>
      </c>
      <c r="X25" s="456">
        <v>17303</v>
      </c>
      <c r="Y25" s="456">
        <v>19974</v>
      </c>
      <c r="Z25" s="456">
        <v>20050</v>
      </c>
      <c r="AA25" s="456">
        <v>19397</v>
      </c>
      <c r="AB25" s="456">
        <v>17221</v>
      </c>
      <c r="AC25" s="456">
        <v>18421</v>
      </c>
      <c r="AD25" s="456">
        <v>18608</v>
      </c>
      <c r="AE25" s="456">
        <v>19992</v>
      </c>
      <c r="AF25" s="457">
        <v>23091</v>
      </c>
      <c r="AG25" s="912">
        <v>24231</v>
      </c>
      <c r="AH25" s="1181">
        <v>25129</v>
      </c>
      <c r="AI25" s="1185">
        <v>27589</v>
      </c>
      <c r="AJ25" s="1629">
        <v>29066</v>
      </c>
      <c r="AK25" s="1629">
        <v>24809</v>
      </c>
      <c r="AL25" s="2243">
        <v>25287</v>
      </c>
    </row>
    <row r="26" spans="1:38" ht="16.5" customHeight="1" x14ac:dyDescent="0.25">
      <c r="A26" s="379" t="s">
        <v>58</v>
      </c>
      <c r="B26" s="380" t="s">
        <v>467</v>
      </c>
      <c r="C26" s="1427" t="s">
        <v>267</v>
      </c>
      <c r="D26" s="453">
        <v>6.5000000000000002E-2</v>
      </c>
      <c r="E26" s="453">
        <v>6.4000000000000001E-2</v>
      </c>
      <c r="F26" s="453">
        <v>6.7000000000000004E-2</v>
      </c>
      <c r="G26" s="453">
        <v>6.7000000000000004E-2</v>
      </c>
      <c r="H26" s="453">
        <v>6.0999999999999999E-2</v>
      </c>
      <c r="I26" s="453">
        <v>6.6000000000000003E-2</v>
      </c>
      <c r="J26" s="453">
        <v>6.4000000000000001E-2</v>
      </c>
      <c r="K26" s="453">
        <v>6.3E-2</v>
      </c>
      <c r="L26" s="453">
        <v>7.5999999999999998E-2</v>
      </c>
      <c r="M26" s="453">
        <v>7.5999999999999998E-2</v>
      </c>
      <c r="N26" s="454">
        <v>8.3000000000000004E-2</v>
      </c>
      <c r="O26" s="905">
        <v>8.199999999999999E-2</v>
      </c>
      <c r="P26" s="905">
        <v>8.5999999999999993E-2</v>
      </c>
      <c r="Q26" s="905">
        <v>7.9048295454545461E-2</v>
      </c>
      <c r="R26" s="1624">
        <v>8.2114338209313825E-2</v>
      </c>
      <c r="S26" s="1624">
        <v>8.3527501235613921E-2</v>
      </c>
      <c r="T26" s="2237">
        <v>7.8687367678193371E-2</v>
      </c>
      <c r="U26" s="455"/>
      <c r="V26" s="459">
        <v>831</v>
      </c>
      <c r="W26" s="459">
        <v>833</v>
      </c>
      <c r="X26" s="459">
        <v>878</v>
      </c>
      <c r="Y26" s="459">
        <v>914</v>
      </c>
      <c r="Z26" s="459">
        <v>857</v>
      </c>
      <c r="AA26" s="459">
        <v>917</v>
      </c>
      <c r="AB26" s="459">
        <v>917</v>
      </c>
      <c r="AC26" s="459">
        <v>892</v>
      </c>
      <c r="AD26" s="456">
        <v>1085</v>
      </c>
      <c r="AE26" s="456">
        <v>1091</v>
      </c>
      <c r="AF26" s="457">
        <v>1147</v>
      </c>
      <c r="AG26" s="912">
        <v>1145</v>
      </c>
      <c r="AH26" s="1181">
        <v>1207</v>
      </c>
      <c r="AI26" s="1185">
        <v>1113</v>
      </c>
      <c r="AJ26" s="1629">
        <v>1162</v>
      </c>
      <c r="AK26" s="1629">
        <v>1183</v>
      </c>
      <c r="AL26" s="2243">
        <v>1115</v>
      </c>
    </row>
    <row r="27" spans="1:38" ht="16.5" customHeight="1" x14ac:dyDescent="0.25">
      <c r="A27" s="379" t="s">
        <v>60</v>
      </c>
      <c r="B27" s="380" t="s">
        <v>468</v>
      </c>
      <c r="C27" s="1427" t="s">
        <v>265</v>
      </c>
      <c r="D27" s="453">
        <v>8.4000000000000005E-2</v>
      </c>
      <c r="E27" s="453">
        <v>0.08</v>
      </c>
      <c r="F27" s="453">
        <v>8.8000000000000009E-2</v>
      </c>
      <c r="G27" s="453">
        <v>9.6000000000000002E-2</v>
      </c>
      <c r="H27" s="453">
        <v>9.0999999999999998E-2</v>
      </c>
      <c r="I27" s="453">
        <v>0.10400000000000001</v>
      </c>
      <c r="J27" s="453">
        <v>0.106</v>
      </c>
      <c r="K27" s="453">
        <v>0.10300000000000001</v>
      </c>
      <c r="L27" s="453">
        <v>0.11199999999999999</v>
      </c>
      <c r="M27" s="453">
        <v>9.8000000000000004E-2</v>
      </c>
      <c r="N27" s="454">
        <v>0.11599999999999999</v>
      </c>
      <c r="O27" s="905">
        <v>0.122</v>
      </c>
      <c r="P27" s="905">
        <v>0.13500000000000001</v>
      </c>
      <c r="Q27" s="905">
        <v>0.12883317261330762</v>
      </c>
      <c r="R27" s="1624">
        <v>0.12358472462099405</v>
      </c>
      <c r="S27" s="1624">
        <v>0.11933680354732987</v>
      </c>
      <c r="T27" s="2237">
        <v>0.12626656274356976</v>
      </c>
      <c r="U27" s="455"/>
      <c r="V27" s="459">
        <v>428</v>
      </c>
      <c r="W27" s="459">
        <v>407</v>
      </c>
      <c r="X27" s="459">
        <v>457</v>
      </c>
      <c r="Y27" s="459">
        <v>493</v>
      </c>
      <c r="Z27" s="459">
        <v>471</v>
      </c>
      <c r="AA27" s="459">
        <v>531</v>
      </c>
      <c r="AB27" s="459">
        <v>544</v>
      </c>
      <c r="AC27" s="459">
        <v>528</v>
      </c>
      <c r="AD27" s="456">
        <v>565</v>
      </c>
      <c r="AE27" s="456">
        <v>486</v>
      </c>
      <c r="AF27" s="457">
        <v>599</v>
      </c>
      <c r="AG27" s="912">
        <v>619</v>
      </c>
      <c r="AH27" s="1181">
        <v>699</v>
      </c>
      <c r="AI27" s="1185">
        <v>668</v>
      </c>
      <c r="AJ27" s="1629">
        <v>644</v>
      </c>
      <c r="AK27" s="1629">
        <v>619</v>
      </c>
      <c r="AL27" s="2243">
        <v>648</v>
      </c>
    </row>
    <row r="28" spans="1:38" ht="16.5" customHeight="1" x14ac:dyDescent="0.25">
      <c r="A28" s="379" t="s">
        <v>62</v>
      </c>
      <c r="B28" s="380" t="s">
        <v>469</v>
      </c>
      <c r="C28" s="1427" t="s">
        <v>267</v>
      </c>
      <c r="D28" s="453">
        <v>0.09</v>
      </c>
      <c r="E28" s="453">
        <v>8.5999999999999993E-2</v>
      </c>
      <c r="F28" s="453">
        <v>8.8000000000000009E-2</v>
      </c>
      <c r="G28" s="453">
        <v>9.1999999999999998E-2</v>
      </c>
      <c r="H28" s="453">
        <v>8.8000000000000009E-2</v>
      </c>
      <c r="I28" s="453">
        <v>9.0999999999999998E-2</v>
      </c>
      <c r="J28" s="453">
        <v>8.4000000000000005E-2</v>
      </c>
      <c r="K28" s="453">
        <v>8.3000000000000004E-2</v>
      </c>
      <c r="L28" s="453">
        <v>8.1000000000000003E-2</v>
      </c>
      <c r="M28" s="453">
        <v>9.6000000000000002E-2</v>
      </c>
      <c r="N28" s="454">
        <v>0.105</v>
      </c>
      <c r="O28" s="905">
        <v>0.11699999999999999</v>
      </c>
      <c r="P28" s="905">
        <v>0.109</v>
      </c>
      <c r="Q28" s="905">
        <v>0.10147036791301928</v>
      </c>
      <c r="R28" s="1624">
        <v>0.10986674525819422</v>
      </c>
      <c r="S28" s="1624">
        <v>0.10225943869027732</v>
      </c>
      <c r="T28" s="2237">
        <v>9.8300470258229522E-2</v>
      </c>
      <c r="U28" s="455"/>
      <c r="V28" s="456">
        <v>3050</v>
      </c>
      <c r="W28" s="456">
        <v>3019</v>
      </c>
      <c r="X28" s="456">
        <v>3271</v>
      </c>
      <c r="Y28" s="456">
        <v>3571</v>
      </c>
      <c r="Z28" s="456">
        <v>3613</v>
      </c>
      <c r="AA28" s="456">
        <v>3722</v>
      </c>
      <c r="AB28" s="456">
        <v>3620</v>
      </c>
      <c r="AC28" s="456">
        <v>3621</v>
      </c>
      <c r="AD28" s="456">
        <v>3612</v>
      </c>
      <c r="AE28" s="456">
        <v>4296</v>
      </c>
      <c r="AF28" s="457">
        <v>4720</v>
      </c>
      <c r="AG28" s="912">
        <v>5335</v>
      </c>
      <c r="AH28" s="1181">
        <v>5034</v>
      </c>
      <c r="AI28" s="1185">
        <v>4741</v>
      </c>
      <c r="AJ28" s="1629">
        <v>5219</v>
      </c>
      <c r="AK28" s="1629">
        <v>4897</v>
      </c>
      <c r="AL28" s="2243">
        <v>4766</v>
      </c>
    </row>
    <row r="29" spans="1:38" ht="16.5" customHeight="1" x14ac:dyDescent="0.25">
      <c r="A29" s="379" t="s">
        <v>64</v>
      </c>
      <c r="B29" s="380" t="s">
        <v>470</v>
      </c>
      <c r="C29" s="1427" t="s">
        <v>266</v>
      </c>
      <c r="D29" s="453">
        <v>0.13500000000000001</v>
      </c>
      <c r="E29" s="453">
        <v>0.13100000000000001</v>
      </c>
      <c r="F29" s="453">
        <v>0.13699999999999998</v>
      </c>
      <c r="G29" s="453">
        <v>0.14099999999999999</v>
      </c>
      <c r="H29" s="453">
        <v>0.13900000000000001</v>
      </c>
      <c r="I29" s="453">
        <v>0.161</v>
      </c>
      <c r="J29" s="453">
        <v>0.15</v>
      </c>
      <c r="K29" s="453">
        <v>0.14899999999999999</v>
      </c>
      <c r="L29" s="453">
        <v>0.158</v>
      </c>
      <c r="M29" s="453">
        <v>0.155</v>
      </c>
      <c r="N29" s="454">
        <v>0.17199999999999999</v>
      </c>
      <c r="O29" s="905">
        <v>0.17899999999999999</v>
      </c>
      <c r="P29" s="905">
        <v>0.17299999999999999</v>
      </c>
      <c r="Q29" s="905">
        <v>0.18230918169774787</v>
      </c>
      <c r="R29" s="1624">
        <v>0.1898592124056315</v>
      </c>
      <c r="S29" s="1624">
        <v>0.19562525794469665</v>
      </c>
      <c r="T29" s="2237">
        <v>0.18156308459779671</v>
      </c>
      <c r="U29" s="455"/>
      <c r="V29" s="456">
        <v>1205</v>
      </c>
      <c r="W29" s="456">
        <v>1185</v>
      </c>
      <c r="X29" s="456">
        <v>1261</v>
      </c>
      <c r="Y29" s="456">
        <v>1301</v>
      </c>
      <c r="Z29" s="456">
        <v>1306</v>
      </c>
      <c r="AA29" s="456">
        <v>1502</v>
      </c>
      <c r="AB29" s="456">
        <v>1411</v>
      </c>
      <c r="AC29" s="456">
        <v>1432</v>
      </c>
      <c r="AD29" s="456">
        <v>1520</v>
      </c>
      <c r="AE29" s="456">
        <v>1503</v>
      </c>
      <c r="AF29" s="457">
        <v>1721</v>
      </c>
      <c r="AG29" s="912">
        <v>1782</v>
      </c>
      <c r="AH29" s="1181">
        <v>1695</v>
      </c>
      <c r="AI29" s="1185">
        <v>1789</v>
      </c>
      <c r="AJ29" s="1629">
        <v>1861</v>
      </c>
      <c r="AK29" s="1629">
        <v>1896</v>
      </c>
      <c r="AL29" s="2243">
        <v>1747</v>
      </c>
    </row>
    <row r="30" spans="1:38" ht="16.5" customHeight="1" x14ac:dyDescent="0.25">
      <c r="A30" s="379" t="s">
        <v>68</v>
      </c>
      <c r="B30" s="380" t="s">
        <v>471</v>
      </c>
      <c r="C30" s="1427" t="s">
        <v>268</v>
      </c>
      <c r="D30" s="453">
        <v>0.193</v>
      </c>
      <c r="E30" s="453">
        <v>0.183</v>
      </c>
      <c r="F30" s="453">
        <v>0.18899999999999997</v>
      </c>
      <c r="G30" s="453">
        <v>0.185</v>
      </c>
      <c r="H30" s="453">
        <v>0.183</v>
      </c>
      <c r="I30" s="453">
        <v>0.22800000000000001</v>
      </c>
      <c r="J30" s="453">
        <v>0.192</v>
      </c>
      <c r="K30" s="453">
        <v>0.21299999999999999</v>
      </c>
      <c r="L30" s="453">
        <v>0.218</v>
      </c>
      <c r="M30" s="453">
        <v>0.20499999999999999</v>
      </c>
      <c r="N30" s="454">
        <v>0.22999999999999998</v>
      </c>
      <c r="O30" s="905">
        <v>0.218</v>
      </c>
      <c r="P30" s="905">
        <v>0.21299999999999999</v>
      </c>
      <c r="Q30" s="905">
        <v>0.21787783920602144</v>
      </c>
      <c r="R30" s="1624">
        <v>0.21326056195674145</v>
      </c>
      <c r="S30" s="1624">
        <v>0.2503413435281267</v>
      </c>
      <c r="T30" s="2237">
        <v>0.25631392193696512</v>
      </c>
      <c r="U30" s="455"/>
      <c r="V30" s="456">
        <v>3126</v>
      </c>
      <c r="W30" s="456">
        <v>2945</v>
      </c>
      <c r="X30" s="456">
        <v>3038</v>
      </c>
      <c r="Y30" s="456">
        <v>2988</v>
      </c>
      <c r="Z30" s="456">
        <v>2972</v>
      </c>
      <c r="AA30" s="456">
        <v>3664</v>
      </c>
      <c r="AB30" s="456">
        <v>3078</v>
      </c>
      <c r="AC30" s="456">
        <v>3382</v>
      </c>
      <c r="AD30" s="456">
        <v>3508</v>
      </c>
      <c r="AE30" s="456">
        <v>3240</v>
      </c>
      <c r="AF30" s="457">
        <v>3567</v>
      </c>
      <c r="AG30" s="912">
        <v>3357</v>
      </c>
      <c r="AH30" s="1181">
        <v>3243</v>
      </c>
      <c r="AI30" s="1185">
        <v>3271</v>
      </c>
      <c r="AJ30" s="1629">
        <v>3165</v>
      </c>
      <c r="AK30" s="1629">
        <v>3667</v>
      </c>
      <c r="AL30" s="2243">
        <v>3684</v>
      </c>
    </row>
    <row r="31" spans="1:38" ht="16.5" customHeight="1" x14ac:dyDescent="0.25">
      <c r="A31" s="379" t="s">
        <v>70</v>
      </c>
      <c r="B31" s="380" t="s">
        <v>472</v>
      </c>
      <c r="C31" s="1427" t="s">
        <v>264</v>
      </c>
      <c r="D31" s="453">
        <v>9.4E-2</v>
      </c>
      <c r="E31" s="453">
        <v>8.8000000000000009E-2</v>
      </c>
      <c r="F31" s="453">
        <v>9.1999999999999998E-2</v>
      </c>
      <c r="G31" s="453">
        <v>0.10400000000000001</v>
      </c>
      <c r="H31" s="453">
        <v>0.10099999999999999</v>
      </c>
      <c r="I31" s="453">
        <v>0.10199999999999999</v>
      </c>
      <c r="J31" s="453">
        <v>0.111</v>
      </c>
      <c r="K31" s="453">
        <v>0.11</v>
      </c>
      <c r="L31" s="453">
        <v>0.113</v>
      </c>
      <c r="M31" s="453">
        <v>0.11199999999999999</v>
      </c>
      <c r="N31" s="454">
        <v>0.11900000000000001</v>
      </c>
      <c r="O31" s="905">
        <v>0.13300000000000001</v>
      </c>
      <c r="P31" s="905">
        <v>0.13100000000000001</v>
      </c>
      <c r="Q31" s="905">
        <v>0.1451978640918733</v>
      </c>
      <c r="R31" s="1624">
        <v>0.12132743039039919</v>
      </c>
      <c r="S31" s="1624">
        <v>0.12385152517456817</v>
      </c>
      <c r="T31" s="2237">
        <v>0.12982520029133285</v>
      </c>
      <c r="U31" s="455"/>
      <c r="V31" s="456">
        <v>2223</v>
      </c>
      <c r="W31" s="456">
        <v>2095</v>
      </c>
      <c r="X31" s="456">
        <v>2229</v>
      </c>
      <c r="Y31" s="456">
        <v>2547</v>
      </c>
      <c r="Z31" s="456">
        <v>2508</v>
      </c>
      <c r="AA31" s="456">
        <v>2499</v>
      </c>
      <c r="AB31" s="456">
        <v>2768</v>
      </c>
      <c r="AC31" s="456">
        <v>2748</v>
      </c>
      <c r="AD31" s="456">
        <v>2850</v>
      </c>
      <c r="AE31" s="456">
        <v>2839</v>
      </c>
      <c r="AF31" s="457">
        <v>3249</v>
      </c>
      <c r="AG31" s="912">
        <v>3625</v>
      </c>
      <c r="AH31" s="1181">
        <v>3596</v>
      </c>
      <c r="AI31" s="1185">
        <v>3970</v>
      </c>
      <c r="AJ31" s="1629">
        <v>3316</v>
      </c>
      <c r="AK31" s="1629">
        <v>3370</v>
      </c>
      <c r="AL31" s="2243">
        <v>3565</v>
      </c>
    </row>
    <row r="32" spans="1:38" ht="16.5" customHeight="1" x14ac:dyDescent="0.25">
      <c r="A32" s="379" t="s">
        <v>72</v>
      </c>
      <c r="B32" s="380" t="s">
        <v>473</v>
      </c>
      <c r="C32" s="1427" t="s">
        <v>266</v>
      </c>
      <c r="D32" s="453">
        <v>0.122</v>
      </c>
      <c r="E32" s="453">
        <v>0.113</v>
      </c>
      <c r="F32" s="453">
        <v>0.124</v>
      </c>
      <c r="G32" s="453">
        <v>0.126</v>
      </c>
      <c r="H32" s="453">
        <v>0.11699999999999999</v>
      </c>
      <c r="I32" s="453">
        <v>0.126</v>
      </c>
      <c r="J32" s="453">
        <v>0.124</v>
      </c>
      <c r="K32" s="453">
        <v>0.121</v>
      </c>
      <c r="L32" s="453">
        <v>0.13</v>
      </c>
      <c r="M32" s="453">
        <v>0.13300000000000001</v>
      </c>
      <c r="N32" s="454">
        <v>0.14099999999999999</v>
      </c>
      <c r="O32" s="905">
        <v>0.14899999999999999</v>
      </c>
      <c r="P32" s="905">
        <v>0.157</v>
      </c>
      <c r="Q32" s="905">
        <v>0.15535295179635314</v>
      </c>
      <c r="R32" s="1624">
        <v>0.14509947070633328</v>
      </c>
      <c r="S32" s="1624">
        <v>0.15514886642993717</v>
      </c>
      <c r="T32" s="2237">
        <v>0.13115202333211812</v>
      </c>
      <c r="U32" s="455"/>
      <c r="V32" s="456">
        <v>1195</v>
      </c>
      <c r="W32" s="456">
        <v>1121</v>
      </c>
      <c r="X32" s="456">
        <v>1264</v>
      </c>
      <c r="Y32" s="456">
        <v>1286</v>
      </c>
      <c r="Z32" s="456">
        <v>1211</v>
      </c>
      <c r="AA32" s="456">
        <v>1291</v>
      </c>
      <c r="AB32" s="456">
        <v>1294</v>
      </c>
      <c r="AC32" s="456">
        <v>1295</v>
      </c>
      <c r="AD32" s="456">
        <v>1412</v>
      </c>
      <c r="AE32" s="456">
        <v>1459</v>
      </c>
      <c r="AF32" s="457">
        <v>1553</v>
      </c>
      <c r="AG32" s="912">
        <v>1646</v>
      </c>
      <c r="AH32" s="1181">
        <v>1741</v>
      </c>
      <c r="AI32" s="1185">
        <v>1721</v>
      </c>
      <c r="AJ32" s="1629">
        <v>1590</v>
      </c>
      <c r="AK32" s="1629">
        <v>1704</v>
      </c>
      <c r="AL32" s="2243">
        <v>1439</v>
      </c>
    </row>
    <row r="33" spans="1:38" ht="16.5" customHeight="1" x14ac:dyDescent="0.25">
      <c r="A33" s="379" t="s">
        <v>74</v>
      </c>
      <c r="B33" s="380" t="s">
        <v>609</v>
      </c>
      <c r="C33" s="1427" t="s">
        <v>267</v>
      </c>
      <c r="D33" s="453">
        <v>4.0999999999999995E-2</v>
      </c>
      <c r="E33" s="453">
        <v>4.3899999999999995E-2</v>
      </c>
      <c r="F33" s="453">
        <v>0.05</v>
      </c>
      <c r="G33" s="453">
        <v>5.7599999999999998E-2</v>
      </c>
      <c r="H33" s="453">
        <v>5.2699999999999997E-2</v>
      </c>
      <c r="I33" s="453">
        <v>5.0799999999999998E-2</v>
      </c>
      <c r="J33" s="453">
        <v>5.1799999999999999E-2</v>
      </c>
      <c r="K33" s="453">
        <v>4.8899999999999999E-2</v>
      </c>
      <c r="L33" s="453">
        <v>4.8899999999999999E-2</v>
      </c>
      <c r="M33" s="453">
        <v>5.5999999999999994E-2</v>
      </c>
      <c r="N33" s="454">
        <v>5.8925506050903943E-2</v>
      </c>
      <c r="O33" s="905">
        <v>6.7652399342249744E-2</v>
      </c>
      <c r="P33" s="905">
        <v>0.06</v>
      </c>
      <c r="Q33" s="905">
        <v>5.96407525392708E-2</v>
      </c>
      <c r="R33" s="1624">
        <v>6.6558716423477798E-2</v>
      </c>
      <c r="S33" s="1624">
        <v>6.1822398928343229E-2</v>
      </c>
      <c r="T33" s="2237">
        <v>6.002282132006214E-2</v>
      </c>
      <c r="U33" s="455"/>
      <c r="V33" s="456">
        <v>42235</v>
      </c>
      <c r="W33" s="456">
        <v>44521</v>
      </c>
      <c r="X33" s="456">
        <v>51470</v>
      </c>
      <c r="Y33" s="456">
        <v>59756</v>
      </c>
      <c r="Z33" s="456">
        <v>54921</v>
      </c>
      <c r="AA33" s="456">
        <v>52050</v>
      </c>
      <c r="AB33" s="456">
        <v>53870</v>
      </c>
      <c r="AC33" s="456">
        <v>50909</v>
      </c>
      <c r="AD33" s="456">
        <v>50622</v>
      </c>
      <c r="AE33" s="456">
        <v>59537</v>
      </c>
      <c r="AF33" s="457">
        <v>65890</v>
      </c>
      <c r="AG33" s="912">
        <v>75783</v>
      </c>
      <c r="AH33" s="1181">
        <v>68906</v>
      </c>
      <c r="AI33" s="1185">
        <v>68953</v>
      </c>
      <c r="AJ33" s="1629">
        <v>77441</v>
      </c>
      <c r="AK33" s="1629">
        <v>72180</v>
      </c>
      <c r="AL33" s="2243">
        <v>69856</v>
      </c>
    </row>
    <row r="34" spans="1:38" ht="16.5" customHeight="1" x14ac:dyDescent="0.25">
      <c r="A34" s="379" t="s">
        <v>76</v>
      </c>
      <c r="B34" s="380" t="s">
        <v>474</v>
      </c>
      <c r="C34" s="1427" t="s">
        <v>267</v>
      </c>
      <c r="D34" s="453">
        <v>5.4000000000000006E-2</v>
      </c>
      <c r="E34" s="453">
        <v>0.05</v>
      </c>
      <c r="F34" s="453">
        <v>5.2999999999999999E-2</v>
      </c>
      <c r="G34" s="453">
        <v>5.7999999999999996E-2</v>
      </c>
      <c r="H34" s="453">
        <v>5.7999999999999996E-2</v>
      </c>
      <c r="I34" s="453">
        <v>5.2000000000000005E-2</v>
      </c>
      <c r="J34" s="453">
        <v>5.2999999999999999E-2</v>
      </c>
      <c r="K34" s="453">
        <v>5.7000000000000002E-2</v>
      </c>
      <c r="L34" s="453">
        <v>6.0999999999999999E-2</v>
      </c>
      <c r="M34" s="453">
        <v>5.9000000000000004E-2</v>
      </c>
      <c r="N34" s="454">
        <v>7.4999999999999997E-2</v>
      </c>
      <c r="O34" s="905">
        <v>6.3E-2</v>
      </c>
      <c r="P34" s="905">
        <v>6.9000000000000006E-2</v>
      </c>
      <c r="Q34" s="905">
        <v>7.0431624444711252E-2</v>
      </c>
      <c r="R34" s="1624">
        <v>7.3564169227133061E-2</v>
      </c>
      <c r="S34" s="1624">
        <v>6.8117174442131195E-2</v>
      </c>
      <c r="T34" s="2237">
        <v>5.810777253538614E-2</v>
      </c>
      <c r="U34" s="455"/>
      <c r="V34" s="456">
        <v>3072</v>
      </c>
      <c r="W34" s="456">
        <v>2928</v>
      </c>
      <c r="X34" s="456">
        <v>3249</v>
      </c>
      <c r="Y34" s="456">
        <v>3642</v>
      </c>
      <c r="Z34" s="456">
        <v>3741</v>
      </c>
      <c r="AA34" s="456">
        <v>3360</v>
      </c>
      <c r="AB34" s="456">
        <v>3484</v>
      </c>
      <c r="AC34" s="456">
        <v>3736</v>
      </c>
      <c r="AD34" s="456">
        <v>4048</v>
      </c>
      <c r="AE34" s="456">
        <v>4003</v>
      </c>
      <c r="AF34" s="457">
        <v>4839</v>
      </c>
      <c r="AG34" s="912">
        <v>4148</v>
      </c>
      <c r="AH34" s="1181">
        <v>4523</v>
      </c>
      <c r="AI34" s="1185">
        <v>4693</v>
      </c>
      <c r="AJ34" s="1629">
        <v>4980</v>
      </c>
      <c r="AK34" s="1629">
        <v>4646</v>
      </c>
      <c r="AL34" s="2243">
        <v>3978</v>
      </c>
    </row>
    <row r="35" spans="1:38" ht="16.5" customHeight="1" x14ac:dyDescent="0.25">
      <c r="A35" s="379" t="s">
        <v>78</v>
      </c>
      <c r="B35" s="380" t="s">
        <v>475</v>
      </c>
      <c r="C35" s="1427" t="s">
        <v>268</v>
      </c>
      <c r="D35" s="453">
        <v>0.106</v>
      </c>
      <c r="E35" s="453">
        <v>0.105</v>
      </c>
      <c r="F35" s="453">
        <v>0.111</v>
      </c>
      <c r="G35" s="453">
        <v>0.114</v>
      </c>
      <c r="H35" s="453">
        <v>0.109</v>
      </c>
      <c r="I35" s="453">
        <v>0.12300000000000001</v>
      </c>
      <c r="J35" s="453">
        <v>0.13400000000000001</v>
      </c>
      <c r="K35" s="453">
        <v>0.129</v>
      </c>
      <c r="L35" s="453">
        <v>0.11900000000000001</v>
      </c>
      <c r="M35" s="453">
        <v>0.15</v>
      </c>
      <c r="N35" s="454">
        <v>0.13599999999999998</v>
      </c>
      <c r="O35" s="905">
        <v>0.13500000000000001</v>
      </c>
      <c r="P35" s="905">
        <v>0.14099999999999999</v>
      </c>
      <c r="Q35" s="905">
        <v>0.14217055270507242</v>
      </c>
      <c r="R35" s="1624">
        <v>0.14094350611531742</v>
      </c>
      <c r="S35" s="1624">
        <v>0.11944337069965211</v>
      </c>
      <c r="T35" s="2237">
        <v>0.13651811478037831</v>
      </c>
      <c r="U35" s="455"/>
      <c r="V35" s="456">
        <v>1491</v>
      </c>
      <c r="W35" s="456">
        <v>1499</v>
      </c>
      <c r="X35" s="456">
        <v>1593</v>
      </c>
      <c r="Y35" s="456">
        <v>1649</v>
      </c>
      <c r="Z35" s="456">
        <v>1598</v>
      </c>
      <c r="AA35" s="456">
        <v>1788</v>
      </c>
      <c r="AB35" s="456">
        <v>1975</v>
      </c>
      <c r="AC35" s="456">
        <v>1883</v>
      </c>
      <c r="AD35" s="456">
        <v>1751</v>
      </c>
      <c r="AE35" s="456">
        <v>2236</v>
      </c>
      <c r="AF35" s="457">
        <v>2066</v>
      </c>
      <c r="AG35" s="912">
        <v>2056</v>
      </c>
      <c r="AH35" s="1181">
        <v>2156</v>
      </c>
      <c r="AI35" s="1185">
        <v>2189</v>
      </c>
      <c r="AJ35" s="1629">
        <v>2178</v>
      </c>
      <c r="AK35" s="1629">
        <v>1854</v>
      </c>
      <c r="AL35" s="2243">
        <v>2129</v>
      </c>
    </row>
    <row r="36" spans="1:38" ht="16.5" customHeight="1" x14ac:dyDescent="0.25">
      <c r="A36" s="379" t="s">
        <v>80</v>
      </c>
      <c r="B36" s="380" t="s">
        <v>476</v>
      </c>
      <c r="C36" s="1427" t="s">
        <v>266</v>
      </c>
      <c r="D36" s="453">
        <v>6.5000000000000002E-2</v>
      </c>
      <c r="E36" s="453">
        <v>6.0999999999999999E-2</v>
      </c>
      <c r="F36" s="453">
        <v>6.8000000000000005E-2</v>
      </c>
      <c r="G36" s="453">
        <v>6.6000000000000003E-2</v>
      </c>
      <c r="H36" s="453">
        <v>6.2E-2</v>
      </c>
      <c r="I36" s="453">
        <v>7.8E-2</v>
      </c>
      <c r="J36" s="453">
        <v>6.7000000000000004E-2</v>
      </c>
      <c r="K36" s="453">
        <v>7.0000000000000007E-2</v>
      </c>
      <c r="L36" s="453">
        <v>6.7000000000000004E-2</v>
      </c>
      <c r="M36" s="453">
        <v>7.2000000000000008E-2</v>
      </c>
      <c r="N36" s="454">
        <v>7.2999999999999995E-2</v>
      </c>
      <c r="O36" s="905">
        <v>7.5999999999999998E-2</v>
      </c>
      <c r="P36" s="905">
        <v>8.7999999999999995E-2</v>
      </c>
      <c r="Q36" s="905">
        <v>8.2229625416429669E-2</v>
      </c>
      <c r="R36" s="1624">
        <v>7.8642149929278649E-2</v>
      </c>
      <c r="S36" s="1624">
        <v>7.7872477285519021E-2</v>
      </c>
      <c r="T36" s="2237">
        <v>7.4647155251689259E-2</v>
      </c>
      <c r="U36" s="455"/>
      <c r="V36" s="456">
        <v>1307</v>
      </c>
      <c r="W36" s="456">
        <v>1287</v>
      </c>
      <c r="X36" s="456">
        <v>1498</v>
      </c>
      <c r="Y36" s="456">
        <v>1499</v>
      </c>
      <c r="Z36" s="456">
        <v>1477</v>
      </c>
      <c r="AA36" s="456">
        <v>1834</v>
      </c>
      <c r="AB36" s="456">
        <v>1597</v>
      </c>
      <c r="AC36" s="456">
        <v>1674</v>
      </c>
      <c r="AD36" s="456">
        <v>1624</v>
      </c>
      <c r="AE36" s="456">
        <v>1747</v>
      </c>
      <c r="AF36" s="457">
        <v>1784</v>
      </c>
      <c r="AG36" s="912">
        <v>1876</v>
      </c>
      <c r="AH36" s="1181">
        <v>2155</v>
      </c>
      <c r="AI36" s="1185">
        <v>2024</v>
      </c>
      <c r="AJ36" s="1629">
        <v>1946</v>
      </c>
      <c r="AK36" s="1629">
        <v>1937</v>
      </c>
      <c r="AL36" s="2243">
        <v>1867</v>
      </c>
    </row>
    <row r="37" spans="1:38" ht="16.5" customHeight="1" x14ac:dyDescent="0.25">
      <c r="A37" s="379" t="s">
        <v>84</v>
      </c>
      <c r="B37" s="380" t="s">
        <v>85</v>
      </c>
      <c r="C37" s="1427" t="s">
        <v>265</v>
      </c>
      <c r="D37" s="453">
        <v>0.1</v>
      </c>
      <c r="E37" s="453">
        <v>0.10099999999999999</v>
      </c>
      <c r="F37" s="453">
        <v>0.113</v>
      </c>
      <c r="G37" s="453">
        <v>0.115</v>
      </c>
      <c r="H37" s="453">
        <v>0.109</v>
      </c>
      <c r="I37" s="453">
        <v>0.105</v>
      </c>
      <c r="J37" s="453">
        <v>0.106</v>
      </c>
      <c r="K37" s="453">
        <v>0.115</v>
      </c>
      <c r="L37" s="453">
        <v>0.13200000000000001</v>
      </c>
      <c r="M37" s="453">
        <v>0.14000000000000001</v>
      </c>
      <c r="N37" s="454">
        <v>0.14400000000000002</v>
      </c>
      <c r="O37" s="905">
        <v>0.13100000000000001</v>
      </c>
      <c r="P37" s="905">
        <v>0.14099999999999999</v>
      </c>
      <c r="Q37" s="905">
        <v>0.14405155260227459</v>
      </c>
      <c r="R37" s="1624">
        <v>0.16289848725388223</v>
      </c>
      <c r="S37" s="1624">
        <v>0.13115023559922562</v>
      </c>
      <c r="T37" s="2237">
        <v>0.13168784560735342</v>
      </c>
      <c r="U37" s="455"/>
      <c r="V37" s="456">
        <v>4701</v>
      </c>
      <c r="W37" s="456">
        <v>4813</v>
      </c>
      <c r="X37" s="456">
        <v>5464</v>
      </c>
      <c r="Y37" s="456">
        <v>5618</v>
      </c>
      <c r="Z37" s="456">
        <v>5402</v>
      </c>
      <c r="AA37" s="456">
        <v>5187</v>
      </c>
      <c r="AB37" s="456">
        <v>5254</v>
      </c>
      <c r="AC37" s="456">
        <v>5704</v>
      </c>
      <c r="AD37" s="456">
        <v>6610</v>
      </c>
      <c r="AE37" s="456">
        <v>7043</v>
      </c>
      <c r="AF37" s="457">
        <v>7844</v>
      </c>
      <c r="AG37" s="912">
        <v>7171</v>
      </c>
      <c r="AH37" s="1181">
        <v>7751</v>
      </c>
      <c r="AI37" s="1185">
        <v>7891</v>
      </c>
      <c r="AJ37" s="1629">
        <v>8927</v>
      </c>
      <c r="AK37" s="1629">
        <v>7181</v>
      </c>
      <c r="AL37" s="2243">
        <v>7192</v>
      </c>
    </row>
    <row r="38" spans="1:38" ht="16.5" customHeight="1" x14ac:dyDescent="0.25">
      <c r="A38" s="379" t="s">
        <v>86</v>
      </c>
      <c r="B38" s="380" t="s">
        <v>477</v>
      </c>
      <c r="C38" s="1427" t="s">
        <v>267</v>
      </c>
      <c r="D38" s="453">
        <v>6.0999999999999999E-2</v>
      </c>
      <c r="E38" s="453">
        <v>0.06</v>
      </c>
      <c r="F38" s="453">
        <v>6.4000000000000001E-2</v>
      </c>
      <c r="G38" s="453">
        <v>6.7000000000000004E-2</v>
      </c>
      <c r="H38" s="453">
        <v>5.7999999999999996E-2</v>
      </c>
      <c r="I38" s="453">
        <v>6.5000000000000002E-2</v>
      </c>
      <c r="J38" s="453">
        <v>7.0999999999999994E-2</v>
      </c>
      <c r="K38" s="453">
        <v>6.6000000000000003E-2</v>
      </c>
      <c r="L38" s="453">
        <v>7.2999999999999995E-2</v>
      </c>
      <c r="M38" s="453">
        <v>9.1999999999999998E-2</v>
      </c>
      <c r="N38" s="454">
        <v>7.3999999999999996E-2</v>
      </c>
      <c r="O38" s="905">
        <v>8.900000000000001E-2</v>
      </c>
      <c r="P38" s="905">
        <v>8.7999999999999995E-2</v>
      </c>
      <c r="Q38" s="905">
        <v>7.8719237629566799E-2</v>
      </c>
      <c r="R38" s="1624">
        <v>7.6704405611617038E-2</v>
      </c>
      <c r="S38" s="1624">
        <v>7.7289622813966244E-2</v>
      </c>
      <c r="T38" s="2237">
        <v>6.8269277021501762E-2</v>
      </c>
      <c r="U38" s="455"/>
      <c r="V38" s="456">
        <v>3719</v>
      </c>
      <c r="W38" s="456">
        <v>3714</v>
      </c>
      <c r="X38" s="456">
        <v>4114</v>
      </c>
      <c r="Y38" s="456">
        <v>4446</v>
      </c>
      <c r="Z38" s="456">
        <v>3989</v>
      </c>
      <c r="AA38" s="456">
        <v>4429</v>
      </c>
      <c r="AB38" s="456">
        <v>5012</v>
      </c>
      <c r="AC38" s="456">
        <v>4736</v>
      </c>
      <c r="AD38" s="456">
        <v>5310</v>
      </c>
      <c r="AE38" s="456">
        <v>6796</v>
      </c>
      <c r="AF38" s="457">
        <v>5756</v>
      </c>
      <c r="AG38" s="912">
        <v>7026</v>
      </c>
      <c r="AH38" s="1181">
        <v>6968</v>
      </c>
      <c r="AI38" s="1185">
        <v>6311</v>
      </c>
      <c r="AJ38" s="1629">
        <v>6233</v>
      </c>
      <c r="AK38" s="1629">
        <v>6342</v>
      </c>
      <c r="AL38" s="2243">
        <v>5677</v>
      </c>
    </row>
    <row r="39" spans="1:38" ht="16.5" customHeight="1" x14ac:dyDescent="0.25">
      <c r="A39" s="379" t="s">
        <v>92</v>
      </c>
      <c r="B39" s="380" t="s">
        <v>478</v>
      </c>
      <c r="C39" s="1427" t="s">
        <v>268</v>
      </c>
      <c r="D39" s="453">
        <v>9.5000000000000001E-2</v>
      </c>
      <c r="E39" s="453">
        <v>9.6000000000000002E-2</v>
      </c>
      <c r="F39" s="453">
        <v>0.10400000000000001</v>
      </c>
      <c r="G39" s="453">
        <v>0.10800000000000001</v>
      </c>
      <c r="H39" s="453">
        <v>0.10300000000000001</v>
      </c>
      <c r="I39" s="453">
        <v>0.122</v>
      </c>
      <c r="J39" s="453">
        <v>0.11</v>
      </c>
      <c r="K39" s="453">
        <v>0.114</v>
      </c>
      <c r="L39" s="453">
        <v>0.125</v>
      </c>
      <c r="M39" s="453">
        <v>0.13100000000000001</v>
      </c>
      <c r="N39" s="454">
        <v>0.13399999999999998</v>
      </c>
      <c r="O39" s="905">
        <v>0.126</v>
      </c>
      <c r="P39" s="905">
        <v>0.127</v>
      </c>
      <c r="Q39" s="905">
        <v>0.13273596176821983</v>
      </c>
      <c r="R39" s="1624">
        <v>0.13548115645849612</v>
      </c>
      <c r="S39" s="1624">
        <v>0.10594784292370062</v>
      </c>
      <c r="T39" s="2237">
        <v>0.1219248769950798</v>
      </c>
      <c r="U39" s="455"/>
      <c r="V39" s="456">
        <v>1611</v>
      </c>
      <c r="W39" s="456">
        <v>1612</v>
      </c>
      <c r="X39" s="456">
        <v>1771</v>
      </c>
      <c r="Y39" s="456">
        <v>1837</v>
      </c>
      <c r="Z39" s="456">
        <v>1770</v>
      </c>
      <c r="AA39" s="456">
        <v>2068</v>
      </c>
      <c r="AB39" s="456">
        <v>1896</v>
      </c>
      <c r="AC39" s="456">
        <v>1953</v>
      </c>
      <c r="AD39" s="456">
        <v>2149</v>
      </c>
      <c r="AE39" s="456">
        <v>2255</v>
      </c>
      <c r="AF39" s="457">
        <v>2292</v>
      </c>
      <c r="AG39" s="912">
        <v>2136</v>
      </c>
      <c r="AH39" s="1181">
        <v>2126</v>
      </c>
      <c r="AI39" s="1185">
        <v>2222</v>
      </c>
      <c r="AJ39" s="1629">
        <v>2254</v>
      </c>
      <c r="AK39" s="1629">
        <v>1751</v>
      </c>
      <c r="AL39" s="2243">
        <v>2032</v>
      </c>
    </row>
    <row r="40" spans="1:38" ht="16.5" customHeight="1" x14ac:dyDescent="0.25">
      <c r="A40" s="379" t="s">
        <v>94</v>
      </c>
      <c r="B40" s="380" t="s">
        <v>479</v>
      </c>
      <c r="C40" s="1427" t="s">
        <v>264</v>
      </c>
      <c r="D40" s="453">
        <v>8.3000000000000004E-2</v>
      </c>
      <c r="E40" s="453">
        <v>7.8E-2</v>
      </c>
      <c r="F40" s="453">
        <v>8.5999999999999993E-2</v>
      </c>
      <c r="G40" s="453">
        <v>0.09</v>
      </c>
      <c r="H40" s="453">
        <v>8.6999999999999994E-2</v>
      </c>
      <c r="I40" s="453">
        <v>8.8000000000000009E-2</v>
      </c>
      <c r="J40" s="453">
        <v>9.6000000000000002E-2</v>
      </c>
      <c r="K40" s="453">
        <v>8.4000000000000005E-2</v>
      </c>
      <c r="L40" s="453">
        <v>9.0999999999999998E-2</v>
      </c>
      <c r="M40" s="453">
        <v>9.5000000000000001E-2</v>
      </c>
      <c r="N40" s="454">
        <v>9.9000000000000005E-2</v>
      </c>
      <c r="O40" s="905">
        <v>0.10199999999999999</v>
      </c>
      <c r="P40" s="905">
        <v>9.7000000000000003E-2</v>
      </c>
      <c r="Q40" s="905">
        <v>0.10574699988990421</v>
      </c>
      <c r="R40" s="1624">
        <v>9.655680453999782E-2</v>
      </c>
      <c r="S40" s="1624">
        <v>9.2839209693264924E-2</v>
      </c>
      <c r="T40" s="2237">
        <v>9.3873329522876345E-2</v>
      </c>
      <c r="U40" s="455"/>
      <c r="V40" s="456">
        <v>2911</v>
      </c>
      <c r="W40" s="456">
        <v>2787</v>
      </c>
      <c r="X40" s="456">
        <v>3150</v>
      </c>
      <c r="Y40" s="456">
        <v>3349</v>
      </c>
      <c r="Z40" s="456">
        <v>3285</v>
      </c>
      <c r="AA40" s="456">
        <v>3292</v>
      </c>
      <c r="AB40" s="456">
        <v>3621</v>
      </c>
      <c r="AC40" s="456">
        <v>3179</v>
      </c>
      <c r="AD40" s="456">
        <v>3487</v>
      </c>
      <c r="AE40" s="456">
        <v>3704</v>
      </c>
      <c r="AF40" s="457">
        <v>3603</v>
      </c>
      <c r="AG40" s="912">
        <v>3721</v>
      </c>
      <c r="AH40" s="1181">
        <v>3540</v>
      </c>
      <c r="AI40" s="1185">
        <v>3842</v>
      </c>
      <c r="AJ40" s="1629">
        <v>3539</v>
      </c>
      <c r="AK40" s="1629">
        <v>3402</v>
      </c>
      <c r="AL40" s="2243">
        <v>3449</v>
      </c>
    </row>
    <row r="41" spans="1:38" ht="16.5" customHeight="1" x14ac:dyDescent="0.25">
      <c r="A41" s="379" t="s">
        <v>96</v>
      </c>
      <c r="B41" s="380" t="s">
        <v>480</v>
      </c>
      <c r="C41" s="1427" t="s">
        <v>266</v>
      </c>
      <c r="D41" s="453">
        <v>6.7000000000000004E-2</v>
      </c>
      <c r="E41" s="453">
        <v>5.7000000000000002E-2</v>
      </c>
      <c r="F41" s="453">
        <v>6.5000000000000002E-2</v>
      </c>
      <c r="G41" s="453">
        <v>7.2000000000000008E-2</v>
      </c>
      <c r="H41" s="453">
        <v>6.9000000000000006E-2</v>
      </c>
      <c r="I41" s="453">
        <v>6.7000000000000004E-2</v>
      </c>
      <c r="J41" s="453">
        <v>6.3E-2</v>
      </c>
      <c r="K41" s="453">
        <v>8.5000000000000006E-2</v>
      </c>
      <c r="L41" s="453">
        <v>6.4000000000000001E-2</v>
      </c>
      <c r="M41" s="453">
        <v>6.6000000000000003E-2</v>
      </c>
      <c r="N41" s="454">
        <v>7.7000000000000013E-2</v>
      </c>
      <c r="O41" s="905">
        <v>8.1000000000000003E-2</v>
      </c>
      <c r="P41" s="905">
        <v>7.3999999999999996E-2</v>
      </c>
      <c r="Q41" s="905">
        <v>7.4595014065379772E-2</v>
      </c>
      <c r="R41" s="1624">
        <v>7.4843578354109944E-2</v>
      </c>
      <c r="S41" s="1624">
        <v>7.4373940877424216E-2</v>
      </c>
      <c r="T41" s="2237">
        <v>6.4149205618236241E-2</v>
      </c>
      <c r="U41" s="455"/>
      <c r="V41" s="456">
        <v>1071</v>
      </c>
      <c r="W41" s="459">
        <v>925</v>
      </c>
      <c r="X41" s="456">
        <v>1098</v>
      </c>
      <c r="Y41" s="456">
        <v>1263</v>
      </c>
      <c r="Z41" s="456">
        <v>1252</v>
      </c>
      <c r="AA41" s="456">
        <v>1192</v>
      </c>
      <c r="AB41" s="456">
        <v>1176</v>
      </c>
      <c r="AC41" s="456">
        <v>1620</v>
      </c>
      <c r="AD41" s="456">
        <v>1240</v>
      </c>
      <c r="AE41" s="456">
        <v>1298</v>
      </c>
      <c r="AF41" s="457">
        <v>1566</v>
      </c>
      <c r="AG41" s="912">
        <v>1661</v>
      </c>
      <c r="AH41" s="1181">
        <v>1515</v>
      </c>
      <c r="AI41" s="1185">
        <v>1538</v>
      </c>
      <c r="AJ41" s="1629">
        <v>1567</v>
      </c>
      <c r="AK41" s="1629">
        <v>1580</v>
      </c>
      <c r="AL41" s="2243">
        <v>1393</v>
      </c>
    </row>
    <row r="42" spans="1:38" ht="16.5" customHeight="1" x14ac:dyDescent="0.25">
      <c r="A42" s="379" t="s">
        <v>98</v>
      </c>
      <c r="B42" s="380" t="s">
        <v>481</v>
      </c>
      <c r="C42" s="1427" t="s">
        <v>268</v>
      </c>
      <c r="D42" s="453">
        <v>0.13500000000000001</v>
      </c>
      <c r="E42" s="453">
        <v>0.13900000000000001</v>
      </c>
      <c r="F42" s="453">
        <v>0.15</v>
      </c>
      <c r="G42" s="453">
        <v>0.14899999999999999</v>
      </c>
      <c r="H42" s="453">
        <v>0.14300000000000002</v>
      </c>
      <c r="I42" s="453">
        <v>0.16699999999999998</v>
      </c>
      <c r="J42" s="453">
        <v>0.159</v>
      </c>
      <c r="K42" s="453">
        <v>0.17600000000000002</v>
      </c>
      <c r="L42" s="453">
        <v>0.17699999999999999</v>
      </c>
      <c r="M42" s="453">
        <v>0.16500000000000001</v>
      </c>
      <c r="N42" s="454">
        <v>0.17100000000000001</v>
      </c>
      <c r="O42" s="905">
        <v>0.18600000000000003</v>
      </c>
      <c r="P42" s="905">
        <v>0.19400000000000001</v>
      </c>
      <c r="Q42" s="905">
        <v>0.18346666666666667</v>
      </c>
      <c r="R42" s="1624">
        <v>0.19875485339402865</v>
      </c>
      <c r="S42" s="1624">
        <v>0.20131173872306252</v>
      </c>
      <c r="T42" s="2237">
        <v>0.17436621612534464</v>
      </c>
      <c r="U42" s="455"/>
      <c r="V42" s="456">
        <v>2230</v>
      </c>
      <c r="W42" s="456">
        <v>2302</v>
      </c>
      <c r="X42" s="456">
        <v>2478</v>
      </c>
      <c r="Y42" s="456">
        <v>2448</v>
      </c>
      <c r="Z42" s="456">
        <v>2339</v>
      </c>
      <c r="AA42" s="456">
        <v>2710</v>
      </c>
      <c r="AB42" s="456">
        <v>2546</v>
      </c>
      <c r="AC42" s="456">
        <v>2801</v>
      </c>
      <c r="AD42" s="456">
        <v>2790</v>
      </c>
      <c r="AE42" s="456">
        <v>2574</v>
      </c>
      <c r="AF42" s="457">
        <v>2617</v>
      </c>
      <c r="AG42" s="912">
        <v>2817</v>
      </c>
      <c r="AH42" s="1181">
        <v>2916</v>
      </c>
      <c r="AI42" s="1185">
        <v>2752</v>
      </c>
      <c r="AJ42" s="1629">
        <v>2969</v>
      </c>
      <c r="AK42" s="1629">
        <v>3008</v>
      </c>
      <c r="AL42" s="2243">
        <v>2593</v>
      </c>
    </row>
    <row r="43" spans="1:38" ht="16.5" customHeight="1" x14ac:dyDescent="0.25">
      <c r="A43" s="379" t="s">
        <v>100</v>
      </c>
      <c r="B43" s="380" t="s">
        <v>482</v>
      </c>
      <c r="C43" s="1427" t="s">
        <v>267</v>
      </c>
      <c r="D43" s="453">
        <v>7.0999999999999994E-2</v>
      </c>
      <c r="E43" s="453">
        <v>6.9000000000000006E-2</v>
      </c>
      <c r="F43" s="453">
        <v>7.400000000000001E-2</v>
      </c>
      <c r="G43" s="453">
        <v>7.9000000000000001E-2</v>
      </c>
      <c r="H43" s="453">
        <v>7.8E-2</v>
      </c>
      <c r="I43" s="453">
        <v>0.08</v>
      </c>
      <c r="J43" s="453">
        <v>7.6999999999999999E-2</v>
      </c>
      <c r="K43" s="453">
        <v>7.400000000000001E-2</v>
      </c>
      <c r="L43" s="453">
        <v>7.2999999999999995E-2</v>
      </c>
      <c r="M43" s="453">
        <v>8.5999999999999993E-2</v>
      </c>
      <c r="N43" s="454">
        <v>9.7000000000000003E-2</v>
      </c>
      <c r="O43" s="905">
        <v>9.1999999999999998E-2</v>
      </c>
      <c r="P43" s="905">
        <v>9.5000000000000001E-2</v>
      </c>
      <c r="Q43" s="905">
        <v>0.11543213192243648</v>
      </c>
      <c r="R43" s="1624">
        <v>9.6339522546419101E-2</v>
      </c>
      <c r="S43" s="1624">
        <v>9.3433811129848235E-2</v>
      </c>
      <c r="T43" s="2237">
        <v>8.4389506076253062E-2</v>
      </c>
      <c r="U43" s="455"/>
      <c r="V43" s="456">
        <v>1121</v>
      </c>
      <c r="W43" s="456">
        <v>1124</v>
      </c>
      <c r="X43" s="456">
        <v>1244</v>
      </c>
      <c r="Y43" s="456">
        <v>1342</v>
      </c>
      <c r="Z43" s="456">
        <v>1355</v>
      </c>
      <c r="AA43" s="456">
        <v>1369</v>
      </c>
      <c r="AB43" s="456">
        <v>1343</v>
      </c>
      <c r="AC43" s="456">
        <v>1309</v>
      </c>
      <c r="AD43" s="456">
        <v>1294</v>
      </c>
      <c r="AE43" s="456">
        <v>1568</v>
      </c>
      <c r="AF43" s="457">
        <v>1774</v>
      </c>
      <c r="AG43" s="912">
        <v>1693</v>
      </c>
      <c r="AH43" s="1181">
        <v>1773</v>
      </c>
      <c r="AI43" s="1185">
        <v>2149</v>
      </c>
      <c r="AJ43" s="1629">
        <v>1816</v>
      </c>
      <c r="AK43" s="1629">
        <v>1773</v>
      </c>
      <c r="AL43" s="2243">
        <v>1618</v>
      </c>
    </row>
    <row r="44" spans="1:38" ht="16.5" customHeight="1" x14ac:dyDescent="0.25">
      <c r="A44" s="379" t="s">
        <v>102</v>
      </c>
      <c r="B44" s="380" t="s">
        <v>742</v>
      </c>
      <c r="C44" s="1427" t="s">
        <v>264</v>
      </c>
      <c r="D44" s="453">
        <v>0.17</v>
      </c>
      <c r="E44" s="453">
        <v>0.18280000000000002</v>
      </c>
      <c r="F44" s="453">
        <v>0.19070000000000001</v>
      </c>
      <c r="G44" s="453">
        <v>0.16339999999999999</v>
      </c>
      <c r="H44" s="453">
        <v>0.16500000000000001</v>
      </c>
      <c r="I44" s="453">
        <v>0.18809999999999999</v>
      </c>
      <c r="J44" s="453">
        <v>0.18760000000000002</v>
      </c>
      <c r="K44" s="453">
        <v>0.1948</v>
      </c>
      <c r="L44" s="453">
        <v>0.22699999999999998</v>
      </c>
      <c r="M44" s="453">
        <v>0.23089999999999999</v>
      </c>
      <c r="N44" s="454">
        <v>0.23464616256133752</v>
      </c>
      <c r="O44" s="905">
        <v>0.23945846848117333</v>
      </c>
      <c r="P44" s="905">
        <v>0.255</v>
      </c>
      <c r="Q44" s="905">
        <v>0.26195737401097724</v>
      </c>
      <c r="R44" s="1624">
        <v>0.25522528386490201</v>
      </c>
      <c r="S44" s="1624">
        <v>0.2584113516676419</v>
      </c>
      <c r="T44" s="2237">
        <v>0.24545047732696898</v>
      </c>
      <c r="U44" s="455"/>
      <c r="V44" s="456">
        <v>2389</v>
      </c>
      <c r="W44" s="456">
        <v>2561</v>
      </c>
      <c r="X44" s="456">
        <v>2682</v>
      </c>
      <c r="Y44" s="456">
        <v>2277</v>
      </c>
      <c r="Z44" s="456">
        <v>2312</v>
      </c>
      <c r="AA44" s="456">
        <v>2595</v>
      </c>
      <c r="AB44" s="456">
        <v>2602</v>
      </c>
      <c r="AC44" s="456">
        <v>2716</v>
      </c>
      <c r="AD44" s="456">
        <v>3193</v>
      </c>
      <c r="AE44" s="456">
        <v>3240</v>
      </c>
      <c r="AF44" s="457">
        <v>3375</v>
      </c>
      <c r="AG44" s="912">
        <v>3396</v>
      </c>
      <c r="AH44" s="1181">
        <v>3608</v>
      </c>
      <c r="AI44" s="1185">
        <v>3675</v>
      </c>
      <c r="AJ44" s="1629">
        <v>3529</v>
      </c>
      <c r="AK44" s="1629">
        <v>3533</v>
      </c>
      <c r="AL44" s="2243">
        <v>3291</v>
      </c>
    </row>
    <row r="45" spans="1:38" ht="16.5" customHeight="1" x14ac:dyDescent="0.25">
      <c r="A45" s="379" t="s">
        <v>104</v>
      </c>
      <c r="B45" s="380" t="s">
        <v>743</v>
      </c>
      <c r="C45" s="1427" t="s">
        <v>265</v>
      </c>
      <c r="D45" s="453">
        <v>0.14599999999999999</v>
      </c>
      <c r="E45" s="453">
        <v>0.14800000000000002</v>
      </c>
      <c r="F45" s="453">
        <v>0.16699999999999998</v>
      </c>
      <c r="G45" s="453">
        <v>0.16399999999999998</v>
      </c>
      <c r="H45" s="453">
        <v>0.16</v>
      </c>
      <c r="I45" s="453">
        <v>0.156</v>
      </c>
      <c r="J45" s="453">
        <v>0.184</v>
      </c>
      <c r="K45" s="453">
        <v>0.18600000000000003</v>
      </c>
      <c r="L45" s="453">
        <v>0.19500000000000001</v>
      </c>
      <c r="M45" s="453">
        <v>0.19800000000000001</v>
      </c>
      <c r="N45" s="454">
        <v>0.193</v>
      </c>
      <c r="O45" s="905">
        <v>0.193</v>
      </c>
      <c r="P45" s="905">
        <v>0.20100000000000001</v>
      </c>
      <c r="Q45" s="905">
        <v>0.22242790616955427</v>
      </c>
      <c r="R45" s="1624">
        <v>0.1797190798848402</v>
      </c>
      <c r="S45" s="1624">
        <v>0.16881905372707925</v>
      </c>
      <c r="T45" s="2237">
        <v>0.18677361749465735</v>
      </c>
      <c r="U45" s="455"/>
      <c r="V45" s="456">
        <v>5297</v>
      </c>
      <c r="W45" s="456">
        <v>5345</v>
      </c>
      <c r="X45" s="456">
        <v>6015</v>
      </c>
      <c r="Y45" s="456">
        <v>5875</v>
      </c>
      <c r="Z45" s="456">
        <v>5715</v>
      </c>
      <c r="AA45" s="456">
        <v>5506</v>
      </c>
      <c r="AB45" s="456">
        <v>6507</v>
      </c>
      <c r="AC45" s="456">
        <v>6462</v>
      </c>
      <c r="AD45" s="456">
        <v>6732</v>
      </c>
      <c r="AE45" s="456">
        <v>6819</v>
      </c>
      <c r="AF45" s="457">
        <v>6833</v>
      </c>
      <c r="AG45" s="912">
        <v>6795</v>
      </c>
      <c r="AH45" s="1181">
        <v>7054</v>
      </c>
      <c r="AI45" s="1185">
        <v>7690</v>
      </c>
      <c r="AJ45" s="1629">
        <v>6180</v>
      </c>
      <c r="AK45" s="1629">
        <v>5791</v>
      </c>
      <c r="AL45" s="2243">
        <v>6380</v>
      </c>
    </row>
    <row r="46" spans="1:38" ht="16.5" customHeight="1" x14ac:dyDescent="0.25">
      <c r="A46" s="379" t="s">
        <v>108</v>
      </c>
      <c r="B46" s="380" t="s">
        <v>483</v>
      </c>
      <c r="C46" s="1427" t="s">
        <v>266</v>
      </c>
      <c r="D46" s="453">
        <v>4.0999999999999995E-2</v>
      </c>
      <c r="E46" s="453">
        <v>0.04</v>
      </c>
      <c r="F46" s="453">
        <v>4.5999999999999999E-2</v>
      </c>
      <c r="G46" s="453">
        <v>5.2999999999999999E-2</v>
      </c>
      <c r="H46" s="453">
        <v>5.0999999999999997E-2</v>
      </c>
      <c r="I46" s="453">
        <v>4.8000000000000001E-2</v>
      </c>
      <c r="J46" s="453">
        <v>4.0999999999999995E-2</v>
      </c>
      <c r="K46" s="453">
        <v>5.0999999999999997E-2</v>
      </c>
      <c r="L46" s="453">
        <v>4.5999999999999999E-2</v>
      </c>
      <c r="M46" s="453">
        <v>4.9000000000000002E-2</v>
      </c>
      <c r="N46" s="454">
        <v>5.2999999999999999E-2</v>
      </c>
      <c r="O46" s="905">
        <v>6.0999999999999999E-2</v>
      </c>
      <c r="P46" s="905">
        <v>6.5000000000000002E-2</v>
      </c>
      <c r="Q46" s="905">
        <v>5.6380867971275769E-2</v>
      </c>
      <c r="R46" s="1624">
        <v>6.1393246742858287E-2</v>
      </c>
      <c r="S46" s="1624">
        <v>6.1947777272637429E-2</v>
      </c>
      <c r="T46" s="2237">
        <v>5.7708484125276314E-2</v>
      </c>
      <c r="U46" s="455"/>
      <c r="V46" s="456">
        <v>3611</v>
      </c>
      <c r="W46" s="456">
        <v>3637</v>
      </c>
      <c r="X46" s="456">
        <v>4303</v>
      </c>
      <c r="Y46" s="456">
        <v>5030</v>
      </c>
      <c r="Z46" s="456">
        <v>4938</v>
      </c>
      <c r="AA46" s="456">
        <v>4542</v>
      </c>
      <c r="AB46" s="456">
        <v>3965</v>
      </c>
      <c r="AC46" s="456">
        <v>4909</v>
      </c>
      <c r="AD46" s="456">
        <v>4518</v>
      </c>
      <c r="AE46" s="456">
        <v>4747</v>
      </c>
      <c r="AF46" s="457">
        <v>5218</v>
      </c>
      <c r="AG46" s="912">
        <v>6001</v>
      </c>
      <c r="AH46" s="1181">
        <v>6372</v>
      </c>
      <c r="AI46" s="1185">
        <v>5598</v>
      </c>
      <c r="AJ46" s="1629">
        <v>6140</v>
      </c>
      <c r="AK46" s="1629">
        <v>6268</v>
      </c>
      <c r="AL46" s="2243">
        <v>5900</v>
      </c>
    </row>
    <row r="47" spans="1:38" ht="16.5" customHeight="1" x14ac:dyDescent="0.25">
      <c r="A47" s="379" t="s">
        <v>110</v>
      </c>
      <c r="B47" s="380" t="s">
        <v>484</v>
      </c>
      <c r="C47" s="1427" t="s">
        <v>266</v>
      </c>
      <c r="D47" s="453">
        <v>6.2E-2</v>
      </c>
      <c r="E47" s="453">
        <v>6.3E-2</v>
      </c>
      <c r="F47" s="453">
        <v>7.0000000000000007E-2</v>
      </c>
      <c r="G47" s="453">
        <v>7.9000000000000001E-2</v>
      </c>
      <c r="H47" s="453">
        <v>7.8E-2</v>
      </c>
      <c r="I47" s="453">
        <v>7.9000000000000001E-2</v>
      </c>
      <c r="J47" s="453">
        <v>7.9000000000000001E-2</v>
      </c>
      <c r="K47" s="453">
        <v>8.5000000000000006E-2</v>
      </c>
      <c r="L47" s="453">
        <v>8.4000000000000005E-2</v>
      </c>
      <c r="M47" s="453">
        <v>0.1</v>
      </c>
      <c r="N47" s="454">
        <v>9.8000000000000004E-2</v>
      </c>
      <c r="O47" s="905">
        <v>0.10800000000000001</v>
      </c>
      <c r="P47" s="905">
        <v>0.10100000000000001</v>
      </c>
      <c r="Q47" s="905">
        <v>0.11338197509195573</v>
      </c>
      <c r="R47" s="1624">
        <v>0.10964919153897507</v>
      </c>
      <c r="S47" s="1624">
        <v>9.3226151864554074E-2</v>
      </c>
      <c r="T47" s="2237">
        <v>9.1514570314916791E-2</v>
      </c>
      <c r="U47" s="455"/>
      <c r="V47" s="456">
        <v>16209</v>
      </c>
      <c r="W47" s="456">
        <v>16609</v>
      </c>
      <c r="X47" s="456">
        <v>18976</v>
      </c>
      <c r="Y47" s="456">
        <v>21631</v>
      </c>
      <c r="Z47" s="456">
        <v>21612</v>
      </c>
      <c r="AA47" s="456">
        <v>21858</v>
      </c>
      <c r="AB47" s="456">
        <v>22038</v>
      </c>
      <c r="AC47" s="456">
        <v>24163</v>
      </c>
      <c r="AD47" s="456">
        <v>24078</v>
      </c>
      <c r="AE47" s="456">
        <v>29165</v>
      </c>
      <c r="AF47" s="457">
        <v>29987</v>
      </c>
      <c r="AG47" s="912">
        <v>33123</v>
      </c>
      <c r="AH47" s="1181">
        <v>31395</v>
      </c>
      <c r="AI47" s="1185">
        <v>35788</v>
      </c>
      <c r="AJ47" s="1629">
        <v>34985</v>
      </c>
      <c r="AK47" s="1629">
        <v>30037</v>
      </c>
      <c r="AL47" s="2243">
        <v>29583</v>
      </c>
    </row>
    <row r="48" spans="1:38" ht="16.5" customHeight="1" x14ac:dyDescent="0.25">
      <c r="A48" s="379" t="s">
        <v>112</v>
      </c>
      <c r="B48" s="380" t="s">
        <v>744</v>
      </c>
      <c r="C48" s="1427" t="s">
        <v>265</v>
      </c>
      <c r="D48" s="453">
        <v>0.12179999999999999</v>
      </c>
      <c r="E48" s="453">
        <v>0.1265</v>
      </c>
      <c r="F48" s="453">
        <v>0.14000000000000001</v>
      </c>
      <c r="G48" s="453">
        <v>0.14419999999999999</v>
      </c>
      <c r="H48" s="453">
        <v>0.1444</v>
      </c>
      <c r="I48" s="453">
        <v>0.16</v>
      </c>
      <c r="J48" s="453">
        <v>0.15590000000000001</v>
      </c>
      <c r="K48" s="453">
        <v>0.16949999999999998</v>
      </c>
      <c r="L48" s="453">
        <v>0.17499999999999999</v>
      </c>
      <c r="M48" s="453">
        <v>0.18659999999999999</v>
      </c>
      <c r="N48" s="454">
        <v>0.18966798312007913</v>
      </c>
      <c r="O48" s="905">
        <v>0.21296101159114858</v>
      </c>
      <c r="P48" s="905">
        <v>0.19600000000000001</v>
      </c>
      <c r="Q48" s="905">
        <v>0.20040392912879831</v>
      </c>
      <c r="R48" s="1624">
        <v>0.21203049288602205</v>
      </c>
      <c r="S48" s="1624">
        <v>0.20471208246144307</v>
      </c>
      <c r="T48" s="2237">
        <v>0.19367669396639473</v>
      </c>
      <c r="U48" s="455"/>
      <c r="V48" s="456">
        <v>8798</v>
      </c>
      <c r="W48" s="456">
        <v>9061</v>
      </c>
      <c r="X48" s="456">
        <v>10017</v>
      </c>
      <c r="Y48" s="456">
        <v>10271</v>
      </c>
      <c r="Z48" s="456">
        <v>10210</v>
      </c>
      <c r="AA48" s="456">
        <v>11198</v>
      </c>
      <c r="AB48" s="456">
        <v>10877</v>
      </c>
      <c r="AC48" s="456">
        <v>11653</v>
      </c>
      <c r="AD48" s="456">
        <v>12089</v>
      </c>
      <c r="AE48" s="456">
        <v>12724</v>
      </c>
      <c r="AF48" s="457">
        <v>12671</v>
      </c>
      <c r="AG48" s="912">
        <v>14147</v>
      </c>
      <c r="AH48" s="1181">
        <v>12855</v>
      </c>
      <c r="AI48" s="1185">
        <v>13098</v>
      </c>
      <c r="AJ48" s="1629">
        <v>13740</v>
      </c>
      <c r="AK48" s="1629">
        <v>13207</v>
      </c>
      <c r="AL48" s="2243">
        <v>12368</v>
      </c>
    </row>
    <row r="49" spans="1:38" ht="16.5" customHeight="1" x14ac:dyDescent="0.25">
      <c r="A49" s="379" t="s">
        <v>114</v>
      </c>
      <c r="B49" s="380" t="s">
        <v>485</v>
      </c>
      <c r="C49" s="1427" t="s">
        <v>265</v>
      </c>
      <c r="D49" s="453">
        <v>0.11900000000000001</v>
      </c>
      <c r="E49" s="453">
        <v>0.12</v>
      </c>
      <c r="F49" s="453">
        <v>0.121</v>
      </c>
      <c r="G49" s="453">
        <v>0.11599999999999999</v>
      </c>
      <c r="H49" s="453">
        <v>0.10800000000000001</v>
      </c>
      <c r="I49" s="453">
        <v>0.128</v>
      </c>
      <c r="J49" s="453">
        <v>0.129</v>
      </c>
      <c r="K49" s="453">
        <v>0.128</v>
      </c>
      <c r="L49" s="453">
        <v>0.128</v>
      </c>
      <c r="M49" s="453">
        <v>0.13800000000000001</v>
      </c>
      <c r="N49" s="454">
        <v>0.14400000000000002</v>
      </c>
      <c r="O49" s="905">
        <v>0.13800000000000001</v>
      </c>
      <c r="P49" s="905">
        <v>0.15</v>
      </c>
      <c r="Q49" s="905">
        <v>0.14628623188405798</v>
      </c>
      <c r="R49" s="1624">
        <v>0.1463632307005801</v>
      </c>
      <c r="S49" s="1624">
        <v>0.13774354327140914</v>
      </c>
      <c r="T49" s="2237">
        <v>0.13269927536231885</v>
      </c>
      <c r="U49" s="455"/>
      <c r="V49" s="459">
        <v>300</v>
      </c>
      <c r="W49" s="459">
        <v>298</v>
      </c>
      <c r="X49" s="459">
        <v>304</v>
      </c>
      <c r="Y49" s="459">
        <v>290</v>
      </c>
      <c r="Z49" s="459">
        <v>270</v>
      </c>
      <c r="AA49" s="459">
        <v>316</v>
      </c>
      <c r="AB49" s="459">
        <v>324</v>
      </c>
      <c r="AC49" s="459">
        <v>313</v>
      </c>
      <c r="AD49" s="456">
        <v>311</v>
      </c>
      <c r="AE49" s="456">
        <v>323</v>
      </c>
      <c r="AF49" s="457">
        <v>330</v>
      </c>
      <c r="AG49" s="912">
        <v>312</v>
      </c>
      <c r="AH49" s="1181">
        <v>336</v>
      </c>
      <c r="AI49" s="1185">
        <v>323</v>
      </c>
      <c r="AJ49" s="1629">
        <v>328</v>
      </c>
      <c r="AK49" s="1629">
        <v>304</v>
      </c>
      <c r="AL49" s="2243">
        <v>293</v>
      </c>
    </row>
    <row r="50" spans="1:38" ht="16.5" customHeight="1" x14ac:dyDescent="0.25">
      <c r="A50" s="379" t="s">
        <v>118</v>
      </c>
      <c r="B50" s="380" t="s">
        <v>745</v>
      </c>
      <c r="C50" s="1427" t="s">
        <v>264</v>
      </c>
      <c r="D50" s="453">
        <v>8.6999999999999994E-2</v>
      </c>
      <c r="E50" s="453">
        <v>0.08</v>
      </c>
      <c r="F50" s="453">
        <v>8.5000000000000006E-2</v>
      </c>
      <c r="G50" s="453">
        <v>9.3000000000000013E-2</v>
      </c>
      <c r="H50" s="453">
        <v>9.1999999999999998E-2</v>
      </c>
      <c r="I50" s="453">
        <v>8.5999999999999993E-2</v>
      </c>
      <c r="J50" s="453">
        <v>8.199999999999999E-2</v>
      </c>
      <c r="K50" s="453">
        <v>8.3000000000000004E-2</v>
      </c>
      <c r="L50" s="453">
        <v>7.8E-2</v>
      </c>
      <c r="M50" s="453">
        <v>0.10099999999999999</v>
      </c>
      <c r="N50" s="454">
        <v>8.7999999999999995E-2</v>
      </c>
      <c r="O50" s="905">
        <v>0.11199999999999999</v>
      </c>
      <c r="P50" s="905">
        <v>9.2999999999999999E-2</v>
      </c>
      <c r="Q50" s="905">
        <v>0.1055415688382224</v>
      </c>
      <c r="R50" s="1624">
        <v>0.10172196556068878</v>
      </c>
      <c r="S50" s="1624">
        <v>9.9219682874677181E-2</v>
      </c>
      <c r="T50" s="2237">
        <v>9.4558085681204163E-2</v>
      </c>
      <c r="U50" s="455"/>
      <c r="V50" s="456">
        <v>2640</v>
      </c>
      <c r="W50" s="456">
        <v>2463</v>
      </c>
      <c r="X50" s="456">
        <v>2727</v>
      </c>
      <c r="Y50" s="456">
        <v>3052</v>
      </c>
      <c r="Z50" s="456">
        <v>3070</v>
      </c>
      <c r="AA50" s="456">
        <v>2842</v>
      </c>
      <c r="AB50" s="456">
        <v>2829</v>
      </c>
      <c r="AC50" s="456">
        <v>2902</v>
      </c>
      <c r="AD50" s="456">
        <v>2740</v>
      </c>
      <c r="AE50" s="456">
        <v>3612</v>
      </c>
      <c r="AF50" s="457">
        <v>3082</v>
      </c>
      <c r="AG50" s="912">
        <v>3914</v>
      </c>
      <c r="AH50" s="1181">
        <v>3278</v>
      </c>
      <c r="AI50" s="1185">
        <v>3731</v>
      </c>
      <c r="AJ50" s="1629">
        <v>3633</v>
      </c>
      <c r="AK50" s="1629">
        <v>3573</v>
      </c>
      <c r="AL50" s="2243">
        <v>3430</v>
      </c>
    </row>
    <row r="51" spans="1:38" ht="16.5" customHeight="1" x14ac:dyDescent="0.25">
      <c r="A51" s="379" t="s">
        <v>120</v>
      </c>
      <c r="B51" s="380" t="s">
        <v>285</v>
      </c>
      <c r="C51" s="1427" t="s">
        <v>264</v>
      </c>
      <c r="D51" s="453">
        <v>5.7999999999999996E-2</v>
      </c>
      <c r="E51" s="453">
        <v>5.9000000000000004E-2</v>
      </c>
      <c r="F51" s="453">
        <v>6.4000000000000001E-2</v>
      </c>
      <c r="G51" s="453">
        <v>7.2000000000000008E-2</v>
      </c>
      <c r="H51" s="453">
        <v>6.6000000000000003E-2</v>
      </c>
      <c r="I51" s="453">
        <v>6.0999999999999999E-2</v>
      </c>
      <c r="J51" s="453">
        <v>6.4000000000000001E-2</v>
      </c>
      <c r="K51" s="453">
        <v>5.7000000000000002E-2</v>
      </c>
      <c r="L51" s="453">
        <v>0.06</v>
      </c>
      <c r="M51" s="453">
        <v>7.0999999999999994E-2</v>
      </c>
      <c r="N51" s="454">
        <v>7.7000000000000013E-2</v>
      </c>
      <c r="O51" s="905">
        <v>7.400000000000001E-2</v>
      </c>
      <c r="P51" s="905">
        <v>8.4000000000000005E-2</v>
      </c>
      <c r="Q51" s="905">
        <v>7.5441273863341873E-2</v>
      </c>
      <c r="R51" s="1624">
        <v>7.9360643827194988E-2</v>
      </c>
      <c r="S51" s="1624">
        <v>7.1432535168280575E-2</v>
      </c>
      <c r="T51" s="2237">
        <v>6.4655642872735217E-2</v>
      </c>
      <c r="U51" s="455"/>
      <c r="V51" s="456">
        <v>2805</v>
      </c>
      <c r="W51" s="456">
        <v>2962</v>
      </c>
      <c r="X51" s="456">
        <v>3406</v>
      </c>
      <c r="Y51" s="456">
        <v>3922</v>
      </c>
      <c r="Z51" s="456">
        <v>3780</v>
      </c>
      <c r="AA51" s="456">
        <v>3445</v>
      </c>
      <c r="AB51" s="456">
        <v>3771</v>
      </c>
      <c r="AC51" s="456">
        <v>3440</v>
      </c>
      <c r="AD51" s="456">
        <v>3706</v>
      </c>
      <c r="AE51" s="456">
        <v>4449</v>
      </c>
      <c r="AF51" s="457">
        <v>5067</v>
      </c>
      <c r="AG51" s="912">
        <v>4991</v>
      </c>
      <c r="AH51" s="1181">
        <v>5730</v>
      </c>
      <c r="AI51" s="1185">
        <v>5240</v>
      </c>
      <c r="AJ51" s="1629">
        <v>5680</v>
      </c>
      <c r="AK51" s="1629">
        <v>5149</v>
      </c>
      <c r="AL51" s="2243">
        <v>4739</v>
      </c>
    </row>
    <row r="52" spans="1:38" ht="16.5" customHeight="1" x14ac:dyDescent="0.25">
      <c r="A52" s="379" t="s">
        <v>122</v>
      </c>
      <c r="B52" s="380" t="s">
        <v>746</v>
      </c>
      <c r="C52" s="1427" t="s">
        <v>266</v>
      </c>
      <c r="D52" s="453">
        <v>0.11900000000000001</v>
      </c>
      <c r="E52" s="453">
        <v>0.11699999999999999</v>
      </c>
      <c r="F52" s="453">
        <v>0.121</v>
      </c>
      <c r="G52" s="453">
        <v>0.11599999999999999</v>
      </c>
      <c r="H52" s="453">
        <v>0.11199999999999999</v>
      </c>
      <c r="I52" s="453">
        <v>0.13400000000000001</v>
      </c>
      <c r="J52" s="453">
        <v>0.122</v>
      </c>
      <c r="K52" s="453">
        <v>0.121</v>
      </c>
      <c r="L52" s="453">
        <v>0.12300000000000001</v>
      </c>
      <c r="M52" s="453">
        <v>0.13200000000000001</v>
      </c>
      <c r="N52" s="454">
        <v>0.128</v>
      </c>
      <c r="O52" s="905">
        <v>0.13200000000000001</v>
      </c>
      <c r="P52" s="905">
        <v>0.13800000000000001</v>
      </c>
      <c r="Q52" s="905">
        <v>0.13415834622415976</v>
      </c>
      <c r="R52" s="1624">
        <v>0.14806537225869534</v>
      </c>
      <c r="S52" s="1624">
        <v>0.14033613445378151</v>
      </c>
      <c r="T52" s="2237">
        <v>0.13449145418884842</v>
      </c>
      <c r="U52" s="455"/>
      <c r="V52" s="459">
        <v>786</v>
      </c>
      <c r="W52" s="459">
        <v>771</v>
      </c>
      <c r="X52" s="459">
        <v>798</v>
      </c>
      <c r="Y52" s="459">
        <v>787</v>
      </c>
      <c r="Z52" s="459">
        <v>761</v>
      </c>
      <c r="AA52" s="459">
        <v>905</v>
      </c>
      <c r="AB52" s="459">
        <v>839</v>
      </c>
      <c r="AC52" s="459">
        <v>829</v>
      </c>
      <c r="AD52" s="456">
        <v>840</v>
      </c>
      <c r="AE52" s="456">
        <v>895</v>
      </c>
      <c r="AF52" s="457">
        <v>888</v>
      </c>
      <c r="AG52" s="912">
        <v>919</v>
      </c>
      <c r="AH52" s="1181">
        <v>973</v>
      </c>
      <c r="AI52" s="1185">
        <v>954</v>
      </c>
      <c r="AJ52" s="1629">
        <v>1060</v>
      </c>
      <c r="AK52" s="1629">
        <v>1002</v>
      </c>
      <c r="AL52" s="2243">
        <v>960</v>
      </c>
    </row>
    <row r="53" spans="1:38" ht="16.5" customHeight="1" x14ac:dyDescent="0.25">
      <c r="A53" s="379" t="s">
        <v>124</v>
      </c>
      <c r="B53" s="380" t="s">
        <v>488</v>
      </c>
      <c r="C53" s="1427" t="s">
        <v>267</v>
      </c>
      <c r="D53" s="453">
        <v>7.0000000000000007E-2</v>
      </c>
      <c r="E53" s="453">
        <v>6.3E-2</v>
      </c>
      <c r="F53" s="453">
        <v>6.5000000000000002E-2</v>
      </c>
      <c r="G53" s="453">
        <v>7.0000000000000007E-2</v>
      </c>
      <c r="H53" s="453">
        <v>6.6000000000000003E-2</v>
      </c>
      <c r="I53" s="453">
        <v>6.2E-2</v>
      </c>
      <c r="J53" s="453">
        <v>0.06</v>
      </c>
      <c r="K53" s="453">
        <v>6.2E-2</v>
      </c>
      <c r="L53" s="453">
        <v>6.2E-2</v>
      </c>
      <c r="M53" s="453">
        <v>7.0000000000000007E-2</v>
      </c>
      <c r="N53" s="454">
        <v>6.9000000000000006E-2</v>
      </c>
      <c r="O53" s="905">
        <v>6.9000000000000006E-2</v>
      </c>
      <c r="P53" s="905">
        <v>7.3999999999999996E-2</v>
      </c>
      <c r="Q53" s="905">
        <v>7.9488015653024616E-2</v>
      </c>
      <c r="R53" s="1624">
        <v>7.5159082723015969E-2</v>
      </c>
      <c r="S53" s="1624">
        <v>7.1289256856267164E-2</v>
      </c>
      <c r="T53" s="2237">
        <v>6.755805770584096E-2</v>
      </c>
      <c r="U53" s="455"/>
      <c r="V53" s="456">
        <v>1176</v>
      </c>
      <c r="W53" s="456">
        <v>1088</v>
      </c>
      <c r="X53" s="456">
        <v>1157</v>
      </c>
      <c r="Y53" s="456">
        <v>1336</v>
      </c>
      <c r="Z53" s="456">
        <v>1338</v>
      </c>
      <c r="AA53" s="456">
        <v>1259</v>
      </c>
      <c r="AB53" s="456">
        <v>1276</v>
      </c>
      <c r="AC53" s="456">
        <v>1384</v>
      </c>
      <c r="AD53" s="456">
        <v>1399</v>
      </c>
      <c r="AE53" s="456">
        <v>1614</v>
      </c>
      <c r="AF53" s="457">
        <v>1609</v>
      </c>
      <c r="AG53" s="912">
        <v>1645</v>
      </c>
      <c r="AH53" s="1181">
        <v>1783</v>
      </c>
      <c r="AI53" s="1185">
        <v>1950</v>
      </c>
      <c r="AJ53" s="1629">
        <v>1878</v>
      </c>
      <c r="AK53" s="1629">
        <v>1791</v>
      </c>
      <c r="AL53" s="2243">
        <v>1728</v>
      </c>
    </row>
    <row r="54" spans="1:38" ht="16.5" customHeight="1" x14ac:dyDescent="0.25">
      <c r="A54" s="379" t="s">
        <v>126</v>
      </c>
      <c r="B54" s="380" t="s">
        <v>489</v>
      </c>
      <c r="C54" s="1427" t="s">
        <v>266</v>
      </c>
      <c r="D54" s="453">
        <v>6.6000000000000003E-2</v>
      </c>
      <c r="E54" s="453">
        <v>6.3E-2</v>
      </c>
      <c r="F54" s="453">
        <v>6.5000000000000002E-2</v>
      </c>
      <c r="G54" s="453">
        <v>7.0999999999999994E-2</v>
      </c>
      <c r="H54" s="453">
        <v>6.8000000000000005E-2</v>
      </c>
      <c r="I54" s="453">
        <v>6.8000000000000005E-2</v>
      </c>
      <c r="J54" s="453">
        <v>6.9000000000000006E-2</v>
      </c>
      <c r="K54" s="453">
        <v>6.3E-2</v>
      </c>
      <c r="L54" s="453">
        <v>6.5000000000000002E-2</v>
      </c>
      <c r="M54" s="453">
        <v>7.2000000000000008E-2</v>
      </c>
      <c r="N54" s="454">
        <v>7.6999999999999999E-2</v>
      </c>
      <c r="O54" s="905">
        <v>8.6999999999999994E-2</v>
      </c>
      <c r="P54" s="905">
        <v>8.4000000000000005E-2</v>
      </c>
      <c r="Q54" s="905">
        <v>9.098873591989988E-2</v>
      </c>
      <c r="R54" s="1624">
        <v>8.7651632970451004E-2</v>
      </c>
      <c r="S54" s="1624">
        <v>7.9489878041230727E-2</v>
      </c>
      <c r="T54" s="2237">
        <v>7.6984763432237369E-2</v>
      </c>
      <c r="U54" s="455"/>
      <c r="V54" s="459">
        <v>894</v>
      </c>
      <c r="W54" s="459">
        <v>872</v>
      </c>
      <c r="X54" s="459">
        <v>921</v>
      </c>
      <c r="Y54" s="456">
        <v>1014</v>
      </c>
      <c r="Z54" s="456">
        <v>1007</v>
      </c>
      <c r="AA54" s="459">
        <v>994</v>
      </c>
      <c r="AB54" s="456">
        <v>1060</v>
      </c>
      <c r="AC54" s="459">
        <v>981</v>
      </c>
      <c r="AD54" s="456">
        <v>1033</v>
      </c>
      <c r="AE54" s="456">
        <v>1158</v>
      </c>
      <c r="AF54" s="457">
        <v>1230</v>
      </c>
      <c r="AG54" s="912">
        <v>1387</v>
      </c>
      <c r="AH54" s="1181">
        <v>1333</v>
      </c>
      <c r="AI54" s="1185">
        <v>1454</v>
      </c>
      <c r="AJ54" s="1629">
        <v>1409</v>
      </c>
      <c r="AK54" s="1629">
        <v>1284</v>
      </c>
      <c r="AL54" s="2243">
        <v>1248</v>
      </c>
    </row>
    <row r="55" spans="1:38" ht="16.5" customHeight="1" x14ac:dyDescent="0.25">
      <c r="A55" s="379" t="s">
        <v>128</v>
      </c>
      <c r="B55" s="380" t="s">
        <v>490</v>
      </c>
      <c r="C55" s="1427" t="s">
        <v>266</v>
      </c>
      <c r="D55" s="453">
        <v>0.129</v>
      </c>
      <c r="E55" s="453">
        <v>0.125</v>
      </c>
      <c r="F55" s="453">
        <v>0.13400000000000001</v>
      </c>
      <c r="G55" s="453">
        <v>0.13300000000000001</v>
      </c>
      <c r="H55" s="453">
        <v>0.12300000000000001</v>
      </c>
      <c r="I55" s="453">
        <v>0.13600000000000001</v>
      </c>
      <c r="J55" s="453">
        <v>0.13500000000000001</v>
      </c>
      <c r="K55" s="453">
        <v>0.129</v>
      </c>
      <c r="L55" s="453">
        <v>0.13200000000000001</v>
      </c>
      <c r="M55" s="453">
        <v>0.127</v>
      </c>
      <c r="N55" s="454">
        <v>0.13900000000000001</v>
      </c>
      <c r="O55" s="905">
        <v>0.157</v>
      </c>
      <c r="P55" s="905">
        <v>0.13600000000000001</v>
      </c>
      <c r="Q55" s="905">
        <v>0.15181668796786563</v>
      </c>
      <c r="R55" s="1624">
        <v>0.13735605711653615</v>
      </c>
      <c r="S55" s="1624">
        <v>0.13132250580046403</v>
      </c>
      <c r="T55" s="2237">
        <v>0.14045829854346414</v>
      </c>
      <c r="U55" s="455"/>
      <c r="V55" s="456">
        <v>1435</v>
      </c>
      <c r="W55" s="456">
        <v>1399</v>
      </c>
      <c r="X55" s="456">
        <v>1513</v>
      </c>
      <c r="Y55" s="456">
        <v>1498</v>
      </c>
      <c r="Z55" s="456">
        <v>1395</v>
      </c>
      <c r="AA55" s="456">
        <v>1518</v>
      </c>
      <c r="AB55" s="456">
        <v>1507</v>
      </c>
      <c r="AC55" s="456">
        <v>1434</v>
      </c>
      <c r="AD55" s="456">
        <v>1463</v>
      </c>
      <c r="AE55" s="456">
        <v>1379</v>
      </c>
      <c r="AF55" s="457">
        <v>1557</v>
      </c>
      <c r="AG55" s="912">
        <v>1741</v>
      </c>
      <c r="AH55" s="1181">
        <v>1504</v>
      </c>
      <c r="AI55" s="1185">
        <v>1663</v>
      </c>
      <c r="AJ55" s="1629">
        <v>1491</v>
      </c>
      <c r="AK55" s="1629">
        <v>1415</v>
      </c>
      <c r="AL55" s="2243">
        <v>1514</v>
      </c>
    </row>
    <row r="56" spans="1:38" ht="16.5" customHeight="1" x14ac:dyDescent="0.25">
      <c r="A56" s="379" t="s">
        <v>130</v>
      </c>
      <c r="B56" s="380" t="s">
        <v>491</v>
      </c>
      <c r="C56" s="1427" t="s">
        <v>268</v>
      </c>
      <c r="D56" s="453">
        <v>0.223</v>
      </c>
      <c r="E56" s="453">
        <v>0.21199999999999999</v>
      </c>
      <c r="F56" s="453">
        <v>0.23300000000000001</v>
      </c>
      <c r="G56" s="453">
        <v>0.21600000000000003</v>
      </c>
      <c r="H56" s="453">
        <v>0.21100000000000002</v>
      </c>
      <c r="I56" s="453">
        <v>0.26400000000000001</v>
      </c>
      <c r="J56" s="453">
        <v>0.22399999999999998</v>
      </c>
      <c r="K56" s="453">
        <v>0.22899999999999998</v>
      </c>
      <c r="L56" s="453">
        <v>0.23300000000000001</v>
      </c>
      <c r="M56" s="453">
        <v>0.26100000000000001</v>
      </c>
      <c r="N56" s="454">
        <v>0.255</v>
      </c>
      <c r="O56" s="905">
        <v>0.27600000000000002</v>
      </c>
      <c r="P56" s="905">
        <v>0.28399999999999997</v>
      </c>
      <c r="Q56" s="905">
        <v>0.2902290271676547</v>
      </c>
      <c r="R56" s="1624">
        <v>0.26576654300750585</v>
      </c>
      <c r="S56" s="1624">
        <v>0.2588460868049503</v>
      </c>
      <c r="T56" s="2237">
        <v>0.29873878674837906</v>
      </c>
      <c r="U56" s="455"/>
      <c r="V56" s="456">
        <v>5171</v>
      </c>
      <c r="W56" s="456">
        <v>4988</v>
      </c>
      <c r="X56" s="456">
        <v>5547</v>
      </c>
      <c r="Y56" s="456">
        <v>5144</v>
      </c>
      <c r="Z56" s="456">
        <v>4987</v>
      </c>
      <c r="AA56" s="456">
        <v>6163</v>
      </c>
      <c r="AB56" s="456">
        <v>5285</v>
      </c>
      <c r="AC56" s="456">
        <v>5343</v>
      </c>
      <c r="AD56" s="456">
        <v>5433</v>
      </c>
      <c r="AE56" s="456">
        <v>6079</v>
      </c>
      <c r="AF56" s="457">
        <v>6087</v>
      </c>
      <c r="AG56" s="912">
        <v>6454</v>
      </c>
      <c r="AH56" s="1181">
        <v>6734</v>
      </c>
      <c r="AI56" s="1185">
        <v>6805</v>
      </c>
      <c r="AJ56" s="1629">
        <v>6161</v>
      </c>
      <c r="AK56" s="1629">
        <v>5940</v>
      </c>
      <c r="AL56" s="2243">
        <v>6727</v>
      </c>
    </row>
    <row r="57" spans="1:38" ht="16.5" customHeight="1" x14ac:dyDescent="0.25">
      <c r="A57" s="379" t="s">
        <v>132</v>
      </c>
      <c r="B57" s="380" t="s">
        <v>492</v>
      </c>
      <c r="C57" s="1427" t="s">
        <v>267</v>
      </c>
      <c r="D57" s="453">
        <v>2.7999999999999997E-2</v>
      </c>
      <c r="E57" s="453">
        <v>2.8999999999999998E-2</v>
      </c>
      <c r="F57" s="453">
        <v>3.2000000000000001E-2</v>
      </c>
      <c r="G57" s="453">
        <v>3.6000000000000004E-2</v>
      </c>
      <c r="H57" s="453">
        <v>3.4000000000000002E-2</v>
      </c>
      <c r="I57" s="453">
        <v>2.7000000000000003E-2</v>
      </c>
      <c r="J57" s="453">
        <v>2.8999999999999998E-2</v>
      </c>
      <c r="K57" s="453">
        <v>0.03</v>
      </c>
      <c r="L57" s="453">
        <v>3.1E-2</v>
      </c>
      <c r="M57" s="453">
        <v>3.4000000000000002E-2</v>
      </c>
      <c r="N57" s="454">
        <v>3.7000000000000005E-2</v>
      </c>
      <c r="O57" s="905">
        <v>0.04</v>
      </c>
      <c r="P57" s="905">
        <v>0.04</v>
      </c>
      <c r="Q57" s="905">
        <v>3.8353526207620114E-2</v>
      </c>
      <c r="R57" s="1624">
        <v>3.8950546060258932E-2</v>
      </c>
      <c r="S57" s="1624">
        <v>3.7325950002006343E-2</v>
      </c>
      <c r="T57" s="2237">
        <v>3.5196536354471404E-2</v>
      </c>
      <c r="U57" s="455"/>
      <c r="V57" s="456">
        <v>5340</v>
      </c>
      <c r="W57" s="456">
        <v>5869</v>
      </c>
      <c r="X57" s="456">
        <v>7055</v>
      </c>
      <c r="Y57" s="456">
        <v>8721</v>
      </c>
      <c r="Z57" s="456">
        <v>8788</v>
      </c>
      <c r="AA57" s="456">
        <v>6966</v>
      </c>
      <c r="AB57" s="456">
        <v>7794</v>
      </c>
      <c r="AC57" s="456">
        <v>8284</v>
      </c>
      <c r="AD57" s="456">
        <v>9033</v>
      </c>
      <c r="AE57" s="456">
        <v>10069</v>
      </c>
      <c r="AF57" s="457">
        <v>11525</v>
      </c>
      <c r="AG57" s="912">
        <v>12996</v>
      </c>
      <c r="AH57" s="1181">
        <v>13489</v>
      </c>
      <c r="AI57" s="1185">
        <v>13343</v>
      </c>
      <c r="AJ57" s="1629">
        <v>14077</v>
      </c>
      <c r="AK57" s="1629">
        <v>13953</v>
      </c>
      <c r="AL57" s="2243">
        <v>13511</v>
      </c>
    </row>
    <row r="58" spans="1:38" ht="16.5" customHeight="1" x14ac:dyDescent="0.25">
      <c r="A58" s="379" t="s">
        <v>134</v>
      </c>
      <c r="B58" s="380" t="s">
        <v>493</v>
      </c>
      <c r="C58" s="1427" t="s">
        <v>267</v>
      </c>
      <c r="D58" s="453">
        <v>9.1999999999999998E-2</v>
      </c>
      <c r="E58" s="453">
        <v>9.0999999999999998E-2</v>
      </c>
      <c r="F58" s="453">
        <v>0.1</v>
      </c>
      <c r="G58" s="453">
        <v>0.10199999999999999</v>
      </c>
      <c r="H58" s="453">
        <v>9.6999999999999989E-2</v>
      </c>
      <c r="I58" s="453">
        <v>0.113</v>
      </c>
      <c r="J58" s="453">
        <v>9.9000000000000005E-2</v>
      </c>
      <c r="K58" s="453">
        <v>9.6999999999999989E-2</v>
      </c>
      <c r="L58" s="453">
        <v>9.6000000000000002E-2</v>
      </c>
      <c r="M58" s="453">
        <v>0.11699999999999999</v>
      </c>
      <c r="N58" s="454">
        <v>9.9000000000000019E-2</v>
      </c>
      <c r="O58" s="905">
        <v>0.10800000000000001</v>
      </c>
      <c r="P58" s="905">
        <v>0.11700000000000001</v>
      </c>
      <c r="Q58" s="905">
        <v>0.11738021821631879</v>
      </c>
      <c r="R58" s="1624">
        <v>0.11482132396016403</v>
      </c>
      <c r="S58" s="1624">
        <v>0.10574378362658136</v>
      </c>
      <c r="T58" s="2237">
        <v>0.1217393788748893</v>
      </c>
      <c r="U58" s="455"/>
      <c r="V58" s="456">
        <v>2411</v>
      </c>
      <c r="W58" s="456">
        <v>2456</v>
      </c>
      <c r="X58" s="456">
        <v>2793</v>
      </c>
      <c r="Y58" s="456">
        <v>2928</v>
      </c>
      <c r="Z58" s="456">
        <v>2911</v>
      </c>
      <c r="AA58" s="456">
        <v>3364</v>
      </c>
      <c r="AB58" s="456">
        <v>3054</v>
      </c>
      <c r="AC58" s="456">
        <v>3080</v>
      </c>
      <c r="AD58" s="456">
        <v>3119</v>
      </c>
      <c r="AE58" s="456">
        <v>3828</v>
      </c>
      <c r="AF58" s="457">
        <v>3259</v>
      </c>
      <c r="AG58" s="912">
        <v>3597</v>
      </c>
      <c r="AH58" s="1181">
        <v>3891</v>
      </c>
      <c r="AI58" s="1185">
        <v>3959</v>
      </c>
      <c r="AJ58" s="1629">
        <v>3920</v>
      </c>
      <c r="AK58" s="1629">
        <v>3636</v>
      </c>
      <c r="AL58" s="2243">
        <v>4261</v>
      </c>
    </row>
    <row r="59" spans="1:38" ht="16.5" customHeight="1" x14ac:dyDescent="0.25">
      <c r="A59" s="379" t="s">
        <v>136</v>
      </c>
      <c r="B59" s="380" t="s">
        <v>494</v>
      </c>
      <c r="C59" s="1427" t="s">
        <v>266</v>
      </c>
      <c r="D59" s="453">
        <v>0.16300000000000001</v>
      </c>
      <c r="E59" s="453">
        <v>0.16600000000000001</v>
      </c>
      <c r="F59" s="453">
        <v>0.18</v>
      </c>
      <c r="G59" s="453">
        <v>0.17300000000000001</v>
      </c>
      <c r="H59" s="453">
        <v>0.17100000000000001</v>
      </c>
      <c r="I59" s="453">
        <v>0.22800000000000001</v>
      </c>
      <c r="J59" s="453">
        <v>0.19800000000000001</v>
      </c>
      <c r="K59" s="453">
        <v>0.193</v>
      </c>
      <c r="L59" s="453">
        <v>0.215</v>
      </c>
      <c r="M59" s="453">
        <v>0.22500000000000001</v>
      </c>
      <c r="N59" s="454">
        <v>0.20499999999999999</v>
      </c>
      <c r="O59" s="905">
        <v>0.22600000000000001</v>
      </c>
      <c r="P59" s="905">
        <v>0.27300000000000002</v>
      </c>
      <c r="Q59" s="905">
        <v>0.21353528278760286</v>
      </c>
      <c r="R59" s="1624">
        <v>0.22378293491537254</v>
      </c>
      <c r="S59" s="1624">
        <v>0.21113074204946997</v>
      </c>
      <c r="T59" s="2237">
        <v>0.19809980465281476</v>
      </c>
      <c r="U59" s="455"/>
      <c r="V59" s="456">
        <v>1965</v>
      </c>
      <c r="W59" s="456">
        <v>1986</v>
      </c>
      <c r="X59" s="456">
        <v>2164</v>
      </c>
      <c r="Y59" s="456">
        <v>2061</v>
      </c>
      <c r="Z59" s="456">
        <v>2055</v>
      </c>
      <c r="AA59" s="456">
        <v>2718</v>
      </c>
      <c r="AB59" s="456">
        <v>2368</v>
      </c>
      <c r="AC59" s="456">
        <v>2276</v>
      </c>
      <c r="AD59" s="456">
        <v>2516</v>
      </c>
      <c r="AE59" s="456">
        <v>2597</v>
      </c>
      <c r="AF59" s="457">
        <v>2396</v>
      </c>
      <c r="AG59" s="912">
        <v>2636</v>
      </c>
      <c r="AH59" s="1181">
        <v>3131</v>
      </c>
      <c r="AI59" s="1185">
        <v>2439</v>
      </c>
      <c r="AJ59" s="1629">
        <v>2565</v>
      </c>
      <c r="AK59" s="1629">
        <v>2390</v>
      </c>
      <c r="AL59" s="2243">
        <v>2231</v>
      </c>
    </row>
    <row r="60" spans="1:38" ht="16.5" customHeight="1" x14ac:dyDescent="0.25">
      <c r="A60" s="379" t="s">
        <v>140</v>
      </c>
      <c r="B60" s="380" t="s">
        <v>495</v>
      </c>
      <c r="C60" s="1427" t="s">
        <v>267</v>
      </c>
      <c r="D60" s="453">
        <v>9.8000000000000004E-2</v>
      </c>
      <c r="E60" s="453">
        <v>8.900000000000001E-2</v>
      </c>
      <c r="F60" s="453">
        <v>9.4E-2</v>
      </c>
      <c r="G60" s="453">
        <v>9.5000000000000001E-2</v>
      </c>
      <c r="H60" s="453">
        <v>9.0999999999999998E-2</v>
      </c>
      <c r="I60" s="453">
        <v>9.8000000000000004E-2</v>
      </c>
      <c r="J60" s="453">
        <v>0.10199999999999999</v>
      </c>
      <c r="K60" s="453">
        <v>9.8000000000000004E-2</v>
      </c>
      <c r="L60" s="453">
        <v>0.107</v>
      </c>
      <c r="M60" s="453">
        <v>0.10800000000000001</v>
      </c>
      <c r="N60" s="454">
        <v>0.11699999999999999</v>
      </c>
      <c r="O60" s="905">
        <v>0.11900000000000001</v>
      </c>
      <c r="P60" s="905">
        <v>0.13</v>
      </c>
      <c r="Q60" s="905">
        <v>0.1266191461638691</v>
      </c>
      <c r="R60" s="1624">
        <v>0.12283803520639557</v>
      </c>
      <c r="S60" s="1624">
        <v>0.10405915427867211</v>
      </c>
      <c r="T60" s="2237">
        <v>0.11174740752205541</v>
      </c>
      <c r="U60" s="455"/>
      <c r="V60" s="456">
        <v>1235</v>
      </c>
      <c r="W60" s="456">
        <v>1141</v>
      </c>
      <c r="X60" s="456">
        <v>1221</v>
      </c>
      <c r="Y60" s="456">
        <v>1231</v>
      </c>
      <c r="Z60" s="456">
        <v>1209</v>
      </c>
      <c r="AA60" s="456">
        <v>1293</v>
      </c>
      <c r="AB60" s="456">
        <v>1369</v>
      </c>
      <c r="AC60" s="456">
        <v>1319</v>
      </c>
      <c r="AD60" s="456">
        <v>1434</v>
      </c>
      <c r="AE60" s="456">
        <v>1456</v>
      </c>
      <c r="AF60" s="457">
        <v>1544</v>
      </c>
      <c r="AG60" s="912">
        <v>1549</v>
      </c>
      <c r="AH60" s="1181">
        <v>1693</v>
      </c>
      <c r="AI60" s="1185">
        <v>1652</v>
      </c>
      <c r="AJ60" s="1629">
        <v>1598</v>
      </c>
      <c r="AK60" s="1629">
        <v>1351</v>
      </c>
      <c r="AL60" s="2243">
        <v>1444</v>
      </c>
    </row>
    <row r="61" spans="1:38" ht="16.5" customHeight="1" x14ac:dyDescent="0.25">
      <c r="A61" s="379" t="s">
        <v>146</v>
      </c>
      <c r="B61" s="380" t="s">
        <v>496</v>
      </c>
      <c r="C61" s="1427" t="s">
        <v>264</v>
      </c>
      <c r="D61" s="453">
        <v>8.6999999999999994E-2</v>
      </c>
      <c r="E61" s="453">
        <v>8.5999999999999993E-2</v>
      </c>
      <c r="F61" s="453">
        <v>8.900000000000001E-2</v>
      </c>
      <c r="G61" s="453">
        <v>8.6999999999999994E-2</v>
      </c>
      <c r="H61" s="453">
        <v>8.3000000000000004E-2</v>
      </c>
      <c r="I61" s="453">
        <v>8.1000000000000003E-2</v>
      </c>
      <c r="J61" s="453">
        <v>8.3000000000000004E-2</v>
      </c>
      <c r="K61" s="453">
        <v>8.1000000000000003E-2</v>
      </c>
      <c r="L61" s="453">
        <v>8.6999999999999994E-2</v>
      </c>
      <c r="M61" s="453">
        <v>9.6999999999999989E-2</v>
      </c>
      <c r="N61" s="454">
        <v>0.10199999999999999</v>
      </c>
      <c r="O61" s="905">
        <v>0.1</v>
      </c>
      <c r="P61" s="905">
        <v>0.104</v>
      </c>
      <c r="Q61" s="905">
        <v>0.10547229791099001</v>
      </c>
      <c r="R61" s="1624">
        <v>0.10593075077134041</v>
      </c>
      <c r="S61" s="1624">
        <v>0.10198268003646307</v>
      </c>
      <c r="T61" s="2237">
        <v>0.10123087541700218</v>
      </c>
      <c r="U61" s="455"/>
      <c r="V61" s="459">
        <v>799</v>
      </c>
      <c r="W61" s="459">
        <v>785</v>
      </c>
      <c r="X61" s="459">
        <v>819</v>
      </c>
      <c r="Y61" s="459">
        <v>800</v>
      </c>
      <c r="Z61" s="459">
        <v>766</v>
      </c>
      <c r="AA61" s="459">
        <v>735</v>
      </c>
      <c r="AB61" s="459">
        <v>756</v>
      </c>
      <c r="AC61" s="459">
        <v>723</v>
      </c>
      <c r="AD61" s="456">
        <v>777</v>
      </c>
      <c r="AE61" s="456">
        <v>860</v>
      </c>
      <c r="AF61" s="457">
        <v>903</v>
      </c>
      <c r="AG61" s="912">
        <v>888</v>
      </c>
      <c r="AH61" s="1181">
        <v>917</v>
      </c>
      <c r="AI61" s="1185">
        <v>929</v>
      </c>
      <c r="AJ61" s="1629">
        <v>927</v>
      </c>
      <c r="AK61" s="1629">
        <v>895</v>
      </c>
      <c r="AL61" s="2243">
        <v>880</v>
      </c>
    </row>
    <row r="62" spans="1:38" ht="16.5" customHeight="1" x14ac:dyDescent="0.25">
      <c r="A62" s="379" t="s">
        <v>148</v>
      </c>
      <c r="B62" s="380" t="s">
        <v>497</v>
      </c>
      <c r="C62" s="1427" t="s">
        <v>265</v>
      </c>
      <c r="D62" s="453">
        <v>0.13400000000000001</v>
      </c>
      <c r="E62" s="453">
        <v>0.13300000000000001</v>
      </c>
      <c r="F62" s="453">
        <v>0.153</v>
      </c>
      <c r="G62" s="453">
        <v>0.154</v>
      </c>
      <c r="H62" s="453">
        <v>0.14800000000000002</v>
      </c>
      <c r="I62" s="453">
        <v>0.16399999999999998</v>
      </c>
      <c r="J62" s="453">
        <v>0.14800000000000002</v>
      </c>
      <c r="K62" s="453">
        <v>0.16</v>
      </c>
      <c r="L62" s="453">
        <v>0.17399999999999999</v>
      </c>
      <c r="M62" s="453">
        <v>0.188</v>
      </c>
      <c r="N62" s="454">
        <v>0.20199999999999999</v>
      </c>
      <c r="O62" s="905">
        <v>0.19</v>
      </c>
      <c r="P62" s="905">
        <v>0.19900000000000001</v>
      </c>
      <c r="Q62" s="905">
        <v>0.17092054327143888</v>
      </c>
      <c r="R62" s="1624">
        <v>0.21091581868640147</v>
      </c>
      <c r="S62" s="1624">
        <v>0.20371599203715993</v>
      </c>
      <c r="T62" s="2237">
        <v>0.15882922270800653</v>
      </c>
      <c r="U62" s="455"/>
      <c r="V62" s="456">
        <v>4156</v>
      </c>
      <c r="W62" s="456">
        <v>4113</v>
      </c>
      <c r="X62" s="456">
        <v>4773</v>
      </c>
      <c r="Y62" s="456">
        <v>4779</v>
      </c>
      <c r="Z62" s="456">
        <v>4609</v>
      </c>
      <c r="AA62" s="456">
        <v>5062</v>
      </c>
      <c r="AB62" s="456">
        <v>4570</v>
      </c>
      <c r="AC62" s="456">
        <v>4889</v>
      </c>
      <c r="AD62" s="456">
        <v>5331</v>
      </c>
      <c r="AE62" s="456">
        <v>5731</v>
      </c>
      <c r="AF62" s="457">
        <v>6241</v>
      </c>
      <c r="AG62" s="912">
        <v>5870</v>
      </c>
      <c r="AH62" s="1181">
        <v>6119</v>
      </c>
      <c r="AI62" s="1185">
        <v>5210</v>
      </c>
      <c r="AJ62" s="1629">
        <v>6384</v>
      </c>
      <c r="AK62" s="1629">
        <v>6140</v>
      </c>
      <c r="AL62" s="2243">
        <v>4759</v>
      </c>
    </row>
    <row r="63" spans="1:38" ht="16.5" customHeight="1" x14ac:dyDescent="0.25">
      <c r="A63" s="379" t="s">
        <v>150</v>
      </c>
      <c r="B63" s="380" t="s">
        <v>498</v>
      </c>
      <c r="C63" s="1427" t="s">
        <v>266</v>
      </c>
      <c r="D63" s="453">
        <v>0.115</v>
      </c>
      <c r="E63" s="453">
        <v>0.11199999999999999</v>
      </c>
      <c r="F63" s="453">
        <v>0.11800000000000001</v>
      </c>
      <c r="G63" s="453">
        <v>0.11599999999999999</v>
      </c>
      <c r="H63" s="453">
        <v>0.11599999999999999</v>
      </c>
      <c r="I63" s="453">
        <v>0.13300000000000001</v>
      </c>
      <c r="J63" s="453">
        <v>0.127</v>
      </c>
      <c r="K63" s="453">
        <v>0.122</v>
      </c>
      <c r="L63" s="453">
        <v>0.124</v>
      </c>
      <c r="M63" s="453">
        <v>0.13800000000000001</v>
      </c>
      <c r="N63" s="454">
        <v>0.13599999999999998</v>
      </c>
      <c r="O63" s="905">
        <v>0.128</v>
      </c>
      <c r="P63" s="905">
        <v>0.14799999999999999</v>
      </c>
      <c r="Q63" s="905">
        <v>0.15497160458176917</v>
      </c>
      <c r="R63" s="1624">
        <v>0.14419910904512881</v>
      </c>
      <c r="S63" s="1624">
        <v>0.12779677576941867</v>
      </c>
      <c r="T63" s="2237">
        <v>0.14159036144578313</v>
      </c>
      <c r="U63" s="455"/>
      <c r="V63" s="456">
        <v>1117</v>
      </c>
      <c r="W63" s="456">
        <v>1103</v>
      </c>
      <c r="X63" s="456">
        <v>1189</v>
      </c>
      <c r="Y63" s="456">
        <v>1193</v>
      </c>
      <c r="Z63" s="456">
        <v>1190</v>
      </c>
      <c r="AA63" s="456">
        <v>1354</v>
      </c>
      <c r="AB63" s="456">
        <v>1307</v>
      </c>
      <c r="AC63" s="456">
        <v>1259</v>
      </c>
      <c r="AD63" s="456">
        <v>1272</v>
      </c>
      <c r="AE63" s="456">
        <v>1435</v>
      </c>
      <c r="AF63" s="457">
        <v>1442</v>
      </c>
      <c r="AG63" s="912">
        <v>1343</v>
      </c>
      <c r="AH63" s="1181">
        <v>1544</v>
      </c>
      <c r="AI63" s="1185">
        <v>1610</v>
      </c>
      <c r="AJ63" s="1629">
        <v>1489</v>
      </c>
      <c r="AK63" s="1629">
        <v>1308</v>
      </c>
      <c r="AL63" s="2243">
        <v>1469</v>
      </c>
    </row>
    <row r="64" spans="1:38" ht="16.5" customHeight="1" x14ac:dyDescent="0.25">
      <c r="A64" s="379" t="s">
        <v>152</v>
      </c>
      <c r="B64" s="380" t="s">
        <v>499</v>
      </c>
      <c r="C64" s="1427" t="s">
        <v>268</v>
      </c>
      <c r="D64" s="453">
        <v>0.125</v>
      </c>
      <c r="E64" s="453">
        <v>0.128</v>
      </c>
      <c r="F64" s="453">
        <v>0.14000000000000001</v>
      </c>
      <c r="G64" s="453">
        <v>0.152</v>
      </c>
      <c r="H64" s="453">
        <v>0.14899999999999999</v>
      </c>
      <c r="I64" s="453">
        <v>0.20899999999999999</v>
      </c>
      <c r="J64" s="453">
        <v>0.20300000000000001</v>
      </c>
      <c r="K64" s="453">
        <v>0.19899999999999998</v>
      </c>
      <c r="L64" s="453">
        <v>0.20600000000000002</v>
      </c>
      <c r="M64" s="453">
        <v>0.19</v>
      </c>
      <c r="N64" s="454">
        <v>0.20500000000000002</v>
      </c>
      <c r="O64" s="905">
        <v>0.22500000000000001</v>
      </c>
      <c r="P64" s="905">
        <v>0.23300000000000001</v>
      </c>
      <c r="Q64" s="905">
        <v>0.23402582688817211</v>
      </c>
      <c r="R64" s="1624">
        <v>0.24846957969015401</v>
      </c>
      <c r="S64" s="1624">
        <v>0.2082472823003427</v>
      </c>
      <c r="T64" s="2237">
        <v>0.20342310426139248</v>
      </c>
      <c r="U64" s="455"/>
      <c r="V64" s="456">
        <v>9453</v>
      </c>
      <c r="W64" s="456">
        <v>9761</v>
      </c>
      <c r="X64" s="456">
        <v>10779</v>
      </c>
      <c r="Y64" s="456">
        <v>11417</v>
      </c>
      <c r="Z64" s="456">
        <v>11267</v>
      </c>
      <c r="AA64" s="456">
        <v>15671</v>
      </c>
      <c r="AB64" s="456">
        <v>15296</v>
      </c>
      <c r="AC64" s="456">
        <v>15836</v>
      </c>
      <c r="AD64" s="456">
        <v>16498</v>
      </c>
      <c r="AE64" s="456">
        <v>15475</v>
      </c>
      <c r="AF64" s="457">
        <v>17470</v>
      </c>
      <c r="AG64" s="912">
        <v>19169</v>
      </c>
      <c r="AH64" s="1181">
        <v>20087</v>
      </c>
      <c r="AI64" s="1185">
        <v>20243</v>
      </c>
      <c r="AJ64" s="1629">
        <v>21796</v>
      </c>
      <c r="AK64" s="1629">
        <v>18352</v>
      </c>
      <c r="AL64" s="2243">
        <v>18030</v>
      </c>
    </row>
    <row r="65" spans="1:38" ht="16.5" customHeight="1" x14ac:dyDescent="0.25">
      <c r="A65" s="379" t="s">
        <v>154</v>
      </c>
      <c r="B65" s="380" t="s">
        <v>500</v>
      </c>
      <c r="C65" s="1427" t="s">
        <v>265</v>
      </c>
      <c r="D65" s="453">
        <v>0.10300000000000001</v>
      </c>
      <c r="E65" s="453">
        <v>0.10199999999999999</v>
      </c>
      <c r="F65" s="453">
        <v>0.109</v>
      </c>
      <c r="G65" s="453">
        <v>0.11199999999999999</v>
      </c>
      <c r="H65" s="453">
        <v>0.10400000000000001</v>
      </c>
      <c r="I65" s="453">
        <v>0.11900000000000001</v>
      </c>
      <c r="J65" s="453">
        <v>0.113</v>
      </c>
      <c r="K65" s="453">
        <v>0.114</v>
      </c>
      <c r="L65" s="453">
        <v>0.13200000000000001</v>
      </c>
      <c r="M65" s="453">
        <v>0.127</v>
      </c>
      <c r="N65" s="454">
        <v>0.13100000000000001</v>
      </c>
      <c r="O65" s="905">
        <v>0.13600000000000001</v>
      </c>
      <c r="P65" s="905">
        <v>0.14099999999999999</v>
      </c>
      <c r="Q65" s="905">
        <v>0.15804167234100505</v>
      </c>
      <c r="R65" s="1624">
        <v>0.1338801518438178</v>
      </c>
      <c r="S65" s="1624">
        <v>0.13879052029419778</v>
      </c>
      <c r="T65" s="2237">
        <v>0.12634645349231083</v>
      </c>
      <c r="U65" s="455"/>
      <c r="V65" s="456">
        <v>1493</v>
      </c>
      <c r="W65" s="456">
        <v>1495</v>
      </c>
      <c r="X65" s="456">
        <v>1638</v>
      </c>
      <c r="Y65" s="456">
        <v>1674</v>
      </c>
      <c r="Z65" s="456">
        <v>1574</v>
      </c>
      <c r="AA65" s="456">
        <v>1770</v>
      </c>
      <c r="AB65" s="456">
        <v>1704</v>
      </c>
      <c r="AC65" s="456">
        <v>1730</v>
      </c>
      <c r="AD65" s="456">
        <v>2009</v>
      </c>
      <c r="AE65" s="456">
        <v>1960</v>
      </c>
      <c r="AF65" s="457">
        <v>1956</v>
      </c>
      <c r="AG65" s="912">
        <v>2036</v>
      </c>
      <c r="AH65" s="1181">
        <v>2075</v>
      </c>
      <c r="AI65" s="1185">
        <v>2321</v>
      </c>
      <c r="AJ65" s="1629">
        <v>1975</v>
      </c>
      <c r="AK65" s="1629">
        <v>2038</v>
      </c>
      <c r="AL65" s="2243">
        <v>1865</v>
      </c>
    </row>
    <row r="66" spans="1:38" ht="16.5" customHeight="1" x14ac:dyDescent="0.25">
      <c r="A66" s="379" t="s">
        <v>156</v>
      </c>
      <c r="B66" s="380" t="s">
        <v>501</v>
      </c>
      <c r="C66" s="1427" t="s">
        <v>266</v>
      </c>
      <c r="D66" s="453">
        <v>5.0999999999999997E-2</v>
      </c>
      <c r="E66" s="453">
        <v>5.2000000000000005E-2</v>
      </c>
      <c r="F66" s="453">
        <v>5.7000000000000002E-2</v>
      </c>
      <c r="G66" s="453">
        <v>5.5999999999999994E-2</v>
      </c>
      <c r="H66" s="453">
        <v>5.5E-2</v>
      </c>
      <c r="I66" s="453">
        <v>5.2000000000000005E-2</v>
      </c>
      <c r="J66" s="453">
        <v>5.5E-2</v>
      </c>
      <c r="K66" s="453">
        <v>5.2999999999999999E-2</v>
      </c>
      <c r="L66" s="453">
        <v>5.5999999999999994E-2</v>
      </c>
      <c r="M66" s="453">
        <v>5.5999999999999994E-2</v>
      </c>
      <c r="N66" s="454">
        <v>5.7999999999999996E-2</v>
      </c>
      <c r="O66" s="905">
        <v>6.9000000000000006E-2</v>
      </c>
      <c r="P66" s="905">
        <v>6.7000000000000004E-2</v>
      </c>
      <c r="Q66" s="905">
        <v>6.6663142313385493E-2</v>
      </c>
      <c r="R66" s="1624">
        <v>6.1789370787672993E-2</v>
      </c>
      <c r="S66" s="1624">
        <v>6.7215432784567222E-2</v>
      </c>
      <c r="T66" s="2237">
        <v>5.8508566978193149E-2</v>
      </c>
      <c r="U66" s="455"/>
      <c r="V66" s="459">
        <v>683</v>
      </c>
      <c r="W66" s="459">
        <v>720</v>
      </c>
      <c r="X66" s="459">
        <v>823</v>
      </c>
      <c r="Y66" s="459">
        <v>858</v>
      </c>
      <c r="Z66" s="459">
        <v>864</v>
      </c>
      <c r="AA66" s="459">
        <v>821</v>
      </c>
      <c r="AB66" s="459">
        <v>905</v>
      </c>
      <c r="AC66" s="459">
        <v>880</v>
      </c>
      <c r="AD66" s="456">
        <v>959</v>
      </c>
      <c r="AE66" s="456">
        <v>981</v>
      </c>
      <c r="AF66" s="457">
        <v>1037</v>
      </c>
      <c r="AG66" s="912">
        <v>1257</v>
      </c>
      <c r="AH66" s="1181">
        <v>1238</v>
      </c>
      <c r="AI66" s="1185">
        <v>1261</v>
      </c>
      <c r="AJ66" s="1629">
        <v>1201</v>
      </c>
      <c r="AK66" s="1629">
        <v>1331</v>
      </c>
      <c r="AL66" s="2243">
        <v>1202</v>
      </c>
    </row>
    <row r="67" spans="1:38" ht="16.5" customHeight="1" x14ac:dyDescent="0.25">
      <c r="A67" s="379" t="s">
        <v>162</v>
      </c>
      <c r="B67" s="380" t="s">
        <v>502</v>
      </c>
      <c r="C67" s="1427" t="s">
        <v>264</v>
      </c>
      <c r="D67" s="453">
        <v>0.18600000000000003</v>
      </c>
      <c r="E67" s="453">
        <v>0.17600000000000002</v>
      </c>
      <c r="F67" s="453">
        <v>0.184</v>
      </c>
      <c r="G67" s="453">
        <v>0.18100000000000002</v>
      </c>
      <c r="H67" s="453">
        <v>0.17600000000000002</v>
      </c>
      <c r="I67" s="453">
        <v>0.19899999999999998</v>
      </c>
      <c r="J67" s="453">
        <v>0.18899999999999997</v>
      </c>
      <c r="K67" s="453">
        <v>0.20800000000000002</v>
      </c>
      <c r="L67" s="453">
        <v>0.19500000000000001</v>
      </c>
      <c r="M67" s="453">
        <v>0.20600000000000002</v>
      </c>
      <c r="N67" s="454">
        <v>0.18699999999999997</v>
      </c>
      <c r="O67" s="905">
        <v>0.22699999999999998</v>
      </c>
      <c r="P67" s="905">
        <v>0.22500000000000001</v>
      </c>
      <c r="Q67" s="905">
        <v>0.22372624852866993</v>
      </c>
      <c r="R67" s="1624">
        <v>0.21479613282891971</v>
      </c>
      <c r="S67" s="1624">
        <v>0.20504864139550485</v>
      </c>
      <c r="T67" s="2237">
        <v>0.20309087854863095</v>
      </c>
      <c r="U67" s="455"/>
      <c r="V67" s="456">
        <v>2377</v>
      </c>
      <c r="W67" s="456">
        <v>2271</v>
      </c>
      <c r="X67" s="456">
        <v>2426</v>
      </c>
      <c r="Y67" s="456">
        <v>2380</v>
      </c>
      <c r="Z67" s="456">
        <v>2359</v>
      </c>
      <c r="AA67" s="456">
        <v>2614</v>
      </c>
      <c r="AB67" s="456">
        <v>2527</v>
      </c>
      <c r="AC67" s="456">
        <v>2732</v>
      </c>
      <c r="AD67" s="456">
        <v>2560</v>
      </c>
      <c r="AE67" s="456">
        <v>2723</v>
      </c>
      <c r="AF67" s="457">
        <v>2258</v>
      </c>
      <c r="AG67" s="912">
        <v>2744</v>
      </c>
      <c r="AH67" s="1181">
        <v>2705</v>
      </c>
      <c r="AI67" s="1185">
        <v>2661</v>
      </c>
      <c r="AJ67" s="1629">
        <v>2555</v>
      </c>
      <c r="AK67" s="1629">
        <v>2445</v>
      </c>
      <c r="AL67" s="2243">
        <v>2418</v>
      </c>
    </row>
    <row r="68" spans="1:38" ht="16.5" customHeight="1" x14ac:dyDescent="0.25">
      <c r="A68" s="379" t="s">
        <v>164</v>
      </c>
      <c r="B68" s="380" t="s">
        <v>503</v>
      </c>
      <c r="C68" s="1427" t="s">
        <v>266</v>
      </c>
      <c r="D68" s="453">
        <v>0.11800000000000001</v>
      </c>
      <c r="E68" s="453">
        <v>0.11699999999999999</v>
      </c>
      <c r="F68" s="453">
        <v>0.13</v>
      </c>
      <c r="G68" s="453">
        <v>0.12300000000000001</v>
      </c>
      <c r="H68" s="453">
        <v>0.11800000000000001</v>
      </c>
      <c r="I68" s="453">
        <v>0.124</v>
      </c>
      <c r="J68" s="453">
        <v>0.13400000000000001</v>
      </c>
      <c r="K68" s="453">
        <v>0.13600000000000001</v>
      </c>
      <c r="L68" s="453">
        <v>0.13</v>
      </c>
      <c r="M68" s="453">
        <v>0.13600000000000001</v>
      </c>
      <c r="N68" s="454">
        <v>0.14399999999999999</v>
      </c>
      <c r="O68" s="905">
        <v>0.13800000000000001</v>
      </c>
      <c r="P68" s="905">
        <v>0.14699999999999999</v>
      </c>
      <c r="Q68" s="905">
        <v>0.16063794804340678</v>
      </c>
      <c r="R68" s="1624">
        <v>0.14321957607005484</v>
      </c>
      <c r="S68" s="1624">
        <v>0.13657976717494671</v>
      </c>
      <c r="T68" s="2237">
        <v>0.133946158896914</v>
      </c>
      <c r="U68" s="455"/>
      <c r="V68" s="456">
        <v>1458</v>
      </c>
      <c r="W68" s="456">
        <v>1477</v>
      </c>
      <c r="X68" s="456">
        <v>1666</v>
      </c>
      <c r="Y68" s="456">
        <v>1592</v>
      </c>
      <c r="Z68" s="456">
        <v>1523</v>
      </c>
      <c r="AA68" s="456">
        <v>1591</v>
      </c>
      <c r="AB68" s="456">
        <v>1709</v>
      </c>
      <c r="AC68" s="456">
        <v>1756</v>
      </c>
      <c r="AD68" s="456">
        <v>1679</v>
      </c>
      <c r="AE68" s="456">
        <v>1766</v>
      </c>
      <c r="AF68" s="457">
        <v>1766</v>
      </c>
      <c r="AG68" s="912">
        <v>1719</v>
      </c>
      <c r="AH68" s="1181">
        <v>1816</v>
      </c>
      <c r="AI68" s="1185">
        <v>1954</v>
      </c>
      <c r="AJ68" s="1629">
        <v>1750</v>
      </c>
      <c r="AK68" s="1629">
        <v>1666</v>
      </c>
      <c r="AL68" s="2243">
        <v>1632</v>
      </c>
    </row>
    <row r="69" spans="1:38" ht="16.5" customHeight="1" x14ac:dyDescent="0.25">
      <c r="A69" s="379" t="s">
        <v>168</v>
      </c>
      <c r="B69" s="380" t="s">
        <v>504</v>
      </c>
      <c r="C69" s="1427" t="s">
        <v>266</v>
      </c>
      <c r="D69" s="453">
        <v>0.16399999999999998</v>
      </c>
      <c r="E69" s="453">
        <v>0.156</v>
      </c>
      <c r="F69" s="453">
        <v>0.17</v>
      </c>
      <c r="G69" s="453">
        <v>0.17300000000000001</v>
      </c>
      <c r="H69" s="453">
        <v>0.16800000000000001</v>
      </c>
      <c r="I69" s="453">
        <v>0.19399999999999998</v>
      </c>
      <c r="J69" s="453">
        <v>0.193</v>
      </c>
      <c r="K69" s="453">
        <v>0.19899999999999998</v>
      </c>
      <c r="L69" s="453">
        <v>0.20600000000000002</v>
      </c>
      <c r="M69" s="453">
        <v>0.20300000000000001</v>
      </c>
      <c r="N69" s="454">
        <v>0.20799999999999999</v>
      </c>
      <c r="O69" s="905">
        <v>0.221</v>
      </c>
      <c r="P69" s="905">
        <v>0.23300000000000001</v>
      </c>
      <c r="Q69" s="905">
        <v>0.2353453911527566</v>
      </c>
      <c r="R69" s="1624">
        <v>0.24342873831775702</v>
      </c>
      <c r="S69" s="1624">
        <v>0.23663838022926903</v>
      </c>
      <c r="T69" s="2237">
        <v>0.22918707149853085</v>
      </c>
      <c r="U69" s="455"/>
      <c r="V69" s="456">
        <v>2331</v>
      </c>
      <c r="W69" s="456">
        <v>2210</v>
      </c>
      <c r="X69" s="456">
        <v>2405</v>
      </c>
      <c r="Y69" s="456">
        <v>2444</v>
      </c>
      <c r="Z69" s="456">
        <v>2367</v>
      </c>
      <c r="AA69" s="456">
        <v>2703</v>
      </c>
      <c r="AB69" s="456">
        <v>2702</v>
      </c>
      <c r="AC69" s="456">
        <v>2785</v>
      </c>
      <c r="AD69" s="456">
        <v>2921</v>
      </c>
      <c r="AE69" s="456">
        <v>2880</v>
      </c>
      <c r="AF69" s="457">
        <v>2903</v>
      </c>
      <c r="AG69" s="912">
        <v>3085</v>
      </c>
      <c r="AH69" s="1181">
        <v>3226</v>
      </c>
      <c r="AI69" s="1185">
        <v>3240</v>
      </c>
      <c r="AJ69" s="1629">
        <v>3334</v>
      </c>
      <c r="AK69" s="1629">
        <v>3179</v>
      </c>
      <c r="AL69" s="2243">
        <v>3042</v>
      </c>
    </row>
    <row r="70" spans="1:38" ht="16.5" customHeight="1" x14ac:dyDescent="0.25">
      <c r="A70" s="379" t="s">
        <v>170</v>
      </c>
      <c r="B70" s="380" t="s">
        <v>505</v>
      </c>
      <c r="C70" s="1427" t="s">
        <v>267</v>
      </c>
      <c r="D70" s="453">
        <v>8.900000000000001E-2</v>
      </c>
      <c r="E70" s="453">
        <v>8.6999999999999994E-2</v>
      </c>
      <c r="F70" s="453">
        <v>8.8000000000000009E-2</v>
      </c>
      <c r="G70" s="453">
        <v>8.5999999999999993E-2</v>
      </c>
      <c r="H70" s="453">
        <v>0.08</v>
      </c>
      <c r="I70" s="453">
        <v>8.4000000000000005E-2</v>
      </c>
      <c r="J70" s="453">
        <v>7.8E-2</v>
      </c>
      <c r="K70" s="453">
        <v>8.5999999999999993E-2</v>
      </c>
      <c r="L70" s="453">
        <v>8.199999999999999E-2</v>
      </c>
      <c r="M70" s="453">
        <v>9.5000000000000001E-2</v>
      </c>
      <c r="N70" s="454">
        <v>0.10699999999999998</v>
      </c>
      <c r="O70" s="905">
        <v>0.11900000000000001</v>
      </c>
      <c r="P70" s="905">
        <v>0.1</v>
      </c>
      <c r="Q70" s="905">
        <v>0.10405337879544987</v>
      </c>
      <c r="R70" s="1624">
        <v>0.10683735816118708</v>
      </c>
      <c r="S70" s="1624">
        <v>0.10368364966446819</v>
      </c>
      <c r="T70" s="2237">
        <v>9.2163782961751456E-2</v>
      </c>
      <c r="U70" s="455"/>
      <c r="V70" s="456">
        <v>2338</v>
      </c>
      <c r="W70" s="456">
        <v>2333</v>
      </c>
      <c r="X70" s="456">
        <v>2447</v>
      </c>
      <c r="Y70" s="456">
        <v>2444</v>
      </c>
      <c r="Z70" s="456">
        <v>2375</v>
      </c>
      <c r="AA70" s="456">
        <v>2490</v>
      </c>
      <c r="AB70" s="456">
        <v>2412</v>
      </c>
      <c r="AC70" s="456">
        <v>2728</v>
      </c>
      <c r="AD70" s="456">
        <v>2677</v>
      </c>
      <c r="AE70" s="456">
        <v>3130</v>
      </c>
      <c r="AF70" s="457">
        <v>3517</v>
      </c>
      <c r="AG70" s="912">
        <v>3950</v>
      </c>
      <c r="AH70" s="1181">
        <v>3364</v>
      </c>
      <c r="AI70" s="1185">
        <v>3540</v>
      </c>
      <c r="AJ70" s="1629">
        <v>3672</v>
      </c>
      <c r="AK70" s="1629">
        <v>3600</v>
      </c>
      <c r="AL70" s="2243">
        <v>3212</v>
      </c>
    </row>
    <row r="71" spans="1:38" ht="16.5" customHeight="1" x14ac:dyDescent="0.25">
      <c r="A71" s="379" t="s">
        <v>172</v>
      </c>
      <c r="B71" s="380" t="s">
        <v>506</v>
      </c>
      <c r="C71" s="1427" t="s">
        <v>267</v>
      </c>
      <c r="D71" s="453">
        <v>0.106</v>
      </c>
      <c r="E71" s="453">
        <v>0.10099999999999999</v>
      </c>
      <c r="F71" s="453">
        <v>0.11</v>
      </c>
      <c r="G71" s="453">
        <v>0.12</v>
      </c>
      <c r="H71" s="453">
        <v>0.11599999999999999</v>
      </c>
      <c r="I71" s="453">
        <v>0.13300000000000001</v>
      </c>
      <c r="J71" s="453">
        <v>0.13</v>
      </c>
      <c r="K71" s="453">
        <v>0.122</v>
      </c>
      <c r="L71" s="453">
        <v>0.14199999999999999</v>
      </c>
      <c r="M71" s="453">
        <v>0.125</v>
      </c>
      <c r="N71" s="454">
        <v>0.15699999999999997</v>
      </c>
      <c r="O71" s="905">
        <v>0.17100000000000001</v>
      </c>
      <c r="P71" s="905">
        <v>0.156</v>
      </c>
      <c r="Q71" s="905">
        <v>0.15255675790367071</v>
      </c>
      <c r="R71" s="1624">
        <v>0.16910300410999535</v>
      </c>
      <c r="S71" s="1624">
        <v>0.15047075363183232</v>
      </c>
      <c r="T71" s="2237">
        <v>0.16386644435894146</v>
      </c>
      <c r="U71" s="455"/>
      <c r="V71" s="456">
        <v>2439</v>
      </c>
      <c r="W71" s="456">
        <v>2339</v>
      </c>
      <c r="X71" s="456">
        <v>2578</v>
      </c>
      <c r="Y71" s="456">
        <v>2818</v>
      </c>
      <c r="Z71" s="456">
        <v>2752</v>
      </c>
      <c r="AA71" s="456">
        <v>3116</v>
      </c>
      <c r="AB71" s="456">
        <v>3093</v>
      </c>
      <c r="AC71" s="456">
        <v>2912</v>
      </c>
      <c r="AD71" s="456">
        <v>3370</v>
      </c>
      <c r="AE71" s="456">
        <v>2964</v>
      </c>
      <c r="AF71" s="457">
        <v>3725</v>
      </c>
      <c r="AG71" s="912">
        <v>4055</v>
      </c>
      <c r="AH71" s="1181">
        <v>3683</v>
      </c>
      <c r="AI71" s="1185">
        <v>3595</v>
      </c>
      <c r="AJ71" s="1629">
        <v>3991</v>
      </c>
      <c r="AK71" s="1629">
        <v>3532</v>
      </c>
      <c r="AL71" s="2243">
        <v>3833</v>
      </c>
    </row>
    <row r="72" spans="1:38" ht="16.5" customHeight="1" x14ac:dyDescent="0.25">
      <c r="A72" s="379" t="s">
        <v>174</v>
      </c>
      <c r="B72" s="380" t="s">
        <v>507</v>
      </c>
      <c r="C72" s="1427" t="s">
        <v>268</v>
      </c>
      <c r="D72" s="453">
        <v>0.125</v>
      </c>
      <c r="E72" s="453">
        <v>0.129</v>
      </c>
      <c r="F72" s="453">
        <v>0.13600000000000001</v>
      </c>
      <c r="G72" s="453">
        <v>0.14099999999999999</v>
      </c>
      <c r="H72" s="453">
        <v>0.14000000000000001</v>
      </c>
      <c r="I72" s="453">
        <v>0.161</v>
      </c>
      <c r="J72" s="453">
        <v>0.14099999999999999</v>
      </c>
      <c r="K72" s="453">
        <v>0.15</v>
      </c>
      <c r="L72" s="453">
        <v>0.17100000000000001</v>
      </c>
      <c r="M72" s="453">
        <v>0.17600000000000002</v>
      </c>
      <c r="N72" s="454">
        <v>0.187</v>
      </c>
      <c r="O72" s="905">
        <v>0.18</v>
      </c>
      <c r="P72" s="905">
        <v>0.18099999999999999</v>
      </c>
      <c r="Q72" s="905">
        <v>0.19443982942903029</v>
      </c>
      <c r="R72" s="1624">
        <v>0.21903012081732642</v>
      </c>
      <c r="S72" s="1624">
        <v>0.16968262021534472</v>
      </c>
      <c r="T72" s="2237">
        <v>0.17891210538269361</v>
      </c>
      <c r="U72" s="455"/>
      <c r="V72" s="456">
        <v>2427</v>
      </c>
      <c r="W72" s="456">
        <v>2471</v>
      </c>
      <c r="X72" s="456">
        <v>2610</v>
      </c>
      <c r="Y72" s="456">
        <v>2701</v>
      </c>
      <c r="Z72" s="456">
        <v>2690</v>
      </c>
      <c r="AA72" s="456">
        <v>3039</v>
      </c>
      <c r="AB72" s="456">
        <v>2686</v>
      </c>
      <c r="AC72" s="456">
        <v>2797</v>
      </c>
      <c r="AD72" s="456">
        <v>3185</v>
      </c>
      <c r="AE72" s="456">
        <v>3246</v>
      </c>
      <c r="AF72" s="457">
        <v>3407</v>
      </c>
      <c r="AG72" s="912">
        <v>3260</v>
      </c>
      <c r="AH72" s="1181">
        <v>3280</v>
      </c>
      <c r="AI72" s="1185">
        <v>3511</v>
      </c>
      <c r="AJ72" s="1629">
        <v>3934</v>
      </c>
      <c r="AK72" s="1629">
        <v>3010</v>
      </c>
      <c r="AL72" s="2243">
        <v>3151</v>
      </c>
    </row>
    <row r="73" spans="1:38" ht="16.5" customHeight="1" x14ac:dyDescent="0.25">
      <c r="A73" s="379" t="s">
        <v>178</v>
      </c>
      <c r="B73" s="380" t="s">
        <v>179</v>
      </c>
      <c r="C73" s="1427" t="s">
        <v>265</v>
      </c>
      <c r="D73" s="453">
        <v>0.10099999999999999</v>
      </c>
      <c r="E73" s="453">
        <v>0.10199999999999999</v>
      </c>
      <c r="F73" s="453">
        <v>0.11599999999999999</v>
      </c>
      <c r="G73" s="453">
        <v>0.124</v>
      </c>
      <c r="H73" s="453">
        <v>0.121</v>
      </c>
      <c r="I73" s="453">
        <v>0.14300000000000002</v>
      </c>
      <c r="J73" s="453">
        <v>0.13</v>
      </c>
      <c r="K73" s="453">
        <v>0.121</v>
      </c>
      <c r="L73" s="453">
        <v>0.14400000000000002</v>
      </c>
      <c r="M73" s="453">
        <v>0.156</v>
      </c>
      <c r="N73" s="454">
        <v>0.159</v>
      </c>
      <c r="O73" s="905">
        <v>0.14699999999999999</v>
      </c>
      <c r="P73" s="905">
        <v>0.14499999999999999</v>
      </c>
      <c r="Q73" s="905">
        <v>0.15218242317478958</v>
      </c>
      <c r="R73" s="1624">
        <v>0.14556993001288807</v>
      </c>
      <c r="S73" s="1624">
        <v>0.17141968436906554</v>
      </c>
      <c r="T73" s="2237">
        <v>0.13562933597621407</v>
      </c>
      <c r="U73" s="455"/>
      <c r="V73" s="456">
        <v>6252</v>
      </c>
      <c r="W73" s="456">
        <v>6276</v>
      </c>
      <c r="X73" s="456">
        <v>7149</v>
      </c>
      <c r="Y73" s="456">
        <v>7661</v>
      </c>
      <c r="Z73" s="456">
        <v>7497</v>
      </c>
      <c r="AA73" s="456">
        <v>8779</v>
      </c>
      <c r="AB73" s="456">
        <v>7914</v>
      </c>
      <c r="AC73" s="456">
        <v>7281</v>
      </c>
      <c r="AD73" s="456">
        <v>8732</v>
      </c>
      <c r="AE73" s="456">
        <v>9386</v>
      </c>
      <c r="AF73" s="457">
        <v>9951</v>
      </c>
      <c r="AG73" s="912">
        <v>9113</v>
      </c>
      <c r="AH73" s="1181">
        <v>8965</v>
      </c>
      <c r="AI73" s="1185">
        <v>9330</v>
      </c>
      <c r="AJ73" s="1629">
        <v>8923</v>
      </c>
      <c r="AK73" s="1629">
        <v>10471</v>
      </c>
      <c r="AL73" s="2243">
        <v>8211</v>
      </c>
    </row>
    <row r="74" spans="1:38" ht="16.5" customHeight="1" x14ac:dyDescent="0.25">
      <c r="A74" s="379" t="s">
        <v>182</v>
      </c>
      <c r="B74" s="380" t="s">
        <v>509</v>
      </c>
      <c r="C74" s="1427" t="s">
        <v>266</v>
      </c>
      <c r="D74" s="453">
        <v>5.4000000000000006E-2</v>
      </c>
      <c r="E74" s="453">
        <v>5.2999999999999999E-2</v>
      </c>
      <c r="F74" s="453">
        <v>5.5999999999999994E-2</v>
      </c>
      <c r="G74" s="453">
        <v>5.9000000000000004E-2</v>
      </c>
      <c r="H74" s="453">
        <v>5.7000000000000002E-2</v>
      </c>
      <c r="I74" s="453">
        <v>5.9000000000000004E-2</v>
      </c>
      <c r="J74" s="453">
        <v>5.7999999999999996E-2</v>
      </c>
      <c r="K74" s="453">
        <v>5.7999999999999996E-2</v>
      </c>
      <c r="L74" s="453">
        <v>5.7999999999999996E-2</v>
      </c>
      <c r="M74" s="453">
        <v>6.0999999999999999E-2</v>
      </c>
      <c r="N74" s="454">
        <v>7.1000000000000008E-2</v>
      </c>
      <c r="O74" s="905">
        <v>7.400000000000001E-2</v>
      </c>
      <c r="P74" s="905">
        <v>7.0999999999999994E-2</v>
      </c>
      <c r="Q74" s="905">
        <v>7.7032700381311867E-2</v>
      </c>
      <c r="R74" s="1624">
        <v>7.0709765952580619E-2</v>
      </c>
      <c r="S74" s="1624">
        <v>6.3804973477295815E-2</v>
      </c>
      <c r="T74" s="2237">
        <v>6.5818195271745164E-2</v>
      </c>
      <c r="U74" s="455"/>
      <c r="V74" s="456">
        <v>1116</v>
      </c>
      <c r="W74" s="456">
        <v>1152</v>
      </c>
      <c r="X74" s="456">
        <v>1271</v>
      </c>
      <c r="Y74" s="456">
        <v>1383</v>
      </c>
      <c r="Z74" s="456">
        <v>1375</v>
      </c>
      <c r="AA74" s="456">
        <v>1404</v>
      </c>
      <c r="AB74" s="456">
        <v>1445</v>
      </c>
      <c r="AC74" s="456">
        <v>1451</v>
      </c>
      <c r="AD74" s="456">
        <v>1489</v>
      </c>
      <c r="AE74" s="456">
        <v>1573</v>
      </c>
      <c r="AF74" s="457">
        <v>1821</v>
      </c>
      <c r="AG74" s="912">
        <v>1894</v>
      </c>
      <c r="AH74" s="1181">
        <v>1821</v>
      </c>
      <c r="AI74" s="1185">
        <v>2000</v>
      </c>
      <c r="AJ74" s="1629">
        <v>1855</v>
      </c>
      <c r="AK74" s="1629">
        <v>1696</v>
      </c>
      <c r="AL74" s="2243">
        <v>1779</v>
      </c>
    </row>
    <row r="75" spans="1:38" ht="16.5" customHeight="1" x14ac:dyDescent="0.25">
      <c r="A75" s="379" t="s">
        <v>184</v>
      </c>
      <c r="B75" s="380" t="s">
        <v>510</v>
      </c>
      <c r="C75" s="1427" t="s">
        <v>266</v>
      </c>
      <c r="D75" s="453">
        <v>0.18600000000000003</v>
      </c>
      <c r="E75" s="453">
        <v>0.19699999999999998</v>
      </c>
      <c r="F75" s="453">
        <v>0.221</v>
      </c>
      <c r="G75" s="453">
        <v>0.184</v>
      </c>
      <c r="H75" s="453">
        <v>0.187</v>
      </c>
      <c r="I75" s="453">
        <v>0.222</v>
      </c>
      <c r="J75" s="453">
        <v>0.19600000000000001</v>
      </c>
      <c r="K75" s="453">
        <v>0.20300000000000001</v>
      </c>
      <c r="L75" s="453">
        <v>0.23699999999999999</v>
      </c>
      <c r="M75" s="453">
        <v>0.222</v>
      </c>
      <c r="N75" s="454">
        <v>0.22800000000000001</v>
      </c>
      <c r="O75" s="905">
        <v>0.25</v>
      </c>
      <c r="P75" s="905">
        <v>0.23699999999999999</v>
      </c>
      <c r="Q75" s="905">
        <v>0.23520915801861561</v>
      </c>
      <c r="R75" s="1624">
        <v>0.25497038917089676</v>
      </c>
      <c r="S75" s="1624">
        <v>0.22297044519266743</v>
      </c>
      <c r="T75" s="2237">
        <v>0.22626925723966329</v>
      </c>
      <c r="U75" s="455"/>
      <c r="V75" s="456">
        <v>2980</v>
      </c>
      <c r="W75" s="456">
        <v>3195</v>
      </c>
      <c r="X75" s="456">
        <v>3635</v>
      </c>
      <c r="Y75" s="456">
        <v>3050</v>
      </c>
      <c r="Z75" s="456">
        <v>3136</v>
      </c>
      <c r="AA75" s="456">
        <v>3653</v>
      </c>
      <c r="AB75" s="456">
        <v>3275</v>
      </c>
      <c r="AC75" s="456">
        <v>3449</v>
      </c>
      <c r="AD75" s="456">
        <v>4105</v>
      </c>
      <c r="AE75" s="456">
        <v>3897</v>
      </c>
      <c r="AF75" s="457">
        <v>4338</v>
      </c>
      <c r="AG75" s="912">
        <v>4748</v>
      </c>
      <c r="AH75" s="1181">
        <v>4460</v>
      </c>
      <c r="AI75" s="1185">
        <v>4397</v>
      </c>
      <c r="AJ75" s="1629">
        <v>4822</v>
      </c>
      <c r="AK75" s="1629">
        <v>4172</v>
      </c>
      <c r="AL75" s="2243">
        <v>4274</v>
      </c>
    </row>
    <row r="76" spans="1:38" ht="16.5" customHeight="1" x14ac:dyDescent="0.25">
      <c r="A76" s="379" t="s">
        <v>186</v>
      </c>
      <c r="B76" s="380" t="s">
        <v>511</v>
      </c>
      <c r="C76" s="1427" t="s">
        <v>264</v>
      </c>
      <c r="D76" s="453">
        <v>7.5999999999999998E-2</v>
      </c>
      <c r="E76" s="453">
        <v>7.5999999999999998E-2</v>
      </c>
      <c r="F76" s="453">
        <v>8.1000000000000003E-2</v>
      </c>
      <c r="G76" s="453">
        <v>9.1999999999999998E-2</v>
      </c>
      <c r="H76" s="453">
        <v>8.5999999999999993E-2</v>
      </c>
      <c r="I76" s="453">
        <v>9.1999999999999998E-2</v>
      </c>
      <c r="J76" s="453">
        <v>8.5999999999999993E-2</v>
      </c>
      <c r="K76" s="453">
        <v>9.3000000000000013E-2</v>
      </c>
      <c r="L76" s="453">
        <v>0.105</v>
      </c>
      <c r="M76" s="453">
        <v>0.10199999999999999</v>
      </c>
      <c r="N76" s="454">
        <v>9.6999999999999989E-2</v>
      </c>
      <c r="O76" s="905">
        <v>0.107</v>
      </c>
      <c r="P76" s="905">
        <v>8.6999999999999994E-2</v>
      </c>
      <c r="Q76" s="905">
        <v>0.12900234886883422</v>
      </c>
      <c r="R76" s="1624">
        <v>0.10496949630583402</v>
      </c>
      <c r="S76" s="1624">
        <v>9.9328373942113662E-2</v>
      </c>
      <c r="T76" s="2237">
        <v>9.5203836930455629E-2</v>
      </c>
      <c r="U76" s="455"/>
      <c r="V76" s="456">
        <v>2206</v>
      </c>
      <c r="W76" s="456">
        <v>2201</v>
      </c>
      <c r="X76" s="456">
        <v>2373</v>
      </c>
      <c r="Y76" s="456">
        <v>2716</v>
      </c>
      <c r="Z76" s="456">
        <v>2557</v>
      </c>
      <c r="AA76" s="456">
        <v>2706</v>
      </c>
      <c r="AB76" s="456">
        <v>2498</v>
      </c>
      <c r="AC76" s="456">
        <v>2663</v>
      </c>
      <c r="AD76" s="456">
        <v>3018</v>
      </c>
      <c r="AE76" s="456">
        <v>3025</v>
      </c>
      <c r="AF76" s="457">
        <v>3002</v>
      </c>
      <c r="AG76" s="912">
        <v>3404</v>
      </c>
      <c r="AH76" s="1181">
        <v>2781</v>
      </c>
      <c r="AI76" s="1185">
        <v>4174</v>
      </c>
      <c r="AJ76" s="1629">
        <v>3424</v>
      </c>
      <c r="AK76" s="1629">
        <v>3298</v>
      </c>
      <c r="AL76" s="2243">
        <v>3176</v>
      </c>
    </row>
    <row r="77" spans="1:38" ht="16.5" customHeight="1" x14ac:dyDescent="0.25">
      <c r="A77" s="379" t="s">
        <v>188</v>
      </c>
      <c r="B77" s="380" t="s">
        <v>512</v>
      </c>
      <c r="C77" s="1427" t="s">
        <v>267</v>
      </c>
      <c r="D77" s="453">
        <v>4.8000000000000001E-2</v>
      </c>
      <c r="E77" s="453">
        <v>4.8000000000000001E-2</v>
      </c>
      <c r="F77" s="453">
        <v>5.5E-2</v>
      </c>
      <c r="G77" s="453">
        <v>0.06</v>
      </c>
      <c r="H77" s="453">
        <v>5.5999999999999994E-2</v>
      </c>
      <c r="I77" s="453">
        <v>0.05</v>
      </c>
      <c r="J77" s="453">
        <v>5.0999999999999997E-2</v>
      </c>
      <c r="K77" s="453">
        <v>0.05</v>
      </c>
      <c r="L77" s="453">
        <v>5.2999999999999999E-2</v>
      </c>
      <c r="M77" s="453">
        <v>0.06</v>
      </c>
      <c r="N77" s="454">
        <v>6.0999999999999999E-2</v>
      </c>
      <c r="O77" s="905">
        <v>6.9000000000000006E-2</v>
      </c>
      <c r="P77" s="905">
        <v>6.7000000000000004E-2</v>
      </c>
      <c r="Q77" s="905">
        <v>6.9617601561636766E-2</v>
      </c>
      <c r="R77" s="1624">
        <v>7.2213511440537032E-2</v>
      </c>
      <c r="S77" s="1624">
        <v>6.6880924018353424E-2</v>
      </c>
      <c r="T77" s="2237">
        <v>7.3915445949274669E-2</v>
      </c>
      <c r="U77" s="455"/>
      <c r="V77" s="456">
        <v>14234</v>
      </c>
      <c r="W77" s="456">
        <v>14982</v>
      </c>
      <c r="X77" s="456">
        <v>17871</v>
      </c>
      <c r="Y77" s="456">
        <v>20293</v>
      </c>
      <c r="Z77" s="456">
        <v>19550</v>
      </c>
      <c r="AA77" s="456">
        <v>17235</v>
      </c>
      <c r="AB77" s="456">
        <v>18174</v>
      </c>
      <c r="AC77" s="456">
        <v>17703</v>
      </c>
      <c r="AD77" s="456">
        <v>19016</v>
      </c>
      <c r="AE77" s="456">
        <v>22535</v>
      </c>
      <c r="AF77" s="457">
        <v>24696</v>
      </c>
      <c r="AG77" s="912">
        <v>28639</v>
      </c>
      <c r="AH77" s="1181">
        <v>28559</v>
      </c>
      <c r="AI77" s="1185">
        <v>30243</v>
      </c>
      <c r="AJ77" s="1629">
        <v>31917</v>
      </c>
      <c r="AK77" s="1629">
        <v>29925</v>
      </c>
      <c r="AL77" s="2243">
        <v>33308</v>
      </c>
    </row>
    <row r="78" spans="1:38" ht="16.5" customHeight="1" x14ac:dyDescent="0.25">
      <c r="A78" s="379" t="s">
        <v>190</v>
      </c>
      <c r="B78" s="380" t="s">
        <v>513</v>
      </c>
      <c r="C78" s="1427" t="s">
        <v>268</v>
      </c>
      <c r="D78" s="453">
        <v>0.11199999999999999</v>
      </c>
      <c r="E78" s="453">
        <v>0.113</v>
      </c>
      <c r="F78" s="453">
        <v>0.124</v>
      </c>
      <c r="G78" s="453">
        <v>0.13</v>
      </c>
      <c r="H78" s="453">
        <v>0.13100000000000001</v>
      </c>
      <c r="I78" s="453">
        <v>0.157</v>
      </c>
      <c r="J78" s="453">
        <v>0.14099999999999999</v>
      </c>
      <c r="K78" s="453">
        <v>0.14099999999999999</v>
      </c>
      <c r="L78" s="453">
        <v>0.154</v>
      </c>
      <c r="M78" s="453">
        <v>0.14199999999999999</v>
      </c>
      <c r="N78" s="454">
        <v>0.158</v>
      </c>
      <c r="O78" s="905">
        <v>0.16500000000000001</v>
      </c>
      <c r="P78" s="905">
        <v>0.16600000000000001</v>
      </c>
      <c r="Q78" s="905">
        <v>0.15722911472258103</v>
      </c>
      <c r="R78" s="1624">
        <v>0.14719647332346991</v>
      </c>
      <c r="S78" s="1624">
        <v>0.15029285671155124</v>
      </c>
      <c r="T78" s="2237">
        <v>0.14430425815843745</v>
      </c>
      <c r="U78" s="455"/>
      <c r="V78" s="456">
        <v>3813</v>
      </c>
      <c r="W78" s="456">
        <v>3825</v>
      </c>
      <c r="X78" s="456">
        <v>4236</v>
      </c>
      <c r="Y78" s="456">
        <v>4427</v>
      </c>
      <c r="Z78" s="456">
        <v>4463</v>
      </c>
      <c r="AA78" s="456">
        <v>5295</v>
      </c>
      <c r="AB78" s="456">
        <v>4751</v>
      </c>
      <c r="AC78" s="456">
        <v>4753</v>
      </c>
      <c r="AD78" s="456">
        <v>5193</v>
      </c>
      <c r="AE78" s="456">
        <v>4766</v>
      </c>
      <c r="AF78" s="457">
        <v>5355</v>
      </c>
      <c r="AG78" s="912">
        <v>5533</v>
      </c>
      <c r="AH78" s="1181">
        <v>5563</v>
      </c>
      <c r="AI78" s="1185">
        <v>5234</v>
      </c>
      <c r="AJ78" s="1629">
        <v>4875</v>
      </c>
      <c r="AK78" s="1629">
        <v>4978</v>
      </c>
      <c r="AL78" s="2243">
        <v>4758</v>
      </c>
    </row>
    <row r="79" spans="1:38" ht="16.5" customHeight="1" x14ac:dyDescent="0.25">
      <c r="A79" s="379" t="s">
        <v>194</v>
      </c>
      <c r="B79" s="380" t="s">
        <v>195</v>
      </c>
      <c r="C79" s="1427" t="s">
        <v>267</v>
      </c>
      <c r="D79" s="453">
        <v>7.9000000000000001E-2</v>
      </c>
      <c r="E79" s="453">
        <v>7.5999999999999998E-2</v>
      </c>
      <c r="F79" s="453">
        <v>7.5999999999999998E-2</v>
      </c>
      <c r="G79" s="453">
        <v>7.400000000000001E-2</v>
      </c>
      <c r="H79" s="453">
        <v>6.6000000000000003E-2</v>
      </c>
      <c r="I79" s="453">
        <v>7.0999999999999994E-2</v>
      </c>
      <c r="J79" s="453">
        <v>7.8E-2</v>
      </c>
      <c r="K79" s="453">
        <v>7.8E-2</v>
      </c>
      <c r="L79" s="453">
        <v>8.199999999999999E-2</v>
      </c>
      <c r="M79" s="453">
        <v>9.1999999999999998E-2</v>
      </c>
      <c r="N79" s="454">
        <v>9.8000000000000004E-2</v>
      </c>
      <c r="O79" s="905">
        <v>0.1</v>
      </c>
      <c r="P79" s="905">
        <v>0.106</v>
      </c>
      <c r="Q79" s="905">
        <v>0.10336473755047107</v>
      </c>
      <c r="R79" s="1624">
        <v>9.3493712411153632E-2</v>
      </c>
      <c r="S79" s="1624">
        <v>9.8063284233497E-2</v>
      </c>
      <c r="T79" s="2237">
        <v>9.9345870809484871E-2</v>
      </c>
      <c r="U79" s="455"/>
      <c r="V79" s="459">
        <v>557</v>
      </c>
      <c r="W79" s="459">
        <v>541</v>
      </c>
      <c r="X79" s="459">
        <v>542</v>
      </c>
      <c r="Y79" s="459">
        <v>532</v>
      </c>
      <c r="Z79" s="459">
        <v>482</v>
      </c>
      <c r="AA79" s="459">
        <v>515</v>
      </c>
      <c r="AB79" s="459">
        <v>555</v>
      </c>
      <c r="AC79" s="459">
        <v>561</v>
      </c>
      <c r="AD79" s="456">
        <v>581</v>
      </c>
      <c r="AE79" s="456">
        <v>644</v>
      </c>
      <c r="AF79" s="457">
        <v>720</v>
      </c>
      <c r="AG79" s="912">
        <v>742</v>
      </c>
      <c r="AH79" s="1181">
        <v>783</v>
      </c>
      <c r="AI79" s="1185">
        <v>768</v>
      </c>
      <c r="AJ79" s="1629">
        <v>684</v>
      </c>
      <c r="AK79" s="1629">
        <v>719</v>
      </c>
      <c r="AL79" s="2243">
        <v>729</v>
      </c>
    </row>
    <row r="80" spans="1:38" ht="16.5" customHeight="1" x14ac:dyDescent="0.25">
      <c r="A80" s="379" t="s">
        <v>198</v>
      </c>
      <c r="B80" s="380" t="s">
        <v>272</v>
      </c>
      <c r="C80" s="1427" t="s">
        <v>266</v>
      </c>
      <c r="D80" s="453">
        <v>0.157</v>
      </c>
      <c r="E80" s="453">
        <v>0.16</v>
      </c>
      <c r="F80" s="453">
        <v>0.16800000000000001</v>
      </c>
      <c r="G80" s="453">
        <v>0.156</v>
      </c>
      <c r="H80" s="453">
        <v>0.158</v>
      </c>
      <c r="I80" s="453">
        <v>0.17</v>
      </c>
      <c r="J80" s="453">
        <v>0.16500000000000001</v>
      </c>
      <c r="K80" s="453">
        <v>0.17699999999999999</v>
      </c>
      <c r="L80" s="453">
        <v>0.184</v>
      </c>
      <c r="M80" s="453">
        <v>0.193</v>
      </c>
      <c r="N80" s="454">
        <v>0.185</v>
      </c>
      <c r="O80" s="905">
        <v>0.20399999999999999</v>
      </c>
      <c r="P80" s="905">
        <v>0.20300000000000001</v>
      </c>
      <c r="Q80" s="905">
        <v>0.20313143798928718</v>
      </c>
      <c r="R80" s="1624">
        <v>0.19712328767123288</v>
      </c>
      <c r="S80" s="1624">
        <v>0.17666528754654531</v>
      </c>
      <c r="T80" s="2237">
        <v>0.19269972451790635</v>
      </c>
      <c r="U80" s="455"/>
      <c r="V80" s="456">
        <v>1110</v>
      </c>
      <c r="W80" s="456">
        <v>1144</v>
      </c>
      <c r="X80" s="456">
        <v>1216</v>
      </c>
      <c r="Y80" s="456">
        <v>1120</v>
      </c>
      <c r="Z80" s="456">
        <v>1141</v>
      </c>
      <c r="AA80" s="456">
        <v>1219</v>
      </c>
      <c r="AB80" s="456">
        <v>1192</v>
      </c>
      <c r="AC80" s="456">
        <v>1272</v>
      </c>
      <c r="AD80" s="456">
        <v>1315</v>
      </c>
      <c r="AE80" s="456">
        <v>1342</v>
      </c>
      <c r="AF80" s="457">
        <v>1377</v>
      </c>
      <c r="AG80" s="912">
        <v>1510</v>
      </c>
      <c r="AH80" s="1181">
        <v>1484</v>
      </c>
      <c r="AI80" s="1185">
        <v>1479</v>
      </c>
      <c r="AJ80" s="1629">
        <v>1439</v>
      </c>
      <c r="AK80" s="1629">
        <v>1281</v>
      </c>
      <c r="AL80" s="2243">
        <v>1399</v>
      </c>
    </row>
    <row r="81" spans="1:38" ht="16.5" customHeight="1" x14ac:dyDescent="0.25">
      <c r="A81" s="379" t="s">
        <v>202</v>
      </c>
      <c r="B81" s="380" t="s">
        <v>611</v>
      </c>
      <c r="C81" s="1427" t="s">
        <v>265</v>
      </c>
      <c r="D81" s="453">
        <v>5.2900000000000003E-2</v>
      </c>
      <c r="E81" s="453">
        <v>5.7000000000000002E-2</v>
      </c>
      <c r="F81" s="453">
        <v>6.5299999999999997E-2</v>
      </c>
      <c r="G81" s="453">
        <v>7.2300000000000003E-2</v>
      </c>
      <c r="H81" s="453">
        <v>6.8699999999999997E-2</v>
      </c>
      <c r="I81" s="453">
        <v>6.3E-2</v>
      </c>
      <c r="J81" s="453">
        <v>6.1500000000000006E-2</v>
      </c>
      <c r="K81" s="453">
        <v>6.480000000000001E-2</v>
      </c>
      <c r="L81" s="453">
        <v>7.0800000000000002E-2</v>
      </c>
      <c r="M81" s="453">
        <v>6.8199999999999997E-2</v>
      </c>
      <c r="N81" s="454">
        <v>7.553320643060675E-2</v>
      </c>
      <c r="O81" s="905">
        <v>0.191</v>
      </c>
      <c r="P81" s="905">
        <v>8.4000000000000005E-2</v>
      </c>
      <c r="Q81" s="905">
        <v>8.2284058881530148E-2</v>
      </c>
      <c r="R81" s="1624">
        <v>8.5998974029022804E-2</v>
      </c>
      <c r="S81" s="1624">
        <v>7.9032062706556161E-2</v>
      </c>
      <c r="T81" s="2237">
        <v>7.7581715238459137E-2</v>
      </c>
      <c r="U81" s="455"/>
      <c r="V81" s="456">
        <v>5681</v>
      </c>
      <c r="W81" s="456">
        <v>6098</v>
      </c>
      <c r="X81" s="456">
        <v>7107</v>
      </c>
      <c r="Y81" s="456">
        <v>7856</v>
      </c>
      <c r="Z81" s="456">
        <v>7558</v>
      </c>
      <c r="AA81" s="456">
        <v>6809</v>
      </c>
      <c r="AB81" s="456">
        <v>6852</v>
      </c>
      <c r="AC81" s="456">
        <v>7238</v>
      </c>
      <c r="AD81" s="456">
        <v>7950</v>
      </c>
      <c r="AE81" s="456">
        <v>7619</v>
      </c>
      <c r="AF81" s="457">
        <v>8538</v>
      </c>
      <c r="AG81" s="912">
        <v>9852</v>
      </c>
      <c r="AH81" s="1181">
        <v>9504</v>
      </c>
      <c r="AI81" s="1185">
        <v>9430</v>
      </c>
      <c r="AJ81" s="1629">
        <v>9891</v>
      </c>
      <c r="AK81" s="1629">
        <v>9135</v>
      </c>
      <c r="AL81" s="2243">
        <v>8934</v>
      </c>
    </row>
    <row r="82" spans="1:38" ht="16.5" customHeight="1" x14ac:dyDescent="0.25">
      <c r="A82" s="379" t="s">
        <v>204</v>
      </c>
      <c r="B82" s="380" t="s">
        <v>747</v>
      </c>
      <c r="C82" s="1427" t="s">
        <v>265</v>
      </c>
      <c r="D82" s="453">
        <v>0.1038</v>
      </c>
      <c r="E82" s="453">
        <v>0.10199999999999999</v>
      </c>
      <c r="F82" s="453">
        <v>0.1124</v>
      </c>
      <c r="G82" s="453">
        <v>0.1109</v>
      </c>
      <c r="H82" s="453">
        <v>0.10630000000000001</v>
      </c>
      <c r="I82" s="453">
        <v>0.12130000000000001</v>
      </c>
      <c r="J82" s="453">
        <v>0.13339999999999999</v>
      </c>
      <c r="K82" s="453">
        <v>0.1273</v>
      </c>
      <c r="L82" s="453">
        <v>0.1346</v>
      </c>
      <c r="M82" s="453">
        <v>0.1338</v>
      </c>
      <c r="N82" s="454">
        <v>0.14077673638184915</v>
      </c>
      <c r="O82" s="905">
        <v>0.14656092725331707</v>
      </c>
      <c r="P82" s="905">
        <v>0.153</v>
      </c>
      <c r="Q82" s="905">
        <v>0.15709268590624523</v>
      </c>
      <c r="R82" s="1624">
        <v>0.15356089850755342</v>
      </c>
      <c r="S82" s="1624">
        <v>0.150208707839493</v>
      </c>
      <c r="T82" s="2237">
        <v>0.14378421603001784</v>
      </c>
      <c r="U82" s="455"/>
      <c r="V82" s="456">
        <v>3255</v>
      </c>
      <c r="W82" s="456">
        <v>3202</v>
      </c>
      <c r="X82" s="456">
        <v>3574</v>
      </c>
      <c r="Y82" s="456">
        <v>3517</v>
      </c>
      <c r="Z82" s="456">
        <v>3365</v>
      </c>
      <c r="AA82" s="456">
        <v>3820</v>
      </c>
      <c r="AB82" s="456">
        <v>4213</v>
      </c>
      <c r="AC82" s="456">
        <v>4049</v>
      </c>
      <c r="AD82" s="456">
        <v>4265</v>
      </c>
      <c r="AE82" s="456">
        <v>4221</v>
      </c>
      <c r="AF82" s="457">
        <v>4625</v>
      </c>
      <c r="AG82" s="912">
        <v>4805</v>
      </c>
      <c r="AH82" s="1181">
        <v>4988</v>
      </c>
      <c r="AI82" s="1185">
        <v>5144</v>
      </c>
      <c r="AJ82" s="1629">
        <v>5052</v>
      </c>
      <c r="AK82" s="1629">
        <v>4930</v>
      </c>
      <c r="AL82" s="2243">
        <v>4675</v>
      </c>
    </row>
    <row r="83" spans="1:38" ht="16.5" customHeight="1" x14ac:dyDescent="0.25">
      <c r="A83" s="379" t="s">
        <v>206</v>
      </c>
      <c r="B83" s="380" t="s">
        <v>748</v>
      </c>
      <c r="C83" s="1427" t="s">
        <v>267</v>
      </c>
      <c r="D83" s="453">
        <v>0.11710000000000001</v>
      </c>
      <c r="E83" s="453">
        <v>0.11119999999999999</v>
      </c>
      <c r="F83" s="453">
        <v>0.1217</v>
      </c>
      <c r="G83" s="453">
        <v>0.1188</v>
      </c>
      <c r="H83" s="453">
        <v>0.11539999999999999</v>
      </c>
      <c r="I83" s="453">
        <v>0.14130000000000001</v>
      </c>
      <c r="J83" s="453">
        <v>0.14990000000000001</v>
      </c>
      <c r="K83" s="453">
        <v>0.1454</v>
      </c>
      <c r="L83" s="453">
        <v>0.158</v>
      </c>
      <c r="M83" s="453">
        <v>0.15340000000000001</v>
      </c>
      <c r="N83" s="454">
        <v>0.17707606256042166</v>
      </c>
      <c r="O83" s="905">
        <v>0.15870237569248546</v>
      </c>
      <c r="P83" s="905">
        <v>0.20499999999999999</v>
      </c>
      <c r="Q83" s="905">
        <v>0.16851109998330829</v>
      </c>
      <c r="R83" s="1624">
        <v>0.17851205662085426</v>
      </c>
      <c r="S83" s="1624">
        <v>0.18337093400057428</v>
      </c>
      <c r="T83" s="2237">
        <v>0.16614915644482639</v>
      </c>
      <c r="U83" s="455"/>
      <c r="V83" s="456">
        <v>11774</v>
      </c>
      <c r="W83" s="456">
        <v>11332</v>
      </c>
      <c r="X83" s="456">
        <v>12457</v>
      </c>
      <c r="Y83" s="456">
        <v>12312</v>
      </c>
      <c r="Z83" s="456">
        <v>12047</v>
      </c>
      <c r="AA83" s="456">
        <v>14559</v>
      </c>
      <c r="AB83" s="456">
        <v>15701</v>
      </c>
      <c r="AC83" s="456">
        <v>15770</v>
      </c>
      <c r="AD83" s="456">
        <v>17273</v>
      </c>
      <c r="AE83" s="456">
        <v>17133</v>
      </c>
      <c r="AF83" s="457">
        <v>20566</v>
      </c>
      <c r="AG83" s="912">
        <v>18678</v>
      </c>
      <c r="AH83" s="1181">
        <v>24402</v>
      </c>
      <c r="AI83" s="1185">
        <v>20191</v>
      </c>
      <c r="AJ83" s="1629">
        <v>21691</v>
      </c>
      <c r="AK83" s="1629">
        <v>22352</v>
      </c>
      <c r="AL83" s="2243">
        <v>20494</v>
      </c>
    </row>
    <row r="84" spans="1:38" ht="16.5" customHeight="1" x14ac:dyDescent="0.25">
      <c r="A84" s="379" t="s">
        <v>208</v>
      </c>
      <c r="B84" s="380" t="s">
        <v>515</v>
      </c>
      <c r="C84" s="1427" t="s">
        <v>268</v>
      </c>
      <c r="D84" s="453">
        <v>0.16699999999999998</v>
      </c>
      <c r="E84" s="453">
        <v>0.159</v>
      </c>
      <c r="F84" s="453">
        <v>0.17600000000000002</v>
      </c>
      <c r="G84" s="453">
        <v>0.16800000000000001</v>
      </c>
      <c r="H84" s="453">
        <v>0.16500000000000001</v>
      </c>
      <c r="I84" s="453">
        <v>0.193</v>
      </c>
      <c r="J84" s="453">
        <v>0.17399999999999999</v>
      </c>
      <c r="K84" s="453">
        <v>0.184</v>
      </c>
      <c r="L84" s="453">
        <v>0.19399999999999998</v>
      </c>
      <c r="M84" s="453">
        <v>0.191</v>
      </c>
      <c r="N84" s="454">
        <v>0.18100000000000002</v>
      </c>
      <c r="O84" s="905">
        <v>0.23499999999999999</v>
      </c>
      <c r="P84" s="905">
        <v>0.183</v>
      </c>
      <c r="Q84" s="905">
        <v>0.18802044244308638</v>
      </c>
      <c r="R84" s="1624">
        <v>0.17881081081081082</v>
      </c>
      <c r="S84" s="1624">
        <v>0.21238681637088011</v>
      </c>
      <c r="T84" s="2237">
        <v>0.16924496954033597</v>
      </c>
      <c r="U84" s="455"/>
      <c r="V84" s="456">
        <v>4793</v>
      </c>
      <c r="W84" s="456">
        <v>4565</v>
      </c>
      <c r="X84" s="456">
        <v>5059</v>
      </c>
      <c r="Y84" s="456">
        <v>4823</v>
      </c>
      <c r="Z84" s="456">
        <v>4762</v>
      </c>
      <c r="AA84" s="456">
        <v>5492</v>
      </c>
      <c r="AB84" s="456">
        <v>4932</v>
      </c>
      <c r="AC84" s="456">
        <v>5243</v>
      </c>
      <c r="AD84" s="456">
        <v>5516</v>
      </c>
      <c r="AE84" s="456">
        <v>5527</v>
      </c>
      <c r="AF84" s="457">
        <v>5173</v>
      </c>
      <c r="AG84" s="912">
        <v>6704</v>
      </c>
      <c r="AH84" s="1181">
        <v>5145</v>
      </c>
      <c r="AI84" s="1185">
        <v>5261</v>
      </c>
      <c r="AJ84" s="1629">
        <v>4962</v>
      </c>
      <c r="AK84" s="1629">
        <v>5864</v>
      </c>
      <c r="AL84" s="2243">
        <v>4584</v>
      </c>
    </row>
    <row r="85" spans="1:38" ht="16.5" customHeight="1" x14ac:dyDescent="0.25">
      <c r="A85" s="379" t="s">
        <v>210</v>
      </c>
      <c r="B85" s="380" t="s">
        <v>516</v>
      </c>
      <c r="C85" s="1427" t="s">
        <v>268</v>
      </c>
      <c r="D85" s="453">
        <v>0.14099999999999999</v>
      </c>
      <c r="E85" s="453">
        <v>0.13900000000000001</v>
      </c>
      <c r="F85" s="453">
        <v>0.14599999999999999</v>
      </c>
      <c r="G85" s="453">
        <v>0.153</v>
      </c>
      <c r="H85" s="453">
        <v>0.14899999999999999</v>
      </c>
      <c r="I85" s="453">
        <v>0.17899999999999999</v>
      </c>
      <c r="J85" s="453">
        <v>0.17699999999999999</v>
      </c>
      <c r="K85" s="453">
        <v>0.18100000000000002</v>
      </c>
      <c r="L85" s="453">
        <v>0.17300000000000001</v>
      </c>
      <c r="M85" s="453">
        <v>0.192</v>
      </c>
      <c r="N85" s="454">
        <v>0.189</v>
      </c>
      <c r="O85" s="905">
        <v>0.187</v>
      </c>
      <c r="P85" s="905">
        <v>0.21299999999999999</v>
      </c>
      <c r="Q85" s="905">
        <v>0.18399158895593345</v>
      </c>
      <c r="R85" s="1624">
        <v>0.20782283045910582</v>
      </c>
      <c r="S85" s="1624">
        <v>0.19170644949920435</v>
      </c>
      <c r="T85" s="2237">
        <v>0.19476882179815816</v>
      </c>
      <c r="U85" s="455"/>
      <c r="V85" s="456">
        <v>3268</v>
      </c>
      <c r="W85" s="456">
        <v>3183</v>
      </c>
      <c r="X85" s="456">
        <v>3348</v>
      </c>
      <c r="Y85" s="456">
        <v>3508</v>
      </c>
      <c r="Z85" s="456">
        <v>3402</v>
      </c>
      <c r="AA85" s="456">
        <v>4040</v>
      </c>
      <c r="AB85" s="456">
        <v>4000</v>
      </c>
      <c r="AC85" s="456">
        <v>4033</v>
      </c>
      <c r="AD85" s="456">
        <v>3856</v>
      </c>
      <c r="AE85" s="456">
        <v>4220</v>
      </c>
      <c r="AF85" s="457">
        <v>4248</v>
      </c>
      <c r="AG85" s="912">
        <v>4193</v>
      </c>
      <c r="AH85" s="1181">
        <v>4699</v>
      </c>
      <c r="AI85" s="1185">
        <v>4025</v>
      </c>
      <c r="AJ85" s="1629">
        <v>4495</v>
      </c>
      <c r="AK85" s="1629">
        <v>4096</v>
      </c>
      <c r="AL85" s="2243">
        <v>4103</v>
      </c>
    </row>
    <row r="86" spans="1:38" ht="16.5" customHeight="1" x14ac:dyDescent="0.25">
      <c r="A86" s="379" t="s">
        <v>212</v>
      </c>
      <c r="B86" s="380" t="s">
        <v>517</v>
      </c>
      <c r="C86" s="1427" t="s">
        <v>267</v>
      </c>
      <c r="D86" s="453">
        <v>0.08</v>
      </c>
      <c r="E86" s="453">
        <v>8.1000000000000003E-2</v>
      </c>
      <c r="F86" s="453">
        <v>8.3000000000000004E-2</v>
      </c>
      <c r="G86" s="453">
        <v>8.900000000000001E-2</v>
      </c>
      <c r="H86" s="453">
        <v>8.5999999999999993E-2</v>
      </c>
      <c r="I86" s="453">
        <v>8.4000000000000005E-2</v>
      </c>
      <c r="J86" s="453">
        <v>8.3000000000000004E-2</v>
      </c>
      <c r="K86" s="453">
        <v>0.09</v>
      </c>
      <c r="L86" s="453">
        <v>9.8000000000000004E-2</v>
      </c>
      <c r="M86" s="453">
        <v>0.10400000000000001</v>
      </c>
      <c r="N86" s="454">
        <v>0.11700000000000001</v>
      </c>
      <c r="O86" s="905">
        <v>0.13400000000000001</v>
      </c>
      <c r="P86" s="905">
        <v>0.114</v>
      </c>
      <c r="Q86" s="905">
        <v>0.11587982832618025</v>
      </c>
      <c r="R86" s="1624">
        <v>0.12025867136978248</v>
      </c>
      <c r="S86" s="1624">
        <v>0.11484935101447917</v>
      </c>
      <c r="T86" s="2237">
        <v>0.10767715612249683</v>
      </c>
      <c r="U86" s="455"/>
      <c r="V86" s="456">
        <v>2849</v>
      </c>
      <c r="W86" s="456">
        <v>2927</v>
      </c>
      <c r="X86" s="456">
        <v>3072</v>
      </c>
      <c r="Y86" s="456">
        <v>3357</v>
      </c>
      <c r="Z86" s="456">
        <v>3349</v>
      </c>
      <c r="AA86" s="456">
        <v>3235</v>
      </c>
      <c r="AB86" s="456">
        <v>3297</v>
      </c>
      <c r="AC86" s="456">
        <v>3602</v>
      </c>
      <c r="AD86" s="456">
        <v>3934</v>
      </c>
      <c r="AE86" s="456">
        <v>4206</v>
      </c>
      <c r="AF86" s="457">
        <v>4862</v>
      </c>
      <c r="AG86" s="912">
        <v>5620</v>
      </c>
      <c r="AH86" s="1181">
        <v>4797</v>
      </c>
      <c r="AI86" s="1185">
        <v>4887</v>
      </c>
      <c r="AJ86" s="1629">
        <v>5114</v>
      </c>
      <c r="AK86" s="1629">
        <v>4902</v>
      </c>
      <c r="AL86" s="2243">
        <v>4592</v>
      </c>
    </row>
    <row r="87" spans="1:38" ht="16.5" customHeight="1" x14ac:dyDescent="0.25">
      <c r="A87" s="379" t="s">
        <v>214</v>
      </c>
      <c r="B87" s="380" t="s">
        <v>518</v>
      </c>
      <c r="C87" s="1427" t="s">
        <v>268</v>
      </c>
      <c r="D87" s="453">
        <v>0.13100000000000001</v>
      </c>
      <c r="E87" s="453">
        <v>0.13300000000000001</v>
      </c>
      <c r="F87" s="453">
        <v>0.14300000000000002</v>
      </c>
      <c r="G87" s="453">
        <v>0.14800000000000002</v>
      </c>
      <c r="H87" s="453">
        <v>0.14000000000000001</v>
      </c>
      <c r="I87" s="453">
        <v>0.13300000000000001</v>
      </c>
      <c r="J87" s="453">
        <v>0.155</v>
      </c>
      <c r="K87" s="453">
        <v>0.17100000000000001</v>
      </c>
      <c r="L87" s="453">
        <v>0.18100000000000002</v>
      </c>
      <c r="M87" s="453">
        <v>0.17800000000000002</v>
      </c>
      <c r="N87" s="454">
        <v>0.187</v>
      </c>
      <c r="O87" s="905">
        <v>0.19399999999999998</v>
      </c>
      <c r="P87" s="905">
        <v>0.19</v>
      </c>
      <c r="Q87" s="905">
        <v>0.17253418679080593</v>
      </c>
      <c r="R87" s="1624">
        <v>0.19735477178423236</v>
      </c>
      <c r="S87" s="1624">
        <v>0.18109131257750799</v>
      </c>
      <c r="T87" s="2237">
        <v>0.18122645873257121</v>
      </c>
      <c r="U87" s="455"/>
      <c r="V87" s="456">
        <v>4212</v>
      </c>
      <c r="W87" s="456">
        <v>4289</v>
      </c>
      <c r="X87" s="456">
        <v>4596</v>
      </c>
      <c r="Y87" s="456">
        <v>4737</v>
      </c>
      <c r="Z87" s="456">
        <v>4505</v>
      </c>
      <c r="AA87" s="456">
        <v>4166</v>
      </c>
      <c r="AB87" s="456">
        <v>4930</v>
      </c>
      <c r="AC87" s="456">
        <v>5338</v>
      </c>
      <c r="AD87" s="456">
        <v>5626</v>
      </c>
      <c r="AE87" s="456">
        <v>5516</v>
      </c>
      <c r="AF87" s="457">
        <v>5874</v>
      </c>
      <c r="AG87" s="912">
        <v>6085</v>
      </c>
      <c r="AH87" s="1181">
        <v>5898</v>
      </c>
      <c r="AI87" s="1185">
        <v>5337</v>
      </c>
      <c r="AJ87" s="1629">
        <v>6088</v>
      </c>
      <c r="AK87" s="1629">
        <v>5549</v>
      </c>
      <c r="AL87" s="2243">
        <v>5485</v>
      </c>
    </row>
    <row r="88" spans="1:38" ht="16.5" customHeight="1" x14ac:dyDescent="0.25">
      <c r="A88" s="379" t="s">
        <v>216</v>
      </c>
      <c r="B88" s="380" t="s">
        <v>519</v>
      </c>
      <c r="C88" s="1427" t="s">
        <v>264</v>
      </c>
      <c r="D88" s="453">
        <v>0.14000000000000001</v>
      </c>
      <c r="E88" s="453">
        <v>0.13100000000000001</v>
      </c>
      <c r="F88" s="453">
        <v>0.13800000000000001</v>
      </c>
      <c r="G88" s="453">
        <v>0.14000000000000001</v>
      </c>
      <c r="H88" s="453">
        <v>0.13500000000000001</v>
      </c>
      <c r="I88" s="453">
        <v>0.151</v>
      </c>
      <c r="J88" s="453">
        <v>0.154</v>
      </c>
      <c r="K88" s="453">
        <v>0.15</v>
      </c>
      <c r="L88" s="453">
        <v>0.17499999999999999</v>
      </c>
      <c r="M88" s="453">
        <v>0.159</v>
      </c>
      <c r="N88" s="454">
        <v>0.16400000000000001</v>
      </c>
      <c r="O88" s="905">
        <v>0.16</v>
      </c>
      <c r="P88" s="905">
        <v>0.16700000000000001</v>
      </c>
      <c r="Q88" s="905">
        <v>0.1668684911600872</v>
      </c>
      <c r="R88" s="1624">
        <v>0.15262388895653234</v>
      </c>
      <c r="S88" s="1624">
        <v>0.15154846985523182</v>
      </c>
      <c r="T88" s="2237">
        <v>0.15558681426212465</v>
      </c>
      <c r="U88" s="455"/>
      <c r="V88" s="456">
        <v>2211</v>
      </c>
      <c r="W88" s="456">
        <v>2053</v>
      </c>
      <c r="X88" s="456">
        <v>2186</v>
      </c>
      <c r="Y88" s="456">
        <v>2240</v>
      </c>
      <c r="Z88" s="456">
        <v>2194</v>
      </c>
      <c r="AA88" s="456">
        <v>2433</v>
      </c>
      <c r="AB88" s="456">
        <v>2504</v>
      </c>
      <c r="AC88" s="456">
        <v>2431</v>
      </c>
      <c r="AD88" s="456">
        <v>2843</v>
      </c>
      <c r="AE88" s="456">
        <v>2561</v>
      </c>
      <c r="AF88" s="457">
        <v>2789</v>
      </c>
      <c r="AG88" s="912">
        <v>2696</v>
      </c>
      <c r="AH88" s="1181">
        <v>2799</v>
      </c>
      <c r="AI88" s="1185">
        <v>2756</v>
      </c>
      <c r="AJ88" s="1629">
        <v>2507</v>
      </c>
      <c r="AK88" s="1629">
        <v>2481</v>
      </c>
      <c r="AL88" s="2243">
        <v>2544</v>
      </c>
    </row>
    <row r="89" spans="1:38" ht="16.5" customHeight="1" x14ac:dyDescent="0.25">
      <c r="A89" s="379" t="s">
        <v>218</v>
      </c>
      <c r="B89" s="380" t="s">
        <v>520</v>
      </c>
      <c r="C89" s="1427" t="s">
        <v>267</v>
      </c>
      <c r="D89" s="453">
        <v>5.2999999999999999E-2</v>
      </c>
      <c r="E89" s="453">
        <v>5.2000000000000005E-2</v>
      </c>
      <c r="F89" s="453">
        <v>5.7000000000000002E-2</v>
      </c>
      <c r="G89" s="453">
        <v>5.9000000000000004E-2</v>
      </c>
      <c r="H89" s="453">
        <v>5.7000000000000002E-2</v>
      </c>
      <c r="I89" s="453">
        <v>5.5E-2</v>
      </c>
      <c r="J89" s="453">
        <v>5.5999999999999994E-2</v>
      </c>
      <c r="K89" s="453">
        <v>0.06</v>
      </c>
      <c r="L89" s="453">
        <v>6.4000000000000001E-2</v>
      </c>
      <c r="M89" s="453">
        <v>7.5999999999999998E-2</v>
      </c>
      <c r="N89" s="454">
        <v>7.9000000000000001E-2</v>
      </c>
      <c r="O89" s="905">
        <v>7.5999999999999998E-2</v>
      </c>
      <c r="P89" s="905">
        <v>8.5000000000000006E-2</v>
      </c>
      <c r="Q89" s="905">
        <v>7.6984528743632735E-2</v>
      </c>
      <c r="R89" s="1624">
        <v>9.1506324082949522E-2</v>
      </c>
      <c r="S89" s="1624">
        <v>7.6504503670085905E-2</v>
      </c>
      <c r="T89" s="2237">
        <v>7.36392987169604E-2</v>
      </c>
      <c r="U89" s="455"/>
      <c r="V89" s="456">
        <v>5080</v>
      </c>
      <c r="W89" s="456">
        <v>5342</v>
      </c>
      <c r="X89" s="456">
        <v>6138</v>
      </c>
      <c r="Y89" s="456">
        <v>6655</v>
      </c>
      <c r="Z89" s="456">
        <v>6611</v>
      </c>
      <c r="AA89" s="456">
        <v>6346</v>
      </c>
      <c r="AB89" s="456">
        <v>6591</v>
      </c>
      <c r="AC89" s="456">
        <v>7118</v>
      </c>
      <c r="AD89" s="456">
        <v>7586</v>
      </c>
      <c r="AE89" s="456">
        <v>9132</v>
      </c>
      <c r="AF89" s="457">
        <v>9645</v>
      </c>
      <c r="AG89" s="912">
        <v>9356</v>
      </c>
      <c r="AH89" s="1181">
        <v>10558</v>
      </c>
      <c r="AI89" s="1185">
        <v>9733</v>
      </c>
      <c r="AJ89" s="1629">
        <v>11742</v>
      </c>
      <c r="AK89" s="1629">
        <v>9912</v>
      </c>
      <c r="AL89" s="2243">
        <v>9648</v>
      </c>
    </row>
    <row r="90" spans="1:38" ht="16.5" customHeight="1" x14ac:dyDescent="0.25">
      <c r="A90" s="379" t="s">
        <v>220</v>
      </c>
      <c r="B90" s="380" t="s">
        <v>521</v>
      </c>
      <c r="C90" s="1427" t="s">
        <v>267</v>
      </c>
      <c r="D90" s="453">
        <v>4.4000000000000004E-2</v>
      </c>
      <c r="E90" s="453">
        <v>4.2999999999999997E-2</v>
      </c>
      <c r="F90" s="453">
        <v>4.4999999999999998E-2</v>
      </c>
      <c r="G90" s="453">
        <v>0.05</v>
      </c>
      <c r="H90" s="453">
        <v>4.9000000000000002E-2</v>
      </c>
      <c r="I90" s="453">
        <v>4.5999999999999999E-2</v>
      </c>
      <c r="J90" s="453">
        <v>4.4000000000000004E-2</v>
      </c>
      <c r="K90" s="453">
        <v>4.2000000000000003E-2</v>
      </c>
      <c r="L90" s="453">
        <v>4.8000000000000001E-2</v>
      </c>
      <c r="M90" s="453">
        <v>4.7E-2</v>
      </c>
      <c r="N90" s="454">
        <v>5.1999999999999998E-2</v>
      </c>
      <c r="O90" s="905">
        <v>6.3E-2</v>
      </c>
      <c r="P90" s="905">
        <v>5.5E-2</v>
      </c>
      <c r="Q90" s="905">
        <v>6.358634205170724E-2</v>
      </c>
      <c r="R90" s="1624">
        <v>5.8501129266013877E-2</v>
      </c>
      <c r="S90" s="1624">
        <v>5.4025039532285907E-2</v>
      </c>
      <c r="T90" s="2237">
        <v>5.6549315849486886E-2</v>
      </c>
      <c r="U90" s="455"/>
      <c r="V90" s="456">
        <v>4307</v>
      </c>
      <c r="W90" s="456">
        <v>4394</v>
      </c>
      <c r="X90" s="456">
        <v>4901</v>
      </c>
      <c r="Y90" s="456">
        <v>5671</v>
      </c>
      <c r="Z90" s="456">
        <v>5772</v>
      </c>
      <c r="AA90" s="456">
        <v>5366</v>
      </c>
      <c r="AB90" s="456">
        <v>5152</v>
      </c>
      <c r="AC90" s="456">
        <v>4954</v>
      </c>
      <c r="AD90" s="456">
        <v>5713</v>
      </c>
      <c r="AE90" s="456">
        <v>5764</v>
      </c>
      <c r="AF90" s="457">
        <v>6531</v>
      </c>
      <c r="AG90" s="912">
        <v>8070</v>
      </c>
      <c r="AH90" s="1181">
        <v>7231</v>
      </c>
      <c r="AI90" s="1185">
        <v>8436</v>
      </c>
      <c r="AJ90" s="1629">
        <v>7952</v>
      </c>
      <c r="AK90" s="1629">
        <v>7448</v>
      </c>
      <c r="AL90" s="2243">
        <v>7935</v>
      </c>
    </row>
    <row r="91" spans="1:38" ht="16.5" customHeight="1" x14ac:dyDescent="0.25">
      <c r="A91" s="379" t="s">
        <v>224</v>
      </c>
      <c r="B91" s="380" t="s">
        <v>522</v>
      </c>
      <c r="C91" s="1427" t="s">
        <v>264</v>
      </c>
      <c r="D91" s="453">
        <v>0.11599999999999999</v>
      </c>
      <c r="E91" s="453">
        <v>0.10800000000000001</v>
      </c>
      <c r="F91" s="453">
        <v>0.11199999999999999</v>
      </c>
      <c r="G91" s="453">
        <v>0.109</v>
      </c>
      <c r="H91" s="453">
        <v>0.107</v>
      </c>
      <c r="I91" s="453">
        <v>0.11900000000000001</v>
      </c>
      <c r="J91" s="453">
        <v>0.107</v>
      </c>
      <c r="K91" s="453">
        <v>0.11</v>
      </c>
      <c r="L91" s="453">
        <v>0.11599999999999999</v>
      </c>
      <c r="M91" s="453">
        <v>0.11699999999999999</v>
      </c>
      <c r="N91" s="454">
        <v>0.123</v>
      </c>
      <c r="O91" s="905">
        <v>0.128</v>
      </c>
      <c r="P91" s="905">
        <v>0.129</v>
      </c>
      <c r="Q91" s="905">
        <v>0.13636363636363635</v>
      </c>
      <c r="R91" s="1624">
        <v>0.12947942781300692</v>
      </c>
      <c r="S91" s="1624">
        <v>0.13046723391550977</v>
      </c>
      <c r="T91" s="2237">
        <v>0.13410900183710961</v>
      </c>
      <c r="U91" s="455"/>
      <c r="V91" s="459">
        <v>810</v>
      </c>
      <c r="W91" s="459">
        <v>755</v>
      </c>
      <c r="X91" s="459">
        <v>792</v>
      </c>
      <c r="Y91" s="459">
        <v>764</v>
      </c>
      <c r="Z91" s="459">
        <v>753</v>
      </c>
      <c r="AA91" s="459">
        <v>829</v>
      </c>
      <c r="AB91" s="459">
        <v>758</v>
      </c>
      <c r="AC91" s="459">
        <v>775</v>
      </c>
      <c r="AD91" s="456">
        <v>823</v>
      </c>
      <c r="AE91" s="456">
        <v>827</v>
      </c>
      <c r="AF91" s="457">
        <v>871</v>
      </c>
      <c r="AG91" s="912">
        <v>884</v>
      </c>
      <c r="AH91" s="1181">
        <v>881</v>
      </c>
      <c r="AI91" s="1185">
        <v>921</v>
      </c>
      <c r="AJ91" s="1629">
        <v>878</v>
      </c>
      <c r="AK91" s="1629">
        <v>874</v>
      </c>
      <c r="AL91" s="2243">
        <v>876</v>
      </c>
    </row>
    <row r="92" spans="1:38" ht="16.5" customHeight="1" x14ac:dyDescent="0.25">
      <c r="A92" s="379" t="s">
        <v>226</v>
      </c>
      <c r="B92" s="380" t="s">
        <v>523</v>
      </c>
      <c r="C92" s="1427" t="s">
        <v>264</v>
      </c>
      <c r="D92" s="453">
        <v>0.17199999999999999</v>
      </c>
      <c r="E92" s="453">
        <v>0.16899999999999998</v>
      </c>
      <c r="F92" s="453">
        <v>0.17899999999999999</v>
      </c>
      <c r="G92" s="453">
        <v>0.17199999999999999</v>
      </c>
      <c r="H92" s="453">
        <v>0.17699999999999999</v>
      </c>
      <c r="I92" s="453">
        <v>0.19500000000000001</v>
      </c>
      <c r="J92" s="453">
        <v>0.23499999999999999</v>
      </c>
      <c r="K92" s="453">
        <v>0.20399999999999999</v>
      </c>
      <c r="L92" s="453">
        <v>0.20699999999999999</v>
      </c>
      <c r="M92" s="453">
        <v>0.184</v>
      </c>
      <c r="N92" s="454">
        <v>0.22500000000000001</v>
      </c>
      <c r="O92" s="905">
        <v>0.20699999999999999</v>
      </c>
      <c r="P92" s="905">
        <v>0.23</v>
      </c>
      <c r="Q92" s="905">
        <v>0.2401219113965386</v>
      </c>
      <c r="R92" s="1624">
        <v>0.2390852390852391</v>
      </c>
      <c r="S92" s="1624">
        <v>0.22065934065934065</v>
      </c>
      <c r="T92" s="2237">
        <v>0.23074350685542303</v>
      </c>
      <c r="U92" s="455"/>
      <c r="V92" s="456">
        <v>1694</v>
      </c>
      <c r="W92" s="456">
        <v>1651</v>
      </c>
      <c r="X92" s="456">
        <v>1728</v>
      </c>
      <c r="Y92" s="456">
        <v>1647</v>
      </c>
      <c r="Z92" s="456">
        <v>1678</v>
      </c>
      <c r="AA92" s="456">
        <v>1832</v>
      </c>
      <c r="AB92" s="456">
        <v>2257</v>
      </c>
      <c r="AC92" s="456">
        <v>1947</v>
      </c>
      <c r="AD92" s="456">
        <v>1973</v>
      </c>
      <c r="AE92" s="456">
        <v>1742</v>
      </c>
      <c r="AF92" s="457">
        <v>2132</v>
      </c>
      <c r="AG92" s="912">
        <v>1966</v>
      </c>
      <c r="AH92" s="1181">
        <v>2156</v>
      </c>
      <c r="AI92" s="1185">
        <v>2206</v>
      </c>
      <c r="AJ92" s="1629">
        <v>2185</v>
      </c>
      <c r="AK92" s="1629">
        <v>2008</v>
      </c>
      <c r="AL92" s="2243">
        <v>2070</v>
      </c>
    </row>
    <row r="93" spans="1:38" ht="16.5" customHeight="1" x14ac:dyDescent="0.25">
      <c r="A93" s="379" t="s">
        <v>228</v>
      </c>
      <c r="B93" s="380" t="s">
        <v>524</v>
      </c>
      <c r="C93" s="1427" t="s">
        <v>268</v>
      </c>
      <c r="D93" s="453">
        <v>0.155</v>
      </c>
      <c r="E93" s="453">
        <v>0.15</v>
      </c>
      <c r="F93" s="453">
        <v>0.16600000000000001</v>
      </c>
      <c r="G93" s="453">
        <v>0.156</v>
      </c>
      <c r="H93" s="453">
        <v>0.157</v>
      </c>
      <c r="I93" s="453">
        <v>0.17300000000000001</v>
      </c>
      <c r="J93" s="453">
        <v>0.16500000000000001</v>
      </c>
      <c r="K93" s="453">
        <v>0.17800000000000002</v>
      </c>
      <c r="L93" s="453">
        <v>0.17600000000000002</v>
      </c>
      <c r="M93" s="453">
        <v>0.159</v>
      </c>
      <c r="N93" s="454">
        <v>0.185</v>
      </c>
      <c r="O93" s="905">
        <v>0.17600000000000002</v>
      </c>
      <c r="P93" s="905">
        <v>0.214</v>
      </c>
      <c r="Q93" s="905">
        <v>0.17508154871649412</v>
      </c>
      <c r="R93" s="1624">
        <v>0.19205663546916246</v>
      </c>
      <c r="S93" s="1624">
        <v>0.17210241931558196</v>
      </c>
      <c r="T93" s="2237">
        <v>0.17969791203909374</v>
      </c>
      <c r="U93" s="455"/>
      <c r="V93" s="456">
        <v>6733</v>
      </c>
      <c r="W93" s="456">
        <v>6533</v>
      </c>
      <c r="X93" s="456">
        <v>7281</v>
      </c>
      <c r="Y93" s="456">
        <v>6895</v>
      </c>
      <c r="Z93" s="456">
        <v>6960</v>
      </c>
      <c r="AA93" s="456">
        <v>7559</v>
      </c>
      <c r="AB93" s="456">
        <v>7195</v>
      </c>
      <c r="AC93" s="456">
        <v>7640</v>
      </c>
      <c r="AD93" s="456">
        <v>7561</v>
      </c>
      <c r="AE93" s="456">
        <v>6852</v>
      </c>
      <c r="AF93" s="457">
        <v>8035</v>
      </c>
      <c r="AG93" s="912">
        <v>7580</v>
      </c>
      <c r="AH93" s="1181">
        <v>9089</v>
      </c>
      <c r="AI93" s="1185">
        <v>7407</v>
      </c>
      <c r="AJ93" s="1629">
        <v>8003</v>
      </c>
      <c r="AK93" s="1629">
        <v>7071</v>
      </c>
      <c r="AL93" s="2243">
        <v>7281</v>
      </c>
    </row>
    <row r="94" spans="1:38" ht="16.5" customHeight="1" x14ac:dyDescent="0.25">
      <c r="A94" s="379" t="s">
        <v>232</v>
      </c>
      <c r="B94" s="380" t="s">
        <v>525</v>
      </c>
      <c r="C94" s="1427" t="s">
        <v>267</v>
      </c>
      <c r="D94" s="453">
        <v>8.5999999999999993E-2</v>
      </c>
      <c r="E94" s="453">
        <v>8.3000000000000004E-2</v>
      </c>
      <c r="F94" s="453">
        <v>8.6999999999999994E-2</v>
      </c>
      <c r="G94" s="453">
        <v>9.5000000000000001E-2</v>
      </c>
      <c r="H94" s="453">
        <v>8.900000000000001E-2</v>
      </c>
      <c r="I94" s="453">
        <v>9.8000000000000004E-2</v>
      </c>
      <c r="J94" s="453">
        <v>9.6000000000000002E-2</v>
      </c>
      <c r="K94" s="453">
        <v>0.09</v>
      </c>
      <c r="L94" s="453">
        <v>0.10099999999999999</v>
      </c>
      <c r="M94" s="453">
        <v>9.8000000000000004E-2</v>
      </c>
      <c r="N94" s="454">
        <v>0.10300000000000002</v>
      </c>
      <c r="O94" s="905">
        <v>0.10400000000000001</v>
      </c>
      <c r="P94" s="905">
        <v>0.11</v>
      </c>
      <c r="Q94" s="905">
        <v>0.11989748738407884</v>
      </c>
      <c r="R94" s="1624">
        <v>0.11250131150981009</v>
      </c>
      <c r="S94" s="1624">
        <v>0.10846685516808043</v>
      </c>
      <c r="T94" s="2237">
        <v>0.10292342413268252</v>
      </c>
      <c r="U94" s="455"/>
      <c r="V94" s="456">
        <v>2737</v>
      </c>
      <c r="W94" s="456">
        <v>2697</v>
      </c>
      <c r="X94" s="456">
        <v>2908</v>
      </c>
      <c r="Y94" s="456">
        <v>3236</v>
      </c>
      <c r="Z94" s="456">
        <v>3114</v>
      </c>
      <c r="AA94" s="456">
        <v>3399</v>
      </c>
      <c r="AB94" s="456">
        <v>3382</v>
      </c>
      <c r="AC94" s="456">
        <v>3180</v>
      </c>
      <c r="AD94" s="456">
        <v>3625</v>
      </c>
      <c r="AE94" s="456">
        <v>3519</v>
      </c>
      <c r="AF94" s="457">
        <v>3812</v>
      </c>
      <c r="AG94" s="912">
        <v>3858</v>
      </c>
      <c r="AH94" s="1181">
        <v>4085</v>
      </c>
      <c r="AI94" s="1185">
        <v>4538</v>
      </c>
      <c r="AJ94" s="1629">
        <v>4289</v>
      </c>
      <c r="AK94" s="1629">
        <v>4143</v>
      </c>
      <c r="AL94" s="2243">
        <v>3922</v>
      </c>
    </row>
    <row r="95" spans="1:38" ht="16.5" customHeight="1" x14ac:dyDescent="0.25">
      <c r="A95" s="379" t="s">
        <v>234</v>
      </c>
      <c r="B95" s="380" t="s">
        <v>526</v>
      </c>
      <c r="C95" s="1427" t="s">
        <v>268</v>
      </c>
      <c r="D95" s="453">
        <v>0.114</v>
      </c>
      <c r="E95" s="453">
        <v>0.111</v>
      </c>
      <c r="F95" s="453">
        <v>0.12</v>
      </c>
      <c r="G95" s="453">
        <v>0.122</v>
      </c>
      <c r="H95" s="453">
        <v>0.12300000000000001</v>
      </c>
      <c r="I95" s="453">
        <v>0.11</v>
      </c>
      <c r="J95" s="453">
        <v>0.129</v>
      </c>
      <c r="K95" s="453">
        <v>0.14800000000000002</v>
      </c>
      <c r="L95" s="453">
        <v>0.14199999999999999</v>
      </c>
      <c r="M95" s="453">
        <v>0.13900000000000001</v>
      </c>
      <c r="N95" s="454">
        <v>0.14099999999999999</v>
      </c>
      <c r="O95" s="905">
        <v>0.128</v>
      </c>
      <c r="P95" s="905">
        <v>0.13900000000000001</v>
      </c>
      <c r="Q95" s="905">
        <v>0.14870006935462707</v>
      </c>
      <c r="R95" s="1624">
        <v>0.14543608259054497</v>
      </c>
      <c r="S95" s="1624">
        <v>0.16333924595237195</v>
      </c>
      <c r="T95" s="2237">
        <v>0.14676117196679681</v>
      </c>
      <c r="U95" s="455"/>
      <c r="V95" s="456">
        <v>5761</v>
      </c>
      <c r="W95" s="456">
        <v>5609</v>
      </c>
      <c r="X95" s="456">
        <v>6108</v>
      </c>
      <c r="Y95" s="456">
        <v>6265</v>
      </c>
      <c r="Z95" s="456">
        <v>6344</v>
      </c>
      <c r="AA95" s="456">
        <v>5561</v>
      </c>
      <c r="AB95" s="456">
        <v>6576</v>
      </c>
      <c r="AC95" s="456">
        <v>7589</v>
      </c>
      <c r="AD95" s="456">
        <v>7302</v>
      </c>
      <c r="AE95" s="456">
        <v>7165</v>
      </c>
      <c r="AF95" s="457">
        <v>7500</v>
      </c>
      <c r="AG95" s="912">
        <v>6831</v>
      </c>
      <c r="AH95" s="1181">
        <v>7405</v>
      </c>
      <c r="AI95" s="1185">
        <v>7933</v>
      </c>
      <c r="AJ95" s="1629">
        <v>7734</v>
      </c>
      <c r="AK95" s="1629">
        <v>8656</v>
      </c>
      <c r="AL95" s="2243">
        <v>7744</v>
      </c>
    </row>
    <row r="96" spans="1:38" ht="16.5" customHeight="1" x14ac:dyDescent="0.25">
      <c r="A96" s="379" t="s">
        <v>236</v>
      </c>
      <c r="B96" s="380" t="s">
        <v>527</v>
      </c>
      <c r="C96" s="1427" t="s">
        <v>266</v>
      </c>
      <c r="D96" s="453">
        <v>0.13400000000000001</v>
      </c>
      <c r="E96" s="453">
        <v>0.13</v>
      </c>
      <c r="F96" s="453">
        <v>0.13800000000000001</v>
      </c>
      <c r="G96" s="453">
        <v>0.13800000000000001</v>
      </c>
      <c r="H96" s="453">
        <v>0.13300000000000001</v>
      </c>
      <c r="I96" s="453">
        <v>0.16</v>
      </c>
      <c r="J96" s="453">
        <v>0.14499999999999999</v>
      </c>
      <c r="K96" s="453">
        <v>0.124</v>
      </c>
      <c r="L96" s="453">
        <v>0.14699999999999999</v>
      </c>
      <c r="M96" s="453">
        <v>0.14099999999999999</v>
      </c>
      <c r="N96" s="454">
        <v>0.14699999999999999</v>
      </c>
      <c r="O96" s="905">
        <v>0.17300000000000001</v>
      </c>
      <c r="P96" s="905">
        <v>0.17599999999999999</v>
      </c>
      <c r="Q96" s="905">
        <v>0.15309446254071662</v>
      </c>
      <c r="R96" s="1624">
        <v>0.14984744689424903</v>
      </c>
      <c r="S96" s="1624">
        <v>0.14054115766640027</v>
      </c>
      <c r="T96" s="2237">
        <v>0.14771361529216506</v>
      </c>
      <c r="U96" s="455"/>
      <c r="V96" s="456">
        <v>2218</v>
      </c>
      <c r="W96" s="456">
        <v>2171</v>
      </c>
      <c r="X96" s="456">
        <v>2347</v>
      </c>
      <c r="Y96" s="456">
        <v>2355</v>
      </c>
      <c r="Z96" s="456">
        <v>2293</v>
      </c>
      <c r="AA96" s="456">
        <v>2736</v>
      </c>
      <c r="AB96" s="456">
        <v>2476</v>
      </c>
      <c r="AC96" s="456">
        <v>2118</v>
      </c>
      <c r="AD96" s="456">
        <v>2546</v>
      </c>
      <c r="AE96" s="456">
        <v>2472</v>
      </c>
      <c r="AF96" s="457">
        <v>2555</v>
      </c>
      <c r="AG96" s="912">
        <v>3020</v>
      </c>
      <c r="AH96" s="1181">
        <v>3073</v>
      </c>
      <c r="AI96" s="1185">
        <v>2679</v>
      </c>
      <c r="AJ96" s="1629">
        <v>2603</v>
      </c>
      <c r="AK96" s="1629">
        <v>2462</v>
      </c>
      <c r="AL96" s="2243">
        <v>2581</v>
      </c>
    </row>
    <row r="97" spans="1:38" ht="16.5" customHeight="1" x14ac:dyDescent="0.25">
      <c r="A97" s="379" t="s">
        <v>242</v>
      </c>
      <c r="B97" s="380" t="s">
        <v>528</v>
      </c>
      <c r="C97" s="1427" t="s">
        <v>268</v>
      </c>
      <c r="D97" s="453">
        <v>0.193</v>
      </c>
      <c r="E97" s="453">
        <v>0.183</v>
      </c>
      <c r="F97" s="453">
        <v>0.20199999999999999</v>
      </c>
      <c r="G97" s="453">
        <v>0.19500000000000001</v>
      </c>
      <c r="H97" s="453">
        <v>0.192</v>
      </c>
      <c r="I97" s="453">
        <v>0.23300000000000001</v>
      </c>
      <c r="J97" s="453">
        <v>0.20100000000000001</v>
      </c>
      <c r="K97" s="453">
        <v>0.21600000000000003</v>
      </c>
      <c r="L97" s="453">
        <v>0.215</v>
      </c>
      <c r="M97" s="453">
        <v>0.193</v>
      </c>
      <c r="N97" s="454">
        <v>0.222</v>
      </c>
      <c r="O97" s="905">
        <v>0.22800000000000001</v>
      </c>
      <c r="P97" s="905">
        <v>0.25600000000000001</v>
      </c>
      <c r="Q97" s="905">
        <v>0.19320836873406966</v>
      </c>
      <c r="R97" s="1624">
        <v>0.21919210973079306</v>
      </c>
      <c r="S97" s="1624">
        <v>0.22680804785209352</v>
      </c>
      <c r="T97" s="2237">
        <v>0.23459643908748176</v>
      </c>
      <c r="U97" s="455"/>
      <c r="V97" s="456">
        <v>7550</v>
      </c>
      <c r="W97" s="456">
        <v>7157</v>
      </c>
      <c r="X97" s="456">
        <v>7942</v>
      </c>
      <c r="Y97" s="456">
        <v>7607</v>
      </c>
      <c r="Z97" s="456">
        <v>7545</v>
      </c>
      <c r="AA97" s="456">
        <v>9005</v>
      </c>
      <c r="AB97" s="456">
        <v>7809</v>
      </c>
      <c r="AC97" s="456">
        <v>8333</v>
      </c>
      <c r="AD97" s="456">
        <v>8287</v>
      </c>
      <c r="AE97" s="456">
        <v>7453</v>
      </c>
      <c r="AF97" s="457">
        <v>8524</v>
      </c>
      <c r="AG97" s="912">
        <v>8782</v>
      </c>
      <c r="AH97" s="1181">
        <v>9750</v>
      </c>
      <c r="AI97" s="1185">
        <v>7277</v>
      </c>
      <c r="AJ97" s="1629">
        <v>8134</v>
      </c>
      <c r="AK97" s="1629">
        <v>8342</v>
      </c>
      <c r="AL97" s="2243">
        <v>8525</v>
      </c>
    </row>
    <row r="98" spans="1:38" ht="16.5" customHeight="1" x14ac:dyDescent="0.25">
      <c r="A98" s="379" t="s">
        <v>244</v>
      </c>
      <c r="B98" s="380" t="s">
        <v>529</v>
      </c>
      <c r="C98" s="1427" t="s">
        <v>268</v>
      </c>
      <c r="D98" s="453">
        <v>0.11800000000000001</v>
      </c>
      <c r="E98" s="453">
        <v>0.122</v>
      </c>
      <c r="F98" s="453">
        <v>0.13699999999999998</v>
      </c>
      <c r="G98" s="453">
        <v>0.128</v>
      </c>
      <c r="H98" s="453">
        <v>0.11900000000000001</v>
      </c>
      <c r="I98" s="453">
        <v>0.13699999999999998</v>
      </c>
      <c r="J98" s="453">
        <v>0.14599999999999999</v>
      </c>
      <c r="K98" s="453">
        <v>0.122</v>
      </c>
      <c r="L98" s="453">
        <v>0.14000000000000001</v>
      </c>
      <c r="M98" s="453">
        <v>0.14300000000000002</v>
      </c>
      <c r="N98" s="454">
        <v>0.158</v>
      </c>
      <c r="O98" s="905">
        <v>0.14300000000000002</v>
      </c>
      <c r="P98" s="905">
        <v>0.16900000000000001</v>
      </c>
      <c r="Q98" s="905">
        <v>0.15119482129329936</v>
      </c>
      <c r="R98" s="1624">
        <v>0.15584460631286853</v>
      </c>
      <c r="S98" s="1624">
        <v>0.14443827631670253</v>
      </c>
      <c r="T98" s="2237">
        <v>0.14405657748049053</v>
      </c>
      <c r="U98" s="455"/>
      <c r="V98" s="456">
        <v>3228</v>
      </c>
      <c r="W98" s="456">
        <v>3351</v>
      </c>
      <c r="X98" s="456">
        <v>3806</v>
      </c>
      <c r="Y98" s="456">
        <v>3543</v>
      </c>
      <c r="Z98" s="456">
        <v>3366</v>
      </c>
      <c r="AA98" s="456">
        <v>3825</v>
      </c>
      <c r="AB98" s="456">
        <v>4130</v>
      </c>
      <c r="AC98" s="456">
        <v>3421</v>
      </c>
      <c r="AD98" s="456">
        <v>3967</v>
      </c>
      <c r="AE98" s="456">
        <v>4058</v>
      </c>
      <c r="AF98" s="457">
        <v>4578</v>
      </c>
      <c r="AG98" s="912">
        <v>4148</v>
      </c>
      <c r="AH98" s="1181">
        <v>4889</v>
      </c>
      <c r="AI98" s="1185">
        <v>4391</v>
      </c>
      <c r="AJ98" s="1629">
        <v>4493</v>
      </c>
      <c r="AK98" s="1629">
        <v>4163</v>
      </c>
      <c r="AL98" s="2243">
        <v>4135</v>
      </c>
    </row>
    <row r="99" spans="1:38" ht="16.5" customHeight="1" x14ac:dyDescent="0.25">
      <c r="A99" s="379" t="s">
        <v>246</v>
      </c>
      <c r="B99" s="380" t="s">
        <v>749</v>
      </c>
      <c r="C99" s="1427" t="s">
        <v>264</v>
      </c>
      <c r="D99" s="453">
        <v>4.2800000000000005E-2</v>
      </c>
      <c r="E99" s="453">
        <v>4.2699999999999995E-2</v>
      </c>
      <c r="F99" s="453">
        <v>4.4400000000000002E-2</v>
      </c>
      <c r="G99" s="453">
        <v>4.9699999999999994E-2</v>
      </c>
      <c r="H99" s="453">
        <v>4.7699999999999992E-2</v>
      </c>
      <c r="I99" s="453">
        <v>4.2599999999999999E-2</v>
      </c>
      <c r="J99" s="453">
        <v>4.4000000000000004E-2</v>
      </c>
      <c r="K99" s="453">
        <v>4.2000000000000003E-2</v>
      </c>
      <c r="L99" s="453">
        <v>4.4000000000000004E-2</v>
      </c>
      <c r="M99" s="453">
        <v>4.7300000000000002E-2</v>
      </c>
      <c r="N99" s="454">
        <v>5.3157922199184374E-2</v>
      </c>
      <c r="O99" s="905">
        <v>5.3691962856227987E-2</v>
      </c>
      <c r="P99" s="905">
        <v>6.6000000000000003E-2</v>
      </c>
      <c r="Q99" s="905">
        <v>5.9275493103003736E-2</v>
      </c>
      <c r="R99" s="1624">
        <v>5.5706574251813301E-2</v>
      </c>
      <c r="S99" s="1624">
        <v>5.3377498514482216E-2</v>
      </c>
      <c r="T99" s="2237">
        <v>5.1383449147188884E-2</v>
      </c>
      <c r="U99" s="455"/>
      <c r="V99" s="456">
        <v>2965</v>
      </c>
      <c r="W99" s="456">
        <v>3035</v>
      </c>
      <c r="X99" s="456">
        <v>3230</v>
      </c>
      <c r="Y99" s="456">
        <v>3589</v>
      </c>
      <c r="Z99" s="456">
        <v>3510</v>
      </c>
      <c r="AA99" s="456">
        <v>3102</v>
      </c>
      <c r="AB99" s="456">
        <v>3228</v>
      </c>
      <c r="AC99" s="456">
        <v>3067</v>
      </c>
      <c r="AD99" s="456">
        <v>3172</v>
      </c>
      <c r="AE99" s="456">
        <v>3402</v>
      </c>
      <c r="AF99" s="912">
        <v>4058</v>
      </c>
      <c r="AG99" s="912">
        <v>4192</v>
      </c>
      <c r="AH99" s="1181">
        <v>5134</v>
      </c>
      <c r="AI99" s="1185">
        <v>4598</v>
      </c>
      <c r="AJ99" s="1629">
        <v>4324</v>
      </c>
      <c r="AK99" s="1629">
        <v>4222</v>
      </c>
      <c r="AL99" s="2243">
        <v>4067</v>
      </c>
    </row>
    <row r="100" spans="1:38" ht="16.5" customHeight="1" x14ac:dyDescent="0.25">
      <c r="A100" s="379" t="s">
        <v>14</v>
      </c>
      <c r="B100" s="380" t="s">
        <v>15</v>
      </c>
      <c r="C100" s="1427" t="s">
        <v>267</v>
      </c>
      <c r="D100" s="453">
        <v>7.4999999999999997E-2</v>
      </c>
      <c r="E100" s="453">
        <v>7.2000000000000008E-2</v>
      </c>
      <c r="F100" s="453">
        <v>7.8E-2</v>
      </c>
      <c r="G100" s="453">
        <v>8.8000000000000009E-2</v>
      </c>
      <c r="H100" s="453">
        <v>8.3000000000000004E-2</v>
      </c>
      <c r="I100" s="453">
        <v>7.6999999999999999E-2</v>
      </c>
      <c r="J100" s="453">
        <v>7.2000000000000008E-2</v>
      </c>
      <c r="K100" s="453">
        <v>8.3000000000000004E-2</v>
      </c>
      <c r="L100" s="453">
        <v>0.08</v>
      </c>
      <c r="M100" s="453">
        <v>9.0999999999999998E-2</v>
      </c>
      <c r="N100" s="454">
        <v>9.3000000000000013E-2</v>
      </c>
      <c r="O100" s="905">
        <v>8.1000000000000003E-2</v>
      </c>
      <c r="P100" s="905">
        <v>8.5999999999999993E-2</v>
      </c>
      <c r="Q100" s="905">
        <v>8.7829889090624724E-2</v>
      </c>
      <c r="R100" s="1624">
        <v>9.5899435332078523E-2</v>
      </c>
      <c r="S100" s="1624">
        <v>9.1208820193601145E-2</v>
      </c>
      <c r="T100" s="2237">
        <v>0.10460302709306785</v>
      </c>
      <c r="U100" s="455"/>
      <c r="V100" s="456">
        <v>9744</v>
      </c>
      <c r="W100" s="456">
        <v>9285</v>
      </c>
      <c r="X100" s="456">
        <v>10067</v>
      </c>
      <c r="Y100" s="456">
        <v>11271</v>
      </c>
      <c r="Z100" s="456">
        <v>11165</v>
      </c>
      <c r="AA100" s="456">
        <v>10320</v>
      </c>
      <c r="AB100" s="456">
        <v>9685</v>
      </c>
      <c r="AC100" s="456">
        <v>11450</v>
      </c>
      <c r="AD100" s="456">
        <v>11398</v>
      </c>
      <c r="AE100" s="456">
        <v>13486</v>
      </c>
      <c r="AF100" s="457">
        <v>12898</v>
      </c>
      <c r="AG100" s="912">
        <v>11522</v>
      </c>
      <c r="AH100" s="1181">
        <v>12412</v>
      </c>
      <c r="AI100" s="1185">
        <v>12916</v>
      </c>
      <c r="AJ100" s="1629">
        <v>14266</v>
      </c>
      <c r="AK100" s="1629">
        <v>13832</v>
      </c>
      <c r="AL100" s="2243">
        <v>16096</v>
      </c>
    </row>
    <row r="101" spans="1:38" ht="16.5" customHeight="1" x14ac:dyDescent="0.25">
      <c r="A101" s="379" t="s">
        <v>34</v>
      </c>
      <c r="B101" s="380" t="s">
        <v>35</v>
      </c>
      <c r="C101" s="1427" t="s">
        <v>268</v>
      </c>
      <c r="D101" s="453">
        <v>0.154</v>
      </c>
      <c r="E101" s="453">
        <v>0.156</v>
      </c>
      <c r="F101" s="453">
        <v>0.17100000000000001</v>
      </c>
      <c r="G101" s="453">
        <v>0.16399999999999998</v>
      </c>
      <c r="H101" s="453">
        <v>0.16800000000000001</v>
      </c>
      <c r="I101" s="453">
        <v>0.182</v>
      </c>
      <c r="J101" s="453">
        <v>0.214</v>
      </c>
      <c r="K101" s="453">
        <v>0.183</v>
      </c>
      <c r="L101" s="453">
        <v>0.21299999999999999</v>
      </c>
      <c r="M101" s="453">
        <v>0.20199999999999999</v>
      </c>
      <c r="N101" s="454">
        <v>0.21500000000000002</v>
      </c>
      <c r="O101" s="905">
        <v>0.25800000000000001</v>
      </c>
      <c r="P101" s="905">
        <v>0.21099999999999999</v>
      </c>
      <c r="Q101" s="905">
        <v>0.21624151649894688</v>
      </c>
      <c r="R101" s="1624">
        <v>0.21793737838315938</v>
      </c>
      <c r="S101" s="1624">
        <v>0.19269417188793</v>
      </c>
      <c r="T101" s="2237">
        <v>0.23628212791392708</v>
      </c>
      <c r="U101" s="455"/>
      <c r="V101" s="456">
        <v>2597</v>
      </c>
      <c r="W101" s="456">
        <v>2577</v>
      </c>
      <c r="X101" s="456">
        <v>2861</v>
      </c>
      <c r="Y101" s="456">
        <v>2763</v>
      </c>
      <c r="Z101" s="456">
        <v>2805</v>
      </c>
      <c r="AA101" s="456">
        <v>2999</v>
      </c>
      <c r="AB101" s="456">
        <v>3584</v>
      </c>
      <c r="AC101" s="456">
        <v>3098</v>
      </c>
      <c r="AD101" s="456">
        <v>3605</v>
      </c>
      <c r="AE101" s="456">
        <v>3458</v>
      </c>
      <c r="AF101" s="457">
        <v>3744</v>
      </c>
      <c r="AG101" s="912">
        <v>4466</v>
      </c>
      <c r="AH101" s="1181">
        <v>3624</v>
      </c>
      <c r="AI101" s="1185">
        <v>3696</v>
      </c>
      <c r="AJ101" s="1629">
        <v>3696</v>
      </c>
      <c r="AK101" s="1629">
        <v>3260</v>
      </c>
      <c r="AL101" s="2243">
        <v>3953</v>
      </c>
    </row>
    <row r="102" spans="1:38" ht="16.5" customHeight="1" x14ac:dyDescent="0.25">
      <c r="A102" s="379" t="s">
        <v>52</v>
      </c>
      <c r="B102" s="380" t="s">
        <v>53</v>
      </c>
      <c r="C102" s="1427" t="s">
        <v>265</v>
      </c>
      <c r="D102" s="453">
        <v>0.16800000000000001</v>
      </c>
      <c r="E102" s="453">
        <v>0.14599999999999999</v>
      </c>
      <c r="F102" s="453">
        <v>0.16399999999999998</v>
      </c>
      <c r="G102" s="453">
        <v>0.18</v>
      </c>
      <c r="H102" s="453">
        <v>0.17199999999999999</v>
      </c>
      <c r="I102" s="453">
        <v>0.23699999999999999</v>
      </c>
      <c r="J102" s="453">
        <v>0.24</v>
      </c>
      <c r="K102" s="453">
        <v>0.23600000000000002</v>
      </c>
      <c r="L102" s="453">
        <v>0.218</v>
      </c>
      <c r="M102" s="453">
        <v>0.214</v>
      </c>
      <c r="N102" s="454">
        <v>0.20200000000000001</v>
      </c>
      <c r="O102" s="905">
        <v>0.23</v>
      </c>
      <c r="P102" s="905">
        <v>0.24199999999999999</v>
      </c>
      <c r="Q102" s="905">
        <v>0.22897096751295459</v>
      </c>
      <c r="R102" s="1624">
        <v>0.2591647705072514</v>
      </c>
      <c r="S102" s="1624">
        <v>0.2073885980090335</v>
      </c>
      <c r="T102" s="2237">
        <v>0.22848532202254715</v>
      </c>
      <c r="U102" s="455"/>
      <c r="V102" s="456">
        <v>6470</v>
      </c>
      <c r="W102" s="456">
        <v>5556</v>
      </c>
      <c r="X102" s="456">
        <v>6184</v>
      </c>
      <c r="Y102" s="456">
        <v>6295</v>
      </c>
      <c r="Z102" s="456">
        <v>6720</v>
      </c>
      <c r="AA102" s="456">
        <v>9101</v>
      </c>
      <c r="AB102" s="456">
        <v>9240</v>
      </c>
      <c r="AC102" s="456">
        <v>9299</v>
      </c>
      <c r="AD102" s="456">
        <v>8640</v>
      </c>
      <c r="AE102" s="456">
        <v>8666</v>
      </c>
      <c r="AF102" s="457">
        <v>8387</v>
      </c>
      <c r="AG102" s="912">
        <v>9508</v>
      </c>
      <c r="AH102" s="1181">
        <v>10138</v>
      </c>
      <c r="AI102" s="1185">
        <v>9677</v>
      </c>
      <c r="AJ102" s="1629">
        <v>11276</v>
      </c>
      <c r="AK102" s="1629">
        <v>9229</v>
      </c>
      <c r="AL102" s="2243">
        <v>10235</v>
      </c>
    </row>
    <row r="103" spans="1:38" ht="16.5" customHeight="1" x14ac:dyDescent="0.25">
      <c r="A103" s="379" t="s">
        <v>54</v>
      </c>
      <c r="B103" s="380" t="s">
        <v>55</v>
      </c>
      <c r="C103" s="1427" t="s">
        <v>264</v>
      </c>
      <c r="D103" s="453">
        <v>7.6999999999999999E-2</v>
      </c>
      <c r="E103" s="453">
        <v>7.5999999999999998E-2</v>
      </c>
      <c r="F103" s="453">
        <v>8.3000000000000004E-2</v>
      </c>
      <c r="G103" s="453">
        <v>9.0999999999999998E-2</v>
      </c>
      <c r="H103" s="453">
        <v>8.6999999999999994E-2</v>
      </c>
      <c r="I103" s="453">
        <v>6.8000000000000005E-2</v>
      </c>
      <c r="J103" s="453">
        <v>6.8000000000000005E-2</v>
      </c>
      <c r="K103" s="453">
        <v>0.08</v>
      </c>
      <c r="L103" s="453">
        <v>7.9000000000000001E-2</v>
      </c>
      <c r="M103" s="453">
        <v>7.2999999999999995E-2</v>
      </c>
      <c r="N103" s="454">
        <v>0.08</v>
      </c>
      <c r="O103" s="905">
        <v>9.3000000000000013E-2</v>
      </c>
      <c r="P103" s="905">
        <v>0.104</v>
      </c>
      <c r="Q103" s="905">
        <v>9.568905157362026E-2</v>
      </c>
      <c r="R103" s="1624">
        <v>9.8083057307003993E-2</v>
      </c>
      <c r="S103" s="1624">
        <v>9.7339874128725287E-2</v>
      </c>
      <c r="T103" s="2237">
        <v>8.6093965143761608E-2</v>
      </c>
      <c r="U103" s="455"/>
      <c r="V103" s="456">
        <v>15364</v>
      </c>
      <c r="W103" s="456">
        <v>15393</v>
      </c>
      <c r="X103" s="456">
        <v>17353</v>
      </c>
      <c r="Y103" s="456">
        <v>19330</v>
      </c>
      <c r="Z103" s="456">
        <v>18815</v>
      </c>
      <c r="AA103" s="456">
        <v>14571</v>
      </c>
      <c r="AB103" s="456">
        <v>14811</v>
      </c>
      <c r="AC103" s="456">
        <v>17246</v>
      </c>
      <c r="AD103" s="456">
        <v>17088</v>
      </c>
      <c r="AE103" s="456">
        <v>15859</v>
      </c>
      <c r="AF103" s="457">
        <v>17468</v>
      </c>
      <c r="AG103" s="912">
        <v>20551</v>
      </c>
      <c r="AH103" s="1181">
        <v>23308</v>
      </c>
      <c r="AI103" s="1185">
        <v>21593</v>
      </c>
      <c r="AJ103" s="1629">
        <v>22416</v>
      </c>
      <c r="AK103" s="1629">
        <v>22442</v>
      </c>
      <c r="AL103" s="2243">
        <v>20071</v>
      </c>
    </row>
    <row r="104" spans="1:38" ht="16.5" customHeight="1" x14ac:dyDescent="0.25">
      <c r="A104" s="379" t="s">
        <v>66</v>
      </c>
      <c r="B104" s="380" t="s">
        <v>67</v>
      </c>
      <c r="C104" s="1427" t="s">
        <v>265</v>
      </c>
      <c r="D104" s="453">
        <v>0.17100000000000001</v>
      </c>
      <c r="E104" s="453">
        <v>0.17300000000000001</v>
      </c>
      <c r="F104" s="453">
        <v>0.192</v>
      </c>
      <c r="G104" s="453">
        <v>0.19399999999999998</v>
      </c>
      <c r="H104" s="453">
        <v>0.19399999999999998</v>
      </c>
      <c r="I104" s="453">
        <v>0.24299999999999999</v>
      </c>
      <c r="J104" s="453">
        <v>0.223</v>
      </c>
      <c r="K104" s="453">
        <v>0.22800000000000001</v>
      </c>
      <c r="L104" s="453">
        <v>0.20800000000000002</v>
      </c>
      <c r="M104" s="453">
        <v>0.251</v>
      </c>
      <c r="N104" s="454">
        <v>0.26600000000000001</v>
      </c>
      <c r="O104" s="905">
        <v>0.26500000000000001</v>
      </c>
      <c r="P104" s="905">
        <v>0.25900000000000001</v>
      </c>
      <c r="Q104" s="905">
        <v>0.25023586617316207</v>
      </c>
      <c r="R104" s="1624">
        <v>0.2357767382625946</v>
      </c>
      <c r="S104" s="1624">
        <v>0.23496324073617211</v>
      </c>
      <c r="T104" s="2237">
        <v>0.22336624820126036</v>
      </c>
      <c r="U104" s="455"/>
      <c r="V104" s="456">
        <v>7972</v>
      </c>
      <c r="W104" s="456">
        <v>7971</v>
      </c>
      <c r="X104" s="456">
        <v>8821</v>
      </c>
      <c r="Y104" s="456">
        <v>8796</v>
      </c>
      <c r="Z104" s="456">
        <v>8715</v>
      </c>
      <c r="AA104" s="456">
        <v>10779</v>
      </c>
      <c r="AB104" s="456">
        <v>9838</v>
      </c>
      <c r="AC104" s="456">
        <v>9930</v>
      </c>
      <c r="AD104" s="456">
        <v>8991</v>
      </c>
      <c r="AE104" s="456">
        <v>10764</v>
      </c>
      <c r="AF104" s="457">
        <v>11032</v>
      </c>
      <c r="AG104" s="912">
        <v>10984</v>
      </c>
      <c r="AH104" s="1181">
        <v>10719</v>
      </c>
      <c r="AI104" s="1185">
        <v>10344</v>
      </c>
      <c r="AJ104" s="1629">
        <v>9627</v>
      </c>
      <c r="AK104" s="1629">
        <v>9524</v>
      </c>
      <c r="AL104" s="2243">
        <v>9003</v>
      </c>
    </row>
    <row r="105" spans="1:38" ht="16.5" customHeight="1" x14ac:dyDescent="0.25">
      <c r="A105" s="379" t="s">
        <v>82</v>
      </c>
      <c r="B105" s="380" t="s">
        <v>83</v>
      </c>
      <c r="C105" s="1427" t="s">
        <v>264</v>
      </c>
      <c r="D105" s="453">
        <v>0.17499999999999999</v>
      </c>
      <c r="E105" s="453">
        <v>0.156</v>
      </c>
      <c r="F105" s="453">
        <v>0.17100000000000001</v>
      </c>
      <c r="G105" s="453">
        <v>0.17399999999999999</v>
      </c>
      <c r="H105" s="453">
        <v>0.16600000000000001</v>
      </c>
      <c r="I105" s="453">
        <v>0.20100000000000001</v>
      </c>
      <c r="J105" s="453">
        <v>0.185</v>
      </c>
      <c r="K105" s="453">
        <v>0.184</v>
      </c>
      <c r="L105" s="453">
        <v>0.19399999999999998</v>
      </c>
      <c r="M105" s="453">
        <v>0.17699999999999999</v>
      </c>
      <c r="N105" s="454">
        <v>0.216</v>
      </c>
      <c r="O105" s="905">
        <v>0.218</v>
      </c>
      <c r="P105" s="905">
        <v>0.20799999999999999</v>
      </c>
      <c r="Q105" s="905">
        <v>0.2186030103480715</v>
      </c>
      <c r="R105" s="1624">
        <v>0.22489577129243599</v>
      </c>
      <c r="S105" s="1624">
        <v>0.19408878784252723</v>
      </c>
      <c r="T105" s="2237">
        <v>0.1824969400244798</v>
      </c>
      <c r="U105" s="455"/>
      <c r="V105" s="456">
        <v>1401</v>
      </c>
      <c r="W105" s="456">
        <v>1237</v>
      </c>
      <c r="X105" s="456">
        <v>1374</v>
      </c>
      <c r="Y105" s="456">
        <v>1435</v>
      </c>
      <c r="Z105" s="456">
        <v>1388</v>
      </c>
      <c r="AA105" s="456">
        <v>1668</v>
      </c>
      <c r="AB105" s="456">
        <v>1576</v>
      </c>
      <c r="AC105" s="456">
        <v>1586</v>
      </c>
      <c r="AD105" s="456">
        <v>1663</v>
      </c>
      <c r="AE105" s="456">
        <v>1506</v>
      </c>
      <c r="AF105" s="457">
        <v>1833</v>
      </c>
      <c r="AG105" s="912">
        <v>1843</v>
      </c>
      <c r="AH105" s="1181">
        <v>1750</v>
      </c>
      <c r="AI105" s="1185">
        <v>1859</v>
      </c>
      <c r="AJ105" s="1629">
        <v>1888</v>
      </c>
      <c r="AK105" s="1629">
        <v>1622</v>
      </c>
      <c r="AL105" s="2243">
        <v>1491</v>
      </c>
    </row>
    <row r="106" spans="1:38" ht="16.5" customHeight="1" x14ac:dyDescent="0.25">
      <c r="A106" s="379" t="s">
        <v>88</v>
      </c>
      <c r="B106" s="380" t="s">
        <v>89</v>
      </c>
      <c r="C106" s="1427" t="s">
        <v>267</v>
      </c>
      <c r="D106" s="453">
        <v>0.128</v>
      </c>
      <c r="E106" s="453">
        <v>0.126</v>
      </c>
      <c r="F106" s="453">
        <v>0.13699999999999998</v>
      </c>
      <c r="G106" s="453">
        <v>0.14199999999999999</v>
      </c>
      <c r="H106" s="453">
        <v>0.14400000000000002</v>
      </c>
      <c r="I106" s="453">
        <v>0.17</v>
      </c>
      <c r="J106" s="453">
        <v>0.14899999999999999</v>
      </c>
      <c r="K106" s="453">
        <v>0.13</v>
      </c>
      <c r="L106" s="453">
        <v>0.154</v>
      </c>
      <c r="M106" s="453">
        <v>0.17300000000000001</v>
      </c>
      <c r="N106" s="454">
        <v>0.19800000000000001</v>
      </c>
      <c r="O106" s="905">
        <v>0.159</v>
      </c>
      <c r="P106" s="905">
        <v>0.157</v>
      </c>
      <c r="Q106" s="905">
        <v>0.17524306378942375</v>
      </c>
      <c r="R106" s="1624">
        <v>0.16764338177840299</v>
      </c>
      <c r="S106" s="1624">
        <v>0.1590642359752758</v>
      </c>
      <c r="T106" s="2237">
        <v>0.14608621226268284</v>
      </c>
      <c r="U106" s="455"/>
      <c r="V106" s="456">
        <v>2267</v>
      </c>
      <c r="W106" s="456">
        <v>2247</v>
      </c>
      <c r="X106" s="456">
        <v>2476</v>
      </c>
      <c r="Y106" s="456">
        <v>2594</v>
      </c>
      <c r="Z106" s="456">
        <v>2630</v>
      </c>
      <c r="AA106" s="456">
        <v>3050</v>
      </c>
      <c r="AB106" s="456">
        <v>2783</v>
      </c>
      <c r="AC106" s="456">
        <v>2585</v>
      </c>
      <c r="AD106" s="456">
        <v>3118</v>
      </c>
      <c r="AE106" s="456">
        <v>3581</v>
      </c>
      <c r="AF106" s="457">
        <v>4338</v>
      </c>
      <c r="AG106" s="912">
        <v>3681</v>
      </c>
      <c r="AH106" s="1181">
        <v>3860</v>
      </c>
      <c r="AI106" s="1185">
        <v>4434</v>
      </c>
      <c r="AJ106" s="1629">
        <v>4291</v>
      </c>
      <c r="AK106" s="1629">
        <v>4066</v>
      </c>
      <c r="AL106" s="2243">
        <v>3755</v>
      </c>
    </row>
    <row r="107" spans="1:38" ht="16.5" customHeight="1" x14ac:dyDescent="0.25">
      <c r="A107" s="379" t="s">
        <v>90</v>
      </c>
      <c r="B107" s="380" t="s">
        <v>91</v>
      </c>
      <c r="C107" s="1427" t="s">
        <v>268</v>
      </c>
      <c r="D107" s="453">
        <v>0.184</v>
      </c>
      <c r="E107" s="453">
        <v>0.16899999999999998</v>
      </c>
      <c r="F107" s="453">
        <v>0.17699999999999999</v>
      </c>
      <c r="G107" s="453">
        <v>0.18</v>
      </c>
      <c r="H107" s="453">
        <v>0.17</v>
      </c>
      <c r="I107" s="453">
        <v>0.20699999999999999</v>
      </c>
      <c r="J107" s="453">
        <v>0.23</v>
      </c>
      <c r="K107" s="453">
        <v>0.19</v>
      </c>
      <c r="L107" s="453">
        <v>0.20699999999999999</v>
      </c>
      <c r="M107" s="453">
        <v>0.191</v>
      </c>
      <c r="N107" s="454">
        <v>0.223</v>
      </c>
      <c r="O107" s="905">
        <v>0.22899999999999998</v>
      </c>
      <c r="P107" s="905">
        <v>0.22800000000000001</v>
      </c>
      <c r="Q107" s="905">
        <v>0.22763744427934621</v>
      </c>
      <c r="R107" s="1624">
        <v>0.22738787066011026</v>
      </c>
      <c r="S107" s="1624">
        <v>0.24190620272314675</v>
      </c>
      <c r="T107" s="2237">
        <v>0.20513216880507035</v>
      </c>
      <c r="U107" s="455"/>
      <c r="V107" s="456">
        <v>1202</v>
      </c>
      <c r="W107" s="456">
        <v>1094</v>
      </c>
      <c r="X107" s="456">
        <v>1163</v>
      </c>
      <c r="Y107" s="456">
        <v>1180</v>
      </c>
      <c r="Z107" s="456">
        <v>1118</v>
      </c>
      <c r="AA107" s="456">
        <v>1349</v>
      </c>
      <c r="AB107" s="456">
        <v>1504</v>
      </c>
      <c r="AC107" s="456">
        <v>1267</v>
      </c>
      <c r="AD107" s="456">
        <v>1378</v>
      </c>
      <c r="AE107" s="456">
        <v>1286</v>
      </c>
      <c r="AF107" s="457">
        <v>1512</v>
      </c>
      <c r="AG107" s="912">
        <v>1530</v>
      </c>
      <c r="AH107" s="1181">
        <v>1506</v>
      </c>
      <c r="AI107" s="1185">
        <v>1532</v>
      </c>
      <c r="AJ107" s="1629">
        <v>1526</v>
      </c>
      <c r="AK107" s="1629">
        <v>1599</v>
      </c>
      <c r="AL107" s="2243">
        <v>1327</v>
      </c>
    </row>
    <row r="108" spans="1:38" ht="16.5" customHeight="1" x14ac:dyDescent="0.25">
      <c r="A108" s="379" t="s">
        <v>106</v>
      </c>
      <c r="B108" s="380" t="s">
        <v>107</v>
      </c>
      <c r="C108" s="1427" t="s">
        <v>264</v>
      </c>
      <c r="D108" s="453">
        <v>0.122</v>
      </c>
      <c r="E108" s="453">
        <v>0.121</v>
      </c>
      <c r="F108" s="453">
        <v>0.13</v>
      </c>
      <c r="G108" s="453">
        <v>0.13100000000000001</v>
      </c>
      <c r="H108" s="453">
        <v>0.125</v>
      </c>
      <c r="I108" s="453">
        <v>0.13400000000000001</v>
      </c>
      <c r="J108" s="453">
        <v>0.121</v>
      </c>
      <c r="K108" s="453">
        <v>0.15</v>
      </c>
      <c r="L108" s="453">
        <v>0.14199999999999999</v>
      </c>
      <c r="M108" s="453">
        <v>0.14800000000000002</v>
      </c>
      <c r="N108" s="454">
        <v>0.13099999999999998</v>
      </c>
      <c r="O108" s="905">
        <v>0.153</v>
      </c>
      <c r="P108" s="905">
        <v>0.16500000000000001</v>
      </c>
      <c r="Q108" s="905">
        <v>0.15595928806935214</v>
      </c>
      <c r="R108" s="1624">
        <v>0.15181356519642561</v>
      </c>
      <c r="S108" s="1624">
        <v>0.15230752887256613</v>
      </c>
      <c r="T108" s="2237">
        <v>0.16433467355925713</v>
      </c>
      <c r="U108" s="455"/>
      <c r="V108" s="456">
        <v>16301</v>
      </c>
      <c r="W108" s="456">
        <v>16154</v>
      </c>
      <c r="X108" s="456">
        <v>17671</v>
      </c>
      <c r="Y108" s="456">
        <v>17544</v>
      </c>
      <c r="Z108" s="456">
        <v>16802</v>
      </c>
      <c r="AA108" s="456">
        <v>17885</v>
      </c>
      <c r="AB108" s="456">
        <v>16140</v>
      </c>
      <c r="AC108" s="456">
        <v>20115</v>
      </c>
      <c r="AD108" s="456">
        <v>18827</v>
      </c>
      <c r="AE108" s="456">
        <v>19499</v>
      </c>
      <c r="AF108" s="457">
        <v>17439</v>
      </c>
      <c r="AG108" s="912">
        <v>20153</v>
      </c>
      <c r="AH108" s="1181">
        <v>21855</v>
      </c>
      <c r="AI108" s="1185">
        <v>20671</v>
      </c>
      <c r="AJ108" s="1629">
        <v>20149</v>
      </c>
      <c r="AK108" s="1629">
        <v>20072</v>
      </c>
      <c r="AL108" s="2243">
        <v>21458</v>
      </c>
    </row>
    <row r="109" spans="1:38" ht="16.5" customHeight="1" x14ac:dyDescent="0.25">
      <c r="A109" s="379" t="s">
        <v>116</v>
      </c>
      <c r="B109" s="380" t="s">
        <v>117</v>
      </c>
      <c r="C109" s="1427" t="s">
        <v>266</v>
      </c>
      <c r="D109" s="453">
        <v>0.14499999999999999</v>
      </c>
      <c r="E109" s="453">
        <v>0.14099999999999999</v>
      </c>
      <c r="F109" s="453">
        <v>0.16</v>
      </c>
      <c r="G109" s="453">
        <v>0.16399999999999998</v>
      </c>
      <c r="H109" s="453">
        <v>0.155</v>
      </c>
      <c r="I109" s="453">
        <v>0.16600000000000001</v>
      </c>
      <c r="J109" s="453">
        <v>0.16600000000000001</v>
      </c>
      <c r="K109" s="453">
        <v>0.15</v>
      </c>
      <c r="L109" s="453">
        <v>0.17899999999999999</v>
      </c>
      <c r="M109" s="453">
        <v>0.19699999999999998</v>
      </c>
      <c r="N109" s="454">
        <v>0.17299999999999999</v>
      </c>
      <c r="O109" s="905">
        <v>0.183</v>
      </c>
      <c r="P109" s="905">
        <v>0.189</v>
      </c>
      <c r="Q109" s="905">
        <v>0.22586412395709177</v>
      </c>
      <c r="R109" s="1624">
        <v>0.19529605564198774</v>
      </c>
      <c r="S109" s="1624">
        <v>0.20570209288600355</v>
      </c>
      <c r="T109" s="2237">
        <v>0.20701064115174819</v>
      </c>
      <c r="U109" s="455"/>
      <c r="V109" s="456">
        <v>3195</v>
      </c>
      <c r="W109" s="456">
        <v>3132</v>
      </c>
      <c r="X109" s="456">
        <v>3571</v>
      </c>
      <c r="Y109" s="456">
        <v>3635</v>
      </c>
      <c r="Z109" s="456">
        <v>3497</v>
      </c>
      <c r="AA109" s="456">
        <v>3715</v>
      </c>
      <c r="AB109" s="456">
        <v>3720</v>
      </c>
      <c r="AC109" s="456">
        <v>3402</v>
      </c>
      <c r="AD109" s="456">
        <v>4079</v>
      </c>
      <c r="AE109" s="456">
        <v>4486</v>
      </c>
      <c r="AF109" s="457">
        <v>3859</v>
      </c>
      <c r="AG109" s="912">
        <v>4076</v>
      </c>
      <c r="AH109" s="1181">
        <v>4153</v>
      </c>
      <c r="AI109" s="1185">
        <v>4927</v>
      </c>
      <c r="AJ109" s="1629">
        <v>4268</v>
      </c>
      <c r="AK109" s="1629">
        <v>4531</v>
      </c>
      <c r="AL109" s="2243">
        <v>4630</v>
      </c>
    </row>
    <row r="110" spans="1:38" ht="16.5" customHeight="1" x14ac:dyDescent="0.25">
      <c r="A110" s="379" t="s">
        <v>138</v>
      </c>
      <c r="B110" s="380" t="s">
        <v>139</v>
      </c>
      <c r="C110" s="1427" t="s">
        <v>265</v>
      </c>
      <c r="D110" s="453">
        <v>0.15</v>
      </c>
      <c r="E110" s="453">
        <v>0.157</v>
      </c>
      <c r="F110" s="453">
        <v>0.183</v>
      </c>
      <c r="G110" s="453">
        <v>0.17600000000000002</v>
      </c>
      <c r="H110" s="453">
        <v>0.17800000000000002</v>
      </c>
      <c r="I110" s="453">
        <v>0.192</v>
      </c>
      <c r="J110" s="453">
        <v>0.191</v>
      </c>
      <c r="K110" s="453">
        <v>0.19399999999999998</v>
      </c>
      <c r="L110" s="453">
        <v>0.19800000000000001</v>
      </c>
      <c r="M110" s="453">
        <v>0.20699999999999999</v>
      </c>
      <c r="N110" s="454">
        <v>0.22800000000000001</v>
      </c>
      <c r="O110" s="905">
        <v>0.221</v>
      </c>
      <c r="P110" s="905">
        <v>0.23799999999999999</v>
      </c>
      <c r="Q110" s="905">
        <v>0.22646971935007384</v>
      </c>
      <c r="R110" s="1624">
        <v>0.24981818181818183</v>
      </c>
      <c r="S110" s="1624">
        <v>0.23141441650249159</v>
      </c>
      <c r="T110" s="2237">
        <v>0.17788031723143474</v>
      </c>
      <c r="U110" s="455"/>
      <c r="V110" s="456">
        <v>8790</v>
      </c>
      <c r="W110" s="456">
        <v>9167</v>
      </c>
      <c r="X110" s="456">
        <v>10764</v>
      </c>
      <c r="Y110" s="456">
        <v>10265</v>
      </c>
      <c r="Z110" s="456">
        <v>10524</v>
      </c>
      <c r="AA110" s="456">
        <v>11145</v>
      </c>
      <c r="AB110" s="456">
        <v>11322</v>
      </c>
      <c r="AC110" s="456">
        <v>11980</v>
      </c>
      <c r="AD110" s="456">
        <v>12344</v>
      </c>
      <c r="AE110" s="456">
        <v>13122</v>
      </c>
      <c r="AF110" s="457">
        <v>14921</v>
      </c>
      <c r="AG110" s="912">
        <v>14671</v>
      </c>
      <c r="AH110" s="1181">
        <v>15896</v>
      </c>
      <c r="AI110" s="1185">
        <v>15332</v>
      </c>
      <c r="AJ110" s="1629">
        <v>17175</v>
      </c>
      <c r="AK110" s="1629">
        <v>15975</v>
      </c>
      <c r="AL110" s="2243">
        <v>12336</v>
      </c>
    </row>
    <row r="111" spans="1:38" ht="16.5" customHeight="1" x14ac:dyDescent="0.25">
      <c r="A111" s="379" t="s">
        <v>142</v>
      </c>
      <c r="B111" s="380" t="s">
        <v>143</v>
      </c>
      <c r="C111" s="1427" t="s">
        <v>267</v>
      </c>
      <c r="D111" s="453">
        <v>5.9000000000000004E-2</v>
      </c>
      <c r="E111" s="453">
        <v>5.9000000000000004E-2</v>
      </c>
      <c r="F111" s="453">
        <v>6.4000000000000001E-2</v>
      </c>
      <c r="G111" s="453">
        <v>7.400000000000001E-2</v>
      </c>
      <c r="H111" s="453">
        <v>7.4999999999999997E-2</v>
      </c>
      <c r="I111" s="453">
        <v>6.8000000000000005E-2</v>
      </c>
      <c r="J111" s="453">
        <v>7.400000000000001E-2</v>
      </c>
      <c r="K111" s="453">
        <v>8.900000000000001E-2</v>
      </c>
      <c r="L111" s="453">
        <v>8.6999999999999994E-2</v>
      </c>
      <c r="M111" s="453">
        <v>0.09</v>
      </c>
      <c r="N111" s="454">
        <v>0.11699999999999998</v>
      </c>
      <c r="O111" s="905">
        <v>0.10300000000000001</v>
      </c>
      <c r="P111" s="905">
        <v>0.107</v>
      </c>
      <c r="Q111" s="905">
        <v>0.10119869233563386</v>
      </c>
      <c r="R111" s="1624">
        <v>9.8221764832587419E-2</v>
      </c>
      <c r="S111" s="1624">
        <v>9.5834237885037504E-2</v>
      </c>
      <c r="T111" s="2237">
        <v>9.6702869499720581E-2</v>
      </c>
      <c r="U111" s="455"/>
      <c r="V111" s="456">
        <v>2076</v>
      </c>
      <c r="W111" s="456">
        <v>2135</v>
      </c>
      <c r="X111" s="456">
        <v>2358</v>
      </c>
      <c r="Y111" s="456">
        <v>2747</v>
      </c>
      <c r="Z111" s="456">
        <v>2756</v>
      </c>
      <c r="AA111" s="456">
        <v>2461</v>
      </c>
      <c r="AB111" s="456">
        <v>2642</v>
      </c>
      <c r="AC111" s="456">
        <v>3070</v>
      </c>
      <c r="AD111" s="456">
        <v>2972</v>
      </c>
      <c r="AE111" s="456">
        <v>3234</v>
      </c>
      <c r="AF111" s="457">
        <v>4427</v>
      </c>
      <c r="AG111" s="912">
        <v>4035</v>
      </c>
      <c r="AH111" s="1181">
        <v>4331</v>
      </c>
      <c r="AI111" s="1185">
        <v>4179</v>
      </c>
      <c r="AJ111" s="1629">
        <v>4104</v>
      </c>
      <c r="AK111" s="1629">
        <v>3973</v>
      </c>
      <c r="AL111" s="2243">
        <v>3980</v>
      </c>
    </row>
    <row r="112" spans="1:38" ht="16.5" customHeight="1" x14ac:dyDescent="0.25">
      <c r="A112" s="379" t="s">
        <v>144</v>
      </c>
      <c r="B112" s="380" t="s">
        <v>145</v>
      </c>
      <c r="C112" s="1427" t="s">
        <v>267</v>
      </c>
      <c r="D112" s="453">
        <v>5.9000000000000004E-2</v>
      </c>
      <c r="E112" s="453">
        <v>5.7000000000000002E-2</v>
      </c>
      <c r="F112" s="453">
        <v>6.0999999999999999E-2</v>
      </c>
      <c r="G112" s="453">
        <v>6.5000000000000002E-2</v>
      </c>
      <c r="H112" s="453">
        <v>0.06</v>
      </c>
      <c r="I112" s="453">
        <v>6.0999999999999999E-2</v>
      </c>
      <c r="J112" s="453">
        <v>6.9000000000000006E-2</v>
      </c>
      <c r="K112" s="453">
        <v>6.2E-2</v>
      </c>
      <c r="L112" s="453">
        <v>6.3E-2</v>
      </c>
      <c r="M112" s="453">
        <v>7.5999999999999998E-2</v>
      </c>
      <c r="N112" s="454">
        <v>8.5999999999999993E-2</v>
      </c>
      <c r="O112" s="905">
        <v>0.08</v>
      </c>
      <c r="P112" s="905">
        <v>8.5999999999999993E-2</v>
      </c>
      <c r="Q112" s="905">
        <v>8.4299065420560745E-2</v>
      </c>
      <c r="R112" s="1624">
        <v>8.9398053109065623E-2</v>
      </c>
      <c r="S112" s="1624">
        <v>7.6539420679071546E-2</v>
      </c>
      <c r="T112" s="2237">
        <v>7.7817814021113846E-2</v>
      </c>
      <c r="U112" s="455"/>
      <c r="V112" s="459">
        <v>641</v>
      </c>
      <c r="W112" s="459">
        <v>619</v>
      </c>
      <c r="X112" s="459">
        <v>671</v>
      </c>
      <c r="Y112" s="459">
        <v>750</v>
      </c>
      <c r="Z112" s="459">
        <v>699</v>
      </c>
      <c r="AA112" s="459">
        <v>705</v>
      </c>
      <c r="AB112" s="459">
        <v>794</v>
      </c>
      <c r="AC112" s="459">
        <v>703</v>
      </c>
      <c r="AD112" s="456">
        <v>713</v>
      </c>
      <c r="AE112" s="456">
        <v>906</v>
      </c>
      <c r="AF112" s="457">
        <v>1238</v>
      </c>
      <c r="AG112" s="912">
        <v>1214</v>
      </c>
      <c r="AH112" s="1181">
        <v>1356</v>
      </c>
      <c r="AI112" s="1185">
        <v>1353</v>
      </c>
      <c r="AJ112" s="1629">
        <v>1350</v>
      </c>
      <c r="AK112" s="1629">
        <v>1197</v>
      </c>
      <c r="AL112" s="2243">
        <v>1231</v>
      </c>
    </row>
    <row r="113" spans="1:38" ht="16.5" customHeight="1" x14ac:dyDescent="0.25">
      <c r="A113" s="379" t="s">
        <v>158</v>
      </c>
      <c r="B113" s="380" t="s">
        <v>159</v>
      </c>
      <c r="C113" s="1427" t="s">
        <v>264</v>
      </c>
      <c r="D113" s="453">
        <v>0.124</v>
      </c>
      <c r="E113" s="453">
        <v>0.11900000000000001</v>
      </c>
      <c r="F113" s="453">
        <v>0.13100000000000001</v>
      </c>
      <c r="G113" s="453">
        <v>0.14000000000000001</v>
      </c>
      <c r="H113" s="453">
        <v>0.13400000000000001</v>
      </c>
      <c r="I113" s="453">
        <v>0.14199999999999999</v>
      </c>
      <c r="J113" s="453">
        <v>0.126</v>
      </c>
      <c r="K113" s="453">
        <v>0.14699999999999999</v>
      </c>
      <c r="L113" s="453">
        <v>0.13200000000000001</v>
      </c>
      <c r="M113" s="453">
        <v>0.13500000000000001</v>
      </c>
      <c r="N113" s="454">
        <v>0.151</v>
      </c>
      <c r="O113" s="905">
        <v>0.155</v>
      </c>
      <c r="P113" s="905">
        <v>0.16400000000000001</v>
      </c>
      <c r="Q113" s="905">
        <v>0.17539417654505696</v>
      </c>
      <c r="R113" s="1624">
        <v>0.16662655986799133</v>
      </c>
      <c r="S113" s="1624">
        <v>0.16834640865215814</v>
      </c>
      <c r="T113" s="2237">
        <v>0.1466181692214428</v>
      </c>
      <c r="U113" s="455"/>
      <c r="V113" s="456">
        <v>21921</v>
      </c>
      <c r="W113" s="456">
        <v>21150</v>
      </c>
      <c r="X113" s="456">
        <v>23577</v>
      </c>
      <c r="Y113" s="456">
        <v>25148</v>
      </c>
      <c r="Z113" s="456">
        <v>23864</v>
      </c>
      <c r="AA113" s="456">
        <v>24948</v>
      </c>
      <c r="AB113" s="456">
        <v>22043</v>
      </c>
      <c r="AC113" s="456">
        <v>25758</v>
      </c>
      <c r="AD113" s="456">
        <v>22966</v>
      </c>
      <c r="AE113" s="456">
        <v>25430</v>
      </c>
      <c r="AF113" s="457">
        <v>26088</v>
      </c>
      <c r="AG113" s="912">
        <v>26712</v>
      </c>
      <c r="AH113" s="1181">
        <v>28299</v>
      </c>
      <c r="AI113" s="1185">
        <v>30480</v>
      </c>
      <c r="AJ113" s="1629">
        <v>29082</v>
      </c>
      <c r="AK113" s="1629">
        <v>29248</v>
      </c>
      <c r="AL113" s="2243">
        <v>25395</v>
      </c>
    </row>
    <row r="114" spans="1:38" ht="16.5" customHeight="1" x14ac:dyDescent="0.25">
      <c r="A114" s="379" t="s">
        <v>160</v>
      </c>
      <c r="B114" s="380" t="s">
        <v>161</v>
      </c>
      <c r="C114" s="1427" t="s">
        <v>264</v>
      </c>
      <c r="D114" s="453">
        <v>0.18600000000000003</v>
      </c>
      <c r="E114" s="453">
        <v>0.18600000000000003</v>
      </c>
      <c r="F114" s="453">
        <v>0.20300000000000001</v>
      </c>
      <c r="G114" s="453">
        <v>0.19800000000000001</v>
      </c>
      <c r="H114" s="453">
        <v>0.188</v>
      </c>
      <c r="I114" s="453">
        <v>0.18899999999999997</v>
      </c>
      <c r="J114" s="453">
        <v>0.17499999999999999</v>
      </c>
      <c r="K114" s="453">
        <v>0.17899999999999999</v>
      </c>
      <c r="L114" s="453">
        <v>0.19500000000000001</v>
      </c>
      <c r="M114" s="453">
        <v>0.184</v>
      </c>
      <c r="N114" s="454">
        <v>0.19</v>
      </c>
      <c r="O114" s="905">
        <v>0.20300000000000001</v>
      </c>
      <c r="P114" s="905">
        <v>0.22600000000000001</v>
      </c>
      <c r="Q114" s="905">
        <v>0.23264248217208874</v>
      </c>
      <c r="R114" s="1624">
        <v>0.23356786563084178</v>
      </c>
      <c r="S114" s="1624">
        <v>0.21482194417709335</v>
      </c>
      <c r="T114" s="2237">
        <v>0.21321872141381945</v>
      </c>
      <c r="U114" s="455"/>
      <c r="V114" s="456">
        <v>39503</v>
      </c>
      <c r="W114" s="456">
        <v>39711</v>
      </c>
      <c r="X114" s="456">
        <v>43514</v>
      </c>
      <c r="Y114" s="456">
        <v>41488</v>
      </c>
      <c r="Z114" s="456">
        <v>38960</v>
      </c>
      <c r="AA114" s="456">
        <v>38857</v>
      </c>
      <c r="AB114" s="456">
        <v>35487</v>
      </c>
      <c r="AC114" s="456">
        <v>37343</v>
      </c>
      <c r="AD114" s="456">
        <v>40407</v>
      </c>
      <c r="AE114" s="456">
        <v>37917</v>
      </c>
      <c r="AF114" s="457">
        <v>39903</v>
      </c>
      <c r="AG114" s="912">
        <v>42703</v>
      </c>
      <c r="AH114" s="1181">
        <v>47978</v>
      </c>
      <c r="AI114" s="1185">
        <v>49457</v>
      </c>
      <c r="AJ114" s="1629">
        <v>49728</v>
      </c>
      <c r="AK114" s="1629">
        <v>45756</v>
      </c>
      <c r="AL114" s="2243">
        <v>45219</v>
      </c>
    </row>
    <row r="115" spans="1:38" ht="16.5" customHeight="1" x14ac:dyDescent="0.25">
      <c r="A115" s="379" t="s">
        <v>166</v>
      </c>
      <c r="B115" s="380" t="s">
        <v>167</v>
      </c>
      <c r="C115" s="1427" t="s">
        <v>268</v>
      </c>
      <c r="D115" s="453">
        <v>0.18600000000000003</v>
      </c>
      <c r="E115" s="453">
        <v>0.17600000000000002</v>
      </c>
      <c r="F115" s="453">
        <v>0.16899999999999998</v>
      </c>
      <c r="G115" s="453">
        <v>0.182</v>
      </c>
      <c r="H115" s="453">
        <v>0.18</v>
      </c>
      <c r="I115" s="453">
        <v>0.221</v>
      </c>
      <c r="J115" s="453">
        <v>0.20300000000000001</v>
      </c>
      <c r="K115" s="453">
        <v>0.20600000000000002</v>
      </c>
      <c r="L115" s="453">
        <v>0.20800000000000002</v>
      </c>
      <c r="M115" s="453">
        <v>0.20899999999999999</v>
      </c>
      <c r="N115" s="454">
        <v>0.19500000000000001</v>
      </c>
      <c r="O115" s="905">
        <v>0.20499999999999999</v>
      </c>
      <c r="P115" s="905">
        <v>0.18099999999999999</v>
      </c>
      <c r="Q115" s="905">
        <v>0.22028325746079919</v>
      </c>
      <c r="R115" s="1624">
        <v>0.21567145376669186</v>
      </c>
      <c r="S115" s="1624">
        <v>0.23729687903017796</v>
      </c>
      <c r="T115" s="2237">
        <v>0.23014203051025775</v>
      </c>
      <c r="U115" s="455"/>
      <c r="V115" s="459">
        <v>717</v>
      </c>
      <c r="W115" s="459">
        <v>686</v>
      </c>
      <c r="X115" s="459">
        <v>659</v>
      </c>
      <c r="Y115" s="459">
        <v>678</v>
      </c>
      <c r="Z115" s="459">
        <v>658</v>
      </c>
      <c r="AA115" s="459">
        <v>801</v>
      </c>
      <c r="AB115" s="459">
        <v>730</v>
      </c>
      <c r="AC115" s="459">
        <v>757</v>
      </c>
      <c r="AD115" s="456">
        <v>759</v>
      </c>
      <c r="AE115" s="456">
        <v>763</v>
      </c>
      <c r="AF115" s="457">
        <v>761</v>
      </c>
      <c r="AG115" s="912">
        <v>819</v>
      </c>
      <c r="AH115" s="1181">
        <v>727</v>
      </c>
      <c r="AI115" s="1185">
        <v>871</v>
      </c>
      <c r="AJ115" s="1629">
        <v>856</v>
      </c>
      <c r="AK115" s="1629">
        <v>920</v>
      </c>
      <c r="AL115" s="2243">
        <v>875</v>
      </c>
    </row>
    <row r="116" spans="1:38" ht="16.5" customHeight="1" x14ac:dyDescent="0.25">
      <c r="A116" s="379" t="s">
        <v>176</v>
      </c>
      <c r="B116" s="380" t="s">
        <v>177</v>
      </c>
      <c r="C116" s="1427" t="s">
        <v>266</v>
      </c>
      <c r="D116" s="453">
        <v>0.17800000000000002</v>
      </c>
      <c r="E116" s="453">
        <v>0.17100000000000001</v>
      </c>
      <c r="F116" s="453">
        <v>0.185</v>
      </c>
      <c r="G116" s="453">
        <v>0.18600000000000003</v>
      </c>
      <c r="H116" s="453">
        <v>0.183</v>
      </c>
      <c r="I116" s="453">
        <v>0.218</v>
      </c>
      <c r="J116" s="453">
        <v>0.193</v>
      </c>
      <c r="K116" s="453">
        <v>0.191</v>
      </c>
      <c r="L116" s="453">
        <v>0.20100000000000001</v>
      </c>
      <c r="M116" s="453">
        <v>0.222</v>
      </c>
      <c r="N116" s="454">
        <v>0.252</v>
      </c>
      <c r="O116" s="905">
        <v>0.24299999999999999</v>
      </c>
      <c r="P116" s="905">
        <v>0.25800000000000001</v>
      </c>
      <c r="Q116" s="905">
        <v>0.28128436331647239</v>
      </c>
      <c r="R116" s="1624">
        <v>0.25802418976779073</v>
      </c>
      <c r="S116" s="1624">
        <v>0.2838254737769943</v>
      </c>
      <c r="T116" s="2237">
        <v>0.25163576010979544</v>
      </c>
      <c r="U116" s="455"/>
      <c r="V116" s="456">
        <v>5826</v>
      </c>
      <c r="W116" s="456">
        <v>5569</v>
      </c>
      <c r="X116" s="456">
        <v>6046</v>
      </c>
      <c r="Y116" s="456">
        <v>5978</v>
      </c>
      <c r="Z116" s="456">
        <v>5874</v>
      </c>
      <c r="AA116" s="456">
        <v>6854</v>
      </c>
      <c r="AB116" s="456">
        <v>6098</v>
      </c>
      <c r="AC116" s="456">
        <v>6131</v>
      </c>
      <c r="AD116" s="456">
        <v>6478</v>
      </c>
      <c r="AE116" s="456">
        <v>7164</v>
      </c>
      <c r="AF116" s="457">
        <v>8015</v>
      </c>
      <c r="AG116" s="912">
        <v>7697</v>
      </c>
      <c r="AH116" s="1181">
        <v>8084</v>
      </c>
      <c r="AI116" s="1185">
        <v>8953</v>
      </c>
      <c r="AJ116" s="1629">
        <v>8256</v>
      </c>
      <c r="AK116" s="1629">
        <v>9016</v>
      </c>
      <c r="AL116" s="2243">
        <v>7884</v>
      </c>
    </row>
    <row r="117" spans="1:38" ht="16.5" customHeight="1" x14ac:dyDescent="0.25">
      <c r="A117" s="379" t="s">
        <v>180</v>
      </c>
      <c r="B117" s="380" t="s">
        <v>181</v>
      </c>
      <c r="C117" s="1427" t="s">
        <v>264</v>
      </c>
      <c r="D117" s="453">
        <v>0.157</v>
      </c>
      <c r="E117" s="453">
        <v>0.153</v>
      </c>
      <c r="F117" s="453">
        <v>0.16399999999999998</v>
      </c>
      <c r="G117" s="453">
        <v>0.16600000000000001</v>
      </c>
      <c r="H117" s="453">
        <v>0.159</v>
      </c>
      <c r="I117" s="453">
        <v>0.17199999999999999</v>
      </c>
      <c r="J117" s="453">
        <v>0.14800000000000002</v>
      </c>
      <c r="K117" s="453">
        <v>0.156</v>
      </c>
      <c r="L117" s="453">
        <v>0.17899999999999999</v>
      </c>
      <c r="M117" s="453">
        <v>0.16699999999999998</v>
      </c>
      <c r="N117" s="454">
        <v>0.183</v>
      </c>
      <c r="O117" s="905">
        <v>0.18</v>
      </c>
      <c r="P117" s="905">
        <v>0.19500000000000001</v>
      </c>
      <c r="Q117" s="905">
        <v>0.20878695712919276</v>
      </c>
      <c r="R117" s="1624">
        <v>0.18325633487330253</v>
      </c>
      <c r="S117" s="1624">
        <v>0.18621533967653944</v>
      </c>
      <c r="T117" s="2237">
        <v>0.1824658726273998</v>
      </c>
      <c r="U117" s="455"/>
      <c r="V117" s="456">
        <v>15026</v>
      </c>
      <c r="W117" s="456">
        <v>14553</v>
      </c>
      <c r="X117" s="456">
        <v>15656</v>
      </c>
      <c r="Y117" s="456">
        <v>15789</v>
      </c>
      <c r="Z117" s="456">
        <v>15226</v>
      </c>
      <c r="AA117" s="456">
        <v>16256</v>
      </c>
      <c r="AB117" s="456">
        <v>14186</v>
      </c>
      <c r="AC117" s="456">
        <v>15038</v>
      </c>
      <c r="AD117" s="456">
        <v>16990</v>
      </c>
      <c r="AE117" s="456">
        <v>15687</v>
      </c>
      <c r="AF117" s="457">
        <v>16884</v>
      </c>
      <c r="AG117" s="912">
        <v>16640</v>
      </c>
      <c r="AH117" s="1181">
        <v>18123</v>
      </c>
      <c r="AI117" s="1185">
        <v>19427</v>
      </c>
      <c r="AJ117" s="1629">
        <v>17017</v>
      </c>
      <c r="AK117" s="1629">
        <v>17340</v>
      </c>
      <c r="AL117" s="2243">
        <v>16775</v>
      </c>
    </row>
    <row r="118" spans="1:38" ht="16.5" customHeight="1" x14ac:dyDescent="0.25">
      <c r="A118" s="379" t="s">
        <v>192</v>
      </c>
      <c r="B118" s="380" t="s">
        <v>193</v>
      </c>
      <c r="C118" s="1427" t="s">
        <v>268</v>
      </c>
      <c r="D118" s="453">
        <v>0.17199999999999999</v>
      </c>
      <c r="E118" s="453">
        <v>0.17300000000000001</v>
      </c>
      <c r="F118" s="453">
        <v>0.19399999999999998</v>
      </c>
      <c r="G118" s="453">
        <v>0.188</v>
      </c>
      <c r="H118" s="453">
        <v>0.191</v>
      </c>
      <c r="I118" s="453">
        <v>0.28199999999999997</v>
      </c>
      <c r="J118" s="453">
        <v>0.24</v>
      </c>
      <c r="K118" s="453">
        <v>0.309</v>
      </c>
      <c r="L118" s="453">
        <v>0.26700000000000002</v>
      </c>
      <c r="M118" s="453">
        <v>0.27699999999999997</v>
      </c>
      <c r="N118" s="454">
        <v>0.25600000000000001</v>
      </c>
      <c r="O118" s="905">
        <v>0.26800000000000002</v>
      </c>
      <c r="P118" s="905">
        <v>0.34200000000000003</v>
      </c>
      <c r="Q118" s="905">
        <v>0.31280630726614106</v>
      </c>
      <c r="R118" s="1624">
        <v>0.32384908272758739</v>
      </c>
      <c r="S118" s="1624">
        <v>0.32802413696323324</v>
      </c>
      <c r="T118" s="2237">
        <v>0.27151540267992819</v>
      </c>
      <c r="U118" s="455"/>
      <c r="V118" s="456">
        <v>2217</v>
      </c>
      <c r="W118" s="456">
        <v>2194</v>
      </c>
      <c r="X118" s="456">
        <v>2408</v>
      </c>
      <c r="Y118" s="456">
        <v>2282</v>
      </c>
      <c r="Z118" s="456">
        <v>2299</v>
      </c>
      <c r="AA118" s="456">
        <v>3357</v>
      </c>
      <c r="AB118" s="456">
        <v>2857</v>
      </c>
      <c r="AC118" s="456">
        <v>4146</v>
      </c>
      <c r="AD118" s="456">
        <v>3573</v>
      </c>
      <c r="AE118" s="456">
        <v>3735</v>
      </c>
      <c r="AF118" s="457">
        <v>3525</v>
      </c>
      <c r="AG118" s="912">
        <v>3685</v>
      </c>
      <c r="AH118" s="1181">
        <v>4643</v>
      </c>
      <c r="AI118" s="1185">
        <v>4404</v>
      </c>
      <c r="AJ118" s="1629">
        <v>4678</v>
      </c>
      <c r="AK118" s="1629">
        <v>4675</v>
      </c>
      <c r="AL118" s="2243">
        <v>3931</v>
      </c>
    </row>
    <row r="119" spans="1:38" ht="16.5" customHeight="1" x14ac:dyDescent="0.25">
      <c r="A119" s="379" t="s">
        <v>196</v>
      </c>
      <c r="B119" s="380" t="s">
        <v>197</v>
      </c>
      <c r="C119" s="1427" t="s">
        <v>266</v>
      </c>
      <c r="D119" s="453">
        <v>0.18100000000000002</v>
      </c>
      <c r="E119" s="453">
        <v>0.17600000000000002</v>
      </c>
      <c r="F119" s="453">
        <v>0.20100000000000001</v>
      </c>
      <c r="G119" s="453">
        <v>0.20300000000000001</v>
      </c>
      <c r="H119" s="453">
        <v>0.19800000000000001</v>
      </c>
      <c r="I119" s="453">
        <v>0.19899999999999998</v>
      </c>
      <c r="J119" s="453">
        <v>0.20699999999999999</v>
      </c>
      <c r="K119" s="453">
        <v>0.22399999999999998</v>
      </c>
      <c r="L119" s="453">
        <v>0.251</v>
      </c>
      <c r="M119" s="453">
        <v>0.23300000000000001</v>
      </c>
      <c r="N119" s="454">
        <v>0.253</v>
      </c>
      <c r="O119" s="905">
        <v>0.26400000000000001</v>
      </c>
      <c r="P119" s="905">
        <v>0.26200000000000001</v>
      </c>
      <c r="Q119" s="905">
        <v>0.25372750388333187</v>
      </c>
      <c r="R119" s="1624">
        <v>0.25015569351731115</v>
      </c>
      <c r="S119" s="1624">
        <v>0.24435715626669746</v>
      </c>
      <c r="T119" s="2237">
        <v>0.26174381791734408</v>
      </c>
      <c r="U119" s="455"/>
      <c r="V119" s="456">
        <v>34154</v>
      </c>
      <c r="W119" s="456">
        <v>32966</v>
      </c>
      <c r="X119" s="456">
        <v>37577</v>
      </c>
      <c r="Y119" s="456">
        <v>37320</v>
      </c>
      <c r="Z119" s="456">
        <v>36402</v>
      </c>
      <c r="AA119" s="456">
        <v>35775</v>
      </c>
      <c r="AB119" s="456">
        <v>37513</v>
      </c>
      <c r="AC119" s="456">
        <v>42273</v>
      </c>
      <c r="AD119" s="456">
        <v>47850</v>
      </c>
      <c r="AE119" s="456">
        <v>44931</v>
      </c>
      <c r="AF119" s="457">
        <v>48830</v>
      </c>
      <c r="AG119" s="912">
        <v>51117</v>
      </c>
      <c r="AH119" s="1181">
        <v>52017</v>
      </c>
      <c r="AI119" s="1185">
        <v>51290</v>
      </c>
      <c r="AJ119" s="1629">
        <v>51415</v>
      </c>
      <c r="AK119" s="1629">
        <v>50763</v>
      </c>
      <c r="AL119" s="2243">
        <v>55062</v>
      </c>
    </row>
    <row r="120" spans="1:38" ht="16.5" customHeight="1" x14ac:dyDescent="0.25">
      <c r="A120" s="379" t="s">
        <v>200</v>
      </c>
      <c r="B120" s="380" t="s">
        <v>201</v>
      </c>
      <c r="C120" s="1427" t="s">
        <v>265</v>
      </c>
      <c r="D120" s="453">
        <v>0.15</v>
      </c>
      <c r="E120" s="453">
        <v>0.151</v>
      </c>
      <c r="F120" s="453">
        <v>0.16600000000000001</v>
      </c>
      <c r="G120" s="453">
        <v>0.16899999999999998</v>
      </c>
      <c r="H120" s="453">
        <v>0.16300000000000001</v>
      </c>
      <c r="I120" s="453">
        <v>0.17199999999999999</v>
      </c>
      <c r="J120" s="453">
        <v>0.16699999999999998</v>
      </c>
      <c r="K120" s="453">
        <v>0.16899999999999998</v>
      </c>
      <c r="L120" s="453">
        <v>0.17800000000000002</v>
      </c>
      <c r="M120" s="453">
        <v>0.2</v>
      </c>
      <c r="N120" s="454">
        <v>0.22399999999999998</v>
      </c>
      <c r="O120" s="905">
        <v>0.19500000000000001</v>
      </c>
      <c r="P120" s="905">
        <v>0.20100000000000001</v>
      </c>
      <c r="Q120" s="905">
        <v>0.23344757107170139</v>
      </c>
      <c r="R120" s="1624">
        <v>0.20376710578760718</v>
      </c>
      <c r="S120" s="1624">
        <v>0.21280731032237057</v>
      </c>
      <c r="T120" s="2237">
        <v>0.2233128583964247</v>
      </c>
      <c r="U120" s="455"/>
      <c r="V120" s="456">
        <v>13870</v>
      </c>
      <c r="W120" s="456">
        <v>13866</v>
      </c>
      <c r="X120" s="456">
        <v>15210</v>
      </c>
      <c r="Y120" s="456">
        <v>15372</v>
      </c>
      <c r="Z120" s="456">
        <v>14874</v>
      </c>
      <c r="AA120" s="456">
        <v>15465</v>
      </c>
      <c r="AB120" s="456">
        <v>14908</v>
      </c>
      <c r="AC120" s="456">
        <v>15233</v>
      </c>
      <c r="AD120" s="456">
        <v>16170</v>
      </c>
      <c r="AE120" s="456">
        <v>18382</v>
      </c>
      <c r="AF120" s="457">
        <v>21414</v>
      </c>
      <c r="AG120" s="912">
        <v>18565</v>
      </c>
      <c r="AH120" s="1181">
        <v>19291</v>
      </c>
      <c r="AI120" s="1185">
        <v>22615</v>
      </c>
      <c r="AJ120" s="1629">
        <v>19938</v>
      </c>
      <c r="AK120" s="1629">
        <v>20913</v>
      </c>
      <c r="AL120" s="2243">
        <v>21886</v>
      </c>
    </row>
    <row r="121" spans="1:38" ht="16.5" customHeight="1" x14ac:dyDescent="0.25">
      <c r="A121" s="379" t="s">
        <v>222</v>
      </c>
      <c r="B121" s="380" t="s">
        <v>223</v>
      </c>
      <c r="C121" s="1427" t="s">
        <v>264</v>
      </c>
      <c r="D121" s="453">
        <v>0.11599999999999999</v>
      </c>
      <c r="E121" s="453">
        <v>0.105</v>
      </c>
      <c r="F121" s="453">
        <v>0.109</v>
      </c>
      <c r="G121" s="453">
        <v>0.114</v>
      </c>
      <c r="H121" s="453">
        <v>0.10800000000000001</v>
      </c>
      <c r="I121" s="453">
        <v>0.11900000000000001</v>
      </c>
      <c r="J121" s="453">
        <v>0.107</v>
      </c>
      <c r="K121" s="453">
        <v>0.109</v>
      </c>
      <c r="L121" s="453">
        <v>0.10800000000000001</v>
      </c>
      <c r="M121" s="453">
        <v>0.12300000000000001</v>
      </c>
      <c r="N121" s="454">
        <v>0.11900000000000001</v>
      </c>
      <c r="O121" s="905">
        <v>0.122</v>
      </c>
      <c r="P121" s="905">
        <v>0.11899999999999999</v>
      </c>
      <c r="Q121" s="905">
        <v>0.11481139228509146</v>
      </c>
      <c r="R121" s="1624">
        <v>0.1364391122336818</v>
      </c>
      <c r="S121" s="1624">
        <v>0.13092893909558848</v>
      </c>
      <c r="T121" s="2237">
        <v>0.11716742102031069</v>
      </c>
      <c r="U121" s="455"/>
      <c r="V121" s="456">
        <v>7629</v>
      </c>
      <c r="W121" s="456">
        <v>7214</v>
      </c>
      <c r="X121" s="456">
        <v>7948</v>
      </c>
      <c r="Y121" s="456">
        <v>8623</v>
      </c>
      <c r="Z121" s="456">
        <v>8441</v>
      </c>
      <c r="AA121" s="456">
        <v>9199</v>
      </c>
      <c r="AB121" s="456">
        <v>8556</v>
      </c>
      <c r="AC121" s="456">
        <v>8698</v>
      </c>
      <c r="AD121" s="456">
        <v>8727</v>
      </c>
      <c r="AE121" s="456">
        <v>10091</v>
      </c>
      <c r="AF121" s="912">
        <v>9956</v>
      </c>
      <c r="AG121" s="912">
        <v>10214</v>
      </c>
      <c r="AH121" s="1181">
        <v>9986</v>
      </c>
      <c r="AI121" s="1185">
        <v>9691</v>
      </c>
      <c r="AJ121" s="1629">
        <v>11668</v>
      </c>
      <c r="AK121" s="1629">
        <v>11370</v>
      </c>
      <c r="AL121" s="2243">
        <v>10303</v>
      </c>
    </row>
    <row r="122" spans="1:38" ht="16.5" customHeight="1" x14ac:dyDescent="0.25">
      <c r="A122" s="379" t="s">
        <v>230</v>
      </c>
      <c r="B122" s="380" t="s">
        <v>231</v>
      </c>
      <c r="C122" s="1427" t="s">
        <v>264</v>
      </c>
      <c r="D122" s="453">
        <v>6.8000000000000005E-2</v>
      </c>
      <c r="E122" s="453">
        <v>6.8000000000000005E-2</v>
      </c>
      <c r="F122" s="453">
        <v>7.400000000000001E-2</v>
      </c>
      <c r="G122" s="453">
        <v>0.08</v>
      </c>
      <c r="H122" s="453">
        <v>7.8E-2</v>
      </c>
      <c r="I122" s="453">
        <v>7.400000000000001E-2</v>
      </c>
      <c r="J122" s="453">
        <v>7.2000000000000008E-2</v>
      </c>
      <c r="K122" s="453">
        <v>6.6000000000000003E-2</v>
      </c>
      <c r="L122" s="453">
        <v>7.0000000000000007E-2</v>
      </c>
      <c r="M122" s="453">
        <v>6.8000000000000005E-2</v>
      </c>
      <c r="N122" s="454">
        <v>0.08</v>
      </c>
      <c r="O122" s="905">
        <v>8.900000000000001E-2</v>
      </c>
      <c r="P122" s="905">
        <v>9.0999999999999998E-2</v>
      </c>
      <c r="Q122" s="905">
        <v>9.0395711980747667E-2</v>
      </c>
      <c r="R122" s="1624">
        <v>8.5917089985486209E-2</v>
      </c>
      <c r="S122" s="1624">
        <v>8.236881233984282E-2</v>
      </c>
      <c r="T122" s="2237">
        <v>8.2537600361868149E-2</v>
      </c>
      <c r="U122" s="455"/>
      <c r="V122" s="456">
        <v>28643</v>
      </c>
      <c r="W122" s="456">
        <v>28856</v>
      </c>
      <c r="X122" s="456">
        <v>32396</v>
      </c>
      <c r="Y122" s="456">
        <v>34892</v>
      </c>
      <c r="Z122" s="456">
        <v>33970</v>
      </c>
      <c r="AA122" s="456">
        <v>31958</v>
      </c>
      <c r="AB122" s="456">
        <v>30762</v>
      </c>
      <c r="AC122" s="456">
        <v>28246</v>
      </c>
      <c r="AD122" s="456">
        <v>29532</v>
      </c>
      <c r="AE122" s="456">
        <v>28889</v>
      </c>
      <c r="AF122" s="457">
        <v>34303</v>
      </c>
      <c r="AG122" s="912">
        <v>38498</v>
      </c>
      <c r="AH122" s="1181">
        <v>39564</v>
      </c>
      <c r="AI122" s="1185">
        <v>39666</v>
      </c>
      <c r="AJ122" s="1629">
        <v>37886</v>
      </c>
      <c r="AK122" s="1629">
        <v>36451</v>
      </c>
      <c r="AL122" s="2243">
        <v>36494</v>
      </c>
    </row>
    <row r="123" spans="1:38" ht="16.5" customHeight="1" x14ac:dyDescent="0.25">
      <c r="A123" s="379" t="s">
        <v>238</v>
      </c>
      <c r="B123" s="380" t="s">
        <v>239</v>
      </c>
      <c r="C123" s="1427" t="s">
        <v>264</v>
      </c>
      <c r="D123" s="453">
        <v>0.17699999999999999</v>
      </c>
      <c r="E123" s="453">
        <v>0.19500000000000001</v>
      </c>
      <c r="F123" s="453">
        <v>0.21299999999999999</v>
      </c>
      <c r="G123" s="453">
        <v>0.17800000000000002</v>
      </c>
      <c r="H123" s="453">
        <v>0.17300000000000001</v>
      </c>
      <c r="I123" s="453">
        <v>0.22699999999999998</v>
      </c>
      <c r="J123" s="453">
        <v>0.20699999999999999</v>
      </c>
      <c r="K123" s="453">
        <v>0.2</v>
      </c>
      <c r="L123" s="453">
        <v>0.187</v>
      </c>
      <c r="M123" s="453">
        <v>0.20300000000000001</v>
      </c>
      <c r="N123" s="454">
        <v>0.185</v>
      </c>
      <c r="O123" s="905">
        <v>0.191</v>
      </c>
      <c r="P123" s="905">
        <v>0.23</v>
      </c>
      <c r="Q123" s="905">
        <v>0.21086817308571951</v>
      </c>
      <c r="R123" s="1624">
        <v>0.20104844189884477</v>
      </c>
      <c r="S123" s="1624">
        <v>0.22005097706032287</v>
      </c>
      <c r="T123" s="2237">
        <v>0.21103896103896103</v>
      </c>
      <c r="U123" s="455"/>
      <c r="V123" s="456">
        <v>1312</v>
      </c>
      <c r="W123" s="456">
        <v>1402</v>
      </c>
      <c r="X123" s="456">
        <v>1518</v>
      </c>
      <c r="Y123" s="456">
        <v>1244</v>
      </c>
      <c r="Z123" s="456">
        <v>1266</v>
      </c>
      <c r="AA123" s="456">
        <v>1643</v>
      </c>
      <c r="AB123" s="456">
        <v>1509</v>
      </c>
      <c r="AC123" s="456">
        <v>1570</v>
      </c>
      <c r="AD123" s="456">
        <v>1474</v>
      </c>
      <c r="AE123" s="456">
        <v>1645</v>
      </c>
      <c r="AF123" s="457">
        <v>1850</v>
      </c>
      <c r="AG123" s="912">
        <v>1962</v>
      </c>
      <c r="AH123" s="1181">
        <v>2500</v>
      </c>
      <c r="AI123" s="1185">
        <v>2305</v>
      </c>
      <c r="AJ123" s="1629">
        <v>2071</v>
      </c>
      <c r="AK123" s="1629">
        <v>2331</v>
      </c>
      <c r="AL123" s="2243">
        <v>2275</v>
      </c>
    </row>
    <row r="124" spans="1:38" ht="16.5" customHeight="1" x14ac:dyDescent="0.25">
      <c r="A124" s="467" t="s">
        <v>240</v>
      </c>
      <c r="B124" s="468" t="s">
        <v>241</v>
      </c>
      <c r="C124" s="1428" t="s">
        <v>267</v>
      </c>
      <c r="D124" s="460">
        <v>0.11</v>
      </c>
      <c r="E124" s="460">
        <v>0.109</v>
      </c>
      <c r="F124" s="460">
        <v>0.115</v>
      </c>
      <c r="G124" s="460">
        <v>0.121</v>
      </c>
      <c r="H124" s="460">
        <v>0.115</v>
      </c>
      <c r="I124" s="460">
        <v>0.124</v>
      </c>
      <c r="J124" s="460">
        <v>0.13900000000000001</v>
      </c>
      <c r="K124" s="460">
        <v>0.12</v>
      </c>
      <c r="L124" s="460">
        <v>0.128</v>
      </c>
      <c r="M124" s="460">
        <v>0.16300000000000001</v>
      </c>
      <c r="N124" s="454">
        <v>0.193</v>
      </c>
      <c r="O124" s="906">
        <v>0.17800000000000002</v>
      </c>
      <c r="P124" s="906">
        <v>0.16400000000000001</v>
      </c>
      <c r="Q124" s="1178">
        <v>0.14078832338743397</v>
      </c>
      <c r="R124" s="1625">
        <v>0.13437100533874727</v>
      </c>
      <c r="S124" s="1625">
        <v>0.17840732161166598</v>
      </c>
      <c r="T124" s="2238">
        <v>0.14967167333383652</v>
      </c>
      <c r="U124" s="469"/>
      <c r="V124" s="461">
        <v>2584</v>
      </c>
      <c r="W124" s="461">
        <v>2568</v>
      </c>
      <c r="X124" s="461">
        <v>2739</v>
      </c>
      <c r="Y124" s="461">
        <v>2912</v>
      </c>
      <c r="Z124" s="461">
        <v>2811</v>
      </c>
      <c r="AA124" s="461">
        <v>3008</v>
      </c>
      <c r="AB124" s="461">
        <v>3394</v>
      </c>
      <c r="AC124" s="461">
        <v>2971</v>
      </c>
      <c r="AD124" s="461">
        <v>3198</v>
      </c>
      <c r="AE124" s="461">
        <v>4126</v>
      </c>
      <c r="AF124" s="913">
        <v>4873</v>
      </c>
      <c r="AG124" s="913">
        <v>4545</v>
      </c>
      <c r="AH124" s="1182">
        <v>4257</v>
      </c>
      <c r="AI124" s="1186">
        <v>3704</v>
      </c>
      <c r="AJ124" s="1630">
        <v>3574</v>
      </c>
      <c r="AK124" s="2244">
        <v>4698</v>
      </c>
      <c r="AL124" s="2245">
        <v>3966</v>
      </c>
    </row>
    <row r="125" spans="1:38" ht="16.5" customHeight="1" x14ac:dyDescent="0.25">
      <c r="A125" s="471" t="s">
        <v>721</v>
      </c>
      <c r="B125" s="472"/>
      <c r="C125" s="1429"/>
      <c r="D125" s="473"/>
      <c r="E125" s="473"/>
      <c r="F125" s="473"/>
      <c r="G125" s="473"/>
      <c r="H125" s="473"/>
      <c r="I125" s="473"/>
      <c r="J125" s="473"/>
      <c r="K125" s="473"/>
      <c r="L125" s="473"/>
      <c r="M125" s="473"/>
      <c r="N125" s="473"/>
      <c r="O125" s="473"/>
      <c r="P125" s="901"/>
      <c r="Q125" s="901"/>
      <c r="R125" s="1423"/>
      <c r="S125" s="901"/>
      <c r="T125" s="2232"/>
      <c r="U125" s="473"/>
      <c r="V125" s="474"/>
      <c r="W125" s="474"/>
      <c r="X125" s="474"/>
      <c r="Y125" s="474"/>
      <c r="Z125" s="474"/>
      <c r="AA125" s="474"/>
      <c r="AB125" s="474"/>
      <c r="AC125" s="474"/>
      <c r="AD125" s="474"/>
      <c r="AE125" s="474"/>
      <c r="AF125" s="475"/>
      <c r="AG125" s="475"/>
    </row>
    <row r="126" spans="1:38" x14ac:dyDescent="0.25">
      <c r="A126" s="369" t="s">
        <v>266</v>
      </c>
      <c r="D126" s="470">
        <v>9.3237188436489218E-2</v>
      </c>
      <c r="E126" s="465">
        <v>9.1662354335324478E-2</v>
      </c>
      <c r="F126" s="465">
        <v>0.10219205581508556</v>
      </c>
      <c r="G126" s="465">
        <v>0.10581525657938262</v>
      </c>
      <c r="H126" s="465">
        <v>0.10259856552094609</v>
      </c>
      <c r="I126" s="465">
        <v>0.10695106549307283</v>
      </c>
      <c r="J126" s="465">
        <v>0.10257514754789548</v>
      </c>
      <c r="K126" s="465">
        <v>0.10835783455696647</v>
      </c>
      <c r="L126" s="465">
        <v>0.11361696871248311</v>
      </c>
      <c r="M126" s="465">
        <v>0.11740460777833268</v>
      </c>
      <c r="N126" s="466">
        <v>0.1231238887172626</v>
      </c>
      <c r="O126" s="466">
        <v>0.13054553620300066</v>
      </c>
      <c r="P126" s="466">
        <v>0.13100000000000001</v>
      </c>
      <c r="Q126" s="1183">
        <v>0.13459992380300864</v>
      </c>
      <c r="R126" s="1626">
        <v>0.13232941112509713</v>
      </c>
      <c r="S126" s="1626">
        <v>0.12321056846076116</v>
      </c>
      <c r="T126" s="2246">
        <v>0.12334055579762625</v>
      </c>
      <c r="V126" s="462">
        <v>105872</v>
      </c>
      <c r="W126" s="463">
        <v>105143</v>
      </c>
      <c r="X126" s="463">
        <v>119540</v>
      </c>
      <c r="Y126" s="463">
        <v>124895</v>
      </c>
      <c r="Z126" s="463">
        <v>123345</v>
      </c>
      <c r="AA126" s="463">
        <v>126877</v>
      </c>
      <c r="AB126" s="463">
        <v>123589</v>
      </c>
      <c r="AC126" s="463">
        <v>132787</v>
      </c>
      <c r="AD126" s="463">
        <v>140727</v>
      </c>
      <c r="AE126" s="463">
        <v>146844</v>
      </c>
      <c r="AF126" s="914">
        <v>157422</v>
      </c>
      <c r="AG126" s="463">
        <v>167427</v>
      </c>
      <c r="AH126" s="915">
        <v>169230</v>
      </c>
      <c r="AI126" s="629">
        <v>176294</v>
      </c>
      <c r="AJ126" s="1631">
        <v>175249</v>
      </c>
      <c r="AK126" s="1631">
        <v>164485</v>
      </c>
      <c r="AL126" s="1424">
        <v>165878</v>
      </c>
    </row>
    <row r="127" spans="1:38" x14ac:dyDescent="0.25">
      <c r="A127" s="369" t="s">
        <v>264</v>
      </c>
      <c r="D127" s="464">
        <v>0.10860533120908807</v>
      </c>
      <c r="E127" s="465">
        <v>0.10641206375217382</v>
      </c>
      <c r="F127" s="465">
        <v>0.11466279980893911</v>
      </c>
      <c r="G127" s="465">
        <v>0.11758377928142934</v>
      </c>
      <c r="H127" s="465">
        <v>0.11259360124640222</v>
      </c>
      <c r="I127" s="465">
        <v>0.11367927485747498</v>
      </c>
      <c r="J127" s="465">
        <v>0.10639459370059251</v>
      </c>
      <c r="K127" s="465">
        <v>0.11202655946373949</v>
      </c>
      <c r="L127" s="465">
        <v>0.11571808952754851</v>
      </c>
      <c r="M127" s="465">
        <v>0.11429957969100746</v>
      </c>
      <c r="N127" s="466">
        <v>0.12023872863352066</v>
      </c>
      <c r="O127" s="466">
        <v>0.12870004950966066</v>
      </c>
      <c r="P127" s="466">
        <v>0.13600000000000001</v>
      </c>
      <c r="Q127" s="1183">
        <v>0.13722953804582269</v>
      </c>
      <c r="R127" s="1626">
        <v>0.13349245196423984</v>
      </c>
      <c r="S127" s="1626">
        <v>0.12957719229379919</v>
      </c>
      <c r="T127" s="2246">
        <v>0.12507315600745675</v>
      </c>
      <c r="V127" s="462">
        <v>182298</v>
      </c>
      <c r="W127" s="463">
        <v>180189</v>
      </c>
      <c r="X127" s="463">
        <v>198599</v>
      </c>
      <c r="Y127" s="463">
        <v>203585</v>
      </c>
      <c r="Z127" s="463">
        <v>196053</v>
      </c>
      <c r="AA127" s="463">
        <v>195954</v>
      </c>
      <c r="AB127" s="463">
        <v>183982</v>
      </c>
      <c r="AC127" s="463">
        <v>194397</v>
      </c>
      <c r="AD127" s="463">
        <v>199783</v>
      </c>
      <c r="AE127" s="463">
        <v>199568</v>
      </c>
      <c r="AF127" s="914">
        <v>209955</v>
      </c>
      <c r="AG127" s="463">
        <v>225896</v>
      </c>
      <c r="AH127" s="915">
        <v>240717</v>
      </c>
      <c r="AI127" s="629">
        <v>243363</v>
      </c>
      <c r="AJ127" s="1631">
        <v>237926</v>
      </c>
      <c r="AK127" s="1631">
        <v>231733</v>
      </c>
      <c r="AL127" s="1424">
        <v>223754</v>
      </c>
    </row>
    <row r="128" spans="1:38" x14ac:dyDescent="0.25">
      <c r="A128" s="369" t="s">
        <v>267</v>
      </c>
      <c r="D128" s="464">
        <v>5.3819970982672265E-2</v>
      </c>
      <c r="E128" s="465">
        <v>5.4187387148898883E-2</v>
      </c>
      <c r="F128" s="465">
        <v>5.9488325891117154E-2</v>
      </c>
      <c r="G128" s="465">
        <v>6.5356715447867419E-2</v>
      </c>
      <c r="H128" s="465">
        <v>6.1376226711921139E-2</v>
      </c>
      <c r="I128" s="465">
        <v>6.0904658056330392E-2</v>
      </c>
      <c r="J128" s="465">
        <v>6.0991227226495109E-2</v>
      </c>
      <c r="K128" s="465">
        <v>5.9939990840376267E-2</v>
      </c>
      <c r="L128" s="465">
        <v>6.2179277100436824E-2</v>
      </c>
      <c r="M128" s="465">
        <v>6.816119052357604E-2</v>
      </c>
      <c r="N128" s="466">
        <v>7.2466232957629648E-2</v>
      </c>
      <c r="O128" s="466">
        <v>7.6399225436204074E-2</v>
      </c>
      <c r="P128" s="466">
        <v>7.4999999999999997E-2</v>
      </c>
      <c r="Q128" s="1183">
        <v>7.4164709719101329E-2</v>
      </c>
      <c r="R128" s="1626">
        <v>7.802179923184123E-2</v>
      </c>
      <c r="S128" s="1626">
        <v>7.3019746357413137E-2</v>
      </c>
      <c r="T128" s="2246">
        <v>7.2471430241235757E-2</v>
      </c>
      <c r="V128" s="462">
        <v>138724</v>
      </c>
      <c r="W128" s="463">
        <v>141301</v>
      </c>
      <c r="X128" s="463">
        <v>159450</v>
      </c>
      <c r="Y128" s="463">
        <v>179066</v>
      </c>
      <c r="Z128" s="463">
        <v>172575</v>
      </c>
      <c r="AA128" s="463">
        <v>169315</v>
      </c>
      <c r="AB128" s="463">
        <v>173120</v>
      </c>
      <c r="AC128" s="463">
        <v>171582</v>
      </c>
      <c r="AD128" s="463">
        <v>179865</v>
      </c>
      <c r="AE128" s="463">
        <v>202606</v>
      </c>
      <c r="AF128" s="914">
        <v>222814</v>
      </c>
      <c r="AG128" s="463">
        <v>238776</v>
      </c>
      <c r="AH128" s="915">
        <v>240500</v>
      </c>
      <c r="AI128" s="629">
        <v>240148</v>
      </c>
      <c r="AJ128" s="1631">
        <v>256078</v>
      </c>
      <c r="AK128" s="1631">
        <v>242082</v>
      </c>
      <c r="AL128" s="1424">
        <v>241806</v>
      </c>
    </row>
    <row r="129" spans="1:38" x14ac:dyDescent="0.25">
      <c r="A129" s="369" t="s">
        <v>265</v>
      </c>
      <c r="D129" s="464">
        <v>0.1060107079665315</v>
      </c>
      <c r="E129" s="465">
        <v>0.1065999802563027</v>
      </c>
      <c r="F129" s="465">
        <v>0.11841703973751314</v>
      </c>
      <c r="G129" s="465">
        <v>0.12117460527154147</v>
      </c>
      <c r="H129" s="465">
        <v>0.11757933953315472</v>
      </c>
      <c r="I129" s="465">
        <v>0.12749971521740955</v>
      </c>
      <c r="J129" s="465">
        <v>0.12641918305043012</v>
      </c>
      <c r="K129" s="465">
        <v>0.13010546173078325</v>
      </c>
      <c r="L129" s="465">
        <v>0.13219259468761307</v>
      </c>
      <c r="M129" s="465">
        <v>0.142187426757521</v>
      </c>
      <c r="N129" s="466">
        <v>0.15006267141167387</v>
      </c>
      <c r="O129" s="466">
        <v>0.15103930395133242</v>
      </c>
      <c r="P129" s="466">
        <v>0.152</v>
      </c>
      <c r="Q129" s="1183">
        <v>0.15284502014599163</v>
      </c>
      <c r="R129" s="1626">
        <v>0.1537987260694452</v>
      </c>
      <c r="S129" s="1626">
        <v>0.148271200765978</v>
      </c>
      <c r="T129" s="2246">
        <v>0.14148643710421094</v>
      </c>
      <c r="V129" s="462">
        <v>112685</v>
      </c>
      <c r="W129" s="463">
        <v>113372</v>
      </c>
      <c r="X129" s="463">
        <v>126853</v>
      </c>
      <c r="Y129" s="463">
        <v>129807</v>
      </c>
      <c r="Z129" s="463">
        <v>127543</v>
      </c>
      <c r="AA129" s="463">
        <v>136375</v>
      </c>
      <c r="AB129" s="463">
        <v>136569</v>
      </c>
      <c r="AC129" s="463">
        <v>140972</v>
      </c>
      <c r="AD129" s="463">
        <v>143958</v>
      </c>
      <c r="AE129" s="463">
        <v>155087</v>
      </c>
      <c r="AF129" s="914">
        <v>167379</v>
      </c>
      <c r="AG129" s="463">
        <v>168805</v>
      </c>
      <c r="AH129" s="915">
        <v>170512</v>
      </c>
      <c r="AI129" s="629">
        <v>171615</v>
      </c>
      <c r="AJ129" s="1631">
        <v>173365</v>
      </c>
      <c r="AK129" s="1631">
        <v>167710</v>
      </c>
      <c r="AL129" s="1424">
        <v>159905</v>
      </c>
    </row>
    <row r="130" spans="1:38" x14ac:dyDescent="0.25">
      <c r="A130" s="369" t="s">
        <v>268</v>
      </c>
      <c r="D130" s="464">
        <v>0.14487555201488991</v>
      </c>
      <c r="E130" s="465">
        <v>0.14306900004758574</v>
      </c>
      <c r="F130" s="465">
        <v>0.15556163257278338</v>
      </c>
      <c r="G130" s="465">
        <v>0.15499536649748308</v>
      </c>
      <c r="H130" s="465">
        <v>0.15195219671506743</v>
      </c>
      <c r="I130" s="465">
        <v>0.18084455028541141</v>
      </c>
      <c r="J130" s="465">
        <v>0.17204522870846353</v>
      </c>
      <c r="K130" s="465">
        <v>0.17744474990181727</v>
      </c>
      <c r="L130" s="465">
        <v>0.18285150683367846</v>
      </c>
      <c r="M130" s="465">
        <v>0.18067404001948281</v>
      </c>
      <c r="N130" s="466">
        <v>0.18929818575976814</v>
      </c>
      <c r="O130" s="466">
        <v>0.19649936328107848</v>
      </c>
      <c r="P130" s="466">
        <v>0.20300000000000001</v>
      </c>
      <c r="Q130" s="1183">
        <v>0.19352424524838319</v>
      </c>
      <c r="R130" s="1626">
        <v>0.20012831009928084</v>
      </c>
      <c r="S130" s="1626">
        <v>0.19270500371285146</v>
      </c>
      <c r="T130" s="2246">
        <v>0.1899159603582535</v>
      </c>
      <c r="V130" s="462">
        <v>81357</v>
      </c>
      <c r="W130" s="463">
        <v>80233</v>
      </c>
      <c r="X130" s="463">
        <v>87691</v>
      </c>
      <c r="Y130" s="463">
        <v>86973</v>
      </c>
      <c r="Z130" s="463">
        <v>85522</v>
      </c>
      <c r="AA130" s="463">
        <v>100339</v>
      </c>
      <c r="AB130" s="463">
        <v>95919</v>
      </c>
      <c r="AC130" s="463">
        <v>99401</v>
      </c>
      <c r="AD130" s="463">
        <v>102521</v>
      </c>
      <c r="AE130" s="463">
        <v>101448</v>
      </c>
      <c r="AF130" s="914">
        <v>108176</v>
      </c>
      <c r="AG130" s="463">
        <v>111872</v>
      </c>
      <c r="AH130" s="915">
        <v>115425</v>
      </c>
      <c r="AI130" s="629">
        <v>109640</v>
      </c>
      <c r="AJ130" s="1631">
        <v>112924</v>
      </c>
      <c r="AK130" s="1631">
        <v>108216</v>
      </c>
      <c r="AL130" s="1424">
        <v>105896</v>
      </c>
    </row>
    <row r="132" spans="1:38" x14ac:dyDescent="0.25">
      <c r="A132" s="917" t="s">
        <v>1210</v>
      </c>
    </row>
    <row r="134" spans="1:38" s="389" customFormat="1" x14ac:dyDescent="0.25">
      <c r="A134" s="389" t="s">
        <v>248</v>
      </c>
    </row>
    <row r="135" spans="1:38" s="389" customFormat="1" x14ac:dyDescent="0.25">
      <c r="A135" s="390" t="s">
        <v>249</v>
      </c>
      <c r="B135" s="391" t="s">
        <v>250</v>
      </c>
      <c r="C135" s="391"/>
    </row>
  </sheetData>
  <autoFilter ref="A3:C3"/>
  <sortState ref="A5:AL124">
    <sortCondition ref="A5:A124"/>
  </sortState>
  <mergeCells count="2">
    <mergeCell ref="D2:N2"/>
    <mergeCell ref="V2:AF2"/>
  </mergeCells>
  <hyperlinks>
    <hyperlink ref="B135" r:id="rId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C137"/>
  <sheetViews>
    <sheetView workbookViewId="0">
      <pane ySplit="5" topLeftCell="A6" activePane="bottomLeft" state="frozen"/>
      <selection pane="bottomLeft" activeCell="A6" sqref="A6:XFD125"/>
    </sheetView>
  </sheetViews>
  <sheetFormatPr defaultRowHeight="15.75" x14ac:dyDescent="0.25"/>
  <cols>
    <col min="1" max="1" width="11.125" style="369" customWidth="1"/>
    <col min="2" max="2" width="33.125" style="369" customWidth="1"/>
    <col min="3" max="3" width="16.75" style="369" customWidth="1"/>
    <col min="4" max="20" width="9.875" style="369" customWidth="1"/>
    <col min="21" max="21" width="4.25" style="369" customWidth="1"/>
    <col min="22" max="38" width="9.875" style="265" customWidth="1"/>
    <col min="39" max="39" width="2.75" style="265" customWidth="1"/>
    <col min="40" max="54" width="9" style="265"/>
    <col min="55" max="55" width="4.5" style="265" customWidth="1"/>
    <col min="56" max="16384" width="9" style="265"/>
  </cols>
  <sheetData>
    <row r="1" spans="1:55" x14ac:dyDescent="0.25">
      <c r="A1" s="190" t="s">
        <v>1318</v>
      </c>
    </row>
    <row r="2" spans="1:55" x14ac:dyDescent="0.25">
      <c r="A2" s="190"/>
    </row>
    <row r="3" spans="1:55" x14ac:dyDescent="0.25">
      <c r="D3" s="2713" t="s">
        <v>751</v>
      </c>
      <c r="E3" s="2713"/>
      <c r="F3" s="2713"/>
      <c r="G3" s="2713"/>
      <c r="H3" s="2713"/>
      <c r="I3" s="2713"/>
      <c r="J3" s="2713"/>
      <c r="K3" s="2713"/>
      <c r="L3" s="2713"/>
      <c r="M3" s="2713"/>
      <c r="N3" s="2713"/>
      <c r="O3" s="2713"/>
      <c r="P3" s="2713"/>
      <c r="Q3" s="2713"/>
      <c r="R3" s="2713"/>
      <c r="S3" s="1619"/>
      <c r="T3" s="2230"/>
      <c r="U3" s="1422"/>
      <c r="V3" s="2713" t="s">
        <v>750</v>
      </c>
      <c r="W3" s="2713"/>
      <c r="X3" s="2713"/>
      <c r="Y3" s="2713"/>
      <c r="Z3" s="2713"/>
      <c r="AA3" s="2713"/>
      <c r="AB3" s="2713"/>
      <c r="AC3" s="2713"/>
      <c r="AD3" s="2713"/>
      <c r="AE3" s="2713"/>
      <c r="AF3" s="2713"/>
      <c r="AG3" s="2713"/>
      <c r="AH3" s="2713"/>
      <c r="AI3" s="2713"/>
      <c r="AJ3" s="2713"/>
      <c r="AK3" s="1619"/>
      <c r="AL3" s="2230"/>
      <c r="BC3" s="304"/>
    </row>
    <row r="4" spans="1:55" x14ac:dyDescent="0.25">
      <c r="A4" s="485" t="s">
        <v>4</v>
      </c>
      <c r="B4" s="486" t="s">
        <v>5</v>
      </c>
      <c r="C4" s="2247" t="s">
        <v>251</v>
      </c>
      <c r="D4" s="370">
        <v>2000</v>
      </c>
      <c r="E4" s="371">
        <v>2001</v>
      </c>
      <c r="F4" s="371">
        <v>2002</v>
      </c>
      <c r="G4" s="371">
        <v>2003</v>
      </c>
      <c r="H4" s="371">
        <v>2004</v>
      </c>
      <c r="I4" s="371">
        <v>2005</v>
      </c>
      <c r="J4" s="371">
        <v>2006</v>
      </c>
      <c r="K4" s="371">
        <v>2007</v>
      </c>
      <c r="L4" s="371">
        <v>2008</v>
      </c>
      <c r="M4" s="371">
        <v>2009</v>
      </c>
      <c r="N4" s="372">
        <v>2010</v>
      </c>
      <c r="O4" s="372">
        <v>2011</v>
      </c>
      <c r="P4" s="1190">
        <v>2012</v>
      </c>
      <c r="Q4" s="1435">
        <v>2013</v>
      </c>
      <c r="R4" s="1633">
        <v>2014</v>
      </c>
      <c r="S4" s="1633">
        <v>2015</v>
      </c>
      <c r="T4" s="1638">
        <v>2016</v>
      </c>
      <c r="U4" s="1635"/>
      <c r="V4" s="371">
        <v>2000</v>
      </c>
      <c r="W4" s="371">
        <v>2001</v>
      </c>
      <c r="X4" s="371">
        <v>2002</v>
      </c>
      <c r="Y4" s="371">
        <v>2003</v>
      </c>
      <c r="Z4" s="371">
        <v>2004</v>
      </c>
      <c r="AA4" s="371">
        <v>2005</v>
      </c>
      <c r="AB4" s="371">
        <v>2006</v>
      </c>
      <c r="AC4" s="371">
        <v>2007</v>
      </c>
      <c r="AD4" s="371">
        <v>2008</v>
      </c>
      <c r="AE4" s="371">
        <v>2009</v>
      </c>
      <c r="AF4" s="371">
        <v>2010</v>
      </c>
      <c r="AG4" s="371">
        <v>2011</v>
      </c>
      <c r="AH4" s="371">
        <v>2012</v>
      </c>
      <c r="AI4" s="371">
        <v>2013</v>
      </c>
      <c r="AJ4" s="1640">
        <v>2014</v>
      </c>
      <c r="AK4" s="1640">
        <v>2015</v>
      </c>
      <c r="AL4" s="1643">
        <v>2016</v>
      </c>
      <c r="BC4" s="64"/>
    </row>
    <row r="5" spans="1:55" x14ac:dyDescent="0.25">
      <c r="A5" s="374" t="s">
        <v>8</v>
      </c>
      <c r="B5" s="375" t="s">
        <v>9</v>
      </c>
      <c r="C5" s="1426"/>
      <c r="D5" s="376">
        <v>0.12155565230837527</v>
      </c>
      <c r="E5" s="377">
        <v>0.112</v>
      </c>
      <c r="F5" s="377">
        <v>0.12495566815144066</v>
      </c>
      <c r="G5" s="377">
        <v>0.13600000000000001</v>
      </c>
      <c r="H5" s="377">
        <v>0.12190485917712804</v>
      </c>
      <c r="I5" s="377">
        <v>0.13300000000000001</v>
      </c>
      <c r="J5" s="377">
        <v>0.12322064717116948</v>
      </c>
      <c r="K5" s="377">
        <v>0.12930216566469369</v>
      </c>
      <c r="L5" s="377">
        <v>0.13580226821250407</v>
      </c>
      <c r="M5" s="377">
        <v>0.14000000000000001</v>
      </c>
      <c r="N5" s="378">
        <v>0.14555376556266278</v>
      </c>
      <c r="O5" s="916">
        <v>0.156</v>
      </c>
      <c r="P5" s="1191">
        <v>0.155</v>
      </c>
      <c r="Q5" s="1191">
        <v>0.15745553871615489</v>
      </c>
      <c r="R5" s="1634">
        <v>0.15872305329925826</v>
      </c>
      <c r="S5" s="1634">
        <v>0.14973262322463776</v>
      </c>
      <c r="T5" s="1639">
        <v>0.14299999999999999</v>
      </c>
      <c r="U5" s="1636"/>
      <c r="V5" s="1431">
        <v>211862</v>
      </c>
      <c r="W5" s="1431">
        <v>195437</v>
      </c>
      <c r="X5" s="1431">
        <v>224014</v>
      </c>
      <c r="Y5" s="1431">
        <v>243635</v>
      </c>
      <c r="Z5" s="1431">
        <v>221675</v>
      </c>
      <c r="AA5" s="1431">
        <v>237858</v>
      </c>
      <c r="AB5" s="1431">
        <v>219261</v>
      </c>
      <c r="AC5" s="1431">
        <v>232569</v>
      </c>
      <c r="AD5" s="1431">
        <v>244210</v>
      </c>
      <c r="AE5" s="1431">
        <v>255156</v>
      </c>
      <c r="AF5" s="1431">
        <v>266606</v>
      </c>
      <c r="AG5" s="1432">
        <v>284561</v>
      </c>
      <c r="AH5" s="1431">
        <v>283035</v>
      </c>
      <c r="AI5" s="1433">
        <v>289032</v>
      </c>
      <c r="AJ5" s="1641">
        <v>292525</v>
      </c>
      <c r="AK5" s="1641">
        <v>275747</v>
      </c>
      <c r="AL5" s="1644">
        <v>262642</v>
      </c>
    </row>
    <row r="6" spans="1:55" x14ac:dyDescent="0.25">
      <c r="A6" s="379" t="s">
        <v>10</v>
      </c>
      <c r="B6" s="380" t="s">
        <v>450</v>
      </c>
      <c r="C6" s="387" t="s">
        <v>264</v>
      </c>
      <c r="D6" s="384">
        <v>0.255</v>
      </c>
      <c r="E6" s="385">
        <v>0.22199999999999998</v>
      </c>
      <c r="F6" s="385">
        <v>0.23600000000000002</v>
      </c>
      <c r="G6" s="385">
        <v>0.24399999999999999</v>
      </c>
      <c r="H6" s="385">
        <v>0.2</v>
      </c>
      <c r="I6" s="385">
        <v>0.26399999999999996</v>
      </c>
      <c r="J6" s="385">
        <v>0.23199999999999998</v>
      </c>
      <c r="K6" s="385">
        <v>0.25100000000000006</v>
      </c>
      <c r="L6" s="385">
        <v>0.29699999999999999</v>
      </c>
      <c r="M6" s="385">
        <v>0.27400000000000002</v>
      </c>
      <c r="N6" s="386">
        <v>0.28699999999999998</v>
      </c>
      <c r="O6" s="386">
        <v>0.30499999999999999</v>
      </c>
      <c r="P6" s="386">
        <v>0.314</v>
      </c>
      <c r="Q6" s="1436">
        <v>0.29439930354033661</v>
      </c>
      <c r="R6" s="1632">
        <v>0.30916311222238563</v>
      </c>
      <c r="S6" s="1437">
        <v>0.3097292472478429</v>
      </c>
      <c r="T6" s="2248">
        <v>0.31782713085234093</v>
      </c>
      <c r="U6" s="1189"/>
      <c r="V6" s="1434">
        <v>2334</v>
      </c>
      <c r="W6" s="1434">
        <v>2014</v>
      </c>
      <c r="X6" s="1434">
        <v>2153</v>
      </c>
      <c r="Y6" s="1434">
        <v>2232</v>
      </c>
      <c r="Z6" s="1434">
        <v>1811</v>
      </c>
      <c r="AA6" s="1434">
        <v>2347</v>
      </c>
      <c r="AB6" s="1434">
        <v>2041</v>
      </c>
      <c r="AC6" s="1434">
        <v>2156</v>
      </c>
      <c r="AD6" s="1434">
        <v>2507</v>
      </c>
      <c r="AE6" s="1434">
        <v>2272</v>
      </c>
      <c r="AF6" s="1434">
        <v>1956</v>
      </c>
      <c r="AG6" s="1434">
        <v>2111</v>
      </c>
      <c r="AH6" s="1350">
        <v>2184</v>
      </c>
      <c r="AI6" s="1350">
        <v>2029</v>
      </c>
      <c r="AJ6" s="1642">
        <v>2102</v>
      </c>
      <c r="AK6" s="1346">
        <v>2082</v>
      </c>
      <c r="AL6" s="2249">
        <v>2118</v>
      </c>
    </row>
    <row r="7" spans="1:55" x14ac:dyDescent="0.25">
      <c r="A7" s="379" t="s">
        <v>12</v>
      </c>
      <c r="B7" s="380" t="s">
        <v>451</v>
      </c>
      <c r="C7" s="387" t="s">
        <v>265</v>
      </c>
      <c r="D7" s="384">
        <v>0.08</v>
      </c>
      <c r="E7" s="385">
        <v>7.3000000000000009E-2</v>
      </c>
      <c r="F7" s="385">
        <v>0.08</v>
      </c>
      <c r="G7" s="385">
        <v>9.0999999999999984E-2</v>
      </c>
      <c r="H7" s="385">
        <v>8.199999999999999E-2</v>
      </c>
      <c r="I7" s="385">
        <v>7.9000000000000001E-2</v>
      </c>
      <c r="J7" s="385">
        <v>7.3999999999999996E-2</v>
      </c>
      <c r="K7" s="385">
        <v>9.1999999999999998E-2</v>
      </c>
      <c r="L7" s="385">
        <v>8.3000000000000004E-2</v>
      </c>
      <c r="M7" s="385">
        <v>9.0999999999999984E-2</v>
      </c>
      <c r="N7" s="386">
        <v>0.1</v>
      </c>
      <c r="O7" s="386">
        <v>0.106</v>
      </c>
      <c r="P7" s="386">
        <v>0.11</v>
      </c>
      <c r="Q7" s="1437">
        <v>0.11561847296356463</v>
      </c>
      <c r="R7" s="1632">
        <v>0.10301495972382048</v>
      </c>
      <c r="S7" s="1437">
        <v>9.6280188766540209E-2</v>
      </c>
      <c r="T7" s="2248">
        <v>9.3825778772617052E-2</v>
      </c>
      <c r="U7" s="1189"/>
      <c r="V7" s="1434">
        <v>1584</v>
      </c>
      <c r="W7" s="1434">
        <v>1444</v>
      </c>
      <c r="X7" s="1434">
        <v>1613</v>
      </c>
      <c r="Y7" s="1434">
        <v>1812</v>
      </c>
      <c r="Z7" s="1434">
        <v>1646</v>
      </c>
      <c r="AA7" s="1434">
        <v>1561</v>
      </c>
      <c r="AB7" s="1434">
        <v>1446</v>
      </c>
      <c r="AC7" s="1434">
        <v>1831</v>
      </c>
      <c r="AD7" s="1434">
        <v>1642</v>
      </c>
      <c r="AE7" s="1434">
        <v>1836</v>
      </c>
      <c r="AF7" s="1434">
        <v>2107</v>
      </c>
      <c r="AG7" s="1434">
        <v>2249</v>
      </c>
      <c r="AH7" s="1350">
        <v>2350</v>
      </c>
      <c r="AI7" s="1350">
        <v>2491</v>
      </c>
      <c r="AJ7" s="1642">
        <v>2238</v>
      </c>
      <c r="AK7" s="1346">
        <v>2081</v>
      </c>
      <c r="AL7" s="2249">
        <v>2012</v>
      </c>
    </row>
    <row r="8" spans="1:55" x14ac:dyDescent="0.25">
      <c r="A8" s="379" t="s">
        <v>16</v>
      </c>
      <c r="B8" s="380" t="s">
        <v>739</v>
      </c>
      <c r="C8" s="387" t="s">
        <v>265</v>
      </c>
      <c r="D8" s="384">
        <v>0.15374659685863876</v>
      </c>
      <c r="E8" s="385">
        <v>0.13747924528301886</v>
      </c>
      <c r="F8" s="385">
        <v>0.15099499374217773</v>
      </c>
      <c r="G8" s="385">
        <v>0.18230162900683131</v>
      </c>
      <c r="H8" s="385">
        <v>0.16216525696558184</v>
      </c>
      <c r="I8" s="385">
        <v>0.18170718813046882</v>
      </c>
      <c r="J8" s="385">
        <v>0.17695105515380732</v>
      </c>
      <c r="K8" s="385">
        <v>0.18159462861938733</v>
      </c>
      <c r="L8" s="385">
        <v>0.1933776793706129</v>
      </c>
      <c r="M8" s="385">
        <v>0.20131421510384487</v>
      </c>
      <c r="N8" s="386">
        <v>0.21467522545308657</v>
      </c>
      <c r="O8" s="386">
        <v>0.21782397169394074</v>
      </c>
      <c r="P8" s="386">
        <v>0.216</v>
      </c>
      <c r="Q8" s="1437">
        <v>0.22026128810451523</v>
      </c>
      <c r="R8" s="1632">
        <v>0.23280548333727252</v>
      </c>
      <c r="S8" s="1437">
        <v>0.25324834518264283</v>
      </c>
      <c r="T8" s="2248">
        <v>0.22964669738863286</v>
      </c>
      <c r="U8" s="1189"/>
      <c r="V8" s="1434">
        <v>781</v>
      </c>
      <c r="W8" s="1434">
        <v>690</v>
      </c>
      <c r="X8" s="1434">
        <v>766</v>
      </c>
      <c r="Y8" s="1434">
        <v>890</v>
      </c>
      <c r="Z8" s="1434">
        <v>790</v>
      </c>
      <c r="AA8" s="1434">
        <v>875</v>
      </c>
      <c r="AB8" s="1434">
        <v>832</v>
      </c>
      <c r="AC8" s="1434">
        <v>843</v>
      </c>
      <c r="AD8" s="1434">
        <v>882</v>
      </c>
      <c r="AE8" s="1434">
        <v>922</v>
      </c>
      <c r="AF8" s="1434">
        <v>989</v>
      </c>
      <c r="AG8" s="1434">
        <v>985</v>
      </c>
      <c r="AH8" s="1350">
        <v>962</v>
      </c>
      <c r="AI8" s="1350">
        <v>961</v>
      </c>
      <c r="AJ8" s="1642">
        <v>985</v>
      </c>
      <c r="AK8" s="1346">
        <v>1033</v>
      </c>
      <c r="AL8" s="2249">
        <v>897</v>
      </c>
    </row>
    <row r="9" spans="1:55" x14ac:dyDescent="0.25">
      <c r="A9" s="379" t="s">
        <v>18</v>
      </c>
      <c r="B9" s="380" t="s">
        <v>452</v>
      </c>
      <c r="C9" s="387" t="s">
        <v>266</v>
      </c>
      <c r="D9" s="384">
        <v>0.12400000000000001</v>
      </c>
      <c r="E9" s="385">
        <v>0.113</v>
      </c>
      <c r="F9" s="385">
        <v>0.129</v>
      </c>
      <c r="G9" s="385">
        <v>0.14199999999999999</v>
      </c>
      <c r="H9" s="385">
        <v>0.124</v>
      </c>
      <c r="I9" s="385">
        <v>0.13400000000000001</v>
      </c>
      <c r="J9" s="385">
        <v>0.125</v>
      </c>
      <c r="K9" s="385">
        <v>0.125</v>
      </c>
      <c r="L9" s="385">
        <v>0.13100000000000001</v>
      </c>
      <c r="M9" s="385">
        <v>0.16499999999999998</v>
      </c>
      <c r="N9" s="386">
        <v>0.16800000000000001</v>
      </c>
      <c r="O9" s="386">
        <v>0.184</v>
      </c>
      <c r="P9" s="386">
        <v>0.19</v>
      </c>
      <c r="Q9" s="1437">
        <v>0.18205904617713853</v>
      </c>
      <c r="R9" s="1632">
        <v>0.18928035982008995</v>
      </c>
      <c r="S9" s="1437">
        <v>0.16991017964071856</v>
      </c>
      <c r="T9" s="2248">
        <v>0.15471273000375516</v>
      </c>
      <c r="U9" s="1189"/>
      <c r="V9" s="1434">
        <v>352</v>
      </c>
      <c r="W9" s="1434">
        <v>315</v>
      </c>
      <c r="X9" s="1434">
        <v>356</v>
      </c>
      <c r="Y9" s="1434">
        <v>394</v>
      </c>
      <c r="Z9" s="1434">
        <v>349</v>
      </c>
      <c r="AA9" s="1434">
        <v>372</v>
      </c>
      <c r="AB9" s="1434">
        <v>352</v>
      </c>
      <c r="AC9" s="1434">
        <v>358</v>
      </c>
      <c r="AD9" s="1434">
        <v>373</v>
      </c>
      <c r="AE9" s="1434">
        <v>475</v>
      </c>
      <c r="AF9" s="1434">
        <v>467</v>
      </c>
      <c r="AG9" s="1434">
        <v>505</v>
      </c>
      <c r="AH9" s="1350">
        <v>516</v>
      </c>
      <c r="AI9" s="1350">
        <v>481</v>
      </c>
      <c r="AJ9" s="1642">
        <v>505</v>
      </c>
      <c r="AK9" s="1346">
        <v>454</v>
      </c>
      <c r="AL9" s="2249">
        <v>412</v>
      </c>
    </row>
    <row r="10" spans="1:55" x14ac:dyDescent="0.25">
      <c r="A10" s="379" t="s">
        <v>20</v>
      </c>
      <c r="B10" s="380" t="s">
        <v>453</v>
      </c>
      <c r="C10" s="387" t="s">
        <v>265</v>
      </c>
      <c r="D10" s="384">
        <v>0.14300000000000002</v>
      </c>
      <c r="E10" s="385">
        <v>0.129</v>
      </c>
      <c r="F10" s="385">
        <v>0.152</v>
      </c>
      <c r="G10" s="385">
        <v>0.17199999999999999</v>
      </c>
      <c r="H10" s="385">
        <v>0.155</v>
      </c>
      <c r="I10" s="385">
        <v>0.16300000000000001</v>
      </c>
      <c r="J10" s="385">
        <v>0.16</v>
      </c>
      <c r="K10" s="385">
        <v>0.161</v>
      </c>
      <c r="L10" s="385">
        <v>0.17399999999999999</v>
      </c>
      <c r="M10" s="385">
        <v>0.17699999999999999</v>
      </c>
      <c r="N10" s="386">
        <v>0.18899999999999997</v>
      </c>
      <c r="O10" s="386">
        <v>0.20199999999999999</v>
      </c>
      <c r="P10" s="386">
        <v>0.20300000000000001</v>
      </c>
      <c r="Q10" s="1437">
        <v>0.20759453946336107</v>
      </c>
      <c r="R10" s="1632">
        <v>0.2047923322683706</v>
      </c>
      <c r="S10" s="1437">
        <v>0.20623193061355605</v>
      </c>
      <c r="T10" s="2248">
        <v>0.20932120818447547</v>
      </c>
      <c r="U10" s="1189"/>
      <c r="V10" s="1434">
        <v>1046</v>
      </c>
      <c r="W10" s="1434">
        <v>930</v>
      </c>
      <c r="X10" s="1434">
        <v>1101</v>
      </c>
      <c r="Y10" s="1434">
        <v>1219</v>
      </c>
      <c r="Z10" s="1434">
        <v>1086</v>
      </c>
      <c r="AA10" s="1434">
        <v>1104</v>
      </c>
      <c r="AB10" s="1434">
        <v>1068</v>
      </c>
      <c r="AC10" s="1434">
        <v>1072</v>
      </c>
      <c r="AD10" s="1434">
        <v>1131</v>
      </c>
      <c r="AE10" s="1434">
        <v>1184</v>
      </c>
      <c r="AF10" s="1434">
        <v>1291</v>
      </c>
      <c r="AG10" s="1434">
        <v>1333</v>
      </c>
      <c r="AH10" s="1350">
        <v>1333</v>
      </c>
      <c r="AI10" s="1350">
        <v>1323</v>
      </c>
      <c r="AJ10" s="1642">
        <v>1282</v>
      </c>
      <c r="AK10" s="1346">
        <v>1284</v>
      </c>
      <c r="AL10" s="2249">
        <v>1289</v>
      </c>
    </row>
    <row r="11" spans="1:55" x14ac:dyDescent="0.25">
      <c r="A11" s="379" t="s">
        <v>22</v>
      </c>
      <c r="B11" s="380" t="s">
        <v>454</v>
      </c>
      <c r="C11" s="387" t="s">
        <v>265</v>
      </c>
      <c r="D11" s="384">
        <v>0.157</v>
      </c>
      <c r="E11" s="385">
        <v>0.15</v>
      </c>
      <c r="F11" s="385">
        <v>0.17100000000000001</v>
      </c>
      <c r="G11" s="385">
        <v>0.189</v>
      </c>
      <c r="H11" s="385">
        <v>0.161</v>
      </c>
      <c r="I11" s="385">
        <v>0.17599999999999999</v>
      </c>
      <c r="J11" s="385">
        <v>0.17899999999999999</v>
      </c>
      <c r="K11" s="385">
        <v>0.18</v>
      </c>
      <c r="L11" s="385">
        <v>0.2</v>
      </c>
      <c r="M11" s="385">
        <v>0.219</v>
      </c>
      <c r="N11" s="386">
        <v>0.21800000000000003</v>
      </c>
      <c r="O11" s="386">
        <v>0.223</v>
      </c>
      <c r="P11" s="386">
        <v>0.24</v>
      </c>
      <c r="Q11" s="1437">
        <v>0.24047546479731788</v>
      </c>
      <c r="R11" s="1632">
        <v>0.21868365180467092</v>
      </c>
      <c r="S11" s="1437">
        <v>0.20921770770163736</v>
      </c>
      <c r="T11" s="2248">
        <v>0.19577677224736048</v>
      </c>
      <c r="U11" s="1189"/>
      <c r="V11" s="1434">
        <v>520</v>
      </c>
      <c r="W11" s="1434">
        <v>482</v>
      </c>
      <c r="X11" s="1434">
        <v>548</v>
      </c>
      <c r="Y11" s="1434">
        <v>598</v>
      </c>
      <c r="Z11" s="1434">
        <v>510</v>
      </c>
      <c r="AA11" s="1434">
        <v>553</v>
      </c>
      <c r="AB11" s="1434">
        <v>551</v>
      </c>
      <c r="AC11" s="1434">
        <v>557</v>
      </c>
      <c r="AD11" s="1434">
        <v>629</v>
      </c>
      <c r="AE11" s="1434">
        <v>689</v>
      </c>
      <c r="AF11" s="1434">
        <v>717</v>
      </c>
      <c r="AG11" s="1434">
        <v>725</v>
      </c>
      <c r="AH11" s="1350">
        <v>783</v>
      </c>
      <c r="AI11" s="1350">
        <v>789</v>
      </c>
      <c r="AJ11" s="1642">
        <v>721</v>
      </c>
      <c r="AK11" s="1346">
        <v>690</v>
      </c>
      <c r="AL11" s="2249">
        <v>649</v>
      </c>
    </row>
    <row r="12" spans="1:55" x14ac:dyDescent="0.25">
      <c r="A12" s="379" t="s">
        <v>24</v>
      </c>
      <c r="B12" s="380" t="s">
        <v>455</v>
      </c>
      <c r="C12" s="387" t="s">
        <v>267</v>
      </c>
      <c r="D12" s="384">
        <v>0.1</v>
      </c>
      <c r="E12" s="385">
        <v>8.8999999999999996E-2</v>
      </c>
      <c r="F12" s="385">
        <v>9.5000000000000001E-2</v>
      </c>
      <c r="G12" s="385">
        <v>9.5000000000000001E-2</v>
      </c>
      <c r="H12" s="385">
        <v>9.0999999999999984E-2</v>
      </c>
      <c r="I12" s="385">
        <v>9.5999999999999988E-2</v>
      </c>
      <c r="J12" s="385">
        <v>8.4999999999999992E-2</v>
      </c>
      <c r="K12" s="385">
        <v>8.3999999999999991E-2</v>
      </c>
      <c r="L12" s="385">
        <v>8.8000000000000009E-2</v>
      </c>
      <c r="M12" s="385">
        <v>9.2999999999999999E-2</v>
      </c>
      <c r="N12" s="386">
        <v>0.10400000000000001</v>
      </c>
      <c r="O12" s="386">
        <v>0.10099999999999999</v>
      </c>
      <c r="P12" s="386">
        <v>9.1999999999999998E-2</v>
      </c>
      <c r="Q12" s="1437">
        <v>0.11150041775597661</v>
      </c>
      <c r="R12" s="1632">
        <v>0.11036771951662258</v>
      </c>
      <c r="S12" s="1437">
        <v>8.7848766680145574E-2</v>
      </c>
      <c r="T12" s="2248">
        <v>8.4126077345321779E-2</v>
      </c>
      <c r="U12" s="1189"/>
      <c r="V12" s="1434">
        <v>3124</v>
      </c>
      <c r="W12" s="1434">
        <v>2830</v>
      </c>
      <c r="X12" s="1434">
        <v>3092</v>
      </c>
      <c r="Y12" s="1434">
        <v>3195</v>
      </c>
      <c r="Z12" s="1434">
        <v>3170</v>
      </c>
      <c r="AA12" s="1434">
        <v>3308</v>
      </c>
      <c r="AB12" s="1434">
        <v>2955</v>
      </c>
      <c r="AC12" s="1434">
        <v>3004</v>
      </c>
      <c r="AD12" s="1434">
        <v>3348</v>
      </c>
      <c r="AE12" s="1434">
        <v>3284</v>
      </c>
      <c r="AF12" s="1434">
        <v>3392</v>
      </c>
      <c r="AG12" s="1434">
        <v>3451</v>
      </c>
      <c r="AH12" s="1350">
        <v>3261</v>
      </c>
      <c r="AI12" s="1350">
        <v>4137</v>
      </c>
      <c r="AJ12" s="1642">
        <v>4256</v>
      </c>
      <c r="AK12" s="1346">
        <v>3476</v>
      </c>
      <c r="AL12" s="2249">
        <v>3387</v>
      </c>
    </row>
    <row r="13" spans="1:55" x14ac:dyDescent="0.25">
      <c r="A13" s="379" t="s">
        <v>26</v>
      </c>
      <c r="B13" s="458" t="s">
        <v>740</v>
      </c>
      <c r="C13" s="458" t="s">
        <v>265</v>
      </c>
      <c r="D13" s="384">
        <v>0.13087876336093662</v>
      </c>
      <c r="E13" s="385">
        <v>0.12328640660095588</v>
      </c>
      <c r="F13" s="385">
        <v>0.1346739708466082</v>
      </c>
      <c r="G13" s="385">
        <v>0.14416955964817399</v>
      </c>
      <c r="H13" s="385">
        <v>0.13188270816880912</v>
      </c>
      <c r="I13" s="385">
        <v>0.14273149548278821</v>
      </c>
      <c r="J13" s="385">
        <v>0.14512539405354707</v>
      </c>
      <c r="K13" s="385">
        <v>0.14915355306345557</v>
      </c>
      <c r="L13" s="385">
        <v>0.15178195639792957</v>
      </c>
      <c r="M13" s="385">
        <v>0.16398952402216457</v>
      </c>
      <c r="N13" s="386">
        <v>0.17830952995295352</v>
      </c>
      <c r="O13" s="386">
        <v>0.18582548136009833</v>
      </c>
      <c r="P13" s="386">
        <v>0.17899999999999999</v>
      </c>
      <c r="Q13" s="1437">
        <v>0.17762635341331884</v>
      </c>
      <c r="R13" s="1632">
        <v>0.18326239939319877</v>
      </c>
      <c r="S13" s="1437">
        <v>0.17564988762139011</v>
      </c>
      <c r="T13" s="2248">
        <v>0.16416077252128244</v>
      </c>
      <c r="U13" s="1189"/>
      <c r="V13" s="1434">
        <v>3191</v>
      </c>
      <c r="W13" s="1434">
        <v>2991</v>
      </c>
      <c r="X13" s="1434">
        <v>3298</v>
      </c>
      <c r="Y13" s="1434">
        <v>3529</v>
      </c>
      <c r="Z13" s="1434">
        <v>3272</v>
      </c>
      <c r="AA13" s="1434">
        <v>3505</v>
      </c>
      <c r="AB13" s="1434">
        <v>3505</v>
      </c>
      <c r="AC13" s="1434">
        <v>3697</v>
      </c>
      <c r="AD13" s="1434">
        <v>3724</v>
      </c>
      <c r="AE13" s="1434">
        <v>4096</v>
      </c>
      <c r="AF13" s="1434">
        <v>4400</v>
      </c>
      <c r="AG13" s="1434">
        <v>4536</v>
      </c>
      <c r="AH13" s="1350">
        <v>4306</v>
      </c>
      <c r="AI13" s="1350">
        <v>4249</v>
      </c>
      <c r="AJ13" s="1642">
        <v>4349</v>
      </c>
      <c r="AK13" s="1346">
        <v>4142</v>
      </c>
      <c r="AL13" s="2249">
        <v>3876</v>
      </c>
    </row>
    <row r="14" spans="1:55" x14ac:dyDescent="0.25">
      <c r="A14" s="379" t="s">
        <v>27</v>
      </c>
      <c r="B14" s="380" t="s">
        <v>456</v>
      </c>
      <c r="C14" s="387" t="s">
        <v>265</v>
      </c>
      <c r="D14" s="384">
        <v>0.10099999999999999</v>
      </c>
      <c r="E14" s="385">
        <v>9.8000000000000004E-2</v>
      </c>
      <c r="F14" s="385">
        <v>9.9000000000000005E-2</v>
      </c>
      <c r="G14" s="385">
        <v>0.106</v>
      </c>
      <c r="H14" s="385">
        <v>9.1999999999999985E-2</v>
      </c>
      <c r="I14" s="385">
        <v>0.1</v>
      </c>
      <c r="J14" s="385">
        <v>0.106</v>
      </c>
      <c r="K14" s="385">
        <v>0.10300000000000001</v>
      </c>
      <c r="L14" s="385">
        <v>0.12300000000000001</v>
      </c>
      <c r="M14" s="385">
        <v>0.14799999999999999</v>
      </c>
      <c r="N14" s="386">
        <v>0.157</v>
      </c>
      <c r="O14" s="386">
        <v>0.159</v>
      </c>
      <c r="P14" s="386">
        <v>0.16400000000000001</v>
      </c>
      <c r="Q14" s="1437">
        <v>0.17886178861788618</v>
      </c>
      <c r="R14" s="1632">
        <v>0.15642458100558659</v>
      </c>
      <c r="S14" s="1437">
        <v>0.14595375722543352</v>
      </c>
      <c r="T14" s="2248">
        <v>0.17681159420289855</v>
      </c>
      <c r="U14" s="1189"/>
      <c r="V14" s="1434">
        <v>102</v>
      </c>
      <c r="W14" s="1434">
        <v>97</v>
      </c>
      <c r="X14" s="1434">
        <v>95</v>
      </c>
      <c r="Y14" s="1434">
        <v>99</v>
      </c>
      <c r="Z14" s="1434">
        <v>83</v>
      </c>
      <c r="AA14" s="1434">
        <v>89</v>
      </c>
      <c r="AB14" s="1434">
        <v>88</v>
      </c>
      <c r="AC14" s="1434">
        <v>80</v>
      </c>
      <c r="AD14" s="1434">
        <v>89</v>
      </c>
      <c r="AE14" s="1434">
        <v>117</v>
      </c>
      <c r="AF14" s="1434">
        <v>123</v>
      </c>
      <c r="AG14" s="1434">
        <v>122</v>
      </c>
      <c r="AH14" s="1350">
        <v>124</v>
      </c>
      <c r="AI14" s="1350">
        <v>132</v>
      </c>
      <c r="AJ14" s="1642">
        <v>112</v>
      </c>
      <c r="AK14" s="1346">
        <v>101</v>
      </c>
      <c r="AL14" s="2249">
        <v>122</v>
      </c>
    </row>
    <row r="15" spans="1:55" x14ac:dyDescent="0.25">
      <c r="A15" s="379" t="s">
        <v>29</v>
      </c>
      <c r="B15" s="380" t="s">
        <v>901</v>
      </c>
      <c r="C15" s="387" t="s">
        <v>265</v>
      </c>
      <c r="D15" s="384">
        <v>0.10357569534845344</v>
      </c>
      <c r="E15" s="385">
        <v>9.7851076521047547E-2</v>
      </c>
      <c r="F15" s="385">
        <v>0.10470836582956378</v>
      </c>
      <c r="G15" s="385">
        <v>0.11985001266072082</v>
      </c>
      <c r="H15" s="385">
        <v>0.11006986120613819</v>
      </c>
      <c r="I15" s="385">
        <v>0.11585807105652593</v>
      </c>
      <c r="J15" s="385">
        <v>0.10915386192773553</v>
      </c>
      <c r="K15" s="385">
        <v>0.11852155883037152</v>
      </c>
      <c r="L15" s="385">
        <v>0.11587898985228509</v>
      </c>
      <c r="M15" s="385">
        <v>0.12334881658541039</v>
      </c>
      <c r="N15" s="386">
        <v>0.14051075101595445</v>
      </c>
      <c r="O15" s="386">
        <v>0.14869402985074626</v>
      </c>
      <c r="P15" s="386">
        <v>0.14499999999999999</v>
      </c>
      <c r="Q15" s="1437">
        <v>0.13675599072404018</v>
      </c>
      <c r="R15" s="1632">
        <v>0.13628123786093488</v>
      </c>
      <c r="S15" s="1437">
        <v>0.12843393460386257</v>
      </c>
      <c r="T15" s="2248">
        <v>0.12682074189162945</v>
      </c>
      <c r="U15" s="1189"/>
      <c r="V15" s="1434">
        <v>1623</v>
      </c>
      <c r="W15" s="1434">
        <v>1526</v>
      </c>
      <c r="X15" s="1434">
        <v>1664</v>
      </c>
      <c r="Y15" s="1434">
        <v>1861</v>
      </c>
      <c r="Z15" s="1434">
        <v>1732</v>
      </c>
      <c r="AA15" s="1434">
        <v>1803</v>
      </c>
      <c r="AB15" s="1434">
        <v>1685</v>
      </c>
      <c r="AC15" s="1434">
        <v>1839</v>
      </c>
      <c r="AD15" s="1434">
        <v>1773</v>
      </c>
      <c r="AE15" s="1434">
        <v>1987</v>
      </c>
      <c r="AF15" s="1434">
        <v>2297</v>
      </c>
      <c r="AG15" s="1434">
        <v>2391</v>
      </c>
      <c r="AH15" s="1350">
        <v>2277</v>
      </c>
      <c r="AI15" s="1350">
        <v>2123</v>
      </c>
      <c r="AJ15" s="1642">
        <v>2105</v>
      </c>
      <c r="AK15" s="1346">
        <v>2015</v>
      </c>
      <c r="AL15" s="2249">
        <v>1959</v>
      </c>
    </row>
    <row r="16" spans="1:55" x14ac:dyDescent="0.25">
      <c r="A16" s="379" t="s">
        <v>30</v>
      </c>
      <c r="B16" s="380" t="s">
        <v>457</v>
      </c>
      <c r="C16" s="387" t="s">
        <v>268</v>
      </c>
      <c r="D16" s="384">
        <v>0.14099999999999999</v>
      </c>
      <c r="E16" s="385">
        <v>0.13499999999999998</v>
      </c>
      <c r="F16" s="385">
        <v>0.14399999999999999</v>
      </c>
      <c r="G16" s="385">
        <v>0.16800000000000001</v>
      </c>
      <c r="H16" s="385">
        <v>0.14500000000000002</v>
      </c>
      <c r="I16" s="385">
        <v>0.16899999999999998</v>
      </c>
      <c r="J16" s="385">
        <v>0.16500000000000001</v>
      </c>
      <c r="K16" s="385">
        <v>0.17500000000000002</v>
      </c>
      <c r="L16" s="385">
        <v>0.18000000000000002</v>
      </c>
      <c r="M16" s="385">
        <v>0.17800000000000002</v>
      </c>
      <c r="N16" s="386">
        <v>0.18</v>
      </c>
      <c r="O16" s="386">
        <v>0.187</v>
      </c>
      <c r="P16" s="386">
        <v>0.187</v>
      </c>
      <c r="Q16" s="1437">
        <v>0.2017467248908297</v>
      </c>
      <c r="R16" s="1632">
        <v>0.17387304507819687</v>
      </c>
      <c r="S16" s="1437">
        <v>0.17784256559766765</v>
      </c>
      <c r="T16" s="2248">
        <v>0.16699029126213591</v>
      </c>
      <c r="U16" s="1189"/>
      <c r="V16" s="1434">
        <v>186</v>
      </c>
      <c r="W16" s="1434">
        <v>172</v>
      </c>
      <c r="X16" s="1434">
        <v>184</v>
      </c>
      <c r="Y16" s="1434">
        <v>209</v>
      </c>
      <c r="Z16" s="1434">
        <v>177</v>
      </c>
      <c r="AA16" s="1434">
        <v>204</v>
      </c>
      <c r="AB16" s="1434">
        <v>191</v>
      </c>
      <c r="AC16" s="1434">
        <v>202</v>
      </c>
      <c r="AD16" s="1434">
        <v>204</v>
      </c>
      <c r="AE16" s="1434">
        <v>214</v>
      </c>
      <c r="AF16" s="1434">
        <v>214</v>
      </c>
      <c r="AG16" s="1434">
        <v>221</v>
      </c>
      <c r="AH16" s="1350">
        <v>215</v>
      </c>
      <c r="AI16" s="1350">
        <v>231</v>
      </c>
      <c r="AJ16" s="1642">
        <v>189</v>
      </c>
      <c r="AK16" s="1346">
        <v>183</v>
      </c>
      <c r="AL16" s="2249">
        <v>172</v>
      </c>
    </row>
    <row r="17" spans="1:38" x14ac:dyDescent="0.25">
      <c r="A17" s="379" t="s">
        <v>32</v>
      </c>
      <c r="B17" s="380" t="s">
        <v>458</v>
      </c>
      <c r="C17" s="387" t="s">
        <v>265</v>
      </c>
      <c r="D17" s="384">
        <v>6.8000000000000005E-2</v>
      </c>
      <c r="E17" s="385">
        <v>6.6000000000000003E-2</v>
      </c>
      <c r="F17" s="385">
        <v>7.2999999999999995E-2</v>
      </c>
      <c r="G17" s="385">
        <v>8.199999999999999E-2</v>
      </c>
      <c r="H17" s="385">
        <v>7.3999999999999996E-2</v>
      </c>
      <c r="I17" s="385">
        <v>7.400000000000001E-2</v>
      </c>
      <c r="J17" s="385">
        <v>6.9000000000000006E-2</v>
      </c>
      <c r="K17" s="385">
        <v>7.3999999999999996E-2</v>
      </c>
      <c r="L17" s="385">
        <v>0.08</v>
      </c>
      <c r="M17" s="385">
        <v>8.5000000000000006E-2</v>
      </c>
      <c r="N17" s="386">
        <v>8.8000000000000009E-2</v>
      </c>
      <c r="O17" s="386">
        <v>0.10099999999999999</v>
      </c>
      <c r="P17" s="386">
        <v>0.10100000000000001</v>
      </c>
      <c r="Q17" s="1437">
        <v>0.10003003905076599</v>
      </c>
      <c r="R17" s="1632">
        <v>0.10581039755351682</v>
      </c>
      <c r="S17" s="1437">
        <v>9.3436293436293436E-2</v>
      </c>
      <c r="T17" s="2248">
        <v>9.4071146245059287E-2</v>
      </c>
      <c r="U17" s="1189"/>
      <c r="V17" s="1434">
        <v>473</v>
      </c>
      <c r="W17" s="1434">
        <v>453</v>
      </c>
      <c r="X17" s="1434">
        <v>497</v>
      </c>
      <c r="Y17" s="1434">
        <v>556</v>
      </c>
      <c r="Z17" s="1434">
        <v>501</v>
      </c>
      <c r="AA17" s="1434">
        <v>493</v>
      </c>
      <c r="AB17" s="1434">
        <v>440</v>
      </c>
      <c r="AC17" s="1434">
        <v>476</v>
      </c>
      <c r="AD17" s="1434">
        <v>501</v>
      </c>
      <c r="AE17" s="1434">
        <v>578</v>
      </c>
      <c r="AF17" s="1434">
        <v>646</v>
      </c>
      <c r="AG17" s="1434">
        <v>715</v>
      </c>
      <c r="AH17" s="1350">
        <v>700</v>
      </c>
      <c r="AI17" s="1350">
        <v>666</v>
      </c>
      <c r="AJ17" s="1642">
        <v>692</v>
      </c>
      <c r="AK17" s="1346">
        <v>605</v>
      </c>
      <c r="AL17" s="2249">
        <v>595</v>
      </c>
    </row>
    <row r="18" spans="1:38" x14ac:dyDescent="0.25">
      <c r="A18" s="379" t="s">
        <v>36</v>
      </c>
      <c r="B18" s="380" t="s">
        <v>459</v>
      </c>
      <c r="C18" s="387" t="s">
        <v>264</v>
      </c>
      <c r="D18" s="384">
        <v>0.20200000000000001</v>
      </c>
      <c r="E18" s="385">
        <v>0.18600000000000003</v>
      </c>
      <c r="F18" s="385">
        <v>0.22199999999999998</v>
      </c>
      <c r="G18" s="385">
        <v>0.24199999999999999</v>
      </c>
      <c r="H18" s="385">
        <v>0.217</v>
      </c>
      <c r="I18" s="385">
        <v>0.245</v>
      </c>
      <c r="J18" s="385">
        <v>0.24199999999999999</v>
      </c>
      <c r="K18" s="385">
        <v>0.26300000000000001</v>
      </c>
      <c r="L18" s="385">
        <v>0.248</v>
      </c>
      <c r="M18" s="385">
        <v>0.26300000000000001</v>
      </c>
      <c r="N18" s="386">
        <v>0.26899999999999996</v>
      </c>
      <c r="O18" s="386">
        <v>0.31</v>
      </c>
      <c r="P18" s="386">
        <v>0.30499999999999999</v>
      </c>
      <c r="Q18" s="1437">
        <v>0.28860172299536119</v>
      </c>
      <c r="R18" s="1632">
        <v>0.31456378171706639</v>
      </c>
      <c r="S18" s="1437">
        <v>0.2921708185053381</v>
      </c>
      <c r="T18" s="2248">
        <v>0.29996346364632809</v>
      </c>
      <c r="U18" s="1189"/>
      <c r="V18" s="1434">
        <v>737</v>
      </c>
      <c r="W18" s="1434">
        <v>665</v>
      </c>
      <c r="X18" s="1434">
        <v>787</v>
      </c>
      <c r="Y18" s="1434">
        <v>847</v>
      </c>
      <c r="Z18" s="1434">
        <v>742</v>
      </c>
      <c r="AA18" s="1434">
        <v>828</v>
      </c>
      <c r="AB18" s="1434">
        <v>792</v>
      </c>
      <c r="AC18" s="1434">
        <v>834</v>
      </c>
      <c r="AD18" s="1434">
        <v>761</v>
      </c>
      <c r="AE18" s="1434">
        <v>816</v>
      </c>
      <c r="AF18" s="1434">
        <v>888</v>
      </c>
      <c r="AG18" s="1434">
        <v>979</v>
      </c>
      <c r="AH18" s="1350">
        <v>931</v>
      </c>
      <c r="AI18" s="1350">
        <v>871</v>
      </c>
      <c r="AJ18" s="1642">
        <v>905</v>
      </c>
      <c r="AK18" s="1346">
        <v>821</v>
      </c>
      <c r="AL18" s="2249">
        <v>821</v>
      </c>
    </row>
    <row r="19" spans="1:38" x14ac:dyDescent="0.25">
      <c r="A19" s="379" t="s">
        <v>38</v>
      </c>
      <c r="B19" s="380" t="s">
        <v>460</v>
      </c>
      <c r="C19" s="387" t="s">
        <v>268</v>
      </c>
      <c r="D19" s="384">
        <v>0.28999999999999998</v>
      </c>
      <c r="E19" s="385">
        <v>0.25600000000000001</v>
      </c>
      <c r="F19" s="385">
        <v>0.29600000000000004</v>
      </c>
      <c r="G19" s="385">
        <v>0.318</v>
      </c>
      <c r="H19" s="385">
        <v>0.28100000000000003</v>
      </c>
      <c r="I19" s="385">
        <v>0.34500000000000003</v>
      </c>
      <c r="J19" s="385">
        <v>0.30899999999999994</v>
      </c>
      <c r="K19" s="385">
        <v>0.3</v>
      </c>
      <c r="L19" s="385">
        <v>0.33100000000000002</v>
      </c>
      <c r="M19" s="385">
        <v>0.34299999999999997</v>
      </c>
      <c r="N19" s="386">
        <v>0.34900000000000003</v>
      </c>
      <c r="O19" s="386">
        <v>0.308</v>
      </c>
      <c r="P19" s="386">
        <v>0.29099999999999998</v>
      </c>
      <c r="Q19" s="1437">
        <v>0.32803180914512925</v>
      </c>
      <c r="R19" s="1632">
        <v>0.31325611325611324</v>
      </c>
      <c r="S19" s="1437">
        <v>0.33645102624058199</v>
      </c>
      <c r="T19" s="2248">
        <v>0.30667743672590198</v>
      </c>
      <c r="U19" s="1189"/>
      <c r="V19" s="1434">
        <v>1507</v>
      </c>
      <c r="W19" s="1434">
        <v>1287</v>
      </c>
      <c r="X19" s="1434">
        <v>1473</v>
      </c>
      <c r="Y19" s="1434">
        <v>1531</v>
      </c>
      <c r="Z19" s="1434">
        <v>1333</v>
      </c>
      <c r="AA19" s="1434">
        <v>1593</v>
      </c>
      <c r="AB19" s="1434">
        <v>1402</v>
      </c>
      <c r="AC19" s="1434">
        <v>1284</v>
      </c>
      <c r="AD19" s="1434">
        <v>1365</v>
      </c>
      <c r="AE19" s="1434">
        <v>1464</v>
      </c>
      <c r="AF19" s="1434">
        <v>1497</v>
      </c>
      <c r="AG19" s="1434">
        <v>1268</v>
      </c>
      <c r="AH19" s="1350">
        <v>1200</v>
      </c>
      <c r="AI19" s="1350">
        <v>1320</v>
      </c>
      <c r="AJ19" s="1642">
        <v>1217</v>
      </c>
      <c r="AK19" s="1346">
        <v>1295</v>
      </c>
      <c r="AL19" s="2249">
        <v>1139</v>
      </c>
    </row>
    <row r="20" spans="1:38" x14ac:dyDescent="0.25">
      <c r="A20" s="379" t="s">
        <v>40</v>
      </c>
      <c r="B20" s="380" t="s">
        <v>461</v>
      </c>
      <c r="C20" s="387" t="s">
        <v>266</v>
      </c>
      <c r="D20" s="384">
        <v>0.20299999999999999</v>
      </c>
      <c r="E20" s="385">
        <v>0.182</v>
      </c>
      <c r="F20" s="385">
        <v>0.19700000000000001</v>
      </c>
      <c r="G20" s="385">
        <v>0.21999999999999997</v>
      </c>
      <c r="H20" s="385">
        <v>0.20600000000000002</v>
      </c>
      <c r="I20" s="385">
        <v>0.24500000000000002</v>
      </c>
      <c r="J20" s="385">
        <v>0.21899999999999997</v>
      </c>
      <c r="K20" s="385">
        <v>0.24199999999999999</v>
      </c>
      <c r="L20" s="385">
        <v>0.248</v>
      </c>
      <c r="M20" s="385">
        <v>0.26300000000000001</v>
      </c>
      <c r="N20" s="386">
        <v>0.252</v>
      </c>
      <c r="O20" s="386">
        <v>0.26300000000000001</v>
      </c>
      <c r="P20" s="386">
        <v>0.28299999999999997</v>
      </c>
      <c r="Q20" s="1437">
        <v>0.28427355814686417</v>
      </c>
      <c r="R20" s="1632">
        <v>0.27098014093529788</v>
      </c>
      <c r="S20" s="1437">
        <v>0.27459807073954984</v>
      </c>
      <c r="T20" s="2248">
        <v>0.24338282763072949</v>
      </c>
      <c r="U20" s="1189"/>
      <c r="V20" s="1434">
        <v>682</v>
      </c>
      <c r="W20" s="1434">
        <v>594</v>
      </c>
      <c r="X20" s="1434">
        <v>641</v>
      </c>
      <c r="Y20" s="1434">
        <v>710</v>
      </c>
      <c r="Z20" s="1434">
        <v>658</v>
      </c>
      <c r="AA20" s="1434">
        <v>771</v>
      </c>
      <c r="AB20" s="1434">
        <v>667</v>
      </c>
      <c r="AC20" s="1434">
        <v>717</v>
      </c>
      <c r="AD20" s="1434">
        <v>713</v>
      </c>
      <c r="AE20" s="1434">
        <v>775</v>
      </c>
      <c r="AF20" s="1434">
        <v>814</v>
      </c>
      <c r="AG20" s="1434">
        <v>843</v>
      </c>
      <c r="AH20" s="1350">
        <v>899</v>
      </c>
      <c r="AI20" s="1350">
        <v>902</v>
      </c>
      <c r="AJ20" s="1642">
        <v>846</v>
      </c>
      <c r="AK20" s="1346">
        <v>854</v>
      </c>
      <c r="AL20" s="2249">
        <v>754</v>
      </c>
    </row>
    <row r="21" spans="1:38" x14ac:dyDescent="0.25">
      <c r="A21" s="379" t="s">
        <v>42</v>
      </c>
      <c r="B21" s="380" t="s">
        <v>462</v>
      </c>
      <c r="C21" s="387" t="s">
        <v>265</v>
      </c>
      <c r="D21" s="384">
        <v>0.14099999999999999</v>
      </c>
      <c r="E21" s="385">
        <v>0.129</v>
      </c>
      <c r="F21" s="385">
        <v>0.15</v>
      </c>
      <c r="G21" s="385">
        <v>0.16800000000000001</v>
      </c>
      <c r="H21" s="385">
        <v>0.15</v>
      </c>
      <c r="I21" s="385">
        <v>0.154</v>
      </c>
      <c r="J21" s="385">
        <v>0.153</v>
      </c>
      <c r="K21" s="385">
        <v>0.153</v>
      </c>
      <c r="L21" s="385">
        <v>0.16200000000000001</v>
      </c>
      <c r="M21" s="385">
        <v>0.17799999999999999</v>
      </c>
      <c r="N21" s="386">
        <v>0.18600000000000003</v>
      </c>
      <c r="O21" s="386">
        <v>0.23</v>
      </c>
      <c r="P21" s="386">
        <v>0.192</v>
      </c>
      <c r="Q21" s="1437">
        <v>0.18702392687516803</v>
      </c>
      <c r="R21" s="1632">
        <v>0.19370194068106922</v>
      </c>
      <c r="S21" s="1437">
        <v>0.16260612772240679</v>
      </c>
      <c r="T21" s="2248">
        <v>0.18388775320572384</v>
      </c>
      <c r="U21" s="1189"/>
      <c r="V21" s="1434">
        <v>1693</v>
      </c>
      <c r="W21" s="1434">
        <v>1540</v>
      </c>
      <c r="X21" s="1434">
        <v>1797</v>
      </c>
      <c r="Y21" s="1434">
        <v>2001</v>
      </c>
      <c r="Z21" s="1434">
        <v>1800</v>
      </c>
      <c r="AA21" s="1434">
        <v>1823</v>
      </c>
      <c r="AB21" s="1434">
        <v>1756</v>
      </c>
      <c r="AC21" s="1434">
        <v>1759</v>
      </c>
      <c r="AD21" s="1434">
        <v>1816</v>
      </c>
      <c r="AE21" s="1434">
        <v>1996</v>
      </c>
      <c r="AF21" s="1434">
        <v>2211</v>
      </c>
      <c r="AG21" s="1434">
        <v>2674</v>
      </c>
      <c r="AH21" s="1350">
        <v>2199</v>
      </c>
      <c r="AI21" s="1350">
        <v>2087</v>
      </c>
      <c r="AJ21" s="1642">
        <v>2116</v>
      </c>
      <c r="AK21" s="1346">
        <v>1762</v>
      </c>
      <c r="AL21" s="2249">
        <v>1979</v>
      </c>
    </row>
    <row r="22" spans="1:38" x14ac:dyDescent="0.25">
      <c r="A22" s="379" t="s">
        <v>44</v>
      </c>
      <c r="B22" s="380" t="s">
        <v>463</v>
      </c>
      <c r="C22" s="387" t="s">
        <v>266</v>
      </c>
      <c r="D22" s="384">
        <v>0.14099999999999999</v>
      </c>
      <c r="E22" s="385">
        <v>0.13</v>
      </c>
      <c r="F22" s="385">
        <v>0.15</v>
      </c>
      <c r="G22" s="385">
        <v>0.14699999999999999</v>
      </c>
      <c r="H22" s="385">
        <v>0.13300000000000001</v>
      </c>
      <c r="I22" s="385">
        <v>0.14599999999999999</v>
      </c>
      <c r="J22" s="385">
        <v>0.126</v>
      </c>
      <c r="K22" s="385">
        <v>0.13300000000000001</v>
      </c>
      <c r="L22" s="385">
        <v>0.14199999999999999</v>
      </c>
      <c r="M22" s="385">
        <v>0.16500000000000001</v>
      </c>
      <c r="N22" s="386">
        <v>0.16600000000000001</v>
      </c>
      <c r="O22" s="386">
        <v>0.18899999999999997</v>
      </c>
      <c r="P22" s="386">
        <v>0.182</v>
      </c>
      <c r="Q22" s="1437">
        <v>0.21008778455586966</v>
      </c>
      <c r="R22" s="1632">
        <v>0.17336829836829837</v>
      </c>
      <c r="S22" s="1437">
        <v>0.17193534544414246</v>
      </c>
      <c r="T22" s="2248">
        <v>0.15039768618944324</v>
      </c>
      <c r="U22" s="1189"/>
      <c r="V22" s="1434">
        <v>750</v>
      </c>
      <c r="W22" s="1434">
        <v>699</v>
      </c>
      <c r="X22" s="1434">
        <v>823</v>
      </c>
      <c r="Y22" s="1434">
        <v>827</v>
      </c>
      <c r="Z22" s="1434">
        <v>797</v>
      </c>
      <c r="AA22" s="1434">
        <v>862</v>
      </c>
      <c r="AB22" s="1434">
        <v>753</v>
      </c>
      <c r="AC22" s="1434">
        <v>864</v>
      </c>
      <c r="AD22" s="1434">
        <v>927</v>
      </c>
      <c r="AE22" s="1434">
        <v>1058</v>
      </c>
      <c r="AF22" s="1434">
        <v>1116</v>
      </c>
      <c r="AG22" s="1434">
        <v>1252</v>
      </c>
      <c r="AH22" s="1350">
        <v>1225</v>
      </c>
      <c r="AI22" s="1350">
        <v>1412</v>
      </c>
      <c r="AJ22" s="1642">
        <v>1190</v>
      </c>
      <c r="AK22" s="1346">
        <v>1202</v>
      </c>
      <c r="AL22" s="2249">
        <v>1040</v>
      </c>
    </row>
    <row r="23" spans="1:38" x14ac:dyDescent="0.25">
      <c r="A23" s="379" t="s">
        <v>46</v>
      </c>
      <c r="B23" s="380" t="s">
        <v>464</v>
      </c>
      <c r="C23" s="387" t="s">
        <v>268</v>
      </c>
      <c r="D23" s="384">
        <v>0.186</v>
      </c>
      <c r="E23" s="385">
        <v>0.18300000000000002</v>
      </c>
      <c r="F23" s="385">
        <v>0.20600000000000002</v>
      </c>
      <c r="G23" s="385">
        <v>0.22600000000000001</v>
      </c>
      <c r="H23" s="385">
        <v>0.18899999999999997</v>
      </c>
      <c r="I23" s="385">
        <v>0.23100000000000004</v>
      </c>
      <c r="J23" s="385">
        <v>0.20500000000000002</v>
      </c>
      <c r="K23" s="385">
        <v>0.20300000000000001</v>
      </c>
      <c r="L23" s="385">
        <v>0.22500000000000001</v>
      </c>
      <c r="M23" s="385">
        <v>0.26100000000000001</v>
      </c>
      <c r="N23" s="386">
        <v>0.249</v>
      </c>
      <c r="O23" s="386">
        <v>0.29399999999999998</v>
      </c>
      <c r="P23" s="386">
        <v>0.26400000000000001</v>
      </c>
      <c r="Q23" s="1437">
        <v>0.25639241607236041</v>
      </c>
      <c r="R23" s="1632">
        <v>0.24964336661911554</v>
      </c>
      <c r="S23" s="1437">
        <v>0.24252252252252252</v>
      </c>
      <c r="T23" s="2248">
        <v>0.22641853676336435</v>
      </c>
      <c r="U23" s="1189"/>
      <c r="V23" s="1434">
        <v>1114</v>
      </c>
      <c r="W23" s="1434">
        <v>1082</v>
      </c>
      <c r="X23" s="1434">
        <v>1233</v>
      </c>
      <c r="Y23" s="1434">
        <v>1354</v>
      </c>
      <c r="Z23" s="1434">
        <v>1122</v>
      </c>
      <c r="AA23" s="1434">
        <v>1357</v>
      </c>
      <c r="AB23" s="1434">
        <v>1186</v>
      </c>
      <c r="AC23" s="1434">
        <v>1154</v>
      </c>
      <c r="AD23" s="1434">
        <v>1262</v>
      </c>
      <c r="AE23" s="1434">
        <v>1467</v>
      </c>
      <c r="AF23" s="1434">
        <v>1518</v>
      </c>
      <c r="AG23" s="1434">
        <v>1755</v>
      </c>
      <c r="AH23" s="1350">
        <v>1541</v>
      </c>
      <c r="AI23" s="1350">
        <v>1474</v>
      </c>
      <c r="AJ23" s="1642">
        <v>1400</v>
      </c>
      <c r="AK23" s="1346">
        <v>1346</v>
      </c>
      <c r="AL23" s="2249">
        <v>1241</v>
      </c>
    </row>
    <row r="24" spans="1:38" x14ac:dyDescent="0.25">
      <c r="A24" s="379" t="s">
        <v>48</v>
      </c>
      <c r="B24" s="380" t="s">
        <v>465</v>
      </c>
      <c r="C24" s="387" t="s">
        <v>266</v>
      </c>
      <c r="D24" s="384">
        <v>0.14100000000000001</v>
      </c>
      <c r="E24" s="385">
        <v>0.126</v>
      </c>
      <c r="F24" s="385">
        <v>0.14699999999999999</v>
      </c>
      <c r="G24" s="385">
        <v>0.15699999999999997</v>
      </c>
      <c r="H24" s="385">
        <v>0.13099999999999998</v>
      </c>
      <c r="I24" s="385">
        <v>0.14900000000000002</v>
      </c>
      <c r="J24" s="385">
        <v>0.152</v>
      </c>
      <c r="K24" s="385">
        <v>0.15000000000000002</v>
      </c>
      <c r="L24" s="385">
        <v>0.16699999999999998</v>
      </c>
      <c r="M24" s="385">
        <v>0.17200000000000001</v>
      </c>
      <c r="N24" s="386">
        <v>0.184</v>
      </c>
      <c r="O24" s="386">
        <v>0.18100000000000002</v>
      </c>
      <c r="P24" s="386">
        <v>0.20100000000000001</v>
      </c>
      <c r="Q24" s="1437">
        <v>0.19565217391304349</v>
      </c>
      <c r="R24" s="1632">
        <v>0.19121683440073192</v>
      </c>
      <c r="S24" s="1437">
        <v>0.19537037037037036</v>
      </c>
      <c r="T24" s="2248">
        <v>0.19981412639405205</v>
      </c>
      <c r="U24" s="1189"/>
      <c r="V24" s="1434">
        <v>207</v>
      </c>
      <c r="W24" s="1434">
        <v>182</v>
      </c>
      <c r="X24" s="1434">
        <v>213</v>
      </c>
      <c r="Y24" s="1434">
        <v>223</v>
      </c>
      <c r="Z24" s="1434">
        <v>179</v>
      </c>
      <c r="AA24" s="1434">
        <v>201</v>
      </c>
      <c r="AB24" s="1434">
        <v>204</v>
      </c>
      <c r="AC24" s="1434">
        <v>200</v>
      </c>
      <c r="AD24" s="1434">
        <v>227</v>
      </c>
      <c r="AE24" s="1434">
        <v>225</v>
      </c>
      <c r="AF24" s="1434">
        <v>238</v>
      </c>
      <c r="AG24" s="1434">
        <v>223</v>
      </c>
      <c r="AH24" s="1350">
        <v>234</v>
      </c>
      <c r="AI24" s="1350">
        <v>225</v>
      </c>
      <c r="AJ24" s="1642">
        <v>209</v>
      </c>
      <c r="AK24" s="1346">
        <v>211</v>
      </c>
      <c r="AL24" s="2249">
        <v>215</v>
      </c>
    </row>
    <row r="25" spans="1:38" x14ac:dyDescent="0.25">
      <c r="A25" s="379" t="s">
        <v>50</v>
      </c>
      <c r="B25" s="380" t="s">
        <v>466</v>
      </c>
      <c r="C25" s="387" t="s">
        <v>265</v>
      </c>
      <c r="D25" s="384">
        <v>0.21100000000000002</v>
      </c>
      <c r="E25" s="385">
        <v>0.2</v>
      </c>
      <c r="F25" s="385">
        <v>0.22</v>
      </c>
      <c r="G25" s="385">
        <v>0.23799999999999999</v>
      </c>
      <c r="H25" s="385">
        <v>0.20300000000000001</v>
      </c>
      <c r="I25" s="385">
        <v>0.23499999999999999</v>
      </c>
      <c r="J25" s="385">
        <v>0.23500000000000001</v>
      </c>
      <c r="K25" s="385">
        <v>0.26100000000000001</v>
      </c>
      <c r="L25" s="385">
        <v>0.25900000000000001</v>
      </c>
      <c r="M25" s="385">
        <v>0.27199999999999996</v>
      </c>
      <c r="N25" s="386">
        <v>0.28100000000000003</v>
      </c>
      <c r="O25" s="386">
        <v>0.30499999999999999</v>
      </c>
      <c r="P25" s="386">
        <v>0.28399999999999997</v>
      </c>
      <c r="Q25" s="1437">
        <v>0.27573253193087904</v>
      </c>
      <c r="R25" s="1632">
        <v>0.30421337456513337</v>
      </c>
      <c r="S25" s="1437">
        <v>0.28385826771653544</v>
      </c>
      <c r="T25" s="2248">
        <v>0.29333852746396571</v>
      </c>
      <c r="U25" s="1189"/>
      <c r="V25" s="1434">
        <v>618</v>
      </c>
      <c r="W25" s="1434">
        <v>581</v>
      </c>
      <c r="X25" s="1434">
        <v>638</v>
      </c>
      <c r="Y25" s="1434">
        <v>682</v>
      </c>
      <c r="Z25" s="1434">
        <v>580</v>
      </c>
      <c r="AA25" s="1434">
        <v>662</v>
      </c>
      <c r="AB25" s="1434">
        <v>646</v>
      </c>
      <c r="AC25" s="1434">
        <v>691</v>
      </c>
      <c r="AD25" s="1434">
        <v>674</v>
      </c>
      <c r="AE25" s="1434">
        <v>724</v>
      </c>
      <c r="AF25" s="1434">
        <v>796</v>
      </c>
      <c r="AG25" s="1434">
        <v>830</v>
      </c>
      <c r="AH25" s="1350">
        <v>756</v>
      </c>
      <c r="AI25" s="1350">
        <v>734</v>
      </c>
      <c r="AJ25" s="1642">
        <v>787</v>
      </c>
      <c r="AK25" s="1346">
        <v>721</v>
      </c>
      <c r="AL25" s="2249">
        <v>753</v>
      </c>
    </row>
    <row r="26" spans="1:38" x14ac:dyDescent="0.25">
      <c r="A26" s="379" t="s">
        <v>56</v>
      </c>
      <c r="B26" s="380" t="s">
        <v>741</v>
      </c>
      <c r="C26" s="387" t="s">
        <v>266</v>
      </c>
      <c r="D26" s="384">
        <v>6.6162592847827204E-2</v>
      </c>
      <c r="E26" s="385">
        <v>6.1985132760176691E-2</v>
      </c>
      <c r="F26" s="385">
        <v>7.6745253964520699E-2</v>
      </c>
      <c r="G26" s="385">
        <v>8.9098295969368371E-2</v>
      </c>
      <c r="H26" s="385">
        <v>8.4639475052664961E-2</v>
      </c>
      <c r="I26" s="385">
        <v>8.5835080186892287E-2</v>
      </c>
      <c r="J26" s="385">
        <v>7.5312499027605631E-2</v>
      </c>
      <c r="K26" s="385">
        <v>7.7429640998764648E-2</v>
      </c>
      <c r="L26" s="385">
        <v>8.2993030907240153E-2</v>
      </c>
      <c r="M26" s="385">
        <v>8.8543304157549227E-2</v>
      </c>
      <c r="N26" s="386">
        <v>9.271632452521289E-2</v>
      </c>
      <c r="O26" s="386">
        <v>0.10659729250258962</v>
      </c>
      <c r="P26" s="386">
        <v>0.1</v>
      </c>
      <c r="Q26" s="1437">
        <v>0.11103941881444838</v>
      </c>
      <c r="R26" s="1632">
        <v>0.11519602008997644</v>
      </c>
      <c r="S26" s="1437">
        <v>9.8614439251227787E-2</v>
      </c>
      <c r="T26" s="2248">
        <v>9.6206785599370778E-2</v>
      </c>
      <c r="U26" s="1189"/>
      <c r="V26" s="1434">
        <v>5095</v>
      </c>
      <c r="W26" s="1434">
        <v>4754</v>
      </c>
      <c r="X26" s="1434">
        <v>5992</v>
      </c>
      <c r="Y26" s="1434">
        <v>6928</v>
      </c>
      <c r="Z26" s="1434">
        <v>6652</v>
      </c>
      <c r="AA26" s="1434">
        <v>6664</v>
      </c>
      <c r="AB26" s="1434">
        <v>5829</v>
      </c>
      <c r="AC26" s="1434">
        <v>6162</v>
      </c>
      <c r="AD26" s="1434">
        <v>6555</v>
      </c>
      <c r="AE26" s="1434">
        <v>7447</v>
      </c>
      <c r="AF26" s="1434">
        <v>7901</v>
      </c>
      <c r="AG26" s="1434">
        <v>8953</v>
      </c>
      <c r="AH26" s="1350">
        <v>8309</v>
      </c>
      <c r="AI26" s="1350">
        <v>9293</v>
      </c>
      <c r="AJ26" s="1642">
        <v>9679</v>
      </c>
      <c r="AK26" s="1346">
        <v>8313</v>
      </c>
      <c r="AL26" s="2249">
        <v>8073</v>
      </c>
    </row>
    <row r="27" spans="1:38" x14ac:dyDescent="0.25">
      <c r="A27" s="379" t="s">
        <v>58</v>
      </c>
      <c r="B27" s="380" t="s">
        <v>467</v>
      </c>
      <c r="C27" s="387" t="s">
        <v>267</v>
      </c>
      <c r="D27" s="384">
        <v>0.09</v>
      </c>
      <c r="E27" s="385">
        <v>7.4999999999999997E-2</v>
      </c>
      <c r="F27" s="385">
        <v>7.1999999999999995E-2</v>
      </c>
      <c r="G27" s="385">
        <v>8.4000000000000005E-2</v>
      </c>
      <c r="H27" s="385">
        <v>7.2999999999999995E-2</v>
      </c>
      <c r="I27" s="385">
        <v>7.9000000000000001E-2</v>
      </c>
      <c r="J27" s="385">
        <v>7.3000000000000009E-2</v>
      </c>
      <c r="K27" s="385">
        <v>7.3999999999999996E-2</v>
      </c>
      <c r="L27" s="385">
        <v>9.4E-2</v>
      </c>
      <c r="M27" s="385">
        <v>9.4E-2</v>
      </c>
      <c r="N27" s="386">
        <v>0.10099999999999999</v>
      </c>
      <c r="O27" s="386">
        <v>0.10300000000000001</v>
      </c>
      <c r="P27" s="386">
        <v>0.105</v>
      </c>
      <c r="Q27" s="1437">
        <v>9.8662207357859535E-2</v>
      </c>
      <c r="R27" s="1632">
        <v>0.10641835716661124</v>
      </c>
      <c r="S27" s="1437">
        <v>0.10434197239986537</v>
      </c>
      <c r="T27" s="2248">
        <v>9.1283459162663005E-2</v>
      </c>
      <c r="U27" s="1189"/>
      <c r="V27" s="1434">
        <v>264</v>
      </c>
      <c r="W27" s="1434">
        <v>221</v>
      </c>
      <c r="X27" s="1434">
        <v>216</v>
      </c>
      <c r="Y27" s="1434">
        <v>250</v>
      </c>
      <c r="Z27" s="1434">
        <v>223</v>
      </c>
      <c r="AA27" s="1434">
        <v>238</v>
      </c>
      <c r="AB27" s="1434">
        <v>217</v>
      </c>
      <c r="AC27" s="1434">
        <v>222</v>
      </c>
      <c r="AD27" s="1434">
        <v>278</v>
      </c>
      <c r="AE27" s="1434">
        <v>286</v>
      </c>
      <c r="AF27" s="1434">
        <v>316</v>
      </c>
      <c r="AG27" s="1434">
        <v>318</v>
      </c>
      <c r="AH27" s="1350">
        <v>323</v>
      </c>
      <c r="AI27" s="1350">
        <v>295</v>
      </c>
      <c r="AJ27" s="1642">
        <v>320</v>
      </c>
      <c r="AK27" s="1346">
        <v>310</v>
      </c>
      <c r="AL27" s="2249">
        <v>266</v>
      </c>
    </row>
    <row r="28" spans="1:38" x14ac:dyDescent="0.25">
      <c r="A28" s="379" t="s">
        <v>60</v>
      </c>
      <c r="B28" s="380" t="s">
        <v>468</v>
      </c>
      <c r="C28" s="387" t="s">
        <v>265</v>
      </c>
      <c r="D28" s="384">
        <v>0.127</v>
      </c>
      <c r="E28" s="385">
        <v>0.10900000000000001</v>
      </c>
      <c r="F28" s="385">
        <v>0.11800000000000001</v>
      </c>
      <c r="G28" s="385">
        <v>0.14800000000000002</v>
      </c>
      <c r="H28" s="385">
        <v>0.127</v>
      </c>
      <c r="I28" s="385">
        <v>0.15300000000000002</v>
      </c>
      <c r="J28" s="385">
        <v>0.15</v>
      </c>
      <c r="K28" s="385">
        <v>0.14900000000000002</v>
      </c>
      <c r="L28" s="385">
        <v>0.17100000000000001</v>
      </c>
      <c r="M28" s="385">
        <v>0.185</v>
      </c>
      <c r="N28" s="386">
        <v>0.17899999999999999</v>
      </c>
      <c r="O28" s="386">
        <v>0.19899999999999998</v>
      </c>
      <c r="P28" s="386">
        <v>0.221</v>
      </c>
      <c r="Q28" s="1437">
        <v>0.21725888324873097</v>
      </c>
      <c r="R28" s="1632">
        <v>0.21031344792719919</v>
      </c>
      <c r="S28" s="1437">
        <v>0.21658031088082902</v>
      </c>
      <c r="T28" s="2248">
        <v>0.22280887011615627</v>
      </c>
      <c r="U28" s="1189"/>
      <c r="V28" s="1434">
        <v>146</v>
      </c>
      <c r="W28" s="1434">
        <v>126</v>
      </c>
      <c r="X28" s="1434">
        <v>138</v>
      </c>
      <c r="Y28" s="1434">
        <v>170</v>
      </c>
      <c r="Z28" s="1434">
        <v>146</v>
      </c>
      <c r="AA28" s="1434">
        <v>173</v>
      </c>
      <c r="AB28" s="1434">
        <v>162</v>
      </c>
      <c r="AC28" s="1434">
        <v>159</v>
      </c>
      <c r="AD28" s="1434">
        <v>172</v>
      </c>
      <c r="AE28" s="1434">
        <v>183</v>
      </c>
      <c r="AF28" s="1434">
        <v>197</v>
      </c>
      <c r="AG28" s="1434">
        <v>214</v>
      </c>
      <c r="AH28" s="1350">
        <v>234</v>
      </c>
      <c r="AI28" s="1350">
        <v>214</v>
      </c>
      <c r="AJ28" s="1642">
        <v>208</v>
      </c>
      <c r="AK28" s="1346">
        <v>209</v>
      </c>
      <c r="AL28" s="2249">
        <v>211</v>
      </c>
    </row>
    <row r="29" spans="1:38" x14ac:dyDescent="0.25">
      <c r="A29" s="379" t="s">
        <v>62</v>
      </c>
      <c r="B29" s="380" t="s">
        <v>469</v>
      </c>
      <c r="C29" s="387" t="s">
        <v>267</v>
      </c>
      <c r="D29" s="384">
        <v>0.122</v>
      </c>
      <c r="E29" s="385">
        <v>0.11</v>
      </c>
      <c r="F29" s="385">
        <v>0.114</v>
      </c>
      <c r="G29" s="385">
        <v>0.121</v>
      </c>
      <c r="H29" s="385">
        <v>0.10400000000000001</v>
      </c>
      <c r="I29" s="385">
        <v>0.111</v>
      </c>
      <c r="J29" s="385">
        <v>0.10100000000000001</v>
      </c>
      <c r="K29" s="385">
        <v>0.10800000000000001</v>
      </c>
      <c r="L29" s="385">
        <v>0.11099999999999999</v>
      </c>
      <c r="M29" s="385">
        <v>0.14000000000000001</v>
      </c>
      <c r="N29" s="386">
        <v>0.14800000000000002</v>
      </c>
      <c r="O29" s="386">
        <v>0.16399999999999998</v>
      </c>
      <c r="P29" s="386">
        <v>0.155</v>
      </c>
      <c r="Q29" s="1437">
        <v>0.15169243627246135</v>
      </c>
      <c r="R29" s="1632">
        <v>0.15268304708686006</v>
      </c>
      <c r="S29" s="1437">
        <v>0.14883951433055256</v>
      </c>
      <c r="T29" s="2248">
        <v>0.1341513292433538</v>
      </c>
      <c r="U29" s="1189"/>
      <c r="V29" s="1434">
        <v>1068</v>
      </c>
      <c r="W29" s="1434">
        <v>979</v>
      </c>
      <c r="X29" s="1434">
        <v>1066</v>
      </c>
      <c r="Y29" s="1434">
        <v>1169</v>
      </c>
      <c r="Z29" s="1434">
        <v>1059</v>
      </c>
      <c r="AA29" s="1434">
        <v>1114</v>
      </c>
      <c r="AB29" s="1434">
        <v>1025</v>
      </c>
      <c r="AC29" s="1434">
        <v>1194</v>
      </c>
      <c r="AD29" s="1434">
        <v>1230</v>
      </c>
      <c r="AE29" s="1434">
        <v>1639</v>
      </c>
      <c r="AF29" s="1434">
        <v>1746</v>
      </c>
      <c r="AG29" s="1434">
        <v>1926</v>
      </c>
      <c r="AH29" s="1350">
        <v>1830</v>
      </c>
      <c r="AI29" s="1350">
        <v>1815</v>
      </c>
      <c r="AJ29" s="1642">
        <v>1858</v>
      </c>
      <c r="AK29" s="1346">
        <v>1802</v>
      </c>
      <c r="AL29" s="2249">
        <v>1640</v>
      </c>
    </row>
    <row r="30" spans="1:38" x14ac:dyDescent="0.25">
      <c r="A30" s="379" t="s">
        <v>64</v>
      </c>
      <c r="B30" s="380" t="s">
        <v>470</v>
      </c>
      <c r="C30" s="387" t="s">
        <v>266</v>
      </c>
      <c r="D30" s="384">
        <v>0.19899999999999995</v>
      </c>
      <c r="E30" s="385">
        <v>0.18500000000000003</v>
      </c>
      <c r="F30" s="385">
        <v>0.20199999999999999</v>
      </c>
      <c r="G30" s="385">
        <v>0.222</v>
      </c>
      <c r="H30" s="385">
        <v>0.19800000000000001</v>
      </c>
      <c r="I30" s="385">
        <v>0.24600000000000002</v>
      </c>
      <c r="J30" s="385">
        <v>0.22399999999999998</v>
      </c>
      <c r="K30" s="385">
        <v>0.217</v>
      </c>
      <c r="L30" s="385">
        <v>0.22899999999999995</v>
      </c>
      <c r="M30" s="385">
        <v>0.24899999999999997</v>
      </c>
      <c r="N30" s="386">
        <v>0.26</v>
      </c>
      <c r="O30" s="386">
        <v>0.27100000000000002</v>
      </c>
      <c r="P30" s="386">
        <v>0.25800000000000001</v>
      </c>
      <c r="Q30" s="1437">
        <v>0.27826941986234022</v>
      </c>
      <c r="R30" s="1632">
        <v>0.29348358647721706</v>
      </c>
      <c r="S30" s="1437">
        <v>0.30792529025744575</v>
      </c>
      <c r="T30" s="2248">
        <v>0.26354550236717517</v>
      </c>
      <c r="U30" s="1189"/>
      <c r="V30" s="1434">
        <v>422</v>
      </c>
      <c r="W30" s="1434">
        <v>395</v>
      </c>
      <c r="X30" s="1434">
        <v>445</v>
      </c>
      <c r="Y30" s="1434">
        <v>479</v>
      </c>
      <c r="Z30" s="1434">
        <v>434</v>
      </c>
      <c r="AA30" s="1434">
        <v>532</v>
      </c>
      <c r="AB30" s="1434">
        <v>466</v>
      </c>
      <c r="AC30" s="1434">
        <v>473</v>
      </c>
      <c r="AD30" s="1434">
        <v>493</v>
      </c>
      <c r="AE30" s="1434">
        <v>529</v>
      </c>
      <c r="AF30" s="1434">
        <v>588</v>
      </c>
      <c r="AG30" s="1434">
        <v>598</v>
      </c>
      <c r="AH30" s="1350">
        <v>550</v>
      </c>
      <c r="AI30" s="1350">
        <v>566</v>
      </c>
      <c r="AJ30" s="1642">
        <v>599</v>
      </c>
      <c r="AK30" s="1346">
        <v>610</v>
      </c>
      <c r="AL30" s="2249">
        <v>501</v>
      </c>
    </row>
    <row r="31" spans="1:38" x14ac:dyDescent="0.25">
      <c r="A31" s="379" t="s">
        <v>68</v>
      </c>
      <c r="B31" s="380" t="s">
        <v>471</v>
      </c>
      <c r="C31" s="387" t="s">
        <v>268</v>
      </c>
      <c r="D31" s="384">
        <v>0.26</v>
      </c>
      <c r="E31" s="385">
        <v>0.22699999999999998</v>
      </c>
      <c r="F31" s="385">
        <v>0.246</v>
      </c>
      <c r="G31" s="385">
        <v>0.27300000000000002</v>
      </c>
      <c r="H31" s="385">
        <v>0.24199999999999997</v>
      </c>
      <c r="I31" s="385">
        <v>0.3</v>
      </c>
      <c r="J31" s="385">
        <v>0.25600000000000001</v>
      </c>
      <c r="K31" s="385">
        <v>0.27899999999999997</v>
      </c>
      <c r="L31" s="385">
        <v>0.28999999999999998</v>
      </c>
      <c r="M31" s="385">
        <v>0.27</v>
      </c>
      <c r="N31" s="386">
        <v>0.26600000000000001</v>
      </c>
      <c r="O31" s="386">
        <v>0.26899999999999996</v>
      </c>
      <c r="P31" s="386">
        <v>0.26900000000000002</v>
      </c>
      <c r="Q31" s="1437">
        <v>0.27476340694006307</v>
      </c>
      <c r="R31" s="1632">
        <v>0.27092016672010261</v>
      </c>
      <c r="S31" s="1437">
        <v>0.33029315960912053</v>
      </c>
      <c r="T31" s="2248">
        <v>0.29867030344357315</v>
      </c>
      <c r="U31" s="1189"/>
      <c r="V31" s="1434">
        <v>889</v>
      </c>
      <c r="W31" s="1434">
        <v>759</v>
      </c>
      <c r="X31" s="1434">
        <v>816</v>
      </c>
      <c r="Y31" s="1434">
        <v>903</v>
      </c>
      <c r="Z31" s="1434">
        <v>803</v>
      </c>
      <c r="AA31" s="1434">
        <v>982</v>
      </c>
      <c r="AB31" s="1434">
        <v>808</v>
      </c>
      <c r="AC31" s="1434">
        <v>866</v>
      </c>
      <c r="AD31" s="1434">
        <v>901</v>
      </c>
      <c r="AE31" s="1434">
        <v>874</v>
      </c>
      <c r="AF31" s="1434">
        <v>874</v>
      </c>
      <c r="AG31" s="1434">
        <v>859</v>
      </c>
      <c r="AH31" s="1350">
        <v>860</v>
      </c>
      <c r="AI31" s="1350">
        <v>871</v>
      </c>
      <c r="AJ31" s="1642">
        <v>845</v>
      </c>
      <c r="AK31" s="1346">
        <v>1014</v>
      </c>
      <c r="AL31" s="2249">
        <v>876</v>
      </c>
    </row>
    <row r="32" spans="1:38" x14ac:dyDescent="0.25">
      <c r="A32" s="379" t="s">
        <v>70</v>
      </c>
      <c r="B32" s="380" t="s">
        <v>472</v>
      </c>
      <c r="C32" s="387" t="s">
        <v>264</v>
      </c>
      <c r="D32" s="384">
        <v>0.129</v>
      </c>
      <c r="E32" s="385">
        <v>0.11199999999999999</v>
      </c>
      <c r="F32" s="385">
        <v>0.127</v>
      </c>
      <c r="G32" s="385">
        <v>0.151</v>
      </c>
      <c r="H32" s="385">
        <v>0.13499999999999998</v>
      </c>
      <c r="I32" s="385">
        <v>0.13900000000000001</v>
      </c>
      <c r="J32" s="385">
        <v>0.152</v>
      </c>
      <c r="K32" s="385">
        <v>0.14199999999999999</v>
      </c>
      <c r="L32" s="385">
        <v>0.14900000000000002</v>
      </c>
      <c r="M32" s="385">
        <v>0.151</v>
      </c>
      <c r="N32" s="386">
        <v>0.16600000000000001</v>
      </c>
      <c r="O32" s="386">
        <v>0.18899999999999997</v>
      </c>
      <c r="P32" s="386">
        <v>0.17199999999999999</v>
      </c>
      <c r="Q32" s="1437">
        <v>0.20202378838984555</v>
      </c>
      <c r="R32" s="1632">
        <v>0.17710389377355104</v>
      </c>
      <c r="S32" s="1437">
        <v>0.17527442864855139</v>
      </c>
      <c r="T32" s="2248">
        <v>0.18381690394665706</v>
      </c>
      <c r="U32" s="1189"/>
      <c r="V32" s="1434">
        <v>739</v>
      </c>
      <c r="W32" s="1434">
        <v>635</v>
      </c>
      <c r="X32" s="1434">
        <v>727</v>
      </c>
      <c r="Y32" s="1434">
        <v>863</v>
      </c>
      <c r="Z32" s="1434">
        <v>763</v>
      </c>
      <c r="AA32" s="1434">
        <v>779</v>
      </c>
      <c r="AB32" s="1434">
        <v>847</v>
      </c>
      <c r="AC32" s="1434">
        <v>805</v>
      </c>
      <c r="AD32" s="1434">
        <v>842</v>
      </c>
      <c r="AE32" s="1434">
        <v>871</v>
      </c>
      <c r="AF32" s="1434">
        <v>1043</v>
      </c>
      <c r="AG32" s="1434">
        <v>1141</v>
      </c>
      <c r="AH32" s="1350">
        <v>991</v>
      </c>
      <c r="AI32" s="1350">
        <v>1138</v>
      </c>
      <c r="AJ32" s="1642">
        <v>987</v>
      </c>
      <c r="AK32" s="1346">
        <v>974</v>
      </c>
      <c r="AL32" s="2249">
        <v>1020</v>
      </c>
    </row>
    <row r="33" spans="1:38" x14ac:dyDescent="0.25">
      <c r="A33" s="379" t="s">
        <v>72</v>
      </c>
      <c r="B33" s="380" t="s">
        <v>473</v>
      </c>
      <c r="C33" s="387" t="s">
        <v>266</v>
      </c>
      <c r="D33" s="384">
        <v>0.18300000000000002</v>
      </c>
      <c r="E33" s="385">
        <v>0.153</v>
      </c>
      <c r="F33" s="385">
        <v>0.188</v>
      </c>
      <c r="G33" s="385">
        <v>0.20599999999999999</v>
      </c>
      <c r="H33" s="385">
        <v>0.17799999999999999</v>
      </c>
      <c r="I33" s="385">
        <v>0.20799999999999999</v>
      </c>
      <c r="J33" s="385">
        <v>0.19299999999999998</v>
      </c>
      <c r="K33" s="385">
        <v>0.18500000000000003</v>
      </c>
      <c r="L33" s="385">
        <v>0.20499999999999999</v>
      </c>
      <c r="M33" s="385">
        <v>0.217</v>
      </c>
      <c r="N33" s="386">
        <v>0.23600000000000002</v>
      </c>
      <c r="O33" s="386">
        <v>0.247</v>
      </c>
      <c r="P33" s="386">
        <v>0.26</v>
      </c>
      <c r="Q33" s="1437">
        <v>0.26057906458797325</v>
      </c>
      <c r="R33" s="1632">
        <v>0.24559777571825764</v>
      </c>
      <c r="S33" s="1437">
        <v>0.26745283018867927</v>
      </c>
      <c r="T33" s="2248">
        <v>0.23986804901036757</v>
      </c>
      <c r="U33" s="1189"/>
      <c r="V33" s="1434">
        <v>412</v>
      </c>
      <c r="W33" s="1434">
        <v>344</v>
      </c>
      <c r="X33" s="1434">
        <v>429</v>
      </c>
      <c r="Y33" s="1434">
        <v>475</v>
      </c>
      <c r="Z33" s="1434">
        <v>401</v>
      </c>
      <c r="AA33" s="1434">
        <v>463</v>
      </c>
      <c r="AB33" s="1434">
        <v>431</v>
      </c>
      <c r="AC33" s="1434">
        <v>430</v>
      </c>
      <c r="AD33" s="1434">
        <v>472</v>
      </c>
      <c r="AE33" s="1434">
        <v>511</v>
      </c>
      <c r="AF33" s="1434">
        <v>562</v>
      </c>
      <c r="AG33" s="1434">
        <v>581</v>
      </c>
      <c r="AH33" s="1350">
        <v>608</v>
      </c>
      <c r="AI33" s="1350">
        <v>585</v>
      </c>
      <c r="AJ33" s="1642">
        <v>530</v>
      </c>
      <c r="AK33" s="1346">
        <v>567</v>
      </c>
      <c r="AL33" s="2249">
        <v>509</v>
      </c>
    </row>
    <row r="34" spans="1:38" x14ac:dyDescent="0.25">
      <c r="A34" s="379" t="s">
        <v>74</v>
      </c>
      <c r="B34" s="380" t="s">
        <v>609</v>
      </c>
      <c r="C34" s="387" t="s">
        <v>267</v>
      </c>
      <c r="D34" s="384">
        <v>5.6980692580757518E-2</v>
      </c>
      <c r="E34" s="385">
        <v>5.4791857402856935E-2</v>
      </c>
      <c r="F34" s="385">
        <v>6.0754586948858096E-2</v>
      </c>
      <c r="G34" s="385">
        <v>6.8447406952050621E-2</v>
      </c>
      <c r="H34" s="385">
        <v>6.3557765840483643E-2</v>
      </c>
      <c r="I34" s="385">
        <v>6.3590983205997847E-2</v>
      </c>
      <c r="J34" s="385">
        <v>5.775728967223534E-2</v>
      </c>
      <c r="K34" s="385">
        <v>6.1628252698446059E-2</v>
      </c>
      <c r="L34" s="385">
        <v>6.3773625796764905E-2</v>
      </c>
      <c r="M34" s="385">
        <v>6.8738335644825926E-2</v>
      </c>
      <c r="N34" s="386">
        <v>7.2617408043070833E-2</v>
      </c>
      <c r="O34" s="386">
        <v>8.9207187298385601E-2</v>
      </c>
      <c r="P34" s="386">
        <v>7.8E-2</v>
      </c>
      <c r="Q34" s="1437">
        <v>7.6301450489454428E-2</v>
      </c>
      <c r="R34" s="1632">
        <v>8.5946163927815303E-2</v>
      </c>
      <c r="S34" s="1437">
        <v>7.4455229829706343E-2</v>
      </c>
      <c r="T34" s="2248">
        <v>7.1185987044598845E-2</v>
      </c>
      <c r="U34" s="1189"/>
      <c r="V34" s="1434">
        <v>14781</v>
      </c>
      <c r="W34" s="1434">
        <v>14104</v>
      </c>
      <c r="X34" s="1434">
        <v>15917</v>
      </c>
      <c r="Y34" s="1434">
        <v>18019</v>
      </c>
      <c r="Z34" s="1434">
        <v>16697</v>
      </c>
      <c r="AA34" s="1434">
        <v>16645</v>
      </c>
      <c r="AB34" s="1434">
        <v>14925</v>
      </c>
      <c r="AC34" s="1434">
        <v>15368</v>
      </c>
      <c r="AD34" s="1434">
        <v>16089</v>
      </c>
      <c r="AE34" s="1434">
        <v>17979</v>
      </c>
      <c r="AF34" s="1434">
        <v>19599</v>
      </c>
      <c r="AG34" s="1434">
        <v>24059</v>
      </c>
      <c r="AH34" s="1350">
        <v>21279</v>
      </c>
      <c r="AI34" s="1350">
        <v>21131</v>
      </c>
      <c r="AJ34" s="1642">
        <v>23870</v>
      </c>
      <c r="AK34" s="1346">
        <v>20641</v>
      </c>
      <c r="AL34" s="2249">
        <v>19682</v>
      </c>
    </row>
    <row r="35" spans="1:38" x14ac:dyDescent="0.25">
      <c r="A35" s="379" t="s">
        <v>76</v>
      </c>
      <c r="B35" s="380" t="s">
        <v>474</v>
      </c>
      <c r="C35" s="387" t="s">
        <v>267</v>
      </c>
      <c r="D35" s="384">
        <v>6.5000000000000002E-2</v>
      </c>
      <c r="E35" s="385">
        <v>5.4000000000000006E-2</v>
      </c>
      <c r="F35" s="385">
        <v>6.0999999999999999E-2</v>
      </c>
      <c r="G35" s="385">
        <v>6.9999999999999993E-2</v>
      </c>
      <c r="H35" s="385">
        <v>6.4000000000000001E-2</v>
      </c>
      <c r="I35" s="385">
        <v>0.06</v>
      </c>
      <c r="J35" s="385">
        <v>5.9000000000000004E-2</v>
      </c>
      <c r="K35" s="385">
        <v>0.06</v>
      </c>
      <c r="L35" s="385">
        <v>7.2999999999999995E-2</v>
      </c>
      <c r="M35" s="385">
        <v>0.08</v>
      </c>
      <c r="N35" s="386">
        <v>9.0999999999999998E-2</v>
      </c>
      <c r="O35" s="386">
        <v>8.8000000000000009E-2</v>
      </c>
      <c r="P35" s="386">
        <v>8.5999999999999993E-2</v>
      </c>
      <c r="Q35" s="1437">
        <v>8.8117573483427136E-2</v>
      </c>
      <c r="R35" s="1632">
        <v>9.4386487829110785E-2</v>
      </c>
      <c r="S35" s="1437">
        <v>8.3208955223880596E-2</v>
      </c>
      <c r="T35" s="2248">
        <v>7.1558825378859339E-2</v>
      </c>
      <c r="U35" s="1189"/>
      <c r="V35" s="1434">
        <v>975</v>
      </c>
      <c r="W35" s="1434">
        <v>814</v>
      </c>
      <c r="X35" s="1434">
        <v>945</v>
      </c>
      <c r="Y35" s="1434">
        <v>1101</v>
      </c>
      <c r="Z35" s="1434">
        <v>1017</v>
      </c>
      <c r="AA35" s="1434">
        <v>948</v>
      </c>
      <c r="AB35" s="1434">
        <v>917</v>
      </c>
      <c r="AC35" s="1434">
        <v>966</v>
      </c>
      <c r="AD35" s="1434">
        <v>1162</v>
      </c>
      <c r="AE35" s="1434">
        <v>1350</v>
      </c>
      <c r="AF35" s="1434">
        <v>1480</v>
      </c>
      <c r="AG35" s="1434">
        <v>1421</v>
      </c>
      <c r="AH35" s="1350">
        <v>1364</v>
      </c>
      <c r="AI35" s="1350">
        <v>1409</v>
      </c>
      <c r="AJ35" s="1642">
        <v>1520</v>
      </c>
      <c r="AK35" s="1346">
        <v>1338</v>
      </c>
      <c r="AL35" s="2249">
        <v>1138</v>
      </c>
    </row>
    <row r="36" spans="1:38" x14ac:dyDescent="0.25">
      <c r="A36" s="379" t="s">
        <v>78</v>
      </c>
      <c r="B36" s="380" t="s">
        <v>475</v>
      </c>
      <c r="C36" s="387" t="s">
        <v>268</v>
      </c>
      <c r="D36" s="384">
        <v>0.14499999999999999</v>
      </c>
      <c r="E36" s="385">
        <v>0.13</v>
      </c>
      <c r="F36" s="385">
        <v>0.14800000000000002</v>
      </c>
      <c r="G36" s="385">
        <v>0.16</v>
      </c>
      <c r="H36" s="385">
        <v>0.14199999999999999</v>
      </c>
      <c r="I36" s="385">
        <v>0.16</v>
      </c>
      <c r="J36" s="385">
        <v>0.187</v>
      </c>
      <c r="K36" s="385">
        <v>0.16</v>
      </c>
      <c r="L36" s="385">
        <v>0.16699999999999998</v>
      </c>
      <c r="M36" s="385">
        <v>0.192</v>
      </c>
      <c r="N36" s="386">
        <v>0.19600000000000001</v>
      </c>
      <c r="O36" s="386">
        <v>0.20899999999999999</v>
      </c>
      <c r="P36" s="386">
        <v>0.20100000000000001</v>
      </c>
      <c r="Q36" s="1437">
        <v>0.21148989898989898</v>
      </c>
      <c r="R36" s="1632">
        <v>0.19955513187162377</v>
      </c>
      <c r="S36" s="1437">
        <v>0.18199052132701421</v>
      </c>
      <c r="T36" s="2248">
        <v>0.1722702529618956</v>
      </c>
      <c r="U36" s="1189"/>
      <c r="V36" s="1434">
        <v>442</v>
      </c>
      <c r="W36" s="1434">
        <v>397</v>
      </c>
      <c r="X36" s="1434">
        <v>451</v>
      </c>
      <c r="Y36" s="1434">
        <v>493</v>
      </c>
      <c r="Z36" s="1434">
        <v>443</v>
      </c>
      <c r="AA36" s="1434">
        <v>492</v>
      </c>
      <c r="AB36" s="1434">
        <v>568</v>
      </c>
      <c r="AC36" s="1434">
        <v>487</v>
      </c>
      <c r="AD36" s="1434">
        <v>511</v>
      </c>
      <c r="AE36" s="1434">
        <v>591</v>
      </c>
      <c r="AF36" s="1434">
        <v>650</v>
      </c>
      <c r="AG36" s="1434">
        <v>682</v>
      </c>
      <c r="AH36" s="1350">
        <v>643</v>
      </c>
      <c r="AI36" s="1350">
        <v>670</v>
      </c>
      <c r="AJ36" s="1642">
        <v>628</v>
      </c>
      <c r="AK36" s="1346">
        <v>576</v>
      </c>
      <c r="AL36" s="2249">
        <v>538</v>
      </c>
    </row>
    <row r="37" spans="1:38" x14ac:dyDescent="0.25">
      <c r="A37" s="379" t="s">
        <v>80</v>
      </c>
      <c r="B37" s="380" t="s">
        <v>476</v>
      </c>
      <c r="C37" s="387" t="s">
        <v>266</v>
      </c>
      <c r="D37" s="384">
        <v>0.09</v>
      </c>
      <c r="E37" s="385">
        <v>7.0000000000000007E-2</v>
      </c>
      <c r="F37" s="385">
        <v>7.8E-2</v>
      </c>
      <c r="G37" s="385">
        <v>8.4000000000000005E-2</v>
      </c>
      <c r="H37" s="385">
        <v>7.4999999999999997E-2</v>
      </c>
      <c r="I37" s="385">
        <v>0.109</v>
      </c>
      <c r="J37" s="385">
        <v>7.6999999999999999E-2</v>
      </c>
      <c r="K37" s="385">
        <v>7.9000000000000001E-2</v>
      </c>
      <c r="L37" s="385">
        <v>8.3000000000000004E-2</v>
      </c>
      <c r="M37" s="385">
        <v>9.0999999999999998E-2</v>
      </c>
      <c r="N37" s="386">
        <v>9.1999999999999985E-2</v>
      </c>
      <c r="O37" s="386">
        <v>0.10199999999999999</v>
      </c>
      <c r="P37" s="386">
        <v>0.108</v>
      </c>
      <c r="Q37" s="1437">
        <v>0.10471392587261605</v>
      </c>
      <c r="R37" s="1632">
        <v>0.10674465362822153</v>
      </c>
      <c r="S37" s="1437">
        <v>0.1036653091447612</v>
      </c>
      <c r="T37" s="2248">
        <v>9.7776940467219298E-2</v>
      </c>
      <c r="U37" s="1189"/>
      <c r="V37" s="1434">
        <v>438</v>
      </c>
      <c r="W37" s="1434">
        <v>356</v>
      </c>
      <c r="X37" s="1434">
        <v>412</v>
      </c>
      <c r="Y37" s="1434">
        <v>465</v>
      </c>
      <c r="Z37" s="1434">
        <v>427</v>
      </c>
      <c r="AA37" s="1434">
        <v>615</v>
      </c>
      <c r="AB37" s="1434">
        <v>435</v>
      </c>
      <c r="AC37" s="1434">
        <v>468</v>
      </c>
      <c r="AD37" s="1434">
        <v>491</v>
      </c>
      <c r="AE37" s="1434">
        <v>525</v>
      </c>
      <c r="AF37" s="1434">
        <v>540</v>
      </c>
      <c r="AG37" s="1434">
        <v>589</v>
      </c>
      <c r="AH37" s="1350">
        <v>614</v>
      </c>
      <c r="AI37" s="1350">
        <v>582</v>
      </c>
      <c r="AJ37" s="1642">
        <v>584</v>
      </c>
      <c r="AK37" s="1346">
        <v>560</v>
      </c>
      <c r="AL37" s="2249">
        <v>519</v>
      </c>
    </row>
    <row r="38" spans="1:38" x14ac:dyDescent="0.25">
      <c r="A38" s="379" t="s">
        <v>84</v>
      </c>
      <c r="B38" s="380" t="s">
        <v>85</v>
      </c>
      <c r="C38" s="387" t="s">
        <v>265</v>
      </c>
      <c r="D38" s="384">
        <v>0.14800000000000002</v>
      </c>
      <c r="E38" s="385">
        <v>0.14300000000000002</v>
      </c>
      <c r="F38" s="385">
        <v>0.16999999999999998</v>
      </c>
      <c r="G38" s="385">
        <v>0.18</v>
      </c>
      <c r="H38" s="385">
        <v>0.154</v>
      </c>
      <c r="I38" s="385">
        <v>0.161</v>
      </c>
      <c r="J38" s="385">
        <v>0.159</v>
      </c>
      <c r="K38" s="385">
        <v>0.17300000000000001</v>
      </c>
      <c r="L38" s="385">
        <v>0.18699999999999997</v>
      </c>
      <c r="M38" s="385">
        <v>0.21699999999999997</v>
      </c>
      <c r="N38" s="386">
        <v>0.21600000000000003</v>
      </c>
      <c r="O38" s="386">
        <v>0.217</v>
      </c>
      <c r="P38" s="386">
        <v>0.21</v>
      </c>
      <c r="Q38" s="1437">
        <v>0.22638749199963426</v>
      </c>
      <c r="R38" s="1632">
        <v>0.23911452616172704</v>
      </c>
      <c r="S38" s="1437">
        <v>0.19117921883760045</v>
      </c>
      <c r="T38" s="2248">
        <v>0.18407960199004975</v>
      </c>
      <c r="U38" s="1189"/>
      <c r="V38" s="1434">
        <v>1545</v>
      </c>
      <c r="W38" s="1434">
        <v>1497</v>
      </c>
      <c r="X38" s="1434">
        <v>1809</v>
      </c>
      <c r="Y38" s="1434">
        <v>1906</v>
      </c>
      <c r="Z38" s="1434">
        <v>1633</v>
      </c>
      <c r="AA38" s="1434">
        <v>1690</v>
      </c>
      <c r="AB38" s="1434">
        <v>1647</v>
      </c>
      <c r="AC38" s="1434">
        <v>1818</v>
      </c>
      <c r="AD38" s="1434">
        <v>1945</v>
      </c>
      <c r="AE38" s="1434">
        <v>2267</v>
      </c>
      <c r="AF38" s="1434">
        <v>2478</v>
      </c>
      <c r="AG38" s="1434">
        <v>2460</v>
      </c>
      <c r="AH38" s="1350">
        <v>2332</v>
      </c>
      <c r="AI38" s="1350">
        <v>2476</v>
      </c>
      <c r="AJ38" s="1642">
        <v>2614</v>
      </c>
      <c r="AK38" s="1346">
        <v>2046</v>
      </c>
      <c r="AL38" s="2249">
        <v>1961</v>
      </c>
    </row>
    <row r="39" spans="1:38" x14ac:dyDescent="0.25">
      <c r="A39" s="379" t="s">
        <v>86</v>
      </c>
      <c r="B39" s="380" t="s">
        <v>477</v>
      </c>
      <c r="C39" s="387" t="s">
        <v>267</v>
      </c>
      <c r="D39" s="384">
        <v>8.4000000000000005E-2</v>
      </c>
      <c r="E39" s="385">
        <v>7.4999999999999997E-2</v>
      </c>
      <c r="F39" s="385">
        <v>8.1000000000000003E-2</v>
      </c>
      <c r="G39" s="385">
        <v>9.1999999999999998E-2</v>
      </c>
      <c r="H39" s="385">
        <v>0.08</v>
      </c>
      <c r="I39" s="385">
        <v>7.9000000000000015E-2</v>
      </c>
      <c r="J39" s="385">
        <v>8.3000000000000004E-2</v>
      </c>
      <c r="K39" s="385">
        <v>8.8000000000000009E-2</v>
      </c>
      <c r="L39" s="385">
        <v>9.8000000000000004E-2</v>
      </c>
      <c r="M39" s="385">
        <v>0.11800000000000001</v>
      </c>
      <c r="N39" s="386">
        <v>0.10999999999999999</v>
      </c>
      <c r="O39" s="386">
        <v>0.124</v>
      </c>
      <c r="P39" s="386">
        <v>0.12</v>
      </c>
      <c r="Q39" s="1437">
        <v>0.11627662371811727</v>
      </c>
      <c r="R39" s="1632">
        <v>0.11542899097965177</v>
      </c>
      <c r="S39" s="1437">
        <v>0.10672890334085068</v>
      </c>
      <c r="T39" s="2248">
        <v>9.9329070133137645E-2</v>
      </c>
      <c r="U39" s="1189"/>
      <c r="V39" s="1434">
        <v>1306</v>
      </c>
      <c r="W39" s="1434">
        <v>1168</v>
      </c>
      <c r="X39" s="1434">
        <v>1295</v>
      </c>
      <c r="Y39" s="1434">
        <v>1490</v>
      </c>
      <c r="Z39" s="1434">
        <v>1347</v>
      </c>
      <c r="AA39" s="1434">
        <v>1314</v>
      </c>
      <c r="AB39" s="1434">
        <v>1385</v>
      </c>
      <c r="AC39" s="1434">
        <v>1559</v>
      </c>
      <c r="AD39" s="1434">
        <v>1733</v>
      </c>
      <c r="AE39" s="1434">
        <v>2218</v>
      </c>
      <c r="AF39" s="1434">
        <v>2140</v>
      </c>
      <c r="AG39" s="1434">
        <v>2396</v>
      </c>
      <c r="AH39" s="1350">
        <v>2303</v>
      </c>
      <c r="AI39" s="1350">
        <v>2211</v>
      </c>
      <c r="AJ39" s="1642">
        <v>2201</v>
      </c>
      <c r="AK39" s="1346">
        <v>2035</v>
      </c>
      <c r="AL39" s="2249">
        <v>1895</v>
      </c>
    </row>
    <row r="40" spans="1:38" x14ac:dyDescent="0.25">
      <c r="A40" s="379" t="s">
        <v>92</v>
      </c>
      <c r="B40" s="380" t="s">
        <v>478</v>
      </c>
      <c r="C40" s="387" t="s">
        <v>268</v>
      </c>
      <c r="D40" s="384">
        <v>0.13300000000000001</v>
      </c>
      <c r="E40" s="385">
        <v>0.125</v>
      </c>
      <c r="F40" s="385">
        <v>0.14799999999999999</v>
      </c>
      <c r="G40" s="385">
        <v>0.16499999999999998</v>
      </c>
      <c r="H40" s="385">
        <v>0.14000000000000001</v>
      </c>
      <c r="I40" s="385">
        <v>0.16300000000000001</v>
      </c>
      <c r="J40" s="385">
        <v>0.153</v>
      </c>
      <c r="K40" s="385">
        <v>0.14400000000000002</v>
      </c>
      <c r="L40" s="385">
        <v>0.16699999999999998</v>
      </c>
      <c r="M40" s="385">
        <v>0.18300000000000002</v>
      </c>
      <c r="N40" s="386">
        <v>0.18899999999999997</v>
      </c>
      <c r="O40" s="386">
        <v>0.191</v>
      </c>
      <c r="P40" s="386">
        <v>0.17699999999999999</v>
      </c>
      <c r="Q40" s="1437">
        <v>0.17842799770510614</v>
      </c>
      <c r="R40" s="1632">
        <v>0.18221574344023322</v>
      </c>
      <c r="S40" s="1437">
        <v>0.17620751341681573</v>
      </c>
      <c r="T40" s="2248">
        <v>0.17701953922426364</v>
      </c>
      <c r="U40" s="1189"/>
      <c r="V40" s="1434">
        <v>492</v>
      </c>
      <c r="W40" s="1434">
        <v>455</v>
      </c>
      <c r="X40" s="1434">
        <v>550</v>
      </c>
      <c r="Y40" s="1434">
        <v>615</v>
      </c>
      <c r="Z40" s="1434">
        <v>525</v>
      </c>
      <c r="AA40" s="1434">
        <v>600</v>
      </c>
      <c r="AB40" s="1434">
        <v>561</v>
      </c>
      <c r="AC40" s="1434">
        <v>524</v>
      </c>
      <c r="AD40" s="1434">
        <v>597</v>
      </c>
      <c r="AE40" s="1434">
        <v>675</v>
      </c>
      <c r="AF40" s="1434">
        <v>696</v>
      </c>
      <c r="AG40" s="1434">
        <v>677</v>
      </c>
      <c r="AH40" s="1350">
        <v>613</v>
      </c>
      <c r="AI40" s="1350">
        <v>622</v>
      </c>
      <c r="AJ40" s="1642">
        <v>625</v>
      </c>
      <c r="AK40" s="1346">
        <v>591</v>
      </c>
      <c r="AL40" s="2249">
        <v>607</v>
      </c>
    </row>
    <row r="41" spans="1:38" x14ac:dyDescent="0.25">
      <c r="A41" s="379" t="s">
        <v>94</v>
      </c>
      <c r="B41" s="380" t="s">
        <v>479</v>
      </c>
      <c r="C41" s="387" t="s">
        <v>264</v>
      </c>
      <c r="D41" s="384">
        <v>0.11900000000000001</v>
      </c>
      <c r="E41" s="385">
        <v>0.10400000000000001</v>
      </c>
      <c r="F41" s="385">
        <v>0.11899999999999999</v>
      </c>
      <c r="G41" s="385">
        <v>0.129</v>
      </c>
      <c r="H41" s="385">
        <v>0.11700000000000001</v>
      </c>
      <c r="I41" s="385">
        <v>0.126</v>
      </c>
      <c r="J41" s="385">
        <v>0.125</v>
      </c>
      <c r="K41" s="385">
        <v>0.12000000000000001</v>
      </c>
      <c r="L41" s="385">
        <v>0.13300000000000001</v>
      </c>
      <c r="M41" s="385">
        <v>0.13499999999999998</v>
      </c>
      <c r="N41" s="386">
        <v>0.14099999999999999</v>
      </c>
      <c r="O41" s="386">
        <v>0.151</v>
      </c>
      <c r="P41" s="386">
        <v>0.151</v>
      </c>
      <c r="Q41" s="1437">
        <v>0.16014570966001079</v>
      </c>
      <c r="R41" s="1632">
        <v>0.15231345279486494</v>
      </c>
      <c r="S41" s="1437">
        <v>0.14701542588866531</v>
      </c>
      <c r="T41" s="2248">
        <v>0.13656505975560629</v>
      </c>
      <c r="U41" s="1189"/>
      <c r="V41" s="1434">
        <v>1069</v>
      </c>
      <c r="W41" s="1434">
        <v>919</v>
      </c>
      <c r="X41" s="1434">
        <v>1073</v>
      </c>
      <c r="Y41" s="1434">
        <v>1136</v>
      </c>
      <c r="Z41" s="1434">
        <v>1032</v>
      </c>
      <c r="AA41" s="1434">
        <v>1093</v>
      </c>
      <c r="AB41" s="1434">
        <v>1066</v>
      </c>
      <c r="AC41" s="1434">
        <v>1028</v>
      </c>
      <c r="AD41" s="1434">
        <v>1118</v>
      </c>
      <c r="AE41" s="1434">
        <v>1156</v>
      </c>
      <c r="AF41" s="1434">
        <v>1134</v>
      </c>
      <c r="AG41" s="1434">
        <v>1175</v>
      </c>
      <c r="AH41" s="1350">
        <v>1154</v>
      </c>
      <c r="AI41" s="1350">
        <v>1187</v>
      </c>
      <c r="AJ41" s="1642">
        <v>1139</v>
      </c>
      <c r="AK41" s="1346">
        <v>1096</v>
      </c>
      <c r="AL41" s="2249">
        <v>1017</v>
      </c>
    </row>
    <row r="42" spans="1:38" x14ac:dyDescent="0.25">
      <c r="A42" s="379" t="s">
        <v>96</v>
      </c>
      <c r="B42" s="380" t="s">
        <v>480</v>
      </c>
      <c r="C42" s="387" t="s">
        <v>266</v>
      </c>
      <c r="D42" s="384">
        <v>8.6999999999999994E-2</v>
      </c>
      <c r="E42" s="385">
        <v>6.8000000000000005E-2</v>
      </c>
      <c r="F42" s="385">
        <v>7.8E-2</v>
      </c>
      <c r="G42" s="385">
        <v>9.0999999999999998E-2</v>
      </c>
      <c r="H42" s="385">
        <v>0.08</v>
      </c>
      <c r="I42" s="385">
        <v>7.9000000000000001E-2</v>
      </c>
      <c r="J42" s="385">
        <v>7.4999999999999997E-2</v>
      </c>
      <c r="K42" s="385">
        <v>6.9999999999999993E-2</v>
      </c>
      <c r="L42" s="385">
        <v>7.4999999999999997E-2</v>
      </c>
      <c r="M42" s="385">
        <v>8.8000000000000009E-2</v>
      </c>
      <c r="N42" s="386">
        <v>9.8000000000000004E-2</v>
      </c>
      <c r="O42" s="386">
        <v>0.10400000000000001</v>
      </c>
      <c r="P42" s="386">
        <v>9.2999999999999999E-2</v>
      </c>
      <c r="Q42" s="1437">
        <v>9.4548133595284869E-2</v>
      </c>
      <c r="R42" s="1632">
        <v>0.10357403355215171</v>
      </c>
      <c r="S42" s="1437">
        <v>9.837278106508876E-2</v>
      </c>
      <c r="T42" s="2248">
        <v>8.5521561069621777E-2</v>
      </c>
      <c r="U42" s="1189"/>
      <c r="V42" s="1434">
        <v>304</v>
      </c>
      <c r="W42" s="1434">
        <v>243</v>
      </c>
      <c r="X42" s="1434">
        <v>293</v>
      </c>
      <c r="Y42" s="1434">
        <v>349</v>
      </c>
      <c r="Z42" s="1434">
        <v>309</v>
      </c>
      <c r="AA42" s="1434">
        <v>301</v>
      </c>
      <c r="AB42" s="1434">
        <v>291</v>
      </c>
      <c r="AC42" s="1434">
        <v>292</v>
      </c>
      <c r="AD42" s="1434">
        <v>314</v>
      </c>
      <c r="AE42" s="1434">
        <v>361</v>
      </c>
      <c r="AF42" s="1434">
        <v>423</v>
      </c>
      <c r="AG42" s="1434">
        <v>437</v>
      </c>
      <c r="AH42" s="1350">
        <v>382</v>
      </c>
      <c r="AI42" s="1350">
        <v>385</v>
      </c>
      <c r="AJ42" s="1642">
        <v>426</v>
      </c>
      <c r="AK42" s="1346">
        <v>399</v>
      </c>
      <c r="AL42" s="2249">
        <v>355</v>
      </c>
    </row>
    <row r="43" spans="1:38" x14ac:dyDescent="0.25">
      <c r="A43" s="379" t="s">
        <v>98</v>
      </c>
      <c r="B43" s="380" t="s">
        <v>481</v>
      </c>
      <c r="C43" s="387" t="s">
        <v>268</v>
      </c>
      <c r="D43" s="384">
        <v>0.19900000000000001</v>
      </c>
      <c r="E43" s="385">
        <v>0.19</v>
      </c>
      <c r="F43" s="385">
        <v>0.217</v>
      </c>
      <c r="G43" s="385">
        <v>0.24100000000000002</v>
      </c>
      <c r="H43" s="385">
        <v>0.20699999999999999</v>
      </c>
      <c r="I43" s="385">
        <v>0.255</v>
      </c>
      <c r="J43" s="385">
        <v>0.23299999999999998</v>
      </c>
      <c r="K43" s="385">
        <v>0.23199999999999998</v>
      </c>
      <c r="L43" s="385">
        <v>0.25700000000000001</v>
      </c>
      <c r="M43" s="385">
        <v>0.25600000000000001</v>
      </c>
      <c r="N43" s="386">
        <v>0.27400000000000002</v>
      </c>
      <c r="O43" s="386">
        <v>0.28999999999999998</v>
      </c>
      <c r="P43" s="386">
        <v>0.27</v>
      </c>
      <c r="Q43" s="1437">
        <v>0.29069767441860467</v>
      </c>
      <c r="R43" s="1632">
        <v>0.29037092544023979</v>
      </c>
      <c r="S43" s="1437">
        <v>0.29437545653761871</v>
      </c>
      <c r="T43" s="2248">
        <v>0.25854383358098071</v>
      </c>
      <c r="U43" s="1189"/>
      <c r="V43" s="1434">
        <v>672</v>
      </c>
      <c r="W43" s="1434">
        <v>629</v>
      </c>
      <c r="X43" s="1434">
        <v>718</v>
      </c>
      <c r="Y43" s="1434">
        <v>794</v>
      </c>
      <c r="Z43" s="1434">
        <v>668</v>
      </c>
      <c r="AA43" s="1434">
        <v>812</v>
      </c>
      <c r="AB43" s="1434">
        <v>716</v>
      </c>
      <c r="AC43" s="1434">
        <v>694</v>
      </c>
      <c r="AD43" s="1434">
        <v>752</v>
      </c>
      <c r="AE43" s="1434">
        <v>739</v>
      </c>
      <c r="AF43" s="1434">
        <v>796</v>
      </c>
      <c r="AG43" s="1434">
        <v>816</v>
      </c>
      <c r="AH43" s="1350">
        <v>735</v>
      </c>
      <c r="AI43" s="1350">
        <v>775</v>
      </c>
      <c r="AJ43" s="1642">
        <v>775</v>
      </c>
      <c r="AK43" s="1346">
        <v>806</v>
      </c>
      <c r="AL43" s="2249">
        <v>696</v>
      </c>
    </row>
    <row r="44" spans="1:38" x14ac:dyDescent="0.25">
      <c r="A44" s="379" t="s">
        <v>100</v>
      </c>
      <c r="B44" s="380" t="s">
        <v>482</v>
      </c>
      <c r="C44" s="387" t="s">
        <v>267</v>
      </c>
      <c r="D44" s="384">
        <v>9.5999999999999988E-2</v>
      </c>
      <c r="E44" s="385">
        <v>8.7000000000000008E-2</v>
      </c>
      <c r="F44" s="385">
        <v>9.9000000000000005E-2</v>
      </c>
      <c r="G44" s="385">
        <v>0.10900000000000001</v>
      </c>
      <c r="H44" s="385">
        <v>0.10099999999999999</v>
      </c>
      <c r="I44" s="385">
        <v>0.11099999999999999</v>
      </c>
      <c r="J44" s="385">
        <v>0.10300000000000001</v>
      </c>
      <c r="K44" s="385">
        <v>0.10100000000000001</v>
      </c>
      <c r="L44" s="385">
        <v>0.109</v>
      </c>
      <c r="M44" s="385">
        <v>0.12099999999999998</v>
      </c>
      <c r="N44" s="386">
        <v>0.13300000000000001</v>
      </c>
      <c r="O44" s="386">
        <v>0.13900000000000001</v>
      </c>
      <c r="P44" s="386">
        <v>0.13600000000000001</v>
      </c>
      <c r="Q44" s="1437">
        <v>0.1660746003552398</v>
      </c>
      <c r="R44" s="1632">
        <v>0.13803680981595093</v>
      </c>
      <c r="S44" s="1437">
        <v>0.13877281724213766</v>
      </c>
      <c r="T44" s="2248">
        <v>0.12766884531590414</v>
      </c>
      <c r="U44" s="1189"/>
      <c r="V44" s="1434">
        <v>409</v>
      </c>
      <c r="W44" s="1434">
        <v>383</v>
      </c>
      <c r="X44" s="1434">
        <v>454</v>
      </c>
      <c r="Y44" s="1434">
        <v>505</v>
      </c>
      <c r="Z44" s="1434">
        <v>475</v>
      </c>
      <c r="AA44" s="1434">
        <v>518</v>
      </c>
      <c r="AB44" s="1434">
        <v>476</v>
      </c>
      <c r="AC44" s="1434">
        <v>473</v>
      </c>
      <c r="AD44" s="1434">
        <v>507</v>
      </c>
      <c r="AE44" s="1434">
        <v>559</v>
      </c>
      <c r="AF44" s="1434">
        <v>607</v>
      </c>
      <c r="AG44" s="1434">
        <v>639</v>
      </c>
      <c r="AH44" s="1350">
        <v>616</v>
      </c>
      <c r="AI44" s="1350">
        <v>748</v>
      </c>
      <c r="AJ44" s="1642">
        <v>630</v>
      </c>
      <c r="AK44" s="1346">
        <v>631</v>
      </c>
      <c r="AL44" s="2249">
        <v>586</v>
      </c>
    </row>
    <row r="45" spans="1:38" x14ac:dyDescent="0.25">
      <c r="A45" s="379" t="s">
        <v>102</v>
      </c>
      <c r="B45" s="380" t="s">
        <v>742</v>
      </c>
      <c r="C45" s="387" t="s">
        <v>264</v>
      </c>
      <c r="D45" s="384">
        <v>0.20724231754161332</v>
      </c>
      <c r="E45" s="385">
        <v>0.19890120481927712</v>
      </c>
      <c r="F45" s="385">
        <v>0.20426443081771778</v>
      </c>
      <c r="G45" s="385">
        <v>0.21502171135061685</v>
      </c>
      <c r="H45" s="385">
        <v>0.19648156474820144</v>
      </c>
      <c r="I45" s="385">
        <v>0.23248045054375974</v>
      </c>
      <c r="J45" s="385">
        <v>0.23066181801881558</v>
      </c>
      <c r="K45" s="385">
        <v>0.22627145085803432</v>
      </c>
      <c r="L45" s="385">
        <v>0.25454693004130152</v>
      </c>
      <c r="M45" s="385">
        <v>0.27317842460121688</v>
      </c>
      <c r="N45" s="386">
        <v>0.28265350547965773</v>
      </c>
      <c r="O45" s="386">
        <v>0.29271916790490343</v>
      </c>
      <c r="P45" s="386">
        <v>0.29899999999999999</v>
      </c>
      <c r="Q45" s="1437">
        <v>0.33878292461398729</v>
      </c>
      <c r="R45" s="1632">
        <v>0.3291526460691343</v>
      </c>
      <c r="S45" s="1437">
        <v>0.32730109204368174</v>
      </c>
      <c r="T45" s="2248">
        <v>0.31385696040868455</v>
      </c>
      <c r="U45" s="1189"/>
      <c r="V45" s="1434">
        <v>705</v>
      </c>
      <c r="W45" s="1434">
        <v>670</v>
      </c>
      <c r="X45" s="1434">
        <v>695</v>
      </c>
      <c r="Y45" s="1434">
        <v>731</v>
      </c>
      <c r="Z45" s="1434">
        <v>660</v>
      </c>
      <c r="AA45" s="1434">
        <v>773</v>
      </c>
      <c r="AB45" s="1434">
        <v>752</v>
      </c>
      <c r="AC45" s="1434">
        <v>740</v>
      </c>
      <c r="AD45" s="1434">
        <v>830</v>
      </c>
      <c r="AE45" s="1434">
        <v>938</v>
      </c>
      <c r="AF45" s="1434">
        <v>973</v>
      </c>
      <c r="AG45" s="1434">
        <v>985</v>
      </c>
      <c r="AH45" s="1350">
        <v>992</v>
      </c>
      <c r="AI45" s="1350">
        <v>1119</v>
      </c>
      <c r="AJ45" s="1642">
        <v>1076</v>
      </c>
      <c r="AK45" s="1346">
        <v>1049</v>
      </c>
      <c r="AL45" s="2249">
        <v>983</v>
      </c>
    </row>
    <row r="46" spans="1:38" x14ac:dyDescent="0.25">
      <c r="A46" s="379" t="s">
        <v>104</v>
      </c>
      <c r="B46" s="380" t="s">
        <v>743</v>
      </c>
      <c r="C46" s="387" t="s">
        <v>265</v>
      </c>
      <c r="D46" s="384">
        <v>0.19500000000000001</v>
      </c>
      <c r="E46" s="385">
        <v>0.191</v>
      </c>
      <c r="F46" s="385">
        <v>0.22399999999999998</v>
      </c>
      <c r="G46" s="385">
        <v>0.24000000000000002</v>
      </c>
      <c r="H46" s="385">
        <v>0.21000000000000002</v>
      </c>
      <c r="I46" s="385">
        <v>0.21100000000000002</v>
      </c>
      <c r="J46" s="385">
        <v>0.24299999999999999</v>
      </c>
      <c r="K46" s="385">
        <v>0.22100000000000003</v>
      </c>
      <c r="L46" s="385">
        <v>0.23399999999999999</v>
      </c>
      <c r="M46" s="385">
        <v>0.27800000000000002</v>
      </c>
      <c r="N46" s="386">
        <v>0.28299999999999997</v>
      </c>
      <c r="O46" s="386">
        <v>0.26200000000000001</v>
      </c>
      <c r="P46" s="386">
        <v>0.28699999999999998</v>
      </c>
      <c r="Q46" s="1437">
        <v>0.28868518265152554</v>
      </c>
      <c r="R46" s="1632">
        <v>0.25322245322245324</v>
      </c>
      <c r="S46" s="1437">
        <v>0.25613154960981049</v>
      </c>
      <c r="T46" s="2248">
        <v>0.25817872822546384</v>
      </c>
      <c r="U46" s="1189"/>
      <c r="V46" s="1434">
        <v>1650</v>
      </c>
      <c r="W46" s="1434">
        <v>1584</v>
      </c>
      <c r="X46" s="1434">
        <v>1864</v>
      </c>
      <c r="Y46" s="1434">
        <v>1972</v>
      </c>
      <c r="Z46" s="1434">
        <v>1734</v>
      </c>
      <c r="AA46" s="1434">
        <v>1721</v>
      </c>
      <c r="AB46" s="1434">
        <v>1915</v>
      </c>
      <c r="AC46" s="1434">
        <v>1706</v>
      </c>
      <c r="AD46" s="1434">
        <v>1764</v>
      </c>
      <c r="AE46" s="1434">
        <v>2128</v>
      </c>
      <c r="AF46" s="1434">
        <v>2225</v>
      </c>
      <c r="AG46" s="1434">
        <v>2028</v>
      </c>
      <c r="AH46" s="1350">
        <v>2170</v>
      </c>
      <c r="AI46" s="1350">
        <v>2110</v>
      </c>
      <c r="AJ46" s="1642">
        <v>1827</v>
      </c>
      <c r="AK46" s="1346">
        <v>1838</v>
      </c>
      <c r="AL46" s="2249">
        <v>1823</v>
      </c>
    </row>
    <row r="47" spans="1:38" x14ac:dyDescent="0.25">
      <c r="A47" s="379" t="s">
        <v>108</v>
      </c>
      <c r="B47" s="380" t="s">
        <v>483</v>
      </c>
      <c r="C47" s="387" t="s">
        <v>266</v>
      </c>
      <c r="D47" s="384">
        <v>4.5999999999999999E-2</v>
      </c>
      <c r="E47" s="385">
        <v>0.04</v>
      </c>
      <c r="F47" s="385">
        <v>0.05</v>
      </c>
      <c r="G47" s="385">
        <v>5.9000000000000004E-2</v>
      </c>
      <c r="H47" s="385">
        <v>5.5999999999999994E-2</v>
      </c>
      <c r="I47" s="385">
        <v>5.5000000000000007E-2</v>
      </c>
      <c r="J47" s="385">
        <v>5.0999999999999997E-2</v>
      </c>
      <c r="K47" s="385">
        <v>5.5999999999999994E-2</v>
      </c>
      <c r="L47" s="385">
        <v>5.5E-2</v>
      </c>
      <c r="M47" s="385">
        <v>6.0999999999999992E-2</v>
      </c>
      <c r="N47" s="386">
        <v>6.4000000000000001E-2</v>
      </c>
      <c r="O47" s="386">
        <v>7.2999999999999995E-2</v>
      </c>
      <c r="P47" s="386">
        <v>7.4999999999999997E-2</v>
      </c>
      <c r="Q47" s="1437">
        <v>6.7997075394606685E-2</v>
      </c>
      <c r="R47" s="1632">
        <v>7.851149850019562E-2</v>
      </c>
      <c r="S47" s="1437">
        <v>7.1185405027932955E-2</v>
      </c>
      <c r="T47" s="2248">
        <v>6.5137934035331996E-2</v>
      </c>
      <c r="U47" s="1189"/>
      <c r="V47" s="1434">
        <v>1074</v>
      </c>
      <c r="W47" s="1434">
        <v>943</v>
      </c>
      <c r="X47" s="1434">
        <v>1198</v>
      </c>
      <c r="Y47" s="1434">
        <v>1391</v>
      </c>
      <c r="Z47" s="1434">
        <v>1329</v>
      </c>
      <c r="AA47" s="1434">
        <v>1286</v>
      </c>
      <c r="AB47" s="1434">
        <v>1196</v>
      </c>
      <c r="AC47" s="1434">
        <v>1308</v>
      </c>
      <c r="AD47" s="1434">
        <v>1274</v>
      </c>
      <c r="AE47" s="1434">
        <v>1494</v>
      </c>
      <c r="AF47" s="1434">
        <v>1582</v>
      </c>
      <c r="AG47" s="1434">
        <v>1764</v>
      </c>
      <c r="AH47" s="1350">
        <v>1746</v>
      </c>
      <c r="AI47" s="1350">
        <v>1581</v>
      </c>
      <c r="AJ47" s="1642">
        <v>1806</v>
      </c>
      <c r="AK47" s="1346">
        <v>1631</v>
      </c>
      <c r="AL47" s="2249">
        <v>1497</v>
      </c>
    </row>
    <row r="48" spans="1:38" x14ac:dyDescent="0.25">
      <c r="A48" s="379" t="s">
        <v>110</v>
      </c>
      <c r="B48" s="380" t="s">
        <v>484</v>
      </c>
      <c r="C48" s="387" t="s">
        <v>266</v>
      </c>
      <c r="D48" s="384">
        <v>8.5000000000000006E-2</v>
      </c>
      <c r="E48" s="385">
        <v>0.08</v>
      </c>
      <c r="F48" s="385">
        <v>9.0999999999999998E-2</v>
      </c>
      <c r="G48" s="385">
        <v>0.10400000000000001</v>
      </c>
      <c r="H48" s="385">
        <v>9.5999999999999988E-2</v>
      </c>
      <c r="I48" s="385">
        <v>0.10299999999999999</v>
      </c>
      <c r="J48" s="385">
        <v>0.10200000000000001</v>
      </c>
      <c r="K48" s="385">
        <v>0.11800000000000001</v>
      </c>
      <c r="L48" s="385">
        <v>0.115</v>
      </c>
      <c r="M48" s="385">
        <v>0.12699999999999997</v>
      </c>
      <c r="N48" s="386">
        <v>0.13400000000000001</v>
      </c>
      <c r="O48" s="386">
        <v>0.14899999999999999</v>
      </c>
      <c r="P48" s="386">
        <v>0.13600000000000001</v>
      </c>
      <c r="Q48" s="1437">
        <v>0.14602973657275226</v>
      </c>
      <c r="R48" s="1632">
        <v>0.17245258759241403</v>
      </c>
      <c r="S48" s="1437">
        <v>0.13011650823870111</v>
      </c>
      <c r="T48" s="2248">
        <v>0.118393036491463</v>
      </c>
      <c r="U48" s="1189"/>
      <c r="V48" s="1434">
        <v>5536</v>
      </c>
      <c r="W48" s="1434">
        <v>5204</v>
      </c>
      <c r="X48" s="1434">
        <v>6080</v>
      </c>
      <c r="Y48" s="1434">
        <v>7045</v>
      </c>
      <c r="Z48" s="1434">
        <v>6637</v>
      </c>
      <c r="AA48" s="1434">
        <v>7048</v>
      </c>
      <c r="AB48" s="1434">
        <v>6972</v>
      </c>
      <c r="AC48" s="1434">
        <v>8246</v>
      </c>
      <c r="AD48" s="1434">
        <v>8042</v>
      </c>
      <c r="AE48" s="1434">
        <v>8813</v>
      </c>
      <c r="AF48" s="1434">
        <v>9849</v>
      </c>
      <c r="AG48" s="1434">
        <v>10914</v>
      </c>
      <c r="AH48" s="1350">
        <v>10016</v>
      </c>
      <c r="AI48" s="1350">
        <v>10843</v>
      </c>
      <c r="AJ48" s="1642">
        <v>12876</v>
      </c>
      <c r="AK48" s="1346">
        <v>9705</v>
      </c>
      <c r="AL48" s="2249">
        <v>8841</v>
      </c>
    </row>
    <row r="49" spans="1:38" x14ac:dyDescent="0.25">
      <c r="A49" s="379" t="s">
        <v>112</v>
      </c>
      <c r="B49" s="380" t="s">
        <v>744</v>
      </c>
      <c r="C49" s="387" t="s">
        <v>265</v>
      </c>
      <c r="D49" s="384">
        <v>0.18630603454114458</v>
      </c>
      <c r="E49" s="385">
        <v>0.18404195178590124</v>
      </c>
      <c r="F49" s="385">
        <v>0.20421486172728284</v>
      </c>
      <c r="G49" s="385">
        <v>0.22610694318889932</v>
      </c>
      <c r="H49" s="385">
        <v>0.20544691510861401</v>
      </c>
      <c r="I49" s="385">
        <v>0.23930468656616982</v>
      </c>
      <c r="J49" s="385">
        <v>0.23114323370386328</v>
      </c>
      <c r="K49" s="385">
        <v>0.27677925198745235</v>
      </c>
      <c r="L49" s="385">
        <v>0.26291531358477926</v>
      </c>
      <c r="M49" s="385">
        <v>0.29257510477431536</v>
      </c>
      <c r="N49" s="386">
        <v>0.29068673718230797</v>
      </c>
      <c r="O49" s="386">
        <v>0.34396022228721856</v>
      </c>
      <c r="P49" s="386">
        <v>0.30599999999999999</v>
      </c>
      <c r="Q49" s="1437">
        <v>0.31474459067588667</v>
      </c>
      <c r="R49" s="1632">
        <v>0.32255892255892255</v>
      </c>
      <c r="S49" s="1437">
        <v>0.32013201320132012</v>
      </c>
      <c r="T49" s="2248">
        <v>0.29813098313326242</v>
      </c>
      <c r="U49" s="1189"/>
      <c r="V49" s="1434">
        <v>2979</v>
      </c>
      <c r="W49" s="1434">
        <v>2892</v>
      </c>
      <c r="X49" s="1434">
        <v>3231</v>
      </c>
      <c r="Y49" s="1434">
        <v>3497</v>
      </c>
      <c r="Z49" s="1434">
        <v>3140</v>
      </c>
      <c r="AA49" s="1434">
        <v>3600</v>
      </c>
      <c r="AB49" s="1434">
        <v>3363</v>
      </c>
      <c r="AC49" s="1434">
        <v>3904</v>
      </c>
      <c r="AD49" s="1434">
        <v>3649</v>
      </c>
      <c r="AE49" s="1434">
        <v>4171</v>
      </c>
      <c r="AF49" s="1434">
        <v>4023</v>
      </c>
      <c r="AG49" s="1434">
        <v>4704</v>
      </c>
      <c r="AH49" s="1350">
        <v>4158</v>
      </c>
      <c r="AI49" s="1350">
        <v>4233</v>
      </c>
      <c r="AJ49" s="1642">
        <v>4311</v>
      </c>
      <c r="AK49" s="1346">
        <v>4268</v>
      </c>
      <c r="AL49" s="2249">
        <v>3924</v>
      </c>
    </row>
    <row r="50" spans="1:38" x14ac:dyDescent="0.25">
      <c r="A50" s="379" t="s">
        <v>114</v>
      </c>
      <c r="B50" s="380" t="s">
        <v>485</v>
      </c>
      <c r="C50" s="387" t="s">
        <v>265</v>
      </c>
      <c r="D50" s="384">
        <v>0.18600000000000003</v>
      </c>
      <c r="E50" s="385">
        <v>0.14699999999999999</v>
      </c>
      <c r="F50" s="385">
        <v>0.158</v>
      </c>
      <c r="G50" s="385">
        <v>0.16500000000000001</v>
      </c>
      <c r="H50" s="385">
        <v>0.13900000000000001</v>
      </c>
      <c r="I50" s="385">
        <v>0.17300000000000001</v>
      </c>
      <c r="J50" s="385">
        <v>0.16899999999999998</v>
      </c>
      <c r="K50" s="385">
        <v>0.17800000000000002</v>
      </c>
      <c r="L50" s="385">
        <v>0.187</v>
      </c>
      <c r="M50" s="385">
        <v>0.221</v>
      </c>
      <c r="N50" s="386">
        <v>0.22800000000000001</v>
      </c>
      <c r="O50" s="386">
        <v>0.22899999999999998</v>
      </c>
      <c r="P50" s="386">
        <v>0.21199999999999999</v>
      </c>
      <c r="Q50" s="1437">
        <v>0.24275362318840579</v>
      </c>
      <c r="R50" s="1632">
        <v>0.21843003412969283</v>
      </c>
      <c r="S50" s="1437">
        <v>0.24221453287197231</v>
      </c>
      <c r="T50" s="2248">
        <v>0.19191919191919191</v>
      </c>
      <c r="U50" s="1189"/>
      <c r="V50" s="1434">
        <v>91</v>
      </c>
      <c r="W50" s="1434">
        <v>68</v>
      </c>
      <c r="X50" s="1434">
        <v>74</v>
      </c>
      <c r="Y50" s="1434">
        <v>74</v>
      </c>
      <c r="Z50" s="1434">
        <v>59</v>
      </c>
      <c r="AA50" s="1434">
        <v>73</v>
      </c>
      <c r="AB50" s="1434">
        <v>67</v>
      </c>
      <c r="AC50" s="1434">
        <v>67</v>
      </c>
      <c r="AD50" s="1434">
        <v>67</v>
      </c>
      <c r="AE50" s="1434">
        <v>83</v>
      </c>
      <c r="AF50" s="1434">
        <v>78</v>
      </c>
      <c r="AG50" s="1434">
        <v>72</v>
      </c>
      <c r="AH50" s="1350">
        <v>62</v>
      </c>
      <c r="AI50" s="1350">
        <v>67</v>
      </c>
      <c r="AJ50" s="1642">
        <v>64</v>
      </c>
      <c r="AK50" s="1346">
        <v>70</v>
      </c>
      <c r="AL50" s="2249">
        <v>57</v>
      </c>
    </row>
    <row r="51" spans="1:38" x14ac:dyDescent="0.25">
      <c r="A51" s="379" t="s">
        <v>118</v>
      </c>
      <c r="B51" s="380" t="s">
        <v>745</v>
      </c>
      <c r="C51" s="387" t="s">
        <v>264</v>
      </c>
      <c r="D51" s="384">
        <v>0.115</v>
      </c>
      <c r="E51" s="385">
        <v>0.10099999999999999</v>
      </c>
      <c r="F51" s="385">
        <v>0.121</v>
      </c>
      <c r="G51" s="385">
        <v>0.13500000000000001</v>
      </c>
      <c r="H51" s="385">
        <v>0.115</v>
      </c>
      <c r="I51" s="385">
        <v>0.114</v>
      </c>
      <c r="J51" s="385">
        <v>0.11</v>
      </c>
      <c r="K51" s="385">
        <v>0.10699999999999998</v>
      </c>
      <c r="L51" s="385">
        <v>0.106</v>
      </c>
      <c r="M51" s="385">
        <v>0.14699999999999999</v>
      </c>
      <c r="N51" s="386">
        <v>0.12300000000000001</v>
      </c>
      <c r="O51" s="386">
        <v>0.156</v>
      </c>
      <c r="P51" s="386">
        <v>0.13300000000000001</v>
      </c>
      <c r="Q51" s="1437">
        <v>0.1397286040575037</v>
      </c>
      <c r="R51" s="1632">
        <v>0.13696084936960851</v>
      </c>
      <c r="S51" s="1437">
        <v>0.13055518923908743</v>
      </c>
      <c r="T51" s="2248">
        <v>0.12396585686145765</v>
      </c>
      <c r="U51" s="1189"/>
      <c r="V51" s="1434">
        <v>859</v>
      </c>
      <c r="W51" s="1434">
        <v>747</v>
      </c>
      <c r="X51" s="1434">
        <v>929</v>
      </c>
      <c r="Y51" s="1434">
        <v>1034</v>
      </c>
      <c r="Z51" s="1434">
        <v>880</v>
      </c>
      <c r="AA51" s="1434">
        <v>862</v>
      </c>
      <c r="AB51" s="1434">
        <v>837</v>
      </c>
      <c r="AC51" s="1434">
        <v>851</v>
      </c>
      <c r="AD51" s="1434">
        <v>830</v>
      </c>
      <c r="AE51" s="1434">
        <v>1179</v>
      </c>
      <c r="AF51" s="1434">
        <v>975</v>
      </c>
      <c r="AG51" s="1434">
        <v>1213</v>
      </c>
      <c r="AH51" s="1350">
        <v>1016</v>
      </c>
      <c r="AI51" s="1350">
        <v>1040</v>
      </c>
      <c r="AJ51" s="1642">
        <v>1032</v>
      </c>
      <c r="AK51" s="1346">
        <v>990</v>
      </c>
      <c r="AL51" s="2249">
        <v>944</v>
      </c>
    </row>
    <row r="52" spans="1:38" x14ac:dyDescent="0.25">
      <c r="A52" s="379" t="s">
        <v>120</v>
      </c>
      <c r="B52" s="380" t="s">
        <v>285</v>
      </c>
      <c r="C52" s="387" t="s">
        <v>264</v>
      </c>
      <c r="D52" s="384">
        <v>8.4999999999999992E-2</v>
      </c>
      <c r="E52" s="385">
        <v>7.6999999999999999E-2</v>
      </c>
      <c r="F52" s="385">
        <v>8.8000000000000009E-2</v>
      </c>
      <c r="G52" s="385">
        <v>9.5999999999999988E-2</v>
      </c>
      <c r="H52" s="385">
        <v>8.3000000000000004E-2</v>
      </c>
      <c r="I52" s="385">
        <v>8.0999999999999989E-2</v>
      </c>
      <c r="J52" s="385">
        <v>8.199999999999999E-2</v>
      </c>
      <c r="K52" s="385">
        <v>7.9000000000000001E-2</v>
      </c>
      <c r="L52" s="385">
        <v>0.09</v>
      </c>
      <c r="M52" s="385">
        <v>0.10300000000000001</v>
      </c>
      <c r="N52" s="386">
        <v>0.10300000000000001</v>
      </c>
      <c r="O52" s="386">
        <v>0.11199999999999999</v>
      </c>
      <c r="P52" s="386">
        <v>0.114</v>
      </c>
      <c r="Q52" s="1437">
        <v>0.1123213070115725</v>
      </c>
      <c r="R52" s="1632">
        <v>0.11459437963944857</v>
      </c>
      <c r="S52" s="1437">
        <v>0.102105762069199</v>
      </c>
      <c r="T52" s="2248">
        <v>9.3798397414315532E-2</v>
      </c>
      <c r="U52" s="1189"/>
      <c r="V52" s="1434">
        <v>946</v>
      </c>
      <c r="W52" s="1434">
        <v>872</v>
      </c>
      <c r="X52" s="1434">
        <v>1030</v>
      </c>
      <c r="Y52" s="1434">
        <v>1108</v>
      </c>
      <c r="Z52" s="1434">
        <v>989</v>
      </c>
      <c r="AA52" s="1434">
        <v>947</v>
      </c>
      <c r="AB52" s="1434">
        <v>947</v>
      </c>
      <c r="AC52" s="1434">
        <v>986</v>
      </c>
      <c r="AD52" s="1434">
        <v>1120</v>
      </c>
      <c r="AE52" s="1434">
        <v>1354</v>
      </c>
      <c r="AF52" s="1434">
        <v>1475</v>
      </c>
      <c r="AG52" s="1434">
        <v>1595</v>
      </c>
      <c r="AH52" s="1350">
        <v>1611</v>
      </c>
      <c r="AI52" s="1350">
        <v>1650</v>
      </c>
      <c r="AJ52" s="1642">
        <v>1729</v>
      </c>
      <c r="AK52" s="1346">
        <v>1508</v>
      </c>
      <c r="AL52" s="2249">
        <v>1393</v>
      </c>
    </row>
    <row r="53" spans="1:38" x14ac:dyDescent="0.25">
      <c r="A53" s="379" t="s">
        <v>122</v>
      </c>
      <c r="B53" s="380" t="s">
        <v>746</v>
      </c>
      <c r="C53" s="387" t="s">
        <v>266</v>
      </c>
      <c r="D53" s="384">
        <v>0.151</v>
      </c>
      <c r="E53" s="385">
        <v>0.13300000000000001</v>
      </c>
      <c r="F53" s="385">
        <v>0.15300000000000002</v>
      </c>
      <c r="G53" s="385">
        <v>0.16200000000000001</v>
      </c>
      <c r="H53" s="385">
        <v>0.13700000000000001</v>
      </c>
      <c r="I53" s="385">
        <v>0.17600000000000002</v>
      </c>
      <c r="J53" s="385">
        <v>0.16</v>
      </c>
      <c r="K53" s="385">
        <v>0.16300000000000001</v>
      </c>
      <c r="L53" s="385">
        <v>0.16600000000000001</v>
      </c>
      <c r="M53" s="385">
        <v>0.2</v>
      </c>
      <c r="N53" s="386">
        <v>0.19400000000000001</v>
      </c>
      <c r="O53" s="386">
        <v>0.20300000000000001</v>
      </c>
      <c r="P53" s="386">
        <v>0.20899999999999999</v>
      </c>
      <c r="Q53" s="1437">
        <v>0.21143717080511662</v>
      </c>
      <c r="R53" s="1632">
        <v>0.22874341610233259</v>
      </c>
      <c r="S53" s="1437">
        <v>0.20477290223248654</v>
      </c>
      <c r="T53" s="2248">
        <v>0.18683001531393567</v>
      </c>
      <c r="U53" s="1189"/>
      <c r="V53" s="1434">
        <v>216</v>
      </c>
      <c r="W53" s="1434">
        <v>190</v>
      </c>
      <c r="X53" s="1434">
        <v>217</v>
      </c>
      <c r="Y53" s="1434">
        <v>233</v>
      </c>
      <c r="Z53" s="1434">
        <v>199</v>
      </c>
      <c r="AA53" s="1434">
        <v>251</v>
      </c>
      <c r="AB53" s="1434">
        <v>221</v>
      </c>
      <c r="AC53" s="1434">
        <v>228</v>
      </c>
      <c r="AD53" s="1434">
        <v>226</v>
      </c>
      <c r="AE53" s="1434">
        <v>258</v>
      </c>
      <c r="AF53" s="1434">
        <v>276</v>
      </c>
      <c r="AG53" s="1434">
        <v>278</v>
      </c>
      <c r="AH53" s="1350">
        <v>278</v>
      </c>
      <c r="AI53" s="1350">
        <v>281</v>
      </c>
      <c r="AJ53" s="1642">
        <v>304</v>
      </c>
      <c r="AK53" s="1346">
        <v>266</v>
      </c>
      <c r="AL53" s="2249">
        <v>244</v>
      </c>
    </row>
    <row r="54" spans="1:38" x14ac:dyDescent="0.25">
      <c r="A54" s="379" t="s">
        <v>124</v>
      </c>
      <c r="B54" s="380" t="s">
        <v>488</v>
      </c>
      <c r="C54" s="387" t="s">
        <v>267</v>
      </c>
      <c r="D54" s="384">
        <v>9.0000000000000011E-2</v>
      </c>
      <c r="E54" s="385">
        <v>7.5999999999999984E-2</v>
      </c>
      <c r="F54" s="385">
        <v>8.5999999999999993E-2</v>
      </c>
      <c r="G54" s="385">
        <v>9.5000000000000001E-2</v>
      </c>
      <c r="H54" s="385">
        <v>0.08</v>
      </c>
      <c r="I54" s="385">
        <v>8.3000000000000004E-2</v>
      </c>
      <c r="J54" s="385">
        <v>7.6999999999999999E-2</v>
      </c>
      <c r="K54" s="385">
        <v>7.5999999999999998E-2</v>
      </c>
      <c r="L54" s="385">
        <v>0.08</v>
      </c>
      <c r="M54" s="385">
        <v>9.2999999999999999E-2</v>
      </c>
      <c r="N54" s="386">
        <v>9.0000000000000011E-2</v>
      </c>
      <c r="O54" s="386">
        <v>9.6999999999999989E-2</v>
      </c>
      <c r="P54" s="386">
        <v>0.10299999999999999</v>
      </c>
      <c r="Q54" s="1437">
        <v>0.10768522779567419</v>
      </c>
      <c r="R54" s="1632">
        <v>0.10508681084374048</v>
      </c>
      <c r="S54" s="1437">
        <v>9.5759444872783345E-2</v>
      </c>
      <c r="T54" s="2248">
        <v>8.9018943477591247E-2</v>
      </c>
      <c r="U54" s="1189"/>
      <c r="V54" s="1434">
        <v>417</v>
      </c>
      <c r="W54" s="1434">
        <v>354</v>
      </c>
      <c r="X54" s="1434">
        <v>413</v>
      </c>
      <c r="Y54" s="1434">
        <v>476</v>
      </c>
      <c r="Z54" s="1434">
        <v>425</v>
      </c>
      <c r="AA54" s="1434">
        <v>438</v>
      </c>
      <c r="AB54" s="1434">
        <v>415</v>
      </c>
      <c r="AC54" s="1434">
        <v>450</v>
      </c>
      <c r="AD54" s="1434">
        <v>484</v>
      </c>
      <c r="AE54" s="1434">
        <v>577</v>
      </c>
      <c r="AF54" s="1434">
        <v>583</v>
      </c>
      <c r="AG54" s="1434">
        <v>627</v>
      </c>
      <c r="AH54" s="1350">
        <v>659</v>
      </c>
      <c r="AI54" s="1350">
        <v>702</v>
      </c>
      <c r="AJ54" s="1642">
        <v>690</v>
      </c>
      <c r="AK54" s="1346">
        <v>621</v>
      </c>
      <c r="AL54" s="2249">
        <v>578</v>
      </c>
    </row>
    <row r="55" spans="1:38" x14ac:dyDescent="0.25">
      <c r="A55" s="379" t="s">
        <v>126</v>
      </c>
      <c r="B55" s="380" t="s">
        <v>489</v>
      </c>
      <c r="C55" s="387" t="s">
        <v>266</v>
      </c>
      <c r="D55" s="384">
        <v>9.4E-2</v>
      </c>
      <c r="E55" s="385">
        <v>7.8E-2</v>
      </c>
      <c r="F55" s="385">
        <v>8.6999999999999994E-2</v>
      </c>
      <c r="G55" s="385">
        <v>0.1</v>
      </c>
      <c r="H55" s="385">
        <v>9.0999999999999998E-2</v>
      </c>
      <c r="I55" s="385">
        <v>9.5000000000000001E-2</v>
      </c>
      <c r="J55" s="385">
        <v>9.4E-2</v>
      </c>
      <c r="K55" s="385">
        <v>8.5999999999999993E-2</v>
      </c>
      <c r="L55" s="385">
        <v>8.199999999999999E-2</v>
      </c>
      <c r="M55" s="385">
        <v>9.9000000000000005E-2</v>
      </c>
      <c r="N55" s="386">
        <v>0.11</v>
      </c>
      <c r="O55" s="386">
        <v>0.129</v>
      </c>
      <c r="P55" s="386">
        <v>0.125</v>
      </c>
      <c r="Q55" s="1437">
        <v>0.13313922710428799</v>
      </c>
      <c r="R55" s="1632">
        <v>0.13370547581073897</v>
      </c>
      <c r="S55" s="1437">
        <v>0.12160723789249601</v>
      </c>
      <c r="T55" s="2248">
        <v>0.11463087248322147</v>
      </c>
      <c r="U55" s="1189"/>
      <c r="V55" s="1434">
        <v>321</v>
      </c>
      <c r="W55" s="1434">
        <v>270</v>
      </c>
      <c r="X55" s="1434">
        <v>309</v>
      </c>
      <c r="Y55" s="1434">
        <v>361</v>
      </c>
      <c r="Z55" s="1434">
        <v>331</v>
      </c>
      <c r="AA55" s="1434">
        <v>341</v>
      </c>
      <c r="AB55" s="1434">
        <v>342</v>
      </c>
      <c r="AC55" s="1434">
        <v>328</v>
      </c>
      <c r="AD55" s="1434">
        <v>318</v>
      </c>
      <c r="AE55" s="1434">
        <v>403</v>
      </c>
      <c r="AF55" s="1434">
        <v>429</v>
      </c>
      <c r="AG55" s="1434">
        <v>495</v>
      </c>
      <c r="AH55" s="1350">
        <v>477</v>
      </c>
      <c r="AI55" s="1350">
        <v>503</v>
      </c>
      <c r="AJ55" s="1642">
        <v>503</v>
      </c>
      <c r="AK55" s="1346">
        <v>457</v>
      </c>
      <c r="AL55" s="2249">
        <v>427</v>
      </c>
    </row>
    <row r="56" spans="1:38" x14ac:dyDescent="0.25">
      <c r="A56" s="379" t="s">
        <v>128</v>
      </c>
      <c r="B56" s="380" t="s">
        <v>490</v>
      </c>
      <c r="C56" s="387" t="s">
        <v>266</v>
      </c>
      <c r="D56" s="384">
        <v>0.21500000000000002</v>
      </c>
      <c r="E56" s="385">
        <v>0.18800000000000003</v>
      </c>
      <c r="F56" s="385">
        <v>0.214</v>
      </c>
      <c r="G56" s="385">
        <v>0.22100000000000003</v>
      </c>
      <c r="H56" s="385">
        <v>0.19299999999999998</v>
      </c>
      <c r="I56" s="385">
        <v>0.22399999999999998</v>
      </c>
      <c r="J56" s="385">
        <v>0.223</v>
      </c>
      <c r="K56" s="385">
        <v>0.215</v>
      </c>
      <c r="L56" s="385">
        <v>0.224</v>
      </c>
      <c r="M56" s="385">
        <v>0.23</v>
      </c>
      <c r="N56" s="386">
        <v>0.26100000000000001</v>
      </c>
      <c r="O56" s="386">
        <v>0.27399999999999997</v>
      </c>
      <c r="P56" s="386">
        <v>0.27600000000000002</v>
      </c>
      <c r="Q56" s="1437">
        <v>0.28352941176470586</v>
      </c>
      <c r="R56" s="1632">
        <v>0.26364193746167996</v>
      </c>
      <c r="S56" s="1437">
        <v>0.26169405815423513</v>
      </c>
      <c r="T56" s="2248">
        <v>0.26958667489204197</v>
      </c>
      <c r="U56" s="1189"/>
      <c r="V56" s="1434">
        <v>462</v>
      </c>
      <c r="W56" s="1434">
        <v>394</v>
      </c>
      <c r="X56" s="1434">
        <v>454</v>
      </c>
      <c r="Y56" s="1434">
        <v>461</v>
      </c>
      <c r="Z56" s="1434">
        <v>396</v>
      </c>
      <c r="AA56" s="1434">
        <v>454</v>
      </c>
      <c r="AB56" s="1434">
        <v>435</v>
      </c>
      <c r="AC56" s="1434">
        <v>426</v>
      </c>
      <c r="AD56" s="1434">
        <v>428</v>
      </c>
      <c r="AE56" s="1434">
        <v>427</v>
      </c>
      <c r="AF56" s="1434">
        <v>470</v>
      </c>
      <c r="AG56" s="1434">
        <v>483</v>
      </c>
      <c r="AH56" s="1350">
        <v>470</v>
      </c>
      <c r="AI56" s="1350">
        <v>482</v>
      </c>
      <c r="AJ56" s="1642">
        <v>430</v>
      </c>
      <c r="AK56" s="1346">
        <v>414</v>
      </c>
      <c r="AL56" s="2249">
        <v>437</v>
      </c>
    </row>
    <row r="57" spans="1:38" x14ac:dyDescent="0.25">
      <c r="A57" s="379" t="s">
        <v>130</v>
      </c>
      <c r="B57" s="380" t="s">
        <v>491</v>
      </c>
      <c r="C57" s="387" t="s">
        <v>268</v>
      </c>
      <c r="D57" s="384">
        <v>0.29699999999999999</v>
      </c>
      <c r="E57" s="385">
        <v>0.25800000000000001</v>
      </c>
      <c r="F57" s="385">
        <v>0.308</v>
      </c>
      <c r="G57" s="385">
        <v>0.33099999999999996</v>
      </c>
      <c r="H57" s="385">
        <v>0.28499999999999998</v>
      </c>
      <c r="I57" s="385">
        <v>0.35299999999999998</v>
      </c>
      <c r="J57" s="385">
        <v>0.309</v>
      </c>
      <c r="K57" s="385">
        <v>0.31900000000000001</v>
      </c>
      <c r="L57" s="385">
        <v>0.33799999999999997</v>
      </c>
      <c r="M57" s="385">
        <v>0.33599999999999997</v>
      </c>
      <c r="N57" s="386">
        <v>0.33100000000000002</v>
      </c>
      <c r="O57" s="386">
        <v>0.35600000000000004</v>
      </c>
      <c r="P57" s="386">
        <v>0.372</v>
      </c>
      <c r="Q57" s="1437">
        <v>0.38628382565585623</v>
      </c>
      <c r="R57" s="1632">
        <v>0.31877362452750946</v>
      </c>
      <c r="S57" s="1437">
        <v>0.36342042755344417</v>
      </c>
      <c r="T57" s="2248">
        <v>0.37452428923214687</v>
      </c>
      <c r="U57" s="1189"/>
      <c r="V57" s="1434">
        <v>1523</v>
      </c>
      <c r="W57" s="1434">
        <v>1328</v>
      </c>
      <c r="X57" s="1434">
        <v>1602</v>
      </c>
      <c r="Y57" s="1434">
        <v>1708</v>
      </c>
      <c r="Z57" s="1434">
        <v>1460</v>
      </c>
      <c r="AA57" s="1434">
        <v>1785</v>
      </c>
      <c r="AB57" s="1434">
        <v>1521</v>
      </c>
      <c r="AC57" s="1434">
        <v>1556</v>
      </c>
      <c r="AD57" s="1434">
        <v>1605</v>
      </c>
      <c r="AE57" s="1434">
        <v>1649</v>
      </c>
      <c r="AF57" s="1434">
        <v>1689</v>
      </c>
      <c r="AG57" s="1434">
        <v>1794</v>
      </c>
      <c r="AH57" s="1350">
        <v>1848</v>
      </c>
      <c r="AI57" s="1350">
        <v>1870</v>
      </c>
      <c r="AJ57" s="1642">
        <v>1518</v>
      </c>
      <c r="AK57" s="1346">
        <v>1683</v>
      </c>
      <c r="AL57" s="2249">
        <v>1673</v>
      </c>
    </row>
    <row r="58" spans="1:38" x14ac:dyDescent="0.25">
      <c r="A58" s="379" t="s">
        <v>132</v>
      </c>
      <c r="B58" s="380" t="s">
        <v>492</v>
      </c>
      <c r="C58" s="387" t="s">
        <v>267</v>
      </c>
      <c r="D58" s="384">
        <v>3.1000000000000003E-2</v>
      </c>
      <c r="E58" s="385">
        <v>2.8000000000000001E-2</v>
      </c>
      <c r="F58" s="385">
        <v>3.3000000000000002E-2</v>
      </c>
      <c r="G58" s="385">
        <v>4.0999999999999995E-2</v>
      </c>
      <c r="H58" s="385">
        <v>3.6999999999999998E-2</v>
      </c>
      <c r="I58" s="385">
        <v>2.8000000000000001E-2</v>
      </c>
      <c r="J58" s="385">
        <v>2.8999999999999998E-2</v>
      </c>
      <c r="K58" s="385">
        <v>2.8999999999999998E-2</v>
      </c>
      <c r="L58" s="385">
        <v>3.5000000000000003E-2</v>
      </c>
      <c r="M58" s="385">
        <v>3.9E-2</v>
      </c>
      <c r="N58" s="386">
        <v>4.2000000000000003E-2</v>
      </c>
      <c r="O58" s="386">
        <v>4.4999999999999998E-2</v>
      </c>
      <c r="P58" s="386">
        <v>4.2999999999999997E-2</v>
      </c>
      <c r="Q58" s="1437">
        <v>4.1029470233996952E-2</v>
      </c>
      <c r="R58" s="1632">
        <v>4.3724420835735689E-2</v>
      </c>
      <c r="S58" s="1437">
        <v>3.9522661568160193E-2</v>
      </c>
      <c r="T58" s="2248">
        <v>3.5378778205432226E-2</v>
      </c>
      <c r="U58" s="1189"/>
      <c r="V58" s="1434">
        <v>1752</v>
      </c>
      <c r="W58" s="1434">
        <v>1696</v>
      </c>
      <c r="X58" s="1434">
        <v>2145</v>
      </c>
      <c r="Y58" s="1434">
        <v>2838</v>
      </c>
      <c r="Z58" s="1434">
        <v>2771</v>
      </c>
      <c r="AA58" s="1434">
        <v>2090</v>
      </c>
      <c r="AB58" s="1434">
        <v>2202</v>
      </c>
      <c r="AC58" s="1434">
        <v>2454</v>
      </c>
      <c r="AD58" s="1434">
        <v>3049</v>
      </c>
      <c r="AE58" s="1434">
        <v>3426</v>
      </c>
      <c r="AF58" s="1434">
        <v>4026</v>
      </c>
      <c r="AG58" s="1434">
        <v>4359</v>
      </c>
      <c r="AH58" s="1350">
        <v>4315</v>
      </c>
      <c r="AI58" s="1350">
        <v>4231</v>
      </c>
      <c r="AJ58" s="1642">
        <v>4626</v>
      </c>
      <c r="AK58" s="1346">
        <v>4279</v>
      </c>
      <c r="AL58" s="2249">
        <v>3879</v>
      </c>
    </row>
    <row r="59" spans="1:38" x14ac:dyDescent="0.25">
      <c r="A59" s="379" t="s">
        <v>134</v>
      </c>
      <c r="B59" s="380" t="s">
        <v>493</v>
      </c>
      <c r="C59" s="387" t="s">
        <v>267</v>
      </c>
      <c r="D59" s="384">
        <v>0.13699999999999998</v>
      </c>
      <c r="E59" s="385">
        <v>0.123</v>
      </c>
      <c r="F59" s="385">
        <v>0.14000000000000001</v>
      </c>
      <c r="G59" s="385">
        <v>0.14400000000000002</v>
      </c>
      <c r="H59" s="385">
        <v>0.129</v>
      </c>
      <c r="I59" s="385">
        <v>0.155</v>
      </c>
      <c r="J59" s="385">
        <v>0.13500000000000001</v>
      </c>
      <c r="K59" s="385">
        <v>0.13500000000000001</v>
      </c>
      <c r="L59" s="385">
        <v>0.13899999999999998</v>
      </c>
      <c r="M59" s="385">
        <v>0.16200000000000001</v>
      </c>
      <c r="N59" s="386">
        <v>0.156</v>
      </c>
      <c r="O59" s="386">
        <v>0.17</v>
      </c>
      <c r="P59" s="386">
        <v>0.17399999999999999</v>
      </c>
      <c r="Q59" s="1437">
        <v>0.17671607425528854</v>
      </c>
      <c r="R59" s="1632">
        <v>0.1732127719694829</v>
      </c>
      <c r="S59" s="1437">
        <v>0.16716206652512386</v>
      </c>
      <c r="T59" s="2248">
        <v>0.16017922150658079</v>
      </c>
      <c r="U59" s="1189"/>
      <c r="V59" s="1434">
        <v>856</v>
      </c>
      <c r="W59" s="1434">
        <v>777</v>
      </c>
      <c r="X59" s="1434">
        <v>911</v>
      </c>
      <c r="Y59" s="1434">
        <v>948</v>
      </c>
      <c r="Z59" s="1434">
        <v>864</v>
      </c>
      <c r="AA59" s="1434">
        <v>1022</v>
      </c>
      <c r="AB59" s="1434">
        <v>908</v>
      </c>
      <c r="AC59" s="1434">
        <v>962</v>
      </c>
      <c r="AD59" s="1434">
        <v>998</v>
      </c>
      <c r="AE59" s="1434">
        <v>1152</v>
      </c>
      <c r="AF59" s="1434">
        <v>1128</v>
      </c>
      <c r="AG59" s="1434">
        <v>1214</v>
      </c>
      <c r="AH59" s="1350">
        <v>1217</v>
      </c>
      <c r="AI59" s="1350">
        <v>1228</v>
      </c>
      <c r="AJ59" s="1642">
        <v>1226</v>
      </c>
      <c r="AK59" s="1346">
        <v>1181</v>
      </c>
      <c r="AL59" s="2249">
        <v>1144</v>
      </c>
    </row>
    <row r="60" spans="1:38" x14ac:dyDescent="0.25">
      <c r="A60" s="379" t="s">
        <v>136</v>
      </c>
      <c r="B60" s="380" t="s">
        <v>494</v>
      </c>
      <c r="C60" s="387" t="s">
        <v>266</v>
      </c>
      <c r="D60" s="384">
        <v>0.218</v>
      </c>
      <c r="E60" s="385">
        <v>0.20600000000000002</v>
      </c>
      <c r="F60" s="385">
        <v>0.214</v>
      </c>
      <c r="G60" s="385">
        <v>0.24300000000000002</v>
      </c>
      <c r="H60" s="385">
        <v>0.21800000000000003</v>
      </c>
      <c r="I60" s="385">
        <v>0.30100000000000005</v>
      </c>
      <c r="J60" s="385">
        <v>0.23899999999999999</v>
      </c>
      <c r="K60" s="385">
        <v>0.255</v>
      </c>
      <c r="L60" s="385">
        <v>0.27399999999999997</v>
      </c>
      <c r="M60" s="385">
        <v>0.28800000000000003</v>
      </c>
      <c r="N60" s="386">
        <v>0.28399999999999997</v>
      </c>
      <c r="O60" s="386">
        <v>0.29399999999999998</v>
      </c>
      <c r="P60" s="386">
        <v>0.316</v>
      </c>
      <c r="Q60" s="1437">
        <v>0.29540481400437635</v>
      </c>
      <c r="R60" s="1632">
        <v>0.28677433435181143</v>
      </c>
      <c r="S60" s="1437">
        <v>0.29007971656333037</v>
      </c>
      <c r="T60" s="2248">
        <v>0.26137377341659235</v>
      </c>
      <c r="U60" s="1189"/>
      <c r="V60" s="1434">
        <v>582</v>
      </c>
      <c r="W60" s="1434">
        <v>542</v>
      </c>
      <c r="X60" s="1434">
        <v>563</v>
      </c>
      <c r="Y60" s="1434">
        <v>614</v>
      </c>
      <c r="Z60" s="1434">
        <v>557</v>
      </c>
      <c r="AA60" s="1434">
        <v>760</v>
      </c>
      <c r="AB60" s="1434">
        <v>571</v>
      </c>
      <c r="AC60" s="1434">
        <v>595</v>
      </c>
      <c r="AD60" s="1434">
        <v>618</v>
      </c>
      <c r="AE60" s="1434">
        <v>696</v>
      </c>
      <c r="AF60" s="1434">
        <v>693</v>
      </c>
      <c r="AG60" s="1434">
        <v>715</v>
      </c>
      <c r="AH60" s="1350">
        <v>754</v>
      </c>
      <c r="AI60" s="1350">
        <v>675</v>
      </c>
      <c r="AJ60" s="1642">
        <v>657</v>
      </c>
      <c r="AK60" s="1346">
        <v>655</v>
      </c>
      <c r="AL60" s="2249">
        <v>586</v>
      </c>
    </row>
    <row r="61" spans="1:38" x14ac:dyDescent="0.25">
      <c r="A61" s="379" t="s">
        <v>140</v>
      </c>
      <c r="B61" s="380" t="s">
        <v>495</v>
      </c>
      <c r="C61" s="387" t="s">
        <v>267</v>
      </c>
      <c r="D61" s="384">
        <v>0.152</v>
      </c>
      <c r="E61" s="385">
        <v>0.125</v>
      </c>
      <c r="F61" s="385">
        <v>0.12199999999999998</v>
      </c>
      <c r="G61" s="385">
        <v>0.13699999999999998</v>
      </c>
      <c r="H61" s="385">
        <v>0.124</v>
      </c>
      <c r="I61" s="385">
        <v>0.14400000000000002</v>
      </c>
      <c r="J61" s="385">
        <v>0.13699999999999998</v>
      </c>
      <c r="K61" s="385">
        <v>0.13699999999999998</v>
      </c>
      <c r="L61" s="385">
        <v>0.151</v>
      </c>
      <c r="M61" s="385">
        <v>0.16199999999999998</v>
      </c>
      <c r="N61" s="386">
        <v>0.17399999999999999</v>
      </c>
      <c r="O61" s="386">
        <v>0.17699999999999999</v>
      </c>
      <c r="P61" s="386">
        <v>0.193</v>
      </c>
      <c r="Q61" s="1437">
        <v>0.18481012658227849</v>
      </c>
      <c r="R61" s="1632">
        <v>0.18315018315018314</v>
      </c>
      <c r="S61" s="1437">
        <v>0.18249534450651769</v>
      </c>
      <c r="T61" s="2248">
        <v>0.17888675623800385</v>
      </c>
      <c r="U61" s="1189"/>
      <c r="V61" s="1434">
        <v>452</v>
      </c>
      <c r="W61" s="1434">
        <v>368</v>
      </c>
      <c r="X61" s="1434">
        <v>361</v>
      </c>
      <c r="Y61" s="1434">
        <v>406</v>
      </c>
      <c r="Z61" s="1434">
        <v>370</v>
      </c>
      <c r="AA61" s="1434">
        <v>424</v>
      </c>
      <c r="AB61" s="1434">
        <v>386</v>
      </c>
      <c r="AC61" s="1434">
        <v>403</v>
      </c>
      <c r="AD61" s="1434">
        <v>435</v>
      </c>
      <c r="AE61" s="1434">
        <v>472</v>
      </c>
      <c r="AF61" s="1434">
        <v>508</v>
      </c>
      <c r="AG61" s="1434">
        <v>497</v>
      </c>
      <c r="AH61" s="1350">
        <v>545</v>
      </c>
      <c r="AI61" s="1350">
        <v>511</v>
      </c>
      <c r="AJ61" s="1642">
        <v>500</v>
      </c>
      <c r="AK61" s="1346">
        <v>490</v>
      </c>
      <c r="AL61" s="2249">
        <v>466</v>
      </c>
    </row>
    <row r="62" spans="1:38" x14ac:dyDescent="0.25">
      <c r="A62" s="379" t="s">
        <v>146</v>
      </c>
      <c r="B62" s="380" t="s">
        <v>496</v>
      </c>
      <c r="C62" s="387" t="s">
        <v>264</v>
      </c>
      <c r="D62" s="384">
        <v>0.125</v>
      </c>
      <c r="E62" s="385">
        <v>0.115</v>
      </c>
      <c r="F62" s="385">
        <v>0.127</v>
      </c>
      <c r="G62" s="385">
        <v>0.14199999999999999</v>
      </c>
      <c r="H62" s="385">
        <v>0.12</v>
      </c>
      <c r="I62" s="385">
        <v>0.13400000000000001</v>
      </c>
      <c r="J62" s="385">
        <v>0.13300000000000001</v>
      </c>
      <c r="K62" s="385">
        <v>0.125</v>
      </c>
      <c r="L62" s="385">
        <v>0.13800000000000001</v>
      </c>
      <c r="M62" s="385">
        <v>0.158</v>
      </c>
      <c r="N62" s="386">
        <v>0.17100000000000001</v>
      </c>
      <c r="O62" s="386">
        <v>0.18100000000000002</v>
      </c>
      <c r="P62" s="386">
        <v>0.17699999999999999</v>
      </c>
      <c r="Q62" s="1437">
        <v>0.182</v>
      </c>
      <c r="R62" s="1632">
        <v>0.18002717391304349</v>
      </c>
      <c r="S62" s="1437">
        <v>0.17882187938288921</v>
      </c>
      <c r="T62" s="2248">
        <v>0.17655571635311143</v>
      </c>
      <c r="U62" s="1189"/>
      <c r="V62" s="1434">
        <v>222</v>
      </c>
      <c r="W62" s="1434">
        <v>198</v>
      </c>
      <c r="X62" s="1434">
        <v>216</v>
      </c>
      <c r="Y62" s="1434">
        <v>243</v>
      </c>
      <c r="Z62" s="1434">
        <v>201</v>
      </c>
      <c r="AA62" s="1434">
        <v>221</v>
      </c>
      <c r="AB62" s="1434">
        <v>210</v>
      </c>
      <c r="AC62" s="1434">
        <v>190</v>
      </c>
      <c r="AD62" s="1434">
        <v>211</v>
      </c>
      <c r="AE62" s="1434">
        <v>252</v>
      </c>
      <c r="AF62" s="1434">
        <v>274</v>
      </c>
      <c r="AG62" s="1434">
        <v>287</v>
      </c>
      <c r="AH62" s="1350">
        <v>266</v>
      </c>
      <c r="AI62" s="1350">
        <v>273</v>
      </c>
      <c r="AJ62" s="1642">
        <v>265</v>
      </c>
      <c r="AK62" s="1346">
        <v>255</v>
      </c>
      <c r="AL62" s="2249">
        <v>244</v>
      </c>
    </row>
    <row r="63" spans="1:38" x14ac:dyDescent="0.25">
      <c r="A63" s="379" t="s">
        <v>148</v>
      </c>
      <c r="B63" s="380" t="s">
        <v>497</v>
      </c>
      <c r="C63" s="387" t="s">
        <v>265</v>
      </c>
      <c r="D63" s="384">
        <v>0.20799999999999999</v>
      </c>
      <c r="E63" s="385">
        <v>0.188</v>
      </c>
      <c r="F63" s="385">
        <v>0.21300000000000002</v>
      </c>
      <c r="G63" s="385">
        <v>0.23799999999999999</v>
      </c>
      <c r="H63" s="385">
        <v>0.20699999999999999</v>
      </c>
      <c r="I63" s="385">
        <v>0.24399999999999997</v>
      </c>
      <c r="J63" s="385">
        <v>0.22</v>
      </c>
      <c r="K63" s="385">
        <v>0.23</v>
      </c>
      <c r="L63" s="385">
        <v>0.245</v>
      </c>
      <c r="M63" s="385">
        <v>0.26700000000000002</v>
      </c>
      <c r="N63" s="386">
        <v>0.28399999999999997</v>
      </c>
      <c r="O63" s="386">
        <v>0.28699999999999998</v>
      </c>
      <c r="P63" s="386">
        <v>0.28299999999999997</v>
      </c>
      <c r="Q63" s="1437">
        <v>0.28433494256700514</v>
      </c>
      <c r="R63" s="1632">
        <v>0.3060220525869381</v>
      </c>
      <c r="S63" s="1437">
        <v>0.27461139896373055</v>
      </c>
      <c r="T63" s="2248">
        <v>0.25986441856422737</v>
      </c>
      <c r="U63" s="1189"/>
      <c r="V63" s="1434">
        <v>1402</v>
      </c>
      <c r="W63" s="1434">
        <v>1255</v>
      </c>
      <c r="X63" s="1434">
        <v>1446</v>
      </c>
      <c r="Y63" s="1434">
        <v>1585</v>
      </c>
      <c r="Z63" s="1434">
        <v>1399</v>
      </c>
      <c r="AA63" s="1434">
        <v>1630</v>
      </c>
      <c r="AB63" s="1434">
        <v>1395</v>
      </c>
      <c r="AC63" s="1434">
        <v>1453</v>
      </c>
      <c r="AD63" s="1434">
        <v>1524</v>
      </c>
      <c r="AE63" s="1434">
        <v>1650</v>
      </c>
      <c r="AF63" s="1434">
        <v>1780</v>
      </c>
      <c r="AG63" s="1434">
        <v>1779</v>
      </c>
      <c r="AH63" s="1350">
        <v>1732</v>
      </c>
      <c r="AI63" s="1350">
        <v>1708</v>
      </c>
      <c r="AJ63" s="1642">
        <v>1804</v>
      </c>
      <c r="AK63" s="1346">
        <v>1590</v>
      </c>
      <c r="AL63" s="2249">
        <v>1495</v>
      </c>
    </row>
    <row r="64" spans="1:38" x14ac:dyDescent="0.25">
      <c r="A64" s="379" t="s">
        <v>150</v>
      </c>
      <c r="B64" s="380" t="s">
        <v>498</v>
      </c>
      <c r="C64" s="387" t="s">
        <v>266</v>
      </c>
      <c r="D64" s="384">
        <v>0.19</v>
      </c>
      <c r="E64" s="385">
        <v>0.17199999999999999</v>
      </c>
      <c r="F64" s="385">
        <v>0.18300000000000002</v>
      </c>
      <c r="G64" s="385">
        <v>0.19600000000000001</v>
      </c>
      <c r="H64" s="385">
        <v>0.185</v>
      </c>
      <c r="I64" s="385">
        <v>0.21899999999999997</v>
      </c>
      <c r="J64" s="385">
        <v>0.19699999999999998</v>
      </c>
      <c r="K64" s="385">
        <v>0.20199999999999999</v>
      </c>
      <c r="L64" s="385">
        <v>0.20399999999999999</v>
      </c>
      <c r="M64" s="385">
        <v>0.23</v>
      </c>
      <c r="N64" s="386">
        <v>0.22300000000000003</v>
      </c>
      <c r="O64" s="386">
        <v>0.23899999999999999</v>
      </c>
      <c r="P64" s="386">
        <v>0.25700000000000001</v>
      </c>
      <c r="Q64" s="1437">
        <v>0.26638349514563109</v>
      </c>
      <c r="R64" s="1632">
        <v>0.2598904443091905</v>
      </c>
      <c r="S64" s="1437">
        <v>0.25062499999999999</v>
      </c>
      <c r="T64" s="2248">
        <v>0.24940047961630696</v>
      </c>
      <c r="U64" s="1189"/>
      <c r="V64" s="1434">
        <v>357</v>
      </c>
      <c r="W64" s="1434">
        <v>318</v>
      </c>
      <c r="X64" s="1434">
        <v>344</v>
      </c>
      <c r="Y64" s="1434">
        <v>367</v>
      </c>
      <c r="Z64" s="1434">
        <v>335</v>
      </c>
      <c r="AA64" s="1434">
        <v>392</v>
      </c>
      <c r="AB64" s="1434">
        <v>352</v>
      </c>
      <c r="AC64" s="1434">
        <v>359</v>
      </c>
      <c r="AD64" s="1434">
        <v>351</v>
      </c>
      <c r="AE64" s="1434">
        <v>383</v>
      </c>
      <c r="AF64" s="1434">
        <v>387</v>
      </c>
      <c r="AG64" s="1434">
        <v>397</v>
      </c>
      <c r="AH64" s="1350">
        <v>426</v>
      </c>
      <c r="AI64" s="1350">
        <v>439</v>
      </c>
      <c r="AJ64" s="1642">
        <v>427</v>
      </c>
      <c r="AK64" s="1346">
        <v>401</v>
      </c>
      <c r="AL64" s="2249">
        <v>416</v>
      </c>
    </row>
    <row r="65" spans="1:38" x14ac:dyDescent="0.25">
      <c r="A65" s="379" t="s">
        <v>152</v>
      </c>
      <c r="B65" s="380" t="s">
        <v>499</v>
      </c>
      <c r="C65" s="387" t="s">
        <v>268</v>
      </c>
      <c r="D65" s="384">
        <v>0.129</v>
      </c>
      <c r="E65" s="385">
        <v>0.12</v>
      </c>
      <c r="F65" s="385">
        <v>0.129</v>
      </c>
      <c r="G65" s="385">
        <v>0.153</v>
      </c>
      <c r="H65" s="385">
        <v>0.14300000000000002</v>
      </c>
      <c r="I65" s="385">
        <v>0.14699999999999999</v>
      </c>
      <c r="J65" s="385">
        <v>0.13499999999999998</v>
      </c>
      <c r="K65" s="385">
        <v>0.13599999999999998</v>
      </c>
      <c r="L65" s="385">
        <v>0.155</v>
      </c>
      <c r="M65" s="385">
        <v>0.154</v>
      </c>
      <c r="N65" s="386">
        <v>0.17199999999999999</v>
      </c>
      <c r="O65" s="386">
        <v>0.17</v>
      </c>
      <c r="P65" s="386">
        <v>0.18099999999999999</v>
      </c>
      <c r="Q65" s="1437">
        <v>0.18324501978670601</v>
      </c>
      <c r="R65" s="1632">
        <v>0.16029585024217829</v>
      </c>
      <c r="S65" s="1437">
        <v>0.15245612890599516</v>
      </c>
      <c r="T65" s="2248">
        <v>0.13447874951556646</v>
      </c>
      <c r="U65" s="1189"/>
      <c r="V65" s="1434">
        <v>1802</v>
      </c>
      <c r="W65" s="1434">
        <v>1671</v>
      </c>
      <c r="X65" s="1434">
        <v>1797</v>
      </c>
      <c r="Y65" s="1434">
        <v>2120</v>
      </c>
      <c r="Z65" s="1434">
        <v>1912</v>
      </c>
      <c r="AA65" s="1434">
        <v>1934</v>
      </c>
      <c r="AB65" s="1434">
        <v>1842</v>
      </c>
      <c r="AC65" s="1434">
        <v>1925</v>
      </c>
      <c r="AD65" s="1434">
        <v>2238</v>
      </c>
      <c r="AE65" s="1434">
        <v>2246</v>
      </c>
      <c r="AF65" s="1434">
        <v>2557</v>
      </c>
      <c r="AG65" s="1434">
        <v>2411</v>
      </c>
      <c r="AH65" s="1350">
        <v>2682</v>
      </c>
      <c r="AI65" s="1350">
        <v>2732</v>
      </c>
      <c r="AJ65" s="1642">
        <v>2449</v>
      </c>
      <c r="AK65" s="1346">
        <v>2337</v>
      </c>
      <c r="AL65" s="2249">
        <v>2082</v>
      </c>
    </row>
    <row r="66" spans="1:38" x14ac:dyDescent="0.25">
      <c r="A66" s="379" t="s">
        <v>154</v>
      </c>
      <c r="B66" s="380" t="s">
        <v>500</v>
      </c>
      <c r="C66" s="387" t="s">
        <v>265</v>
      </c>
      <c r="D66" s="384">
        <v>0.14599999999999999</v>
      </c>
      <c r="E66" s="385">
        <v>0.13700000000000001</v>
      </c>
      <c r="F66" s="385">
        <v>0.151</v>
      </c>
      <c r="G66" s="385">
        <v>0.16700000000000001</v>
      </c>
      <c r="H66" s="385">
        <v>0.14199999999999999</v>
      </c>
      <c r="I66" s="385">
        <v>0.16699999999999998</v>
      </c>
      <c r="J66" s="385">
        <v>0.158</v>
      </c>
      <c r="K66" s="385">
        <v>0.16199999999999998</v>
      </c>
      <c r="L66" s="385">
        <v>0.18100000000000002</v>
      </c>
      <c r="M66" s="385">
        <v>0.18399999999999997</v>
      </c>
      <c r="N66" s="386">
        <v>0.20899999999999999</v>
      </c>
      <c r="O66" s="386">
        <v>0.21</v>
      </c>
      <c r="P66" s="386">
        <v>0.23</v>
      </c>
      <c r="Q66" s="1437">
        <v>0.230741146403797</v>
      </c>
      <c r="R66" s="1632">
        <v>0.21454545454545454</v>
      </c>
      <c r="S66" s="1437">
        <v>0.23229357798165137</v>
      </c>
      <c r="T66" s="2248">
        <v>0.20573294629898403</v>
      </c>
      <c r="U66" s="1189"/>
      <c r="V66" s="1434">
        <v>454</v>
      </c>
      <c r="W66" s="1434">
        <v>424</v>
      </c>
      <c r="X66" s="1434">
        <v>472</v>
      </c>
      <c r="Y66" s="1434">
        <v>512</v>
      </c>
      <c r="Z66" s="1434">
        <v>434</v>
      </c>
      <c r="AA66" s="1434">
        <v>504</v>
      </c>
      <c r="AB66" s="1434">
        <v>463</v>
      </c>
      <c r="AC66" s="1434">
        <v>479</v>
      </c>
      <c r="AD66" s="1434">
        <v>532</v>
      </c>
      <c r="AE66" s="1434">
        <v>536</v>
      </c>
      <c r="AF66" s="1434">
        <v>592</v>
      </c>
      <c r="AG66" s="1434">
        <v>599</v>
      </c>
      <c r="AH66" s="1350">
        <v>635</v>
      </c>
      <c r="AI66" s="1350">
        <v>632</v>
      </c>
      <c r="AJ66" s="1642">
        <v>590</v>
      </c>
      <c r="AK66" s="1346">
        <v>633</v>
      </c>
      <c r="AL66" s="2249">
        <v>567</v>
      </c>
    </row>
    <row r="67" spans="1:38" x14ac:dyDescent="0.25">
      <c r="A67" s="379" t="s">
        <v>156</v>
      </c>
      <c r="B67" s="380" t="s">
        <v>501</v>
      </c>
      <c r="C67" s="387" t="s">
        <v>266</v>
      </c>
      <c r="D67" s="384">
        <v>7.8E-2</v>
      </c>
      <c r="E67" s="385">
        <v>7.0999999999999994E-2</v>
      </c>
      <c r="F67" s="385">
        <v>0.08</v>
      </c>
      <c r="G67" s="385">
        <v>8.4000000000000005E-2</v>
      </c>
      <c r="H67" s="385">
        <v>7.6999999999999999E-2</v>
      </c>
      <c r="I67" s="385">
        <v>8.1000000000000003E-2</v>
      </c>
      <c r="J67" s="385">
        <v>8.1000000000000003E-2</v>
      </c>
      <c r="K67" s="385">
        <v>7.5999999999999998E-2</v>
      </c>
      <c r="L67" s="385">
        <v>8.0999999999999989E-2</v>
      </c>
      <c r="M67" s="385">
        <v>8.8999999999999996E-2</v>
      </c>
      <c r="N67" s="386">
        <v>8.4000000000000005E-2</v>
      </c>
      <c r="O67" s="386">
        <v>0.10800000000000001</v>
      </c>
      <c r="P67" s="386">
        <v>0.104</v>
      </c>
      <c r="Q67" s="1437">
        <v>9.8985399653551104E-2</v>
      </c>
      <c r="R67" s="1632">
        <v>9.7235932872655473E-2</v>
      </c>
      <c r="S67" s="1437">
        <v>0.10213601767738767</v>
      </c>
      <c r="T67" s="2248">
        <v>8.3472057074910816E-2</v>
      </c>
      <c r="U67" s="1189"/>
      <c r="V67" s="1434">
        <v>257</v>
      </c>
      <c r="W67" s="1434">
        <v>233</v>
      </c>
      <c r="X67" s="1434">
        <v>270</v>
      </c>
      <c r="Y67" s="1434">
        <v>291</v>
      </c>
      <c r="Z67" s="1434">
        <v>268</v>
      </c>
      <c r="AA67" s="1434">
        <v>280</v>
      </c>
      <c r="AB67" s="1434">
        <v>285</v>
      </c>
      <c r="AC67" s="1434">
        <v>285</v>
      </c>
      <c r="AD67" s="1434">
        <v>307</v>
      </c>
      <c r="AE67" s="1434">
        <v>341</v>
      </c>
      <c r="AF67" s="1434">
        <v>334</v>
      </c>
      <c r="AG67" s="1434">
        <v>428</v>
      </c>
      <c r="AH67" s="1350">
        <v>413</v>
      </c>
      <c r="AI67" s="1350">
        <v>400</v>
      </c>
      <c r="AJ67" s="1642">
        <v>394</v>
      </c>
      <c r="AK67" s="1346">
        <v>416</v>
      </c>
      <c r="AL67" s="2249">
        <v>351</v>
      </c>
    </row>
    <row r="68" spans="1:38" x14ac:dyDescent="0.25">
      <c r="A68" s="379" t="s">
        <v>162</v>
      </c>
      <c r="B68" s="380" t="s">
        <v>502</v>
      </c>
      <c r="C68" s="387" t="s">
        <v>264</v>
      </c>
      <c r="D68" s="384">
        <v>0.27100000000000002</v>
      </c>
      <c r="E68" s="385">
        <v>0.24300000000000002</v>
      </c>
      <c r="F68" s="385">
        <v>0.252</v>
      </c>
      <c r="G68" s="385">
        <v>0.28400000000000003</v>
      </c>
      <c r="H68" s="385">
        <v>0.24399999999999997</v>
      </c>
      <c r="I68" s="385">
        <v>0.28500000000000003</v>
      </c>
      <c r="J68" s="385">
        <v>0.28299999999999997</v>
      </c>
      <c r="K68" s="385">
        <v>0.315</v>
      </c>
      <c r="L68" s="385">
        <v>0.30599999999999999</v>
      </c>
      <c r="M68" s="385">
        <v>0.32200000000000006</v>
      </c>
      <c r="N68" s="386">
        <v>0.316</v>
      </c>
      <c r="O68" s="386">
        <v>0.35100000000000003</v>
      </c>
      <c r="P68" s="386">
        <v>0.34599999999999997</v>
      </c>
      <c r="Q68" s="1437">
        <v>0.34269902085994042</v>
      </c>
      <c r="R68" s="1632">
        <v>0.3340283569641368</v>
      </c>
      <c r="S68" s="1437">
        <v>0.33663366336633666</v>
      </c>
      <c r="T68" s="2248">
        <v>0.29377832715286362</v>
      </c>
      <c r="U68" s="1189"/>
      <c r="V68" s="1434">
        <v>794</v>
      </c>
      <c r="W68" s="1434">
        <v>719</v>
      </c>
      <c r="X68" s="1434">
        <v>775</v>
      </c>
      <c r="Y68" s="1434">
        <v>838</v>
      </c>
      <c r="Z68" s="1434">
        <v>743</v>
      </c>
      <c r="AA68" s="1434">
        <v>853</v>
      </c>
      <c r="AB68" s="1434">
        <v>838</v>
      </c>
      <c r="AC68" s="1434">
        <v>922</v>
      </c>
      <c r="AD68" s="1434">
        <v>877</v>
      </c>
      <c r="AE68" s="1434">
        <v>933</v>
      </c>
      <c r="AF68" s="1434">
        <v>760</v>
      </c>
      <c r="AG68" s="1434">
        <v>843</v>
      </c>
      <c r="AH68" s="1350">
        <v>821</v>
      </c>
      <c r="AI68" s="1350">
        <v>805</v>
      </c>
      <c r="AJ68" s="1642">
        <v>801</v>
      </c>
      <c r="AK68" s="1346">
        <v>816</v>
      </c>
      <c r="AL68" s="2249">
        <v>713</v>
      </c>
    </row>
    <row r="69" spans="1:38" x14ac:dyDescent="0.25">
      <c r="A69" s="379" t="s">
        <v>164</v>
      </c>
      <c r="B69" s="380" t="s">
        <v>503</v>
      </c>
      <c r="C69" s="387" t="s">
        <v>266</v>
      </c>
      <c r="D69" s="384">
        <v>0.20199999999999999</v>
      </c>
      <c r="E69" s="385">
        <v>0.18399999999999997</v>
      </c>
      <c r="F69" s="385">
        <v>0.20199999999999999</v>
      </c>
      <c r="G69" s="385">
        <v>0.218</v>
      </c>
      <c r="H69" s="385">
        <v>0.19</v>
      </c>
      <c r="I69" s="385">
        <v>0.22900000000000001</v>
      </c>
      <c r="J69" s="385">
        <v>0.23700000000000002</v>
      </c>
      <c r="K69" s="385">
        <v>0.23199999999999998</v>
      </c>
      <c r="L69" s="385">
        <v>0.247</v>
      </c>
      <c r="M69" s="385">
        <v>0.26600000000000001</v>
      </c>
      <c r="N69" s="386">
        <v>0.28200000000000003</v>
      </c>
      <c r="O69" s="386">
        <v>0.28300000000000003</v>
      </c>
      <c r="P69" s="386">
        <v>0.28699999999999998</v>
      </c>
      <c r="Q69" s="1437">
        <v>0.31003201707577377</v>
      </c>
      <c r="R69" s="1632">
        <v>0.30355276907001044</v>
      </c>
      <c r="S69" s="1437">
        <v>0.2900804289544236</v>
      </c>
      <c r="T69" s="2248">
        <v>0.2624931356397584</v>
      </c>
      <c r="U69" s="1189"/>
      <c r="V69" s="1434">
        <v>445</v>
      </c>
      <c r="W69" s="1434">
        <v>422</v>
      </c>
      <c r="X69" s="1434">
        <v>472</v>
      </c>
      <c r="Y69" s="1434">
        <v>502</v>
      </c>
      <c r="Z69" s="1434">
        <v>426</v>
      </c>
      <c r="AA69" s="1434">
        <v>506</v>
      </c>
      <c r="AB69" s="1434">
        <v>518</v>
      </c>
      <c r="AC69" s="1434">
        <v>526</v>
      </c>
      <c r="AD69" s="1434">
        <v>555</v>
      </c>
      <c r="AE69" s="1434">
        <v>549</v>
      </c>
      <c r="AF69" s="1434">
        <v>558</v>
      </c>
      <c r="AG69" s="1434">
        <v>559</v>
      </c>
      <c r="AH69" s="1350">
        <v>558</v>
      </c>
      <c r="AI69" s="1350">
        <v>581</v>
      </c>
      <c r="AJ69" s="1642">
        <v>581</v>
      </c>
      <c r="AK69" s="1346">
        <v>541</v>
      </c>
      <c r="AL69" s="2249">
        <v>478</v>
      </c>
    </row>
    <row r="70" spans="1:38" x14ac:dyDescent="0.25">
      <c r="A70" s="379" t="s">
        <v>168</v>
      </c>
      <c r="B70" s="380" t="s">
        <v>504</v>
      </c>
      <c r="C70" s="387" t="s">
        <v>266</v>
      </c>
      <c r="D70" s="384">
        <v>0.224</v>
      </c>
      <c r="E70" s="385">
        <v>0.20200000000000001</v>
      </c>
      <c r="F70" s="385">
        <v>0.21699999999999997</v>
      </c>
      <c r="G70" s="385">
        <v>0.23899999999999999</v>
      </c>
      <c r="H70" s="385">
        <v>0.218</v>
      </c>
      <c r="I70" s="385">
        <v>0.26300000000000001</v>
      </c>
      <c r="J70" s="385">
        <v>0.25</v>
      </c>
      <c r="K70" s="385">
        <v>0.24899999999999997</v>
      </c>
      <c r="L70" s="385">
        <v>0.27200000000000002</v>
      </c>
      <c r="M70" s="385">
        <v>0.27499999999999997</v>
      </c>
      <c r="N70" s="386">
        <v>0.27900000000000003</v>
      </c>
      <c r="O70" s="386">
        <v>0.29100000000000004</v>
      </c>
      <c r="P70" s="386">
        <v>0.29899999999999999</v>
      </c>
      <c r="Q70" s="1437">
        <v>0.29323797139141744</v>
      </c>
      <c r="R70" s="1632">
        <v>0.30859872611464967</v>
      </c>
      <c r="S70" s="1437">
        <v>0.28728923476005186</v>
      </c>
      <c r="T70" s="2248">
        <v>0.29095762429095762</v>
      </c>
      <c r="U70" s="1189"/>
      <c r="V70" s="1434">
        <v>799</v>
      </c>
      <c r="W70" s="1434">
        <v>698</v>
      </c>
      <c r="X70" s="1434">
        <v>748</v>
      </c>
      <c r="Y70" s="1434">
        <v>826</v>
      </c>
      <c r="Z70" s="1434">
        <v>733</v>
      </c>
      <c r="AA70" s="1434">
        <v>873</v>
      </c>
      <c r="AB70" s="1434">
        <v>811</v>
      </c>
      <c r="AC70" s="1434">
        <v>798</v>
      </c>
      <c r="AD70" s="1434">
        <v>862</v>
      </c>
      <c r="AE70" s="1434">
        <v>901</v>
      </c>
      <c r="AF70" s="1434">
        <v>895</v>
      </c>
      <c r="AG70" s="1434">
        <v>940</v>
      </c>
      <c r="AH70" s="1350">
        <v>950</v>
      </c>
      <c r="AI70" s="1350">
        <v>902</v>
      </c>
      <c r="AJ70" s="1642">
        <v>969</v>
      </c>
      <c r="AK70" s="1346">
        <v>886</v>
      </c>
      <c r="AL70" s="2249">
        <v>872</v>
      </c>
    </row>
    <row r="71" spans="1:38" x14ac:dyDescent="0.25">
      <c r="A71" s="379" t="s">
        <v>170</v>
      </c>
      <c r="B71" s="380" t="s">
        <v>505</v>
      </c>
      <c r="C71" s="387" t="s">
        <v>267</v>
      </c>
      <c r="D71" s="384">
        <v>0.128</v>
      </c>
      <c r="E71" s="385">
        <v>0.115</v>
      </c>
      <c r="F71" s="385">
        <v>0.11699999999999999</v>
      </c>
      <c r="G71" s="385">
        <v>0.123</v>
      </c>
      <c r="H71" s="385">
        <v>0.112</v>
      </c>
      <c r="I71" s="385">
        <v>0.129</v>
      </c>
      <c r="J71" s="385">
        <v>0.10800000000000001</v>
      </c>
      <c r="K71" s="385">
        <v>0.10800000000000001</v>
      </c>
      <c r="L71" s="385">
        <v>0.11699999999999999</v>
      </c>
      <c r="M71" s="385">
        <v>0.13899999999999998</v>
      </c>
      <c r="N71" s="386">
        <v>0.14799999999999999</v>
      </c>
      <c r="O71" s="386">
        <v>0.17199999999999999</v>
      </c>
      <c r="P71" s="386">
        <v>0.14299999999999999</v>
      </c>
      <c r="Q71" s="1437">
        <v>0.15467720685111991</v>
      </c>
      <c r="R71" s="1632">
        <v>0.15748550342646284</v>
      </c>
      <c r="S71" s="1437">
        <v>0.15186700092360469</v>
      </c>
      <c r="T71" s="2248">
        <v>0.13697356184402817</v>
      </c>
      <c r="U71" s="1189"/>
      <c r="V71" s="1434">
        <v>767</v>
      </c>
      <c r="W71" s="1434">
        <v>694</v>
      </c>
      <c r="X71" s="1434">
        <v>724</v>
      </c>
      <c r="Y71" s="1434">
        <v>778</v>
      </c>
      <c r="Z71" s="1434">
        <v>722</v>
      </c>
      <c r="AA71" s="1434">
        <v>825</v>
      </c>
      <c r="AB71" s="1434">
        <v>706</v>
      </c>
      <c r="AC71" s="1434">
        <v>774</v>
      </c>
      <c r="AD71" s="1434">
        <v>845</v>
      </c>
      <c r="AE71" s="1434">
        <v>1051</v>
      </c>
      <c r="AF71" s="1434">
        <v>1120</v>
      </c>
      <c r="AG71" s="1434">
        <v>1292</v>
      </c>
      <c r="AH71" s="1350">
        <v>1081</v>
      </c>
      <c r="AI71" s="1350">
        <v>1174</v>
      </c>
      <c r="AJ71" s="1642">
        <v>1195</v>
      </c>
      <c r="AK71" s="1346">
        <v>1151</v>
      </c>
      <c r="AL71" s="2249">
        <v>1031</v>
      </c>
    </row>
    <row r="72" spans="1:38" x14ac:dyDescent="0.25">
      <c r="A72" s="379" t="s">
        <v>172</v>
      </c>
      <c r="B72" s="380" t="s">
        <v>506</v>
      </c>
      <c r="C72" s="387" t="s">
        <v>267</v>
      </c>
      <c r="D72" s="384">
        <v>0.157</v>
      </c>
      <c r="E72" s="385">
        <v>0.14300000000000002</v>
      </c>
      <c r="F72" s="385">
        <v>0.153</v>
      </c>
      <c r="G72" s="385">
        <v>0.17300000000000001</v>
      </c>
      <c r="H72" s="385">
        <v>0.158</v>
      </c>
      <c r="I72" s="385">
        <v>0.19500000000000001</v>
      </c>
      <c r="J72" s="385">
        <v>0.18300000000000002</v>
      </c>
      <c r="K72" s="385">
        <v>0.17899999999999999</v>
      </c>
      <c r="L72" s="385">
        <v>0.20800000000000002</v>
      </c>
      <c r="M72" s="385">
        <v>0.20700000000000002</v>
      </c>
      <c r="N72" s="386">
        <v>0.22700000000000001</v>
      </c>
      <c r="O72" s="386">
        <v>0.23499999999999999</v>
      </c>
      <c r="P72" s="386">
        <v>0.215</v>
      </c>
      <c r="Q72" s="1437">
        <v>0.22322364284217144</v>
      </c>
      <c r="R72" s="1632">
        <v>0.23797574236721036</v>
      </c>
      <c r="S72" s="1437">
        <v>0.23204068658614113</v>
      </c>
      <c r="T72" s="2248">
        <v>0.23856773080241589</v>
      </c>
      <c r="U72" s="1189"/>
      <c r="V72" s="1434">
        <v>816</v>
      </c>
      <c r="W72" s="1434">
        <v>734</v>
      </c>
      <c r="X72" s="1434">
        <v>796</v>
      </c>
      <c r="Y72" s="1434">
        <v>895</v>
      </c>
      <c r="Z72" s="1434">
        <v>819</v>
      </c>
      <c r="AA72" s="1434">
        <v>997</v>
      </c>
      <c r="AB72" s="1434">
        <v>926</v>
      </c>
      <c r="AC72" s="1434">
        <v>899</v>
      </c>
      <c r="AD72" s="1434">
        <v>1035</v>
      </c>
      <c r="AE72" s="1434">
        <v>1031</v>
      </c>
      <c r="AF72" s="1434">
        <v>1159</v>
      </c>
      <c r="AG72" s="1434">
        <v>1172</v>
      </c>
      <c r="AH72" s="1350">
        <v>1049</v>
      </c>
      <c r="AI72" s="1350">
        <v>1065</v>
      </c>
      <c r="AJ72" s="1642">
        <v>1138</v>
      </c>
      <c r="AK72" s="1346">
        <v>1095</v>
      </c>
      <c r="AL72" s="2249">
        <v>1106</v>
      </c>
    </row>
    <row r="73" spans="1:38" x14ac:dyDescent="0.25">
      <c r="A73" s="379" t="s">
        <v>174</v>
      </c>
      <c r="B73" s="380" t="s">
        <v>507</v>
      </c>
      <c r="C73" s="387" t="s">
        <v>268</v>
      </c>
      <c r="D73" s="384">
        <v>0.18000000000000002</v>
      </c>
      <c r="E73" s="385">
        <v>0.16899999999999998</v>
      </c>
      <c r="F73" s="385">
        <v>0.18399999999999997</v>
      </c>
      <c r="G73" s="385">
        <v>0.218</v>
      </c>
      <c r="H73" s="385">
        <v>0.19500000000000001</v>
      </c>
      <c r="I73" s="385">
        <v>0.22700000000000001</v>
      </c>
      <c r="J73" s="385">
        <v>0.20799999999999999</v>
      </c>
      <c r="K73" s="385">
        <v>0.221</v>
      </c>
      <c r="L73" s="385">
        <v>0.24399999999999999</v>
      </c>
      <c r="M73" s="385">
        <v>0.26699999999999996</v>
      </c>
      <c r="N73" s="386">
        <v>0.28100000000000003</v>
      </c>
      <c r="O73" s="386">
        <v>0.27</v>
      </c>
      <c r="P73" s="386">
        <v>0.27200000000000002</v>
      </c>
      <c r="Q73" s="1437">
        <v>0.28174123337363965</v>
      </c>
      <c r="R73" s="1632">
        <v>0.31790312691600248</v>
      </c>
      <c r="S73" s="1437">
        <v>0.25541941564561732</v>
      </c>
      <c r="T73" s="2248">
        <v>0.27523229734059595</v>
      </c>
      <c r="U73" s="1189"/>
      <c r="V73" s="1434">
        <v>736</v>
      </c>
      <c r="W73" s="1434">
        <v>671</v>
      </c>
      <c r="X73" s="1434">
        <v>723</v>
      </c>
      <c r="Y73" s="1434">
        <v>848</v>
      </c>
      <c r="Z73" s="1434">
        <v>748</v>
      </c>
      <c r="AA73" s="1434">
        <v>859</v>
      </c>
      <c r="AB73" s="1434">
        <v>767</v>
      </c>
      <c r="AC73" s="1434">
        <v>803</v>
      </c>
      <c r="AD73" s="1434">
        <v>863</v>
      </c>
      <c r="AE73" s="1434">
        <v>928</v>
      </c>
      <c r="AF73" s="1434">
        <v>978</v>
      </c>
      <c r="AG73" s="1434">
        <v>919</v>
      </c>
      <c r="AH73" s="1350">
        <v>900</v>
      </c>
      <c r="AI73" s="1350">
        <v>932</v>
      </c>
      <c r="AJ73" s="1642">
        <v>1037</v>
      </c>
      <c r="AK73" s="1346">
        <v>813</v>
      </c>
      <c r="AL73" s="2249">
        <v>859</v>
      </c>
    </row>
    <row r="74" spans="1:38" x14ac:dyDescent="0.25">
      <c r="A74" s="379" t="s">
        <v>178</v>
      </c>
      <c r="B74" s="380" t="s">
        <v>179</v>
      </c>
      <c r="C74" s="387" t="s">
        <v>265</v>
      </c>
      <c r="D74" s="384">
        <v>0.14599999999999999</v>
      </c>
      <c r="E74" s="385">
        <v>0.14100000000000001</v>
      </c>
      <c r="F74" s="385">
        <v>0.16500000000000001</v>
      </c>
      <c r="G74" s="385">
        <v>0.182</v>
      </c>
      <c r="H74" s="385">
        <v>0.16300000000000001</v>
      </c>
      <c r="I74" s="385">
        <v>0.19</v>
      </c>
      <c r="J74" s="385">
        <v>0.17599999999999999</v>
      </c>
      <c r="K74" s="385">
        <v>0.17199999999999999</v>
      </c>
      <c r="L74" s="385">
        <v>0.18300000000000002</v>
      </c>
      <c r="M74" s="385">
        <v>0.20499999999999999</v>
      </c>
      <c r="N74" s="386">
        <v>0.224</v>
      </c>
      <c r="O74" s="386">
        <v>0.20800000000000002</v>
      </c>
      <c r="P74" s="386">
        <v>0.21099999999999999</v>
      </c>
      <c r="Q74" s="1437">
        <v>0.21290637985822539</v>
      </c>
      <c r="R74" s="1632">
        <v>0.20068694798822376</v>
      </c>
      <c r="S74" s="1437">
        <v>0.25557742782152232</v>
      </c>
      <c r="T74" s="2248">
        <v>0.18956624672359854</v>
      </c>
      <c r="U74" s="1189"/>
      <c r="V74" s="1434">
        <v>2045</v>
      </c>
      <c r="W74" s="1434">
        <v>1937</v>
      </c>
      <c r="X74" s="1434">
        <v>2274</v>
      </c>
      <c r="Y74" s="1434">
        <v>2478</v>
      </c>
      <c r="Z74" s="1434">
        <v>2214</v>
      </c>
      <c r="AA74" s="1434">
        <v>2542</v>
      </c>
      <c r="AB74" s="1434">
        <v>2278</v>
      </c>
      <c r="AC74" s="1434">
        <v>2198</v>
      </c>
      <c r="AD74" s="1434">
        <v>2305</v>
      </c>
      <c r="AE74" s="1434">
        <v>2664</v>
      </c>
      <c r="AF74" s="1434">
        <v>2968</v>
      </c>
      <c r="AG74" s="1434">
        <v>2694</v>
      </c>
      <c r="AH74" s="1350">
        <v>2639</v>
      </c>
      <c r="AI74" s="1350">
        <v>2613</v>
      </c>
      <c r="AJ74" s="1642">
        <v>2454</v>
      </c>
      <c r="AK74" s="1346">
        <v>3116</v>
      </c>
      <c r="AL74" s="2249">
        <v>2242</v>
      </c>
    </row>
    <row r="75" spans="1:38" x14ac:dyDescent="0.25">
      <c r="A75" s="379" t="s">
        <v>182</v>
      </c>
      <c r="B75" s="380" t="s">
        <v>509</v>
      </c>
      <c r="C75" s="387" t="s">
        <v>266</v>
      </c>
      <c r="D75" s="384">
        <v>7.0000000000000007E-2</v>
      </c>
      <c r="E75" s="385">
        <v>0.06</v>
      </c>
      <c r="F75" s="385">
        <v>6.3E-2</v>
      </c>
      <c r="G75" s="385">
        <v>7.0999999999999994E-2</v>
      </c>
      <c r="H75" s="385">
        <v>6.7000000000000004E-2</v>
      </c>
      <c r="I75" s="385">
        <v>6.9000000000000006E-2</v>
      </c>
      <c r="J75" s="385">
        <v>6.5000000000000002E-2</v>
      </c>
      <c r="K75" s="385">
        <v>6.4000000000000001E-2</v>
      </c>
      <c r="L75" s="385">
        <v>7.400000000000001E-2</v>
      </c>
      <c r="M75" s="385">
        <v>7.6999999999999999E-2</v>
      </c>
      <c r="N75" s="386">
        <v>9.1999999999999985E-2</v>
      </c>
      <c r="O75" s="386">
        <v>9.6999999999999989E-2</v>
      </c>
      <c r="P75" s="386">
        <v>9.2999999999999999E-2</v>
      </c>
      <c r="Q75" s="1437">
        <v>9.1792858478220232E-2</v>
      </c>
      <c r="R75" s="1632">
        <v>9.1012514220705346E-2</v>
      </c>
      <c r="S75" s="1437">
        <v>8.479814564419548E-2</v>
      </c>
      <c r="T75" s="2248">
        <v>8.184292379471228E-2</v>
      </c>
      <c r="U75" s="1189"/>
      <c r="V75" s="1434">
        <v>373</v>
      </c>
      <c r="W75" s="1434">
        <v>324</v>
      </c>
      <c r="X75" s="1434">
        <v>346</v>
      </c>
      <c r="Y75" s="1434">
        <v>403</v>
      </c>
      <c r="Z75" s="1434">
        <v>386</v>
      </c>
      <c r="AA75" s="1434">
        <v>392</v>
      </c>
      <c r="AB75" s="1434">
        <v>373</v>
      </c>
      <c r="AC75" s="1434">
        <v>382</v>
      </c>
      <c r="AD75" s="1434">
        <v>433</v>
      </c>
      <c r="AE75" s="1434">
        <v>472</v>
      </c>
      <c r="AF75" s="1434">
        <v>569</v>
      </c>
      <c r="AG75" s="1434">
        <v>576</v>
      </c>
      <c r="AH75" s="1350">
        <v>537</v>
      </c>
      <c r="AI75" s="1350">
        <v>491</v>
      </c>
      <c r="AJ75" s="1642">
        <v>480</v>
      </c>
      <c r="AK75" s="1346">
        <v>439</v>
      </c>
      <c r="AL75" s="2249">
        <v>421</v>
      </c>
    </row>
    <row r="76" spans="1:38" x14ac:dyDescent="0.25">
      <c r="A76" s="379" t="s">
        <v>184</v>
      </c>
      <c r="B76" s="380" t="s">
        <v>510</v>
      </c>
      <c r="C76" s="387" t="s">
        <v>266</v>
      </c>
      <c r="D76" s="384">
        <v>0.22399999999999998</v>
      </c>
      <c r="E76" s="385">
        <v>0.20199999999999999</v>
      </c>
      <c r="F76" s="385">
        <v>0.218</v>
      </c>
      <c r="G76" s="385">
        <v>0.23399999999999999</v>
      </c>
      <c r="H76" s="385">
        <v>0.21800000000000003</v>
      </c>
      <c r="I76" s="385">
        <v>0.26</v>
      </c>
      <c r="J76" s="385">
        <v>0.249</v>
      </c>
      <c r="K76" s="385">
        <v>0.23899999999999999</v>
      </c>
      <c r="L76" s="385">
        <v>0.26600000000000001</v>
      </c>
      <c r="M76" s="385">
        <v>0.25600000000000001</v>
      </c>
      <c r="N76" s="386">
        <v>0.27</v>
      </c>
      <c r="O76" s="386">
        <v>0.27300000000000002</v>
      </c>
      <c r="P76" s="386">
        <v>0.28699999999999998</v>
      </c>
      <c r="Q76" s="1437">
        <v>0.29288025889967639</v>
      </c>
      <c r="R76" s="1632">
        <v>0.30136986301369861</v>
      </c>
      <c r="S76" s="1437">
        <v>0.29112524191318773</v>
      </c>
      <c r="T76" s="2248">
        <v>0.28033012379642364</v>
      </c>
      <c r="U76" s="1189"/>
      <c r="V76" s="1434">
        <v>864</v>
      </c>
      <c r="W76" s="1434">
        <v>791</v>
      </c>
      <c r="X76" s="1434">
        <v>876</v>
      </c>
      <c r="Y76" s="1434">
        <v>918</v>
      </c>
      <c r="Z76" s="1434">
        <v>850</v>
      </c>
      <c r="AA76" s="1434">
        <v>1000</v>
      </c>
      <c r="AB76" s="1434">
        <v>935</v>
      </c>
      <c r="AC76" s="1434">
        <v>919</v>
      </c>
      <c r="AD76" s="1434">
        <v>1023</v>
      </c>
      <c r="AE76" s="1434">
        <v>990</v>
      </c>
      <c r="AF76" s="1434">
        <v>1071</v>
      </c>
      <c r="AG76" s="1434">
        <v>1069</v>
      </c>
      <c r="AH76" s="1350">
        <v>1123</v>
      </c>
      <c r="AI76" s="1350">
        <v>1086</v>
      </c>
      <c r="AJ76" s="1642">
        <v>1122</v>
      </c>
      <c r="AK76" s="1346">
        <v>1053</v>
      </c>
      <c r="AL76" s="2249">
        <v>1019</v>
      </c>
    </row>
    <row r="77" spans="1:38" x14ac:dyDescent="0.25">
      <c r="A77" s="379" t="s">
        <v>186</v>
      </c>
      <c r="B77" s="380" t="s">
        <v>511</v>
      </c>
      <c r="C77" s="387" t="s">
        <v>264</v>
      </c>
      <c r="D77" s="384">
        <v>9.6000000000000002E-2</v>
      </c>
      <c r="E77" s="385">
        <v>8.6000000000000007E-2</v>
      </c>
      <c r="F77" s="385">
        <v>8.5000000000000006E-2</v>
      </c>
      <c r="G77" s="385">
        <v>0.115</v>
      </c>
      <c r="H77" s="385">
        <v>9.6999999999999989E-2</v>
      </c>
      <c r="I77" s="385">
        <v>0.10300000000000001</v>
      </c>
      <c r="J77" s="385">
        <v>0.10400000000000001</v>
      </c>
      <c r="K77" s="385">
        <v>0.111</v>
      </c>
      <c r="L77" s="385">
        <v>0.128</v>
      </c>
      <c r="M77" s="385">
        <v>0.11599999999999999</v>
      </c>
      <c r="N77" s="386">
        <v>0.127</v>
      </c>
      <c r="O77" s="386">
        <v>0.13600000000000001</v>
      </c>
      <c r="P77" s="386">
        <v>0.126</v>
      </c>
      <c r="Q77" s="1437">
        <v>0.14816237674478167</v>
      </c>
      <c r="R77" s="1632">
        <v>0.13015710818750797</v>
      </c>
      <c r="S77" s="1437">
        <v>0.12265331664580725</v>
      </c>
      <c r="T77" s="2248">
        <v>0.11555993593692251</v>
      </c>
      <c r="U77" s="1189"/>
      <c r="V77" s="1434">
        <v>795</v>
      </c>
      <c r="W77" s="1434">
        <v>708</v>
      </c>
      <c r="X77" s="1434">
        <v>695</v>
      </c>
      <c r="Y77" s="1434">
        <v>924</v>
      </c>
      <c r="Z77" s="1434">
        <v>778</v>
      </c>
      <c r="AA77" s="1434">
        <v>816</v>
      </c>
      <c r="AB77" s="1434">
        <v>785</v>
      </c>
      <c r="AC77" s="1434">
        <v>819</v>
      </c>
      <c r="AD77" s="1434">
        <v>931</v>
      </c>
      <c r="AE77" s="1434">
        <v>941</v>
      </c>
      <c r="AF77" s="1434">
        <v>1006</v>
      </c>
      <c r="AG77" s="1434">
        <v>1111</v>
      </c>
      <c r="AH77" s="1350">
        <v>1011</v>
      </c>
      <c r="AI77" s="1350">
        <v>1157</v>
      </c>
      <c r="AJ77" s="1642">
        <v>1019</v>
      </c>
      <c r="AK77" s="1346">
        <v>980</v>
      </c>
      <c r="AL77" s="2249">
        <v>938</v>
      </c>
    </row>
    <row r="78" spans="1:38" x14ac:dyDescent="0.25">
      <c r="A78" s="379" t="s">
        <v>188</v>
      </c>
      <c r="B78" s="380" t="s">
        <v>512</v>
      </c>
      <c r="C78" s="387" t="s">
        <v>267</v>
      </c>
      <c r="D78" s="384">
        <v>6.4000000000000001E-2</v>
      </c>
      <c r="E78" s="385">
        <v>0.06</v>
      </c>
      <c r="F78" s="385">
        <v>7.2999999999999995E-2</v>
      </c>
      <c r="G78" s="385">
        <v>8.1000000000000003E-2</v>
      </c>
      <c r="H78" s="385">
        <v>7.2000000000000008E-2</v>
      </c>
      <c r="I78" s="385">
        <v>7.0000000000000007E-2</v>
      </c>
      <c r="J78" s="385">
        <v>7.0000000000000007E-2</v>
      </c>
      <c r="K78" s="385">
        <v>6.7999999999999991E-2</v>
      </c>
      <c r="L78" s="385">
        <v>7.4999999999999997E-2</v>
      </c>
      <c r="M78" s="385">
        <v>8.2000000000000003E-2</v>
      </c>
      <c r="N78" s="386">
        <v>8.4999999999999992E-2</v>
      </c>
      <c r="O78" s="386">
        <v>9.6999999999999989E-2</v>
      </c>
      <c r="P78" s="386">
        <v>9.6000000000000002E-2</v>
      </c>
      <c r="Q78" s="1437">
        <v>0.10001145231745824</v>
      </c>
      <c r="R78" s="1632">
        <v>0.10445084594473973</v>
      </c>
      <c r="S78" s="1437">
        <v>8.9921652421652426E-2</v>
      </c>
      <c r="T78" s="2248">
        <v>9.6713348984052455E-2</v>
      </c>
      <c r="U78" s="1189"/>
      <c r="V78" s="1434">
        <v>5688</v>
      </c>
      <c r="W78" s="1434">
        <v>5592</v>
      </c>
      <c r="X78" s="1434">
        <v>7107</v>
      </c>
      <c r="Y78" s="1434">
        <v>8029</v>
      </c>
      <c r="Z78" s="1434">
        <v>7411</v>
      </c>
      <c r="AA78" s="1434">
        <v>7148</v>
      </c>
      <c r="AB78" s="1434">
        <v>7105</v>
      </c>
      <c r="AC78" s="1434">
        <v>7135</v>
      </c>
      <c r="AD78" s="1434">
        <v>7921</v>
      </c>
      <c r="AE78" s="1434">
        <v>9006</v>
      </c>
      <c r="AF78" s="1434">
        <v>9782</v>
      </c>
      <c r="AG78" s="1434">
        <v>11468</v>
      </c>
      <c r="AH78" s="1350">
        <v>11471</v>
      </c>
      <c r="AI78" s="1350">
        <v>12226</v>
      </c>
      <c r="AJ78" s="1642">
        <v>12872</v>
      </c>
      <c r="AK78" s="1346">
        <v>11110</v>
      </c>
      <c r="AL78" s="2249">
        <v>11947</v>
      </c>
    </row>
    <row r="79" spans="1:38" x14ac:dyDescent="0.25">
      <c r="A79" s="379" t="s">
        <v>190</v>
      </c>
      <c r="B79" s="380" t="s">
        <v>513</v>
      </c>
      <c r="C79" s="387" t="s">
        <v>268</v>
      </c>
      <c r="D79" s="384">
        <v>0.16499999999999998</v>
      </c>
      <c r="E79" s="385">
        <v>0.156</v>
      </c>
      <c r="F79" s="385">
        <v>0.17399999999999999</v>
      </c>
      <c r="G79" s="385">
        <v>0.193</v>
      </c>
      <c r="H79" s="385">
        <v>0.18100000000000002</v>
      </c>
      <c r="I79" s="385">
        <v>0.21299999999999999</v>
      </c>
      <c r="J79" s="385">
        <v>0.19</v>
      </c>
      <c r="K79" s="385">
        <v>0.19800000000000001</v>
      </c>
      <c r="L79" s="385">
        <v>0.20799999999999999</v>
      </c>
      <c r="M79" s="385">
        <v>0.20600000000000002</v>
      </c>
      <c r="N79" s="386">
        <v>0.23399999999999999</v>
      </c>
      <c r="O79" s="386">
        <v>0.23899999999999999</v>
      </c>
      <c r="P79" s="386">
        <v>0.23100000000000001</v>
      </c>
      <c r="Q79" s="1437">
        <v>0.22259669394960679</v>
      </c>
      <c r="R79" s="1632">
        <v>0.22134578235672892</v>
      </c>
      <c r="S79" s="1437">
        <v>0.2212303197532868</v>
      </c>
      <c r="T79" s="2248">
        <v>0.20016460905349795</v>
      </c>
      <c r="U79" s="1189"/>
      <c r="V79" s="1434">
        <v>1182</v>
      </c>
      <c r="W79" s="1434">
        <v>1105</v>
      </c>
      <c r="X79" s="1434">
        <v>1244</v>
      </c>
      <c r="Y79" s="1434">
        <v>1354</v>
      </c>
      <c r="Z79" s="1434">
        <v>1250</v>
      </c>
      <c r="AA79" s="1434">
        <v>1456</v>
      </c>
      <c r="AB79" s="1434">
        <v>1284</v>
      </c>
      <c r="AC79" s="1434">
        <v>1334</v>
      </c>
      <c r="AD79" s="1434">
        <v>1377</v>
      </c>
      <c r="AE79" s="1434">
        <v>1352</v>
      </c>
      <c r="AF79" s="1434">
        <v>1557</v>
      </c>
      <c r="AG79" s="1434">
        <v>1564</v>
      </c>
      <c r="AH79" s="1350">
        <v>1472</v>
      </c>
      <c r="AI79" s="1350">
        <v>1387</v>
      </c>
      <c r="AJ79" s="1642">
        <v>1375</v>
      </c>
      <c r="AK79" s="1346">
        <v>1363</v>
      </c>
      <c r="AL79" s="2249">
        <v>1216</v>
      </c>
    </row>
    <row r="80" spans="1:38" x14ac:dyDescent="0.25">
      <c r="A80" s="379" t="s">
        <v>194</v>
      </c>
      <c r="B80" s="380" t="s">
        <v>195</v>
      </c>
      <c r="C80" s="387" t="s">
        <v>267</v>
      </c>
      <c r="D80" s="384">
        <v>0.122</v>
      </c>
      <c r="E80" s="385">
        <v>0.11399999999999999</v>
      </c>
      <c r="F80" s="385">
        <v>0.10500000000000001</v>
      </c>
      <c r="G80" s="385">
        <v>0.109</v>
      </c>
      <c r="H80" s="385">
        <v>0.09</v>
      </c>
      <c r="I80" s="385">
        <v>0.10199999999999998</v>
      </c>
      <c r="J80" s="385">
        <v>0.10300000000000001</v>
      </c>
      <c r="K80" s="385">
        <v>0.11499999999999999</v>
      </c>
      <c r="L80" s="385">
        <v>0.13300000000000001</v>
      </c>
      <c r="M80" s="385">
        <v>0.14199999999999999</v>
      </c>
      <c r="N80" s="386">
        <v>0.155</v>
      </c>
      <c r="O80" s="386">
        <v>0.16200000000000001</v>
      </c>
      <c r="P80" s="386">
        <v>0.17100000000000001</v>
      </c>
      <c r="Q80" s="1437">
        <v>0.17655571635311143</v>
      </c>
      <c r="R80" s="1632">
        <v>0.16562499999999999</v>
      </c>
      <c r="S80" s="1437">
        <v>0.15553809897879026</v>
      </c>
      <c r="T80" s="2248">
        <v>0.1680933852140078</v>
      </c>
      <c r="U80" s="1189"/>
      <c r="V80" s="1434">
        <v>190</v>
      </c>
      <c r="W80" s="1434">
        <v>178</v>
      </c>
      <c r="X80" s="1434">
        <v>161</v>
      </c>
      <c r="Y80" s="1434">
        <v>165</v>
      </c>
      <c r="Z80" s="1434">
        <v>134</v>
      </c>
      <c r="AA80" s="1434">
        <v>149</v>
      </c>
      <c r="AB80" s="1434">
        <v>149</v>
      </c>
      <c r="AC80" s="1434">
        <v>165</v>
      </c>
      <c r="AD80" s="1434">
        <v>186</v>
      </c>
      <c r="AE80" s="1434">
        <v>199</v>
      </c>
      <c r="AF80" s="1434">
        <v>222</v>
      </c>
      <c r="AG80" s="1434">
        <v>231</v>
      </c>
      <c r="AH80" s="1350">
        <v>235</v>
      </c>
      <c r="AI80" s="1350">
        <v>244</v>
      </c>
      <c r="AJ80" s="1642">
        <v>212</v>
      </c>
      <c r="AK80" s="1346">
        <v>198</v>
      </c>
      <c r="AL80" s="2249">
        <v>216</v>
      </c>
    </row>
    <row r="81" spans="1:38" x14ac:dyDescent="0.25">
      <c r="A81" s="379" t="s">
        <v>198</v>
      </c>
      <c r="B81" s="380" t="s">
        <v>272</v>
      </c>
      <c r="C81" s="387" t="s">
        <v>266</v>
      </c>
      <c r="D81" s="384">
        <v>0.189</v>
      </c>
      <c r="E81" s="385">
        <v>0.17600000000000002</v>
      </c>
      <c r="F81" s="385">
        <v>0.185</v>
      </c>
      <c r="G81" s="385">
        <v>0.20100000000000001</v>
      </c>
      <c r="H81" s="385">
        <v>0.187</v>
      </c>
      <c r="I81" s="385">
        <v>0.21299999999999999</v>
      </c>
      <c r="J81" s="385">
        <v>0.19900000000000001</v>
      </c>
      <c r="K81" s="385">
        <v>0.21500000000000002</v>
      </c>
      <c r="L81" s="385">
        <v>0.20899999999999999</v>
      </c>
      <c r="M81" s="385">
        <v>0.21899999999999997</v>
      </c>
      <c r="N81" s="386">
        <v>0.23799999999999999</v>
      </c>
      <c r="O81" s="386">
        <v>0.25900000000000001</v>
      </c>
      <c r="P81" s="386">
        <v>0.24099999999999999</v>
      </c>
      <c r="Q81" s="1437">
        <v>0.25810810810810808</v>
      </c>
      <c r="R81" s="1632">
        <v>0.23908663532572197</v>
      </c>
      <c r="S81" s="1437">
        <v>0.22988505747126436</v>
      </c>
      <c r="T81" s="2248">
        <v>0.23664122137404581</v>
      </c>
      <c r="U81" s="1189"/>
      <c r="V81" s="1434">
        <v>293</v>
      </c>
      <c r="W81" s="1434">
        <v>262</v>
      </c>
      <c r="X81" s="1434">
        <v>278</v>
      </c>
      <c r="Y81" s="1434">
        <v>304</v>
      </c>
      <c r="Z81" s="1434">
        <v>269</v>
      </c>
      <c r="AA81" s="1434">
        <v>305</v>
      </c>
      <c r="AB81" s="1434">
        <v>284</v>
      </c>
      <c r="AC81" s="1434">
        <v>317</v>
      </c>
      <c r="AD81" s="1434">
        <v>308</v>
      </c>
      <c r="AE81" s="1434">
        <v>325</v>
      </c>
      <c r="AF81" s="1434">
        <v>365</v>
      </c>
      <c r="AG81" s="1434">
        <v>394</v>
      </c>
      <c r="AH81" s="1350">
        <v>366</v>
      </c>
      <c r="AI81" s="1350">
        <v>382</v>
      </c>
      <c r="AJ81" s="1642">
        <v>356</v>
      </c>
      <c r="AK81" s="1346">
        <v>340</v>
      </c>
      <c r="AL81" s="2249">
        <v>341</v>
      </c>
    </row>
    <row r="82" spans="1:38" x14ac:dyDescent="0.25">
      <c r="A82" s="379" t="s">
        <v>202</v>
      </c>
      <c r="B82" s="380" t="s">
        <v>611</v>
      </c>
      <c r="C82" s="387" t="s">
        <v>265</v>
      </c>
      <c r="D82" s="384">
        <v>6.8193940308644313E-2</v>
      </c>
      <c r="E82" s="385">
        <v>6.5974551764025446E-2</v>
      </c>
      <c r="F82" s="385">
        <v>7.944924009010175E-2</v>
      </c>
      <c r="G82" s="385">
        <v>9.4153362380463512E-2</v>
      </c>
      <c r="H82" s="385">
        <v>8.4813546374689658E-2</v>
      </c>
      <c r="I82" s="385">
        <v>8.02463426937952E-2</v>
      </c>
      <c r="J82" s="385">
        <v>7.7264923917284428E-2</v>
      </c>
      <c r="K82" s="385">
        <v>8.1615503397158728E-2</v>
      </c>
      <c r="L82" s="385">
        <v>8.5679896462467639E-2</v>
      </c>
      <c r="M82" s="385">
        <v>9.3418944062637801E-2</v>
      </c>
      <c r="N82" s="386">
        <v>0.10149676712900199</v>
      </c>
      <c r="O82" s="386">
        <v>0.252</v>
      </c>
      <c r="P82" s="386">
        <v>0.105</v>
      </c>
      <c r="Q82" s="1437">
        <v>0.10698493285293155</v>
      </c>
      <c r="R82" s="1632">
        <v>0.11178384612216319</v>
      </c>
      <c r="S82" s="1437">
        <v>0.10266804550155119</v>
      </c>
      <c r="T82" s="2248">
        <v>9.8830852048111706E-2</v>
      </c>
      <c r="U82" s="1189"/>
      <c r="V82" s="1434">
        <v>1630</v>
      </c>
      <c r="W82" s="1434">
        <v>1584</v>
      </c>
      <c r="X82" s="1434">
        <v>1955</v>
      </c>
      <c r="Y82" s="1434">
        <v>2276</v>
      </c>
      <c r="Z82" s="1434">
        <v>2031</v>
      </c>
      <c r="AA82" s="1434">
        <v>1890</v>
      </c>
      <c r="AB82" s="1434">
        <v>1886</v>
      </c>
      <c r="AC82" s="1434">
        <v>1987</v>
      </c>
      <c r="AD82" s="1434">
        <v>2095</v>
      </c>
      <c r="AE82" s="1434">
        <v>2424</v>
      </c>
      <c r="AF82" s="1434">
        <v>2510</v>
      </c>
      <c r="AG82" s="1434">
        <v>2734</v>
      </c>
      <c r="AH82" s="1350">
        <v>2531</v>
      </c>
      <c r="AI82" s="1350">
        <v>2613</v>
      </c>
      <c r="AJ82" s="1642">
        <v>2714</v>
      </c>
      <c r="AK82" s="1346">
        <v>2482</v>
      </c>
      <c r="AL82" s="2249">
        <v>2350</v>
      </c>
    </row>
    <row r="83" spans="1:38" x14ac:dyDescent="0.25">
      <c r="A83" s="379" t="s">
        <v>204</v>
      </c>
      <c r="B83" s="380" t="s">
        <v>747</v>
      </c>
      <c r="C83" s="387" t="s">
        <v>265</v>
      </c>
      <c r="D83" s="384">
        <v>0.12251567942620668</v>
      </c>
      <c r="E83" s="385">
        <v>0.11493050403158708</v>
      </c>
      <c r="F83" s="385">
        <v>0.13090330456689325</v>
      </c>
      <c r="G83" s="385">
        <v>0.14345094670059147</v>
      </c>
      <c r="H83" s="385">
        <v>0.12311181521666978</v>
      </c>
      <c r="I83" s="385">
        <v>0.13926536034540019</v>
      </c>
      <c r="J83" s="385">
        <v>0.14667017682672617</v>
      </c>
      <c r="K83" s="385">
        <v>0.13979679129953718</v>
      </c>
      <c r="L83" s="385">
        <v>0.15096898355924435</v>
      </c>
      <c r="M83" s="385">
        <v>0.16557930071263913</v>
      </c>
      <c r="N83" s="386">
        <v>0.18075532332328353</v>
      </c>
      <c r="O83" s="386">
        <v>0.18936066373840899</v>
      </c>
      <c r="P83" s="386">
        <v>0.189</v>
      </c>
      <c r="Q83" s="1437">
        <v>0.19196062346185397</v>
      </c>
      <c r="R83" s="1632">
        <v>0.19739837398373983</v>
      </c>
      <c r="S83" s="1437">
        <v>0.19259381715986112</v>
      </c>
      <c r="T83" s="2248">
        <v>0.19004135079255685</v>
      </c>
      <c r="U83" s="1189"/>
      <c r="V83" s="1434">
        <v>815</v>
      </c>
      <c r="W83" s="1434">
        <v>749</v>
      </c>
      <c r="X83" s="1434">
        <v>865</v>
      </c>
      <c r="Y83" s="1434">
        <v>932</v>
      </c>
      <c r="Z83" s="1434">
        <v>785</v>
      </c>
      <c r="AA83" s="1434">
        <v>876</v>
      </c>
      <c r="AB83" s="1434">
        <v>924</v>
      </c>
      <c r="AC83" s="1434">
        <v>879</v>
      </c>
      <c r="AD83" s="1434">
        <v>938</v>
      </c>
      <c r="AE83" s="1434">
        <v>1017</v>
      </c>
      <c r="AF83" s="1434">
        <v>1130</v>
      </c>
      <c r="AG83" s="1434">
        <v>1164</v>
      </c>
      <c r="AH83" s="1350">
        <v>1164</v>
      </c>
      <c r="AI83" s="1350">
        <v>1170</v>
      </c>
      <c r="AJ83" s="1642">
        <v>1214</v>
      </c>
      <c r="AK83" s="1346">
        <v>1165</v>
      </c>
      <c r="AL83" s="2249">
        <v>1103</v>
      </c>
    </row>
    <row r="84" spans="1:38" x14ac:dyDescent="0.25">
      <c r="A84" s="379" t="s">
        <v>206</v>
      </c>
      <c r="B84" s="380" t="s">
        <v>748</v>
      </c>
      <c r="C84" s="387" t="s">
        <v>267</v>
      </c>
      <c r="D84" s="384">
        <v>0.12778413353338336</v>
      </c>
      <c r="E84" s="385">
        <v>0.11888582454334963</v>
      </c>
      <c r="F84" s="385">
        <v>0.13148748332417798</v>
      </c>
      <c r="G84" s="385">
        <v>0.1414905487181094</v>
      </c>
      <c r="H84" s="385">
        <v>0.12762551060745816</v>
      </c>
      <c r="I84" s="385">
        <v>0.13042314334320348</v>
      </c>
      <c r="J84" s="385">
        <v>0.12657400610789404</v>
      </c>
      <c r="K84" s="385">
        <v>0.13915740575977523</v>
      </c>
      <c r="L84" s="385">
        <v>0.1465355207875364</v>
      </c>
      <c r="M84" s="385">
        <v>0.15607638752568281</v>
      </c>
      <c r="N84" s="386">
        <v>0.17198822367149413</v>
      </c>
      <c r="O84" s="386">
        <v>0.16272639846129183</v>
      </c>
      <c r="P84" s="386">
        <v>0.183</v>
      </c>
      <c r="Q84" s="1437">
        <v>0.17264150943396225</v>
      </c>
      <c r="R84" s="1632">
        <v>0.1867582760774516</v>
      </c>
      <c r="S84" s="1437">
        <v>0.17144870239167026</v>
      </c>
      <c r="T84" s="2248">
        <v>0.15774352603175837</v>
      </c>
      <c r="U84" s="1189"/>
      <c r="V84" s="1434">
        <v>2884</v>
      </c>
      <c r="W84" s="1434">
        <v>2710</v>
      </c>
      <c r="X84" s="1434">
        <v>3019</v>
      </c>
      <c r="Y84" s="1434">
        <v>3287</v>
      </c>
      <c r="Z84" s="1434">
        <v>2935</v>
      </c>
      <c r="AA84" s="1434">
        <v>2963</v>
      </c>
      <c r="AB84" s="1434">
        <v>2932</v>
      </c>
      <c r="AC84" s="1434">
        <v>3342</v>
      </c>
      <c r="AD84" s="1434">
        <v>3535</v>
      </c>
      <c r="AE84" s="1434">
        <v>3765</v>
      </c>
      <c r="AF84" s="1434">
        <v>4302</v>
      </c>
      <c r="AG84" s="1434">
        <v>4061</v>
      </c>
      <c r="AH84" s="1350">
        <v>4669</v>
      </c>
      <c r="AI84" s="1350">
        <v>4392</v>
      </c>
      <c r="AJ84" s="1642">
        <v>4784</v>
      </c>
      <c r="AK84" s="1346">
        <v>4380</v>
      </c>
      <c r="AL84" s="2249">
        <v>4063</v>
      </c>
    </row>
    <row r="85" spans="1:38" x14ac:dyDescent="0.25">
      <c r="A85" s="379" t="s">
        <v>208</v>
      </c>
      <c r="B85" s="380" t="s">
        <v>515</v>
      </c>
      <c r="C85" s="387" t="s">
        <v>268</v>
      </c>
      <c r="D85" s="384">
        <v>0.22100000000000003</v>
      </c>
      <c r="E85" s="385">
        <v>0.19499999999999998</v>
      </c>
      <c r="F85" s="385">
        <v>0.23</v>
      </c>
      <c r="G85" s="385">
        <v>0.249</v>
      </c>
      <c r="H85" s="385">
        <v>0.218</v>
      </c>
      <c r="I85" s="385">
        <v>0.26699999999999996</v>
      </c>
      <c r="J85" s="385">
        <v>0.22500000000000001</v>
      </c>
      <c r="K85" s="385">
        <v>0.255</v>
      </c>
      <c r="L85" s="385">
        <v>0.251</v>
      </c>
      <c r="M85" s="385">
        <v>0.25600000000000001</v>
      </c>
      <c r="N85" s="386">
        <v>0.252</v>
      </c>
      <c r="O85" s="386">
        <v>0.27200000000000002</v>
      </c>
      <c r="P85" s="386">
        <v>0.23899999999999999</v>
      </c>
      <c r="Q85" s="1437">
        <v>0.26217843459222767</v>
      </c>
      <c r="R85" s="1632">
        <v>0.24550458715596329</v>
      </c>
      <c r="S85" s="1437">
        <v>0.28190127970749546</v>
      </c>
      <c r="T85" s="2248">
        <v>0.23714886298490351</v>
      </c>
      <c r="U85" s="1189"/>
      <c r="V85" s="1434">
        <v>1360</v>
      </c>
      <c r="W85" s="1434">
        <v>1181</v>
      </c>
      <c r="X85" s="1434">
        <v>1396</v>
      </c>
      <c r="Y85" s="1434">
        <v>1499</v>
      </c>
      <c r="Z85" s="1434">
        <v>1321</v>
      </c>
      <c r="AA85" s="1434">
        <v>1596</v>
      </c>
      <c r="AB85" s="1434">
        <v>1295</v>
      </c>
      <c r="AC85" s="1434">
        <v>1476</v>
      </c>
      <c r="AD85" s="1434">
        <v>1428</v>
      </c>
      <c r="AE85" s="1434">
        <v>1500</v>
      </c>
      <c r="AF85" s="1434">
        <v>1464</v>
      </c>
      <c r="AG85" s="1434">
        <v>1546</v>
      </c>
      <c r="AH85" s="1350">
        <v>1332</v>
      </c>
      <c r="AI85" s="1350">
        <v>1437</v>
      </c>
      <c r="AJ85" s="1642">
        <v>1338</v>
      </c>
      <c r="AK85" s="1346">
        <v>1542</v>
      </c>
      <c r="AL85" s="2249">
        <v>1241</v>
      </c>
    </row>
    <row r="86" spans="1:38" x14ac:dyDescent="0.25">
      <c r="A86" s="379" t="s">
        <v>210</v>
      </c>
      <c r="B86" s="380" t="s">
        <v>516</v>
      </c>
      <c r="C86" s="387" t="s">
        <v>268</v>
      </c>
      <c r="D86" s="384">
        <v>0.192</v>
      </c>
      <c r="E86" s="385">
        <v>0.18</v>
      </c>
      <c r="F86" s="385">
        <v>0.191</v>
      </c>
      <c r="G86" s="385">
        <v>0.22100000000000003</v>
      </c>
      <c r="H86" s="385">
        <v>0.19699999999999998</v>
      </c>
      <c r="I86" s="385">
        <v>0.24300000000000002</v>
      </c>
      <c r="J86" s="385">
        <v>0.24000000000000002</v>
      </c>
      <c r="K86" s="385">
        <v>0.221</v>
      </c>
      <c r="L86" s="385">
        <v>0.221</v>
      </c>
      <c r="M86" s="385">
        <v>0.24100000000000002</v>
      </c>
      <c r="N86" s="386">
        <v>0.25</v>
      </c>
      <c r="O86" s="386">
        <v>0.249</v>
      </c>
      <c r="P86" s="386">
        <v>0.28199999999999997</v>
      </c>
      <c r="Q86" s="1437">
        <v>0.26485972420351878</v>
      </c>
      <c r="R86" s="1632">
        <v>0.26053455333493858</v>
      </c>
      <c r="S86" s="1437">
        <v>0.24474841231069858</v>
      </c>
      <c r="T86" s="2248">
        <v>0.23955147808358818</v>
      </c>
      <c r="U86" s="1189"/>
      <c r="V86" s="1434">
        <v>900</v>
      </c>
      <c r="W86" s="1434">
        <v>828</v>
      </c>
      <c r="X86" s="1434">
        <v>877</v>
      </c>
      <c r="Y86" s="1434">
        <v>1004</v>
      </c>
      <c r="Z86" s="1434">
        <v>884</v>
      </c>
      <c r="AA86" s="1434">
        <v>1075</v>
      </c>
      <c r="AB86" s="1434">
        <v>1046</v>
      </c>
      <c r="AC86" s="1434">
        <v>942</v>
      </c>
      <c r="AD86" s="1434">
        <v>936</v>
      </c>
      <c r="AE86" s="1434">
        <v>1035</v>
      </c>
      <c r="AF86" s="1434">
        <v>1094</v>
      </c>
      <c r="AG86" s="1434">
        <v>1076</v>
      </c>
      <c r="AH86" s="1350">
        <v>1195</v>
      </c>
      <c r="AI86" s="1350">
        <v>1114</v>
      </c>
      <c r="AJ86" s="1642">
        <v>1082</v>
      </c>
      <c r="AK86" s="1346">
        <v>1002</v>
      </c>
      <c r="AL86" s="2249">
        <v>940</v>
      </c>
    </row>
    <row r="87" spans="1:38" x14ac:dyDescent="0.25">
      <c r="A87" s="379" t="s">
        <v>212</v>
      </c>
      <c r="B87" s="380" t="s">
        <v>517</v>
      </c>
      <c r="C87" s="387" t="s">
        <v>267</v>
      </c>
      <c r="D87" s="384">
        <v>0.12300000000000001</v>
      </c>
      <c r="E87" s="385">
        <v>0.11499999999999999</v>
      </c>
      <c r="F87" s="385">
        <v>0.115</v>
      </c>
      <c r="G87" s="385">
        <v>0.13100000000000001</v>
      </c>
      <c r="H87" s="385">
        <v>0.12300000000000001</v>
      </c>
      <c r="I87" s="385">
        <v>0.13100000000000001</v>
      </c>
      <c r="J87" s="385">
        <v>0.12699999999999997</v>
      </c>
      <c r="K87" s="385">
        <v>0.124</v>
      </c>
      <c r="L87" s="385">
        <v>0.14599999999999999</v>
      </c>
      <c r="M87" s="385">
        <v>0.15500000000000003</v>
      </c>
      <c r="N87" s="386">
        <v>0.17199999999999999</v>
      </c>
      <c r="O87" s="386">
        <v>0.20300000000000001</v>
      </c>
      <c r="P87" s="386">
        <v>0.17599999999999999</v>
      </c>
      <c r="Q87" s="1437">
        <v>0.18003783242461333</v>
      </c>
      <c r="R87" s="1632">
        <v>0.17639942813152976</v>
      </c>
      <c r="S87" s="1437">
        <v>0.17720401633013352</v>
      </c>
      <c r="T87" s="2248">
        <v>0.14957312340614259</v>
      </c>
      <c r="U87" s="1189"/>
      <c r="V87" s="1434">
        <v>952</v>
      </c>
      <c r="W87" s="1434">
        <v>910</v>
      </c>
      <c r="X87" s="1434">
        <v>942</v>
      </c>
      <c r="Y87" s="1434">
        <v>1070</v>
      </c>
      <c r="Z87" s="1434">
        <v>1038</v>
      </c>
      <c r="AA87" s="1434">
        <v>1094</v>
      </c>
      <c r="AB87" s="1434">
        <v>1059</v>
      </c>
      <c r="AC87" s="1434">
        <v>1086</v>
      </c>
      <c r="AD87" s="1434">
        <v>1281</v>
      </c>
      <c r="AE87" s="1434">
        <v>1375</v>
      </c>
      <c r="AF87" s="1434">
        <v>1556</v>
      </c>
      <c r="AG87" s="1434">
        <v>1838</v>
      </c>
      <c r="AH87" s="1350">
        <v>1583</v>
      </c>
      <c r="AI87" s="1350">
        <v>1618</v>
      </c>
      <c r="AJ87" s="1642">
        <v>1604</v>
      </c>
      <c r="AK87" s="1346">
        <v>1606</v>
      </c>
      <c r="AL87" s="2249">
        <v>1349</v>
      </c>
    </row>
    <row r="88" spans="1:38" x14ac:dyDescent="0.25">
      <c r="A88" s="379" t="s">
        <v>214</v>
      </c>
      <c r="B88" s="380" t="s">
        <v>518</v>
      </c>
      <c r="C88" s="387" t="s">
        <v>268</v>
      </c>
      <c r="D88" s="384">
        <v>0.18</v>
      </c>
      <c r="E88" s="385">
        <v>0.17500000000000002</v>
      </c>
      <c r="F88" s="385">
        <v>0.19500000000000001</v>
      </c>
      <c r="G88" s="385">
        <v>0.22399999999999998</v>
      </c>
      <c r="H88" s="385">
        <v>0.18600000000000003</v>
      </c>
      <c r="I88" s="385">
        <v>0.19</v>
      </c>
      <c r="J88" s="385">
        <v>0.214</v>
      </c>
      <c r="K88" s="385">
        <v>0.218</v>
      </c>
      <c r="L88" s="385">
        <v>0.24299999999999999</v>
      </c>
      <c r="M88" s="385">
        <v>0.247</v>
      </c>
      <c r="N88" s="386">
        <v>0.28000000000000003</v>
      </c>
      <c r="O88" s="386">
        <v>0.27899999999999997</v>
      </c>
      <c r="P88" s="386">
        <v>0.28000000000000003</v>
      </c>
      <c r="Q88" s="1437">
        <v>0.25925332478769431</v>
      </c>
      <c r="R88" s="1632">
        <v>0.26875502008032126</v>
      </c>
      <c r="S88" s="1437">
        <v>0.27607461476074613</v>
      </c>
      <c r="T88" s="2248">
        <v>0.24247519757861105</v>
      </c>
      <c r="U88" s="1189"/>
      <c r="V88" s="1434">
        <v>1245</v>
      </c>
      <c r="W88" s="1434">
        <v>1207</v>
      </c>
      <c r="X88" s="1434">
        <v>1367</v>
      </c>
      <c r="Y88" s="1434">
        <v>1524</v>
      </c>
      <c r="Z88" s="1434">
        <v>1291</v>
      </c>
      <c r="AA88" s="1434">
        <v>1295</v>
      </c>
      <c r="AB88" s="1434">
        <v>1401</v>
      </c>
      <c r="AC88" s="1434">
        <v>1410</v>
      </c>
      <c r="AD88" s="1434">
        <v>1545</v>
      </c>
      <c r="AE88" s="1434">
        <v>1593</v>
      </c>
      <c r="AF88" s="1434">
        <v>1843</v>
      </c>
      <c r="AG88" s="1434">
        <v>1786</v>
      </c>
      <c r="AH88" s="1350">
        <v>1764</v>
      </c>
      <c r="AI88" s="1350">
        <v>1618</v>
      </c>
      <c r="AJ88" s="1642">
        <v>1673</v>
      </c>
      <c r="AK88" s="1346">
        <v>1702</v>
      </c>
      <c r="AL88" s="2249">
        <v>1442</v>
      </c>
    </row>
    <row r="89" spans="1:38" x14ac:dyDescent="0.25">
      <c r="A89" s="379" t="s">
        <v>216</v>
      </c>
      <c r="B89" s="380" t="s">
        <v>519</v>
      </c>
      <c r="C89" s="387" t="s">
        <v>264</v>
      </c>
      <c r="D89" s="384">
        <v>0.18899999999999997</v>
      </c>
      <c r="E89" s="385">
        <v>0.16399999999999998</v>
      </c>
      <c r="F89" s="385">
        <v>0.17399999999999999</v>
      </c>
      <c r="G89" s="385">
        <v>0.19600000000000001</v>
      </c>
      <c r="H89" s="385">
        <v>0.17499999999999999</v>
      </c>
      <c r="I89" s="385">
        <v>0.19399999999999998</v>
      </c>
      <c r="J89" s="385">
        <v>0.20199999999999999</v>
      </c>
      <c r="K89" s="385">
        <v>0.188</v>
      </c>
      <c r="L89" s="385">
        <v>0.218</v>
      </c>
      <c r="M89" s="385">
        <v>0.19500000000000001</v>
      </c>
      <c r="N89" s="386">
        <v>0.2</v>
      </c>
      <c r="O89" s="386">
        <v>0.221</v>
      </c>
      <c r="P89" s="386">
        <v>0.22500000000000001</v>
      </c>
      <c r="Q89" s="1437">
        <v>0.2248639358350043</v>
      </c>
      <c r="R89" s="1632">
        <v>0.22421921037124337</v>
      </c>
      <c r="S89" s="1437">
        <v>0.20915224405984159</v>
      </c>
      <c r="T89" s="2248">
        <v>0.21129220023282888</v>
      </c>
      <c r="U89" s="1189"/>
      <c r="V89" s="1434">
        <v>714</v>
      </c>
      <c r="W89" s="1434">
        <v>607</v>
      </c>
      <c r="X89" s="1434">
        <v>656</v>
      </c>
      <c r="Y89" s="1434">
        <v>707</v>
      </c>
      <c r="Z89" s="1434">
        <v>640</v>
      </c>
      <c r="AA89" s="1434">
        <v>701</v>
      </c>
      <c r="AB89" s="1434">
        <v>717</v>
      </c>
      <c r="AC89" s="1434">
        <v>662</v>
      </c>
      <c r="AD89" s="1434">
        <v>747</v>
      </c>
      <c r="AE89" s="1434">
        <v>704</v>
      </c>
      <c r="AF89" s="1434">
        <v>768</v>
      </c>
      <c r="AG89" s="1434">
        <v>831</v>
      </c>
      <c r="AH89" s="1350">
        <v>826</v>
      </c>
      <c r="AI89" s="1350">
        <v>785</v>
      </c>
      <c r="AJ89" s="1642">
        <v>761</v>
      </c>
      <c r="AK89" s="1346">
        <v>713</v>
      </c>
      <c r="AL89" s="2249">
        <v>726</v>
      </c>
    </row>
    <row r="90" spans="1:38" x14ac:dyDescent="0.25">
      <c r="A90" s="379" t="s">
        <v>218</v>
      </c>
      <c r="B90" s="380" t="s">
        <v>520</v>
      </c>
      <c r="C90" s="387" t="s">
        <v>267</v>
      </c>
      <c r="D90" s="384">
        <v>7.2000000000000008E-2</v>
      </c>
      <c r="E90" s="385">
        <v>6.4000000000000001E-2</v>
      </c>
      <c r="F90" s="385">
        <v>7.0999999999999994E-2</v>
      </c>
      <c r="G90" s="385">
        <v>7.8E-2</v>
      </c>
      <c r="H90" s="385">
        <v>7.2999999999999995E-2</v>
      </c>
      <c r="I90" s="385">
        <v>7.4999999999999997E-2</v>
      </c>
      <c r="J90" s="385">
        <v>7.0999999999999994E-2</v>
      </c>
      <c r="K90" s="385">
        <v>7.6999999999999999E-2</v>
      </c>
      <c r="L90" s="385">
        <v>8.6999999999999994E-2</v>
      </c>
      <c r="M90" s="385">
        <v>0.10400000000000001</v>
      </c>
      <c r="N90" s="386">
        <v>0.10500000000000001</v>
      </c>
      <c r="O90" s="386">
        <v>0.11599999999999999</v>
      </c>
      <c r="P90" s="386">
        <v>0.11600000000000001</v>
      </c>
      <c r="Q90" s="1437">
        <v>0.10372299678259538</v>
      </c>
      <c r="R90" s="1632">
        <v>0.12804560360415582</v>
      </c>
      <c r="S90" s="1437">
        <v>0.10882533825338253</v>
      </c>
      <c r="T90" s="2248">
        <v>0.10676668707899571</v>
      </c>
      <c r="U90" s="1189"/>
      <c r="V90" s="1434">
        <v>2013</v>
      </c>
      <c r="W90" s="1434">
        <v>1875</v>
      </c>
      <c r="X90" s="1434">
        <v>2164</v>
      </c>
      <c r="Y90" s="1434">
        <v>2418</v>
      </c>
      <c r="Z90" s="1434">
        <v>2320</v>
      </c>
      <c r="AA90" s="1434">
        <v>2365</v>
      </c>
      <c r="AB90" s="1434">
        <v>2241</v>
      </c>
      <c r="AC90" s="1434">
        <v>2473</v>
      </c>
      <c r="AD90" s="1434">
        <v>2790</v>
      </c>
      <c r="AE90" s="1434">
        <v>3473</v>
      </c>
      <c r="AF90" s="1434">
        <v>3532</v>
      </c>
      <c r="AG90" s="1434">
        <v>3814</v>
      </c>
      <c r="AH90" s="1350">
        <v>3803</v>
      </c>
      <c r="AI90" s="1350">
        <v>3385</v>
      </c>
      <c r="AJ90" s="1642">
        <v>4178</v>
      </c>
      <c r="AK90" s="1346">
        <v>3539</v>
      </c>
      <c r="AL90" s="2249">
        <v>3487</v>
      </c>
    </row>
    <row r="91" spans="1:38" x14ac:dyDescent="0.25">
      <c r="A91" s="379" t="s">
        <v>220</v>
      </c>
      <c r="B91" s="380" t="s">
        <v>521</v>
      </c>
      <c r="C91" s="387" t="s">
        <v>267</v>
      </c>
      <c r="D91" s="384">
        <v>5.2999999999999999E-2</v>
      </c>
      <c r="E91" s="385">
        <v>4.4999999999999998E-2</v>
      </c>
      <c r="F91" s="385">
        <v>5.2999999999999999E-2</v>
      </c>
      <c r="G91" s="385">
        <v>6.2E-2</v>
      </c>
      <c r="H91" s="385">
        <v>5.7999999999999996E-2</v>
      </c>
      <c r="I91" s="385">
        <v>5.2999999999999992E-2</v>
      </c>
      <c r="J91" s="385">
        <v>4.5999999999999999E-2</v>
      </c>
      <c r="K91" s="385">
        <v>5.099999999999999E-2</v>
      </c>
      <c r="L91" s="385">
        <v>5.9000000000000004E-2</v>
      </c>
      <c r="M91" s="385">
        <v>6.2000000000000006E-2</v>
      </c>
      <c r="N91" s="386">
        <v>6.8000000000000005E-2</v>
      </c>
      <c r="O91" s="386">
        <v>7.9000000000000001E-2</v>
      </c>
      <c r="P91" s="386">
        <v>7.0000000000000007E-2</v>
      </c>
      <c r="Q91" s="1437">
        <v>8.0715281765236652E-2</v>
      </c>
      <c r="R91" s="1632">
        <v>7.570247043293192E-2</v>
      </c>
      <c r="S91" s="1437">
        <v>7.1382533032549142E-2</v>
      </c>
      <c r="T91" s="2248">
        <v>6.9618894256575414E-2</v>
      </c>
      <c r="U91" s="1189"/>
      <c r="V91" s="1434">
        <v>1608</v>
      </c>
      <c r="W91" s="1434">
        <v>1416</v>
      </c>
      <c r="X91" s="1434">
        <v>1718</v>
      </c>
      <c r="Y91" s="1434">
        <v>2023</v>
      </c>
      <c r="Z91" s="1434">
        <v>1944</v>
      </c>
      <c r="AA91" s="1434">
        <v>1758</v>
      </c>
      <c r="AB91" s="1434">
        <v>1493</v>
      </c>
      <c r="AC91" s="1434">
        <v>1706</v>
      </c>
      <c r="AD91" s="1434">
        <v>1930</v>
      </c>
      <c r="AE91" s="1434">
        <v>2223</v>
      </c>
      <c r="AF91" s="1434">
        <v>2504</v>
      </c>
      <c r="AG91" s="1434">
        <v>2894</v>
      </c>
      <c r="AH91" s="1350">
        <v>2549</v>
      </c>
      <c r="AI91" s="1350">
        <v>2952</v>
      </c>
      <c r="AJ91" s="1642">
        <v>2810</v>
      </c>
      <c r="AK91" s="1346">
        <v>2658</v>
      </c>
      <c r="AL91" s="2249">
        <v>2594</v>
      </c>
    </row>
    <row r="92" spans="1:38" x14ac:dyDescent="0.25">
      <c r="A92" s="379" t="s">
        <v>224</v>
      </c>
      <c r="B92" s="380" t="s">
        <v>522</v>
      </c>
      <c r="C92" s="387" t="s">
        <v>264</v>
      </c>
      <c r="D92" s="384">
        <v>0.16600000000000001</v>
      </c>
      <c r="E92" s="385">
        <v>0.14199999999999999</v>
      </c>
      <c r="F92" s="385">
        <v>0.15</v>
      </c>
      <c r="G92" s="385">
        <v>0.16200000000000001</v>
      </c>
      <c r="H92" s="385">
        <v>0.14499999999999999</v>
      </c>
      <c r="I92" s="385">
        <v>0.16699999999999998</v>
      </c>
      <c r="J92" s="385">
        <v>0.151</v>
      </c>
      <c r="K92" s="385">
        <v>0.157</v>
      </c>
      <c r="L92" s="385">
        <v>0.16499999999999998</v>
      </c>
      <c r="M92" s="385">
        <v>0.17199999999999999</v>
      </c>
      <c r="N92" s="386">
        <v>0.19700000000000001</v>
      </c>
      <c r="O92" s="386">
        <v>0.20300000000000001</v>
      </c>
      <c r="P92" s="386">
        <v>0.19700000000000001</v>
      </c>
      <c r="Q92" s="1437">
        <v>0.20173364854215919</v>
      </c>
      <c r="R92" s="1632">
        <v>0.20081300813008129</v>
      </c>
      <c r="S92" s="1437">
        <v>0.19967266775777415</v>
      </c>
      <c r="T92" s="2248">
        <v>0.21773485513608429</v>
      </c>
      <c r="U92" s="1189"/>
      <c r="V92" s="1434">
        <v>279</v>
      </c>
      <c r="W92" s="1434">
        <v>240</v>
      </c>
      <c r="X92" s="1434">
        <v>256</v>
      </c>
      <c r="Y92" s="1434">
        <v>265</v>
      </c>
      <c r="Z92" s="1434">
        <v>231</v>
      </c>
      <c r="AA92" s="1434">
        <v>262</v>
      </c>
      <c r="AB92" s="1434">
        <v>232</v>
      </c>
      <c r="AC92" s="1434">
        <v>236</v>
      </c>
      <c r="AD92" s="1434">
        <v>246</v>
      </c>
      <c r="AE92" s="1434">
        <v>240</v>
      </c>
      <c r="AF92" s="1434">
        <v>288</v>
      </c>
      <c r="AG92" s="1434">
        <v>282</v>
      </c>
      <c r="AH92" s="1350">
        <v>264</v>
      </c>
      <c r="AI92" s="1350">
        <v>256</v>
      </c>
      <c r="AJ92" s="1642">
        <v>247</v>
      </c>
      <c r="AK92" s="1346">
        <v>244</v>
      </c>
      <c r="AL92" s="2249">
        <v>248</v>
      </c>
    </row>
    <row r="93" spans="1:38" x14ac:dyDescent="0.25">
      <c r="A93" s="379" t="s">
        <v>226</v>
      </c>
      <c r="B93" s="380" t="s">
        <v>523</v>
      </c>
      <c r="C93" s="387" t="s">
        <v>264</v>
      </c>
      <c r="D93" s="384">
        <v>0.21100000000000002</v>
      </c>
      <c r="E93" s="385">
        <v>0.188</v>
      </c>
      <c r="F93" s="385">
        <v>0.19399999999999998</v>
      </c>
      <c r="G93" s="385">
        <v>0.22600000000000001</v>
      </c>
      <c r="H93" s="385">
        <v>0.21</v>
      </c>
      <c r="I93" s="385">
        <v>0.245</v>
      </c>
      <c r="J93" s="385">
        <v>0.28000000000000003</v>
      </c>
      <c r="K93" s="385">
        <v>0.24</v>
      </c>
      <c r="L93" s="385">
        <v>0.22800000000000004</v>
      </c>
      <c r="M93" s="385">
        <v>0.23600000000000002</v>
      </c>
      <c r="N93" s="386">
        <v>0.24000000000000002</v>
      </c>
      <c r="O93" s="386">
        <v>0.23199999999999998</v>
      </c>
      <c r="P93" s="386">
        <v>0.27</v>
      </c>
      <c r="Q93" s="1437">
        <v>0.30353319057815847</v>
      </c>
      <c r="R93" s="1632">
        <v>0.30479267635971996</v>
      </c>
      <c r="S93" s="1437">
        <v>0.28968466060929982</v>
      </c>
      <c r="T93" s="2248">
        <v>0.30209481808158767</v>
      </c>
      <c r="U93" s="1189"/>
      <c r="V93" s="1434">
        <v>504</v>
      </c>
      <c r="W93" s="1434">
        <v>437</v>
      </c>
      <c r="X93" s="1434">
        <v>446</v>
      </c>
      <c r="Y93" s="1434">
        <v>513</v>
      </c>
      <c r="Z93" s="1434">
        <v>464</v>
      </c>
      <c r="AA93" s="1434">
        <v>534</v>
      </c>
      <c r="AB93" s="1434">
        <v>610</v>
      </c>
      <c r="AC93" s="1434">
        <v>510</v>
      </c>
      <c r="AD93" s="1434">
        <v>472</v>
      </c>
      <c r="AE93" s="1434">
        <v>481</v>
      </c>
      <c r="AF93" s="1434">
        <v>473</v>
      </c>
      <c r="AG93" s="1434">
        <v>465</v>
      </c>
      <c r="AH93" s="1350">
        <v>529</v>
      </c>
      <c r="AI93" s="1350">
        <v>567</v>
      </c>
      <c r="AJ93" s="1642">
        <v>566</v>
      </c>
      <c r="AK93" s="1346">
        <v>542</v>
      </c>
      <c r="AL93" s="2249">
        <v>548</v>
      </c>
    </row>
    <row r="94" spans="1:38" x14ac:dyDescent="0.25">
      <c r="A94" s="379" t="s">
        <v>228</v>
      </c>
      <c r="B94" s="380" t="s">
        <v>524</v>
      </c>
      <c r="C94" s="387" t="s">
        <v>268</v>
      </c>
      <c r="D94" s="384">
        <v>0.20699999999999999</v>
      </c>
      <c r="E94" s="385">
        <v>0.18399999999999997</v>
      </c>
      <c r="F94" s="385">
        <v>0.22000000000000003</v>
      </c>
      <c r="G94" s="385">
        <v>0.24</v>
      </c>
      <c r="H94" s="385">
        <v>0.21600000000000003</v>
      </c>
      <c r="I94" s="385">
        <v>0.23700000000000002</v>
      </c>
      <c r="J94" s="385">
        <v>0.21199999999999999</v>
      </c>
      <c r="K94" s="385">
        <v>0.23500000000000001</v>
      </c>
      <c r="L94" s="385">
        <v>0.24199999999999999</v>
      </c>
      <c r="M94" s="385">
        <v>0.21600000000000003</v>
      </c>
      <c r="N94" s="386">
        <v>0.23500000000000001</v>
      </c>
      <c r="O94" s="386">
        <v>0.23100000000000001</v>
      </c>
      <c r="P94" s="386">
        <v>0.26100000000000001</v>
      </c>
      <c r="Q94" s="1437">
        <v>0.22899871480313122</v>
      </c>
      <c r="R94" s="1632">
        <v>0.24681357951161406</v>
      </c>
      <c r="S94" s="1437">
        <v>0.2411071992230181</v>
      </c>
      <c r="T94" s="2248">
        <v>0.24826560951437066</v>
      </c>
      <c r="U94" s="1189"/>
      <c r="V94" s="1434">
        <v>1886</v>
      </c>
      <c r="W94" s="1434">
        <v>1666</v>
      </c>
      <c r="X94" s="1434">
        <v>2007</v>
      </c>
      <c r="Y94" s="1434">
        <v>2172</v>
      </c>
      <c r="Z94" s="1434">
        <v>1979</v>
      </c>
      <c r="AA94" s="1434">
        <v>2139</v>
      </c>
      <c r="AB94" s="1434">
        <v>1865</v>
      </c>
      <c r="AC94" s="1434">
        <v>2038</v>
      </c>
      <c r="AD94" s="1434">
        <v>2088</v>
      </c>
      <c r="AE94" s="1434">
        <v>1961</v>
      </c>
      <c r="AF94" s="1434">
        <v>2127</v>
      </c>
      <c r="AG94" s="1434">
        <v>2038</v>
      </c>
      <c r="AH94" s="1350">
        <v>2254</v>
      </c>
      <c r="AI94" s="1350">
        <v>1960</v>
      </c>
      <c r="AJ94" s="1642">
        <v>2072</v>
      </c>
      <c r="AK94" s="1346">
        <v>1986</v>
      </c>
      <c r="AL94" s="2249">
        <v>2004</v>
      </c>
    </row>
    <row r="95" spans="1:38" x14ac:dyDescent="0.25">
      <c r="A95" s="379" t="s">
        <v>232</v>
      </c>
      <c r="B95" s="380" t="s">
        <v>525</v>
      </c>
      <c r="C95" s="387" t="s">
        <v>267</v>
      </c>
      <c r="D95" s="384">
        <v>0.11599999999999999</v>
      </c>
      <c r="E95" s="385">
        <v>0.105</v>
      </c>
      <c r="F95" s="385">
        <v>0.11699999999999998</v>
      </c>
      <c r="G95" s="385">
        <v>0.13099999999999998</v>
      </c>
      <c r="H95" s="385">
        <v>0.112</v>
      </c>
      <c r="I95" s="385">
        <v>0.127</v>
      </c>
      <c r="J95" s="385">
        <v>0.11800000000000001</v>
      </c>
      <c r="K95" s="385">
        <v>0.114</v>
      </c>
      <c r="L95" s="385">
        <v>0.13100000000000001</v>
      </c>
      <c r="M95" s="385">
        <v>0.13700000000000001</v>
      </c>
      <c r="N95" s="386">
        <v>0.14399999999999999</v>
      </c>
      <c r="O95" s="386">
        <v>0.158</v>
      </c>
      <c r="P95" s="386">
        <v>0.154</v>
      </c>
      <c r="Q95" s="1437">
        <v>0.17012257990606025</v>
      </c>
      <c r="R95" s="1632">
        <v>0.15757296112585073</v>
      </c>
      <c r="S95" s="1437">
        <v>0.15098896044158233</v>
      </c>
      <c r="T95" s="2248">
        <v>0.14439555349698935</v>
      </c>
      <c r="U95" s="1189"/>
      <c r="V95" s="1434">
        <v>939</v>
      </c>
      <c r="W95" s="1434">
        <v>861</v>
      </c>
      <c r="X95" s="1434">
        <v>993</v>
      </c>
      <c r="Y95" s="1434">
        <v>1111</v>
      </c>
      <c r="Z95" s="1434">
        <v>982</v>
      </c>
      <c r="AA95" s="1434">
        <v>1095</v>
      </c>
      <c r="AB95" s="1434">
        <v>1011</v>
      </c>
      <c r="AC95" s="1434">
        <v>1000</v>
      </c>
      <c r="AD95" s="1434">
        <v>1161</v>
      </c>
      <c r="AE95" s="1434">
        <v>1179</v>
      </c>
      <c r="AF95" s="1434">
        <v>1290</v>
      </c>
      <c r="AG95" s="1434">
        <v>1390</v>
      </c>
      <c r="AH95" s="1350">
        <v>1342</v>
      </c>
      <c r="AI95" s="1350">
        <v>1485</v>
      </c>
      <c r="AJ95" s="1642">
        <v>1366</v>
      </c>
      <c r="AK95" s="1346">
        <v>1313</v>
      </c>
      <c r="AL95" s="2249">
        <v>1247</v>
      </c>
    </row>
    <row r="96" spans="1:38" x14ac:dyDescent="0.25">
      <c r="A96" s="379" t="s">
        <v>234</v>
      </c>
      <c r="B96" s="380" t="s">
        <v>526</v>
      </c>
      <c r="C96" s="387" t="s">
        <v>268</v>
      </c>
      <c r="D96" s="384">
        <v>0.157</v>
      </c>
      <c r="E96" s="385">
        <v>0.14499999999999999</v>
      </c>
      <c r="F96" s="385">
        <v>0.16300000000000001</v>
      </c>
      <c r="G96" s="385">
        <v>0.18099999999999999</v>
      </c>
      <c r="H96" s="385">
        <v>0.16499999999999998</v>
      </c>
      <c r="I96" s="385">
        <v>0.16500000000000001</v>
      </c>
      <c r="J96" s="385">
        <v>0.17800000000000002</v>
      </c>
      <c r="K96" s="385">
        <v>0.19100000000000003</v>
      </c>
      <c r="L96" s="385">
        <v>0.19</v>
      </c>
      <c r="M96" s="385">
        <v>0.19600000000000004</v>
      </c>
      <c r="N96" s="386">
        <v>0.193</v>
      </c>
      <c r="O96" s="386">
        <v>0.19800000000000001</v>
      </c>
      <c r="P96" s="386">
        <v>0.19500000000000001</v>
      </c>
      <c r="Q96" s="1437">
        <v>0.212205138000191</v>
      </c>
      <c r="R96" s="1632">
        <v>0.20700048614487118</v>
      </c>
      <c r="S96" s="1437">
        <v>0.22707637934419792</v>
      </c>
      <c r="T96" s="2248">
        <v>0.18913000199084212</v>
      </c>
      <c r="U96" s="1189"/>
      <c r="V96" s="1434">
        <v>1611</v>
      </c>
      <c r="W96" s="1434">
        <v>1484</v>
      </c>
      <c r="X96" s="1434">
        <v>1695</v>
      </c>
      <c r="Y96" s="1434">
        <v>1885</v>
      </c>
      <c r="Z96" s="1434">
        <v>1709</v>
      </c>
      <c r="AA96" s="1434">
        <v>1690</v>
      </c>
      <c r="AB96" s="1434">
        <v>1764</v>
      </c>
      <c r="AC96" s="1434">
        <v>1927</v>
      </c>
      <c r="AD96" s="1434">
        <v>1908</v>
      </c>
      <c r="AE96" s="1434">
        <v>2024</v>
      </c>
      <c r="AF96" s="1434">
        <v>2037</v>
      </c>
      <c r="AG96" s="1434">
        <v>2060</v>
      </c>
      <c r="AH96" s="1350">
        <v>2038</v>
      </c>
      <c r="AI96" s="1350">
        <v>2222</v>
      </c>
      <c r="AJ96" s="1642">
        <v>2129</v>
      </c>
      <c r="AK96" s="1346">
        <v>2313</v>
      </c>
      <c r="AL96" s="2249">
        <v>1900</v>
      </c>
    </row>
    <row r="97" spans="1:38" x14ac:dyDescent="0.25">
      <c r="A97" s="379" t="s">
        <v>236</v>
      </c>
      <c r="B97" s="380" t="s">
        <v>527</v>
      </c>
      <c r="C97" s="387" t="s">
        <v>266</v>
      </c>
      <c r="D97" s="384">
        <v>0.21199999999999999</v>
      </c>
      <c r="E97" s="385">
        <v>0.192</v>
      </c>
      <c r="F97" s="385">
        <v>0.20199999999999999</v>
      </c>
      <c r="G97" s="385">
        <v>0.221</v>
      </c>
      <c r="H97" s="385">
        <v>0.19899999999999998</v>
      </c>
      <c r="I97" s="385">
        <v>0.24500000000000002</v>
      </c>
      <c r="J97" s="385">
        <v>0.22399999999999998</v>
      </c>
      <c r="K97" s="385">
        <v>0.214</v>
      </c>
      <c r="L97" s="385">
        <v>0.24300000000000002</v>
      </c>
      <c r="M97" s="385">
        <v>0.249</v>
      </c>
      <c r="N97" s="386">
        <v>0.26200000000000001</v>
      </c>
      <c r="O97" s="386">
        <v>0.28499999999999998</v>
      </c>
      <c r="P97" s="386">
        <v>0.29399999999999998</v>
      </c>
      <c r="Q97" s="1437">
        <v>0.28540772532188841</v>
      </c>
      <c r="R97" s="1632">
        <v>0.27452209338765277</v>
      </c>
      <c r="S97" s="1437">
        <v>0.28927144174608055</v>
      </c>
      <c r="T97" s="2248">
        <v>0.27829028290282903</v>
      </c>
      <c r="U97" s="1189"/>
      <c r="V97" s="1434">
        <v>788</v>
      </c>
      <c r="W97" s="1434">
        <v>711</v>
      </c>
      <c r="X97" s="1434">
        <v>758</v>
      </c>
      <c r="Y97" s="1434">
        <v>833</v>
      </c>
      <c r="Z97" s="1434">
        <v>733</v>
      </c>
      <c r="AA97" s="1434">
        <v>891</v>
      </c>
      <c r="AB97" s="1434">
        <v>795</v>
      </c>
      <c r="AC97" s="1434">
        <v>765</v>
      </c>
      <c r="AD97" s="1434">
        <v>870</v>
      </c>
      <c r="AE97" s="1434">
        <v>879</v>
      </c>
      <c r="AF97" s="1434">
        <v>897</v>
      </c>
      <c r="AG97" s="1434">
        <v>979</v>
      </c>
      <c r="AH97" s="1350">
        <v>973</v>
      </c>
      <c r="AI97" s="1350">
        <v>931</v>
      </c>
      <c r="AJ97" s="1642">
        <v>876</v>
      </c>
      <c r="AK97" s="1346">
        <v>941</v>
      </c>
      <c r="AL97" s="2249">
        <v>905</v>
      </c>
    </row>
    <row r="98" spans="1:38" x14ac:dyDescent="0.25">
      <c r="A98" s="379" t="s">
        <v>242</v>
      </c>
      <c r="B98" s="380" t="s">
        <v>528</v>
      </c>
      <c r="C98" s="387" t="s">
        <v>268</v>
      </c>
      <c r="D98" s="384">
        <v>0.24600000000000002</v>
      </c>
      <c r="E98" s="385">
        <v>0.217</v>
      </c>
      <c r="F98" s="385">
        <v>0.25600000000000001</v>
      </c>
      <c r="G98" s="385">
        <v>0.27800000000000002</v>
      </c>
      <c r="H98" s="385">
        <v>0.24399999999999999</v>
      </c>
      <c r="I98" s="385">
        <v>0.30600000000000005</v>
      </c>
      <c r="J98" s="385">
        <v>0.25900000000000001</v>
      </c>
      <c r="K98" s="385">
        <v>0.27800000000000002</v>
      </c>
      <c r="L98" s="385">
        <v>0.29299999999999998</v>
      </c>
      <c r="M98" s="385">
        <v>0.27100000000000002</v>
      </c>
      <c r="N98" s="386">
        <v>0.27500000000000002</v>
      </c>
      <c r="O98" s="386">
        <v>0.27800000000000002</v>
      </c>
      <c r="P98" s="386">
        <v>0.29299999999999998</v>
      </c>
      <c r="Q98" s="1437">
        <v>0.27801294820717132</v>
      </c>
      <c r="R98" s="1632">
        <v>0.28934655479277904</v>
      </c>
      <c r="S98" s="1437">
        <v>0.30902332735196103</v>
      </c>
      <c r="T98" s="2248">
        <v>0.28589959787261643</v>
      </c>
      <c r="U98" s="1189"/>
      <c r="V98" s="1434">
        <v>2192</v>
      </c>
      <c r="W98" s="1434">
        <v>1920</v>
      </c>
      <c r="X98" s="1434">
        <v>2292</v>
      </c>
      <c r="Y98" s="1434">
        <v>2477</v>
      </c>
      <c r="Z98" s="1434">
        <v>2202</v>
      </c>
      <c r="AA98" s="1434">
        <v>2706</v>
      </c>
      <c r="AB98" s="1434">
        <v>2260</v>
      </c>
      <c r="AC98" s="1434">
        <v>2386</v>
      </c>
      <c r="AD98" s="1434">
        <v>2501</v>
      </c>
      <c r="AE98" s="1434">
        <v>2396</v>
      </c>
      <c r="AF98" s="1434">
        <v>2327</v>
      </c>
      <c r="AG98" s="1434">
        <v>2353</v>
      </c>
      <c r="AH98" s="1350">
        <v>2429</v>
      </c>
      <c r="AI98" s="1350">
        <v>2233</v>
      </c>
      <c r="AJ98" s="1642">
        <v>2276</v>
      </c>
      <c r="AK98" s="1346">
        <v>2411</v>
      </c>
      <c r="AL98" s="2249">
        <v>2204</v>
      </c>
    </row>
    <row r="99" spans="1:38" x14ac:dyDescent="0.25">
      <c r="A99" s="379" t="s">
        <v>244</v>
      </c>
      <c r="B99" s="380" t="s">
        <v>529</v>
      </c>
      <c r="C99" s="387" t="s">
        <v>268</v>
      </c>
      <c r="D99" s="384">
        <v>0.16</v>
      </c>
      <c r="E99" s="385">
        <v>0.151</v>
      </c>
      <c r="F99" s="385">
        <v>0.19399999999999998</v>
      </c>
      <c r="G99" s="385">
        <v>0.19500000000000001</v>
      </c>
      <c r="H99" s="385">
        <v>0.16300000000000001</v>
      </c>
      <c r="I99" s="385">
        <v>0.19700000000000001</v>
      </c>
      <c r="J99" s="385">
        <v>0.20199999999999999</v>
      </c>
      <c r="K99" s="385">
        <v>0.17699999999999999</v>
      </c>
      <c r="L99" s="385">
        <v>0.2</v>
      </c>
      <c r="M99" s="385">
        <v>0.21199999999999999</v>
      </c>
      <c r="N99" s="386">
        <v>0.22899999999999998</v>
      </c>
      <c r="O99" s="386">
        <v>0.222</v>
      </c>
      <c r="P99" s="386">
        <v>0.23400000000000001</v>
      </c>
      <c r="Q99" s="1437">
        <v>0.21612349914236706</v>
      </c>
      <c r="R99" s="1632">
        <v>0.2163336229365769</v>
      </c>
      <c r="S99" s="1437">
        <v>0.21255025345219367</v>
      </c>
      <c r="T99" s="2248">
        <v>0.20873362445414848</v>
      </c>
      <c r="U99" s="1189"/>
      <c r="V99" s="1434">
        <v>945</v>
      </c>
      <c r="W99" s="1434">
        <v>888</v>
      </c>
      <c r="X99" s="1434">
        <v>1159</v>
      </c>
      <c r="Y99" s="1434">
        <v>1153</v>
      </c>
      <c r="Z99" s="1434">
        <v>976</v>
      </c>
      <c r="AA99" s="1434">
        <v>1167</v>
      </c>
      <c r="AB99" s="1434">
        <v>1186</v>
      </c>
      <c r="AC99" s="1434">
        <v>1038</v>
      </c>
      <c r="AD99" s="1434">
        <v>1164</v>
      </c>
      <c r="AE99" s="1434">
        <v>1242</v>
      </c>
      <c r="AF99" s="1434">
        <v>1364</v>
      </c>
      <c r="AG99" s="1434">
        <v>1303</v>
      </c>
      <c r="AH99" s="1350">
        <v>1365</v>
      </c>
      <c r="AI99" s="1350">
        <v>1260</v>
      </c>
      <c r="AJ99" s="1642">
        <v>1245</v>
      </c>
      <c r="AK99" s="1346">
        <v>1216</v>
      </c>
      <c r="AL99" s="2249">
        <v>1195</v>
      </c>
    </row>
    <row r="100" spans="1:38" x14ac:dyDescent="0.25">
      <c r="A100" s="379" t="s">
        <v>246</v>
      </c>
      <c r="B100" s="380" t="s">
        <v>749</v>
      </c>
      <c r="C100" s="387" t="s">
        <v>264</v>
      </c>
      <c r="D100" s="384">
        <v>5.6401280791515608E-2</v>
      </c>
      <c r="E100" s="385">
        <v>5.0256129333956845E-2</v>
      </c>
      <c r="F100" s="385">
        <v>5.2533947265540157E-2</v>
      </c>
      <c r="G100" s="385">
        <v>6.0559770540340487E-2</v>
      </c>
      <c r="H100" s="385">
        <v>5.685748279964823E-2</v>
      </c>
      <c r="I100" s="385">
        <v>4.9573310510692706E-2</v>
      </c>
      <c r="J100" s="385">
        <v>5.1145672342404185E-2</v>
      </c>
      <c r="K100" s="385">
        <v>5.3281178762382392E-2</v>
      </c>
      <c r="L100" s="385">
        <v>5.6580193560167996E-2</v>
      </c>
      <c r="M100" s="385">
        <v>6.1533224839921533E-2</v>
      </c>
      <c r="N100" s="386">
        <v>6.7706896551724141E-2</v>
      </c>
      <c r="O100" s="386">
        <v>7.4018979225442427E-2</v>
      </c>
      <c r="P100" s="386">
        <v>8.1000000000000003E-2</v>
      </c>
      <c r="Q100" s="1437">
        <v>7.2314933675652546E-2</v>
      </c>
      <c r="R100" s="1632">
        <v>6.9487221051494033E-2</v>
      </c>
      <c r="S100" s="1437">
        <v>6.7361330386275134E-2</v>
      </c>
      <c r="T100" s="2248">
        <v>6.5986108187749942E-2</v>
      </c>
      <c r="U100" s="1189"/>
      <c r="V100" s="1434">
        <v>1102</v>
      </c>
      <c r="W100" s="1434">
        <v>962</v>
      </c>
      <c r="X100" s="1434">
        <v>1018</v>
      </c>
      <c r="Y100" s="1434">
        <v>1110</v>
      </c>
      <c r="Z100" s="1434">
        <v>1033</v>
      </c>
      <c r="AA100" s="1434">
        <v>881</v>
      </c>
      <c r="AB100" s="1434">
        <v>871</v>
      </c>
      <c r="AC100" s="1434">
        <v>882</v>
      </c>
      <c r="AD100" s="1434">
        <v>906</v>
      </c>
      <c r="AE100" s="1434">
        <v>1106</v>
      </c>
      <c r="AF100" s="1434">
        <v>1351</v>
      </c>
      <c r="AG100" s="1434">
        <v>1443</v>
      </c>
      <c r="AH100" s="1350">
        <v>1530</v>
      </c>
      <c r="AI100" s="1350">
        <v>1352</v>
      </c>
      <c r="AJ100" s="1642">
        <v>1286</v>
      </c>
      <c r="AK100" s="1346">
        <v>1280</v>
      </c>
      <c r="AL100" s="2249">
        <v>1254</v>
      </c>
    </row>
    <row r="101" spans="1:38" x14ac:dyDescent="0.25">
      <c r="A101" s="379" t="s">
        <v>14</v>
      </c>
      <c r="B101" s="380" t="s">
        <v>15</v>
      </c>
      <c r="C101" s="387" t="s">
        <v>267</v>
      </c>
      <c r="D101" s="384">
        <v>0.14199999999999999</v>
      </c>
      <c r="E101" s="385">
        <v>0.126</v>
      </c>
      <c r="F101" s="385">
        <v>0.13599999999999998</v>
      </c>
      <c r="G101" s="385">
        <v>0.13900000000000001</v>
      </c>
      <c r="H101" s="385">
        <v>0.121</v>
      </c>
      <c r="I101" s="385">
        <v>0.13599999999999998</v>
      </c>
      <c r="J101" s="385">
        <v>0.11900000000000001</v>
      </c>
      <c r="K101" s="385">
        <v>0.129</v>
      </c>
      <c r="L101" s="385">
        <v>0.13700000000000001</v>
      </c>
      <c r="M101" s="385">
        <v>0.14800000000000002</v>
      </c>
      <c r="N101" s="386">
        <v>0.14199999999999999</v>
      </c>
      <c r="O101" s="386">
        <v>0.14699999999999999</v>
      </c>
      <c r="P101" s="386">
        <v>0.14199999999999999</v>
      </c>
      <c r="Q101" s="1437">
        <v>0.1532119412316349</v>
      </c>
      <c r="R101" s="1632">
        <v>0.15755664115090204</v>
      </c>
      <c r="S101" s="1437">
        <v>0.14529147982062779</v>
      </c>
      <c r="T101" s="2248">
        <v>0.16419261404779145</v>
      </c>
      <c r="U101" s="1189"/>
      <c r="V101" s="1434">
        <v>3146</v>
      </c>
      <c r="W101" s="1434">
        <v>2860</v>
      </c>
      <c r="X101" s="1434">
        <v>3202</v>
      </c>
      <c r="Y101" s="1434">
        <v>3504</v>
      </c>
      <c r="Z101" s="1434">
        <v>3196</v>
      </c>
      <c r="AA101" s="1434">
        <v>3557</v>
      </c>
      <c r="AB101" s="1434">
        <v>3098</v>
      </c>
      <c r="AC101" s="1434">
        <v>3511</v>
      </c>
      <c r="AD101" s="1434">
        <v>4030</v>
      </c>
      <c r="AE101" s="1434">
        <v>3990</v>
      </c>
      <c r="AF101" s="1434">
        <v>3332</v>
      </c>
      <c r="AG101" s="1434">
        <v>3614</v>
      </c>
      <c r="AH101" s="1350">
        <v>3578</v>
      </c>
      <c r="AI101" s="1350">
        <v>3921</v>
      </c>
      <c r="AJ101" s="1642">
        <v>4096</v>
      </c>
      <c r="AK101" s="1346">
        <v>3888</v>
      </c>
      <c r="AL101" s="2249">
        <v>4535</v>
      </c>
    </row>
    <row r="102" spans="1:38" x14ac:dyDescent="0.25">
      <c r="A102" s="379" t="s">
        <v>34</v>
      </c>
      <c r="B102" s="380" t="s">
        <v>35</v>
      </c>
      <c r="C102" s="387" t="s">
        <v>268</v>
      </c>
      <c r="D102" s="384">
        <v>0.23699999999999999</v>
      </c>
      <c r="E102" s="385">
        <v>0.22</v>
      </c>
      <c r="F102" s="385">
        <v>0.25700000000000001</v>
      </c>
      <c r="G102" s="385">
        <v>0.26899999999999996</v>
      </c>
      <c r="H102" s="385">
        <v>0.245</v>
      </c>
      <c r="I102" s="385">
        <v>0.28800000000000003</v>
      </c>
      <c r="J102" s="385">
        <v>0.317</v>
      </c>
      <c r="K102" s="385">
        <v>0.29100000000000004</v>
      </c>
      <c r="L102" s="385">
        <v>0.36200000000000004</v>
      </c>
      <c r="M102" s="385">
        <v>0.33100000000000002</v>
      </c>
      <c r="N102" s="386">
        <v>0.33899999999999997</v>
      </c>
      <c r="O102" s="386">
        <v>0.35200000000000004</v>
      </c>
      <c r="P102" s="386">
        <v>0.33200000000000002</v>
      </c>
      <c r="Q102" s="1437">
        <v>0.36403897254207263</v>
      </c>
      <c r="R102" s="1632">
        <v>0.34943351222420987</v>
      </c>
      <c r="S102" s="1437">
        <v>0.33373385401021327</v>
      </c>
      <c r="T102" s="2248">
        <v>0.38185140073081608</v>
      </c>
      <c r="U102" s="1189"/>
      <c r="V102" s="1434">
        <v>817</v>
      </c>
      <c r="W102" s="1434">
        <v>756</v>
      </c>
      <c r="X102" s="1434">
        <v>900</v>
      </c>
      <c r="Y102" s="1434">
        <v>929</v>
      </c>
      <c r="Z102" s="1434">
        <v>835</v>
      </c>
      <c r="AA102" s="1434">
        <v>968</v>
      </c>
      <c r="AB102" s="1434">
        <v>1070</v>
      </c>
      <c r="AC102" s="1434">
        <v>1000</v>
      </c>
      <c r="AD102" s="1434">
        <v>1215</v>
      </c>
      <c r="AE102" s="1434">
        <v>1136</v>
      </c>
      <c r="AF102" s="1434">
        <v>1222</v>
      </c>
      <c r="AG102" s="1434">
        <v>1239</v>
      </c>
      <c r="AH102" s="1350">
        <v>1140</v>
      </c>
      <c r="AI102" s="1350">
        <v>1233</v>
      </c>
      <c r="AJ102" s="1642">
        <v>1172</v>
      </c>
      <c r="AK102" s="1346">
        <v>1111</v>
      </c>
      <c r="AL102" s="2249">
        <v>1254</v>
      </c>
    </row>
    <row r="103" spans="1:38" x14ac:dyDescent="0.25">
      <c r="A103" s="379" t="s">
        <v>52</v>
      </c>
      <c r="B103" s="380" t="s">
        <v>53</v>
      </c>
      <c r="C103" s="387" t="s">
        <v>265</v>
      </c>
      <c r="D103" s="384">
        <v>0.20100000000000001</v>
      </c>
      <c r="E103" s="385">
        <v>0.17199999999999999</v>
      </c>
      <c r="F103" s="385">
        <v>0.20499999999999999</v>
      </c>
      <c r="G103" s="385">
        <v>0.22700000000000001</v>
      </c>
      <c r="H103" s="385">
        <v>0.20300000000000001</v>
      </c>
      <c r="I103" s="385">
        <v>0.24</v>
      </c>
      <c r="J103" s="385">
        <v>0.20300000000000001</v>
      </c>
      <c r="K103" s="385">
        <v>0.219</v>
      </c>
      <c r="L103" s="385">
        <v>0.20899999999999999</v>
      </c>
      <c r="M103" s="385">
        <v>0.214</v>
      </c>
      <c r="N103" s="386">
        <v>0.22699999999999998</v>
      </c>
      <c r="O103" s="386">
        <v>0.222</v>
      </c>
      <c r="P103" s="386">
        <v>0.23200000000000001</v>
      </c>
      <c r="Q103" s="1437">
        <v>0.23748125937031483</v>
      </c>
      <c r="R103" s="1632">
        <v>0.24379811804961504</v>
      </c>
      <c r="S103" s="1437">
        <v>0.2260415234428709</v>
      </c>
      <c r="T103" s="2248">
        <v>0.19786457629409379</v>
      </c>
      <c r="U103" s="1189"/>
      <c r="V103" s="1434">
        <v>1357</v>
      </c>
      <c r="W103" s="1434">
        <v>1141</v>
      </c>
      <c r="X103" s="1434">
        <v>1363</v>
      </c>
      <c r="Y103" s="1434">
        <v>1436</v>
      </c>
      <c r="Z103" s="1434">
        <v>1378</v>
      </c>
      <c r="AA103" s="1434">
        <v>1605</v>
      </c>
      <c r="AB103" s="1434">
        <v>1367</v>
      </c>
      <c r="AC103" s="1434">
        <v>1497</v>
      </c>
      <c r="AD103" s="1434">
        <v>1442</v>
      </c>
      <c r="AE103" s="1434">
        <v>1406</v>
      </c>
      <c r="AF103" s="1434">
        <v>1439</v>
      </c>
      <c r="AG103" s="1434">
        <v>1387</v>
      </c>
      <c r="AH103" s="1350">
        <v>1570</v>
      </c>
      <c r="AI103" s="1350">
        <v>1584</v>
      </c>
      <c r="AJ103" s="1642">
        <v>1710</v>
      </c>
      <c r="AK103" s="1346">
        <v>1644</v>
      </c>
      <c r="AL103" s="2249">
        <v>1464</v>
      </c>
    </row>
    <row r="104" spans="1:38" x14ac:dyDescent="0.25">
      <c r="A104" s="379" t="s">
        <v>54</v>
      </c>
      <c r="B104" s="380" t="s">
        <v>55</v>
      </c>
      <c r="C104" s="387" t="s">
        <v>264</v>
      </c>
      <c r="D104" s="384">
        <v>0.10400000000000001</v>
      </c>
      <c r="E104" s="385">
        <v>9.7000000000000003E-2</v>
      </c>
      <c r="F104" s="385">
        <v>0.111</v>
      </c>
      <c r="G104" s="385">
        <v>0.124</v>
      </c>
      <c r="H104" s="385">
        <v>0.11199999999999999</v>
      </c>
      <c r="I104" s="385">
        <v>9.2999999999999999E-2</v>
      </c>
      <c r="J104" s="385">
        <v>9.2999999999999999E-2</v>
      </c>
      <c r="K104" s="385">
        <v>0.109</v>
      </c>
      <c r="L104" s="385">
        <v>0.10999999999999999</v>
      </c>
      <c r="M104" s="385">
        <v>0.104</v>
      </c>
      <c r="N104" s="386">
        <v>0.114</v>
      </c>
      <c r="O104" s="386">
        <v>0.13500000000000001</v>
      </c>
      <c r="P104" s="386">
        <v>0.14399999999999999</v>
      </c>
      <c r="Q104" s="1437">
        <v>0.12580857850562219</v>
      </c>
      <c r="R104" s="1632">
        <v>0.14035429929246537</v>
      </c>
      <c r="S104" s="1437">
        <v>0.13944584921115424</v>
      </c>
      <c r="T104" s="2248">
        <v>0.1292781031684426</v>
      </c>
      <c r="U104" s="1189"/>
      <c r="V104" s="1434">
        <v>5930</v>
      </c>
      <c r="W104" s="1434">
        <v>5513</v>
      </c>
      <c r="X104" s="1434">
        <v>6438</v>
      </c>
      <c r="Y104" s="1434">
        <v>7178</v>
      </c>
      <c r="Z104" s="1434">
        <v>6550</v>
      </c>
      <c r="AA104" s="1434">
        <v>5357</v>
      </c>
      <c r="AB104" s="1434">
        <v>5276</v>
      </c>
      <c r="AC104" s="1434">
        <v>6136</v>
      </c>
      <c r="AD104" s="1434">
        <v>6087</v>
      </c>
      <c r="AE104" s="1434">
        <v>5937</v>
      </c>
      <c r="AF104" s="1434">
        <v>6512</v>
      </c>
      <c r="AG104" s="1434">
        <v>7653</v>
      </c>
      <c r="AH104" s="1350">
        <v>8034</v>
      </c>
      <c r="AI104" s="1350">
        <v>7060</v>
      </c>
      <c r="AJ104" s="1642">
        <v>7915</v>
      </c>
      <c r="AK104" s="1346">
        <v>7831</v>
      </c>
      <c r="AL104" s="2249">
        <v>7328</v>
      </c>
    </row>
    <row r="105" spans="1:38" x14ac:dyDescent="0.25">
      <c r="A105" s="379" t="s">
        <v>66</v>
      </c>
      <c r="B105" s="380" t="s">
        <v>67</v>
      </c>
      <c r="C105" s="387" t="s">
        <v>265</v>
      </c>
      <c r="D105" s="384">
        <v>0.26300000000000001</v>
      </c>
      <c r="E105" s="385">
        <v>0.251</v>
      </c>
      <c r="F105" s="385">
        <v>0.27800000000000002</v>
      </c>
      <c r="G105" s="385">
        <v>0.307</v>
      </c>
      <c r="H105" s="385">
        <v>0.28100000000000003</v>
      </c>
      <c r="I105" s="385">
        <v>0.35100000000000003</v>
      </c>
      <c r="J105" s="385">
        <v>0.35700000000000004</v>
      </c>
      <c r="K105" s="385">
        <v>0.37000000000000005</v>
      </c>
      <c r="L105" s="385">
        <v>0.32400000000000001</v>
      </c>
      <c r="M105" s="385">
        <v>0.37600000000000006</v>
      </c>
      <c r="N105" s="386">
        <v>0.41700000000000004</v>
      </c>
      <c r="O105" s="386">
        <v>0.41299999999999998</v>
      </c>
      <c r="P105" s="386">
        <v>0.40600000000000003</v>
      </c>
      <c r="Q105" s="1437">
        <v>0.39083789292994314</v>
      </c>
      <c r="R105" s="1632">
        <v>0.36625161013310431</v>
      </c>
      <c r="S105" s="1437">
        <v>0.39376988044312822</v>
      </c>
      <c r="T105" s="2248">
        <v>0.3755048575483026</v>
      </c>
      <c r="U105" s="1189"/>
      <c r="V105" s="1434">
        <v>2860</v>
      </c>
      <c r="W105" s="1434">
        <v>2683</v>
      </c>
      <c r="X105" s="1434">
        <v>2994</v>
      </c>
      <c r="Y105" s="1434">
        <v>3217</v>
      </c>
      <c r="Z105" s="1434">
        <v>2948</v>
      </c>
      <c r="AA105" s="1434">
        <v>3628</v>
      </c>
      <c r="AB105" s="1434">
        <v>3560</v>
      </c>
      <c r="AC105" s="1434">
        <v>3593</v>
      </c>
      <c r="AD105" s="1434">
        <v>3075</v>
      </c>
      <c r="AE105" s="1434">
        <v>3443</v>
      </c>
      <c r="AF105" s="1434">
        <v>3778</v>
      </c>
      <c r="AG105" s="1434">
        <v>3791</v>
      </c>
      <c r="AH105" s="1350">
        <v>3798</v>
      </c>
      <c r="AI105" s="1350">
        <v>3643</v>
      </c>
      <c r="AJ105" s="1642">
        <v>3412</v>
      </c>
      <c r="AK105" s="1346">
        <v>3590</v>
      </c>
      <c r="AL105" s="2249">
        <v>3440</v>
      </c>
    </row>
    <row r="106" spans="1:38" x14ac:dyDescent="0.25">
      <c r="A106" s="379" t="s">
        <v>82</v>
      </c>
      <c r="B106" s="380" t="s">
        <v>83</v>
      </c>
      <c r="C106" s="387" t="s">
        <v>264</v>
      </c>
      <c r="D106" s="384">
        <v>0.27700000000000002</v>
      </c>
      <c r="E106" s="385">
        <v>0.23399999999999999</v>
      </c>
      <c r="F106" s="385">
        <v>0.26400000000000001</v>
      </c>
      <c r="G106" s="385">
        <v>0.27199999999999996</v>
      </c>
      <c r="H106" s="385">
        <v>0.23600000000000002</v>
      </c>
      <c r="I106" s="385">
        <v>0.30299999999999999</v>
      </c>
      <c r="J106" s="385">
        <v>0.26900000000000002</v>
      </c>
      <c r="K106" s="385">
        <v>0.28999999999999998</v>
      </c>
      <c r="L106" s="385">
        <v>0.28200000000000003</v>
      </c>
      <c r="M106" s="385">
        <v>0.28600000000000003</v>
      </c>
      <c r="N106" s="386">
        <v>0.33200000000000002</v>
      </c>
      <c r="O106" s="386">
        <v>0.33700000000000002</v>
      </c>
      <c r="P106" s="386">
        <v>0.33100000000000002</v>
      </c>
      <c r="Q106" s="1437">
        <v>0.36555199267063676</v>
      </c>
      <c r="R106" s="1632">
        <v>0.34682860998650472</v>
      </c>
      <c r="S106" s="1437">
        <v>0.35228331780055916</v>
      </c>
      <c r="T106" s="2248">
        <v>0.33811475409836067</v>
      </c>
      <c r="U106" s="1189"/>
      <c r="V106" s="1434">
        <v>569</v>
      </c>
      <c r="W106" s="1434">
        <v>472</v>
      </c>
      <c r="X106" s="1434">
        <v>542</v>
      </c>
      <c r="Y106" s="1434">
        <v>583</v>
      </c>
      <c r="Z106" s="1434">
        <v>517</v>
      </c>
      <c r="AA106" s="1434">
        <v>654</v>
      </c>
      <c r="AB106" s="1434">
        <v>586</v>
      </c>
      <c r="AC106" s="1434">
        <v>652</v>
      </c>
      <c r="AD106" s="1434">
        <v>621</v>
      </c>
      <c r="AE106" s="1434">
        <v>635</v>
      </c>
      <c r="AF106" s="1434">
        <v>671</v>
      </c>
      <c r="AG106" s="1434">
        <v>688</v>
      </c>
      <c r="AH106" s="1350">
        <v>689</v>
      </c>
      <c r="AI106" s="1350">
        <v>798</v>
      </c>
      <c r="AJ106" s="1642">
        <v>771</v>
      </c>
      <c r="AK106" s="1346">
        <v>756</v>
      </c>
      <c r="AL106" s="2249">
        <v>660</v>
      </c>
    </row>
    <row r="107" spans="1:38" x14ac:dyDescent="0.25">
      <c r="A107" s="379" t="s">
        <v>88</v>
      </c>
      <c r="B107" s="380" t="s">
        <v>89</v>
      </c>
      <c r="C107" s="387" t="s">
        <v>267</v>
      </c>
      <c r="D107" s="384">
        <v>0.17899999999999999</v>
      </c>
      <c r="E107" s="385">
        <v>0.156</v>
      </c>
      <c r="F107" s="385">
        <v>0.18</v>
      </c>
      <c r="G107" s="385">
        <v>0.19699999999999998</v>
      </c>
      <c r="H107" s="385">
        <v>0.18100000000000002</v>
      </c>
      <c r="I107" s="385">
        <v>0.20799999999999999</v>
      </c>
      <c r="J107" s="385">
        <v>0.20200000000000001</v>
      </c>
      <c r="K107" s="385">
        <v>0.193</v>
      </c>
      <c r="L107" s="385">
        <v>0.20300000000000001</v>
      </c>
      <c r="M107" s="385">
        <v>0.23199999999999998</v>
      </c>
      <c r="N107" s="386">
        <v>0.23399999999999999</v>
      </c>
      <c r="O107" s="386">
        <v>0.22899999999999998</v>
      </c>
      <c r="P107" s="386">
        <v>0.21199999999999999</v>
      </c>
      <c r="Q107" s="1437">
        <v>0.23028334235697528</v>
      </c>
      <c r="R107" s="1632">
        <v>0.23432755849258796</v>
      </c>
      <c r="S107" s="1437">
        <v>0.22798019101521047</v>
      </c>
      <c r="T107" s="2248">
        <v>0.20204825551119598</v>
      </c>
      <c r="U107" s="1189"/>
      <c r="V107" s="1434">
        <v>646</v>
      </c>
      <c r="W107" s="1434">
        <v>583</v>
      </c>
      <c r="X107" s="1434">
        <v>715</v>
      </c>
      <c r="Y107" s="1434">
        <v>830</v>
      </c>
      <c r="Z107" s="1434">
        <v>765</v>
      </c>
      <c r="AA107" s="1434">
        <v>871</v>
      </c>
      <c r="AB107" s="1434">
        <v>868</v>
      </c>
      <c r="AC107" s="1434">
        <v>911</v>
      </c>
      <c r="AD107" s="1434">
        <v>995</v>
      </c>
      <c r="AE107" s="1434">
        <v>1060</v>
      </c>
      <c r="AF107" s="1434">
        <v>1092</v>
      </c>
      <c r="AG107" s="1434">
        <v>1183</v>
      </c>
      <c r="AH107" s="1350">
        <v>1181</v>
      </c>
      <c r="AI107" s="1350">
        <v>1276</v>
      </c>
      <c r="AJ107" s="1642">
        <v>1312</v>
      </c>
      <c r="AK107" s="1346">
        <v>1289</v>
      </c>
      <c r="AL107" s="2249">
        <v>1164</v>
      </c>
    </row>
    <row r="108" spans="1:38" x14ac:dyDescent="0.25">
      <c r="A108" s="379" t="s">
        <v>90</v>
      </c>
      <c r="B108" s="380" t="s">
        <v>91</v>
      </c>
      <c r="C108" s="387" t="s">
        <v>268</v>
      </c>
      <c r="D108" s="384">
        <v>0.26899999999999996</v>
      </c>
      <c r="E108" s="385">
        <v>0.24399999999999997</v>
      </c>
      <c r="F108" s="385">
        <v>0.26</v>
      </c>
      <c r="G108" s="385">
        <v>0.29600000000000004</v>
      </c>
      <c r="H108" s="385">
        <v>0.24899999999999997</v>
      </c>
      <c r="I108" s="385">
        <v>0.29499999999999998</v>
      </c>
      <c r="J108" s="385">
        <v>0.29799999999999999</v>
      </c>
      <c r="K108" s="385">
        <v>0.29399999999999998</v>
      </c>
      <c r="L108" s="385">
        <v>0.32400000000000001</v>
      </c>
      <c r="M108" s="385">
        <v>0.34299999999999997</v>
      </c>
      <c r="N108" s="386">
        <v>0.35899999999999999</v>
      </c>
      <c r="O108" s="386">
        <v>0.373</v>
      </c>
      <c r="P108" s="386">
        <v>0.36399999999999999</v>
      </c>
      <c r="Q108" s="1437">
        <v>0.36742192284139619</v>
      </c>
      <c r="R108" s="1632">
        <v>0.34785238959467635</v>
      </c>
      <c r="S108" s="1437">
        <v>0.36538461538461536</v>
      </c>
      <c r="T108" s="2248">
        <v>0.34270414993306558</v>
      </c>
      <c r="U108" s="1189"/>
      <c r="V108" s="1434">
        <v>412</v>
      </c>
      <c r="W108" s="1434">
        <v>376</v>
      </c>
      <c r="X108" s="1434">
        <v>408</v>
      </c>
      <c r="Y108" s="1434">
        <v>464</v>
      </c>
      <c r="Z108" s="1434">
        <v>390</v>
      </c>
      <c r="AA108" s="1434">
        <v>456</v>
      </c>
      <c r="AB108" s="1434">
        <v>459</v>
      </c>
      <c r="AC108" s="1434">
        <v>453</v>
      </c>
      <c r="AD108" s="1434">
        <v>502</v>
      </c>
      <c r="AE108" s="1434">
        <v>533</v>
      </c>
      <c r="AF108" s="1434">
        <v>541</v>
      </c>
      <c r="AG108" s="1434">
        <v>565</v>
      </c>
      <c r="AH108" s="1350">
        <v>562</v>
      </c>
      <c r="AI108" s="1350">
        <v>600</v>
      </c>
      <c r="AJ108" s="1642">
        <v>575</v>
      </c>
      <c r="AK108" s="1346">
        <v>589</v>
      </c>
      <c r="AL108" s="2249">
        <v>512</v>
      </c>
    </row>
    <row r="109" spans="1:38" x14ac:dyDescent="0.25">
      <c r="A109" s="379" t="s">
        <v>106</v>
      </c>
      <c r="B109" s="380" t="s">
        <v>107</v>
      </c>
      <c r="C109" s="387" t="s">
        <v>264</v>
      </c>
      <c r="D109" s="384">
        <v>0.17500000000000002</v>
      </c>
      <c r="E109" s="385">
        <v>0.16300000000000001</v>
      </c>
      <c r="F109" s="385">
        <v>0.18</v>
      </c>
      <c r="G109" s="385">
        <v>0.18699999999999997</v>
      </c>
      <c r="H109" s="385">
        <v>0.17399999999999999</v>
      </c>
      <c r="I109" s="385">
        <v>0.20300000000000001</v>
      </c>
      <c r="J109" s="385">
        <v>0.16899999999999998</v>
      </c>
      <c r="K109" s="385">
        <v>0.19800000000000001</v>
      </c>
      <c r="L109" s="385">
        <v>0.19899999999999998</v>
      </c>
      <c r="M109" s="385">
        <v>0.20699999999999999</v>
      </c>
      <c r="N109" s="386">
        <v>0.20300000000000001</v>
      </c>
      <c r="O109" s="386">
        <v>0.23699999999999999</v>
      </c>
      <c r="P109" s="386">
        <v>0.253</v>
      </c>
      <c r="Q109" s="1437">
        <v>0.22343621961212784</v>
      </c>
      <c r="R109" s="1632">
        <v>0.2159420784809262</v>
      </c>
      <c r="S109" s="1437">
        <v>0.23530225480702724</v>
      </c>
      <c r="T109" s="2248">
        <v>0.23470573732962349</v>
      </c>
      <c r="U109" s="1189"/>
      <c r="V109" s="1434">
        <v>6095</v>
      </c>
      <c r="W109" s="1434">
        <v>5622</v>
      </c>
      <c r="X109" s="1434">
        <v>6355</v>
      </c>
      <c r="Y109" s="1434">
        <v>6489</v>
      </c>
      <c r="Z109" s="1434">
        <v>5995</v>
      </c>
      <c r="AA109" s="1434">
        <v>6926</v>
      </c>
      <c r="AB109" s="1434">
        <v>5650</v>
      </c>
      <c r="AC109" s="1434">
        <v>6578</v>
      </c>
      <c r="AD109" s="1434">
        <v>6452</v>
      </c>
      <c r="AE109" s="1434">
        <v>6526</v>
      </c>
      <c r="AF109" s="1434">
        <v>6225</v>
      </c>
      <c r="AG109" s="1434">
        <v>7163</v>
      </c>
      <c r="AH109" s="1350">
        <v>7560</v>
      </c>
      <c r="AI109" s="1350">
        <v>6544</v>
      </c>
      <c r="AJ109" s="1642">
        <v>6323</v>
      </c>
      <c r="AK109" s="1346">
        <v>6804</v>
      </c>
      <c r="AL109" s="2249">
        <v>6664</v>
      </c>
    </row>
    <row r="110" spans="1:38" x14ac:dyDescent="0.25">
      <c r="A110" s="379" t="s">
        <v>116</v>
      </c>
      <c r="B110" s="380" t="s">
        <v>117</v>
      </c>
      <c r="C110" s="387" t="s">
        <v>266</v>
      </c>
      <c r="D110" s="384">
        <v>0.22800000000000001</v>
      </c>
      <c r="E110" s="385">
        <v>0.20200000000000001</v>
      </c>
      <c r="F110" s="385">
        <v>0.24200000000000002</v>
      </c>
      <c r="G110" s="385">
        <v>0.26</v>
      </c>
      <c r="H110" s="385">
        <v>0.219</v>
      </c>
      <c r="I110" s="385">
        <v>0.26600000000000001</v>
      </c>
      <c r="J110" s="385">
        <v>0.26100000000000001</v>
      </c>
      <c r="K110" s="385">
        <v>0.24500000000000002</v>
      </c>
      <c r="L110" s="385">
        <v>0.27</v>
      </c>
      <c r="M110" s="385">
        <v>0.29500000000000004</v>
      </c>
      <c r="N110" s="386">
        <v>0.27499999999999997</v>
      </c>
      <c r="O110" s="386">
        <v>0.30199999999999999</v>
      </c>
      <c r="P110" s="386">
        <v>0.29799999999999999</v>
      </c>
      <c r="Q110" s="1437">
        <v>0.34282544378698226</v>
      </c>
      <c r="R110" s="1632">
        <v>0.31276093664911964</v>
      </c>
      <c r="S110" s="1437">
        <v>0.33673104434907009</v>
      </c>
      <c r="T110" s="2248">
        <v>0.30967630257919337</v>
      </c>
      <c r="U110" s="1189"/>
      <c r="V110" s="1434">
        <v>1348</v>
      </c>
      <c r="W110" s="1434">
        <v>1213</v>
      </c>
      <c r="X110" s="1434">
        <v>1480</v>
      </c>
      <c r="Y110" s="1434">
        <v>1567</v>
      </c>
      <c r="Z110" s="1434">
        <v>1342</v>
      </c>
      <c r="AA110" s="1434">
        <v>1611</v>
      </c>
      <c r="AB110" s="1434">
        <v>1546</v>
      </c>
      <c r="AC110" s="1434">
        <v>1488</v>
      </c>
      <c r="AD110" s="1434">
        <v>1655</v>
      </c>
      <c r="AE110" s="1434">
        <v>1758</v>
      </c>
      <c r="AF110" s="1434">
        <v>1535</v>
      </c>
      <c r="AG110" s="1434">
        <v>1664</v>
      </c>
      <c r="AH110" s="1350">
        <v>1647</v>
      </c>
      <c r="AI110" s="1350">
        <v>1854</v>
      </c>
      <c r="AJ110" s="1642">
        <v>1723</v>
      </c>
      <c r="AK110" s="1346">
        <v>1883</v>
      </c>
      <c r="AL110" s="2249">
        <v>1789</v>
      </c>
    </row>
    <row r="111" spans="1:38" x14ac:dyDescent="0.25">
      <c r="A111" s="379" t="s">
        <v>138</v>
      </c>
      <c r="B111" s="380" t="s">
        <v>139</v>
      </c>
      <c r="C111" s="387" t="s">
        <v>265</v>
      </c>
      <c r="D111" s="384">
        <v>0.2</v>
      </c>
      <c r="E111" s="385">
        <v>0.19699999999999998</v>
      </c>
      <c r="F111" s="385">
        <v>0.23500000000000001</v>
      </c>
      <c r="G111" s="385">
        <v>0.253</v>
      </c>
      <c r="H111" s="385">
        <v>0.23100000000000001</v>
      </c>
      <c r="I111" s="385">
        <v>0.25399999999999995</v>
      </c>
      <c r="J111" s="385">
        <v>0.252</v>
      </c>
      <c r="K111" s="385">
        <v>0.27699999999999997</v>
      </c>
      <c r="L111" s="385">
        <v>0.24</v>
      </c>
      <c r="M111" s="385">
        <v>0.26600000000000001</v>
      </c>
      <c r="N111" s="386">
        <v>0.29599999999999999</v>
      </c>
      <c r="O111" s="386">
        <v>0.252</v>
      </c>
      <c r="P111" s="386">
        <v>0.29299999999999998</v>
      </c>
      <c r="Q111" s="1437">
        <v>0.29990634198554988</v>
      </c>
      <c r="R111" s="1632">
        <v>0.31687536495166418</v>
      </c>
      <c r="S111" s="1437">
        <v>0.28444121724206217</v>
      </c>
      <c r="T111" s="2248">
        <v>0.24510129525074725</v>
      </c>
      <c r="U111" s="1189"/>
      <c r="V111" s="1434">
        <v>2811</v>
      </c>
      <c r="W111" s="1434">
        <v>2742</v>
      </c>
      <c r="X111" s="1434">
        <v>3339</v>
      </c>
      <c r="Y111" s="1434">
        <v>3579</v>
      </c>
      <c r="Z111" s="1434">
        <v>3266</v>
      </c>
      <c r="AA111" s="1434">
        <v>3540</v>
      </c>
      <c r="AB111" s="1434">
        <v>3488</v>
      </c>
      <c r="AC111" s="1434">
        <v>4018</v>
      </c>
      <c r="AD111" s="1434">
        <v>3522</v>
      </c>
      <c r="AE111" s="1434">
        <v>3857</v>
      </c>
      <c r="AF111" s="1434">
        <v>4267</v>
      </c>
      <c r="AG111" s="1434">
        <v>3687</v>
      </c>
      <c r="AH111" s="1350">
        <v>4341</v>
      </c>
      <c r="AI111" s="1350">
        <v>4483</v>
      </c>
      <c r="AJ111" s="1642">
        <v>4884</v>
      </c>
      <c r="AK111" s="1346">
        <v>4309</v>
      </c>
      <c r="AL111" s="2249">
        <v>3690</v>
      </c>
    </row>
    <row r="112" spans="1:38" x14ac:dyDescent="0.25">
      <c r="A112" s="379" t="s">
        <v>142</v>
      </c>
      <c r="B112" s="380" t="s">
        <v>143</v>
      </c>
      <c r="C112" s="387" t="s">
        <v>267</v>
      </c>
      <c r="D112" s="384">
        <v>8.1000000000000003E-2</v>
      </c>
      <c r="E112" s="385">
        <v>7.5000000000000011E-2</v>
      </c>
      <c r="F112" s="385">
        <v>8.3999999999999991E-2</v>
      </c>
      <c r="G112" s="385">
        <v>9.5000000000000001E-2</v>
      </c>
      <c r="H112" s="385">
        <v>9.3000000000000013E-2</v>
      </c>
      <c r="I112" s="385">
        <v>9.1999999999999985E-2</v>
      </c>
      <c r="J112" s="385">
        <v>9.8000000000000004E-2</v>
      </c>
      <c r="K112" s="385">
        <v>0.13099999999999998</v>
      </c>
      <c r="L112" s="385">
        <v>0.13100000000000001</v>
      </c>
      <c r="M112" s="385">
        <v>0.14599999999999999</v>
      </c>
      <c r="N112" s="386">
        <v>0.17899999999999999</v>
      </c>
      <c r="O112" s="386">
        <v>0.16699999999999998</v>
      </c>
      <c r="P112" s="386">
        <v>0.17299999999999999</v>
      </c>
      <c r="Q112" s="1437">
        <v>0.167420814479638</v>
      </c>
      <c r="R112" s="1632">
        <v>0.1635738209468634</v>
      </c>
      <c r="S112" s="1437">
        <v>0.15432041961903009</v>
      </c>
      <c r="T112" s="2248">
        <v>0.15744203440538518</v>
      </c>
      <c r="U112" s="1189"/>
      <c r="V112" s="1434">
        <v>862</v>
      </c>
      <c r="W112" s="1434">
        <v>803</v>
      </c>
      <c r="X112" s="1434">
        <v>919</v>
      </c>
      <c r="Y112" s="1434">
        <v>1055</v>
      </c>
      <c r="Z112" s="1434">
        <v>1038</v>
      </c>
      <c r="AA112" s="1434">
        <v>1017</v>
      </c>
      <c r="AB112" s="1434">
        <v>1022</v>
      </c>
      <c r="AC112" s="1434">
        <v>1324</v>
      </c>
      <c r="AD112" s="1434">
        <v>1308</v>
      </c>
      <c r="AE112" s="1434">
        <v>1504</v>
      </c>
      <c r="AF112" s="1434">
        <v>1888</v>
      </c>
      <c r="AG112" s="1434">
        <v>1790</v>
      </c>
      <c r="AH112" s="1350">
        <v>1882</v>
      </c>
      <c r="AI112" s="1350">
        <v>1850</v>
      </c>
      <c r="AJ112" s="1642">
        <v>1807</v>
      </c>
      <c r="AK112" s="1346">
        <v>1677</v>
      </c>
      <c r="AL112" s="2249">
        <v>1684</v>
      </c>
    </row>
    <row r="113" spans="1:39" x14ac:dyDescent="0.25">
      <c r="A113" s="379" t="s">
        <v>144</v>
      </c>
      <c r="B113" s="380" t="s">
        <v>145</v>
      </c>
      <c r="C113" s="387" t="s">
        <v>267</v>
      </c>
      <c r="D113" s="384">
        <v>8.3000000000000004E-2</v>
      </c>
      <c r="E113" s="385">
        <v>7.2999999999999995E-2</v>
      </c>
      <c r="F113" s="385">
        <v>8.4000000000000005E-2</v>
      </c>
      <c r="G113" s="385">
        <v>9.1999999999999998E-2</v>
      </c>
      <c r="H113" s="385">
        <v>7.6999999999999999E-2</v>
      </c>
      <c r="I113" s="385">
        <v>8.6999999999999994E-2</v>
      </c>
      <c r="J113" s="385">
        <v>9.2999999999999999E-2</v>
      </c>
      <c r="K113" s="385">
        <v>0.1</v>
      </c>
      <c r="L113" s="385">
        <v>0.113</v>
      </c>
      <c r="M113" s="385">
        <v>0.126</v>
      </c>
      <c r="N113" s="386">
        <v>0.13599999999999998</v>
      </c>
      <c r="O113" s="386">
        <v>0.14199999999999999</v>
      </c>
      <c r="P113" s="386">
        <v>0.14199999999999999</v>
      </c>
      <c r="Q113" s="1437">
        <v>0.13747954173486088</v>
      </c>
      <c r="R113" s="1632">
        <v>0.14706677480400107</v>
      </c>
      <c r="S113" s="1437">
        <v>0.12679969689315485</v>
      </c>
      <c r="T113" s="2248">
        <v>0.12809607205404053</v>
      </c>
      <c r="U113" s="1189"/>
      <c r="V113" s="1434">
        <v>275</v>
      </c>
      <c r="W113" s="1434">
        <v>250</v>
      </c>
      <c r="X113" s="1434">
        <v>293</v>
      </c>
      <c r="Y113" s="1434">
        <v>339</v>
      </c>
      <c r="Z113" s="1434">
        <v>286</v>
      </c>
      <c r="AA113" s="1434">
        <v>319</v>
      </c>
      <c r="AB113" s="1434">
        <v>349</v>
      </c>
      <c r="AC113" s="1434">
        <v>363</v>
      </c>
      <c r="AD113" s="1434">
        <v>409</v>
      </c>
      <c r="AE113" s="1434">
        <v>452</v>
      </c>
      <c r="AF113" s="1434">
        <v>546</v>
      </c>
      <c r="AG113" s="1434">
        <v>615</v>
      </c>
      <c r="AH113" s="1350">
        <v>618</v>
      </c>
      <c r="AI113" s="1350">
        <v>588</v>
      </c>
      <c r="AJ113" s="1642">
        <v>544</v>
      </c>
      <c r="AK113" s="1346">
        <v>502</v>
      </c>
      <c r="AL113" s="2249">
        <v>512</v>
      </c>
    </row>
    <row r="114" spans="1:39" x14ac:dyDescent="0.25">
      <c r="A114" s="379" t="s">
        <v>158</v>
      </c>
      <c r="B114" s="380" t="s">
        <v>159</v>
      </c>
      <c r="C114" s="387" t="s">
        <v>264</v>
      </c>
      <c r="D114" s="384">
        <v>0.188</v>
      </c>
      <c r="E114" s="385">
        <v>0.17100000000000001</v>
      </c>
      <c r="F114" s="385">
        <v>0.192</v>
      </c>
      <c r="G114" s="385">
        <v>0.19899999999999998</v>
      </c>
      <c r="H114" s="385">
        <v>0.18399999999999997</v>
      </c>
      <c r="I114" s="385">
        <v>0.21199999999999999</v>
      </c>
      <c r="J114" s="385">
        <v>0.189</v>
      </c>
      <c r="K114" s="385">
        <v>0.20799999999999999</v>
      </c>
      <c r="L114" s="385">
        <v>0.19399999999999998</v>
      </c>
      <c r="M114" s="385">
        <v>0.20600000000000002</v>
      </c>
      <c r="N114" s="386">
        <v>0.23300000000000001</v>
      </c>
      <c r="O114" s="386">
        <v>0.22699999999999998</v>
      </c>
      <c r="P114" s="386">
        <v>0.253</v>
      </c>
      <c r="Q114" s="1437">
        <v>0.27058684335068622</v>
      </c>
      <c r="R114" s="1632">
        <v>0.25797903802020489</v>
      </c>
      <c r="S114" s="1437">
        <v>0.25742337164750956</v>
      </c>
      <c r="T114" s="2248">
        <v>0.21105819210405435</v>
      </c>
      <c r="U114" s="1189"/>
      <c r="V114" s="1434">
        <v>9366</v>
      </c>
      <c r="W114" s="1434">
        <v>8608</v>
      </c>
      <c r="X114" s="1434">
        <v>10012</v>
      </c>
      <c r="Y114" s="1434">
        <v>10363</v>
      </c>
      <c r="Z114" s="1434">
        <v>9610</v>
      </c>
      <c r="AA114" s="1434">
        <v>10934</v>
      </c>
      <c r="AB114" s="1434">
        <v>9486</v>
      </c>
      <c r="AC114" s="1434">
        <v>10346</v>
      </c>
      <c r="AD114" s="1434">
        <v>9552</v>
      </c>
      <c r="AE114" s="1434">
        <v>9976</v>
      </c>
      <c r="AF114" s="1434">
        <v>10038</v>
      </c>
      <c r="AG114" s="1434">
        <v>9700</v>
      </c>
      <c r="AH114" s="1350">
        <v>10744</v>
      </c>
      <c r="AI114" s="1350">
        <v>11435</v>
      </c>
      <c r="AJ114" s="1642">
        <v>10904</v>
      </c>
      <c r="AK114" s="1346">
        <v>10750</v>
      </c>
      <c r="AL114" s="2249">
        <v>8730</v>
      </c>
    </row>
    <row r="115" spans="1:39" x14ac:dyDescent="0.25">
      <c r="A115" s="379" t="s">
        <v>160</v>
      </c>
      <c r="B115" s="380" t="s">
        <v>161</v>
      </c>
      <c r="C115" s="387" t="s">
        <v>264</v>
      </c>
      <c r="D115" s="384">
        <v>0.26399999999999996</v>
      </c>
      <c r="E115" s="385">
        <v>0.24100000000000002</v>
      </c>
      <c r="F115" s="385">
        <v>0.26200000000000001</v>
      </c>
      <c r="G115" s="385">
        <v>0.27100000000000002</v>
      </c>
      <c r="H115" s="385">
        <v>0.24000000000000002</v>
      </c>
      <c r="I115" s="385">
        <v>0.27499999999999997</v>
      </c>
      <c r="J115" s="385">
        <v>0.24000000000000002</v>
      </c>
      <c r="K115" s="385">
        <v>0.24299999999999999</v>
      </c>
      <c r="L115" s="385">
        <v>0.27899999999999997</v>
      </c>
      <c r="M115" s="385">
        <v>0.26700000000000002</v>
      </c>
      <c r="N115" s="386">
        <v>0.255</v>
      </c>
      <c r="O115" s="386">
        <v>0.28000000000000003</v>
      </c>
      <c r="P115" s="386">
        <v>0.27600000000000002</v>
      </c>
      <c r="Q115" s="1437">
        <v>0.33011058193487725</v>
      </c>
      <c r="R115" s="1632">
        <v>0.31745934586113322</v>
      </c>
      <c r="S115" s="1437">
        <v>0.29628789441121883</v>
      </c>
      <c r="T115" s="2248">
        <v>0.31219298975938725</v>
      </c>
      <c r="U115" s="1189"/>
      <c r="V115" s="1434">
        <v>14823</v>
      </c>
      <c r="W115" s="1434">
        <v>13868</v>
      </c>
      <c r="X115" s="1434">
        <v>15592</v>
      </c>
      <c r="Y115" s="1434">
        <v>16014</v>
      </c>
      <c r="Z115" s="1434">
        <v>14146</v>
      </c>
      <c r="AA115" s="1434">
        <v>16042</v>
      </c>
      <c r="AB115" s="1434">
        <v>13864</v>
      </c>
      <c r="AC115" s="1434">
        <v>14375</v>
      </c>
      <c r="AD115" s="1434">
        <v>16416</v>
      </c>
      <c r="AE115" s="1434">
        <v>14190</v>
      </c>
      <c r="AF115" s="1434">
        <v>12663</v>
      </c>
      <c r="AG115" s="1434">
        <v>13951</v>
      </c>
      <c r="AH115" s="1350">
        <v>13799</v>
      </c>
      <c r="AI115" s="1350">
        <v>16150</v>
      </c>
      <c r="AJ115" s="1642">
        <v>15559</v>
      </c>
      <c r="AK115" s="1346">
        <v>14367</v>
      </c>
      <c r="AL115" s="2249">
        <v>14999</v>
      </c>
    </row>
    <row r="116" spans="1:39" x14ac:dyDescent="0.25">
      <c r="A116" s="379" t="s">
        <v>166</v>
      </c>
      <c r="B116" s="380" t="s">
        <v>167</v>
      </c>
      <c r="C116" s="387" t="s">
        <v>268</v>
      </c>
      <c r="D116" s="384">
        <v>0.27100000000000002</v>
      </c>
      <c r="E116" s="385">
        <v>0.25900000000000001</v>
      </c>
      <c r="F116" s="385">
        <v>0.254</v>
      </c>
      <c r="G116" s="385">
        <v>0.28899999999999998</v>
      </c>
      <c r="H116" s="385">
        <v>0.26499999999999996</v>
      </c>
      <c r="I116" s="385">
        <v>0.32600000000000001</v>
      </c>
      <c r="J116" s="385">
        <v>0.28999999999999998</v>
      </c>
      <c r="K116" s="385">
        <v>0.31</v>
      </c>
      <c r="L116" s="385">
        <v>0.32200000000000001</v>
      </c>
      <c r="M116" s="385">
        <v>0.314</v>
      </c>
      <c r="N116" s="386">
        <v>0.316</v>
      </c>
      <c r="O116" s="386">
        <v>0.32100000000000001</v>
      </c>
      <c r="P116" s="386">
        <v>0.312</v>
      </c>
      <c r="Q116" s="1437">
        <v>0.36500579374275782</v>
      </c>
      <c r="R116" s="1632">
        <v>0.32852386237513875</v>
      </c>
      <c r="S116" s="1437">
        <v>0.37485029940119763</v>
      </c>
      <c r="T116" s="2248">
        <v>0.33804627249357327</v>
      </c>
      <c r="U116" s="1189"/>
      <c r="V116" s="1434">
        <v>231</v>
      </c>
      <c r="W116" s="1434">
        <v>219</v>
      </c>
      <c r="X116" s="1434">
        <v>210</v>
      </c>
      <c r="Y116" s="1434">
        <v>221</v>
      </c>
      <c r="Z116" s="1434">
        <v>207</v>
      </c>
      <c r="AA116" s="1434">
        <v>252</v>
      </c>
      <c r="AB116" s="1434">
        <v>211</v>
      </c>
      <c r="AC116" s="1434">
        <v>227</v>
      </c>
      <c r="AD116" s="1434">
        <v>237</v>
      </c>
      <c r="AE116" s="1434">
        <v>232</v>
      </c>
      <c r="AF116" s="1434">
        <v>268</v>
      </c>
      <c r="AG116" s="1434">
        <v>279</v>
      </c>
      <c r="AH116" s="1350">
        <v>259</v>
      </c>
      <c r="AI116" s="1350">
        <v>315</v>
      </c>
      <c r="AJ116" s="1642">
        <v>296</v>
      </c>
      <c r="AK116" s="1346">
        <v>313</v>
      </c>
      <c r="AL116" s="2249">
        <v>263</v>
      </c>
    </row>
    <row r="117" spans="1:39" x14ac:dyDescent="0.25">
      <c r="A117" s="379" t="s">
        <v>176</v>
      </c>
      <c r="B117" s="380" t="s">
        <v>177</v>
      </c>
      <c r="C117" s="387" t="s">
        <v>266</v>
      </c>
      <c r="D117" s="384">
        <v>0.26600000000000001</v>
      </c>
      <c r="E117" s="385">
        <v>0.247</v>
      </c>
      <c r="F117" s="385">
        <v>0.27100000000000002</v>
      </c>
      <c r="G117" s="385">
        <v>0.28299999999999997</v>
      </c>
      <c r="H117" s="385">
        <v>0.255</v>
      </c>
      <c r="I117" s="385">
        <v>0.308</v>
      </c>
      <c r="J117" s="385">
        <v>0.28499999999999998</v>
      </c>
      <c r="K117" s="385">
        <v>0.28299999999999997</v>
      </c>
      <c r="L117" s="385">
        <v>0.307</v>
      </c>
      <c r="M117" s="385">
        <v>0.34200000000000003</v>
      </c>
      <c r="N117" s="386">
        <v>0.41400000000000003</v>
      </c>
      <c r="O117" s="386">
        <v>0.377</v>
      </c>
      <c r="P117" s="386">
        <v>0.38200000000000001</v>
      </c>
      <c r="Q117" s="1437">
        <v>0.46943295924394568</v>
      </c>
      <c r="R117" s="1632">
        <v>0.37489276522733772</v>
      </c>
      <c r="S117" s="1437">
        <v>0.42969203951191171</v>
      </c>
      <c r="T117" s="2248">
        <v>0.36734077875037729</v>
      </c>
      <c r="U117" s="1189"/>
      <c r="V117" s="1434">
        <v>2149</v>
      </c>
      <c r="W117" s="1434">
        <v>2018</v>
      </c>
      <c r="X117" s="1434">
        <v>2272</v>
      </c>
      <c r="Y117" s="1434">
        <v>2337</v>
      </c>
      <c r="Z117" s="1434">
        <v>2112</v>
      </c>
      <c r="AA117" s="1434">
        <v>2519</v>
      </c>
      <c r="AB117" s="1434">
        <v>2266</v>
      </c>
      <c r="AC117" s="1434">
        <v>2293</v>
      </c>
      <c r="AD117" s="1434">
        <v>2473</v>
      </c>
      <c r="AE117" s="1434">
        <v>2646</v>
      </c>
      <c r="AF117" s="1434">
        <v>2694</v>
      </c>
      <c r="AG117" s="1434">
        <v>2540</v>
      </c>
      <c r="AH117" s="1350">
        <v>2615</v>
      </c>
      <c r="AI117" s="1350">
        <v>3179</v>
      </c>
      <c r="AJ117" s="1642">
        <v>2622</v>
      </c>
      <c r="AK117" s="1346">
        <v>2958</v>
      </c>
      <c r="AL117" s="2249">
        <v>2434</v>
      </c>
    </row>
    <row r="118" spans="1:39" x14ac:dyDescent="0.25">
      <c r="A118" s="379" t="s">
        <v>180</v>
      </c>
      <c r="B118" s="380" t="s">
        <v>181</v>
      </c>
      <c r="C118" s="387" t="s">
        <v>264</v>
      </c>
      <c r="D118" s="384">
        <v>0.23300000000000001</v>
      </c>
      <c r="E118" s="385">
        <v>0.21899999999999997</v>
      </c>
      <c r="F118" s="385">
        <v>0.24100000000000002</v>
      </c>
      <c r="G118" s="385">
        <v>0.251</v>
      </c>
      <c r="H118" s="385">
        <v>0.21600000000000003</v>
      </c>
      <c r="I118" s="385">
        <v>0.27299999999999996</v>
      </c>
      <c r="J118" s="385">
        <v>0.23800000000000002</v>
      </c>
      <c r="K118" s="385">
        <v>0.23500000000000001</v>
      </c>
      <c r="L118" s="385">
        <v>0.28800000000000003</v>
      </c>
      <c r="M118" s="385">
        <v>0.25100000000000006</v>
      </c>
      <c r="N118" s="386">
        <v>0.28500000000000003</v>
      </c>
      <c r="O118" s="386">
        <v>0.28100000000000003</v>
      </c>
      <c r="P118" s="386">
        <v>0.30399999999999999</v>
      </c>
      <c r="Q118" s="1437">
        <v>0.33206280061711591</v>
      </c>
      <c r="R118" s="1632">
        <v>0.28340782632491107</v>
      </c>
      <c r="S118" s="1437">
        <v>0.30528748131031669</v>
      </c>
      <c r="T118" s="2248">
        <v>0.30075430043234291</v>
      </c>
      <c r="U118" s="1189"/>
      <c r="V118" s="1434">
        <v>5804</v>
      </c>
      <c r="W118" s="1434">
        <v>5510</v>
      </c>
      <c r="X118" s="1434">
        <v>6185</v>
      </c>
      <c r="Y118" s="1434">
        <v>6463</v>
      </c>
      <c r="Z118" s="1434">
        <v>5669</v>
      </c>
      <c r="AA118" s="1434">
        <v>7067</v>
      </c>
      <c r="AB118" s="1434">
        <v>6160</v>
      </c>
      <c r="AC118" s="1434">
        <v>6087</v>
      </c>
      <c r="AD118" s="1434">
        <v>7321</v>
      </c>
      <c r="AE118" s="1434">
        <v>5829</v>
      </c>
      <c r="AF118" s="1434">
        <v>6280</v>
      </c>
      <c r="AG118" s="1434">
        <v>6231</v>
      </c>
      <c r="AH118" s="1350">
        <v>6818</v>
      </c>
      <c r="AI118" s="1350">
        <v>7318</v>
      </c>
      <c r="AJ118" s="1642">
        <v>6214</v>
      </c>
      <c r="AK118" s="1346">
        <v>6738</v>
      </c>
      <c r="AL118" s="2249">
        <v>6539</v>
      </c>
    </row>
    <row r="119" spans="1:39" x14ac:dyDescent="0.25">
      <c r="A119" s="379" t="s">
        <v>192</v>
      </c>
      <c r="B119" s="380" t="s">
        <v>193</v>
      </c>
      <c r="C119" s="387" t="s">
        <v>268</v>
      </c>
      <c r="D119" s="384">
        <v>0.13100000000000001</v>
      </c>
      <c r="E119" s="385">
        <v>0.126</v>
      </c>
      <c r="F119" s="385">
        <v>0.158</v>
      </c>
      <c r="G119" s="385">
        <v>0.16</v>
      </c>
      <c r="H119" s="385">
        <v>0.14800000000000002</v>
      </c>
      <c r="I119" s="385">
        <v>0.155</v>
      </c>
      <c r="J119" s="385">
        <v>0.16300000000000001</v>
      </c>
      <c r="K119" s="385">
        <v>0.16699999999999998</v>
      </c>
      <c r="L119" s="385">
        <v>0.16600000000000001</v>
      </c>
      <c r="M119" s="385">
        <v>0.183</v>
      </c>
      <c r="N119" s="386">
        <v>0.193</v>
      </c>
      <c r="O119" s="386">
        <v>0.19399999999999998</v>
      </c>
      <c r="P119" s="386">
        <v>0.20100000000000001</v>
      </c>
      <c r="Q119" s="1437">
        <v>0.20504731861198738</v>
      </c>
      <c r="R119" s="1632">
        <v>0.20581849761181067</v>
      </c>
      <c r="S119" s="1437">
        <v>0.21485411140583555</v>
      </c>
      <c r="T119" s="2248">
        <v>0.19113697403760072</v>
      </c>
      <c r="U119" s="1189"/>
      <c r="V119" s="1434">
        <v>255</v>
      </c>
      <c r="W119" s="1434">
        <v>236</v>
      </c>
      <c r="X119" s="1434">
        <v>285</v>
      </c>
      <c r="Y119" s="1434">
        <v>291</v>
      </c>
      <c r="Z119" s="1434">
        <v>237</v>
      </c>
      <c r="AA119" s="1434">
        <v>245</v>
      </c>
      <c r="AB119" s="1434">
        <v>267</v>
      </c>
      <c r="AC119" s="1434">
        <v>323</v>
      </c>
      <c r="AD119" s="1434">
        <v>331</v>
      </c>
      <c r="AE119" s="1434">
        <v>346</v>
      </c>
      <c r="AF119" s="1434">
        <v>408</v>
      </c>
      <c r="AG119" s="1434">
        <v>391</v>
      </c>
      <c r="AH119" s="1350">
        <v>489</v>
      </c>
      <c r="AI119" s="1350">
        <v>455</v>
      </c>
      <c r="AJ119" s="1642">
        <v>474</v>
      </c>
      <c r="AK119" s="1346">
        <v>486</v>
      </c>
      <c r="AL119" s="2249">
        <v>427</v>
      </c>
    </row>
    <row r="120" spans="1:39" x14ac:dyDescent="0.25">
      <c r="A120" s="379" t="s">
        <v>196</v>
      </c>
      <c r="B120" s="380" t="s">
        <v>197</v>
      </c>
      <c r="C120" s="387" t="s">
        <v>266</v>
      </c>
      <c r="D120" s="384">
        <v>0.28200000000000003</v>
      </c>
      <c r="E120" s="385">
        <v>0.25700000000000001</v>
      </c>
      <c r="F120" s="385">
        <v>0.29499999999999998</v>
      </c>
      <c r="G120" s="385">
        <v>0.30599999999999999</v>
      </c>
      <c r="H120" s="385">
        <v>0.27499999999999997</v>
      </c>
      <c r="I120" s="385">
        <v>0.29700000000000004</v>
      </c>
      <c r="J120" s="385">
        <v>0.29300000000000004</v>
      </c>
      <c r="K120" s="385">
        <v>0.32299999999999995</v>
      </c>
      <c r="L120" s="385">
        <v>0.35600000000000004</v>
      </c>
      <c r="M120" s="385">
        <v>0.34700000000000003</v>
      </c>
      <c r="N120" s="386">
        <v>0.35000000000000003</v>
      </c>
      <c r="O120" s="386">
        <v>0.36200000000000004</v>
      </c>
      <c r="P120" s="386">
        <v>0.36499999999999999</v>
      </c>
      <c r="Q120" s="1437">
        <v>0.37791192632149212</v>
      </c>
      <c r="R120" s="1632">
        <v>0.38944379658266998</v>
      </c>
      <c r="S120" s="1437">
        <v>0.36339995920864776</v>
      </c>
      <c r="T120" s="2248">
        <v>0.38859311715108136</v>
      </c>
      <c r="U120" s="1189"/>
      <c r="V120" s="1434">
        <v>11931</v>
      </c>
      <c r="W120" s="1434">
        <v>10957</v>
      </c>
      <c r="X120" s="1434">
        <v>12863</v>
      </c>
      <c r="Y120" s="1434">
        <v>13332</v>
      </c>
      <c r="Z120" s="1434">
        <v>12062</v>
      </c>
      <c r="AA120" s="1434">
        <v>12857</v>
      </c>
      <c r="AB120" s="1434">
        <v>12459</v>
      </c>
      <c r="AC120" s="1434">
        <v>14145</v>
      </c>
      <c r="AD120" s="1434">
        <v>15714</v>
      </c>
      <c r="AE120" s="1434">
        <v>13912</v>
      </c>
      <c r="AF120" s="1434">
        <v>13051</v>
      </c>
      <c r="AG120" s="1434">
        <v>14013</v>
      </c>
      <c r="AH120" s="1350">
        <v>14574</v>
      </c>
      <c r="AI120" s="1350">
        <v>14649</v>
      </c>
      <c r="AJ120" s="1642">
        <v>15362</v>
      </c>
      <c r="AK120" s="1346">
        <v>14254</v>
      </c>
      <c r="AL120" s="2249">
        <v>15255</v>
      </c>
    </row>
    <row r="121" spans="1:39" x14ac:dyDescent="0.25">
      <c r="A121" s="379" t="s">
        <v>200</v>
      </c>
      <c r="B121" s="380" t="s">
        <v>201</v>
      </c>
      <c r="C121" s="387" t="s">
        <v>265</v>
      </c>
      <c r="D121" s="384">
        <v>0.23899999999999999</v>
      </c>
      <c r="E121" s="385">
        <v>0.22699999999999998</v>
      </c>
      <c r="F121" s="385">
        <v>0.255</v>
      </c>
      <c r="G121" s="385">
        <v>0.27600000000000002</v>
      </c>
      <c r="H121" s="385">
        <v>0.24300000000000002</v>
      </c>
      <c r="I121" s="385">
        <v>0.25700000000000001</v>
      </c>
      <c r="J121" s="385">
        <v>0.24199999999999999</v>
      </c>
      <c r="K121" s="385">
        <v>0.27600000000000002</v>
      </c>
      <c r="L121" s="385">
        <v>0.27300000000000002</v>
      </c>
      <c r="M121" s="385">
        <v>0.3</v>
      </c>
      <c r="N121" s="386">
        <v>0.33899999999999997</v>
      </c>
      <c r="O121" s="386">
        <v>0.29600000000000004</v>
      </c>
      <c r="P121" s="386">
        <v>0.30299999999999999</v>
      </c>
      <c r="Q121" s="1437">
        <v>0.36543104672631727</v>
      </c>
      <c r="R121" s="1632">
        <v>0.33049744304974432</v>
      </c>
      <c r="S121" s="1437">
        <v>0.32874505110026703</v>
      </c>
      <c r="T121" s="2248">
        <v>0.30615640599001664</v>
      </c>
      <c r="U121" s="1189"/>
      <c r="V121" s="1434">
        <v>5094</v>
      </c>
      <c r="W121" s="1434">
        <v>4846</v>
      </c>
      <c r="X121" s="1434">
        <v>5503</v>
      </c>
      <c r="Y121" s="1434">
        <v>5900</v>
      </c>
      <c r="Z121" s="1434">
        <v>5325</v>
      </c>
      <c r="AA121" s="1434">
        <v>5575</v>
      </c>
      <c r="AB121" s="1434">
        <v>4915</v>
      </c>
      <c r="AC121" s="1434">
        <v>5669</v>
      </c>
      <c r="AD121" s="1434">
        <v>5608</v>
      </c>
      <c r="AE121" s="1434">
        <v>5862</v>
      </c>
      <c r="AF121" s="1434">
        <v>6981</v>
      </c>
      <c r="AG121" s="1434">
        <v>6126</v>
      </c>
      <c r="AH121" s="1350">
        <v>6335</v>
      </c>
      <c r="AI121" s="1350">
        <v>7719</v>
      </c>
      <c r="AJ121" s="1642">
        <v>7109</v>
      </c>
      <c r="AK121" s="1346">
        <v>7141</v>
      </c>
      <c r="AL121" s="2249">
        <v>6624</v>
      </c>
    </row>
    <row r="122" spans="1:39" x14ac:dyDescent="0.25">
      <c r="A122" s="379" t="s">
        <v>222</v>
      </c>
      <c r="B122" s="380" t="s">
        <v>223</v>
      </c>
      <c r="C122" s="387" t="s">
        <v>264</v>
      </c>
      <c r="D122" s="384">
        <v>0.16500000000000001</v>
      </c>
      <c r="E122" s="385">
        <v>0.14200000000000002</v>
      </c>
      <c r="F122" s="385">
        <v>0.15400000000000003</v>
      </c>
      <c r="G122" s="385">
        <v>0.16800000000000001</v>
      </c>
      <c r="H122" s="385">
        <v>0.151</v>
      </c>
      <c r="I122" s="385">
        <v>0.16300000000000001</v>
      </c>
      <c r="J122" s="385">
        <v>0.14599999999999999</v>
      </c>
      <c r="K122" s="385">
        <v>0.151</v>
      </c>
      <c r="L122" s="385">
        <v>0.14499999999999999</v>
      </c>
      <c r="M122" s="385">
        <v>0.17799999999999999</v>
      </c>
      <c r="N122" s="386">
        <v>0.17200000000000001</v>
      </c>
      <c r="O122" s="386">
        <v>0.18100000000000002</v>
      </c>
      <c r="P122" s="386">
        <v>0.182</v>
      </c>
      <c r="Q122" s="1437">
        <v>0.17326569912169462</v>
      </c>
      <c r="R122" s="1632">
        <v>0.20198520460717295</v>
      </c>
      <c r="S122" s="1437">
        <v>0.17998142127264283</v>
      </c>
      <c r="T122" s="2248">
        <v>0.16798637326213056</v>
      </c>
      <c r="U122" s="1189"/>
      <c r="V122" s="1434">
        <v>2997</v>
      </c>
      <c r="W122" s="1434">
        <v>2660</v>
      </c>
      <c r="X122" s="1434">
        <v>3031</v>
      </c>
      <c r="Y122" s="1434">
        <v>3412</v>
      </c>
      <c r="Z122" s="1434">
        <v>3136</v>
      </c>
      <c r="AA122" s="1434">
        <v>3335</v>
      </c>
      <c r="AB122" s="1434">
        <v>3012</v>
      </c>
      <c r="AC122" s="1434">
        <v>3249</v>
      </c>
      <c r="AD122" s="1434">
        <v>3100</v>
      </c>
      <c r="AE122" s="1434">
        <v>3779</v>
      </c>
      <c r="AF122" s="1434">
        <v>3764</v>
      </c>
      <c r="AG122" s="1434">
        <v>3897</v>
      </c>
      <c r="AH122" s="1350">
        <v>3872</v>
      </c>
      <c r="AI122" s="1350">
        <v>3689</v>
      </c>
      <c r="AJ122" s="1642">
        <v>4314</v>
      </c>
      <c r="AK122" s="1346">
        <v>3875</v>
      </c>
      <c r="AL122" s="2249">
        <v>3649</v>
      </c>
    </row>
    <row r="123" spans="1:39" x14ac:dyDescent="0.25">
      <c r="A123" s="379" t="s">
        <v>230</v>
      </c>
      <c r="B123" s="380" t="s">
        <v>231</v>
      </c>
      <c r="C123" s="387" t="s">
        <v>264</v>
      </c>
      <c r="D123" s="384">
        <v>0.10099999999999999</v>
      </c>
      <c r="E123" s="385">
        <v>9.0999999999999998E-2</v>
      </c>
      <c r="F123" s="385">
        <v>0.1</v>
      </c>
      <c r="G123" s="385">
        <v>0.106</v>
      </c>
      <c r="H123" s="385">
        <v>0.10099999999999999</v>
      </c>
      <c r="I123" s="385">
        <v>0.10800000000000001</v>
      </c>
      <c r="J123" s="385">
        <v>9.6000000000000002E-2</v>
      </c>
      <c r="K123" s="385">
        <v>9.9000000000000005E-2</v>
      </c>
      <c r="L123" s="385">
        <v>0.10300000000000001</v>
      </c>
      <c r="M123" s="385">
        <v>0.10400000000000001</v>
      </c>
      <c r="N123" s="386">
        <v>0.11</v>
      </c>
      <c r="O123" s="386">
        <v>0.126</v>
      </c>
      <c r="P123" s="386">
        <v>0.14299999999999999</v>
      </c>
      <c r="Q123" s="1437">
        <v>0.13225130685044148</v>
      </c>
      <c r="R123" s="1632">
        <v>0.123565902142176</v>
      </c>
      <c r="S123" s="1437">
        <v>0.12449990568941041</v>
      </c>
      <c r="T123" s="2248">
        <v>0.11543301110489734</v>
      </c>
      <c r="U123" s="1189"/>
      <c r="V123" s="1434">
        <v>11838</v>
      </c>
      <c r="W123" s="1434">
        <v>10658</v>
      </c>
      <c r="X123" s="1434">
        <v>11881</v>
      </c>
      <c r="Y123" s="1434">
        <v>12534</v>
      </c>
      <c r="Z123" s="1434">
        <v>11858</v>
      </c>
      <c r="AA123" s="1434">
        <v>12423</v>
      </c>
      <c r="AB123" s="1434">
        <v>10822</v>
      </c>
      <c r="AC123" s="1434">
        <v>10830</v>
      </c>
      <c r="AD123" s="1434">
        <v>11069</v>
      </c>
      <c r="AE123" s="1434">
        <v>10958</v>
      </c>
      <c r="AF123" s="1434">
        <v>11472</v>
      </c>
      <c r="AG123" s="1434">
        <v>13019</v>
      </c>
      <c r="AH123" s="1350">
        <v>14601</v>
      </c>
      <c r="AI123" s="1350">
        <v>13510</v>
      </c>
      <c r="AJ123" s="1642">
        <v>12569</v>
      </c>
      <c r="AK123" s="1346">
        <v>12541</v>
      </c>
      <c r="AL123" s="2249">
        <v>11559</v>
      </c>
    </row>
    <row r="124" spans="1:39" x14ac:dyDescent="0.25">
      <c r="A124" s="379" t="s">
        <v>238</v>
      </c>
      <c r="B124" s="380" t="s">
        <v>239</v>
      </c>
      <c r="C124" s="387" t="s">
        <v>264</v>
      </c>
      <c r="D124" s="384">
        <v>0.21199999999999999</v>
      </c>
      <c r="E124" s="385">
        <v>0.20199999999999999</v>
      </c>
      <c r="F124" s="385">
        <v>0.19699999999999998</v>
      </c>
      <c r="G124" s="385">
        <v>0.19800000000000001</v>
      </c>
      <c r="H124" s="385">
        <v>0.182</v>
      </c>
      <c r="I124" s="385">
        <v>0.24500000000000002</v>
      </c>
      <c r="J124" s="385">
        <v>0.19500000000000001</v>
      </c>
      <c r="K124" s="385">
        <v>0.20499999999999999</v>
      </c>
      <c r="L124" s="385">
        <v>0.222</v>
      </c>
      <c r="M124" s="385">
        <v>0.224</v>
      </c>
      <c r="N124" s="386">
        <v>0.22700000000000001</v>
      </c>
      <c r="O124" s="386">
        <v>0.23399999999999999</v>
      </c>
      <c r="P124" s="386">
        <v>0.23499999999999999</v>
      </c>
      <c r="Q124" s="1437">
        <v>0.25660377358490566</v>
      </c>
      <c r="R124" s="1632">
        <v>0.24410994764397906</v>
      </c>
      <c r="S124" s="1437">
        <v>0.25139318885448919</v>
      </c>
      <c r="T124" s="2248">
        <v>0.23053527980535279</v>
      </c>
      <c r="U124" s="1189"/>
      <c r="V124" s="1434">
        <v>229</v>
      </c>
      <c r="W124" s="1434">
        <v>210</v>
      </c>
      <c r="X124" s="1434">
        <v>208</v>
      </c>
      <c r="Y124" s="1434">
        <v>229</v>
      </c>
      <c r="Z124" s="1434">
        <v>241</v>
      </c>
      <c r="AA124" s="1434">
        <v>322</v>
      </c>
      <c r="AB124" s="1434">
        <v>263</v>
      </c>
      <c r="AC124" s="1434">
        <v>324</v>
      </c>
      <c r="AD124" s="1434">
        <v>372</v>
      </c>
      <c r="AE124" s="1434">
        <v>400</v>
      </c>
      <c r="AF124" s="1434">
        <v>319</v>
      </c>
      <c r="AG124" s="1434">
        <v>350</v>
      </c>
      <c r="AH124" s="1350">
        <v>411</v>
      </c>
      <c r="AI124" s="1350">
        <v>408</v>
      </c>
      <c r="AJ124" s="1642">
        <v>373</v>
      </c>
      <c r="AK124" s="1346">
        <v>406</v>
      </c>
      <c r="AL124" s="2249">
        <v>379</v>
      </c>
    </row>
    <row r="125" spans="1:39" x14ac:dyDescent="0.25">
      <c r="A125" s="379" t="s">
        <v>240</v>
      </c>
      <c r="B125" s="380" t="s">
        <v>241</v>
      </c>
      <c r="C125" s="387" t="s">
        <v>267</v>
      </c>
      <c r="D125" s="384">
        <v>0.16600000000000001</v>
      </c>
      <c r="E125" s="385">
        <v>0.15400000000000003</v>
      </c>
      <c r="F125" s="385">
        <v>0.16399999999999998</v>
      </c>
      <c r="G125" s="385">
        <v>0.17300000000000001</v>
      </c>
      <c r="H125" s="385">
        <v>0.15</v>
      </c>
      <c r="I125" s="385">
        <v>0.17300000000000001</v>
      </c>
      <c r="J125" s="385">
        <v>0.16800000000000001</v>
      </c>
      <c r="K125" s="385">
        <v>0.16600000000000001</v>
      </c>
      <c r="L125" s="385">
        <v>0.18100000000000002</v>
      </c>
      <c r="M125" s="385">
        <v>0.222</v>
      </c>
      <c r="N125" s="386">
        <v>0.247</v>
      </c>
      <c r="O125" s="386">
        <v>0.23600000000000002</v>
      </c>
      <c r="P125" s="386">
        <v>0.22500000000000001</v>
      </c>
      <c r="Q125" s="1437">
        <v>0.23867367038739332</v>
      </c>
      <c r="R125" s="1632">
        <v>0.21692333167743003</v>
      </c>
      <c r="S125" s="1437">
        <v>0.25634430727023322</v>
      </c>
      <c r="T125" s="2248">
        <v>0.22035606315082298</v>
      </c>
      <c r="U125" s="1189"/>
      <c r="V125" s="1434">
        <v>850</v>
      </c>
      <c r="W125" s="1434">
        <v>806</v>
      </c>
      <c r="X125" s="1434">
        <v>887</v>
      </c>
      <c r="Y125" s="1434">
        <v>948</v>
      </c>
      <c r="Z125" s="1434">
        <v>847</v>
      </c>
      <c r="AA125" s="1434">
        <v>963</v>
      </c>
      <c r="AB125" s="1434">
        <v>921</v>
      </c>
      <c r="AC125" s="1434">
        <v>938</v>
      </c>
      <c r="AD125" s="1434">
        <v>1032</v>
      </c>
      <c r="AE125" s="1434">
        <v>1262</v>
      </c>
      <c r="AF125" s="1434">
        <v>1403</v>
      </c>
      <c r="AG125" s="1434">
        <v>1384</v>
      </c>
      <c r="AH125" s="1350">
        <v>1343</v>
      </c>
      <c r="AI125" s="1350">
        <v>1454</v>
      </c>
      <c r="AJ125" s="1642">
        <v>1310</v>
      </c>
      <c r="AK125" s="1346">
        <v>1495</v>
      </c>
      <c r="AL125" s="2249">
        <v>1312</v>
      </c>
    </row>
    <row r="126" spans="1:39" x14ac:dyDescent="0.25">
      <c r="A126" s="387"/>
      <c r="B126" s="387"/>
      <c r="C126" s="387"/>
      <c r="D126" s="1189"/>
      <c r="E126" s="1189"/>
      <c r="F126" s="1189"/>
      <c r="G126" s="1189"/>
      <c r="H126" s="1189"/>
      <c r="I126" s="1189"/>
      <c r="J126" s="1189"/>
      <c r="K126" s="1189"/>
      <c r="L126" s="1189"/>
      <c r="M126" s="1189"/>
      <c r="N126" s="1189"/>
      <c r="O126" s="1189"/>
      <c r="P126" s="1189"/>
      <c r="Q126" s="1189"/>
      <c r="R126" s="1189"/>
      <c r="S126" s="1189"/>
      <c r="T126" s="1189"/>
      <c r="U126" s="1189"/>
      <c r="V126" s="1188"/>
      <c r="W126" s="1188"/>
      <c r="X126" s="1188"/>
      <c r="Y126" s="1188"/>
      <c r="Z126" s="1188"/>
      <c r="AA126" s="1188"/>
      <c r="AB126" s="1188"/>
      <c r="AC126" s="1188"/>
      <c r="AD126" s="1188"/>
      <c r="AE126" s="1188"/>
      <c r="AF126" s="1188"/>
      <c r="AG126" s="1188"/>
      <c r="AH126" s="1188"/>
      <c r="AI126" s="1188"/>
      <c r="AJ126" s="1188"/>
      <c r="AK126" s="1188"/>
      <c r="AL126" s="1188"/>
      <c r="AM126" s="458"/>
    </row>
    <row r="127" spans="1:39" x14ac:dyDescent="0.25">
      <c r="A127" s="388" t="s">
        <v>721</v>
      </c>
      <c r="B127" s="387"/>
      <c r="C127" s="387"/>
      <c r="D127" s="1189"/>
      <c r="E127" s="1189"/>
      <c r="F127" s="1189"/>
      <c r="G127" s="1189"/>
      <c r="H127" s="1189"/>
      <c r="I127" s="1189"/>
      <c r="J127" s="1189"/>
      <c r="K127" s="1189"/>
      <c r="L127" s="1189"/>
      <c r="M127" s="1189"/>
      <c r="N127" s="1189"/>
      <c r="O127" s="1189"/>
      <c r="P127" s="1189"/>
      <c r="Q127" s="1189"/>
      <c r="R127" s="1189"/>
      <c r="S127" s="1189"/>
      <c r="T127" s="1189"/>
      <c r="U127" s="1189"/>
      <c r="V127" s="1188"/>
      <c r="W127" s="1188"/>
      <c r="X127" s="1188"/>
      <c r="Y127" s="1188"/>
      <c r="Z127" s="1188"/>
      <c r="AA127" s="1188"/>
      <c r="AB127" s="1188"/>
      <c r="AC127" s="1188"/>
      <c r="AD127" s="1188"/>
      <c r="AE127" s="1188"/>
      <c r="AF127" s="1188"/>
      <c r="AG127" s="1188"/>
      <c r="AH127" s="1188"/>
      <c r="AI127" s="1188"/>
      <c r="AJ127" s="1188"/>
      <c r="AK127" s="1188"/>
      <c r="AL127" s="1188"/>
      <c r="AM127" s="458"/>
    </row>
    <row r="128" spans="1:39" x14ac:dyDescent="0.25">
      <c r="A128" s="597" t="s">
        <v>266</v>
      </c>
      <c r="B128" s="1430"/>
      <c r="C128" s="1438"/>
      <c r="D128" s="1439">
        <v>0.12777045687129379</v>
      </c>
      <c r="E128" s="1440">
        <v>0.11654920477484336</v>
      </c>
      <c r="F128" s="1440">
        <v>0.1354493691697963</v>
      </c>
      <c r="G128" s="1440">
        <v>0.1470167344250537</v>
      </c>
      <c r="H128" s="1440">
        <v>0.13365566375727633</v>
      </c>
      <c r="I128" s="1440">
        <v>0.14388618155624469</v>
      </c>
      <c r="J128" s="1440">
        <v>0.13311676363234895</v>
      </c>
      <c r="K128" s="1440">
        <v>0.14410690731000661</v>
      </c>
      <c r="L128" s="1440">
        <v>0.15284216958699204</v>
      </c>
      <c r="M128" s="1440">
        <v>0.15668623873941231</v>
      </c>
      <c r="N128" s="1437">
        <v>0.15997456515691444</v>
      </c>
      <c r="O128" s="1437">
        <v>0.17401205670921191</v>
      </c>
      <c r="P128" s="1437">
        <v>0.17363851617995266</v>
      </c>
      <c r="Q128" s="1437">
        <v>0.18307861229889996</v>
      </c>
      <c r="R128" s="1632">
        <v>0.19027382241426713</v>
      </c>
      <c r="S128" s="1637">
        <v>0.17148941671145826</v>
      </c>
      <c r="T128" s="1189">
        <v>0.16588591616954154</v>
      </c>
      <c r="U128" s="1189"/>
      <c r="V128" s="1441">
        <v>36457</v>
      </c>
      <c r="W128" s="1434">
        <v>33372</v>
      </c>
      <c r="X128" s="1434">
        <v>39132</v>
      </c>
      <c r="Y128" s="1434">
        <v>42635</v>
      </c>
      <c r="Z128" s="1434">
        <v>39171</v>
      </c>
      <c r="AA128" s="1434">
        <v>42547</v>
      </c>
      <c r="AB128" s="1434">
        <v>39789</v>
      </c>
      <c r="AC128" s="1434">
        <v>43372</v>
      </c>
      <c r="AD128" s="1434">
        <v>46022</v>
      </c>
      <c r="AE128" s="1434">
        <v>47153</v>
      </c>
      <c r="AF128" s="1442">
        <v>48304</v>
      </c>
      <c r="AG128" s="1442">
        <v>52189</v>
      </c>
      <c r="AH128" s="1442">
        <v>51260</v>
      </c>
      <c r="AI128" s="1442">
        <v>53690</v>
      </c>
      <c r="AJ128" s="1645">
        <v>56056</v>
      </c>
      <c r="AK128" s="1442">
        <v>50410</v>
      </c>
      <c r="AL128" s="2250">
        <v>48691</v>
      </c>
      <c r="AM128" s="64"/>
    </row>
    <row r="129" spans="1:39" x14ac:dyDescent="0.25">
      <c r="A129" s="369" t="s">
        <v>264</v>
      </c>
      <c r="D129" s="384">
        <v>0.15304435972586439</v>
      </c>
      <c r="E129" s="385">
        <v>0.14033358889775141</v>
      </c>
      <c r="F129" s="385">
        <v>0.15771795103044595</v>
      </c>
      <c r="G129" s="385">
        <v>0.16505708289428997</v>
      </c>
      <c r="H129" s="385">
        <v>0.14922302530245857</v>
      </c>
      <c r="I129" s="385">
        <v>0.16352767930188164</v>
      </c>
      <c r="J129" s="385">
        <v>0.14641453075926292</v>
      </c>
      <c r="K129" s="385">
        <v>0.15611975749596346</v>
      </c>
      <c r="L129" s="385">
        <v>0.16549851613310601</v>
      </c>
      <c r="M129" s="385">
        <v>0.16261973561466178</v>
      </c>
      <c r="N129" s="386">
        <v>0.16684839324070738</v>
      </c>
      <c r="O129" s="386">
        <v>0.18344688787599084</v>
      </c>
      <c r="P129" s="386">
        <v>0.19465468306527908</v>
      </c>
      <c r="Q129" s="1437">
        <v>0.19731917697955095</v>
      </c>
      <c r="R129" s="1632">
        <v>0.1918605782799529</v>
      </c>
      <c r="S129" s="1637">
        <v>0.18934995181748365</v>
      </c>
      <c r="T129" s="1189">
        <v>0.18052845987901542</v>
      </c>
      <c r="U129" s="1189"/>
      <c r="V129" s="381">
        <v>69450</v>
      </c>
      <c r="W129" s="382">
        <v>63514</v>
      </c>
      <c r="X129" s="382">
        <v>71700</v>
      </c>
      <c r="Y129" s="382">
        <v>75816</v>
      </c>
      <c r="Z129" s="382">
        <v>68689</v>
      </c>
      <c r="AA129" s="382">
        <v>74957</v>
      </c>
      <c r="AB129" s="382">
        <v>66664</v>
      </c>
      <c r="AC129" s="382">
        <v>70198</v>
      </c>
      <c r="AD129" s="382">
        <v>73388</v>
      </c>
      <c r="AE129" s="382">
        <v>71473</v>
      </c>
      <c r="AF129" s="383">
        <v>71308</v>
      </c>
      <c r="AG129" s="383">
        <v>77113</v>
      </c>
      <c r="AH129" s="383">
        <v>80654</v>
      </c>
      <c r="AI129" s="1442">
        <v>81141</v>
      </c>
      <c r="AJ129" s="1645">
        <v>78857</v>
      </c>
      <c r="AK129" s="1442">
        <v>77418</v>
      </c>
      <c r="AL129" s="2250">
        <v>73474</v>
      </c>
      <c r="AM129" s="64"/>
    </row>
    <row r="130" spans="1:39" x14ac:dyDescent="0.25">
      <c r="A130" s="369" t="s">
        <v>267</v>
      </c>
      <c r="D130" s="384">
        <v>7.3972848316347151E-2</v>
      </c>
      <c r="E130" s="385">
        <v>6.7403569019439502E-2</v>
      </c>
      <c r="F130" s="385">
        <v>7.5487365161058667E-2</v>
      </c>
      <c r="G130" s="385">
        <v>8.3378188703486691E-2</v>
      </c>
      <c r="H130" s="385">
        <v>7.5877860403686589E-2</v>
      </c>
      <c r="I130" s="385">
        <v>7.4756843456245878E-2</v>
      </c>
      <c r="J130" s="385">
        <v>6.9055752121382249E-2</v>
      </c>
      <c r="K130" s="385">
        <v>7.2126218829321451E-2</v>
      </c>
      <c r="L130" s="385">
        <v>7.8048984786318096E-2</v>
      </c>
      <c r="M130" s="385">
        <v>8.5547995432984622E-2</v>
      </c>
      <c r="N130" s="386">
        <v>9.0402479205067013E-2</v>
      </c>
      <c r="O130" s="386">
        <v>9.8850753222550089E-2</v>
      </c>
      <c r="P130" s="386">
        <v>9.5595160378892069E-2</v>
      </c>
      <c r="Q130" s="1437">
        <v>9.6413769845848013E-2</v>
      </c>
      <c r="R130" s="1632">
        <v>0.10170149715160404</v>
      </c>
      <c r="S130" s="1637">
        <v>9.0957882015598138E-2</v>
      </c>
      <c r="T130" s="1189">
        <v>8.844947722152785E-2</v>
      </c>
      <c r="U130" s="1189"/>
      <c r="V130" s="381">
        <v>47040</v>
      </c>
      <c r="W130" s="382">
        <v>43966</v>
      </c>
      <c r="X130" s="382">
        <v>50455</v>
      </c>
      <c r="Y130" s="382">
        <v>56849</v>
      </c>
      <c r="Z130" s="382">
        <v>52855</v>
      </c>
      <c r="AA130" s="382">
        <v>53180</v>
      </c>
      <c r="AB130" s="382">
        <v>49691</v>
      </c>
      <c r="AC130" s="382">
        <v>52682</v>
      </c>
      <c r="AD130" s="382">
        <v>57771</v>
      </c>
      <c r="AE130" s="382">
        <v>64512</v>
      </c>
      <c r="AF130" s="383">
        <v>69253</v>
      </c>
      <c r="AG130" s="383">
        <v>77653</v>
      </c>
      <c r="AH130" s="383">
        <v>74096</v>
      </c>
      <c r="AI130" s="1442">
        <v>76048</v>
      </c>
      <c r="AJ130" s="1645">
        <v>80925</v>
      </c>
      <c r="AK130" s="1442">
        <v>72705</v>
      </c>
      <c r="AL130" s="2250">
        <v>70908</v>
      </c>
      <c r="AM130" s="64"/>
    </row>
    <row r="131" spans="1:39" x14ac:dyDescent="0.25">
      <c r="A131" s="369" t="s">
        <v>265</v>
      </c>
      <c r="D131" s="384">
        <v>0.14798451654743328</v>
      </c>
      <c r="E131" s="385">
        <v>0.13950212131823031</v>
      </c>
      <c r="F131" s="385">
        <v>0.16081026399794002</v>
      </c>
      <c r="G131" s="385">
        <v>0.17657450171906408</v>
      </c>
      <c r="H131" s="385">
        <v>0.1593198731798578</v>
      </c>
      <c r="I131" s="385">
        <v>0.17241307706364103</v>
      </c>
      <c r="J131" s="385">
        <v>0.16388858883063143</v>
      </c>
      <c r="K131" s="385">
        <v>0.17567876453011166</v>
      </c>
      <c r="L131" s="385">
        <v>0.17290313441355259</v>
      </c>
      <c r="M131" s="385">
        <v>0.19168981558954451</v>
      </c>
      <c r="N131" s="386">
        <v>0.20643619721274198</v>
      </c>
      <c r="O131" s="386">
        <v>0.20991666141864518</v>
      </c>
      <c r="P131" s="386">
        <v>0.21105894093113109</v>
      </c>
      <c r="Q131" s="1437">
        <v>0.21831772489045451</v>
      </c>
      <c r="R131" s="1632">
        <v>0.21606831439052257</v>
      </c>
      <c r="S131" s="1637">
        <v>0.20948611482782731</v>
      </c>
      <c r="T131" s="1189">
        <v>0.19642374757095427</v>
      </c>
      <c r="U131" s="1189"/>
      <c r="V131" s="381">
        <v>36510</v>
      </c>
      <c r="W131" s="382">
        <v>34262</v>
      </c>
      <c r="X131" s="382">
        <v>39344</v>
      </c>
      <c r="Y131" s="382">
        <v>42781</v>
      </c>
      <c r="Z131" s="382">
        <v>38492</v>
      </c>
      <c r="AA131" s="382">
        <v>41515</v>
      </c>
      <c r="AB131" s="382">
        <v>39447</v>
      </c>
      <c r="AC131" s="382">
        <v>42272</v>
      </c>
      <c r="AD131" s="382">
        <v>41499</v>
      </c>
      <c r="AE131" s="382">
        <v>45820</v>
      </c>
      <c r="AF131" s="383">
        <v>50023</v>
      </c>
      <c r="AG131" s="383">
        <v>49999</v>
      </c>
      <c r="AH131" s="383">
        <v>49491</v>
      </c>
      <c r="AI131" s="1442">
        <v>50820</v>
      </c>
      <c r="AJ131" s="1645">
        <v>50302</v>
      </c>
      <c r="AK131" s="1442">
        <v>48535</v>
      </c>
      <c r="AL131" s="2250">
        <v>45082</v>
      </c>
      <c r="AM131" s="64"/>
    </row>
    <row r="132" spans="1:39" x14ac:dyDescent="0.25">
      <c r="A132" s="369" t="s">
        <v>268</v>
      </c>
      <c r="D132" s="384">
        <v>0.18734683294440402</v>
      </c>
      <c r="E132" s="385">
        <v>0.17247175273134746</v>
      </c>
      <c r="F132" s="385">
        <v>0.20006672597864769</v>
      </c>
      <c r="G132" s="385">
        <v>0.22071896949433689</v>
      </c>
      <c r="H132" s="385">
        <v>0.19469087884668701</v>
      </c>
      <c r="I132" s="385">
        <v>0.22345575814569074</v>
      </c>
      <c r="J132" s="385">
        <v>0.20651927338719528</v>
      </c>
      <c r="K132" s="385">
        <v>0.20957003677431724</v>
      </c>
      <c r="L132" s="385">
        <v>0.22360411648784762</v>
      </c>
      <c r="M132" s="385">
        <v>0.23061145442701456</v>
      </c>
      <c r="N132" s="386">
        <v>0.2390194692096777</v>
      </c>
      <c r="O132" s="386">
        <v>0.24486790511169071</v>
      </c>
      <c r="P132" s="386">
        <v>0.24867022477490902</v>
      </c>
      <c r="Q132" s="1437">
        <v>0.24932721517255221</v>
      </c>
      <c r="R132" s="1632">
        <v>0.24255737644647468</v>
      </c>
      <c r="S132" s="1637">
        <v>0.24754110529636641</v>
      </c>
      <c r="T132" s="1189">
        <v>0.23096808279792061</v>
      </c>
      <c r="U132" s="1189"/>
      <c r="V132" s="381">
        <v>22399</v>
      </c>
      <c r="W132" s="382">
        <v>20317</v>
      </c>
      <c r="X132" s="382">
        <v>23387</v>
      </c>
      <c r="Y132" s="382">
        <v>25548</v>
      </c>
      <c r="Z132" s="382">
        <v>22472</v>
      </c>
      <c r="AA132" s="382">
        <v>25663</v>
      </c>
      <c r="AB132" s="382">
        <v>23670</v>
      </c>
      <c r="AC132" s="382">
        <v>24049</v>
      </c>
      <c r="AD132" s="382">
        <v>25530</v>
      </c>
      <c r="AE132" s="382">
        <v>26197</v>
      </c>
      <c r="AF132" s="383">
        <v>27721</v>
      </c>
      <c r="AG132" s="383">
        <v>27602</v>
      </c>
      <c r="AH132" s="383">
        <v>27536</v>
      </c>
      <c r="AI132" s="1442">
        <v>27331</v>
      </c>
      <c r="AJ132" s="1645">
        <v>26390</v>
      </c>
      <c r="AK132" s="1442">
        <v>26678</v>
      </c>
      <c r="AL132" s="2250">
        <v>24481</v>
      </c>
      <c r="AM132" s="64"/>
    </row>
    <row r="134" spans="1:39" x14ac:dyDescent="0.25">
      <c r="A134" s="917" t="s">
        <v>1210</v>
      </c>
    </row>
    <row r="136" spans="1:39" x14ac:dyDescent="0.25">
      <c r="A136" s="389" t="s">
        <v>248</v>
      </c>
      <c r="B136" s="389"/>
      <c r="C136" s="389"/>
      <c r="D136" s="389"/>
      <c r="E136" s="389"/>
      <c r="F136" s="389"/>
      <c r="G136" s="389"/>
      <c r="H136" s="389"/>
      <c r="I136" s="389"/>
      <c r="J136" s="389"/>
      <c r="K136" s="389"/>
      <c r="L136" s="389"/>
      <c r="M136" s="389"/>
      <c r="N136" s="389"/>
      <c r="O136" s="389"/>
      <c r="P136" s="389"/>
      <c r="Q136" s="389"/>
      <c r="R136" s="389"/>
      <c r="S136" s="389"/>
      <c r="T136" s="389"/>
      <c r="U136" s="389"/>
    </row>
    <row r="137" spans="1:39" x14ac:dyDescent="0.25">
      <c r="A137" s="390" t="s">
        <v>249</v>
      </c>
      <c r="B137" s="391" t="s">
        <v>250</v>
      </c>
      <c r="C137" s="391"/>
      <c r="D137" s="391"/>
      <c r="E137" s="391"/>
      <c r="F137" s="391"/>
      <c r="G137" s="391"/>
      <c r="H137" s="391"/>
      <c r="I137" s="391"/>
      <c r="J137" s="391"/>
      <c r="K137" s="391"/>
      <c r="L137" s="391"/>
      <c r="M137" s="391"/>
      <c r="N137" s="391"/>
      <c r="O137" s="391"/>
      <c r="P137" s="391"/>
      <c r="Q137" s="391"/>
      <c r="R137" s="391"/>
      <c r="S137" s="391"/>
      <c r="T137" s="391"/>
      <c r="U137" s="391"/>
    </row>
  </sheetData>
  <autoFilter ref="A4:C4"/>
  <sortState ref="A6:BC125">
    <sortCondition ref="A6:A125"/>
  </sortState>
  <mergeCells count="2">
    <mergeCell ref="D3:R3"/>
    <mergeCell ref="V3:AJ3"/>
  </mergeCells>
  <hyperlinks>
    <hyperlink ref="B137"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85</vt:i4>
      </vt:variant>
    </vt:vector>
  </HeadingPairs>
  <TitlesOfParts>
    <vt:vector size="162" baseType="lpstr">
      <vt:lpstr>Profile</vt:lpstr>
      <vt:lpstr>Data for Graphs</vt:lpstr>
      <vt:lpstr>Spending By Region</vt:lpstr>
      <vt:lpstr>Agency Level &amp; HR Policy</vt:lpstr>
      <vt:lpstr>IT Support</vt:lpstr>
      <vt:lpstr>2016 Population</vt:lpstr>
      <vt:lpstr>Poverty Estimates</vt:lpstr>
      <vt:lpstr>Poverty_All ages</vt:lpstr>
      <vt:lpstr>Poverty_Child</vt:lpstr>
      <vt:lpstr>Income to Poverty Ratio</vt:lpstr>
      <vt:lpstr>Unemployment</vt:lpstr>
      <vt:lpstr>Non-marital births</vt:lpstr>
      <vt:lpstr>Teen births</vt:lpstr>
      <vt:lpstr>NM Births_Trend</vt:lpstr>
      <vt:lpstr>Teen Births_Trend</vt:lpstr>
      <vt:lpstr>Children in Single Parent Homes</vt:lpstr>
      <vt:lpstr>SNAP Clients by SFY-2005-2015</vt:lpstr>
      <vt:lpstr>SNAP Applications Received</vt:lpstr>
      <vt:lpstr>SNAP Applications Disposed</vt:lpstr>
      <vt:lpstr>TANF Applications Received</vt:lpstr>
      <vt:lpstr>TANF Applications Disposed</vt:lpstr>
      <vt:lpstr>Medicaid Applications Received</vt:lpstr>
      <vt:lpstr>Medicaid Applications Disposed</vt:lpstr>
      <vt:lpstr>Child Care Application Received</vt:lpstr>
      <vt:lpstr>Child Care Application Disposed</vt:lpstr>
      <vt:lpstr>SNAP Clients_Annual</vt:lpstr>
      <vt:lpstr>TANF Clients by SFY</vt:lpstr>
      <vt:lpstr>TANF Clients_Annual</vt:lpstr>
      <vt:lpstr>Medicaid Clients by SFY</vt:lpstr>
      <vt:lpstr>Medicaid Clients_Annual</vt:lpstr>
      <vt:lpstr>Benefit Clients_Annual</vt:lpstr>
      <vt:lpstr>Child Care_CY</vt:lpstr>
      <vt:lpstr>TANF Cases - Annual</vt:lpstr>
      <vt:lpstr>SNAP Cases - Annual</vt:lpstr>
      <vt:lpstr>Medicaid Cases- Annual</vt:lpstr>
      <vt:lpstr>EA Cases - Annual</vt:lpstr>
      <vt:lpstr>Child Care Cases - Annual</vt:lpstr>
      <vt:lpstr>SNAP Client Demographics</vt:lpstr>
      <vt:lpstr>TANF Client Demographics</vt:lpstr>
      <vt:lpstr>MA Client Demographics</vt:lpstr>
      <vt:lpstr>Hispanic Adjustment</vt:lpstr>
      <vt:lpstr>Child Care Client Demographics</vt:lpstr>
      <vt:lpstr>Benefit Client Demographics</vt:lpstr>
      <vt:lpstr>Child Welfare Caseload</vt:lpstr>
      <vt:lpstr>Children in Foster Care</vt:lpstr>
      <vt:lpstr>Adoption Child by Race</vt:lpstr>
      <vt:lpstr>Adopted Children</vt:lpstr>
      <vt:lpstr>Adoption Subsidies</vt:lpstr>
      <vt:lpstr>APS Reports</vt:lpstr>
      <vt:lpstr>CPS Referrals</vt:lpstr>
      <vt:lpstr>Compare Recipients Census Med</vt:lpstr>
      <vt:lpstr>Compare Recipients Census SNAP</vt:lpstr>
      <vt:lpstr>Compare Recipients Census TANF</vt:lpstr>
      <vt:lpstr>Adoption Counts Summed SFY 2010</vt:lpstr>
      <vt:lpstr>CPS Ref Child Demo 2010 (2)</vt:lpstr>
      <vt:lpstr>Administration LASER</vt:lpstr>
      <vt:lpstr>Other Oper Exp. LASER</vt:lpstr>
      <vt:lpstr>Client Services LASER</vt:lpstr>
      <vt:lpstr>CSA LASER</vt:lpstr>
      <vt:lpstr>Medicaid &amp; FAMIS - LASER</vt:lpstr>
      <vt:lpstr>SNAP LASER</vt:lpstr>
      <vt:lpstr>Energy Assistance LASER</vt:lpstr>
      <vt:lpstr>TANF LASER</vt:lpstr>
      <vt:lpstr>ChildCare LASER</vt:lpstr>
      <vt:lpstr>FC &amp; Adoptions LASER</vt:lpstr>
      <vt:lpstr>Other Benefits LASER</vt:lpstr>
      <vt:lpstr>Statewide Benefits</vt:lpstr>
      <vt:lpstr>Social Svcs Spending Summary</vt:lpstr>
      <vt:lpstr>Medicaid Clients</vt:lpstr>
      <vt:lpstr>Staffing</vt:lpstr>
      <vt:lpstr>Children in Single-Parent Homes</vt:lpstr>
      <vt:lpstr>Married Parent Households</vt:lpstr>
      <vt:lpstr>SNAP Participation Rate</vt:lpstr>
      <vt:lpstr>AuxGrant</vt:lpstr>
      <vt:lpstr>Locality Name</vt:lpstr>
      <vt:lpstr>Password</vt:lpstr>
      <vt:lpstr>Region Name</vt:lpstr>
      <vt:lpstr>Admin_Costs_LASER</vt:lpstr>
      <vt:lpstr>'Compare Recipients Census Med'!ADOP_AVG</vt:lpstr>
      <vt:lpstr>'Compare Recipients Census SNAP'!ADOP_AVG</vt:lpstr>
      <vt:lpstr>'Compare Recipients Census TANF'!ADOP_AVG</vt:lpstr>
      <vt:lpstr>ADOP_AVG</vt:lpstr>
      <vt:lpstr>Adoption_Child_Demo</vt:lpstr>
      <vt:lpstr>adoption_race</vt:lpstr>
      <vt:lpstr>AdoptionServices</vt:lpstr>
      <vt:lpstr>Agency_Level</vt:lpstr>
      <vt:lpstr>APS_Reports</vt:lpstr>
      <vt:lpstr>AuxGrant</vt:lpstr>
      <vt:lpstr>BenefitClient_Demo</vt:lpstr>
      <vt:lpstr>BenefitClnts_Annual</vt:lpstr>
      <vt:lpstr>cc_apps_disp</vt:lpstr>
      <vt:lpstr>cc_apps_recvd</vt:lpstr>
      <vt:lpstr>CCClient_Demo</vt:lpstr>
      <vt:lpstr>Child_SingleParentHH</vt:lpstr>
      <vt:lpstr>ChildCareClients</vt:lpstr>
      <vt:lpstr>ChildCareFamilies</vt:lpstr>
      <vt:lpstr>ChildCareLASER</vt:lpstr>
      <vt:lpstr>Children_CPS_Referrals</vt:lpstr>
      <vt:lpstr>Client_Svcs_LASER</vt:lpstr>
      <vt:lpstr>CPSReferrals</vt:lpstr>
      <vt:lpstr>CSA_LASER</vt:lpstr>
      <vt:lpstr>EA_LASER</vt:lpstr>
      <vt:lpstr>EACases_Annual</vt:lpstr>
      <vt:lpstr>Employment</vt:lpstr>
      <vt:lpstr>FC_Adop_LASER</vt:lpstr>
      <vt:lpstr>FC_DEMO</vt:lpstr>
      <vt:lpstr>FCMAP</vt:lpstr>
      <vt:lpstr>FIPS</vt:lpstr>
      <vt:lpstr>FIPS_NUM</vt:lpstr>
      <vt:lpstr>FIPSN</vt:lpstr>
      <vt:lpstr>fs_caseload</vt:lpstr>
      <vt:lpstr>IT_Support</vt:lpstr>
      <vt:lpstr>Loc_Name</vt:lpstr>
      <vt:lpstr>Locality</vt:lpstr>
      <vt:lpstr>ma_apps_disp</vt:lpstr>
      <vt:lpstr>ma_apps_recvd</vt:lpstr>
      <vt:lpstr>MAClnts_Annual</vt:lpstr>
      <vt:lpstr>marriedcouples</vt:lpstr>
      <vt:lpstr>MarriedParentHouseholds</vt:lpstr>
      <vt:lpstr>Medicaid_FAMIS_LASER</vt:lpstr>
      <vt:lpstr>MedicaidCases_Annual</vt:lpstr>
      <vt:lpstr>MedicaidClient_Demo</vt:lpstr>
      <vt:lpstr>MedicaidClients</vt:lpstr>
      <vt:lpstr>NMBirths_Trend</vt:lpstr>
      <vt:lpstr>NonMaritalBirths</vt:lpstr>
      <vt:lpstr>OT_BENE_LASER</vt:lpstr>
      <vt:lpstr>OT_EXP_LASER_2013</vt:lpstr>
      <vt:lpstr>Other_Oper_Exp_LASER</vt:lpstr>
      <vt:lpstr>Pop_Estimates</vt:lpstr>
      <vt:lpstr>Poverty</vt:lpstr>
      <vt:lpstr>Poverty_AllAges</vt:lpstr>
      <vt:lpstr>Poverty_Child</vt:lpstr>
      <vt:lpstr>'Children in Foster Care'!Print_Area</vt:lpstr>
      <vt:lpstr>'Locality Name'!Print_Area</vt:lpstr>
      <vt:lpstr>Profile!Print_Area</vt:lpstr>
      <vt:lpstr>'SNAP Participation Rate'!Print_Area</vt:lpstr>
      <vt:lpstr>'Spending By Region'!Print_Area</vt:lpstr>
      <vt:lpstr>Unemployment!Print_Area</vt:lpstr>
      <vt:lpstr>'Children in Foster Care'!Print_Titles</vt:lpstr>
      <vt:lpstr>Profile!Print_Titles</vt:lpstr>
      <vt:lpstr>'SNAP Participation Rate'!Print_Titles</vt:lpstr>
      <vt:lpstr>Unemployment!Print_Titles</vt:lpstr>
      <vt:lpstr>Region</vt:lpstr>
      <vt:lpstr>SingleParentHomes</vt:lpstr>
      <vt:lpstr>snap_apps_disp</vt:lpstr>
      <vt:lpstr>snap_apps_recvd</vt:lpstr>
      <vt:lpstr>SNAP_LASER</vt:lpstr>
      <vt:lpstr>SNAP_RACE</vt:lpstr>
      <vt:lpstr>SNAPCases_Annual</vt:lpstr>
      <vt:lpstr>SNAPClient_Demo</vt:lpstr>
      <vt:lpstr>SNAPClients</vt:lpstr>
      <vt:lpstr>SNAPClnts_Yearly</vt:lpstr>
      <vt:lpstr>Staffing</vt:lpstr>
      <vt:lpstr>tanf_apps_disp</vt:lpstr>
      <vt:lpstr>tanf_apps_recvd</vt:lpstr>
      <vt:lpstr>TANF_LASER</vt:lpstr>
      <vt:lpstr>TANFCases_Annual</vt:lpstr>
      <vt:lpstr>TANFClient_Demo</vt:lpstr>
      <vt:lpstr>TANFClients</vt:lpstr>
      <vt:lpstr>TANFClnts_Yearly</vt:lpstr>
      <vt:lpstr>TeenBirths</vt:lpstr>
      <vt:lpstr>TeenBirths_Trend</vt:lpstr>
    </vt:vector>
  </TitlesOfParts>
  <Company>Virginia IT Infrastructure Partnership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Jennings, Gail (VDSS)</cp:lastModifiedBy>
  <cp:lastPrinted>2018-01-23T15:38:58Z</cp:lastPrinted>
  <dcterms:created xsi:type="dcterms:W3CDTF">2011-04-04T18:14:50Z</dcterms:created>
  <dcterms:modified xsi:type="dcterms:W3CDTF">2018-01-23T19:31:48Z</dcterms:modified>
</cp:coreProperties>
</file>